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ED25742E-F5D8-4B02-806F-649896C43CEE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</calcChain>
</file>

<file path=xl/sharedStrings.xml><?xml version="1.0" encoding="utf-8"?>
<sst xmlns="http://schemas.openxmlformats.org/spreadsheetml/2006/main" count="14516" uniqueCount="83">
  <si>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</si>
  <si>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</si>
  <si>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</si>
  <si>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</si>
  <si>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</si>
  <si>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</si>
  <si>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</si>
  <si>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</si>
  <si>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</si>
  <si>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</si>
  <si>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</si>
  <si>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</si>
  <si>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</si>
  <si>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</si>
  <si>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</si>
  <si>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</si>
  <si>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</si>
  <si>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</si>
  <si>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</si>
  <si>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</si>
  <si>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</si>
  <si>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</si>
  <si>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</si>
  <si>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</si>
  <si>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</si>
  <si>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</si>
  <si>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</si>
  <si>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</si>
  <si>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</si>
  <si>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</si>
  <si>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</si>
  <si>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</si>
  <si>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</si>
  <si>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</si>
  <si>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</si>
  <si>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</si>
  <si>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</si>
  <si>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</si>
  <si>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</si>
  <si>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</si>
  <si>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</si>
  <si>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Kooper</t>
  </si>
  <si>
    <t>Plane_01</t>
  </si>
  <si>
    <t>mcp_road_part_02</t>
  </si>
  <si>
    <t>Building 07 (16)</t>
  </si>
  <si>
    <t>mcp_roads_turn_01 (1)</t>
  </si>
  <si>
    <t>FAR</t>
  </si>
  <si>
    <t>Building 15 (24)</t>
  </si>
  <si>
    <t>Box001</t>
  </si>
  <si>
    <t>Building 18 (9)</t>
  </si>
  <si>
    <t>mcp_roads_T_cross_01</t>
  </si>
  <si>
    <t>mcp_road_part_01</t>
  </si>
  <si>
    <t>mcp_roads_cross_01</t>
  </si>
  <si>
    <t>Building 15 (31)</t>
  </si>
  <si>
    <t>Plane_01 (1)</t>
  </si>
  <si>
    <t>Building 15 (33)</t>
  </si>
  <si>
    <t>Building 15 (19)</t>
  </si>
  <si>
    <t>Building 24</t>
  </si>
  <si>
    <t>mcp_roads_cross_02</t>
  </si>
  <si>
    <t>Building 29 (5)</t>
  </si>
  <si>
    <t>Building 01 (1)</t>
  </si>
  <si>
    <t>Building 15 (7)</t>
  </si>
  <si>
    <t>Building 09 (4)</t>
  </si>
  <si>
    <t>Building 15 (32)</t>
  </si>
  <si>
    <t>mcp_roads_turn_01</t>
  </si>
  <si>
    <t>Building 15 (30)</t>
  </si>
  <si>
    <t>Tong (3)</t>
  </si>
  <si>
    <t>Tree 02 (2)</t>
  </si>
  <si>
    <t>Building 13 (1)</t>
  </si>
  <si>
    <t>mcp_road_part_02 (1)</t>
  </si>
  <si>
    <t>mcp_road_part_02 (2)</t>
  </si>
  <si>
    <t>mcp_road_part_02 (3)</t>
  </si>
  <si>
    <t>Building 23 (4)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</si>
  <si>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</si>
  <si>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</si>
  <si>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</si>
  <si>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</si>
  <si>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</si>
  <si>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</si>
  <si>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24 (1)</t>
  </si>
  <si>
    <t>Canopi 01 (4)</t>
  </si>
  <si>
    <t>Building 07 (18)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</si>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</sst>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239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"20190312151500555"</f>
        <v>20190312151500555</v>
      </c>
      <c r="B2" t="str">
        <f>"1552374900547798"</f>
        <v>1552374900547798</v>
      </c>
      <c r="C2" t="s">
        <v>40</v>
      </c>
      <c r="D2">
        <v>4.4877149999999997</v>
      </c>
      <c r="E2">
        <v>0.53913859999999902</v>
      </c>
      <c r="F2" t="s">
        <v>41</v>
      </c>
      <c r="G2">
        <v>-475.92489999999998</v>
      </c>
      <c r="H2">
        <v>0.94835069999999999</v>
      </c>
      <c r="I2">
        <v>367.15570000000002</v>
      </c>
      <c r="J2">
        <v>-476.59809999999999</v>
      </c>
      <c r="K2">
        <v>1.1090150000000001</v>
      </c>
      <c r="L2">
        <v>367.21499999999997</v>
      </c>
      <c r="M2">
        <v>0.9999671</v>
      </c>
      <c r="N2">
        <v>0</v>
      </c>
      <c r="O2">
        <v>3.156964E-4</v>
      </c>
      <c r="P2">
        <v>0.99932690000000002</v>
      </c>
      <c r="Q2">
        <v>-3.2212499999999998E-2</v>
      </c>
      <c r="R2">
        <v>1.7571799999999999E-2</v>
      </c>
      <c r="S2">
        <v>2.9843139999999999</v>
      </c>
      <c r="T2">
        <v>-0.70282670000000003</v>
      </c>
      <c r="U2">
        <v>-0.25714110000000001</v>
      </c>
      <c r="V2">
        <v>-1.725308E-2</v>
      </c>
      <c r="W2">
        <v>-2.4089840000000001E-2</v>
      </c>
      <c r="X2">
        <v>0.99956089999999997</v>
      </c>
      <c r="Y2">
        <v>8.3874190000000001E-2</v>
      </c>
      <c r="Z2">
        <v>-9.7991160000000001E-3</v>
      </c>
      <c r="AA2">
        <v>0.99642819999999999</v>
      </c>
      <c r="AB2">
        <v>1</v>
      </c>
      <c r="AC2">
        <v>0.67320000000000801</v>
      </c>
      <c r="AD2">
        <v>-0.16066429999999901</v>
      </c>
      <c r="AE2">
        <v>-5.9299999999950601E-2</v>
      </c>
      <c r="AF2">
        <v>5.63288838993381E-2</v>
      </c>
      <c r="AG2">
        <v>-0.16066429999999901</v>
      </c>
      <c r="AH2">
        <v>0.63716914165673999</v>
      </c>
      <c r="AI2">
        <v>104.099517851548</v>
      </c>
      <c r="AJ2">
        <v>84.947905584386604</v>
      </c>
      <c r="AK2">
        <v>0.65952291509501204</v>
      </c>
      <c r="AL2">
        <v>91.380379705965098</v>
      </c>
      <c r="AM2">
        <v>90.988864724748495</v>
      </c>
      <c r="AN2">
        <v>0.999999990984761</v>
      </c>
    </row>
    <row r="3" spans="1:40" x14ac:dyDescent="0.25">
      <c r="A3" t="str">
        <f>"20190312151500576"</f>
        <v>20190312151500576</v>
      </c>
      <c r="B3" t="str">
        <f>"1552374900567318"</f>
        <v>1552374900567318</v>
      </c>
      <c r="C3" t="s">
        <v>40</v>
      </c>
      <c r="D3">
        <v>4.4448850000000002</v>
      </c>
      <c r="E3">
        <v>0.53948059999999998</v>
      </c>
      <c r="F3" t="s">
        <v>41</v>
      </c>
      <c r="G3">
        <v>-475.91140000000001</v>
      </c>
      <c r="H3">
        <v>0.94811299999999998</v>
      </c>
      <c r="I3">
        <v>367.15480000000002</v>
      </c>
      <c r="J3">
        <v>-476.59300000000002</v>
      </c>
      <c r="K3">
        <v>1.109307</v>
      </c>
      <c r="L3">
        <v>367.21510000000001</v>
      </c>
      <c r="M3">
        <v>0.99996010000000002</v>
      </c>
      <c r="N3">
        <v>0</v>
      </c>
      <c r="O3">
        <v>3.4292619999999998E-4</v>
      </c>
      <c r="P3">
        <v>0.99930580000000002</v>
      </c>
      <c r="Q3">
        <v>-3.3258509999999998E-2</v>
      </c>
      <c r="R3">
        <v>1.679346E-2</v>
      </c>
      <c r="S3">
        <v>2.9840390000000001</v>
      </c>
      <c r="T3">
        <v>-0.69956790000000002</v>
      </c>
      <c r="U3">
        <v>-0.25997920000000002</v>
      </c>
      <c r="V3">
        <v>-1.6449390000000001E-2</v>
      </c>
      <c r="W3">
        <v>-2.4330319999999999E-2</v>
      </c>
      <c r="X3">
        <v>0.99956860000000003</v>
      </c>
      <c r="Y3">
        <v>8.4843639999999998E-2</v>
      </c>
      <c r="Z3">
        <v>-9.8735660000000003E-3</v>
      </c>
      <c r="AA3">
        <v>0.99634529999999999</v>
      </c>
      <c r="AB3">
        <v>1</v>
      </c>
      <c r="AC3">
        <v>0.68160000000000298</v>
      </c>
      <c r="AD3">
        <v>-0.161194</v>
      </c>
      <c r="AE3">
        <v>-6.0299999999983797E-2</v>
      </c>
      <c r="AF3">
        <v>5.7351055565289001E-2</v>
      </c>
      <c r="AG3">
        <v>-0.161194</v>
      </c>
      <c r="AH3">
        <v>0.64574381894243804</v>
      </c>
      <c r="AI3">
        <v>103.963236648707</v>
      </c>
      <c r="AJ3">
        <v>84.924652514984601</v>
      </c>
      <c r="AK3">
        <v>0.66802524571517297</v>
      </c>
      <c r="AL3">
        <v>91.394162269071302</v>
      </c>
      <c r="AM3">
        <v>90.942802281667198</v>
      </c>
      <c r="AN3">
        <v>0.999999966504316</v>
      </c>
    </row>
    <row r="4" spans="1:40" x14ac:dyDescent="0.25">
      <c r="A4" t="str">
        <f>"20190312151500599"</f>
        <v>20190312151500599</v>
      </c>
      <c r="B4" t="str">
        <f>"1552374900587817"</f>
        <v>1552374900587817</v>
      </c>
      <c r="C4" t="s">
        <v>40</v>
      </c>
      <c r="D4">
        <v>4.4404139999999996</v>
      </c>
      <c r="E4">
        <v>0.53951830000000001</v>
      </c>
      <c r="F4" t="s">
        <v>41</v>
      </c>
      <c r="G4">
        <v>-475.90750000000003</v>
      </c>
      <c r="H4">
        <v>0.95041249999999999</v>
      </c>
      <c r="I4">
        <v>367.1542</v>
      </c>
      <c r="J4">
        <v>-476.59</v>
      </c>
      <c r="K4">
        <v>1.1096999999999999</v>
      </c>
      <c r="L4">
        <v>367.21519999999998</v>
      </c>
      <c r="M4">
        <v>0.99994590000000005</v>
      </c>
      <c r="N4">
        <v>0</v>
      </c>
      <c r="O4">
        <v>3.196648E-4</v>
      </c>
      <c r="P4">
        <v>0.99924029999999997</v>
      </c>
      <c r="Q4">
        <v>-3.5729070000000002E-2</v>
      </c>
      <c r="R4">
        <v>1.557294E-2</v>
      </c>
      <c r="S4">
        <v>2.9835210000000001</v>
      </c>
      <c r="T4">
        <v>-0.6915386</v>
      </c>
      <c r="U4">
        <v>-0.26531979999999999</v>
      </c>
      <c r="V4">
        <v>-1.525551E-2</v>
      </c>
      <c r="W4">
        <v>-2.533614E-2</v>
      </c>
      <c r="X4">
        <v>0.99956259999999997</v>
      </c>
      <c r="Y4">
        <v>8.6610519999999996E-2</v>
      </c>
      <c r="Z4">
        <v>-9.9604759999999994E-3</v>
      </c>
      <c r="AA4">
        <v>0.99619250000000004</v>
      </c>
      <c r="AB4">
        <v>1</v>
      </c>
      <c r="AC4">
        <v>0.68249999999994704</v>
      </c>
      <c r="AD4">
        <v>-0.159287499999999</v>
      </c>
      <c r="AE4">
        <v>-6.0999999999978599E-2</v>
      </c>
      <c r="AF4">
        <v>5.8079647877171403E-2</v>
      </c>
      <c r="AG4">
        <v>-0.159287499999999</v>
      </c>
      <c r="AH4">
        <v>0.64749107415545404</v>
      </c>
      <c r="AI4">
        <v>103.76757071099399</v>
      </c>
      <c r="AJ4">
        <v>84.874312986317506</v>
      </c>
      <c r="AK4">
        <v>0.66932088288411395</v>
      </c>
      <c r="AL4">
        <v>91.451809213223299</v>
      </c>
      <c r="AM4">
        <v>90.874390937942806</v>
      </c>
      <c r="AN4">
        <v>1.0000000209471001</v>
      </c>
    </row>
    <row r="5" spans="1:40" x14ac:dyDescent="0.25">
      <c r="A5" t="str">
        <f>"20190312151500688"</f>
        <v>20190312151500688</v>
      </c>
      <c r="B5" t="str">
        <f>"1552374900677606"</f>
        <v>1552374900677606</v>
      </c>
      <c r="C5" t="s">
        <v>40</v>
      </c>
      <c r="D5">
        <v>4.6364070000000002</v>
      </c>
      <c r="E5">
        <v>0.53705979999999998</v>
      </c>
      <c r="F5" t="s">
        <v>41</v>
      </c>
      <c r="G5">
        <v>-475.88580000000002</v>
      </c>
      <c r="H5">
        <v>0.9481986</v>
      </c>
      <c r="I5">
        <v>367.15629999999999</v>
      </c>
      <c r="J5">
        <v>-476.55919999999998</v>
      </c>
      <c r="K5">
        <v>1.109092</v>
      </c>
      <c r="L5">
        <v>367.21519999999998</v>
      </c>
      <c r="M5">
        <v>0.9999652</v>
      </c>
      <c r="N5">
        <v>0</v>
      </c>
      <c r="O5">
        <v>5.2008419999999896E-4</v>
      </c>
      <c r="P5">
        <v>0.99922840000000002</v>
      </c>
      <c r="Q5">
        <v>-3.6226729999999999E-2</v>
      </c>
      <c r="R5">
        <v>1.51906E-2</v>
      </c>
      <c r="S5">
        <v>2.9804080000000002</v>
      </c>
      <c r="T5">
        <v>-0.70054819999999995</v>
      </c>
      <c r="U5">
        <v>-0.25576779999999999</v>
      </c>
      <c r="V5">
        <v>-1.466921E-2</v>
      </c>
      <c r="W5">
        <v>-2.7888960000000001E-2</v>
      </c>
      <c r="X5">
        <v>0.99950340000000004</v>
      </c>
      <c r="Y5">
        <v>8.3740490000000001E-2</v>
      </c>
      <c r="Z5">
        <v>-9.812632E-3</v>
      </c>
      <c r="AA5">
        <v>0.99643930000000003</v>
      </c>
      <c r="AB5">
        <v>1</v>
      </c>
      <c r="AC5">
        <v>0.67339999999995803</v>
      </c>
      <c r="AD5">
        <v>-0.16089339999999999</v>
      </c>
      <c r="AE5">
        <v>-5.8899999999994103E-2</v>
      </c>
      <c r="AF5">
        <v>5.6073514776818698E-2</v>
      </c>
      <c r="AG5">
        <v>-0.16089339999999999</v>
      </c>
      <c r="AH5">
        <v>0.63726643260976001</v>
      </c>
      <c r="AI5">
        <v>104.11724156797899</v>
      </c>
      <c r="AJ5">
        <v>84.971455595370401</v>
      </c>
      <c r="AK5">
        <v>0.65965099208153699</v>
      </c>
      <c r="AL5">
        <v>91.598126896508006</v>
      </c>
      <c r="AM5">
        <v>90.840841044624398</v>
      </c>
      <c r="AN5">
        <v>1.0000000132117299</v>
      </c>
    </row>
    <row r="6" spans="1:40" x14ac:dyDescent="0.25">
      <c r="A6" t="str">
        <f>"20190312151500711"</f>
        <v>20190312151500711</v>
      </c>
      <c r="B6" t="str">
        <f>"1552374900707862"</f>
        <v>1552374900707862</v>
      </c>
      <c r="C6" t="s">
        <v>40</v>
      </c>
      <c r="D6">
        <v>4.5095749999999999</v>
      </c>
      <c r="E6">
        <v>0.53654480000000004</v>
      </c>
      <c r="F6" t="s">
        <v>41</v>
      </c>
      <c r="G6">
        <v>-475.8741</v>
      </c>
      <c r="H6">
        <v>0.94828809999999997</v>
      </c>
      <c r="I6">
        <v>367.15690000000001</v>
      </c>
      <c r="J6">
        <v>-476.54599999999999</v>
      </c>
      <c r="K6">
        <v>1.109075</v>
      </c>
      <c r="L6">
        <v>367.21539999999999</v>
      </c>
      <c r="M6">
        <v>0.999969</v>
      </c>
      <c r="N6">
        <v>0</v>
      </c>
      <c r="O6">
        <v>6.3971939999999999E-4</v>
      </c>
      <c r="P6">
        <v>0.9992238</v>
      </c>
      <c r="Q6">
        <v>-3.6117450000000002E-2</v>
      </c>
      <c r="R6">
        <v>1.5740790000000001E-2</v>
      </c>
      <c r="S6">
        <v>2.980804</v>
      </c>
      <c r="T6">
        <v>-0.70011499999999904</v>
      </c>
      <c r="U6">
        <v>-0.25155640000000001</v>
      </c>
      <c r="V6">
        <v>-1.5098459999999999E-2</v>
      </c>
      <c r="W6">
        <v>-2.8265470000000001E-2</v>
      </c>
      <c r="X6">
        <v>0.9994864</v>
      </c>
      <c r="Y6">
        <v>8.2484370000000001E-2</v>
      </c>
      <c r="Z6">
        <v>-9.6884080000000008E-3</v>
      </c>
      <c r="AA6">
        <v>0.99654529999999997</v>
      </c>
      <c r="AB6">
        <v>1</v>
      </c>
      <c r="AC6">
        <v>0.67189999999999295</v>
      </c>
      <c r="AD6">
        <v>-0.16078690000000001</v>
      </c>
      <c r="AE6">
        <v>-5.8499999999980901E-2</v>
      </c>
      <c r="AF6">
        <v>5.5760695927791003E-2</v>
      </c>
      <c r="AG6">
        <v>-0.16078690000000001</v>
      </c>
      <c r="AH6">
        <v>0.63573096858714195</v>
      </c>
      <c r="AI6">
        <v>104.14131089745101</v>
      </c>
      <c r="AJ6">
        <v>84.987349398944701</v>
      </c>
      <c r="AK6">
        <v>0.65811514710019203</v>
      </c>
      <c r="AL6">
        <v>91.619707888931899</v>
      </c>
      <c r="AM6">
        <v>90.865456739757406</v>
      </c>
      <c r="AN6">
        <v>0.99999998203682605</v>
      </c>
    </row>
    <row r="7" spans="1:40" x14ac:dyDescent="0.25">
      <c r="A7" t="str">
        <f>"20190312151500735"</f>
        <v>20190312151500735</v>
      </c>
      <c r="B7" t="str">
        <f>"1552374900727382"</f>
        <v>1552374900727382</v>
      </c>
      <c r="C7" t="s">
        <v>40</v>
      </c>
      <c r="D7">
        <v>4.5395570000000003</v>
      </c>
      <c r="E7">
        <v>0.53616450000000004</v>
      </c>
      <c r="F7" t="s">
        <v>41</v>
      </c>
      <c r="G7">
        <v>-475.86290000000002</v>
      </c>
      <c r="H7">
        <v>0.94843469999999996</v>
      </c>
      <c r="I7">
        <v>367.15910000000002</v>
      </c>
      <c r="J7">
        <v>-476.5367</v>
      </c>
      <c r="K7">
        <v>1.1094219999999999</v>
      </c>
      <c r="L7">
        <v>367.21559999999999</v>
      </c>
      <c r="M7">
        <v>0.99996050000000003</v>
      </c>
      <c r="N7">
        <v>0</v>
      </c>
      <c r="O7">
        <v>6.7082800000000005E-4</v>
      </c>
      <c r="P7">
        <v>0.99916590000000005</v>
      </c>
      <c r="Q7">
        <v>-3.7306690000000003E-2</v>
      </c>
      <c r="R7">
        <v>1.661174E-2</v>
      </c>
      <c r="S7">
        <v>2.9808650000000001</v>
      </c>
      <c r="T7">
        <v>-0.70091939999999997</v>
      </c>
      <c r="U7">
        <v>-0.24597169999999999</v>
      </c>
      <c r="V7">
        <v>-1.593957E-2</v>
      </c>
      <c r="W7">
        <v>-2.842619E-2</v>
      </c>
      <c r="X7">
        <v>0.99946880000000005</v>
      </c>
      <c r="Y7">
        <v>8.0701410000000001E-2</v>
      </c>
      <c r="Z7">
        <v>-9.5005179999999995E-3</v>
      </c>
      <c r="AA7">
        <v>0.99669300000000005</v>
      </c>
      <c r="AB7">
        <v>1</v>
      </c>
      <c r="AC7">
        <v>0.67379999999997098</v>
      </c>
      <c r="AD7">
        <v>-0.160987299999999</v>
      </c>
      <c r="AE7">
        <v>-5.6499999999971302E-2</v>
      </c>
      <c r="AF7">
        <v>5.3896797871614097E-2</v>
      </c>
      <c r="AG7">
        <v>-0.160987299999999</v>
      </c>
      <c r="AH7">
        <v>0.63761774240006497</v>
      </c>
      <c r="AI7">
        <v>104.121697987977</v>
      </c>
      <c r="AJ7">
        <v>85.168365878133201</v>
      </c>
      <c r="AK7">
        <v>0.65983191875314695</v>
      </c>
      <c r="AL7">
        <v>91.628920138955607</v>
      </c>
      <c r="AM7">
        <v>90.913678018782903</v>
      </c>
      <c r="AN7">
        <v>1.0000000001715701</v>
      </c>
    </row>
    <row r="8" spans="1:40" x14ac:dyDescent="0.25">
      <c r="A8" t="str">
        <f>"20190312151500755"</f>
        <v>20190312151500755</v>
      </c>
      <c r="B8" t="str">
        <f>"1552374900747878"</f>
        <v>1552374900747878</v>
      </c>
      <c r="C8" t="s">
        <v>40</v>
      </c>
      <c r="D8">
        <v>4.5164289999999996</v>
      </c>
      <c r="E8">
        <v>0.53586789999999995</v>
      </c>
      <c r="F8" t="s">
        <v>41</v>
      </c>
      <c r="G8">
        <v>-475.8503</v>
      </c>
      <c r="H8">
        <v>0.946685</v>
      </c>
      <c r="I8">
        <v>367.15989999999999</v>
      </c>
      <c r="J8">
        <v>-476.5301</v>
      </c>
      <c r="K8">
        <v>1.1097269999999999</v>
      </c>
      <c r="L8">
        <v>367.21559999999999</v>
      </c>
      <c r="M8">
        <v>0.99994850000000002</v>
      </c>
      <c r="N8">
        <v>0</v>
      </c>
      <c r="O8">
        <v>6.639959E-4</v>
      </c>
      <c r="P8">
        <v>0.99909099999999995</v>
      </c>
      <c r="Q8">
        <v>-3.9029710000000002E-2</v>
      </c>
      <c r="R8">
        <v>1.714589E-2</v>
      </c>
      <c r="S8">
        <v>2.9801329999999999</v>
      </c>
      <c r="T8">
        <v>-0.70665669999999903</v>
      </c>
      <c r="U8">
        <v>-0.24087520000000001</v>
      </c>
      <c r="V8">
        <v>-1.648312E-2</v>
      </c>
      <c r="W8">
        <v>-2.890587E-2</v>
      </c>
      <c r="X8">
        <v>0.99944619999999995</v>
      </c>
      <c r="Y8">
        <v>7.9030390000000006E-2</v>
      </c>
      <c r="Z8">
        <v>-9.3824310000000001E-3</v>
      </c>
      <c r="AA8">
        <v>0.99682809999999999</v>
      </c>
      <c r="AB8">
        <v>1</v>
      </c>
      <c r="AC8">
        <v>0.67979999999999996</v>
      </c>
      <c r="AD8">
        <v>-0.16304199999999999</v>
      </c>
      <c r="AE8">
        <v>-5.5700000000001602E-2</v>
      </c>
      <c r="AF8">
        <v>5.3116390785031303E-2</v>
      </c>
      <c r="AG8">
        <v>-0.16304199999999999</v>
      </c>
      <c r="AH8">
        <v>0.64302141962232295</v>
      </c>
      <c r="AI8">
        <v>104.18150320845299</v>
      </c>
      <c r="AJ8">
        <v>85.277838262352006</v>
      </c>
      <c r="AK8">
        <v>0.66549274288089399</v>
      </c>
      <c r="AL8">
        <v>91.656415120236304</v>
      </c>
      <c r="AM8">
        <v>90.944850856541194</v>
      </c>
      <c r="AN8">
        <v>0.99999997462991497</v>
      </c>
    </row>
    <row r="9" spans="1:40" x14ac:dyDescent="0.25">
      <c r="A9" t="str">
        <f>"20190312151500777"</f>
        <v>20190312151500777</v>
      </c>
      <c r="B9" t="str">
        <f>"1552374900767398"</f>
        <v>1552374900767398</v>
      </c>
      <c r="C9" t="s">
        <v>40</v>
      </c>
      <c r="D9">
        <v>4.519444</v>
      </c>
      <c r="E9">
        <v>0.53565090000000004</v>
      </c>
      <c r="F9" t="s">
        <v>41</v>
      </c>
      <c r="G9">
        <v>-475.84109999999998</v>
      </c>
      <c r="H9">
        <v>0.94481329999999997</v>
      </c>
      <c r="I9">
        <v>367.16079999999999</v>
      </c>
      <c r="J9">
        <v>-476.51859999999999</v>
      </c>
      <c r="K9">
        <v>1.1095010000000001</v>
      </c>
      <c r="L9">
        <v>367.21570000000003</v>
      </c>
      <c r="M9">
        <v>0.99995489999999998</v>
      </c>
      <c r="N9">
        <v>0</v>
      </c>
      <c r="O9">
        <v>7.2739129999999997E-4</v>
      </c>
      <c r="P9">
        <v>0.99908470000000005</v>
      </c>
      <c r="Q9">
        <v>-3.9003629999999997E-2</v>
      </c>
      <c r="R9">
        <v>1.7571320000000001E-2</v>
      </c>
      <c r="S9">
        <v>2.9789430000000001</v>
      </c>
      <c r="T9">
        <v>-0.71304889999999999</v>
      </c>
      <c r="U9">
        <v>-0.2366943</v>
      </c>
      <c r="V9">
        <v>-1.6845010000000001E-2</v>
      </c>
      <c r="W9">
        <v>-2.9531499999999999E-2</v>
      </c>
      <c r="X9">
        <v>0.99942189999999997</v>
      </c>
      <c r="Y9">
        <v>7.7728729999999996E-2</v>
      </c>
      <c r="Z9">
        <v>-9.3307249999999998E-3</v>
      </c>
      <c r="AA9">
        <v>0.99693089999999995</v>
      </c>
      <c r="AB9">
        <v>1</v>
      </c>
      <c r="AC9">
        <v>0.67750000000000898</v>
      </c>
      <c r="AD9">
        <v>-0.16468769999999999</v>
      </c>
      <c r="AE9">
        <v>-5.4900000000031902E-2</v>
      </c>
      <c r="AF9">
        <v>5.2321385713402599E-2</v>
      </c>
      <c r="AG9">
        <v>-0.16468769999999999</v>
      </c>
      <c r="AH9">
        <v>0.63989598370414502</v>
      </c>
      <c r="AI9">
        <v>104.386774367046</v>
      </c>
      <c r="AJ9">
        <v>85.325583137857507</v>
      </c>
      <c r="AK9">
        <v>0.66281704556759602</v>
      </c>
      <c r="AL9">
        <v>91.692276350189502</v>
      </c>
      <c r="AM9">
        <v>90.965614822403893</v>
      </c>
      <c r="AN9">
        <v>0.99999999902687997</v>
      </c>
    </row>
    <row r="10" spans="1:40" x14ac:dyDescent="0.25">
      <c r="A10" t="str">
        <f>"20190312151500799"</f>
        <v>20190312151500799</v>
      </c>
      <c r="B10" t="str">
        <f>"1552374900787897"</f>
        <v>1552374900787897</v>
      </c>
      <c r="C10" t="s">
        <v>40</v>
      </c>
      <c r="D10">
        <v>4.5190130000000002</v>
      </c>
      <c r="E10">
        <v>0.53551329999999997</v>
      </c>
      <c r="F10" t="s">
        <v>41</v>
      </c>
      <c r="G10">
        <v>-475.82740000000001</v>
      </c>
      <c r="H10">
        <v>0.94393269999999996</v>
      </c>
      <c r="I10">
        <v>367.1617</v>
      </c>
      <c r="J10">
        <v>-476.5018</v>
      </c>
      <c r="K10">
        <v>1.1091089999999999</v>
      </c>
      <c r="L10">
        <v>367.21589999999998</v>
      </c>
      <c r="M10">
        <v>0.9999673</v>
      </c>
      <c r="N10">
        <v>0</v>
      </c>
      <c r="O10">
        <v>8.9292989999999997E-4</v>
      </c>
      <c r="P10">
        <v>0.99910189999999999</v>
      </c>
      <c r="Q10">
        <v>-3.8284819999999997E-2</v>
      </c>
      <c r="R10">
        <v>1.8157469999999998E-2</v>
      </c>
      <c r="S10">
        <v>2.9789729999999999</v>
      </c>
      <c r="T10">
        <v>-0.71350040000000003</v>
      </c>
      <c r="U10">
        <v>-0.23339840000000001</v>
      </c>
      <c r="V10">
        <v>-1.726449E-2</v>
      </c>
      <c r="W10">
        <v>-3.0248549999999999E-2</v>
      </c>
      <c r="X10">
        <v>0.99939330000000004</v>
      </c>
      <c r="Y10">
        <v>7.6814820000000006E-2</v>
      </c>
      <c r="Z10">
        <v>-9.2680420000000006E-3</v>
      </c>
      <c r="AA10">
        <v>0.99700230000000001</v>
      </c>
      <c r="AB10">
        <v>1</v>
      </c>
      <c r="AC10">
        <v>0.67439999999999101</v>
      </c>
      <c r="AD10">
        <v>-0.1651763</v>
      </c>
      <c r="AE10">
        <v>-5.4199999999980202E-2</v>
      </c>
      <c r="AF10">
        <v>5.1719575263455199E-2</v>
      </c>
      <c r="AG10">
        <v>-0.1651763</v>
      </c>
      <c r="AH10">
        <v>0.63641917697936001</v>
      </c>
      <c r="AI10">
        <v>104.503743571321</v>
      </c>
      <c r="AJ10">
        <v>85.353980944602299</v>
      </c>
      <c r="AK10">
        <v>0.65953581659695204</v>
      </c>
      <c r="AL10">
        <v>91.733378648158606</v>
      </c>
      <c r="AM10">
        <v>90.989684472837396</v>
      </c>
      <c r="AN10">
        <v>1.0000000027384699</v>
      </c>
    </row>
    <row r="11" spans="1:40" x14ac:dyDescent="0.25">
      <c r="A11" t="str">
        <f>"20190312151500821"</f>
        <v>20190312151500821</v>
      </c>
      <c r="B11" t="str">
        <f>"1552374900818150"</f>
        <v>1552374900818150</v>
      </c>
      <c r="C11" t="s">
        <v>40</v>
      </c>
      <c r="D11">
        <v>4.5174669999999999</v>
      </c>
      <c r="E11">
        <v>0.53525540000000005</v>
      </c>
      <c r="F11" t="s">
        <v>41</v>
      </c>
      <c r="G11">
        <v>-475.81099999999998</v>
      </c>
      <c r="H11">
        <v>0.9441562</v>
      </c>
      <c r="I11">
        <v>367.16219999999998</v>
      </c>
      <c r="J11">
        <v>-476.4853</v>
      </c>
      <c r="K11">
        <v>1.108992</v>
      </c>
      <c r="L11">
        <v>367.21600000000001</v>
      </c>
      <c r="M11">
        <v>0.99997230000000004</v>
      </c>
      <c r="N11">
        <v>0</v>
      </c>
      <c r="O11">
        <v>1.066616E-3</v>
      </c>
      <c r="P11">
        <v>0.99908549999999996</v>
      </c>
      <c r="Q11">
        <v>-3.8638270000000002E-2</v>
      </c>
      <c r="R11">
        <v>1.8313039999999999E-2</v>
      </c>
      <c r="S11">
        <v>2.979584</v>
      </c>
      <c r="T11">
        <v>-0.71157150000000002</v>
      </c>
      <c r="U11">
        <v>-0.23019410000000001</v>
      </c>
      <c r="V11">
        <v>-1.7245839999999998E-2</v>
      </c>
      <c r="W11">
        <v>-3.1272790000000002E-2</v>
      </c>
      <c r="X11">
        <v>0.99936210000000003</v>
      </c>
      <c r="Y11">
        <v>7.5938190000000003E-2</v>
      </c>
      <c r="Z11">
        <v>-9.1799710000000003E-3</v>
      </c>
      <c r="AA11">
        <v>0.99707029999999996</v>
      </c>
      <c r="AB11">
        <v>2</v>
      </c>
      <c r="AC11">
        <v>0.674300000000016</v>
      </c>
      <c r="AD11">
        <v>-0.16483579999999901</v>
      </c>
      <c r="AE11">
        <v>-5.3800000000023801E-2</v>
      </c>
      <c r="AF11">
        <v>5.1463311934170398E-2</v>
      </c>
      <c r="AG11">
        <v>-0.16483579999999901</v>
      </c>
      <c r="AH11">
        <v>0.63644978480659697</v>
      </c>
      <c r="AI11">
        <v>104.474889461917</v>
      </c>
      <c r="AJ11">
        <v>85.377122658998303</v>
      </c>
      <c r="AK11">
        <v>0.659460114045752</v>
      </c>
      <c r="AL11">
        <v>91.792091056732005</v>
      </c>
      <c r="AM11">
        <v>90.9886464348658</v>
      </c>
      <c r="AN11">
        <v>1.00000000665405</v>
      </c>
    </row>
    <row r="12" spans="1:40" x14ac:dyDescent="0.25">
      <c r="A12" t="str">
        <f>"20190312151500844"</f>
        <v>20190312151500844</v>
      </c>
      <c r="B12" t="str">
        <f>"1552374900837670"</f>
        <v>1552374900837670</v>
      </c>
      <c r="C12" t="s">
        <v>40</v>
      </c>
      <c r="D12">
        <v>4.5267660000000003</v>
      </c>
      <c r="E12">
        <v>0.53512280000000001</v>
      </c>
      <c r="F12" t="s">
        <v>41</v>
      </c>
      <c r="G12">
        <v>-475.79739999999998</v>
      </c>
      <c r="H12">
        <v>0.94434689999999999</v>
      </c>
      <c r="I12">
        <v>367.16340000000002</v>
      </c>
      <c r="J12">
        <v>-476.47199999999998</v>
      </c>
      <c r="K12">
        <v>1.109324</v>
      </c>
      <c r="L12">
        <v>367.21620000000001</v>
      </c>
      <c r="M12">
        <v>0.99996430000000003</v>
      </c>
      <c r="N12">
        <v>0</v>
      </c>
      <c r="O12">
        <v>1.173718E-3</v>
      </c>
      <c r="P12">
        <v>0.99903580000000003</v>
      </c>
      <c r="Q12">
        <v>-3.9921159999999997E-2</v>
      </c>
      <c r="R12">
        <v>1.8270049999999999E-2</v>
      </c>
      <c r="S12">
        <v>2.9793090000000002</v>
      </c>
      <c r="T12">
        <v>-0.71314309999999903</v>
      </c>
      <c r="U12">
        <v>-0.22741700000000001</v>
      </c>
      <c r="V12">
        <v>-1.7097480000000002E-2</v>
      </c>
      <c r="W12">
        <v>-3.1553699999999997E-2</v>
      </c>
      <c r="X12">
        <v>0.99935580000000002</v>
      </c>
      <c r="Y12">
        <v>7.5137590000000004E-2</v>
      </c>
      <c r="Z12">
        <v>-9.1317259999999997E-3</v>
      </c>
      <c r="AA12">
        <v>0.99713130000000005</v>
      </c>
      <c r="AB12">
        <v>2</v>
      </c>
      <c r="AC12">
        <v>0.67459999999999798</v>
      </c>
      <c r="AD12">
        <v>-0.16497709999999899</v>
      </c>
      <c r="AE12">
        <v>-5.2799999999990598E-2</v>
      </c>
      <c r="AF12">
        <v>5.0584855060712502E-2</v>
      </c>
      <c r="AG12">
        <v>-0.16497709999999899</v>
      </c>
      <c r="AH12">
        <v>0.63669062276391797</v>
      </c>
      <c r="AI12">
        <v>104.483084561111</v>
      </c>
      <c r="AJ12">
        <v>85.457411605299697</v>
      </c>
      <c r="AK12">
        <v>0.65965992769110104</v>
      </c>
      <c r="AL12">
        <v>91.8081939959972</v>
      </c>
      <c r="AM12">
        <v>90.980149295382304</v>
      </c>
      <c r="AN12">
        <v>0.99999998739983997</v>
      </c>
    </row>
    <row r="13" spans="1:40" x14ac:dyDescent="0.25">
      <c r="A13" t="str">
        <f>"20190312151500865"</f>
        <v>20190312151500865</v>
      </c>
      <c r="B13" t="str">
        <f>"1552374900858166"</f>
        <v>1552374900858166</v>
      </c>
      <c r="C13" t="s">
        <v>40</v>
      </c>
      <c r="D13">
        <v>4.5297960000000002</v>
      </c>
      <c r="E13">
        <v>0.53498579999999996</v>
      </c>
      <c r="F13" t="s">
        <v>41</v>
      </c>
      <c r="G13">
        <v>-475.7876</v>
      </c>
      <c r="H13">
        <v>0.94438889999999998</v>
      </c>
      <c r="I13">
        <v>367.16399999999999</v>
      </c>
      <c r="J13">
        <v>-476.4588</v>
      </c>
      <c r="K13">
        <v>1.1094489999999999</v>
      </c>
      <c r="L13">
        <v>367.21620000000001</v>
      </c>
      <c r="M13">
        <v>0.99996019999999997</v>
      </c>
      <c r="N13">
        <v>0</v>
      </c>
      <c r="O13">
        <v>1.263368E-3</v>
      </c>
      <c r="P13">
        <v>0.99900250000000002</v>
      </c>
      <c r="Q13">
        <v>-4.0990779999999997E-2</v>
      </c>
      <c r="R13">
        <v>1.773311E-2</v>
      </c>
      <c r="S13">
        <v>2.9783629999999999</v>
      </c>
      <c r="T13">
        <v>-0.71782539999999995</v>
      </c>
      <c r="U13">
        <v>-0.22662350000000001</v>
      </c>
      <c r="V13">
        <v>-1.6471010000000001E-2</v>
      </c>
      <c r="W13">
        <v>-3.215908E-2</v>
      </c>
      <c r="X13">
        <v>0.99934699999999999</v>
      </c>
      <c r="Y13">
        <v>7.496013E-2</v>
      </c>
      <c r="Z13">
        <v>-9.1931670000000004E-3</v>
      </c>
      <c r="AA13">
        <v>0.99714420000000004</v>
      </c>
      <c r="AB13">
        <v>1</v>
      </c>
      <c r="AC13">
        <v>0.67119999999999802</v>
      </c>
      <c r="AD13">
        <v>-0.16506009999999899</v>
      </c>
      <c r="AE13">
        <v>-5.2200000000027502E-2</v>
      </c>
      <c r="AF13">
        <v>5.0039959998472897E-2</v>
      </c>
      <c r="AG13">
        <v>-0.16506009999999899</v>
      </c>
      <c r="AH13">
        <v>0.633077910051009</v>
      </c>
      <c r="AI13">
        <v>104.56969132398299</v>
      </c>
      <c r="AJ13">
        <v>85.480603763891494</v>
      </c>
      <c r="AK13">
        <v>0.65615278282059597</v>
      </c>
      <c r="AL13">
        <v>91.842897373477399</v>
      </c>
      <c r="AM13">
        <v>90.944250513409202</v>
      </c>
      <c r="AN13">
        <v>0.99999996350293197</v>
      </c>
    </row>
    <row r="14" spans="1:40" x14ac:dyDescent="0.25">
      <c r="A14" t="str">
        <f>"20190312151500888"</f>
        <v>20190312151500888</v>
      </c>
      <c r="B14" t="str">
        <f>"1552374900877698"</f>
        <v>1552374900877698</v>
      </c>
      <c r="C14" t="s">
        <v>40</v>
      </c>
      <c r="D14">
        <v>4.5682159999999996</v>
      </c>
      <c r="E14">
        <v>0.53492220000000001</v>
      </c>
      <c r="F14" t="s">
        <v>41</v>
      </c>
      <c r="G14">
        <v>-475.77409999999998</v>
      </c>
      <c r="H14">
        <v>0.94337919999999997</v>
      </c>
      <c r="I14">
        <v>367.16399999999999</v>
      </c>
      <c r="J14">
        <v>-476.43979999999999</v>
      </c>
      <c r="K14">
        <v>1.1091899999999999</v>
      </c>
      <c r="L14">
        <v>367.21640000000002</v>
      </c>
      <c r="M14">
        <v>0.99996779999999996</v>
      </c>
      <c r="N14">
        <v>0</v>
      </c>
      <c r="O14">
        <v>1.42313799999999E-3</v>
      </c>
      <c r="P14">
        <v>0.99901419999999996</v>
      </c>
      <c r="Q14">
        <v>-4.0921550000000001E-2</v>
      </c>
      <c r="R14">
        <v>1.7213369999999999E-2</v>
      </c>
      <c r="S14">
        <v>2.9773860000000001</v>
      </c>
      <c r="T14">
        <v>-0.72210819999999998</v>
      </c>
      <c r="U14">
        <v>-0.22714229999999999</v>
      </c>
      <c r="V14">
        <v>-1.5789600000000001E-2</v>
      </c>
      <c r="W14">
        <v>-3.3019050000000001E-2</v>
      </c>
      <c r="X14">
        <v>0.99933000000000005</v>
      </c>
      <c r="Y14">
        <v>7.5276199999999904E-2</v>
      </c>
      <c r="Z14">
        <v>-9.3252330000000005E-3</v>
      </c>
      <c r="AA14">
        <v>0.99711910000000004</v>
      </c>
      <c r="AB14">
        <v>1</v>
      </c>
      <c r="AC14">
        <v>0.66570000000001495</v>
      </c>
      <c r="AD14">
        <v>-0.16581079999999901</v>
      </c>
      <c r="AE14">
        <v>-5.2400000000034197E-2</v>
      </c>
      <c r="AF14">
        <v>5.02491237164693E-2</v>
      </c>
      <c r="AG14">
        <v>-0.16581079999999901</v>
      </c>
      <c r="AH14">
        <v>0.62696749777342797</v>
      </c>
      <c r="AI14">
        <v>104.768291398542</v>
      </c>
      <c r="AJ14">
        <v>85.417749902196306</v>
      </c>
      <c r="AK14">
        <v>0.65046632433599905</v>
      </c>
      <c r="AL14">
        <v>91.892196127961398</v>
      </c>
      <c r="AM14">
        <v>90.905208658276194</v>
      </c>
      <c r="AN14">
        <v>1.0000000090155301</v>
      </c>
    </row>
    <row r="15" spans="1:40" x14ac:dyDescent="0.25">
      <c r="A15" t="str">
        <f>"20190312151500912"</f>
        <v>20190312151500912</v>
      </c>
      <c r="B15" t="str">
        <f>"1552374900907943"</f>
        <v>1552374900907943</v>
      </c>
      <c r="C15" t="s">
        <v>40</v>
      </c>
      <c r="D15">
        <v>4.6302370000000002</v>
      </c>
      <c r="E15">
        <v>0.53481650000000003</v>
      </c>
      <c r="F15" t="s">
        <v>41</v>
      </c>
      <c r="G15">
        <v>-475.75630000000001</v>
      </c>
      <c r="H15">
        <v>0.9433608</v>
      </c>
      <c r="I15">
        <v>367.16390000000001</v>
      </c>
      <c r="J15">
        <v>-476.41609999999997</v>
      </c>
      <c r="K15">
        <v>1.108892</v>
      </c>
      <c r="L15">
        <v>367.2167</v>
      </c>
      <c r="M15">
        <v>0.9999768</v>
      </c>
      <c r="N15">
        <v>0</v>
      </c>
      <c r="O15">
        <v>1.64971E-3</v>
      </c>
      <c r="P15">
        <v>0.99905759999999999</v>
      </c>
      <c r="Q15">
        <v>-4.0064740000000001E-2</v>
      </c>
      <c r="R15">
        <v>1.6706550000000001E-2</v>
      </c>
      <c r="S15">
        <v>2.9772639999999999</v>
      </c>
      <c r="T15">
        <v>-0.72247119999999998</v>
      </c>
      <c r="U15">
        <v>-0.22827149999999999</v>
      </c>
      <c r="V15">
        <v>-1.5054120000000001E-2</v>
      </c>
      <c r="W15">
        <v>-3.3444109999999999E-2</v>
      </c>
      <c r="X15">
        <v>0.99932719999999997</v>
      </c>
      <c r="Y15">
        <v>7.5855569999999997E-2</v>
      </c>
      <c r="Z15">
        <v>-9.4533410000000005E-3</v>
      </c>
      <c r="AA15">
        <v>0.99707400000000002</v>
      </c>
      <c r="AB15">
        <v>2</v>
      </c>
      <c r="AC15">
        <v>0.65979999999996097</v>
      </c>
      <c r="AD15">
        <v>-0.16553119999999999</v>
      </c>
      <c r="AE15">
        <v>-5.2799999999990598E-2</v>
      </c>
      <c r="AF15">
        <v>5.0716579714454299E-2</v>
      </c>
      <c r="AG15">
        <v>-0.16553119999999999</v>
      </c>
      <c r="AH15">
        <v>0.62088161876481895</v>
      </c>
      <c r="AI15">
        <v>104.880855810664</v>
      </c>
      <c r="AJ15">
        <v>85.3301746411925</v>
      </c>
      <c r="AK15">
        <v>0.64456709049671101</v>
      </c>
      <c r="AL15">
        <v>91.916563759809407</v>
      </c>
      <c r="AM15">
        <v>90.863052965472903</v>
      </c>
      <c r="AN15">
        <v>0.99999999384125304</v>
      </c>
    </row>
    <row r="16" spans="1:40" x14ac:dyDescent="0.25">
      <c r="A16" t="str">
        <f>"20190312151500936"</f>
        <v>20190312151500936</v>
      </c>
      <c r="B16" t="str">
        <f>"1552374900927463"</f>
        <v>1552374900927463</v>
      </c>
      <c r="C16" t="s">
        <v>40</v>
      </c>
      <c r="D16">
        <v>4.5782379999999998</v>
      </c>
      <c r="E16">
        <v>0.53482089999999904</v>
      </c>
      <c r="F16" t="s">
        <v>41</v>
      </c>
      <c r="G16">
        <v>-475.73590000000002</v>
      </c>
      <c r="H16">
        <v>0.94408519999999896</v>
      </c>
      <c r="I16">
        <v>367.1644</v>
      </c>
      <c r="J16">
        <v>-476.39760000000001</v>
      </c>
      <c r="K16">
        <v>1.109181</v>
      </c>
      <c r="L16">
        <v>367.21690000000001</v>
      </c>
      <c r="M16">
        <v>0.99997049999999998</v>
      </c>
      <c r="N16">
        <v>0</v>
      </c>
      <c r="O16">
        <v>1.785432E-3</v>
      </c>
      <c r="P16">
        <v>0.99901019999999896</v>
      </c>
      <c r="Q16">
        <v>-4.138083E-2</v>
      </c>
      <c r="R16">
        <v>1.632362E-2</v>
      </c>
      <c r="S16">
        <v>2.977722</v>
      </c>
      <c r="T16">
        <v>-0.72143239999999997</v>
      </c>
      <c r="U16">
        <v>-0.22866819999999999</v>
      </c>
      <c r="V16">
        <v>-1.4537349999999999E-2</v>
      </c>
      <c r="W16">
        <v>-3.3898360000000002E-2</v>
      </c>
      <c r="X16">
        <v>0.99931959999999997</v>
      </c>
      <c r="Y16">
        <v>7.6107170000000002E-2</v>
      </c>
      <c r="Z16">
        <v>-9.5010530000000006E-3</v>
      </c>
      <c r="AA16">
        <v>0.99705440000000001</v>
      </c>
      <c r="AB16">
        <v>2</v>
      </c>
      <c r="AC16">
        <v>0.66169999999999596</v>
      </c>
      <c r="AD16">
        <v>-0.16509579999999999</v>
      </c>
      <c r="AE16">
        <v>-5.2500000000008998E-2</v>
      </c>
      <c r="AF16">
        <v>5.0553994774975103E-2</v>
      </c>
      <c r="AG16">
        <v>-0.16509579999999999</v>
      </c>
      <c r="AH16">
        <v>0.62306134186976403</v>
      </c>
      <c r="AI16">
        <v>104.794422603871</v>
      </c>
      <c r="AJ16">
        <v>85.361292688938306</v>
      </c>
      <c r="AK16">
        <v>0.64654293383958605</v>
      </c>
      <c r="AL16">
        <v>91.942605028915494</v>
      </c>
      <c r="AM16">
        <v>90.833437122911903</v>
      </c>
      <c r="AN16">
        <v>1.00000004814993</v>
      </c>
    </row>
    <row r="17" spans="1:40" x14ac:dyDescent="0.25">
      <c r="A17" t="str">
        <f>"20190312151500958"</f>
        <v>20190312151500958</v>
      </c>
      <c r="B17" t="str">
        <f>"1552374900947958"</f>
        <v>1552374900947958</v>
      </c>
      <c r="C17" t="s">
        <v>40</v>
      </c>
      <c r="D17">
        <v>4.7868769999999996</v>
      </c>
      <c r="E17">
        <v>0.53465890000000005</v>
      </c>
      <c r="F17" t="s">
        <v>41</v>
      </c>
      <c r="G17">
        <v>-475.7081</v>
      </c>
      <c r="H17">
        <v>0.94112629999999997</v>
      </c>
      <c r="I17">
        <v>367.16329999999999</v>
      </c>
      <c r="J17">
        <v>-476.38400000000001</v>
      </c>
      <c r="K17">
        <v>1.1096710000000001</v>
      </c>
      <c r="L17">
        <v>367.21710000000002</v>
      </c>
      <c r="M17">
        <v>0.99995449999999997</v>
      </c>
      <c r="N17">
        <v>0</v>
      </c>
      <c r="O17">
        <v>1.8468880000000001E-3</v>
      </c>
      <c r="P17">
        <v>0.99890179999999995</v>
      </c>
      <c r="Q17">
        <v>-4.393097E-2</v>
      </c>
      <c r="R17">
        <v>1.6290389999999998E-2</v>
      </c>
      <c r="S17">
        <v>2.9766849999999998</v>
      </c>
      <c r="T17">
        <v>-0.7255857</v>
      </c>
      <c r="U17">
        <v>-0.23040769999999999</v>
      </c>
      <c r="V17">
        <v>-1.444696E-2</v>
      </c>
      <c r="W17">
        <v>-3.4560569999999999E-2</v>
      </c>
      <c r="X17">
        <v>0.99929820000000003</v>
      </c>
      <c r="Y17">
        <v>7.6727409999999996E-2</v>
      </c>
      <c r="Z17">
        <v>-9.6463729999999998E-3</v>
      </c>
      <c r="AA17">
        <v>0.99700549999999999</v>
      </c>
      <c r="AB17">
        <v>2</v>
      </c>
      <c r="AC17">
        <v>0.67590000000001205</v>
      </c>
      <c r="AD17">
        <v>-0.16854469999999899</v>
      </c>
      <c r="AE17">
        <v>-5.3800000000023801E-2</v>
      </c>
      <c r="AF17">
        <v>5.1844756041506297E-2</v>
      </c>
      <c r="AG17">
        <v>-0.16854469999999899</v>
      </c>
      <c r="AH17">
        <v>0.63647152429741405</v>
      </c>
      <c r="AI17">
        <v>104.78529652000201</v>
      </c>
      <c r="AJ17">
        <v>85.34316659497</v>
      </c>
      <c r="AK17">
        <v>0.66044772379694605</v>
      </c>
      <c r="AL17">
        <v>91.980569168482802</v>
      </c>
      <c r="AM17">
        <v>90.828273455580899</v>
      </c>
      <c r="AN17">
        <v>1.0000000200876</v>
      </c>
    </row>
    <row r="18" spans="1:40" x14ac:dyDescent="0.25">
      <c r="A18" t="str">
        <f>"20190312151500979"</f>
        <v>20190312151500979</v>
      </c>
      <c r="B18" t="str">
        <f>"1552374900967478"</f>
        <v>1552374900967478</v>
      </c>
      <c r="C18" t="s">
        <v>40</v>
      </c>
      <c r="D18">
        <v>4.5394180000000004</v>
      </c>
      <c r="E18">
        <v>0.5346455</v>
      </c>
      <c r="F18" t="s">
        <v>41</v>
      </c>
      <c r="G18">
        <v>-475.69830000000002</v>
      </c>
      <c r="H18">
        <v>0.94064740000000002</v>
      </c>
      <c r="I18">
        <v>367.16359999999997</v>
      </c>
      <c r="J18">
        <v>-476.37240000000003</v>
      </c>
      <c r="K18">
        <v>1.1099300000000001</v>
      </c>
      <c r="L18">
        <v>367.21719999999999</v>
      </c>
      <c r="M18">
        <v>0.99994150000000004</v>
      </c>
      <c r="N18">
        <v>0</v>
      </c>
      <c r="O18">
        <v>1.8773800000000001E-3</v>
      </c>
      <c r="P18">
        <v>0.99883409999999995</v>
      </c>
      <c r="Q18">
        <v>-4.5285640000000002E-2</v>
      </c>
      <c r="R18">
        <v>1.6727329999999999E-2</v>
      </c>
      <c r="S18">
        <v>2.9747620000000001</v>
      </c>
      <c r="T18">
        <v>-0.733734</v>
      </c>
      <c r="U18">
        <v>-0.22955320000000001</v>
      </c>
      <c r="V18">
        <v>-1.485624E-2</v>
      </c>
      <c r="W18">
        <v>-3.4633560000000001E-2</v>
      </c>
      <c r="X18">
        <v>0.9992896</v>
      </c>
      <c r="Y18">
        <v>7.6475379999999996E-2</v>
      </c>
      <c r="Z18">
        <v>-9.7346150000000003E-3</v>
      </c>
      <c r="AA18">
        <v>0.99702389999999996</v>
      </c>
      <c r="AB18">
        <v>1</v>
      </c>
      <c r="AC18">
        <v>0.67410000000000903</v>
      </c>
      <c r="AD18">
        <v>-0.16928259999999901</v>
      </c>
      <c r="AE18">
        <v>-5.3600000000017099E-2</v>
      </c>
      <c r="AF18">
        <v>5.1630021046547903E-2</v>
      </c>
      <c r="AG18">
        <v>-0.16928259999999901</v>
      </c>
      <c r="AH18">
        <v>0.63425154190724897</v>
      </c>
      <c r="AI18">
        <v>104.896896513523</v>
      </c>
      <c r="AJ18">
        <v>85.346209079704806</v>
      </c>
      <c r="AK18">
        <v>0.65848103704491701</v>
      </c>
      <c r="AL18">
        <v>91.984753835563694</v>
      </c>
      <c r="AM18">
        <v>90.8517422261896</v>
      </c>
      <c r="AN18">
        <v>0.99999994800668401</v>
      </c>
    </row>
    <row r="19" spans="1:40" x14ac:dyDescent="0.25">
      <c r="A19" t="str">
        <f>"20190312151501001"</f>
        <v>20190312151501001</v>
      </c>
      <c r="B19" t="str">
        <f>"1552374900997734"</f>
        <v>1552374900997734</v>
      </c>
      <c r="C19" t="s">
        <v>40</v>
      </c>
      <c r="D19">
        <v>4.5453849999999996</v>
      </c>
      <c r="E19">
        <v>0.55404849999999894</v>
      </c>
      <c r="F19" t="s">
        <v>41</v>
      </c>
      <c r="G19">
        <v>-475.6841</v>
      </c>
      <c r="H19">
        <v>0.9391005</v>
      </c>
      <c r="I19">
        <v>367.16430000000003</v>
      </c>
      <c r="J19">
        <v>-476.35390000000001</v>
      </c>
      <c r="K19">
        <v>1.109637</v>
      </c>
      <c r="L19">
        <v>367.2174</v>
      </c>
      <c r="M19">
        <v>0.99994859999999997</v>
      </c>
      <c r="N19">
        <v>0</v>
      </c>
      <c r="O19">
        <v>1.9804150000000001E-3</v>
      </c>
      <c r="P19">
        <v>0.99885040000000003</v>
      </c>
      <c r="Q19">
        <v>-4.4708970000000001E-2</v>
      </c>
      <c r="R19">
        <v>1.729845E-2</v>
      </c>
      <c r="S19">
        <v>2.9738769999999999</v>
      </c>
      <c r="T19">
        <v>-0.73814299999999999</v>
      </c>
      <c r="U19">
        <v>-0.228302</v>
      </c>
      <c r="V19">
        <v>-1.5323120000000001E-2</v>
      </c>
      <c r="W19">
        <v>-3.4774109999999997E-2</v>
      </c>
      <c r="X19">
        <v>0.99927770000000005</v>
      </c>
      <c r="Y19">
        <v>7.6161000000000006E-2</v>
      </c>
      <c r="Z19">
        <v>-9.7811459999999992E-3</v>
      </c>
      <c r="AA19">
        <v>0.99704749999999998</v>
      </c>
      <c r="AB19">
        <v>1</v>
      </c>
      <c r="AC19">
        <v>0.66980000000000905</v>
      </c>
      <c r="AD19">
        <v>-0.17053650000000001</v>
      </c>
      <c r="AE19">
        <v>-5.30999999999721E-2</v>
      </c>
      <c r="AF19">
        <v>5.1132469076603702E-2</v>
      </c>
      <c r="AG19">
        <v>-0.17053650000000001</v>
      </c>
      <c r="AH19">
        <v>0.62916261132454498</v>
      </c>
      <c r="AI19">
        <v>105.118247655548</v>
      </c>
      <c r="AJ19">
        <v>85.353744847919799</v>
      </c>
      <c r="AK19">
        <v>0.65386758500084796</v>
      </c>
      <c r="AL19">
        <v>91.9928115492405</v>
      </c>
      <c r="AM19">
        <v>90.878515853663998</v>
      </c>
      <c r="AN19">
        <v>0.99999997922505801</v>
      </c>
    </row>
    <row r="20" spans="1:40" x14ac:dyDescent="0.25">
      <c r="A20" t="str">
        <f>"20190312151501023"</f>
        <v>20190312151501023</v>
      </c>
      <c r="B20" t="str">
        <f>"1552374901018231"</f>
        <v>1552374901018231</v>
      </c>
      <c r="C20" t="s">
        <v>40</v>
      </c>
      <c r="D20">
        <v>4.5566110000000002</v>
      </c>
      <c r="E20">
        <v>0.55507930000000005</v>
      </c>
      <c r="F20" t="s">
        <v>41</v>
      </c>
      <c r="G20">
        <v>-475.66489999999999</v>
      </c>
      <c r="H20">
        <v>0.93931379999999998</v>
      </c>
      <c r="I20">
        <v>367.12889999999999</v>
      </c>
      <c r="J20">
        <v>-476.33240000000001</v>
      </c>
      <c r="K20">
        <v>1.1092489999999999</v>
      </c>
      <c r="L20">
        <v>367.2176</v>
      </c>
      <c r="M20">
        <v>0.99996070000000004</v>
      </c>
      <c r="N20">
        <v>0</v>
      </c>
      <c r="O20">
        <v>2.1596079999999999E-3</v>
      </c>
      <c r="P20">
        <v>0.99892060000000005</v>
      </c>
      <c r="Q20">
        <v>-4.2783099999999998E-2</v>
      </c>
      <c r="R20">
        <v>1.8094280000000001E-2</v>
      </c>
      <c r="S20">
        <v>2.9770810000000001</v>
      </c>
      <c r="T20">
        <v>-0.73628879999999997</v>
      </c>
      <c r="U20">
        <v>-0.38110349999999998</v>
      </c>
      <c r="V20">
        <v>-1.5937170000000001E-2</v>
      </c>
      <c r="W20">
        <v>-3.4185170000000001E-2</v>
      </c>
      <c r="X20">
        <v>0.99928839999999997</v>
      </c>
      <c r="Y20">
        <v>0.12533759999999999</v>
      </c>
      <c r="Z20">
        <v>-1.573397E-2</v>
      </c>
      <c r="AA20">
        <v>0.99198940000000002</v>
      </c>
      <c r="AB20">
        <v>2</v>
      </c>
      <c r="AC20">
        <v>0.66750000000001797</v>
      </c>
      <c r="AD20">
        <v>-0.16993519999999901</v>
      </c>
      <c r="AE20">
        <v>-8.8700000000017099E-2</v>
      </c>
      <c r="AF20">
        <v>8.4744142220868804E-2</v>
      </c>
      <c r="AG20">
        <v>-0.16993519999999901</v>
      </c>
      <c r="AH20">
        <v>0.62735167870783304</v>
      </c>
      <c r="AI20">
        <v>105.026182388329</v>
      </c>
      <c r="AJ20">
        <v>82.306918139639095</v>
      </c>
      <c r="AK20">
        <v>0.65546141809974401</v>
      </c>
      <c r="AL20">
        <v>91.959047727869802</v>
      </c>
      <c r="AM20">
        <v>90.913705362907905</v>
      </c>
      <c r="AN20">
        <v>0.99999996280504799</v>
      </c>
    </row>
    <row r="21" spans="1:40" x14ac:dyDescent="0.25">
      <c r="A21" t="str">
        <f>"20190312151501045"</f>
        <v>20190312151501045</v>
      </c>
      <c r="B21" t="str">
        <f>"1552374901037750"</f>
        <v>1552374901037750</v>
      </c>
      <c r="C21" t="s">
        <v>40</v>
      </c>
      <c r="D21">
        <v>4.5955940000000002</v>
      </c>
      <c r="E21">
        <v>0.55660559999999903</v>
      </c>
      <c r="F21" t="s">
        <v>41</v>
      </c>
      <c r="G21">
        <v>-475.64400000000001</v>
      </c>
      <c r="H21">
        <v>0.93906579999999995</v>
      </c>
      <c r="I21">
        <v>367.12819999999999</v>
      </c>
      <c r="J21">
        <v>-476.30849999999998</v>
      </c>
      <c r="K21">
        <v>1.108992</v>
      </c>
      <c r="L21">
        <v>367.21780000000001</v>
      </c>
      <c r="M21">
        <v>0.99996949999999996</v>
      </c>
      <c r="N21">
        <v>0</v>
      </c>
      <c r="O21">
        <v>2.390157E-3</v>
      </c>
      <c r="P21">
        <v>0.99897740000000002</v>
      </c>
      <c r="Q21">
        <v>-4.1081920000000001E-2</v>
      </c>
      <c r="R21">
        <v>1.8881200000000001E-2</v>
      </c>
      <c r="S21">
        <v>2.9786990000000002</v>
      </c>
      <c r="T21">
        <v>-0.73636789999999996</v>
      </c>
      <c r="U21">
        <v>-0.38635249999999999</v>
      </c>
      <c r="V21">
        <v>-1.6490689999999999E-2</v>
      </c>
      <c r="W21">
        <v>-3.3633040000000003E-2</v>
      </c>
      <c r="X21">
        <v>0.99929820000000003</v>
      </c>
      <c r="Y21">
        <v>0.127161</v>
      </c>
      <c r="Z21">
        <v>-1.6002780000000001E-2</v>
      </c>
      <c r="AA21">
        <v>0.991753</v>
      </c>
      <c r="AB21">
        <v>2</v>
      </c>
      <c r="AC21">
        <v>0.664499999999975</v>
      </c>
      <c r="AD21">
        <v>-0.169926199999999</v>
      </c>
      <c r="AE21">
        <v>-8.9600000000018498E-2</v>
      </c>
      <c r="AF21">
        <v>8.5684914976256604E-2</v>
      </c>
      <c r="AG21">
        <v>-0.169926199999999</v>
      </c>
      <c r="AH21">
        <v>0.62419488548761204</v>
      </c>
      <c r="AI21">
        <v>105.093731916685</v>
      </c>
      <c r="AJ21">
        <v>82.183705764391505</v>
      </c>
      <c r="AK21">
        <v>0.65256116431321698</v>
      </c>
      <c r="AL21">
        <v>91.927394716738604</v>
      </c>
      <c r="AM21">
        <v>90.945424682844802</v>
      </c>
      <c r="AN21">
        <v>1.00000000837977</v>
      </c>
    </row>
    <row r="22" spans="1:40" x14ac:dyDescent="0.25">
      <c r="A22" t="str">
        <f>"20190312151501068"</f>
        <v>20190312151501068</v>
      </c>
      <c r="B22" t="str">
        <f>"1552374901058246"</f>
        <v>1552374901058246</v>
      </c>
      <c r="C22" t="s">
        <v>40</v>
      </c>
      <c r="D22">
        <v>4.6089960000000003</v>
      </c>
      <c r="E22">
        <v>0.55725179999999996</v>
      </c>
      <c r="F22" t="s">
        <v>41</v>
      </c>
      <c r="G22">
        <v>-475.62079999999997</v>
      </c>
      <c r="H22">
        <v>0.94029260000000003</v>
      </c>
      <c r="I22">
        <v>367.12610000000001</v>
      </c>
      <c r="J22">
        <v>-476.28460000000001</v>
      </c>
      <c r="K22">
        <v>1.1091150000000001</v>
      </c>
      <c r="L22">
        <v>367.21809999999999</v>
      </c>
      <c r="M22">
        <v>0.99996779999999996</v>
      </c>
      <c r="N22">
        <v>0</v>
      </c>
      <c r="O22">
        <v>2.5882140000000001E-3</v>
      </c>
      <c r="P22">
        <v>0.99898549999999997</v>
      </c>
      <c r="Q22">
        <v>-4.0642480000000002E-2</v>
      </c>
      <c r="R22">
        <v>1.9405539999999999E-2</v>
      </c>
      <c r="S22">
        <v>2.980499</v>
      </c>
      <c r="T22">
        <v>-0.73134719999999998</v>
      </c>
      <c r="U22">
        <v>-0.39608759999999998</v>
      </c>
      <c r="V22">
        <v>-1.681647E-2</v>
      </c>
      <c r="W22">
        <v>-3.3045110000000003E-2</v>
      </c>
      <c r="X22">
        <v>0.99931239999999999</v>
      </c>
      <c r="Y22">
        <v>0.1304216</v>
      </c>
      <c r="Z22">
        <v>-1.632455E-2</v>
      </c>
      <c r="AA22">
        <v>0.99132419999999999</v>
      </c>
      <c r="AB22">
        <v>2</v>
      </c>
      <c r="AC22">
        <v>0.66380000000003703</v>
      </c>
      <c r="AD22">
        <v>-0.16882240000000001</v>
      </c>
      <c r="AE22">
        <v>-9.1999999999984497E-2</v>
      </c>
      <c r="AF22">
        <v>8.81250911953875E-2</v>
      </c>
      <c r="AG22">
        <v>-0.16882240000000001</v>
      </c>
      <c r="AH22">
        <v>0.62396104429209698</v>
      </c>
      <c r="AI22">
        <v>104.997733429671</v>
      </c>
      <c r="AJ22">
        <v>81.961005581404905</v>
      </c>
      <c r="AK22">
        <v>0.65237597996403895</v>
      </c>
      <c r="AL22">
        <v>91.893690044962</v>
      </c>
      <c r="AM22">
        <v>90.9640847272846</v>
      </c>
      <c r="AN22">
        <v>1.00000002287596</v>
      </c>
    </row>
    <row r="23" spans="1:40" x14ac:dyDescent="0.25">
      <c r="A23" t="str">
        <f>"20190312151501090"</f>
        <v>20190312151501090</v>
      </c>
      <c r="B23" t="str">
        <f>"1552374901077766"</f>
        <v>1552374901077766</v>
      </c>
      <c r="C23" t="s">
        <v>40</v>
      </c>
      <c r="D23">
        <v>4.5216599999999998</v>
      </c>
      <c r="E23">
        <v>0.5569904</v>
      </c>
      <c r="F23" t="s">
        <v>41</v>
      </c>
      <c r="G23">
        <v>-475.60109999999997</v>
      </c>
      <c r="H23">
        <v>0.94140360000000001</v>
      </c>
      <c r="I23">
        <v>367.12630000000001</v>
      </c>
      <c r="J23">
        <v>-476.26659999999998</v>
      </c>
      <c r="K23">
        <v>1.109542</v>
      </c>
      <c r="L23">
        <v>367.2183</v>
      </c>
      <c r="M23">
        <v>0.99995489999999998</v>
      </c>
      <c r="N23">
        <v>0</v>
      </c>
      <c r="O23">
        <v>2.6818290000000002E-3</v>
      </c>
      <c r="P23">
        <v>0.99890849999999998</v>
      </c>
      <c r="Q23">
        <v>-4.2263050000000003E-2</v>
      </c>
      <c r="R23">
        <v>1.9895099999999999E-2</v>
      </c>
      <c r="S23">
        <v>2.9810490000000001</v>
      </c>
      <c r="T23">
        <v>-0.73154619999999904</v>
      </c>
      <c r="U23">
        <v>-0.39965820000000002</v>
      </c>
      <c r="V23">
        <v>-1.721524E-2</v>
      </c>
      <c r="W23">
        <v>-3.3158300000000002E-2</v>
      </c>
      <c r="X23">
        <v>0.99930189999999997</v>
      </c>
      <c r="Y23">
        <v>0.1316194</v>
      </c>
      <c r="Z23">
        <v>-1.6491490000000001E-2</v>
      </c>
      <c r="AA23">
        <v>0.99116309999999996</v>
      </c>
      <c r="AB23">
        <v>3</v>
      </c>
      <c r="AC23">
        <v>0.66550000000000797</v>
      </c>
      <c r="AD23">
        <v>-0.16813839999999999</v>
      </c>
      <c r="AE23">
        <v>-9.1999999999984497E-2</v>
      </c>
      <c r="AF23">
        <v>8.8256560864581599E-2</v>
      </c>
      <c r="AG23">
        <v>-0.16813839999999999</v>
      </c>
      <c r="AH23">
        <v>0.62603898804399005</v>
      </c>
      <c r="AI23">
        <v>104.892819430401</v>
      </c>
      <c r="AJ23">
        <v>81.975543325975096</v>
      </c>
      <c r="AK23">
        <v>0.654205286314125</v>
      </c>
      <c r="AL23">
        <v>91.900178835046901</v>
      </c>
      <c r="AM23">
        <v>90.986952026946</v>
      </c>
      <c r="AN23">
        <v>1.00000006234537</v>
      </c>
    </row>
    <row r="24" spans="1:40" x14ac:dyDescent="0.25">
      <c r="A24" t="str">
        <f>"20190312151501125"</f>
        <v>20190312151501125</v>
      </c>
      <c r="B24" t="str">
        <f>"1552374901117782"</f>
        <v>1552374901117782</v>
      </c>
      <c r="C24" t="s">
        <v>40</v>
      </c>
      <c r="D24">
        <v>4.6409900000000004</v>
      </c>
      <c r="E24">
        <v>0.5579944</v>
      </c>
      <c r="F24" t="s">
        <v>41</v>
      </c>
      <c r="G24">
        <v>-475.58370000000002</v>
      </c>
      <c r="H24">
        <v>0.94490090000000004</v>
      </c>
      <c r="I24">
        <v>367.12740000000002</v>
      </c>
      <c r="J24">
        <v>-476.24029999999999</v>
      </c>
      <c r="K24">
        <v>1.1098429999999999</v>
      </c>
      <c r="L24">
        <v>367.21859999999998</v>
      </c>
      <c r="M24">
        <v>0.99993810000000005</v>
      </c>
      <c r="N24">
        <v>0</v>
      </c>
      <c r="O24">
        <v>2.7661080000000002E-3</v>
      </c>
      <c r="P24">
        <v>0.99882219999999999</v>
      </c>
      <c r="Q24">
        <v>-4.4361680000000001E-2</v>
      </c>
      <c r="R24">
        <v>1.964776E-2</v>
      </c>
      <c r="S24">
        <v>2.9807130000000002</v>
      </c>
      <c r="T24">
        <v>-0.71877489999999999</v>
      </c>
      <c r="U24">
        <v>-0.39608759999999998</v>
      </c>
      <c r="V24">
        <v>-1.6887639999999999E-2</v>
      </c>
      <c r="W24">
        <v>-3.3596420000000002E-2</v>
      </c>
      <c r="X24">
        <v>0.99929279999999998</v>
      </c>
      <c r="Y24">
        <v>0.1307065</v>
      </c>
      <c r="Z24">
        <v>-1.612647E-2</v>
      </c>
      <c r="AA24">
        <v>0.99128989999999995</v>
      </c>
      <c r="AB24">
        <v>2</v>
      </c>
      <c r="AC24">
        <v>0.65659999999996899</v>
      </c>
      <c r="AD24">
        <v>-0.16494210000000001</v>
      </c>
      <c r="AE24">
        <v>-9.1199999999957898E-2</v>
      </c>
      <c r="AF24">
        <v>8.7593075037498802E-2</v>
      </c>
      <c r="AG24">
        <v>-0.16494210000000001</v>
      </c>
      <c r="AH24">
        <v>0.61807974096318996</v>
      </c>
      <c r="AI24">
        <v>104.800569969964</v>
      </c>
      <c r="AJ24">
        <v>81.933865966391593</v>
      </c>
      <c r="AK24">
        <v>0.645678719903373</v>
      </c>
      <c r="AL24">
        <v>91.9252953635187</v>
      </c>
      <c r="AM24">
        <v>90.968183099418994</v>
      </c>
      <c r="AN24">
        <v>1.00000000597671</v>
      </c>
    </row>
    <row r="25" spans="1:40" x14ac:dyDescent="0.25">
      <c r="A25" t="str">
        <f>"20190312151501147"</f>
        <v>20190312151501147</v>
      </c>
      <c r="B25" t="str">
        <f>"1552374901137303"</f>
        <v>1552374901137303</v>
      </c>
      <c r="C25" t="s">
        <v>40</v>
      </c>
      <c r="D25">
        <v>4.6807480000000004</v>
      </c>
      <c r="E25">
        <v>0.55814960000000002</v>
      </c>
      <c r="F25" t="s">
        <v>41</v>
      </c>
      <c r="G25">
        <v>-475.55410000000001</v>
      </c>
      <c r="H25">
        <v>0.94032720000000003</v>
      </c>
      <c r="I25">
        <v>367.12470000000002</v>
      </c>
      <c r="J25">
        <v>-476.2174</v>
      </c>
      <c r="K25">
        <v>1.1094630000000001</v>
      </c>
      <c r="L25">
        <v>367.21879999999999</v>
      </c>
      <c r="M25">
        <v>0.99994910000000004</v>
      </c>
      <c r="N25">
        <v>0</v>
      </c>
      <c r="O25">
        <v>2.9191270000000001E-3</v>
      </c>
      <c r="P25">
        <v>0.99886140000000001</v>
      </c>
      <c r="Q25">
        <v>-4.3755009999999997E-2</v>
      </c>
      <c r="R25">
        <v>1.9017409999999998E-2</v>
      </c>
      <c r="S25">
        <v>2.97879</v>
      </c>
      <c r="T25">
        <v>-0.73627830000000005</v>
      </c>
      <c r="U25">
        <v>-0.4051208</v>
      </c>
      <c r="V25">
        <v>-1.6102559999999998E-2</v>
      </c>
      <c r="W25">
        <v>-3.4100510000000001E-2</v>
      </c>
      <c r="X25">
        <v>0.99928870000000003</v>
      </c>
      <c r="Y25">
        <v>0.1336174</v>
      </c>
      <c r="Z25">
        <v>-1.6905010000000002E-2</v>
      </c>
      <c r="AA25">
        <v>0.99088880000000001</v>
      </c>
      <c r="AB25">
        <v>1</v>
      </c>
      <c r="AC25">
        <v>0.66329999999999201</v>
      </c>
      <c r="AD25">
        <v>-0.169135799999999</v>
      </c>
      <c r="AE25">
        <v>-9.4099999999969E-2</v>
      </c>
      <c r="AF25">
        <v>9.0281593877784505E-2</v>
      </c>
      <c r="AG25">
        <v>-0.169135799999999</v>
      </c>
      <c r="AH25">
        <v>0.62329500331264398</v>
      </c>
      <c r="AI25">
        <v>105.032379454812</v>
      </c>
      <c r="AJ25">
        <v>81.758272297364201</v>
      </c>
      <c r="AK25">
        <v>0.65211528596503698</v>
      </c>
      <c r="AL25">
        <v>91.954194122320303</v>
      </c>
      <c r="AM25">
        <v>90.92318554629</v>
      </c>
      <c r="AN25">
        <v>1.0000000215842499</v>
      </c>
    </row>
    <row r="26" spans="1:40" x14ac:dyDescent="0.25">
      <c r="A26" t="str">
        <f>"20190312151501169"</f>
        <v>20190312151501169</v>
      </c>
      <c r="B26" t="str">
        <f>"1552374901157798"</f>
        <v>1552374901157798</v>
      </c>
      <c r="C26" t="s">
        <v>40</v>
      </c>
      <c r="D26">
        <v>4.6403319999999999</v>
      </c>
      <c r="E26">
        <v>0.55840690000000004</v>
      </c>
      <c r="F26" t="s">
        <v>41</v>
      </c>
      <c r="G26">
        <v>-475.53190000000001</v>
      </c>
      <c r="H26">
        <v>0.93992810000000004</v>
      </c>
      <c r="I26">
        <v>367.12490000000003</v>
      </c>
      <c r="J26">
        <v>-476.19060000000002</v>
      </c>
      <c r="K26">
        <v>1.1090770000000001</v>
      </c>
      <c r="L26">
        <v>367.21910000000003</v>
      </c>
      <c r="M26">
        <v>0.99996130000000005</v>
      </c>
      <c r="N26">
        <v>0</v>
      </c>
      <c r="O26">
        <v>3.1583370000000002E-3</v>
      </c>
      <c r="P26">
        <v>0.99891669999999999</v>
      </c>
      <c r="Q26">
        <v>-4.264366E-2</v>
      </c>
      <c r="R26">
        <v>1.8624269999999998E-2</v>
      </c>
      <c r="S26">
        <v>2.9789430000000001</v>
      </c>
      <c r="T26">
        <v>-0.73676249999999999</v>
      </c>
      <c r="U26">
        <v>-0.40792850000000003</v>
      </c>
      <c r="V26">
        <v>-1.546817E-2</v>
      </c>
      <c r="W26">
        <v>-3.4425730000000002E-2</v>
      </c>
      <c r="X26">
        <v>0.9992875</v>
      </c>
      <c r="Y26">
        <v>0.13472029999999999</v>
      </c>
      <c r="Z26">
        <v>-1.7105740000000001E-2</v>
      </c>
      <c r="AA26">
        <v>0.99073599999999995</v>
      </c>
      <c r="AB26">
        <v>2</v>
      </c>
      <c r="AC26">
        <v>0.65870000000001006</v>
      </c>
      <c r="AD26">
        <v>-0.16914889999999999</v>
      </c>
      <c r="AE26">
        <v>-9.42000000000007E-2</v>
      </c>
      <c r="AF26">
        <v>9.0435974652308695E-2</v>
      </c>
      <c r="AG26">
        <v>-0.16914889999999999</v>
      </c>
      <c r="AH26">
        <v>0.61843554547761703</v>
      </c>
      <c r="AI26">
        <v>105.143354004778</v>
      </c>
      <c r="AJ26">
        <v>81.680407699544801</v>
      </c>
      <c r="AK26">
        <v>0.64749713496873595</v>
      </c>
      <c r="AL26">
        <v>91.972838941186595</v>
      </c>
      <c r="AM26">
        <v>90.886821944245796</v>
      </c>
      <c r="AN26">
        <v>0.99999995141271403</v>
      </c>
    </row>
    <row r="27" spans="1:40" x14ac:dyDescent="0.25">
      <c r="A27" t="str">
        <f>"20190312151501190"</f>
        <v>20190312151501190</v>
      </c>
      <c r="B27" t="str">
        <f>"1552374901177318"</f>
        <v>1552374901177318</v>
      </c>
      <c r="C27" t="s">
        <v>40</v>
      </c>
      <c r="D27">
        <v>4.5144679999999999</v>
      </c>
      <c r="E27">
        <v>0.55911919999999904</v>
      </c>
      <c r="F27" t="s">
        <v>41</v>
      </c>
      <c r="G27">
        <v>-475.5068</v>
      </c>
      <c r="H27">
        <v>0.94105760000000005</v>
      </c>
      <c r="I27">
        <v>367.1241</v>
      </c>
      <c r="J27">
        <v>-476.16399999999999</v>
      </c>
      <c r="K27">
        <v>1.108889</v>
      </c>
      <c r="L27">
        <v>367.21929999999998</v>
      </c>
      <c r="M27">
        <v>0.99996810000000003</v>
      </c>
      <c r="N27">
        <v>0</v>
      </c>
      <c r="O27">
        <v>3.424355E-3</v>
      </c>
      <c r="P27">
        <v>0.99896289999999999</v>
      </c>
      <c r="Q27">
        <v>-4.1662159999999997E-2</v>
      </c>
      <c r="R27">
        <v>1.836774E-2</v>
      </c>
      <c r="S27">
        <v>2.9796450000000001</v>
      </c>
      <c r="T27">
        <v>-0.73247680000000004</v>
      </c>
      <c r="U27">
        <v>-0.41165160000000001</v>
      </c>
      <c r="V27">
        <v>-1.4943059999999999E-2</v>
      </c>
      <c r="W27">
        <v>-3.4438360000000001E-2</v>
      </c>
      <c r="X27">
        <v>0.99929509999999999</v>
      </c>
      <c r="Y27">
        <v>0.1361665</v>
      </c>
      <c r="Z27">
        <v>-1.7242339999999998E-2</v>
      </c>
      <c r="AA27">
        <v>0.99053590000000002</v>
      </c>
      <c r="AB27">
        <v>3</v>
      </c>
      <c r="AC27">
        <v>0.65719999999998802</v>
      </c>
      <c r="AD27">
        <v>-0.16783139999999999</v>
      </c>
      <c r="AE27">
        <v>-9.5199999999976997E-2</v>
      </c>
      <c r="AF27">
        <v>9.1599073194603101E-2</v>
      </c>
      <c r="AG27">
        <v>-0.16783139999999999</v>
      </c>
      <c r="AH27">
        <v>0.61743154763807795</v>
      </c>
      <c r="AI27">
        <v>105.04969749164</v>
      </c>
      <c r="AJ27">
        <v>81.561432674543596</v>
      </c>
      <c r="AK27">
        <v>0.64635863501219004</v>
      </c>
      <c r="AL27">
        <v>91.973562927674607</v>
      </c>
      <c r="AM27">
        <v>90.856714361097801</v>
      </c>
      <c r="AN27">
        <v>0.99999999628283098</v>
      </c>
    </row>
    <row r="28" spans="1:40" x14ac:dyDescent="0.25">
      <c r="A28" t="str">
        <f>"20190312151501213"</f>
        <v>20190312151501213</v>
      </c>
      <c r="B28" t="str">
        <f>"1552374901207574"</f>
        <v>1552374901207574</v>
      </c>
      <c r="C28" t="s">
        <v>40</v>
      </c>
      <c r="D28">
        <v>4.5842780000000003</v>
      </c>
      <c r="E28">
        <v>0.55939240000000001</v>
      </c>
      <c r="F28" t="s">
        <v>41</v>
      </c>
      <c r="G28">
        <v>-475.48039999999997</v>
      </c>
      <c r="H28">
        <v>0.94207839999999998</v>
      </c>
      <c r="I28">
        <v>367.12299999999999</v>
      </c>
      <c r="J28">
        <v>-476.13760000000002</v>
      </c>
      <c r="K28">
        <v>1.1091770000000001</v>
      </c>
      <c r="L28">
        <v>367.21969999999999</v>
      </c>
      <c r="M28">
        <v>0.99996200000000002</v>
      </c>
      <c r="N28">
        <v>0</v>
      </c>
      <c r="O28">
        <v>3.6375829999999998E-3</v>
      </c>
      <c r="P28">
        <v>0.99893719999999997</v>
      </c>
      <c r="Q28">
        <v>-4.2428149999999998E-2</v>
      </c>
      <c r="R28">
        <v>1.8007530000000001E-2</v>
      </c>
      <c r="S28">
        <v>2.9804689999999998</v>
      </c>
      <c r="T28">
        <v>-0.72749849999999905</v>
      </c>
      <c r="U28">
        <v>-0.41906739999999998</v>
      </c>
      <c r="V28">
        <v>-1.4370269999999999E-2</v>
      </c>
      <c r="W28">
        <v>-3.4505559999999998E-2</v>
      </c>
      <c r="X28">
        <v>0.9993012</v>
      </c>
      <c r="Y28">
        <v>0.13873579999999999</v>
      </c>
      <c r="Z28">
        <v>-1.7479749999999999E-2</v>
      </c>
      <c r="AA28">
        <v>0.99017520000000003</v>
      </c>
      <c r="AB28">
        <v>3</v>
      </c>
      <c r="AC28">
        <v>0.65720000000004497</v>
      </c>
      <c r="AD28">
        <v>-0.16709860000000001</v>
      </c>
      <c r="AE28">
        <v>-9.6699999999941597E-2</v>
      </c>
      <c r="AF28">
        <v>9.3193044615881404E-2</v>
      </c>
      <c r="AG28">
        <v>-0.16709860000000001</v>
      </c>
      <c r="AH28">
        <v>0.617754039507449</v>
      </c>
      <c r="AI28">
        <v>104.974238080589</v>
      </c>
      <c r="AJ28">
        <v>81.421170978160006</v>
      </c>
      <c r="AK28">
        <v>0.64670467681508903</v>
      </c>
      <c r="AL28">
        <v>91.977415460071398</v>
      </c>
      <c r="AM28">
        <v>90.823874797315099</v>
      </c>
      <c r="AN28">
        <v>1.00000001332611</v>
      </c>
    </row>
    <row r="29" spans="1:40" x14ac:dyDescent="0.25">
      <c r="A29" t="str">
        <f>"20190312151501235"</f>
        <v>20190312151501235</v>
      </c>
      <c r="B29" t="str">
        <f>"1552374901228070"</f>
        <v>1552374901228070</v>
      </c>
      <c r="C29" t="s">
        <v>40</v>
      </c>
      <c r="D29">
        <v>4.8936019999999996</v>
      </c>
      <c r="E29">
        <v>0.55972239999999995</v>
      </c>
      <c r="F29" t="s">
        <v>41</v>
      </c>
      <c r="G29">
        <v>-475.44119999999998</v>
      </c>
      <c r="H29">
        <v>0.93867389999999995</v>
      </c>
      <c r="I29">
        <v>367.12110000000001</v>
      </c>
      <c r="J29">
        <v>-476.11630000000002</v>
      </c>
      <c r="K29">
        <v>1.109604</v>
      </c>
      <c r="L29">
        <v>367.22</v>
      </c>
      <c r="M29">
        <v>0.99994839999999996</v>
      </c>
      <c r="N29">
        <v>0</v>
      </c>
      <c r="O29">
        <v>3.7426400000000002E-3</v>
      </c>
      <c r="P29">
        <v>0.99887680000000001</v>
      </c>
      <c r="Q29">
        <v>-4.3907519999999998E-2</v>
      </c>
      <c r="R29">
        <v>1.7826560000000002E-2</v>
      </c>
      <c r="S29">
        <v>2.9798580000000001</v>
      </c>
      <c r="T29">
        <v>-0.72945389999999999</v>
      </c>
      <c r="U29">
        <v>-0.42205809999999999</v>
      </c>
      <c r="V29">
        <v>-1.408677E-2</v>
      </c>
      <c r="W29">
        <v>-3.4458219999999998E-2</v>
      </c>
      <c r="X29">
        <v>0.9993069</v>
      </c>
      <c r="Y29">
        <v>0.13978589999999999</v>
      </c>
      <c r="Z29">
        <v>-1.7678989999999999E-2</v>
      </c>
      <c r="AA29">
        <v>0.99002389999999996</v>
      </c>
      <c r="AB29">
        <v>2</v>
      </c>
      <c r="AC29">
        <v>0.675100000000043</v>
      </c>
      <c r="AD29">
        <v>-0.1709301</v>
      </c>
      <c r="AE29">
        <v>-9.8900000000014601E-2</v>
      </c>
      <c r="AF29">
        <v>9.5436534246560303E-2</v>
      </c>
      <c r="AG29">
        <v>-0.1709301</v>
      </c>
      <c r="AH29">
        <v>0.63488038042235895</v>
      </c>
      <c r="AI29">
        <v>104.90862882968401</v>
      </c>
      <c r="AJ29">
        <v>81.451187942240296</v>
      </c>
      <c r="AK29">
        <v>0.66437815180832405</v>
      </c>
      <c r="AL29">
        <v>91.974701404935999</v>
      </c>
      <c r="AM29">
        <v>90.807618773818405</v>
      </c>
      <c r="AN29">
        <v>1.0000000432011</v>
      </c>
    </row>
    <row r="30" spans="1:40" x14ac:dyDescent="0.25">
      <c r="A30" t="str">
        <f>"20190312151501257"</f>
        <v>20190312151501257</v>
      </c>
      <c r="B30" t="str">
        <f>"1552374901247590"</f>
        <v>1552374901247590</v>
      </c>
      <c r="C30" t="s">
        <v>40</v>
      </c>
      <c r="D30">
        <v>4.5665449999999996</v>
      </c>
      <c r="E30">
        <v>0.56049640000000001</v>
      </c>
      <c r="F30" t="s">
        <v>41</v>
      </c>
      <c r="G30">
        <v>-475.41890000000001</v>
      </c>
      <c r="H30">
        <v>0.93653629999999999</v>
      </c>
      <c r="I30">
        <v>367.1198</v>
      </c>
      <c r="J30">
        <v>-476.09030000000001</v>
      </c>
      <c r="K30">
        <v>1.1094379999999999</v>
      </c>
      <c r="L30">
        <v>367.22030000000001</v>
      </c>
      <c r="M30">
        <v>0.99995230000000002</v>
      </c>
      <c r="N30">
        <v>0</v>
      </c>
      <c r="O30">
        <v>3.9116860000000002E-3</v>
      </c>
      <c r="P30">
        <v>0.99889479999999997</v>
      </c>
      <c r="Q30">
        <v>-4.3007139999999999E-2</v>
      </c>
      <c r="R30">
        <v>1.8964089999999999E-2</v>
      </c>
      <c r="S30">
        <v>2.9784549999999999</v>
      </c>
      <c r="T30">
        <v>-0.73953579999999997</v>
      </c>
      <c r="U30">
        <v>-0.42544559999999998</v>
      </c>
      <c r="V30">
        <v>-1.505475E-2</v>
      </c>
      <c r="W30">
        <v>-3.4063969999999999E-2</v>
      </c>
      <c r="X30">
        <v>0.99930629999999998</v>
      </c>
      <c r="Y30">
        <v>0.14096420000000001</v>
      </c>
      <c r="Z30">
        <v>-1.8107600000000001E-2</v>
      </c>
      <c r="AA30">
        <v>0.98984910000000004</v>
      </c>
      <c r="AB30">
        <v>2</v>
      </c>
      <c r="AC30">
        <v>0.67140000000000499</v>
      </c>
      <c r="AD30">
        <v>-0.17290169999999899</v>
      </c>
      <c r="AE30">
        <v>-0.10050000000001</v>
      </c>
      <c r="AF30">
        <v>9.6843838714116101E-2</v>
      </c>
      <c r="AG30">
        <v>-0.17290169999999899</v>
      </c>
      <c r="AH30">
        <v>0.63012827091651802</v>
      </c>
      <c r="AI30">
        <v>105.174010982719</v>
      </c>
      <c r="AJ30">
        <v>81.262629131048897</v>
      </c>
      <c r="AK30">
        <v>0.66055685960257504</v>
      </c>
      <c r="AL30">
        <v>91.952099280852295</v>
      </c>
      <c r="AM30">
        <v>90.863107126273604</v>
      </c>
      <c r="AN30">
        <v>1.0000000403847</v>
      </c>
    </row>
    <row r="31" spans="1:40" x14ac:dyDescent="0.25">
      <c r="A31" t="str">
        <f>"20190312151501280"</f>
        <v>20190312151501280</v>
      </c>
      <c r="B31" t="str">
        <f>"1552374901277377"</f>
        <v>1552374901277377</v>
      </c>
      <c r="C31" t="s">
        <v>40</v>
      </c>
      <c r="D31">
        <v>4.8911340000000001</v>
      </c>
      <c r="E31">
        <v>0.56092549999999997</v>
      </c>
      <c r="F31" t="s">
        <v>41</v>
      </c>
      <c r="G31">
        <v>-475.39150000000001</v>
      </c>
      <c r="H31">
        <v>0.93613239999999998</v>
      </c>
      <c r="I31">
        <v>367.11950000000002</v>
      </c>
      <c r="J31">
        <v>-476.05849999999998</v>
      </c>
      <c r="K31">
        <v>1.1091150000000001</v>
      </c>
      <c r="L31">
        <v>367.22070000000002</v>
      </c>
      <c r="M31">
        <v>0.99996130000000005</v>
      </c>
      <c r="N31">
        <v>0</v>
      </c>
      <c r="O31">
        <v>4.1673730000000003E-3</v>
      </c>
      <c r="P31">
        <v>0.99895829999999997</v>
      </c>
      <c r="Q31">
        <v>-4.0953080000000003E-2</v>
      </c>
      <c r="R31">
        <v>2.0130410000000001E-2</v>
      </c>
      <c r="S31">
        <v>2.9796450000000001</v>
      </c>
      <c r="T31">
        <v>-0.73924259999999997</v>
      </c>
      <c r="U31">
        <v>-0.42901610000000001</v>
      </c>
      <c r="V31">
        <v>-1.596438E-2</v>
      </c>
      <c r="W31">
        <v>-3.3198989999999998E-2</v>
      </c>
      <c r="X31">
        <v>0.99932129999999997</v>
      </c>
      <c r="Y31">
        <v>0.14228469999999999</v>
      </c>
      <c r="Z31">
        <v>-1.831495E-2</v>
      </c>
      <c r="AA31">
        <v>0.98965630000000004</v>
      </c>
      <c r="AB31">
        <v>3</v>
      </c>
      <c r="AC31">
        <v>0.66699999999997295</v>
      </c>
      <c r="AD31">
        <v>-0.17298259999999999</v>
      </c>
      <c r="AE31">
        <v>-0.10120000000000499</v>
      </c>
      <c r="AF31">
        <v>9.7564380232914694E-2</v>
      </c>
      <c r="AG31">
        <v>-0.17298259999999999</v>
      </c>
      <c r="AH31">
        <v>0.62545155474548497</v>
      </c>
      <c r="AI31">
        <v>105.283930761931</v>
      </c>
      <c r="AJ31">
        <v>81.133866112910994</v>
      </c>
      <c r="AK31">
        <v>0.656225140882713</v>
      </c>
      <c r="AL31">
        <v>91.902511512694304</v>
      </c>
      <c r="AM31">
        <v>90.915234966305405</v>
      </c>
      <c r="AN31">
        <v>1.0000000474997399</v>
      </c>
    </row>
    <row r="32" spans="1:40" x14ac:dyDescent="0.25">
      <c r="A32" t="str">
        <f>"20190312151501302"</f>
        <v>20190312151501302</v>
      </c>
      <c r="B32" t="str">
        <f>"1552374901297874"</f>
        <v>1552374901297874</v>
      </c>
      <c r="C32" t="s">
        <v>40</v>
      </c>
      <c r="D32">
        <v>4.8157220000000001</v>
      </c>
      <c r="E32">
        <v>0.56082109999999996</v>
      </c>
      <c r="F32" t="s">
        <v>41</v>
      </c>
      <c r="G32">
        <v>-475.36309999999997</v>
      </c>
      <c r="H32">
        <v>0.93763799999999997</v>
      </c>
      <c r="I32">
        <v>367.12040000000002</v>
      </c>
      <c r="J32">
        <v>-476.0299</v>
      </c>
      <c r="K32">
        <v>1.1091789999999999</v>
      </c>
      <c r="L32">
        <v>367.22109999999998</v>
      </c>
      <c r="M32">
        <v>0.99995959999999995</v>
      </c>
      <c r="N32">
        <v>0</v>
      </c>
      <c r="O32">
        <v>4.3824160000000001E-3</v>
      </c>
      <c r="P32">
        <v>0.99894090000000002</v>
      </c>
      <c r="Q32">
        <v>-4.0878190000000002E-2</v>
      </c>
      <c r="R32">
        <v>2.1121979999999999E-2</v>
      </c>
      <c r="S32">
        <v>2.9815670000000001</v>
      </c>
      <c r="T32">
        <v>-0.73547580000000001</v>
      </c>
      <c r="U32">
        <v>-0.42907709999999999</v>
      </c>
      <c r="V32">
        <v>-1.6742139999999999E-2</v>
      </c>
      <c r="W32">
        <v>-3.3031360000000003E-2</v>
      </c>
      <c r="X32">
        <v>0.99931409999999998</v>
      </c>
      <c r="Y32">
        <v>0.1424646</v>
      </c>
      <c r="Z32">
        <v>-1.8286770000000001E-2</v>
      </c>
      <c r="AA32">
        <v>0.98963089999999998</v>
      </c>
      <c r="AB32">
        <v>3</v>
      </c>
      <c r="AC32">
        <v>0.66680000000002304</v>
      </c>
      <c r="AD32">
        <v>-0.171541</v>
      </c>
      <c r="AE32">
        <v>-0.10069999999996</v>
      </c>
      <c r="AF32">
        <v>9.7323791072461599E-2</v>
      </c>
      <c r="AG32">
        <v>-0.171541</v>
      </c>
      <c r="AH32">
        <v>0.62585509191631195</v>
      </c>
      <c r="AI32">
        <v>105.15418402711499</v>
      </c>
      <c r="AJ32">
        <v>81.160996215675894</v>
      </c>
      <c r="AK32">
        <v>0.65619572618791999</v>
      </c>
      <c r="AL32">
        <v>91.892901802714505</v>
      </c>
      <c r="AM32">
        <v>90.959822570298201</v>
      </c>
      <c r="AN32">
        <v>1.0000000202270101</v>
      </c>
    </row>
    <row r="33" spans="1:40" x14ac:dyDescent="0.25">
      <c r="A33" t="str">
        <f>"20190312151501326"</f>
        <v>20190312151501326</v>
      </c>
      <c r="B33" t="str">
        <f>"1552374901317394"</f>
        <v>1552374901317394</v>
      </c>
      <c r="C33" t="s">
        <v>40</v>
      </c>
      <c r="D33">
        <v>4.7683910000000003</v>
      </c>
      <c r="E33">
        <v>0.56073399999999995</v>
      </c>
      <c r="F33" t="s">
        <v>41</v>
      </c>
      <c r="G33">
        <v>-475.33920000000001</v>
      </c>
      <c r="H33">
        <v>0.93826200000000004</v>
      </c>
      <c r="I33">
        <v>367.12240000000003</v>
      </c>
      <c r="J33">
        <v>-476.00450000000001</v>
      </c>
      <c r="K33">
        <v>1.1096269999999999</v>
      </c>
      <c r="L33">
        <v>367.22140000000002</v>
      </c>
      <c r="M33">
        <v>0.99994439999999996</v>
      </c>
      <c r="N33">
        <v>0</v>
      </c>
      <c r="O33">
        <v>4.5342610000000004E-3</v>
      </c>
      <c r="P33">
        <v>0.99886629999999998</v>
      </c>
      <c r="Q33">
        <v>-4.2165750000000002E-2</v>
      </c>
      <c r="R33">
        <v>2.2102730000000001E-2</v>
      </c>
      <c r="S33">
        <v>2.9819640000000001</v>
      </c>
      <c r="T33">
        <v>-0.73794479999999996</v>
      </c>
      <c r="U33">
        <v>-0.42517090000000002</v>
      </c>
      <c r="V33">
        <v>-1.757483E-2</v>
      </c>
      <c r="W33">
        <v>-3.2636510000000001E-2</v>
      </c>
      <c r="X33">
        <v>0.9993128</v>
      </c>
      <c r="Y33">
        <v>0.1413266</v>
      </c>
      <c r="Z33">
        <v>-1.8244469999999999E-2</v>
      </c>
      <c r="AA33">
        <v>0.98979490000000003</v>
      </c>
      <c r="AB33">
        <v>3</v>
      </c>
      <c r="AC33">
        <v>0.665300000000002</v>
      </c>
      <c r="AD33">
        <v>-0.17136499999999999</v>
      </c>
      <c r="AE33">
        <v>-9.8999999999989499E-2</v>
      </c>
      <c r="AF33">
        <v>9.57977329451664E-2</v>
      </c>
      <c r="AG33">
        <v>-0.17136499999999999</v>
      </c>
      <c r="AH33">
        <v>0.62432088919099904</v>
      </c>
      <c r="AI33">
        <v>105.17934399116101</v>
      </c>
      <c r="AJ33">
        <v>81.276398410355597</v>
      </c>
      <c r="AK33">
        <v>0.65446141333364605</v>
      </c>
      <c r="AL33">
        <v>91.870266314816703</v>
      </c>
      <c r="AM33">
        <v>91.007552175964506</v>
      </c>
      <c r="AN33">
        <v>1.0000000443391699</v>
      </c>
    </row>
    <row r="34" spans="1:40" x14ac:dyDescent="0.25">
      <c r="A34" t="str">
        <f>"20190312151501348"</f>
        <v>20190312151501348</v>
      </c>
      <c r="B34" t="str">
        <f>"1552374901337889"</f>
        <v>1552374901337889</v>
      </c>
      <c r="C34" t="s">
        <v>40</v>
      </c>
      <c r="D34">
        <v>4.7709729999999997</v>
      </c>
      <c r="E34">
        <v>0.56079190000000001</v>
      </c>
      <c r="F34" t="s">
        <v>41</v>
      </c>
      <c r="G34">
        <v>-475.31900000000002</v>
      </c>
      <c r="H34">
        <v>0.93879939999999995</v>
      </c>
      <c r="I34">
        <v>367.12389999999999</v>
      </c>
      <c r="J34">
        <v>-475.97859999999997</v>
      </c>
      <c r="K34">
        <v>1.10971</v>
      </c>
      <c r="L34">
        <v>367.2217</v>
      </c>
      <c r="M34">
        <v>0.99993840000000001</v>
      </c>
      <c r="N34">
        <v>0</v>
      </c>
      <c r="O34">
        <v>4.6826059999999997E-3</v>
      </c>
      <c r="P34">
        <v>0.99882780000000004</v>
      </c>
      <c r="Q34">
        <v>-4.2691819999999998E-2</v>
      </c>
      <c r="R34">
        <v>2.2812120000000002E-2</v>
      </c>
      <c r="S34">
        <v>2.9813540000000001</v>
      </c>
      <c r="T34">
        <v>-0.74326680000000001</v>
      </c>
      <c r="U34">
        <v>-0.42163089999999998</v>
      </c>
      <c r="V34">
        <v>-1.8136159999999998E-2</v>
      </c>
      <c r="W34">
        <v>-3.2628619999999997E-2</v>
      </c>
      <c r="X34">
        <v>0.99930300000000005</v>
      </c>
      <c r="Y34">
        <v>0.1403114</v>
      </c>
      <c r="Z34">
        <v>-1.8289509999999998E-2</v>
      </c>
      <c r="AA34">
        <v>0.98993850000000005</v>
      </c>
      <c r="AB34">
        <v>3</v>
      </c>
      <c r="AC34">
        <v>0.659599999999954</v>
      </c>
      <c r="AD34">
        <v>-0.170910599999999</v>
      </c>
      <c r="AE34">
        <v>-9.7800000000006507E-2</v>
      </c>
      <c r="AF34">
        <v>9.4668483779194304E-2</v>
      </c>
      <c r="AG34">
        <v>-0.170910599999999</v>
      </c>
      <c r="AH34">
        <v>0.61850227137527702</v>
      </c>
      <c r="AI34">
        <v>105.27759047054499</v>
      </c>
      <c r="AJ34">
        <v>81.297797139759894</v>
      </c>
      <c r="AK34">
        <v>0.64862748531787295</v>
      </c>
      <c r="AL34">
        <v>91.869814062364</v>
      </c>
      <c r="AM34">
        <v>91.039736054345894</v>
      </c>
      <c r="AN34">
        <v>1.00000001647582</v>
      </c>
    </row>
    <row r="35" spans="1:40" x14ac:dyDescent="0.25">
      <c r="A35" t="str">
        <f>"20190312151501371"</f>
        <v>20190312151501371</v>
      </c>
      <c r="B35" t="str">
        <f>"1552374901368146"</f>
        <v>1552374901368146</v>
      </c>
      <c r="C35" t="s">
        <v>40</v>
      </c>
      <c r="D35">
        <v>4.7827780000000004</v>
      </c>
      <c r="E35">
        <v>0.56117569999999894</v>
      </c>
      <c r="F35" t="s">
        <v>41</v>
      </c>
      <c r="G35">
        <v>-475.29520000000002</v>
      </c>
      <c r="H35">
        <v>0.93758710000000001</v>
      </c>
      <c r="I35">
        <v>367.12509999999997</v>
      </c>
      <c r="J35">
        <v>-475.94749999999999</v>
      </c>
      <c r="K35">
        <v>1.1093729999999999</v>
      </c>
      <c r="L35">
        <v>367.22210000000001</v>
      </c>
      <c r="M35">
        <v>0.99994749999999999</v>
      </c>
      <c r="N35">
        <v>0</v>
      </c>
      <c r="O35">
        <v>4.9000290000000002E-3</v>
      </c>
      <c r="P35">
        <v>0.9988823</v>
      </c>
      <c r="Q35">
        <v>-4.1044820000000003E-2</v>
      </c>
      <c r="R35">
        <v>2.3444240000000002E-2</v>
      </c>
      <c r="S35">
        <v>2.980988</v>
      </c>
      <c r="T35">
        <v>-0.75096509999999905</v>
      </c>
      <c r="U35">
        <v>-0.42001339999999998</v>
      </c>
      <c r="V35">
        <v>-1.8548680000000001E-2</v>
      </c>
      <c r="W35">
        <v>-3.206142E-2</v>
      </c>
      <c r="X35">
        <v>0.99931380000000003</v>
      </c>
      <c r="Y35">
        <v>0.139931</v>
      </c>
      <c r="Z35">
        <v>-1.848286E-2</v>
      </c>
      <c r="AA35">
        <v>0.98998869999999894</v>
      </c>
      <c r="AB35">
        <v>2</v>
      </c>
      <c r="AC35">
        <v>0.65229999999996802</v>
      </c>
      <c r="AD35">
        <v>-0.17178589999999999</v>
      </c>
      <c r="AE35">
        <v>-9.7000000000036807E-2</v>
      </c>
      <c r="AF35">
        <v>9.3828526662125294E-2</v>
      </c>
      <c r="AG35">
        <v>-0.17178589999999999</v>
      </c>
      <c r="AH35">
        <v>0.61039831779627496</v>
      </c>
      <c r="AI35">
        <v>105.544720759383</v>
      </c>
      <c r="AJ35">
        <v>81.2610733119527</v>
      </c>
      <c r="AK35">
        <v>0.641015049919202</v>
      </c>
      <c r="AL35">
        <v>91.837298859190497</v>
      </c>
      <c r="AM35">
        <v>91.063368738713507</v>
      </c>
      <c r="AN35">
        <v>1.0000000295262901</v>
      </c>
    </row>
    <row r="36" spans="1:40" x14ac:dyDescent="0.25">
      <c r="A36" t="str">
        <f>"20190312151501392"</f>
        <v>20190312151501392</v>
      </c>
      <c r="B36" t="str">
        <f>"1552374901387666"</f>
        <v>1552374901387666</v>
      </c>
      <c r="C36" t="s">
        <v>40</v>
      </c>
      <c r="D36">
        <v>4.6824190000000003</v>
      </c>
      <c r="E36">
        <v>0.56105689999999997</v>
      </c>
      <c r="F36" t="s">
        <v>41</v>
      </c>
      <c r="G36">
        <v>-475.26650000000001</v>
      </c>
      <c r="H36">
        <v>0.93833549999999999</v>
      </c>
      <c r="I36">
        <v>367.12569999999999</v>
      </c>
      <c r="J36">
        <v>-475.91460000000001</v>
      </c>
      <c r="K36">
        <v>1.109057</v>
      </c>
      <c r="L36">
        <v>367.22239999999999</v>
      </c>
      <c r="M36">
        <v>0.99995710000000004</v>
      </c>
      <c r="N36">
        <v>0</v>
      </c>
      <c r="O36">
        <v>5.171124E-3</v>
      </c>
      <c r="P36">
        <v>0.998942</v>
      </c>
      <c r="Q36">
        <v>-3.9702649999999999E-2</v>
      </c>
      <c r="R36">
        <v>2.3211180000000001E-2</v>
      </c>
      <c r="S36">
        <v>2.9824519999999999</v>
      </c>
      <c r="T36">
        <v>-0.74938450000000001</v>
      </c>
      <c r="U36">
        <v>-0.42053220000000002</v>
      </c>
      <c r="V36">
        <v>-1.8041689999999999E-2</v>
      </c>
      <c r="W36">
        <v>-3.2016200000000002E-2</v>
      </c>
      <c r="X36">
        <v>0.99932449999999995</v>
      </c>
      <c r="Y36">
        <v>0.14030390000000001</v>
      </c>
      <c r="Z36">
        <v>-1.854888E-2</v>
      </c>
      <c r="AA36">
        <v>0.98993469999999995</v>
      </c>
      <c r="AB36">
        <v>3</v>
      </c>
      <c r="AC36">
        <v>0.64809999999999901</v>
      </c>
      <c r="AD36">
        <v>-0.170721499999999</v>
      </c>
      <c r="AE36">
        <v>-9.6699999999998398E-2</v>
      </c>
      <c r="AF36">
        <v>9.3690661558766999E-2</v>
      </c>
      <c r="AG36">
        <v>-0.170721499999999</v>
      </c>
      <c r="AH36">
        <v>0.60642805038665804</v>
      </c>
      <c r="AI36">
        <v>105.54757610655</v>
      </c>
      <c r="AJ36">
        <v>81.217473033386796</v>
      </c>
      <c r="AK36">
        <v>0.63692915690940999</v>
      </c>
      <c r="AL36">
        <v>91.834706671240198</v>
      </c>
      <c r="AM36">
        <v>91.034299072870496</v>
      </c>
      <c r="AN36">
        <v>0.99999999797037298</v>
      </c>
    </row>
    <row r="37" spans="1:40" x14ac:dyDescent="0.25">
      <c r="A37" t="str">
        <f>"20190312151501414"</f>
        <v>20190312151501414</v>
      </c>
      <c r="B37" t="str">
        <f>"1552374901408162"</f>
        <v>1552374901408162</v>
      </c>
      <c r="C37" t="s">
        <v>40</v>
      </c>
      <c r="D37">
        <v>4.6890609999999997</v>
      </c>
      <c r="E37">
        <v>0.56084889999999998</v>
      </c>
      <c r="F37" t="s">
        <v>41</v>
      </c>
      <c r="G37">
        <v>-475.23520000000002</v>
      </c>
      <c r="H37">
        <v>0.93959280000000001</v>
      </c>
      <c r="I37">
        <v>367.1266</v>
      </c>
      <c r="J37">
        <v>-475.8809</v>
      </c>
      <c r="K37">
        <v>1.1089979999999999</v>
      </c>
      <c r="L37">
        <v>367.22289999999998</v>
      </c>
      <c r="M37">
        <v>0.9999593</v>
      </c>
      <c r="N37">
        <v>0</v>
      </c>
      <c r="O37">
        <v>5.4387919999999996E-3</v>
      </c>
      <c r="P37">
        <v>0.99897190000000002</v>
      </c>
      <c r="Q37">
        <v>-3.872287E-2</v>
      </c>
      <c r="R37">
        <v>2.3570480000000001E-2</v>
      </c>
      <c r="S37">
        <v>2.9834290000000001</v>
      </c>
      <c r="T37">
        <v>-0.74423830000000002</v>
      </c>
      <c r="U37">
        <v>-0.42019649999999997</v>
      </c>
      <c r="V37">
        <v>-1.8132499999999999E-2</v>
      </c>
      <c r="W37">
        <v>-3.1542479999999998E-2</v>
      </c>
      <c r="X37">
        <v>0.9993379</v>
      </c>
      <c r="Y37">
        <v>0.14046439999999999</v>
      </c>
      <c r="Z37">
        <v>-1.8504679999999999E-2</v>
      </c>
      <c r="AA37">
        <v>0.98991280000000004</v>
      </c>
      <c r="AB37">
        <v>3</v>
      </c>
      <c r="AC37">
        <v>0.64569999999997596</v>
      </c>
      <c r="AD37">
        <v>-0.16940519999999901</v>
      </c>
      <c r="AE37">
        <v>-9.6299999999985106E-2</v>
      </c>
      <c r="AF37">
        <v>9.3513788008595805E-2</v>
      </c>
      <c r="AG37">
        <v>-0.16940519999999901</v>
      </c>
      <c r="AH37">
        <v>0.60446529593465304</v>
      </c>
      <c r="AI37">
        <v>105.480684838133</v>
      </c>
      <c r="AJ37">
        <v>81.205774900020003</v>
      </c>
      <c r="AK37">
        <v>0.63468200252104601</v>
      </c>
      <c r="AL37">
        <v>91.807550836016205</v>
      </c>
      <c r="AM37">
        <v>91.039489979073807</v>
      </c>
      <c r="AN37">
        <v>0.99999997698860499</v>
      </c>
    </row>
    <row r="38" spans="1:40" x14ac:dyDescent="0.25">
      <c r="A38" t="str">
        <f>"20190312151501435"</f>
        <v>20190312151501435</v>
      </c>
      <c r="B38" t="str">
        <f>"1552374901427682"</f>
        <v>1552374901427682</v>
      </c>
      <c r="C38" t="s">
        <v>40</v>
      </c>
      <c r="D38">
        <v>4.7200059999999997</v>
      </c>
      <c r="E38">
        <v>0.56063509999999905</v>
      </c>
      <c r="F38" t="s">
        <v>41</v>
      </c>
      <c r="G38">
        <v>-475.1789</v>
      </c>
      <c r="H38">
        <v>0.93550279999999997</v>
      </c>
      <c r="I38">
        <v>367.12490000000003</v>
      </c>
      <c r="J38">
        <v>-475.8528</v>
      </c>
      <c r="K38">
        <v>1.109367</v>
      </c>
      <c r="L38">
        <v>367.22329999999999</v>
      </c>
      <c r="M38">
        <v>0.99994899999999998</v>
      </c>
      <c r="N38">
        <v>0</v>
      </c>
      <c r="O38">
        <v>5.6190229999999999E-3</v>
      </c>
      <c r="P38">
        <v>0.99894879999999997</v>
      </c>
      <c r="Q38">
        <v>-3.9620780000000001E-2</v>
      </c>
      <c r="R38">
        <v>2.3053210000000001E-2</v>
      </c>
      <c r="S38">
        <v>2.9843440000000001</v>
      </c>
      <c r="T38">
        <v>-0.7375505</v>
      </c>
      <c r="U38">
        <v>-0.41699219999999998</v>
      </c>
      <c r="V38">
        <v>-1.7436940000000001E-2</v>
      </c>
      <c r="W38">
        <v>-3.1237040000000001E-2</v>
      </c>
      <c r="X38">
        <v>0.99935989999999997</v>
      </c>
      <c r="Y38">
        <v>0.139656</v>
      </c>
      <c r="Z38">
        <v>-1.828484E-2</v>
      </c>
      <c r="AA38">
        <v>0.9900312</v>
      </c>
      <c r="AB38">
        <v>4</v>
      </c>
      <c r="AC38">
        <v>0.67390000000000305</v>
      </c>
      <c r="AD38">
        <v>-0.173864199999999</v>
      </c>
      <c r="AE38">
        <v>-9.8399999999969595E-2</v>
      </c>
      <c r="AF38">
        <v>9.5933003271668801E-2</v>
      </c>
      <c r="AG38">
        <v>-0.173864199999999</v>
      </c>
      <c r="AH38">
        <v>0.63213812715321005</v>
      </c>
      <c r="AI38">
        <v>105.212480963212</v>
      </c>
      <c r="AJ38">
        <v>81.370663068042404</v>
      </c>
      <c r="AK38">
        <v>0.66259377672834296</v>
      </c>
      <c r="AL38">
        <v>91.790041735034507</v>
      </c>
      <c r="AM38">
        <v>90.999601549337598</v>
      </c>
      <c r="AN38">
        <v>1.00000000463626</v>
      </c>
    </row>
    <row r="39" spans="1:40" x14ac:dyDescent="0.25">
      <c r="A39" t="str">
        <f>"20190312151501458"</f>
        <v>20190312151501458</v>
      </c>
      <c r="B39" t="str">
        <f>"1552374901448178"</f>
        <v>1552374901448178</v>
      </c>
      <c r="C39" t="s">
        <v>40</v>
      </c>
      <c r="D39">
        <v>4.6915380000000004</v>
      </c>
      <c r="E39">
        <v>0.5605021</v>
      </c>
      <c r="F39" t="s">
        <v>41</v>
      </c>
      <c r="G39">
        <v>-475.15460000000002</v>
      </c>
      <c r="H39">
        <v>0.93708550000000002</v>
      </c>
      <c r="I39">
        <v>367.12549999999999</v>
      </c>
      <c r="J39">
        <v>-475.82490000000001</v>
      </c>
      <c r="K39">
        <v>1.1097220000000001</v>
      </c>
      <c r="L39">
        <v>367.22370000000001</v>
      </c>
      <c r="M39">
        <v>0.99993500000000002</v>
      </c>
      <c r="N39">
        <v>0</v>
      </c>
      <c r="O39">
        <v>5.771516E-3</v>
      </c>
      <c r="P39">
        <v>0.99893589999999999</v>
      </c>
      <c r="Q39">
        <v>-4.01211E-2</v>
      </c>
      <c r="R39">
        <v>2.2748339999999999E-2</v>
      </c>
      <c r="S39">
        <v>2.9835509999999998</v>
      </c>
      <c r="T39">
        <v>-0.73633930000000003</v>
      </c>
      <c r="U39">
        <v>-0.41674800000000001</v>
      </c>
      <c r="V39">
        <v>-1.6982819999999999E-2</v>
      </c>
      <c r="W39">
        <v>-3.0291950000000002E-2</v>
      </c>
      <c r="X39">
        <v>0.99939679999999997</v>
      </c>
      <c r="Y39">
        <v>0.13976749999999999</v>
      </c>
      <c r="Z39">
        <v>-1.831087E-2</v>
      </c>
      <c r="AA39">
        <v>0.99001499999999998</v>
      </c>
      <c r="AB39">
        <v>3</v>
      </c>
      <c r="AC39">
        <v>0.67029999999999701</v>
      </c>
      <c r="AD39">
        <v>-0.172636499999999</v>
      </c>
      <c r="AE39">
        <v>-9.8200000000019799E-2</v>
      </c>
      <c r="AF39">
        <v>9.5843252260850206E-2</v>
      </c>
      <c r="AG39">
        <v>-0.172636499999999</v>
      </c>
      <c r="AH39">
        <v>0.62888312609928498</v>
      </c>
      <c r="AI39">
        <v>105.183210547963</v>
      </c>
      <c r="AJ39">
        <v>81.334667648340798</v>
      </c>
      <c r="AK39">
        <v>0.65915345438569595</v>
      </c>
      <c r="AL39">
        <v>91.735866445160895</v>
      </c>
      <c r="AM39">
        <v>90.973537504118397</v>
      </c>
      <c r="AN39">
        <v>0.99999999113009697</v>
      </c>
    </row>
    <row r="40" spans="1:40" x14ac:dyDescent="0.25">
      <c r="A40" t="str">
        <f>"20190312151501482"</f>
        <v>20190312151501482</v>
      </c>
      <c r="B40" t="str">
        <f>"1552374901477458"</f>
        <v>1552374901477458</v>
      </c>
      <c r="C40" t="s">
        <v>40</v>
      </c>
      <c r="D40">
        <v>4.7007130000000004</v>
      </c>
      <c r="E40">
        <v>0.56050649999999902</v>
      </c>
      <c r="F40" t="s">
        <v>41</v>
      </c>
      <c r="G40">
        <v>-475.12619999999998</v>
      </c>
      <c r="H40">
        <v>0.93750080000000002</v>
      </c>
      <c r="I40">
        <v>367.12619999999998</v>
      </c>
      <c r="J40">
        <v>-475.7901</v>
      </c>
      <c r="K40">
        <v>1.1094790000000001</v>
      </c>
      <c r="L40">
        <v>367.2242</v>
      </c>
      <c r="M40">
        <v>0.9999403</v>
      </c>
      <c r="N40">
        <v>0</v>
      </c>
      <c r="O40">
        <v>6.0043800000000001E-3</v>
      </c>
      <c r="P40">
        <v>0.99900270000000002</v>
      </c>
      <c r="Q40">
        <v>-3.8652760000000001E-2</v>
      </c>
      <c r="R40">
        <v>2.2363000000000001E-2</v>
      </c>
      <c r="S40">
        <v>2.9831240000000001</v>
      </c>
      <c r="T40">
        <v>-0.73514259999999998</v>
      </c>
      <c r="U40">
        <v>-0.41659550000000001</v>
      </c>
      <c r="V40">
        <v>-1.6363699999999998E-2</v>
      </c>
      <c r="W40">
        <v>-2.9508599999999999E-2</v>
      </c>
      <c r="X40">
        <v>0.99943059999999995</v>
      </c>
      <c r="Y40">
        <v>0.13996739999999999</v>
      </c>
      <c r="Z40">
        <v>-1.8364979999999999E-2</v>
      </c>
      <c r="AA40">
        <v>0.98998580000000003</v>
      </c>
      <c r="AB40">
        <v>3</v>
      </c>
      <c r="AC40">
        <v>0.66390000000001204</v>
      </c>
      <c r="AD40">
        <v>-0.1719782</v>
      </c>
      <c r="AE40">
        <v>-9.8000000000013202E-2</v>
      </c>
      <c r="AF40">
        <v>9.5699906044833499E-2</v>
      </c>
      <c r="AG40">
        <v>-0.1719782</v>
      </c>
      <c r="AH40">
        <v>0.62242378238357199</v>
      </c>
      <c r="AI40">
        <v>105.274721114358</v>
      </c>
      <c r="AJ40">
        <v>81.259017353457594</v>
      </c>
      <c r="AK40">
        <v>0.65279884969943203</v>
      </c>
      <c r="AL40">
        <v>91.690963658836097</v>
      </c>
      <c r="AM40">
        <v>90.938021289962904</v>
      </c>
      <c r="AN40">
        <v>1.0000000261840001</v>
      </c>
    </row>
    <row r="41" spans="1:40" x14ac:dyDescent="0.25">
      <c r="A41" t="str">
        <f>"20190312151501503"</f>
        <v>20190312151501503</v>
      </c>
      <c r="B41" t="str">
        <f>"1552374901497954"</f>
        <v>1552374901497954</v>
      </c>
      <c r="C41" t="s">
        <v>40</v>
      </c>
      <c r="D41">
        <v>4.7851790000000003</v>
      </c>
      <c r="E41">
        <v>0.56060359999999998</v>
      </c>
      <c r="F41" t="s">
        <v>41</v>
      </c>
      <c r="G41">
        <v>-475.09350000000001</v>
      </c>
      <c r="H41">
        <v>0.93794999999999995</v>
      </c>
      <c r="I41">
        <v>367.12639999999999</v>
      </c>
      <c r="J41">
        <v>-475.75549999999998</v>
      </c>
      <c r="K41">
        <v>1.1092740000000001</v>
      </c>
      <c r="L41">
        <v>367.22460000000001</v>
      </c>
      <c r="M41">
        <v>0.99994490000000003</v>
      </c>
      <c r="N41">
        <v>0</v>
      </c>
      <c r="O41">
        <v>6.2576000000000003E-3</v>
      </c>
      <c r="P41">
        <v>0.9990462</v>
      </c>
      <c r="Q41">
        <v>-3.7824219999999999E-2</v>
      </c>
      <c r="R41">
        <v>2.182868E-2</v>
      </c>
      <c r="S41">
        <v>2.9838870000000002</v>
      </c>
      <c r="T41">
        <v>-0.73498699999999995</v>
      </c>
      <c r="U41">
        <v>-0.41729739999999999</v>
      </c>
      <c r="V41">
        <v>-1.5575510000000001E-2</v>
      </c>
      <c r="W41">
        <v>-2.9382829999999999E-2</v>
      </c>
      <c r="X41">
        <v>0.99944690000000003</v>
      </c>
      <c r="Y41">
        <v>0.14039570000000001</v>
      </c>
      <c r="Z41">
        <v>-1.8469309999999999E-2</v>
      </c>
      <c r="AA41">
        <v>0.9899232</v>
      </c>
      <c r="AB41">
        <v>3</v>
      </c>
      <c r="AC41">
        <v>0.66199999999997705</v>
      </c>
      <c r="AD41">
        <v>-0.171323999999999</v>
      </c>
      <c r="AE41">
        <v>-9.8200000000019799E-2</v>
      </c>
      <c r="AF41">
        <v>9.6046433450564697E-2</v>
      </c>
      <c r="AG41">
        <v>-0.171323999999999</v>
      </c>
      <c r="AH41">
        <v>0.620695746759091</v>
      </c>
      <c r="AI41">
        <v>105.25755247577401</v>
      </c>
      <c r="AJ41">
        <v>81.203817367820903</v>
      </c>
      <c r="AK41">
        <v>0.65102998425525604</v>
      </c>
      <c r="AL41">
        <v>91.683754442135395</v>
      </c>
      <c r="AM41">
        <v>90.892832577828599</v>
      </c>
      <c r="AN41">
        <v>1.0000000265650799</v>
      </c>
    </row>
    <row r="42" spans="1:40" x14ac:dyDescent="0.25">
      <c r="A42" t="str">
        <f>"20190312151501527"</f>
        <v>20190312151501527</v>
      </c>
      <c r="B42" t="str">
        <f>"1552374901517474"</f>
        <v>1552374901517474</v>
      </c>
      <c r="C42" t="s">
        <v>40</v>
      </c>
      <c r="D42">
        <v>4.6481490000000001</v>
      </c>
      <c r="E42">
        <v>0.56090240000000002</v>
      </c>
      <c r="F42" t="s">
        <v>41</v>
      </c>
      <c r="G42">
        <v>-475.06259999999997</v>
      </c>
      <c r="H42">
        <v>0.93880330000000001</v>
      </c>
      <c r="I42">
        <v>367.12740000000002</v>
      </c>
      <c r="J42">
        <v>-475.7226</v>
      </c>
      <c r="K42">
        <v>1.1095269999999999</v>
      </c>
      <c r="L42">
        <v>367.2251</v>
      </c>
      <c r="M42">
        <v>0.99993520000000002</v>
      </c>
      <c r="N42">
        <v>0</v>
      </c>
      <c r="O42">
        <v>6.4679719999999998E-3</v>
      </c>
      <c r="P42">
        <v>0.9990137</v>
      </c>
      <c r="Q42">
        <v>-3.8514449999999999E-2</v>
      </c>
      <c r="R42">
        <v>2.2107419999999999E-2</v>
      </c>
      <c r="S42">
        <v>2.9842219999999999</v>
      </c>
      <c r="T42">
        <v>-0.73398850000000004</v>
      </c>
      <c r="U42">
        <v>-0.42001339999999998</v>
      </c>
      <c r="V42">
        <v>-1.564567E-2</v>
      </c>
      <c r="W42">
        <v>-2.9145279999999999E-2</v>
      </c>
      <c r="X42">
        <v>0.99945269999999997</v>
      </c>
      <c r="Y42">
        <v>0.1414483</v>
      </c>
      <c r="Z42">
        <v>-1.8619549999999999E-2</v>
      </c>
      <c r="AA42">
        <v>0.9897705</v>
      </c>
      <c r="AB42">
        <v>4</v>
      </c>
      <c r="AC42">
        <v>0.66000000000002501</v>
      </c>
      <c r="AD42">
        <v>-0.17072370000000001</v>
      </c>
      <c r="AE42">
        <v>-9.7699999999974793E-2</v>
      </c>
      <c r="AF42">
        <v>9.5700843147745504E-2</v>
      </c>
      <c r="AG42">
        <v>-0.17072370000000001</v>
      </c>
      <c r="AH42">
        <v>0.61883505477744405</v>
      </c>
      <c r="AI42">
        <v>105.250372329702</v>
      </c>
      <c r="AJ42">
        <v>81.209031764700796</v>
      </c>
      <c r="AK42">
        <v>0.64904703846661405</v>
      </c>
      <c r="AL42">
        <v>91.670138097950399</v>
      </c>
      <c r="AM42">
        <v>90.896848489596806</v>
      </c>
      <c r="AN42">
        <v>0.99999996693665805</v>
      </c>
    </row>
    <row r="43" spans="1:40" x14ac:dyDescent="0.25">
      <c r="A43" t="str">
        <f>"20190312151501550"</f>
        <v>20190312151501550</v>
      </c>
      <c r="B43" t="str">
        <f>"1552374901537969"</f>
        <v>1552374901537969</v>
      </c>
      <c r="C43" t="s">
        <v>40</v>
      </c>
      <c r="D43">
        <v>4.8215899999999996</v>
      </c>
      <c r="E43">
        <v>0.56117779999999995</v>
      </c>
      <c r="F43" t="s">
        <v>41</v>
      </c>
      <c r="G43">
        <v>-475.03519999999997</v>
      </c>
      <c r="H43">
        <v>0.94067080000000003</v>
      </c>
      <c r="I43">
        <v>367.12759999999997</v>
      </c>
      <c r="J43">
        <v>-475.69569999999999</v>
      </c>
      <c r="K43">
        <v>1.1099950000000001</v>
      </c>
      <c r="L43">
        <v>367.22539999999998</v>
      </c>
      <c r="M43">
        <v>0.99991390000000002</v>
      </c>
      <c r="N43">
        <v>0</v>
      </c>
      <c r="O43">
        <v>6.6007269999999998E-3</v>
      </c>
      <c r="P43">
        <v>0.99894340000000004</v>
      </c>
      <c r="Q43">
        <v>-4.0405969999999999E-2</v>
      </c>
      <c r="R43">
        <v>2.1901549999999999E-2</v>
      </c>
      <c r="S43">
        <v>2.9840089999999999</v>
      </c>
      <c r="T43">
        <v>-0.73345139999999998</v>
      </c>
      <c r="U43">
        <v>-0.42181400000000002</v>
      </c>
      <c r="V43">
        <v>-1.531019E-2</v>
      </c>
      <c r="W43">
        <v>-2.9071E-2</v>
      </c>
      <c r="X43">
        <v>0.99946009999999996</v>
      </c>
      <c r="Y43">
        <v>0.14215659999999999</v>
      </c>
      <c r="Z43">
        <v>-1.8724250000000001E-2</v>
      </c>
      <c r="AA43">
        <v>0.98966710000000002</v>
      </c>
      <c r="AB43">
        <v>3</v>
      </c>
      <c r="AC43">
        <v>0.66050000000001297</v>
      </c>
      <c r="AD43">
        <v>-0.16932420000000001</v>
      </c>
      <c r="AE43">
        <v>-9.7800000000006507E-2</v>
      </c>
      <c r="AF43">
        <v>9.5985192387792795E-2</v>
      </c>
      <c r="AG43">
        <v>-0.16932420000000001</v>
      </c>
      <c r="AH43">
        <v>0.61997018820562</v>
      </c>
      <c r="AI43">
        <v>105.10429241391201</v>
      </c>
      <c r="AJ43">
        <v>81.199211502595304</v>
      </c>
      <c r="AK43">
        <v>0.64980526015651296</v>
      </c>
      <c r="AL43">
        <v>91.665880294367696</v>
      </c>
      <c r="AM43">
        <v>90.877614490350993</v>
      </c>
      <c r="AN43">
        <v>1.0000000082254199</v>
      </c>
    </row>
    <row r="44" spans="1:40" x14ac:dyDescent="0.25">
      <c r="A44" t="str">
        <f>"20190312151501571"</f>
        <v>20190312151501571</v>
      </c>
      <c r="B44" t="str">
        <f>"1552374901568227"</f>
        <v>1552374901568227</v>
      </c>
      <c r="C44" t="s">
        <v>40</v>
      </c>
      <c r="D44">
        <v>4.5700960000000004</v>
      </c>
      <c r="E44">
        <v>0.5617453</v>
      </c>
      <c r="F44" t="s">
        <v>41</v>
      </c>
      <c r="G44">
        <v>-475.01249999999999</v>
      </c>
      <c r="H44">
        <v>0.94056580000000001</v>
      </c>
      <c r="I44">
        <v>367.12810000000002</v>
      </c>
      <c r="J44">
        <v>-475.6669</v>
      </c>
      <c r="K44">
        <v>1.1099319999999999</v>
      </c>
      <c r="L44">
        <v>367.22579999999999</v>
      </c>
      <c r="M44">
        <v>0.99991149999999995</v>
      </c>
      <c r="N44">
        <v>0</v>
      </c>
      <c r="O44">
        <v>6.7542560000000001E-3</v>
      </c>
      <c r="P44">
        <v>0.99892479999999995</v>
      </c>
      <c r="Q44">
        <v>-4.0842400000000001E-2</v>
      </c>
      <c r="R44">
        <v>2.1945530000000001E-2</v>
      </c>
      <c r="S44">
        <v>2.982605</v>
      </c>
      <c r="T44">
        <v>-0.7396528</v>
      </c>
      <c r="U44">
        <v>-0.42480469999999998</v>
      </c>
      <c r="V44">
        <v>-1.519997E-2</v>
      </c>
      <c r="W44">
        <v>-2.9376610000000001E-2</v>
      </c>
      <c r="X44">
        <v>0.99945280000000003</v>
      </c>
      <c r="Y44">
        <v>0.1432332</v>
      </c>
      <c r="Z44">
        <v>-1.9053480000000001E-2</v>
      </c>
      <c r="AA44">
        <v>0.98950550000000004</v>
      </c>
      <c r="AB44">
        <v>3</v>
      </c>
      <c r="AC44">
        <v>0.65440000000000897</v>
      </c>
      <c r="AD44">
        <v>-0.169366199999999</v>
      </c>
      <c r="AE44">
        <v>-9.7699999999974793E-2</v>
      </c>
      <c r="AF44">
        <v>9.5838436557896201E-2</v>
      </c>
      <c r="AG44">
        <v>-0.169366199999999</v>
      </c>
      <c r="AH44">
        <v>0.61352520069143202</v>
      </c>
      <c r="AI44">
        <v>105.256146444904</v>
      </c>
      <c r="AJ44">
        <v>81.121608618425</v>
      </c>
      <c r="AK44">
        <v>0.64364826381165896</v>
      </c>
      <c r="AL44">
        <v>91.683398017435394</v>
      </c>
      <c r="AM44">
        <v>90.871303772809199</v>
      </c>
      <c r="AN44">
        <v>0.99999996186546503</v>
      </c>
    </row>
    <row r="45" spans="1:40" x14ac:dyDescent="0.25">
      <c r="A45" t="str">
        <f>"20190312151501592"</f>
        <v>20190312151501592</v>
      </c>
      <c r="B45" t="str">
        <f>"1552374901587746"</f>
        <v>1552374901587746</v>
      </c>
      <c r="C45" t="s">
        <v>40</v>
      </c>
      <c r="D45">
        <v>4.499727</v>
      </c>
      <c r="E45">
        <v>0.56209980000000004</v>
      </c>
      <c r="F45" t="s">
        <v>41</v>
      </c>
      <c r="G45">
        <v>-474.98489999999998</v>
      </c>
      <c r="H45">
        <v>0.94098159999999997</v>
      </c>
      <c r="I45">
        <v>367.12759999999997</v>
      </c>
      <c r="J45">
        <v>-475.63369999999998</v>
      </c>
      <c r="K45">
        <v>1.109531</v>
      </c>
      <c r="L45">
        <v>367.22629999999998</v>
      </c>
      <c r="M45">
        <v>0.99992349999999997</v>
      </c>
      <c r="N45">
        <v>0</v>
      </c>
      <c r="O45">
        <v>6.97957E-3</v>
      </c>
      <c r="P45">
        <v>0.99893719999999997</v>
      </c>
      <c r="Q45">
        <v>-4.0077219999999997E-2</v>
      </c>
      <c r="R45">
        <v>2.277386E-2</v>
      </c>
      <c r="S45">
        <v>2.9824519999999999</v>
      </c>
      <c r="T45">
        <v>-0.73875019999999902</v>
      </c>
      <c r="U45">
        <v>-0.42907709999999999</v>
      </c>
      <c r="V45">
        <v>-1.580022E-2</v>
      </c>
      <c r="W45">
        <v>-2.987445E-2</v>
      </c>
      <c r="X45">
        <v>0.99942869999999995</v>
      </c>
      <c r="Y45">
        <v>0.14480979999999999</v>
      </c>
      <c r="Z45">
        <v>-1.9276120000000001E-2</v>
      </c>
      <c r="AA45">
        <v>0.98927180000000003</v>
      </c>
      <c r="AB45">
        <v>2</v>
      </c>
      <c r="AC45">
        <v>0.64879999999999405</v>
      </c>
      <c r="AD45">
        <v>-0.16854939999999999</v>
      </c>
      <c r="AE45">
        <v>-9.8700000000008004E-2</v>
      </c>
      <c r="AF45">
        <v>9.6838476811709998E-2</v>
      </c>
      <c r="AG45">
        <v>-0.16854939999999999</v>
      </c>
      <c r="AH45">
        <v>0.60799073715773699</v>
      </c>
      <c r="AI45">
        <v>105.310856795541</v>
      </c>
      <c r="AJ45">
        <v>80.950161100759203</v>
      </c>
      <c r="AK45">
        <v>0.63830974244576599</v>
      </c>
      <c r="AL45">
        <v>91.711934733263007</v>
      </c>
      <c r="AM45">
        <v>90.905727954959403</v>
      </c>
      <c r="AN45">
        <v>0.99999992804926696</v>
      </c>
    </row>
    <row r="46" spans="1:40" x14ac:dyDescent="0.25">
      <c r="A46" t="str">
        <f>"20190312151501615"</f>
        <v>20190312151501615</v>
      </c>
      <c r="B46" t="str">
        <f>"1552374901608242"</f>
        <v>1552374901608242</v>
      </c>
      <c r="C46" t="s">
        <v>40</v>
      </c>
      <c r="D46">
        <v>4.5553739999999996</v>
      </c>
      <c r="E46">
        <v>0.56240299999999999</v>
      </c>
      <c r="F46" t="s">
        <v>41</v>
      </c>
      <c r="G46">
        <v>-474.95330000000001</v>
      </c>
      <c r="H46">
        <v>0.94160089999999996</v>
      </c>
      <c r="I46">
        <v>367.12819999999999</v>
      </c>
      <c r="J46">
        <v>-475.59699999999998</v>
      </c>
      <c r="K46">
        <v>1.109199</v>
      </c>
      <c r="L46">
        <v>367.22680000000003</v>
      </c>
      <c r="M46">
        <v>0.9999342</v>
      </c>
      <c r="N46">
        <v>0</v>
      </c>
      <c r="O46">
        <v>7.2723400000000004E-3</v>
      </c>
      <c r="P46">
        <v>0.99899070000000001</v>
      </c>
      <c r="Q46">
        <v>-3.8186499999999998E-2</v>
      </c>
      <c r="R46">
        <v>2.3658350000000002E-2</v>
      </c>
      <c r="S46">
        <v>2.9834589999999999</v>
      </c>
      <c r="T46">
        <v>-0.73630499999999999</v>
      </c>
      <c r="U46">
        <v>-0.42941279999999998</v>
      </c>
      <c r="V46">
        <v>-1.6389520000000001E-2</v>
      </c>
      <c r="W46">
        <v>-2.9331050000000001E-2</v>
      </c>
      <c r="X46">
        <v>0.99943539999999997</v>
      </c>
      <c r="Y46">
        <v>0.1451741</v>
      </c>
      <c r="Z46">
        <v>-1.9322679999999998E-2</v>
      </c>
      <c r="AA46">
        <v>0.98921740000000002</v>
      </c>
      <c r="AB46">
        <v>3</v>
      </c>
      <c r="AC46">
        <v>0.64369999999996697</v>
      </c>
      <c r="AD46">
        <v>-0.1675981</v>
      </c>
      <c r="AE46">
        <v>-9.8600000000033106E-2</v>
      </c>
      <c r="AF46">
        <v>9.6862899362678695E-2</v>
      </c>
      <c r="AG46">
        <v>-0.1675981</v>
      </c>
      <c r="AH46">
        <v>0.60302358043051596</v>
      </c>
      <c r="AI46">
        <v>105.34492578240599</v>
      </c>
      <c r="AJ46">
        <v>80.874603297234998</v>
      </c>
      <c r="AK46">
        <v>0.63333165320532803</v>
      </c>
      <c r="AL46">
        <v>91.680786393798201</v>
      </c>
      <c r="AM46">
        <v>90.939496601151902</v>
      </c>
      <c r="AN46">
        <v>1.00000002281654</v>
      </c>
    </row>
    <row r="47" spans="1:40" x14ac:dyDescent="0.25">
      <c r="A47" t="str">
        <f>"20190312151501638"</f>
        <v>20190312151501638</v>
      </c>
      <c r="B47" t="str">
        <f>"1552374901627762"</f>
        <v>1552374901627762</v>
      </c>
      <c r="C47" t="s">
        <v>40</v>
      </c>
      <c r="D47">
        <v>4.5696099999999999</v>
      </c>
      <c r="E47">
        <v>0.56271249999999995</v>
      </c>
      <c r="F47" t="s">
        <v>41</v>
      </c>
      <c r="G47">
        <v>-474.88889999999998</v>
      </c>
      <c r="H47">
        <v>0.93611109999999997</v>
      </c>
      <c r="I47">
        <v>367.125</v>
      </c>
      <c r="J47">
        <v>-475.55959999999999</v>
      </c>
      <c r="K47">
        <v>1.1092470000000001</v>
      </c>
      <c r="L47">
        <v>367.22739999999999</v>
      </c>
      <c r="M47">
        <v>0.99993310000000002</v>
      </c>
      <c r="N47">
        <v>0</v>
      </c>
      <c r="O47">
        <v>7.5415209999999998E-3</v>
      </c>
      <c r="P47">
        <v>0.99897630000000004</v>
      </c>
      <c r="Q47">
        <v>-3.8083020000000002E-2</v>
      </c>
      <c r="R47">
        <v>2.4420009999999999E-2</v>
      </c>
      <c r="S47">
        <v>2.9852910000000001</v>
      </c>
      <c r="T47">
        <v>-0.72984890000000002</v>
      </c>
      <c r="U47">
        <v>-0.4290466</v>
      </c>
      <c r="V47">
        <v>-1.6881340000000002E-2</v>
      </c>
      <c r="W47">
        <v>-2.931479E-2</v>
      </c>
      <c r="X47">
        <v>0.99942770000000003</v>
      </c>
      <c r="Y47">
        <v>0.14530650000000001</v>
      </c>
      <c r="Z47">
        <v>-1.9227339999999999E-2</v>
      </c>
      <c r="AA47">
        <v>0.98919979999999996</v>
      </c>
      <c r="AB47">
        <v>4</v>
      </c>
      <c r="AC47">
        <v>0.67070000000000995</v>
      </c>
      <c r="AD47">
        <v>-0.17313589999999901</v>
      </c>
      <c r="AE47">
        <v>-0.102399999999988</v>
      </c>
      <c r="AF47">
        <v>0.100885760078221</v>
      </c>
      <c r="AG47">
        <v>-0.17313589999999901</v>
      </c>
      <c r="AH47">
        <v>0.628951686259141</v>
      </c>
      <c r="AI47">
        <v>105.20579147943199</v>
      </c>
      <c r="AJ47">
        <v>80.887208630756604</v>
      </c>
      <c r="AK47">
        <v>0.66010165891594896</v>
      </c>
      <c r="AL47">
        <v>91.679854348164298</v>
      </c>
      <c r="AM47">
        <v>90.967691374544103</v>
      </c>
      <c r="AN47">
        <v>1.0000000320401099</v>
      </c>
    </row>
    <row r="48" spans="1:40" x14ac:dyDescent="0.25">
      <c r="A48" t="str">
        <f>"20190312151501659"</f>
        <v>20190312151501659</v>
      </c>
      <c r="B48" t="str">
        <f>"1552374901658018"</f>
        <v>1552374901658018</v>
      </c>
      <c r="C48" t="s">
        <v>40</v>
      </c>
      <c r="D48">
        <v>4.4979469999999999</v>
      </c>
      <c r="E48">
        <v>0.5631159</v>
      </c>
      <c r="F48" t="s">
        <v>41</v>
      </c>
      <c r="G48">
        <v>-474.85910000000001</v>
      </c>
      <c r="H48">
        <v>0.93818590000000002</v>
      </c>
      <c r="I48">
        <v>367.12650000000002</v>
      </c>
      <c r="J48">
        <v>-475.52890000000002</v>
      </c>
      <c r="K48">
        <v>1.109648</v>
      </c>
      <c r="L48">
        <v>367.22789999999998</v>
      </c>
      <c r="M48">
        <v>0.99991810000000003</v>
      </c>
      <c r="N48">
        <v>0</v>
      </c>
      <c r="O48">
        <v>7.7233359999999999E-3</v>
      </c>
      <c r="P48">
        <v>0.99890959999999995</v>
      </c>
      <c r="Q48">
        <v>-3.9449190000000002E-2</v>
      </c>
      <c r="R48">
        <v>2.4968629999999999E-2</v>
      </c>
      <c r="S48">
        <v>2.9857179999999999</v>
      </c>
      <c r="T48">
        <v>-0.72925209999999996</v>
      </c>
      <c r="U48">
        <v>-0.42880249999999998</v>
      </c>
      <c r="V48">
        <v>-1.7250709999999999E-2</v>
      </c>
      <c r="W48">
        <v>-2.925374E-2</v>
      </c>
      <c r="X48">
        <v>0.99942310000000001</v>
      </c>
      <c r="Y48">
        <v>0.14538789999999999</v>
      </c>
      <c r="Z48">
        <v>-1.9262850000000001E-2</v>
      </c>
      <c r="AA48">
        <v>0.98918720000000004</v>
      </c>
      <c r="AB48">
        <v>4</v>
      </c>
      <c r="AC48">
        <v>0.66980000000000905</v>
      </c>
      <c r="AD48">
        <v>-0.17146209999999901</v>
      </c>
      <c r="AE48">
        <v>-0.101399999999955</v>
      </c>
      <c r="AF48">
        <v>0.100154191289769</v>
      </c>
      <c r="AG48">
        <v>-0.17146209999999901</v>
      </c>
      <c r="AH48">
        <v>0.62871939661569398</v>
      </c>
      <c r="AI48">
        <v>105.073290928521</v>
      </c>
      <c r="AJ48">
        <v>80.948905141876807</v>
      </c>
      <c r="AK48">
        <v>0.65933162630812803</v>
      </c>
      <c r="AL48">
        <v>91.676355076758696</v>
      </c>
      <c r="AM48">
        <v>90.988865212977899</v>
      </c>
      <c r="AN48">
        <v>0.999999950556549</v>
      </c>
    </row>
    <row r="49" spans="1:40" x14ac:dyDescent="0.25">
      <c r="A49" t="str">
        <f>"20190312151501682"</f>
        <v>20190312151501682</v>
      </c>
      <c r="B49" t="str">
        <f>"1552374901677538"</f>
        <v>1552374901677538</v>
      </c>
      <c r="C49" t="s">
        <v>40</v>
      </c>
      <c r="D49">
        <v>4.551463</v>
      </c>
      <c r="E49">
        <v>0.56334259999999903</v>
      </c>
      <c r="F49" t="s">
        <v>41</v>
      </c>
      <c r="G49">
        <v>-474.8331</v>
      </c>
      <c r="H49">
        <v>0.93897839999999999</v>
      </c>
      <c r="I49">
        <v>367.1275</v>
      </c>
      <c r="J49">
        <v>-475.49759999999998</v>
      </c>
      <c r="K49">
        <v>1.109858</v>
      </c>
      <c r="L49">
        <v>367.22840000000002</v>
      </c>
      <c r="M49">
        <v>0.99990670000000004</v>
      </c>
      <c r="N49">
        <v>0</v>
      </c>
      <c r="O49">
        <v>7.8990499999999995E-3</v>
      </c>
      <c r="P49">
        <v>0.99887130000000002</v>
      </c>
      <c r="Q49">
        <v>-4.0313639999999998E-2</v>
      </c>
      <c r="R49">
        <v>2.5125660000000001E-2</v>
      </c>
      <c r="S49">
        <v>2.985077</v>
      </c>
      <c r="T49">
        <v>-0.73223579999999999</v>
      </c>
      <c r="U49">
        <v>-0.43051149999999999</v>
      </c>
      <c r="V49">
        <v>-1.7234070000000001E-2</v>
      </c>
      <c r="W49">
        <v>-2.916069E-2</v>
      </c>
      <c r="X49">
        <v>0.99942609999999998</v>
      </c>
      <c r="Y49">
        <v>0.14608399999999999</v>
      </c>
      <c r="Z49">
        <v>-1.9468679999999999E-2</v>
      </c>
      <c r="AA49">
        <v>0.98908059999999998</v>
      </c>
      <c r="AB49">
        <v>3</v>
      </c>
      <c r="AC49">
        <v>0.664499999999975</v>
      </c>
      <c r="AD49">
        <v>-0.17087959999999999</v>
      </c>
      <c r="AE49">
        <v>-0.100900000000024</v>
      </c>
      <c r="AF49">
        <v>9.9701544095374794E-2</v>
      </c>
      <c r="AG49">
        <v>-0.17087959999999999</v>
      </c>
      <c r="AH49">
        <v>0.62338741246052698</v>
      </c>
      <c r="AI49">
        <v>105.14559696980101</v>
      </c>
      <c r="AJ49">
        <v>80.913347365659902</v>
      </c>
      <c r="AK49">
        <v>0.65402760003335703</v>
      </c>
      <c r="AL49">
        <v>91.671021439408193</v>
      </c>
      <c r="AM49">
        <v>90.987908579876006</v>
      </c>
      <c r="AN49">
        <v>0.99999994418562299</v>
      </c>
    </row>
    <row r="50" spans="1:40" x14ac:dyDescent="0.25">
      <c r="A50" t="str">
        <f>"20190312151501704"</f>
        <v>20190312151501704</v>
      </c>
      <c r="B50" t="str">
        <f>"1552374901698034"</f>
        <v>1552374901698034</v>
      </c>
      <c r="C50" t="s">
        <v>40</v>
      </c>
      <c r="D50">
        <v>4.5348579999999998</v>
      </c>
      <c r="E50">
        <v>0.56358439999999999</v>
      </c>
      <c r="F50" t="s">
        <v>41</v>
      </c>
      <c r="G50">
        <v>-474.80290000000002</v>
      </c>
      <c r="H50">
        <v>0.93908040000000004</v>
      </c>
      <c r="I50">
        <v>367.12779999999998</v>
      </c>
      <c r="J50">
        <v>-475.46260000000001</v>
      </c>
      <c r="K50">
        <v>1.109553</v>
      </c>
      <c r="L50">
        <v>367.22890000000001</v>
      </c>
      <c r="M50">
        <v>0.99991459999999999</v>
      </c>
      <c r="N50">
        <v>0</v>
      </c>
      <c r="O50">
        <v>8.1441559999999996E-3</v>
      </c>
      <c r="P50">
        <v>0.99892009999999998</v>
      </c>
      <c r="Q50">
        <v>-3.9201930000000003E-2</v>
      </c>
      <c r="R50">
        <v>2.4940259999999999E-2</v>
      </c>
      <c r="S50">
        <v>2.9846189999999999</v>
      </c>
      <c r="T50">
        <v>-0.73381940000000001</v>
      </c>
      <c r="U50">
        <v>-0.43194579999999999</v>
      </c>
      <c r="V50">
        <v>-1.680334E-2</v>
      </c>
      <c r="W50">
        <v>-2.8986359999999999E-2</v>
      </c>
      <c r="X50">
        <v>0.99943859999999995</v>
      </c>
      <c r="Y50">
        <v>0.14676600000000001</v>
      </c>
      <c r="Z50">
        <v>-1.965312E-2</v>
      </c>
      <c r="AA50">
        <v>0.98897599999999997</v>
      </c>
      <c r="AB50">
        <v>3</v>
      </c>
      <c r="AC50">
        <v>0.65969999999998596</v>
      </c>
      <c r="AD50">
        <v>-0.170472599999999</v>
      </c>
      <c r="AE50">
        <v>-0.10110000000003</v>
      </c>
      <c r="AF50">
        <v>9.9948670508025E-2</v>
      </c>
      <c r="AG50">
        <v>-0.170472599999999</v>
      </c>
      <c r="AH50">
        <v>0.61850175790241102</v>
      </c>
      <c r="AI50">
        <v>105.221237459112</v>
      </c>
      <c r="AJ50">
        <v>80.820470025620693</v>
      </c>
      <c r="AK50">
        <v>0.64930352579934003</v>
      </c>
      <c r="AL50">
        <v>91.661028685217801</v>
      </c>
      <c r="AM50">
        <v>90.963210511138101</v>
      </c>
      <c r="AN50">
        <v>1.00000003823558</v>
      </c>
    </row>
    <row r="51" spans="1:40" x14ac:dyDescent="0.25">
      <c r="A51" t="str">
        <f>"20190312151501727"</f>
        <v>20190312151501727</v>
      </c>
      <c r="B51" t="str">
        <f>"1552374901717554"</f>
        <v>1552374901717554</v>
      </c>
      <c r="C51" t="s">
        <v>40</v>
      </c>
      <c r="D51">
        <v>4.5211560000000004</v>
      </c>
      <c r="E51">
        <v>0.56379609999999902</v>
      </c>
      <c r="F51" t="s">
        <v>41</v>
      </c>
      <c r="G51">
        <v>-474.7679</v>
      </c>
      <c r="H51">
        <v>0.93995680000000004</v>
      </c>
      <c r="I51">
        <v>367.12790000000001</v>
      </c>
      <c r="J51">
        <v>-475.42200000000003</v>
      </c>
      <c r="K51">
        <v>1.1091519999999999</v>
      </c>
      <c r="L51">
        <v>367.22949999999997</v>
      </c>
      <c r="M51">
        <v>0.99992650000000005</v>
      </c>
      <c r="N51">
        <v>0</v>
      </c>
      <c r="O51">
        <v>8.4767909999999991E-3</v>
      </c>
      <c r="P51">
        <v>0.99897159999999996</v>
      </c>
      <c r="Q51">
        <v>-3.7745620000000001E-2</v>
      </c>
      <c r="R51">
        <v>2.512079E-2</v>
      </c>
      <c r="S51">
        <v>2.985474</v>
      </c>
      <c r="T51">
        <v>-0.7290529</v>
      </c>
      <c r="U51">
        <v>-0.43408200000000002</v>
      </c>
      <c r="V51">
        <v>-1.664889E-2</v>
      </c>
      <c r="W51">
        <v>-2.9076149999999999E-2</v>
      </c>
      <c r="X51">
        <v>0.99943850000000001</v>
      </c>
      <c r="Y51">
        <v>0.14776979999999901</v>
      </c>
      <c r="Z51">
        <v>-1.9722569999999998E-2</v>
      </c>
      <c r="AA51">
        <v>0.98882510000000001</v>
      </c>
      <c r="AB51">
        <v>3</v>
      </c>
      <c r="AC51">
        <v>0.65409999999997104</v>
      </c>
      <c r="AD51">
        <v>-0.16919519999999999</v>
      </c>
      <c r="AE51">
        <v>-0.101599999999962</v>
      </c>
      <c r="AF51">
        <v>0.100570624018804</v>
      </c>
      <c r="AG51">
        <v>-0.16919519999999999</v>
      </c>
      <c r="AH51">
        <v>0.61315578161555195</v>
      </c>
      <c r="AI51">
        <v>105.23249264125199</v>
      </c>
      <c r="AJ51">
        <v>80.685211237839894</v>
      </c>
      <c r="AK51">
        <v>0.64397319714965695</v>
      </c>
      <c r="AL51">
        <v>91.666175570026198</v>
      </c>
      <c r="AM51">
        <v>90.954358781870596</v>
      </c>
      <c r="AN51">
        <v>0.99999996165965099</v>
      </c>
    </row>
    <row r="52" spans="1:40" x14ac:dyDescent="0.25">
      <c r="A52" t="str">
        <f>"20190312151501749"</f>
        <v>20190312151501749</v>
      </c>
      <c r="B52" t="str">
        <f>"1552374901738050"</f>
        <v>1552374901738050</v>
      </c>
      <c r="C52" t="s">
        <v>40</v>
      </c>
      <c r="D52">
        <v>4.5614169999999996</v>
      </c>
      <c r="E52">
        <v>0.56402759999999996</v>
      </c>
      <c r="F52" t="s">
        <v>41</v>
      </c>
      <c r="G52">
        <v>-474.73020000000002</v>
      </c>
      <c r="H52">
        <v>0.941662</v>
      </c>
      <c r="I52">
        <v>367.12819999999999</v>
      </c>
      <c r="J52">
        <v>-475.38139999999999</v>
      </c>
      <c r="K52">
        <v>1.1091070000000001</v>
      </c>
      <c r="L52">
        <v>367.23020000000002</v>
      </c>
      <c r="M52">
        <v>0.99992780000000003</v>
      </c>
      <c r="N52">
        <v>0</v>
      </c>
      <c r="O52">
        <v>8.7945469999999998E-3</v>
      </c>
      <c r="P52">
        <v>0.9989865</v>
      </c>
      <c r="Q52">
        <v>-3.7480409999999999E-2</v>
      </c>
      <c r="R52">
        <v>2.492604E-2</v>
      </c>
      <c r="S52">
        <v>2.986694</v>
      </c>
      <c r="T52">
        <v>-0.72337559999999901</v>
      </c>
      <c r="U52">
        <v>-0.43539430000000001</v>
      </c>
      <c r="V52">
        <v>-1.6136000000000001E-2</v>
      </c>
      <c r="W52">
        <v>-2.9294810000000001E-2</v>
      </c>
      <c r="X52">
        <v>0.99944060000000001</v>
      </c>
      <c r="Y52">
        <v>0.14849479999999901</v>
      </c>
      <c r="Z52">
        <v>-1.9726569999999999E-2</v>
      </c>
      <c r="AA52">
        <v>0.98871640000000005</v>
      </c>
      <c r="AB52">
        <v>4</v>
      </c>
      <c r="AC52">
        <v>0.65119999999996003</v>
      </c>
      <c r="AD52">
        <v>-0.16744499999999901</v>
      </c>
      <c r="AE52">
        <v>-0.102000000000032</v>
      </c>
      <c r="AF52">
        <v>0.10119286739732999</v>
      </c>
      <c r="AG52">
        <v>-0.16744499999999901</v>
      </c>
      <c r="AH52">
        <v>0.61085666692680096</v>
      </c>
      <c r="AI52">
        <v>105.13251146363601</v>
      </c>
      <c r="AJ52">
        <v>80.593956280726502</v>
      </c>
      <c r="AK52">
        <v>0.64142317697914097</v>
      </c>
      <c r="AL52">
        <v>91.678709082264803</v>
      </c>
      <c r="AM52">
        <v>90.924961804918794</v>
      </c>
      <c r="AN52">
        <v>1.00000003465864</v>
      </c>
    </row>
    <row r="53" spans="1:40" x14ac:dyDescent="0.25">
      <c r="A53" t="str">
        <f>"20190312151501773"</f>
        <v>20190312151501773</v>
      </c>
      <c r="B53" t="str">
        <f>"1552374901767331"</f>
        <v>1552374901767331</v>
      </c>
      <c r="C53" t="s">
        <v>40</v>
      </c>
      <c r="D53">
        <v>4.6994099999999897</v>
      </c>
      <c r="E53">
        <v>0.56416889999999997</v>
      </c>
      <c r="F53" t="s">
        <v>41</v>
      </c>
      <c r="G53">
        <v>-474.69439999999997</v>
      </c>
      <c r="H53">
        <v>0.94314969999999998</v>
      </c>
      <c r="I53">
        <v>367.12939999999998</v>
      </c>
      <c r="J53">
        <v>-475.34519999999998</v>
      </c>
      <c r="K53">
        <v>1.109513</v>
      </c>
      <c r="L53">
        <v>367.23079999999999</v>
      </c>
      <c r="M53">
        <v>0.99991439999999998</v>
      </c>
      <c r="N53">
        <v>0</v>
      </c>
      <c r="O53">
        <v>9.027775E-3</v>
      </c>
      <c r="P53">
        <v>0.9989249</v>
      </c>
      <c r="Q53">
        <v>-3.904436E-2</v>
      </c>
      <c r="R53">
        <v>2.5000689999999999E-2</v>
      </c>
      <c r="S53">
        <v>2.9868769999999998</v>
      </c>
      <c r="T53">
        <v>-0.72155209999999903</v>
      </c>
      <c r="U53">
        <v>-0.43753049999999999</v>
      </c>
      <c r="V53">
        <v>-1.5979549999999999E-2</v>
      </c>
      <c r="W53">
        <v>-2.9576930000000001E-2</v>
      </c>
      <c r="X53">
        <v>0.99943479999999996</v>
      </c>
      <c r="Y53">
        <v>0.14940010000000001</v>
      </c>
      <c r="Z53">
        <v>-1.9838640000000001E-2</v>
      </c>
      <c r="AA53">
        <v>0.98857779999999995</v>
      </c>
      <c r="AB53">
        <v>4</v>
      </c>
      <c r="AC53">
        <v>0.65080000000000304</v>
      </c>
      <c r="AD53">
        <v>-0.16636329999999999</v>
      </c>
      <c r="AE53">
        <v>-0.10140000000001199</v>
      </c>
      <c r="AF53">
        <v>0.100838193819421</v>
      </c>
      <c r="AG53">
        <v>-0.16636329999999999</v>
      </c>
      <c r="AH53">
        <v>0.610885144345378</v>
      </c>
      <c r="AI53">
        <v>105.039887289733</v>
      </c>
      <c r="AJ53">
        <v>80.626766870777601</v>
      </c>
      <c r="AK53">
        <v>0.64111289840520802</v>
      </c>
      <c r="AL53">
        <v>91.694880382245699</v>
      </c>
      <c r="AM53">
        <v>90.916000492529804</v>
      </c>
      <c r="AN53">
        <v>1.00000003012873</v>
      </c>
    </row>
    <row r="54" spans="1:40" x14ac:dyDescent="0.25">
      <c r="A54" t="str">
        <f>"20190312151501794"</f>
        <v>20190312151501794</v>
      </c>
      <c r="B54" t="str">
        <f>"1552374901787826"</f>
        <v>1552374901787826</v>
      </c>
      <c r="C54" t="s">
        <v>40</v>
      </c>
      <c r="D54">
        <v>4.7752290000000004</v>
      </c>
      <c r="E54">
        <v>0.56407859999999999</v>
      </c>
      <c r="F54" t="s">
        <v>41</v>
      </c>
      <c r="G54">
        <v>-474.66320000000002</v>
      </c>
      <c r="H54">
        <v>0.94349050000000001</v>
      </c>
      <c r="I54">
        <v>367.13040000000001</v>
      </c>
      <c r="J54">
        <v>-475.3143</v>
      </c>
      <c r="K54">
        <v>1.1099619999999999</v>
      </c>
      <c r="L54">
        <v>367.23129999999998</v>
      </c>
      <c r="M54">
        <v>0.99989419999999996</v>
      </c>
      <c r="N54">
        <v>0</v>
      </c>
      <c r="O54">
        <v>9.1849170000000008E-3</v>
      </c>
      <c r="P54">
        <v>0.99882919999999997</v>
      </c>
      <c r="Q54">
        <v>-4.1308699999999997E-2</v>
      </c>
      <c r="R54">
        <v>2.5174060000000002E-2</v>
      </c>
      <c r="S54">
        <v>2.985779</v>
      </c>
      <c r="T54">
        <v>-0.7271898</v>
      </c>
      <c r="U54">
        <v>-0.438446</v>
      </c>
      <c r="V54">
        <v>-1.5999340000000001E-2</v>
      </c>
      <c r="W54">
        <v>-3.0030149999999999E-2</v>
      </c>
      <c r="X54">
        <v>0.99942089999999995</v>
      </c>
      <c r="Y54">
        <v>0.149816</v>
      </c>
      <c r="Z54">
        <v>-2.0083219999999999E-2</v>
      </c>
      <c r="AA54">
        <v>0.98850990000000005</v>
      </c>
      <c r="AB54">
        <v>4</v>
      </c>
      <c r="AC54">
        <v>0.65109999999998502</v>
      </c>
      <c r="AD54">
        <v>-0.16647149999999999</v>
      </c>
      <c r="AE54">
        <v>-0.100899999999967</v>
      </c>
      <c r="AF54">
        <v>0.100463080240591</v>
      </c>
      <c r="AG54">
        <v>-0.16647149999999999</v>
      </c>
      <c r="AH54">
        <v>0.61113236334548604</v>
      </c>
      <c r="AI54">
        <v>105.044981208694</v>
      </c>
      <c r="AJ54">
        <v>80.664730806387496</v>
      </c>
      <c r="AK54">
        <v>0.64131767193171696</v>
      </c>
      <c r="AL54">
        <v>91.720859632584705</v>
      </c>
      <c r="AM54">
        <v>90.9171474803113</v>
      </c>
      <c r="AN54">
        <v>0.99999996207313302</v>
      </c>
    </row>
    <row r="55" spans="1:40" x14ac:dyDescent="0.25">
      <c r="A55" t="str">
        <f>"20190312151501816"</f>
        <v>20190312151501816</v>
      </c>
      <c r="B55" t="str">
        <f>"1552374901807346"</f>
        <v>1552374901807346</v>
      </c>
      <c r="C55" t="s">
        <v>40</v>
      </c>
      <c r="D55">
        <v>4.6283760000000003</v>
      </c>
      <c r="E55">
        <v>0.56383619999999901</v>
      </c>
      <c r="F55" t="s">
        <v>41</v>
      </c>
      <c r="G55">
        <v>-474.6069</v>
      </c>
      <c r="H55">
        <v>0.93503259999999999</v>
      </c>
      <c r="I55">
        <v>367.1275</v>
      </c>
      <c r="J55">
        <v>-475.27969999999999</v>
      </c>
      <c r="K55">
        <v>1.109775</v>
      </c>
      <c r="L55">
        <v>367.2319</v>
      </c>
      <c r="M55">
        <v>0.99989689999999998</v>
      </c>
      <c r="N55">
        <v>0</v>
      </c>
      <c r="O55">
        <v>9.391992E-3</v>
      </c>
      <c r="P55">
        <v>0.99882400000000005</v>
      </c>
      <c r="Q55">
        <v>-4.1070160000000001E-2</v>
      </c>
      <c r="R55">
        <v>2.5767459999999999E-2</v>
      </c>
      <c r="S55">
        <v>2.9839479999999998</v>
      </c>
      <c r="T55">
        <v>-0.73787159999999996</v>
      </c>
      <c r="U55">
        <v>-0.43713380000000002</v>
      </c>
      <c r="V55">
        <v>-1.6385279999999999E-2</v>
      </c>
      <c r="W55">
        <v>-3.020917E-2</v>
      </c>
      <c r="X55">
        <v>0.99940929999999994</v>
      </c>
      <c r="Y55">
        <v>0.14954529999999999</v>
      </c>
      <c r="Z55">
        <v>-2.0399830000000001E-2</v>
      </c>
      <c r="AA55">
        <v>0.98854439999999999</v>
      </c>
      <c r="AB55">
        <v>3</v>
      </c>
      <c r="AC55">
        <v>0.67279999999999496</v>
      </c>
      <c r="AD55">
        <v>-0.17474239999999999</v>
      </c>
      <c r="AE55">
        <v>-0.10439999999999799</v>
      </c>
      <c r="AF55">
        <v>0.103872555890747</v>
      </c>
      <c r="AG55">
        <v>-0.17474239999999999</v>
      </c>
      <c r="AH55">
        <v>0.63027328316408304</v>
      </c>
      <c r="AI55">
        <v>105.29943627508101</v>
      </c>
      <c r="AJ55">
        <v>80.641459285646604</v>
      </c>
      <c r="AK55">
        <v>0.66224529118406605</v>
      </c>
      <c r="AL55">
        <v>91.731121295955205</v>
      </c>
      <c r="AM55">
        <v>90.939278119754704</v>
      </c>
      <c r="AN55">
        <v>1.00000001013962</v>
      </c>
    </row>
    <row r="56" spans="1:40" x14ac:dyDescent="0.25">
      <c r="A56" t="str">
        <f>"20190312151501837"</f>
        <v>20190312151501837</v>
      </c>
      <c r="B56" t="str">
        <f>"1552374901827846"</f>
        <v>1552374901827846</v>
      </c>
      <c r="C56" t="s">
        <v>40</v>
      </c>
      <c r="D56">
        <v>4.6350369999999996</v>
      </c>
      <c r="E56">
        <v>0.56369950000000002</v>
      </c>
      <c r="F56" t="s">
        <v>41</v>
      </c>
      <c r="G56">
        <v>-474.57069999999999</v>
      </c>
      <c r="H56">
        <v>0.9339653</v>
      </c>
      <c r="I56">
        <v>367.12880000000001</v>
      </c>
      <c r="J56">
        <v>-475.23899999999998</v>
      </c>
      <c r="K56">
        <v>1.1093470000000001</v>
      </c>
      <c r="L56">
        <v>367.23259999999999</v>
      </c>
      <c r="M56">
        <v>0.9999093</v>
      </c>
      <c r="N56">
        <v>0</v>
      </c>
      <c r="O56">
        <v>9.6922640000000008E-3</v>
      </c>
      <c r="P56">
        <v>0.99886920000000001</v>
      </c>
      <c r="Q56">
        <v>-3.984994E-2</v>
      </c>
      <c r="R56">
        <v>2.5931900000000001E-2</v>
      </c>
      <c r="S56">
        <v>2.9843139999999999</v>
      </c>
      <c r="T56">
        <v>-0.74003390000000002</v>
      </c>
      <c r="U56">
        <v>-0.4339905</v>
      </c>
      <c r="V56">
        <v>-1.624741E-2</v>
      </c>
      <c r="W56">
        <v>-3.0490360000000001E-2</v>
      </c>
      <c r="X56">
        <v>0.99940300000000004</v>
      </c>
      <c r="Y56">
        <v>0.14879139999999999</v>
      </c>
      <c r="Z56">
        <v>-2.04383E-2</v>
      </c>
      <c r="AA56">
        <v>0.98865740000000002</v>
      </c>
      <c r="AB56">
        <v>4</v>
      </c>
      <c r="AC56">
        <v>0.66830000000004397</v>
      </c>
      <c r="AD56">
        <v>-0.175381699999999</v>
      </c>
      <c r="AE56">
        <v>-0.10379999999997799</v>
      </c>
      <c r="AF56">
        <v>0.103324483887355</v>
      </c>
      <c r="AG56">
        <v>-0.175381699999999</v>
      </c>
      <c r="AH56">
        <v>0.62521843079281902</v>
      </c>
      <c r="AI56">
        <v>105.469896635944</v>
      </c>
      <c r="AJ56">
        <v>80.616034389127407</v>
      </c>
      <c r="AK56">
        <v>0.657520171453708</v>
      </c>
      <c r="AL56">
        <v>91.747239741727498</v>
      </c>
      <c r="AM56">
        <v>90.931382058035695</v>
      </c>
      <c r="AN56">
        <v>0.99999999839681797</v>
      </c>
    </row>
    <row r="57" spans="1:40" x14ac:dyDescent="0.25">
      <c r="A57" t="str">
        <f>"20190312151501861"</f>
        <v>20190312151501861</v>
      </c>
      <c r="B57" t="str">
        <f>"1552374901858098"</f>
        <v>1552374901858098</v>
      </c>
      <c r="C57" t="s">
        <v>40</v>
      </c>
      <c r="D57">
        <v>4.6030220000000002</v>
      </c>
      <c r="E57">
        <v>0.56358580000000003</v>
      </c>
      <c r="F57" t="s">
        <v>41</v>
      </c>
      <c r="G57">
        <v>-474.53149999999999</v>
      </c>
      <c r="H57">
        <v>0.93416480000000002</v>
      </c>
      <c r="I57">
        <v>367.12979999999999</v>
      </c>
      <c r="J57">
        <v>-475.1925</v>
      </c>
      <c r="K57">
        <v>1.109008</v>
      </c>
      <c r="L57">
        <v>367.23340000000002</v>
      </c>
      <c r="M57">
        <v>0.99991839999999999</v>
      </c>
      <c r="N57">
        <v>0</v>
      </c>
      <c r="O57">
        <v>1.007917E-2</v>
      </c>
      <c r="P57">
        <v>0.99891070000000004</v>
      </c>
      <c r="Q57">
        <v>-3.8251460000000001E-2</v>
      </c>
      <c r="R57">
        <v>2.6728720000000001E-2</v>
      </c>
      <c r="S57">
        <v>2.9851380000000001</v>
      </c>
      <c r="T57">
        <v>-0.73939679999999997</v>
      </c>
      <c r="U57">
        <v>-0.43231199999999997</v>
      </c>
      <c r="V57">
        <v>-1.6654430000000001E-2</v>
      </c>
      <c r="W57">
        <v>-3.0398390000000001E-2</v>
      </c>
      <c r="X57">
        <v>0.99939909999999998</v>
      </c>
      <c r="Y57">
        <v>0.1485948</v>
      </c>
      <c r="Z57">
        <v>-2.048664E-2</v>
      </c>
      <c r="AA57">
        <v>0.98868599999999995</v>
      </c>
      <c r="AB57">
        <v>4</v>
      </c>
      <c r="AC57">
        <v>0.66100000000000103</v>
      </c>
      <c r="AD57">
        <v>-0.174843199999999</v>
      </c>
      <c r="AE57">
        <v>-0.103600000000028</v>
      </c>
      <c r="AF57">
        <v>0.103209153944889</v>
      </c>
      <c r="AG57">
        <v>-0.174843199999999</v>
      </c>
      <c r="AH57">
        <v>0.61773711885403304</v>
      </c>
      <c r="AI57">
        <v>105.598064157732</v>
      </c>
      <c r="AJ57">
        <v>80.514850440546496</v>
      </c>
      <c r="AK57">
        <v>0.65024720072780196</v>
      </c>
      <c r="AL57">
        <v>91.741967808236794</v>
      </c>
      <c r="AM57">
        <v>90.954713920578499</v>
      </c>
      <c r="AN57">
        <v>0.999999996617013</v>
      </c>
    </row>
    <row r="58" spans="1:40" x14ac:dyDescent="0.25">
      <c r="A58" t="str">
        <f>"20190312151501883"</f>
        <v>20190312151501883</v>
      </c>
      <c r="B58" t="str">
        <f>"1552374901878265"</f>
        <v>1552374901878265</v>
      </c>
      <c r="C58" t="s">
        <v>40</v>
      </c>
      <c r="D58">
        <v>4.6910249999999998</v>
      </c>
      <c r="E58">
        <v>0.5635059</v>
      </c>
      <c r="F58" t="s">
        <v>41</v>
      </c>
      <c r="G58">
        <v>-474.4905</v>
      </c>
      <c r="H58">
        <v>0.93494580000000005</v>
      </c>
      <c r="I58">
        <v>367.13240000000002</v>
      </c>
      <c r="J58">
        <v>-475.14609999999999</v>
      </c>
      <c r="K58">
        <v>1.1088389999999999</v>
      </c>
      <c r="L58">
        <v>367.23419999999999</v>
      </c>
      <c r="M58">
        <v>0.99992199999999998</v>
      </c>
      <c r="N58">
        <v>0</v>
      </c>
      <c r="O58">
        <v>1.049508E-2</v>
      </c>
      <c r="P58">
        <v>0.99893560000000003</v>
      </c>
      <c r="Q58">
        <v>-3.7090199999999997E-2</v>
      </c>
      <c r="R58">
        <v>2.742988E-2</v>
      </c>
      <c r="S58">
        <v>2.98645</v>
      </c>
      <c r="T58">
        <v>-0.740511699999999</v>
      </c>
      <c r="U58">
        <v>-0.42938229999999999</v>
      </c>
      <c r="V58">
        <v>-1.6937540000000001E-2</v>
      </c>
      <c r="W58">
        <v>-3.0316860000000001E-2</v>
      </c>
      <c r="X58">
        <v>0.99939679999999997</v>
      </c>
      <c r="Y58">
        <v>0.1479887</v>
      </c>
      <c r="Z58">
        <v>-2.0536789999999999E-2</v>
      </c>
      <c r="AA58">
        <v>0.98877579999999998</v>
      </c>
      <c r="AB58">
        <v>4</v>
      </c>
      <c r="AC58">
        <v>0.65559999999999197</v>
      </c>
      <c r="AD58">
        <v>-0.173893199999999</v>
      </c>
      <c r="AE58">
        <v>-0.101799999999968</v>
      </c>
      <c r="AF58">
        <v>0.101689333750314</v>
      </c>
      <c r="AG58">
        <v>-0.173893199999999</v>
      </c>
      <c r="AH58">
        <v>0.61242356850459301</v>
      </c>
      <c r="AI58">
        <v>105.64796194498</v>
      </c>
      <c r="AJ58">
        <v>80.572386439336796</v>
      </c>
      <c r="AK58">
        <v>0.64470318198743504</v>
      </c>
      <c r="AL58">
        <v>91.737294361570605</v>
      </c>
      <c r="AM58">
        <v>90.970942332760799</v>
      </c>
      <c r="AN58">
        <v>0.99999997805587504</v>
      </c>
    </row>
    <row r="59" spans="1:40" x14ac:dyDescent="0.25">
      <c r="A59" t="str">
        <f>"20190312151501905"</f>
        <v>20190312151501905</v>
      </c>
      <c r="B59" t="str">
        <f>"1552374901897763"</f>
        <v>1552374901897763</v>
      </c>
      <c r="C59" t="s">
        <v>40</v>
      </c>
      <c r="D59">
        <v>4.6457889999999997</v>
      </c>
      <c r="E59">
        <v>0.56343469999999996</v>
      </c>
      <c r="F59" t="s">
        <v>41</v>
      </c>
      <c r="G59">
        <v>-474.44779999999997</v>
      </c>
      <c r="H59">
        <v>0.93569409999999997</v>
      </c>
      <c r="I59">
        <v>367.13409999999999</v>
      </c>
      <c r="J59">
        <v>-475.09969999999998</v>
      </c>
      <c r="K59">
        <v>1.1089089999999999</v>
      </c>
      <c r="L59">
        <v>367.23520000000002</v>
      </c>
      <c r="M59">
        <v>0.99991980000000003</v>
      </c>
      <c r="N59">
        <v>0</v>
      </c>
      <c r="O59">
        <v>1.085969E-2</v>
      </c>
      <c r="P59">
        <v>0.99894709999999998</v>
      </c>
      <c r="Q59">
        <v>-3.6488279999999998E-2</v>
      </c>
      <c r="R59">
        <v>2.7808630000000001E-2</v>
      </c>
      <c r="S59">
        <v>2.9874269999999998</v>
      </c>
      <c r="T59">
        <v>-0.74105909999999997</v>
      </c>
      <c r="U59">
        <v>-0.4268188</v>
      </c>
      <c r="V59">
        <v>-1.6951529999999999E-2</v>
      </c>
      <c r="W59">
        <v>-2.9973949999999999E-2</v>
      </c>
      <c r="X59">
        <v>0.99940689999999999</v>
      </c>
      <c r="Y59">
        <v>0.14747209999999999</v>
      </c>
      <c r="Z59">
        <v>-2.0572130000000001E-2</v>
      </c>
      <c r="AA59">
        <v>0.98885230000000002</v>
      </c>
      <c r="AB59">
        <v>5</v>
      </c>
      <c r="AC59">
        <v>0.65190000000001103</v>
      </c>
      <c r="AD59">
        <v>-0.1732149</v>
      </c>
      <c r="AE59">
        <v>-0.10110000000003</v>
      </c>
      <c r="AF59">
        <v>0.10119685979473</v>
      </c>
      <c r="AG59">
        <v>-0.1732149</v>
      </c>
      <c r="AH59">
        <v>0.608792000732023</v>
      </c>
      <c r="AI59">
        <v>105.677896723164</v>
      </c>
      <c r="AJ59">
        <v>80.562263752959296</v>
      </c>
      <c r="AK59">
        <v>0.64099290648931795</v>
      </c>
      <c r="AL59">
        <v>91.717638142568504</v>
      </c>
      <c r="AM59">
        <v>90.971734335461704</v>
      </c>
      <c r="AN59">
        <v>0.99999997190777601</v>
      </c>
    </row>
    <row r="60" spans="1:40" x14ac:dyDescent="0.25">
      <c r="A60" t="str">
        <f>"20190312151501928"</f>
        <v>20190312151501928</v>
      </c>
      <c r="B60" t="str">
        <f>"1552374901918260"</f>
        <v>1552374901918260</v>
      </c>
      <c r="C60" t="s">
        <v>40</v>
      </c>
      <c r="D60">
        <v>4.5110950000000001</v>
      </c>
      <c r="E60">
        <v>0.56356989999999996</v>
      </c>
      <c r="F60" t="s">
        <v>41</v>
      </c>
      <c r="G60">
        <v>-474.40649999999999</v>
      </c>
      <c r="H60">
        <v>0.93656620000000002</v>
      </c>
      <c r="I60">
        <v>367.13670000000002</v>
      </c>
      <c r="J60">
        <v>-475.05459999999999</v>
      </c>
      <c r="K60">
        <v>1.1092770000000001</v>
      </c>
      <c r="L60">
        <v>367.23610000000002</v>
      </c>
      <c r="M60">
        <v>0.99990919999999905</v>
      </c>
      <c r="N60">
        <v>0</v>
      </c>
      <c r="O60">
        <v>1.1136460000000001E-2</v>
      </c>
      <c r="P60">
        <v>0.99890109999999999</v>
      </c>
      <c r="Q60">
        <v>-3.7235329999999997E-2</v>
      </c>
      <c r="R60">
        <v>2.846626E-2</v>
      </c>
      <c r="S60">
        <v>2.9878849999999999</v>
      </c>
      <c r="T60">
        <v>-0.742573699999999</v>
      </c>
      <c r="U60">
        <v>-0.42483520000000002</v>
      </c>
      <c r="V60">
        <v>-1.733581E-2</v>
      </c>
      <c r="W60">
        <v>-2.9648890000000001E-2</v>
      </c>
      <c r="X60">
        <v>0.99941000000000002</v>
      </c>
      <c r="Y60">
        <v>0.14706669999999999</v>
      </c>
      <c r="Z60">
        <v>-2.0628939999999998E-2</v>
      </c>
      <c r="AA60">
        <v>0.9889114</v>
      </c>
      <c r="AB60">
        <v>5</v>
      </c>
      <c r="AC60">
        <v>0.64809999999999901</v>
      </c>
      <c r="AD60">
        <v>-0.1727108</v>
      </c>
      <c r="AE60">
        <v>-9.9400000000002806E-2</v>
      </c>
      <c r="AF60">
        <v>9.9694416010545406E-2</v>
      </c>
      <c r="AG60">
        <v>-0.1727108</v>
      </c>
      <c r="AH60">
        <v>0.60497725336241204</v>
      </c>
      <c r="AI60">
        <v>105.731682128271</v>
      </c>
      <c r="AJ60">
        <v>80.642308748624799</v>
      </c>
      <c r="AK60">
        <v>0.63699723241647799</v>
      </c>
      <c r="AL60">
        <v>91.699005301751598</v>
      </c>
      <c r="AM60">
        <v>90.993755461172199</v>
      </c>
      <c r="AN60">
        <v>0.99999996754329301</v>
      </c>
    </row>
    <row r="61" spans="1:40" x14ac:dyDescent="0.25">
      <c r="A61" t="str">
        <f>"20190312151501952"</f>
        <v>20190312151501952</v>
      </c>
      <c r="B61" t="str">
        <f>"1552374901947540"</f>
        <v>1552374901947540</v>
      </c>
      <c r="C61" t="s">
        <v>40</v>
      </c>
      <c r="D61">
        <v>4.5334909999999997</v>
      </c>
      <c r="E61">
        <v>0.56376519999999997</v>
      </c>
      <c r="F61" t="s">
        <v>41</v>
      </c>
      <c r="G61">
        <v>-474.36790000000002</v>
      </c>
      <c r="H61">
        <v>0.93825199999999997</v>
      </c>
      <c r="I61">
        <v>367.13810000000001</v>
      </c>
      <c r="J61">
        <v>-475.00760000000002</v>
      </c>
      <c r="K61">
        <v>1.1093059999999999</v>
      </c>
      <c r="L61">
        <v>367.23700000000002</v>
      </c>
      <c r="M61">
        <v>0.9999055</v>
      </c>
      <c r="N61">
        <v>0</v>
      </c>
      <c r="O61">
        <v>1.142761E-2</v>
      </c>
      <c r="P61">
        <v>0.99889329999999998</v>
      </c>
      <c r="Q61">
        <v>-3.7056350000000002E-2</v>
      </c>
      <c r="R61">
        <v>2.8970869999999999E-2</v>
      </c>
      <c r="S61">
        <v>2.9876399999999999</v>
      </c>
      <c r="T61">
        <v>-0.74439160000000004</v>
      </c>
      <c r="U61">
        <v>-0.42477419999999999</v>
      </c>
      <c r="V61">
        <v>-1.755085E-2</v>
      </c>
      <c r="W61">
        <v>-2.941328E-2</v>
      </c>
      <c r="X61">
        <v>0.99941329999999995</v>
      </c>
      <c r="Y61">
        <v>0.14730650000000001</v>
      </c>
      <c r="Z61">
        <v>-2.0780030000000001E-2</v>
      </c>
      <c r="AA61">
        <v>0.98887259999999999</v>
      </c>
      <c r="AB61">
        <v>5</v>
      </c>
      <c r="AC61">
        <v>0.63970000000000404</v>
      </c>
      <c r="AD61">
        <v>-0.17105399999999901</v>
      </c>
      <c r="AE61">
        <v>-9.8899999999957799E-2</v>
      </c>
      <c r="AF61">
        <v>9.9271647434918606E-2</v>
      </c>
      <c r="AG61">
        <v>-0.17105399999999901</v>
      </c>
      <c r="AH61">
        <v>0.59684878556591703</v>
      </c>
      <c r="AI61">
        <v>105.786200214318</v>
      </c>
      <c r="AJ61">
        <v>80.556653597369106</v>
      </c>
      <c r="AK61">
        <v>0.62876291535995699</v>
      </c>
      <c r="AL61">
        <v>91.685499798628399</v>
      </c>
      <c r="AM61">
        <v>91.006076543462498</v>
      </c>
      <c r="AN61">
        <v>1.0000000587964799</v>
      </c>
    </row>
    <row r="62" spans="1:40" x14ac:dyDescent="0.25">
      <c r="A62" t="str">
        <f>"20190312151501973"</f>
        <v>20190312151501973</v>
      </c>
      <c r="B62" t="str">
        <f>"1552374901968035"</f>
        <v>1552374901968035</v>
      </c>
      <c r="C62" t="s">
        <v>40</v>
      </c>
      <c r="D62">
        <v>4.6419550000000003</v>
      </c>
      <c r="E62">
        <v>0.5637683</v>
      </c>
      <c r="F62" t="s">
        <v>41</v>
      </c>
      <c r="G62">
        <v>-474.32560000000001</v>
      </c>
      <c r="H62">
        <v>0.9395154</v>
      </c>
      <c r="I62">
        <v>367.14</v>
      </c>
      <c r="J62">
        <v>-474.95870000000002</v>
      </c>
      <c r="K62">
        <v>1.1090070000000001</v>
      </c>
      <c r="L62">
        <v>367.238</v>
      </c>
      <c r="M62">
        <v>0.99990959999999995</v>
      </c>
      <c r="N62">
        <v>0</v>
      </c>
      <c r="O62">
        <v>1.178153E-2</v>
      </c>
      <c r="P62">
        <v>0.99891319999999995</v>
      </c>
      <c r="Q62">
        <v>-3.6284700000000003E-2</v>
      </c>
      <c r="R62">
        <v>2.9259690000000001E-2</v>
      </c>
      <c r="S62">
        <v>2.9880369999999998</v>
      </c>
      <c r="T62">
        <v>-0.74397919999999995</v>
      </c>
      <c r="U62">
        <v>-0.42495729999999998</v>
      </c>
      <c r="V62">
        <v>-1.748537E-2</v>
      </c>
      <c r="W62">
        <v>-2.9793750000000001E-2</v>
      </c>
      <c r="X62">
        <v>0.99940309999999999</v>
      </c>
      <c r="Y62">
        <v>0.1476819</v>
      </c>
      <c r="Z62">
        <v>-2.0898320000000001E-2</v>
      </c>
      <c r="AA62">
        <v>0.98881410000000003</v>
      </c>
      <c r="AB62">
        <v>4</v>
      </c>
      <c r="AC62">
        <v>0.63310000000001299</v>
      </c>
      <c r="AD62">
        <v>-0.16949159999999999</v>
      </c>
      <c r="AE62">
        <v>-9.8000000000070003E-2</v>
      </c>
      <c r="AF62">
        <v>9.8553938699544805E-2</v>
      </c>
      <c r="AG62">
        <v>-0.16949159999999999</v>
      </c>
      <c r="AH62">
        <v>0.59056474665652703</v>
      </c>
      <c r="AI62">
        <v>105.805990840828</v>
      </c>
      <c r="AJ62">
        <v>80.525738850335401</v>
      </c>
      <c r="AK62">
        <v>0.62225959317413604</v>
      </c>
      <c r="AL62">
        <v>91.707308813976098</v>
      </c>
      <c r="AM62">
        <v>91.002333994132499</v>
      </c>
      <c r="AN62">
        <v>0.99999998099635401</v>
      </c>
    </row>
    <row r="63" spans="1:40" x14ac:dyDescent="0.25">
      <c r="A63" t="str">
        <f>"20190312151501996"</f>
        <v>20190312151501996</v>
      </c>
      <c r="B63" t="str">
        <f>"1552374901987555"</f>
        <v>1552374901987555</v>
      </c>
      <c r="C63" t="s">
        <v>40</v>
      </c>
      <c r="D63">
        <v>4.5708919999999997</v>
      </c>
      <c r="E63">
        <v>0.56379840000000003</v>
      </c>
      <c r="F63" t="s">
        <v>41</v>
      </c>
      <c r="G63">
        <v>-474.23599999999999</v>
      </c>
      <c r="H63">
        <v>0.9289731</v>
      </c>
      <c r="I63">
        <v>367.13529999999997</v>
      </c>
      <c r="J63">
        <v>-474.90159999999997</v>
      </c>
      <c r="K63">
        <v>1.1087389999999999</v>
      </c>
      <c r="L63">
        <v>367.23910000000001</v>
      </c>
      <c r="M63">
        <v>0.99991160000000001</v>
      </c>
      <c r="N63">
        <v>0</v>
      </c>
      <c r="O63">
        <v>1.22387E-2</v>
      </c>
      <c r="P63">
        <v>0.99893620000000005</v>
      </c>
      <c r="Q63">
        <v>-3.5326700000000003E-2</v>
      </c>
      <c r="R63">
        <v>2.9641509999999999E-2</v>
      </c>
      <c r="S63">
        <v>2.9886469999999998</v>
      </c>
      <c r="T63">
        <v>-0.74472479999999996</v>
      </c>
      <c r="U63">
        <v>-0.42337039999999998</v>
      </c>
      <c r="V63">
        <v>-1.7408469999999999E-2</v>
      </c>
      <c r="W63">
        <v>-3.0130480000000001E-2</v>
      </c>
      <c r="X63">
        <v>0.99939440000000002</v>
      </c>
      <c r="Y63">
        <v>0.14757239999999999</v>
      </c>
      <c r="Z63">
        <v>-2.10136E-2</v>
      </c>
      <c r="AA63">
        <v>0.98882800000000004</v>
      </c>
      <c r="AB63">
        <v>5</v>
      </c>
      <c r="AC63">
        <v>0.66559999999998298</v>
      </c>
      <c r="AD63">
        <v>-0.17976589999999901</v>
      </c>
      <c r="AE63">
        <v>-0.103800000000035</v>
      </c>
      <c r="AF63">
        <v>0.104496990779264</v>
      </c>
      <c r="AG63">
        <v>-0.17976589999999901</v>
      </c>
      <c r="AH63">
        <v>0.62011987328373297</v>
      </c>
      <c r="AI63">
        <v>105.95304798665801</v>
      </c>
      <c r="AJ63">
        <v>80.434894763765797</v>
      </c>
      <c r="AK63">
        <v>0.65405202937240803</v>
      </c>
      <c r="AL63">
        <v>91.726610597105207</v>
      </c>
      <c r="AM63">
        <v>90.997935345790495</v>
      </c>
      <c r="AN63">
        <v>1.00000003370206</v>
      </c>
    </row>
    <row r="64" spans="1:40" x14ac:dyDescent="0.25">
      <c r="A64" t="str">
        <f>"20190312151502016"</f>
        <v>20190312151502016</v>
      </c>
      <c r="B64" t="str">
        <f>"1552374902008051"</f>
        <v>1552374902008051</v>
      </c>
      <c r="C64" t="s">
        <v>40</v>
      </c>
      <c r="D64">
        <v>4.571142</v>
      </c>
      <c r="E64">
        <v>0.56383430000000001</v>
      </c>
      <c r="F64" t="s">
        <v>41</v>
      </c>
      <c r="G64">
        <v>-474.18520000000001</v>
      </c>
      <c r="H64">
        <v>0.93054139999999996</v>
      </c>
      <c r="I64">
        <v>367.13749999999999</v>
      </c>
      <c r="J64">
        <v>-474.85019999999997</v>
      </c>
      <c r="K64">
        <v>1.1086180000000001</v>
      </c>
      <c r="L64">
        <v>367.24009999999998</v>
      </c>
      <c r="M64">
        <v>0.99991050000000004</v>
      </c>
      <c r="N64">
        <v>0</v>
      </c>
      <c r="O64">
        <v>1.266899E-2</v>
      </c>
      <c r="P64">
        <v>0.99895369999999994</v>
      </c>
      <c r="Q64">
        <v>-3.4541309999999999E-2</v>
      </c>
      <c r="R64">
        <v>2.9981979999999998E-2</v>
      </c>
      <c r="S64">
        <v>2.9893800000000001</v>
      </c>
      <c r="T64">
        <v>-0.74381529999999996</v>
      </c>
      <c r="U64">
        <v>-0.42248540000000001</v>
      </c>
      <c r="V64">
        <v>-1.7317409999999998E-2</v>
      </c>
      <c r="W64">
        <v>-3.0196569999999999E-2</v>
      </c>
      <c r="X64">
        <v>0.99939389999999995</v>
      </c>
      <c r="Y64">
        <v>0.14767449999999999</v>
      </c>
      <c r="Z64">
        <v>-2.1101600000000002E-2</v>
      </c>
      <c r="AA64">
        <v>0.98881090000000005</v>
      </c>
      <c r="AB64">
        <v>5</v>
      </c>
      <c r="AC64">
        <v>0.66499999999996295</v>
      </c>
      <c r="AD64">
        <v>-0.1780766</v>
      </c>
      <c r="AE64">
        <v>-0.102599999999995</v>
      </c>
      <c r="AF64">
        <v>0.103749951108783</v>
      </c>
      <c r="AG64">
        <v>-0.1780766</v>
      </c>
      <c r="AH64">
        <v>0.62020675525869295</v>
      </c>
      <c r="AI64">
        <v>105.811569645481</v>
      </c>
      <c r="AJ64">
        <v>80.503330929579903</v>
      </c>
      <c r="AK64">
        <v>0.65355317082174103</v>
      </c>
      <c r="AL64">
        <v>91.7303991498936</v>
      </c>
      <c r="AM64">
        <v>90.992716902397405</v>
      </c>
      <c r="AN64">
        <v>0.99999994644304002</v>
      </c>
    </row>
    <row r="65" spans="1:40" x14ac:dyDescent="0.25">
      <c r="A65" t="str">
        <f>"20190312151502039"</f>
        <v>20190312151502039</v>
      </c>
      <c r="B65" t="str">
        <f>"1552374902027579"</f>
        <v>1552374902027579</v>
      </c>
      <c r="C65" t="s">
        <v>40</v>
      </c>
      <c r="D65">
        <v>4.4889679999999998</v>
      </c>
      <c r="E65">
        <v>0.56382279999999996</v>
      </c>
      <c r="F65" t="s">
        <v>41</v>
      </c>
      <c r="G65">
        <v>-474.13319999999999</v>
      </c>
      <c r="H65">
        <v>0.93048010000000003</v>
      </c>
      <c r="I65">
        <v>367.1388</v>
      </c>
      <c r="J65">
        <v>-474.79250000000002</v>
      </c>
      <c r="K65">
        <v>1.1085469999999999</v>
      </c>
      <c r="L65">
        <v>367.24130000000002</v>
      </c>
      <c r="M65">
        <v>0.99990699999999999</v>
      </c>
      <c r="N65">
        <v>0</v>
      </c>
      <c r="O65">
        <v>1.3162800000000001E-2</v>
      </c>
      <c r="P65">
        <v>0.99896569999999996</v>
      </c>
      <c r="Q65">
        <v>-3.3996640000000002E-2</v>
      </c>
      <c r="R65">
        <v>3.0203279999999999E-2</v>
      </c>
      <c r="S65">
        <v>2.9901119999999999</v>
      </c>
      <c r="T65">
        <v>-0.74291750000000001</v>
      </c>
      <c r="U65">
        <v>-0.4220276</v>
      </c>
      <c r="V65">
        <v>-1.7042809999999999E-2</v>
      </c>
      <c r="W65">
        <v>-3.041114E-2</v>
      </c>
      <c r="X65">
        <v>0.99939219999999895</v>
      </c>
      <c r="Y65">
        <v>0.1479705</v>
      </c>
      <c r="Z65">
        <v>-2.1228500000000001E-2</v>
      </c>
      <c r="AA65">
        <v>0.98876390000000003</v>
      </c>
      <c r="AB65">
        <v>6</v>
      </c>
      <c r="AC65">
        <v>0.65930000000002997</v>
      </c>
      <c r="AD65">
        <v>-0.1780669</v>
      </c>
      <c r="AE65">
        <v>-0.10250000000002001</v>
      </c>
      <c r="AF65">
        <v>0.103777902676329</v>
      </c>
      <c r="AG65">
        <v>-0.1780669</v>
      </c>
      <c r="AH65">
        <v>0.61415120766725095</v>
      </c>
      <c r="AI65">
        <v>105.95454582523</v>
      </c>
      <c r="AJ65">
        <v>80.408888526753799</v>
      </c>
      <c r="AK65">
        <v>0.64781122237782396</v>
      </c>
      <c r="AL65">
        <v>91.742698605446293</v>
      </c>
      <c r="AM65">
        <v>90.976980252079898</v>
      </c>
      <c r="AN65">
        <v>1.0000000321148099</v>
      </c>
    </row>
    <row r="66" spans="1:40" x14ac:dyDescent="0.25">
      <c r="A66" t="str">
        <f>"20190312151502061"</f>
        <v>20190312151502061</v>
      </c>
      <c r="B66" t="str">
        <f>"1552374902057827"</f>
        <v>1552374902057827</v>
      </c>
      <c r="C66" t="s">
        <v>40</v>
      </c>
      <c r="D66">
        <v>4.6882999999999999</v>
      </c>
      <c r="E66">
        <v>0.5637974</v>
      </c>
      <c r="F66" t="s">
        <v>41</v>
      </c>
      <c r="G66">
        <v>-474.07870000000003</v>
      </c>
      <c r="H66">
        <v>0.93118250000000002</v>
      </c>
      <c r="I66">
        <v>367.14049999999997</v>
      </c>
      <c r="J66">
        <v>-474.73110000000003</v>
      </c>
      <c r="K66">
        <v>1.1084689999999999</v>
      </c>
      <c r="L66">
        <v>367.24270000000001</v>
      </c>
      <c r="M66">
        <v>0.99990250000000003</v>
      </c>
      <c r="N66">
        <v>0</v>
      </c>
      <c r="O66">
        <v>1.3693149999999999E-2</v>
      </c>
      <c r="P66">
        <v>0.99898339999999997</v>
      </c>
      <c r="Q66">
        <v>-3.3355450000000002E-2</v>
      </c>
      <c r="R66">
        <v>3.032953E-2</v>
      </c>
      <c r="S66">
        <v>2.9905400000000002</v>
      </c>
      <c r="T66">
        <v>-0.7432164</v>
      </c>
      <c r="U66">
        <v>-0.42117310000000002</v>
      </c>
      <c r="V66">
        <v>-1.663719E-2</v>
      </c>
      <c r="W66">
        <v>-3.0565459999999999E-2</v>
      </c>
      <c r="X66">
        <v>0.99939429999999996</v>
      </c>
      <c r="Y66">
        <v>0.14817339999999901</v>
      </c>
      <c r="Z66">
        <v>-2.1388250000000001E-2</v>
      </c>
      <c r="AA66">
        <v>0.98873009999999995</v>
      </c>
      <c r="AB66">
        <v>6</v>
      </c>
      <c r="AC66">
        <v>0.65239999999999998</v>
      </c>
      <c r="AD66">
        <v>-0.17728650000000001</v>
      </c>
      <c r="AE66">
        <v>-0.102200000000038</v>
      </c>
      <c r="AF66">
        <v>0.103652909321204</v>
      </c>
      <c r="AG66">
        <v>-0.17728650000000001</v>
      </c>
      <c r="AH66">
        <v>0.60717617075191599</v>
      </c>
      <c r="AI66">
        <v>106.05695130218101</v>
      </c>
      <c r="AJ66">
        <v>80.312250928966805</v>
      </c>
      <c r="AK66">
        <v>0.64096593592948403</v>
      </c>
      <c r="AL66">
        <v>91.751544649396607</v>
      </c>
      <c r="AM66">
        <v>90.953730401353397</v>
      </c>
      <c r="AN66">
        <v>1.0000000051542901</v>
      </c>
    </row>
    <row r="67" spans="1:40" x14ac:dyDescent="0.25">
      <c r="A67" t="str">
        <f>"20190312151502084"</f>
        <v>20190312151502084</v>
      </c>
      <c r="B67" t="str">
        <f>"1552374902078326"</f>
        <v>1552374902078326</v>
      </c>
      <c r="C67" t="s">
        <v>40</v>
      </c>
      <c r="D67">
        <v>4.7086499999999996</v>
      </c>
      <c r="E67">
        <v>0.56371039999999994</v>
      </c>
      <c r="F67" t="s">
        <v>41</v>
      </c>
      <c r="G67">
        <v>-474.0215</v>
      </c>
      <c r="H67">
        <v>0.9316953</v>
      </c>
      <c r="I67">
        <v>367.14269999999999</v>
      </c>
      <c r="J67">
        <v>-474.66300000000001</v>
      </c>
      <c r="K67">
        <v>1.108358</v>
      </c>
      <c r="L67">
        <v>367.24430000000001</v>
      </c>
      <c r="M67">
        <v>0.99989620000000001</v>
      </c>
      <c r="N67">
        <v>0</v>
      </c>
      <c r="O67">
        <v>1.428188E-2</v>
      </c>
      <c r="P67">
        <v>0.9989751</v>
      </c>
      <c r="Q67">
        <v>-3.277484E-2</v>
      </c>
      <c r="R67">
        <v>3.122173E-2</v>
      </c>
      <c r="S67">
        <v>2.990875</v>
      </c>
      <c r="T67">
        <v>-0.74548080000000005</v>
      </c>
      <c r="U67">
        <v>-0.42004390000000003</v>
      </c>
      <c r="V67">
        <v>-1.69401E-2</v>
      </c>
      <c r="W67">
        <v>-3.0899900000000001E-2</v>
      </c>
      <c r="X67">
        <v>0.99937889999999996</v>
      </c>
      <c r="Y67">
        <v>0.14832329999999999</v>
      </c>
      <c r="Z67">
        <v>-2.161196E-2</v>
      </c>
      <c r="AA67">
        <v>0.98870279999999999</v>
      </c>
      <c r="AB67">
        <v>6</v>
      </c>
      <c r="AC67">
        <v>0.64150000000000695</v>
      </c>
      <c r="AD67">
        <v>-0.17666269999999901</v>
      </c>
      <c r="AE67">
        <v>-0.10160000000001899</v>
      </c>
      <c r="AF67">
        <v>0.103122108093889</v>
      </c>
      <c r="AG67">
        <v>-0.17666269999999901</v>
      </c>
      <c r="AH67">
        <v>0.59589678342809804</v>
      </c>
      <c r="AI67">
        <v>106.28431610866799</v>
      </c>
      <c r="AJ67">
        <v>80.181994527778301</v>
      </c>
      <c r="AK67">
        <v>0.63002924951860095</v>
      </c>
      <c r="AL67">
        <v>91.770715753125202</v>
      </c>
      <c r="AM67">
        <v>90.9711064463024</v>
      </c>
      <c r="AN67">
        <v>0.99999997828661402</v>
      </c>
    </row>
    <row r="68" spans="1:40" x14ac:dyDescent="0.25">
      <c r="A68" t="str">
        <f>"20190312151502106"</f>
        <v>20190312151502106</v>
      </c>
      <c r="B68" t="str">
        <f>"1552374902097843"</f>
        <v>1552374902097843</v>
      </c>
      <c r="C68" t="s">
        <v>40</v>
      </c>
      <c r="D68">
        <v>4.7038140000000004</v>
      </c>
      <c r="E68">
        <v>0.56367409999999996</v>
      </c>
      <c r="F68" t="s">
        <v>41</v>
      </c>
      <c r="G68">
        <v>-473.96129999999999</v>
      </c>
      <c r="H68">
        <v>0.93319260000000004</v>
      </c>
      <c r="I68">
        <v>367.14640000000003</v>
      </c>
      <c r="J68">
        <v>-474.59629999999999</v>
      </c>
      <c r="K68">
        <v>1.108274</v>
      </c>
      <c r="L68">
        <v>367.24579999999997</v>
      </c>
      <c r="M68">
        <v>0.99988920000000003</v>
      </c>
      <c r="N68">
        <v>0</v>
      </c>
      <c r="O68">
        <v>1.485419E-2</v>
      </c>
      <c r="P68">
        <v>0.99897360000000002</v>
      </c>
      <c r="Q68">
        <v>-3.2214350000000003E-2</v>
      </c>
      <c r="R68">
        <v>3.1844280000000003E-2</v>
      </c>
      <c r="S68">
        <v>2.991638</v>
      </c>
      <c r="T68">
        <v>-0.74690080000000003</v>
      </c>
      <c r="U68">
        <v>-0.41659550000000001</v>
      </c>
      <c r="V68">
        <v>-1.6989529999999999E-2</v>
      </c>
      <c r="W68">
        <v>-3.1135320000000001E-2</v>
      </c>
      <c r="X68">
        <v>0.9993708</v>
      </c>
      <c r="Y68">
        <v>0.1477203</v>
      </c>
      <c r="Z68">
        <v>-2.1714580000000001E-2</v>
      </c>
      <c r="AA68">
        <v>0.98879079999999997</v>
      </c>
      <c r="AB68">
        <v>6</v>
      </c>
      <c r="AC68">
        <v>0.63499999999999002</v>
      </c>
      <c r="AD68">
        <v>-0.1750814</v>
      </c>
      <c r="AE68">
        <v>-9.9399999999945907E-2</v>
      </c>
      <c r="AF68">
        <v>0.101304397448526</v>
      </c>
      <c r="AG68">
        <v>-0.1750814</v>
      </c>
      <c r="AH68">
        <v>0.58969641906449799</v>
      </c>
      <c r="AI68">
        <v>106.31023959834801</v>
      </c>
      <c r="AJ68">
        <v>80.252263092675904</v>
      </c>
      <c r="AK68">
        <v>0.62342436929098399</v>
      </c>
      <c r="AL68">
        <v>91.784210737429405</v>
      </c>
      <c r="AM68">
        <v>90.973947412782394</v>
      </c>
      <c r="AN68">
        <v>1.00000002408688</v>
      </c>
    </row>
    <row r="69" spans="1:40" x14ac:dyDescent="0.25">
      <c r="A69" t="str">
        <f>"20190312151502130"</f>
        <v>20190312151502130</v>
      </c>
      <c r="B69" t="str">
        <f>"1552374902117364"</f>
        <v>1552374902117364</v>
      </c>
      <c r="C69" t="s">
        <v>40</v>
      </c>
      <c r="D69">
        <v>4.766038</v>
      </c>
      <c r="E69">
        <v>0.56362179999999995</v>
      </c>
      <c r="F69" t="s">
        <v>41</v>
      </c>
      <c r="G69">
        <v>-473.89890000000003</v>
      </c>
      <c r="H69">
        <v>0.93372960000000005</v>
      </c>
      <c r="I69">
        <v>367.14909999999998</v>
      </c>
      <c r="J69">
        <v>-474.52710000000002</v>
      </c>
      <c r="K69">
        <v>1.108565</v>
      </c>
      <c r="L69">
        <v>367.2475</v>
      </c>
      <c r="M69">
        <v>0.99988010000000005</v>
      </c>
      <c r="N69">
        <v>0</v>
      </c>
      <c r="O69">
        <v>1.5386840000000001E-2</v>
      </c>
      <c r="P69">
        <v>0.99892599999999998</v>
      </c>
      <c r="Q69">
        <v>-3.3129899999999997E-2</v>
      </c>
      <c r="R69">
        <v>3.2397589999999997E-2</v>
      </c>
      <c r="S69">
        <v>2.9921570000000002</v>
      </c>
      <c r="T69">
        <v>-0.74895480000000003</v>
      </c>
      <c r="U69">
        <v>-0.4145508</v>
      </c>
      <c r="V69">
        <v>-1.7013230000000001E-2</v>
      </c>
      <c r="W69">
        <v>-3.138436E-2</v>
      </c>
      <c r="X69">
        <v>0.99936259999999999</v>
      </c>
      <c r="Y69">
        <v>0.14752470000000001</v>
      </c>
      <c r="Z69">
        <v>-2.1876639999999999E-2</v>
      </c>
      <c r="AA69">
        <v>0.98881640000000004</v>
      </c>
      <c r="AB69">
        <v>7</v>
      </c>
      <c r="AC69">
        <v>0.62819999999999199</v>
      </c>
      <c r="AD69">
        <v>-0.174835399999999</v>
      </c>
      <c r="AE69">
        <v>-9.8400000000026397E-2</v>
      </c>
      <c r="AF69">
        <v>0.10045940139430901</v>
      </c>
      <c r="AG69">
        <v>-0.174835399999999</v>
      </c>
      <c r="AH69">
        <v>0.58256799445069896</v>
      </c>
      <c r="AI69">
        <v>106.475402336287</v>
      </c>
      <c r="AJ69">
        <v>80.216003313818206</v>
      </c>
      <c r="AK69">
        <v>0.61647788004110304</v>
      </c>
      <c r="AL69">
        <v>91.798486667266701</v>
      </c>
      <c r="AM69">
        <v>90.975313785626398</v>
      </c>
      <c r="AN69">
        <v>1.0000000171632</v>
      </c>
    </row>
    <row r="70" spans="1:40" x14ac:dyDescent="0.25">
      <c r="A70" t="str">
        <f>"20190312151502165"</f>
        <v>20190312151502165</v>
      </c>
      <c r="B70" t="str">
        <f>"1552374902158356"</f>
        <v>1552374902158356</v>
      </c>
      <c r="C70" t="s">
        <v>40</v>
      </c>
      <c r="D70">
        <v>4.6654819999999999</v>
      </c>
      <c r="E70">
        <v>0.56354309999999996</v>
      </c>
      <c r="F70" t="s">
        <v>41</v>
      </c>
      <c r="G70">
        <v>-473.83949999999999</v>
      </c>
      <c r="H70">
        <v>0.93516049999999995</v>
      </c>
      <c r="I70">
        <v>367.1524</v>
      </c>
      <c r="J70">
        <v>-474.43029999999999</v>
      </c>
      <c r="K70">
        <v>1.109345</v>
      </c>
      <c r="L70">
        <v>367.24979999999999</v>
      </c>
      <c r="M70">
        <v>0.99986120000000001</v>
      </c>
      <c r="N70">
        <v>0</v>
      </c>
      <c r="O70">
        <v>1.5969779999999999E-2</v>
      </c>
      <c r="P70">
        <v>0.998807</v>
      </c>
      <c r="Q70">
        <v>-3.6311099999999999E-2</v>
      </c>
      <c r="R70">
        <v>3.2657220000000001E-2</v>
      </c>
      <c r="S70">
        <v>2.9915769999999999</v>
      </c>
      <c r="T70">
        <v>-0.75463059999999904</v>
      </c>
      <c r="U70">
        <v>-0.41223140000000003</v>
      </c>
      <c r="V70">
        <v>-1.6698629999999999E-2</v>
      </c>
      <c r="W70">
        <v>-3.154597E-2</v>
      </c>
      <c r="X70">
        <v>0.9993628</v>
      </c>
      <c r="Y70">
        <v>0.14728759999999999</v>
      </c>
      <c r="Z70">
        <v>-2.21576E-2</v>
      </c>
      <c r="AA70">
        <v>0.98884550000000004</v>
      </c>
      <c r="AB70">
        <v>7</v>
      </c>
      <c r="AC70">
        <v>0.59080000000000099</v>
      </c>
      <c r="AD70">
        <v>-0.17418449999999999</v>
      </c>
      <c r="AE70">
        <v>-9.73999999999932E-2</v>
      </c>
      <c r="AF70">
        <v>9.8488199089273601E-2</v>
      </c>
      <c r="AG70">
        <v>-0.17418449999999999</v>
      </c>
      <c r="AH70">
        <v>0.54320148359211395</v>
      </c>
      <c r="AI70">
        <v>107.51145531996799</v>
      </c>
      <c r="AJ70">
        <v>79.723306462915403</v>
      </c>
      <c r="AK70">
        <v>0.57888515024724196</v>
      </c>
      <c r="AL70">
        <v>91.8077508576024</v>
      </c>
      <c r="AM70">
        <v>90.957281975097501</v>
      </c>
      <c r="AN70">
        <v>0.999999999245478</v>
      </c>
    </row>
    <row r="71" spans="1:40" x14ac:dyDescent="0.25">
      <c r="A71" t="str">
        <f>"20190312151502186"</f>
        <v>20190312151502186</v>
      </c>
      <c r="B71" t="str">
        <f>"1552374902177876"</f>
        <v>1552374902177876</v>
      </c>
      <c r="C71" t="s">
        <v>40</v>
      </c>
      <c r="D71">
        <v>4.7342570000000004</v>
      </c>
      <c r="E71">
        <v>0.56347969999999903</v>
      </c>
      <c r="F71" t="s">
        <v>41</v>
      </c>
      <c r="G71">
        <v>-473.7312</v>
      </c>
      <c r="H71">
        <v>0.9294232</v>
      </c>
      <c r="I71">
        <v>367.15320000000003</v>
      </c>
      <c r="J71">
        <v>-474.36680000000001</v>
      </c>
      <c r="K71">
        <v>1.109391</v>
      </c>
      <c r="L71">
        <v>367.25130000000001</v>
      </c>
      <c r="M71">
        <v>0.99985299999999999</v>
      </c>
      <c r="N71">
        <v>0</v>
      </c>
      <c r="O71">
        <v>1.6271919999999999E-2</v>
      </c>
      <c r="P71">
        <v>0.9987916</v>
      </c>
      <c r="Q71">
        <v>-3.6479419999999999E-2</v>
      </c>
      <c r="R71">
        <v>3.2937139999999997E-2</v>
      </c>
      <c r="S71">
        <v>2.9890439999999998</v>
      </c>
      <c r="T71">
        <v>-0.76964129999999997</v>
      </c>
      <c r="U71">
        <v>-0.41098020000000002</v>
      </c>
      <c r="V71">
        <v>-1.6678399999999999E-2</v>
      </c>
      <c r="W71">
        <v>-3.1053020000000001E-2</v>
      </c>
      <c r="X71">
        <v>0.99937860000000001</v>
      </c>
      <c r="Y71">
        <v>0.14708260000000001</v>
      </c>
      <c r="Z71">
        <v>-2.265414E-2</v>
      </c>
      <c r="AA71">
        <v>0.98886479999999999</v>
      </c>
      <c r="AB71">
        <v>6</v>
      </c>
      <c r="AC71">
        <v>0.63560000000001005</v>
      </c>
      <c r="AD71">
        <v>-0.17996779999999901</v>
      </c>
      <c r="AE71">
        <v>-9.8099999999988002E-2</v>
      </c>
      <c r="AF71">
        <v>0.100555453731057</v>
      </c>
      <c r="AG71">
        <v>-0.17996779999999901</v>
      </c>
      <c r="AH71">
        <v>0.587884403763967</v>
      </c>
      <c r="AI71">
        <v>106.79095899487299</v>
      </c>
      <c r="AJ71">
        <v>80.293699895903202</v>
      </c>
      <c r="AK71">
        <v>0.62298304993058495</v>
      </c>
      <c r="AL71">
        <v>91.779493016309601</v>
      </c>
      <c r="AM71">
        <v>90.956107352453401</v>
      </c>
      <c r="AN71">
        <v>1.0000000226078201</v>
      </c>
    </row>
    <row r="72" spans="1:40" x14ac:dyDescent="0.25">
      <c r="A72" t="str">
        <f>"20190312151502207"</f>
        <v>20190312151502207</v>
      </c>
      <c r="B72" t="str">
        <f>"1552374902198372"</f>
        <v>1552374902198372</v>
      </c>
      <c r="C72" t="s">
        <v>40</v>
      </c>
      <c r="D72">
        <v>4.5814680000000001</v>
      </c>
      <c r="E72">
        <v>0.56352569999999902</v>
      </c>
      <c r="F72" t="s">
        <v>41</v>
      </c>
      <c r="G72">
        <v>-473.67149999999998</v>
      </c>
      <c r="H72">
        <v>0.92969230000000003</v>
      </c>
      <c r="I72">
        <v>367.15589999999997</v>
      </c>
      <c r="J72">
        <v>-474.3021</v>
      </c>
      <c r="K72">
        <v>1.1091150000000001</v>
      </c>
      <c r="L72">
        <v>367.25279999999998</v>
      </c>
      <c r="M72">
        <v>0.99985000000000002</v>
      </c>
      <c r="N72">
        <v>0</v>
      </c>
      <c r="O72">
        <v>1.664641E-2</v>
      </c>
      <c r="P72">
        <v>0.99879969999999996</v>
      </c>
      <c r="Q72">
        <v>-3.5779610000000003E-2</v>
      </c>
      <c r="R72">
        <v>3.3458179999999997E-2</v>
      </c>
      <c r="S72">
        <v>2.988953</v>
      </c>
      <c r="T72">
        <v>-0.7726054</v>
      </c>
      <c r="U72">
        <v>-0.4097595</v>
      </c>
      <c r="V72">
        <v>-1.6825219999999998E-2</v>
      </c>
      <c r="W72">
        <v>-3.0963669999999999E-2</v>
      </c>
      <c r="X72">
        <v>0.99937889999999996</v>
      </c>
      <c r="Y72">
        <v>0.14701020000000001</v>
      </c>
      <c r="Z72">
        <v>-2.2825600000000001E-2</v>
      </c>
      <c r="AA72">
        <v>0.98887159999999996</v>
      </c>
      <c r="AB72">
        <v>6</v>
      </c>
      <c r="AC72">
        <v>0.63060000000001504</v>
      </c>
      <c r="AD72">
        <v>-0.17942269999999999</v>
      </c>
      <c r="AE72">
        <v>-9.6900000000005093E-2</v>
      </c>
      <c r="AF72">
        <v>9.9513576490162001E-2</v>
      </c>
      <c r="AG72">
        <v>-0.17942269999999999</v>
      </c>
      <c r="AH72">
        <v>0.58280648942469104</v>
      </c>
      <c r="AI72">
        <v>106.881352943937</v>
      </c>
      <c r="AJ72">
        <v>80.310255366712099</v>
      </c>
      <c r="AK72">
        <v>0.61786637818923695</v>
      </c>
      <c r="AL72">
        <v>91.774371195585999</v>
      </c>
      <c r="AM72">
        <v>90.964522095484597</v>
      </c>
      <c r="AN72">
        <v>1.0000000113265599</v>
      </c>
    </row>
    <row r="73" spans="1:40" x14ac:dyDescent="0.25">
      <c r="A73" t="str">
        <f>"20190312151502228"</f>
        <v>20190312151502228</v>
      </c>
      <c r="B73" t="str">
        <f>"1552374902217892"</f>
        <v>1552374902217892</v>
      </c>
      <c r="C73" t="s">
        <v>40</v>
      </c>
      <c r="D73">
        <v>4.6633209999999998</v>
      </c>
      <c r="E73">
        <v>0.56348969999999998</v>
      </c>
      <c r="F73" t="s">
        <v>41</v>
      </c>
      <c r="G73">
        <v>-473.60820000000001</v>
      </c>
      <c r="H73">
        <v>0.93014819999999998</v>
      </c>
      <c r="I73">
        <v>367.15750000000003</v>
      </c>
      <c r="J73">
        <v>-474.2319</v>
      </c>
      <c r="K73">
        <v>1.108841</v>
      </c>
      <c r="L73">
        <v>367.25439999999998</v>
      </c>
      <c r="M73">
        <v>0.9998456</v>
      </c>
      <c r="N73">
        <v>0</v>
      </c>
      <c r="O73">
        <v>1.7114319999999999E-2</v>
      </c>
      <c r="P73">
        <v>0.99881909999999896</v>
      </c>
      <c r="Q73">
        <v>-3.4715839999999998E-2</v>
      </c>
      <c r="R73">
        <v>3.3994870000000003E-2</v>
      </c>
      <c r="S73">
        <v>2.9896240000000001</v>
      </c>
      <c r="T73">
        <v>-0.77144609999999902</v>
      </c>
      <c r="U73">
        <v>-0.40884399999999999</v>
      </c>
      <c r="V73">
        <v>-1.689206E-2</v>
      </c>
      <c r="W73">
        <v>-3.0725010000000001E-2</v>
      </c>
      <c r="X73">
        <v>0.99938510000000003</v>
      </c>
      <c r="Y73">
        <v>0.14714369999999999</v>
      </c>
      <c r="Z73">
        <v>-2.2923140000000002E-2</v>
      </c>
      <c r="AA73">
        <v>0.98884950000000005</v>
      </c>
      <c r="AB73">
        <v>7</v>
      </c>
      <c r="AC73">
        <v>0.62369999999998504</v>
      </c>
      <c r="AD73">
        <v>-0.17869279999999901</v>
      </c>
      <c r="AE73">
        <v>-9.6899999999948194E-2</v>
      </c>
      <c r="AF73">
        <v>9.9578836582055602E-2</v>
      </c>
      <c r="AG73">
        <v>-0.17869279999999901</v>
      </c>
      <c r="AH73">
        <v>0.575799826024737</v>
      </c>
      <c r="AI73">
        <v>107.00358687665199</v>
      </c>
      <c r="AJ73">
        <v>80.188315063286893</v>
      </c>
      <c r="AK73">
        <v>0.61105850875099799</v>
      </c>
      <c r="AL73">
        <v>91.7606905431592</v>
      </c>
      <c r="AM73">
        <v>90.968347028961205</v>
      </c>
      <c r="AN73">
        <v>0.99999997301627597</v>
      </c>
    </row>
    <row r="74" spans="1:40" x14ac:dyDescent="0.25">
      <c r="A74" t="str">
        <f>"20190312151502252"</f>
        <v>20190312151502252</v>
      </c>
      <c r="B74" t="str">
        <f>"1552374902248148"</f>
        <v>1552374902248148</v>
      </c>
      <c r="C74" t="s">
        <v>40</v>
      </c>
      <c r="D74">
        <v>4.5377320000000001</v>
      </c>
      <c r="E74">
        <v>0.56348379999999998</v>
      </c>
      <c r="F74" t="s">
        <v>41</v>
      </c>
      <c r="G74">
        <v>-473.5428</v>
      </c>
      <c r="H74">
        <v>0.93110800000000005</v>
      </c>
      <c r="I74">
        <v>367.16079999999999</v>
      </c>
      <c r="J74">
        <v>-474.1567</v>
      </c>
      <c r="K74">
        <v>1.108679</v>
      </c>
      <c r="L74">
        <v>367.25630000000001</v>
      </c>
      <c r="M74">
        <v>0.99983869999999997</v>
      </c>
      <c r="N74">
        <v>0</v>
      </c>
      <c r="O74">
        <v>1.765659E-2</v>
      </c>
      <c r="P74">
        <v>0.99883169999999999</v>
      </c>
      <c r="Q74">
        <v>-3.4052270000000003E-2</v>
      </c>
      <c r="R74">
        <v>3.4292650000000001E-2</v>
      </c>
      <c r="S74">
        <v>2.9905400000000002</v>
      </c>
      <c r="T74">
        <v>-0.77132889999999998</v>
      </c>
      <c r="U74">
        <v>-0.40664670000000003</v>
      </c>
      <c r="V74">
        <v>-1.6645210000000001E-2</v>
      </c>
      <c r="W74">
        <v>-3.0714769999999999E-2</v>
      </c>
      <c r="X74">
        <v>0.99938959999999999</v>
      </c>
      <c r="Y74">
        <v>0.14691949999999901</v>
      </c>
      <c r="Z74">
        <v>-2.3022850000000001E-2</v>
      </c>
      <c r="AA74">
        <v>0.98888050000000005</v>
      </c>
      <c r="AB74">
        <v>7</v>
      </c>
      <c r="AC74">
        <v>0.613900000000001</v>
      </c>
      <c r="AD74">
        <v>-0.17757100000000001</v>
      </c>
      <c r="AE74">
        <v>-9.5500000000015406E-2</v>
      </c>
      <c r="AF74">
        <v>9.8294927050155606E-2</v>
      </c>
      <c r="AG74">
        <v>-0.17757100000000001</v>
      </c>
      <c r="AH74">
        <v>0.56589095916272503</v>
      </c>
      <c r="AI74">
        <v>107.17956250960199</v>
      </c>
      <c r="AJ74">
        <v>80.146074304069202</v>
      </c>
      <c r="AK74">
        <v>0.60118710098180295</v>
      </c>
      <c r="AL74">
        <v>91.760103481027002</v>
      </c>
      <c r="AM74">
        <v>90.954194551154401</v>
      </c>
      <c r="AN74">
        <v>1.0000000163501199</v>
      </c>
    </row>
    <row r="75" spans="1:40" x14ac:dyDescent="0.25">
      <c r="A75" t="str">
        <f>"20190312151502275"</f>
        <v>20190312151502275</v>
      </c>
      <c r="B75" t="str">
        <f>"1552374902267668"</f>
        <v>1552374902267668</v>
      </c>
      <c r="C75" t="s">
        <v>40</v>
      </c>
      <c r="D75">
        <v>4.7683859999999996</v>
      </c>
      <c r="E75">
        <v>0.56348809999999905</v>
      </c>
      <c r="F75" t="s">
        <v>41</v>
      </c>
      <c r="G75">
        <v>-473.47539999999998</v>
      </c>
      <c r="H75">
        <v>0.93274550000000001</v>
      </c>
      <c r="I75">
        <v>367.16379999999998</v>
      </c>
      <c r="J75">
        <v>-474.07740000000001</v>
      </c>
      <c r="K75">
        <v>1.1085799999999999</v>
      </c>
      <c r="L75">
        <v>367.25819999999999</v>
      </c>
      <c r="M75">
        <v>0.99982959999999999</v>
      </c>
      <c r="N75">
        <v>0</v>
      </c>
      <c r="O75">
        <v>1.825328E-2</v>
      </c>
      <c r="P75">
        <v>0.99880329999999995</v>
      </c>
      <c r="Q75">
        <v>-3.4202150000000001E-2</v>
      </c>
      <c r="R75">
        <v>3.4968010000000001E-2</v>
      </c>
      <c r="S75">
        <v>2.9910890000000001</v>
      </c>
      <c r="T75">
        <v>-0.77259560000000005</v>
      </c>
      <c r="U75">
        <v>-0.40490720000000002</v>
      </c>
      <c r="V75">
        <v>-1.6722040000000001E-2</v>
      </c>
      <c r="W75">
        <v>-3.1432120000000001E-2</v>
      </c>
      <c r="X75">
        <v>0.99936599999999998</v>
      </c>
      <c r="Y75">
        <v>0.146886299999999</v>
      </c>
      <c r="Z75">
        <v>-2.3203109999999999E-2</v>
      </c>
      <c r="AA75">
        <v>0.98888120000000002</v>
      </c>
      <c r="AB75">
        <v>7</v>
      </c>
      <c r="AC75">
        <v>0.60200000000003195</v>
      </c>
      <c r="AD75">
        <v>-0.17583449999999901</v>
      </c>
      <c r="AE75">
        <v>-9.4400000000007298E-2</v>
      </c>
      <c r="AF75">
        <v>9.7273277332470806E-2</v>
      </c>
      <c r="AG75">
        <v>-0.17583449999999901</v>
      </c>
      <c r="AH75">
        <v>0.554043831854658</v>
      </c>
      <c r="AI75">
        <v>107.35843977595</v>
      </c>
      <c r="AJ75">
        <v>80.042089304701506</v>
      </c>
      <c r="AK75">
        <v>0.589359338171071</v>
      </c>
      <c r="AL75">
        <v>91.801224489218299</v>
      </c>
      <c r="AM75">
        <v>90.958620680395498</v>
      </c>
      <c r="AN75">
        <v>1.0000000033727201</v>
      </c>
    </row>
    <row r="76" spans="1:40" x14ac:dyDescent="0.25">
      <c r="A76" t="str">
        <f>"20190312151502295"</f>
        <v>20190312151502295</v>
      </c>
      <c r="B76" t="str">
        <f>"1552374902288164"</f>
        <v>1552374902288164</v>
      </c>
      <c r="C76" t="s">
        <v>40</v>
      </c>
      <c r="D76">
        <v>4.6119839999999996</v>
      </c>
      <c r="E76">
        <v>0.56360209999999999</v>
      </c>
      <c r="F76" t="s">
        <v>41</v>
      </c>
      <c r="G76">
        <v>-473.3417</v>
      </c>
      <c r="H76">
        <v>0.91805650000000005</v>
      </c>
      <c r="I76">
        <v>367.15859999999998</v>
      </c>
      <c r="J76">
        <v>-474.00130000000001</v>
      </c>
      <c r="K76">
        <v>1.1084780000000001</v>
      </c>
      <c r="L76">
        <v>367.2602</v>
      </c>
      <c r="M76">
        <v>0.9998203</v>
      </c>
      <c r="N76">
        <v>0</v>
      </c>
      <c r="O76">
        <v>1.883429E-2</v>
      </c>
      <c r="P76">
        <v>0.99880709999999995</v>
      </c>
      <c r="Q76">
        <v>-3.3854259999999997E-2</v>
      </c>
      <c r="R76">
        <v>3.5188200000000003E-2</v>
      </c>
      <c r="S76">
        <v>2.9911799999999999</v>
      </c>
      <c r="T76">
        <v>-0.77492859999999997</v>
      </c>
      <c r="U76">
        <v>-0.40347290000000002</v>
      </c>
      <c r="V76">
        <v>-1.635878E-2</v>
      </c>
      <c r="W76">
        <v>-3.1705839999999999E-2</v>
      </c>
      <c r="X76">
        <v>0.99936340000000001</v>
      </c>
      <c r="Y76">
        <v>0.1469385</v>
      </c>
      <c r="Z76">
        <v>-2.3425109999999999E-2</v>
      </c>
      <c r="AA76">
        <v>0.98886819999999997</v>
      </c>
      <c r="AB76">
        <v>8</v>
      </c>
      <c r="AC76">
        <v>0.65960000000001096</v>
      </c>
      <c r="AD76">
        <v>-0.19042149999999999</v>
      </c>
      <c r="AE76">
        <v>-0.10160000000001899</v>
      </c>
      <c r="AF76">
        <v>0.105422479707276</v>
      </c>
      <c r="AG76">
        <v>-0.19042149999999999</v>
      </c>
      <c r="AH76">
        <v>0.60806575517666095</v>
      </c>
      <c r="AI76">
        <v>107.14794350773801</v>
      </c>
      <c r="AJ76">
        <v>80.164202574680004</v>
      </c>
      <c r="AK76">
        <v>0.64584689324053002</v>
      </c>
      <c r="AL76">
        <v>91.816915248433403</v>
      </c>
      <c r="AM76">
        <v>90.937802354656696</v>
      </c>
      <c r="AN76">
        <v>1.00000003761637</v>
      </c>
    </row>
    <row r="77" spans="1:40" x14ac:dyDescent="0.25">
      <c r="A77" t="str">
        <f>"20190312151502318"</f>
        <v>20190312151502318</v>
      </c>
      <c r="B77" t="str">
        <f>"1552374902307683"</f>
        <v>1552374902307683</v>
      </c>
      <c r="C77" t="s">
        <v>40</v>
      </c>
      <c r="D77">
        <v>4.64086</v>
      </c>
      <c r="E77">
        <v>0.56370929999999997</v>
      </c>
      <c r="F77" t="s">
        <v>41</v>
      </c>
      <c r="G77">
        <v>-473.26760000000002</v>
      </c>
      <c r="H77">
        <v>0.91878249999999995</v>
      </c>
      <c r="I77">
        <v>367.161</v>
      </c>
      <c r="J77">
        <v>-473.91789999999997</v>
      </c>
      <c r="K77">
        <v>1.108349</v>
      </c>
      <c r="L77">
        <v>367.26240000000001</v>
      </c>
      <c r="M77">
        <v>0.99980939999999996</v>
      </c>
      <c r="N77">
        <v>0</v>
      </c>
      <c r="O77">
        <v>1.9476830000000001E-2</v>
      </c>
      <c r="P77">
        <v>0.99878920000000004</v>
      </c>
      <c r="Q77">
        <v>-3.4184590000000001E-2</v>
      </c>
      <c r="R77">
        <v>3.5380559999999998E-2</v>
      </c>
      <c r="S77">
        <v>2.9916079999999998</v>
      </c>
      <c r="T77">
        <v>-0.77375719999999903</v>
      </c>
      <c r="U77">
        <v>-0.40377809999999997</v>
      </c>
      <c r="V77">
        <v>-1.590693E-2</v>
      </c>
      <c r="W77">
        <v>-3.2815749999999998E-2</v>
      </c>
      <c r="X77">
        <v>0.99933479999999997</v>
      </c>
      <c r="Y77">
        <v>0.14762829999999999</v>
      </c>
      <c r="Z77">
        <v>-2.3637709999999999E-2</v>
      </c>
      <c r="AA77">
        <v>0.98876039999999998</v>
      </c>
      <c r="AB77">
        <v>8</v>
      </c>
      <c r="AC77">
        <v>0.65029999999995802</v>
      </c>
      <c r="AD77">
        <v>-0.1895665</v>
      </c>
      <c r="AE77">
        <v>-0.10140000000001199</v>
      </c>
      <c r="AF77">
        <v>0.105310149712256</v>
      </c>
      <c r="AG77">
        <v>-0.1895665</v>
      </c>
      <c r="AH77">
        <v>0.59854692281367705</v>
      </c>
      <c r="AI77">
        <v>107.323748891958</v>
      </c>
      <c r="AJ77">
        <v>80.021337692143405</v>
      </c>
      <c r="AK77">
        <v>0.63661927740557001</v>
      </c>
      <c r="AL77">
        <v>91.880541647600296</v>
      </c>
      <c r="AM77">
        <v>90.911929608275599</v>
      </c>
      <c r="AN77">
        <v>0.999999973180563</v>
      </c>
    </row>
    <row r="78" spans="1:40" x14ac:dyDescent="0.25">
      <c r="A78" t="str">
        <f>"20190312151502340"</f>
        <v>20190312151502340</v>
      </c>
      <c r="B78" t="str">
        <f>"1552374902337940"</f>
        <v>1552374902337940</v>
      </c>
      <c r="C78" t="s">
        <v>40</v>
      </c>
      <c r="D78">
        <v>4.6221399999999999</v>
      </c>
      <c r="E78">
        <v>0.56385479999999999</v>
      </c>
      <c r="F78" t="s">
        <v>41</v>
      </c>
      <c r="G78">
        <v>-473.19069999999999</v>
      </c>
      <c r="H78">
        <v>0.92001619999999995</v>
      </c>
      <c r="I78">
        <v>367.16379999999998</v>
      </c>
      <c r="J78">
        <v>-473.83319999999998</v>
      </c>
      <c r="K78">
        <v>1.1082339999999999</v>
      </c>
      <c r="L78">
        <v>367.2647</v>
      </c>
      <c r="M78">
        <v>0.99979720000000005</v>
      </c>
      <c r="N78">
        <v>0</v>
      </c>
      <c r="O78">
        <v>2.0133189999999999E-2</v>
      </c>
      <c r="P78">
        <v>0.99878359999999999</v>
      </c>
      <c r="Q78">
        <v>-3.3596849999999998E-2</v>
      </c>
      <c r="R78">
        <v>3.6098159999999997E-2</v>
      </c>
      <c r="S78">
        <v>2.9914860000000001</v>
      </c>
      <c r="T78">
        <v>-0.77496119999999902</v>
      </c>
      <c r="U78">
        <v>-0.40435789999999999</v>
      </c>
      <c r="V78">
        <v>-1.5966879999999999E-2</v>
      </c>
      <c r="W78">
        <v>-3.298537E-2</v>
      </c>
      <c r="X78">
        <v>0.99932829999999995</v>
      </c>
      <c r="Y78">
        <v>0.14840709999999999</v>
      </c>
      <c r="Z78">
        <v>-2.3939410000000001E-2</v>
      </c>
      <c r="AA78">
        <v>0.98863659999999998</v>
      </c>
      <c r="AB78">
        <v>8</v>
      </c>
      <c r="AC78">
        <v>0.64249999999998397</v>
      </c>
      <c r="AD78">
        <v>-0.18821779999999899</v>
      </c>
      <c r="AE78">
        <v>-0.100900000000024</v>
      </c>
      <c r="AF78">
        <v>0.105019545141237</v>
      </c>
      <c r="AG78">
        <v>-0.18821779999999899</v>
      </c>
      <c r="AH78">
        <v>0.59085328662511005</v>
      </c>
      <c r="AI78">
        <v>107.413343738495</v>
      </c>
      <c r="AJ78">
        <v>79.921379712264297</v>
      </c>
      <c r="AK78">
        <v>0.62893771664148701</v>
      </c>
      <c r="AL78">
        <v>91.890265345843403</v>
      </c>
      <c r="AM78">
        <v>90.915371855596007</v>
      </c>
      <c r="AN78">
        <v>1.0000000135359299</v>
      </c>
    </row>
    <row r="79" spans="1:40" x14ac:dyDescent="0.25">
      <c r="A79" t="str">
        <f>"20190312151502366"</f>
        <v>20190312151502366</v>
      </c>
      <c r="B79" t="str">
        <f>"1552374902357460"</f>
        <v>1552374902357460</v>
      </c>
      <c r="C79" t="s">
        <v>40</v>
      </c>
      <c r="D79">
        <v>4.6138789999999998</v>
      </c>
      <c r="E79">
        <v>0.56393400000000005</v>
      </c>
      <c r="F79" t="s">
        <v>41</v>
      </c>
      <c r="G79">
        <v>-473.1112</v>
      </c>
      <c r="H79">
        <v>0.92164409999999997</v>
      </c>
      <c r="I79">
        <v>367.16719999999998</v>
      </c>
      <c r="J79">
        <v>-473.72980000000001</v>
      </c>
      <c r="K79">
        <v>1.1081559999999999</v>
      </c>
      <c r="L79">
        <v>367.26760000000002</v>
      </c>
      <c r="M79">
        <v>0.99978129999999998</v>
      </c>
      <c r="N79">
        <v>0</v>
      </c>
      <c r="O79">
        <v>2.091399E-2</v>
      </c>
      <c r="P79">
        <v>0.998776</v>
      </c>
      <c r="Q79">
        <v>-3.2991600000000003E-2</v>
      </c>
      <c r="R79">
        <v>3.6856779999999999E-2</v>
      </c>
      <c r="S79">
        <v>2.9922490000000002</v>
      </c>
      <c r="T79">
        <v>-0.77340690000000001</v>
      </c>
      <c r="U79">
        <v>-0.40328979999999998</v>
      </c>
      <c r="V79">
        <v>-1.5943479999999999E-2</v>
      </c>
      <c r="W79">
        <v>-3.3097069999999999E-2</v>
      </c>
      <c r="X79">
        <v>0.99932500000000002</v>
      </c>
      <c r="Y79">
        <v>0.1487851</v>
      </c>
      <c r="Z79">
        <v>-2.413324E-2</v>
      </c>
      <c r="AA79">
        <v>0.98857499999999998</v>
      </c>
      <c r="AB79">
        <v>9</v>
      </c>
      <c r="AC79">
        <v>0.61860000000001403</v>
      </c>
      <c r="AD79">
        <v>-0.18651190000000001</v>
      </c>
      <c r="AE79">
        <v>-0.100400000000036</v>
      </c>
      <c r="AF79">
        <v>0.104095396284151</v>
      </c>
      <c r="AG79">
        <v>-0.18651190000000001</v>
      </c>
      <c r="AH79">
        <v>0.56621370683158101</v>
      </c>
      <c r="AI79">
        <v>107.950898052783</v>
      </c>
      <c r="AJ79">
        <v>79.582797653523897</v>
      </c>
      <c r="AK79">
        <v>0.60516155047484899</v>
      </c>
      <c r="AL79">
        <v>91.896668743531094</v>
      </c>
      <c r="AM79">
        <v>90.914033592919793</v>
      </c>
      <c r="AN79">
        <v>1.0000000331110399</v>
      </c>
    </row>
    <row r="80" spans="1:40" x14ac:dyDescent="0.25">
      <c r="A80" t="str">
        <f>"20190312151502387"</f>
        <v>20190312151502387</v>
      </c>
      <c r="B80" t="str">
        <f>"1552374902377956"</f>
        <v>1552374902377956</v>
      </c>
      <c r="C80" t="s">
        <v>40</v>
      </c>
      <c r="D80">
        <v>4.5709249999999999</v>
      </c>
      <c r="E80">
        <v>0.56402589999999997</v>
      </c>
      <c r="F80" t="s">
        <v>41</v>
      </c>
      <c r="G80">
        <v>-473.02800000000002</v>
      </c>
      <c r="H80">
        <v>0.92721880000000001</v>
      </c>
      <c r="I80">
        <v>367.17320000000001</v>
      </c>
      <c r="J80">
        <v>-473.64190000000002</v>
      </c>
      <c r="K80">
        <v>1.108141</v>
      </c>
      <c r="L80">
        <v>367.27019999999999</v>
      </c>
      <c r="M80">
        <v>0.99976799999999999</v>
      </c>
      <c r="N80">
        <v>0</v>
      </c>
      <c r="O80">
        <v>2.154008E-2</v>
      </c>
      <c r="P80">
        <v>0.99874149999999995</v>
      </c>
      <c r="Q80">
        <v>-3.3241630000000001E-2</v>
      </c>
      <c r="R80">
        <v>3.7559189999999999E-2</v>
      </c>
      <c r="S80">
        <v>2.9930110000000001</v>
      </c>
      <c r="T80">
        <v>-0.7717619</v>
      </c>
      <c r="U80">
        <v>-0.40139770000000002</v>
      </c>
      <c r="V80">
        <v>-1.601984E-2</v>
      </c>
      <c r="W80">
        <v>-3.3748859999999999E-2</v>
      </c>
      <c r="X80">
        <v>0.99930200000000002</v>
      </c>
      <c r="Y80">
        <v>0.14876220000000001</v>
      </c>
      <c r="Z80">
        <v>-2.4233939999999999E-2</v>
      </c>
      <c r="AA80">
        <v>0.98857600000000001</v>
      </c>
      <c r="AB80">
        <v>9</v>
      </c>
      <c r="AC80">
        <v>0.613900000000001</v>
      </c>
      <c r="AD80">
        <v>-0.18092220000000001</v>
      </c>
      <c r="AE80">
        <v>-9.6999999999980005E-2</v>
      </c>
      <c r="AF80">
        <v>0.101592212680572</v>
      </c>
      <c r="AG80">
        <v>-0.18092220000000001</v>
      </c>
      <c r="AH80">
        <v>0.56388555598944901</v>
      </c>
      <c r="AI80">
        <v>107.524309692636</v>
      </c>
      <c r="AJ80">
        <v>79.786891917713305</v>
      </c>
      <c r="AK80">
        <v>0.60085001488200396</v>
      </c>
      <c r="AL80">
        <v>91.934034394980699</v>
      </c>
      <c r="AM80">
        <v>90.918431668967997</v>
      </c>
      <c r="AN80">
        <v>1.00000005401446</v>
      </c>
    </row>
    <row r="81" spans="1:40" x14ac:dyDescent="0.25">
      <c r="A81" t="str">
        <f>"20190312151502407"</f>
        <v>20190312151502407</v>
      </c>
      <c r="B81" t="str">
        <f>"1552374902397476"</f>
        <v>1552374902397476</v>
      </c>
      <c r="C81" t="s">
        <v>40</v>
      </c>
      <c r="D81">
        <v>4.6001110000000001</v>
      </c>
      <c r="E81">
        <v>0.56410369999999999</v>
      </c>
      <c r="F81" t="s">
        <v>41</v>
      </c>
      <c r="G81">
        <v>-472.94450000000001</v>
      </c>
      <c r="H81">
        <v>0.92816659999999995</v>
      </c>
      <c r="I81">
        <v>367.17680000000001</v>
      </c>
      <c r="J81">
        <v>-473.5575</v>
      </c>
      <c r="K81">
        <v>1.1081510000000001</v>
      </c>
      <c r="L81">
        <v>367.27280000000002</v>
      </c>
      <c r="M81">
        <v>0.99975559999999997</v>
      </c>
      <c r="N81">
        <v>0</v>
      </c>
      <c r="O81">
        <v>2.210053E-2</v>
      </c>
      <c r="P81">
        <v>0.99870360000000002</v>
      </c>
      <c r="Q81">
        <v>-3.3507189999999999E-2</v>
      </c>
      <c r="R81">
        <v>3.8324570000000002E-2</v>
      </c>
      <c r="S81">
        <v>2.9931030000000001</v>
      </c>
      <c r="T81">
        <v>-0.77248719999999904</v>
      </c>
      <c r="U81">
        <v>-0.40005489999999999</v>
      </c>
      <c r="V81">
        <v>-1.6225420000000001E-2</v>
      </c>
      <c r="W81">
        <v>-3.424982E-2</v>
      </c>
      <c r="X81">
        <v>0.99928159999999999</v>
      </c>
      <c r="Y81">
        <v>0.14884530000000001</v>
      </c>
      <c r="Z81">
        <v>-2.4408280000000001E-2</v>
      </c>
      <c r="AA81">
        <v>0.98855919999999997</v>
      </c>
      <c r="AB81">
        <v>9</v>
      </c>
      <c r="AC81">
        <v>0.61299999999999899</v>
      </c>
      <c r="AD81">
        <v>-0.17998439999999999</v>
      </c>
      <c r="AE81">
        <v>-9.6000000000003596E-2</v>
      </c>
      <c r="AF81">
        <v>0.101023595695035</v>
      </c>
      <c r="AG81">
        <v>-0.17998439999999999</v>
      </c>
      <c r="AH81">
        <v>0.56332767934874395</v>
      </c>
      <c r="AI81">
        <v>107.457587536202</v>
      </c>
      <c r="AJ81">
        <v>79.833012732359407</v>
      </c>
      <c r="AK81">
        <v>0.59994851900055202</v>
      </c>
      <c r="AL81">
        <v>91.962753967551706</v>
      </c>
      <c r="AM81">
        <v>90.930234681964905</v>
      </c>
      <c r="AN81">
        <v>1.0000000152613799</v>
      </c>
    </row>
    <row r="82" spans="1:40" x14ac:dyDescent="0.25">
      <c r="A82" t="str">
        <f>"20190312151502429"</f>
        <v>20190312151502429</v>
      </c>
      <c r="B82" t="str">
        <f>"1552374902417973"</f>
        <v>1552374902417973</v>
      </c>
      <c r="C82" t="s">
        <v>40</v>
      </c>
      <c r="D82">
        <v>4.5898969999999997</v>
      </c>
      <c r="E82">
        <v>0.56418819999999903</v>
      </c>
      <c r="F82" t="s">
        <v>41</v>
      </c>
      <c r="G82">
        <v>-472.85969999999998</v>
      </c>
      <c r="H82">
        <v>0.92777279999999995</v>
      </c>
      <c r="I82">
        <v>367.17970000000003</v>
      </c>
      <c r="J82">
        <v>-473.46050000000002</v>
      </c>
      <c r="K82">
        <v>1.1081719999999999</v>
      </c>
      <c r="L82">
        <v>367.27569999999997</v>
      </c>
      <c r="M82">
        <v>0.99974200000000002</v>
      </c>
      <c r="N82">
        <v>0</v>
      </c>
      <c r="O82">
        <v>2.270484E-2</v>
      </c>
      <c r="P82">
        <v>0.99867700000000004</v>
      </c>
      <c r="Q82">
        <v>-3.3375769999999999E-2</v>
      </c>
      <c r="R82">
        <v>3.9124109999999997E-2</v>
      </c>
      <c r="S82">
        <v>2.9931950000000001</v>
      </c>
      <c r="T82">
        <v>-0.77389449999999904</v>
      </c>
      <c r="U82">
        <v>-0.39813229999999999</v>
      </c>
      <c r="V82">
        <v>-1.6422200000000001E-2</v>
      </c>
      <c r="W82">
        <v>-3.4257210000000003E-2</v>
      </c>
      <c r="X82">
        <v>0.99927809999999995</v>
      </c>
      <c r="Y82">
        <v>0.1487773</v>
      </c>
      <c r="Z82">
        <v>-2.4596139999999999E-2</v>
      </c>
      <c r="AA82">
        <v>0.98856480000000002</v>
      </c>
      <c r="AB82">
        <v>9</v>
      </c>
      <c r="AC82">
        <v>0.60080000000004896</v>
      </c>
      <c r="AD82">
        <v>-0.18039919999999901</v>
      </c>
      <c r="AE82">
        <v>-9.5999999999946795E-2</v>
      </c>
      <c r="AF82">
        <v>0.100758220718838</v>
      </c>
      <c r="AG82">
        <v>-0.18039919999999901</v>
      </c>
      <c r="AH82">
        <v>0.55010342237761001</v>
      </c>
      <c r="AI82">
        <v>107.878177654608</v>
      </c>
      <c r="AJ82">
        <v>79.620622025485503</v>
      </c>
      <c r="AK82">
        <v>0.58763072223516799</v>
      </c>
      <c r="AL82">
        <v>91.963177695106594</v>
      </c>
      <c r="AM82">
        <v>90.941517738045704</v>
      </c>
      <c r="AN82">
        <v>0.99999998311471605</v>
      </c>
    </row>
    <row r="83" spans="1:40" x14ac:dyDescent="0.25">
      <c r="A83" t="str">
        <f>"20190312151502452"</f>
        <v>20190312151502452</v>
      </c>
      <c r="B83" t="str">
        <f>"1552374902448229"</f>
        <v>1552374902448229</v>
      </c>
      <c r="C83" t="s">
        <v>40</v>
      </c>
      <c r="D83">
        <v>4.5909509999999996</v>
      </c>
      <c r="E83">
        <v>0.56427320000000003</v>
      </c>
      <c r="F83" t="s">
        <v>41</v>
      </c>
      <c r="G83">
        <v>-472.77190000000002</v>
      </c>
      <c r="H83">
        <v>0.93030729999999995</v>
      </c>
      <c r="I83">
        <v>367.18439999999998</v>
      </c>
      <c r="J83">
        <v>-473.36279999999999</v>
      </c>
      <c r="K83">
        <v>1.1082069999999999</v>
      </c>
      <c r="L83">
        <v>367.27870000000001</v>
      </c>
      <c r="M83">
        <v>0.99972839999999996</v>
      </c>
      <c r="N83">
        <v>0</v>
      </c>
      <c r="O83">
        <v>2.329094E-2</v>
      </c>
      <c r="P83">
        <v>0.99864759999999997</v>
      </c>
      <c r="Q83">
        <v>-3.3465830000000002E-2</v>
      </c>
      <c r="R83">
        <v>3.979063E-2</v>
      </c>
      <c r="S83">
        <v>2.9936219999999998</v>
      </c>
      <c r="T83">
        <v>-0.7732348</v>
      </c>
      <c r="U83">
        <v>-0.39648440000000001</v>
      </c>
      <c r="V83">
        <v>-1.650457E-2</v>
      </c>
      <c r="W83">
        <v>-3.4378980000000003E-2</v>
      </c>
      <c r="X83">
        <v>0.99927259999999996</v>
      </c>
      <c r="Y83">
        <v>0.14879410000000001</v>
      </c>
      <c r="Z83">
        <v>-2.472384E-2</v>
      </c>
      <c r="AA83">
        <v>0.98855910000000002</v>
      </c>
      <c r="AB83">
        <v>10</v>
      </c>
      <c r="AC83">
        <v>0.590899999999976</v>
      </c>
      <c r="AD83">
        <v>-0.17789969999999899</v>
      </c>
      <c r="AE83">
        <v>-9.43000000000324E-2</v>
      </c>
      <c r="AF83">
        <v>9.9263220793673598E-2</v>
      </c>
      <c r="AG83">
        <v>-0.17789969999999899</v>
      </c>
      <c r="AH83">
        <v>0.54074704729571899</v>
      </c>
      <c r="AI83">
        <v>107.930652025763</v>
      </c>
      <c r="AJ83">
        <v>79.598199439385496</v>
      </c>
      <c r="AK83">
        <v>0.57784847444763798</v>
      </c>
      <c r="AL83">
        <v>91.970158637550099</v>
      </c>
      <c r="AM83">
        <v>90.946244526392405</v>
      </c>
      <c r="AN83">
        <v>1.0000000221037399</v>
      </c>
    </row>
    <row r="84" spans="1:40" x14ac:dyDescent="0.25">
      <c r="A84" t="str">
        <f>"20190312151502475"</f>
        <v>20190312151502475</v>
      </c>
      <c r="B84" t="str">
        <f>"1552374902467748"</f>
        <v>1552374902467748</v>
      </c>
      <c r="C84" t="s">
        <v>40</v>
      </c>
      <c r="D84">
        <v>4.6541940000000004</v>
      </c>
      <c r="E84">
        <v>0.56432649999999995</v>
      </c>
      <c r="F84" t="s">
        <v>41</v>
      </c>
      <c r="G84">
        <v>-472.68239999999997</v>
      </c>
      <c r="H84">
        <v>0.93233759999999999</v>
      </c>
      <c r="I84">
        <v>367.18860000000001</v>
      </c>
      <c r="J84">
        <v>-473.25839999999999</v>
      </c>
      <c r="K84">
        <v>1.1082419999999999</v>
      </c>
      <c r="L84">
        <v>367.28199999999998</v>
      </c>
      <c r="M84">
        <v>0.99971350000000003</v>
      </c>
      <c r="N84">
        <v>0</v>
      </c>
      <c r="O84">
        <v>2.392215E-2</v>
      </c>
      <c r="P84">
        <v>0.99861960000000005</v>
      </c>
      <c r="Q84">
        <v>-3.3603109999999999E-2</v>
      </c>
      <c r="R84">
        <v>4.0373909999999999E-2</v>
      </c>
      <c r="S84">
        <v>2.9938660000000001</v>
      </c>
      <c r="T84">
        <v>-0.77413739999999998</v>
      </c>
      <c r="U84">
        <v>-0.39489750000000001</v>
      </c>
      <c r="V84">
        <v>-1.6458299999999999E-2</v>
      </c>
      <c r="W84">
        <v>-3.4464910000000001E-2</v>
      </c>
      <c r="X84">
        <v>0.9992704</v>
      </c>
      <c r="Y84">
        <v>0.1488575</v>
      </c>
      <c r="Z84">
        <v>-2.491869E-2</v>
      </c>
      <c r="AA84">
        <v>0.9885446</v>
      </c>
      <c r="AB84">
        <v>10</v>
      </c>
      <c r="AC84">
        <v>0.57600000000002105</v>
      </c>
      <c r="AD84">
        <v>-0.17590439999999899</v>
      </c>
      <c r="AE84">
        <v>-9.3399999999974101E-2</v>
      </c>
      <c r="AF84">
        <v>9.8226276803221602E-2</v>
      </c>
      <c r="AG84">
        <v>-0.17590439999999899</v>
      </c>
      <c r="AH84">
        <v>0.525817959406229</v>
      </c>
      <c r="AI84">
        <v>108.203252034673</v>
      </c>
      <c r="AJ84">
        <v>79.418727929341799</v>
      </c>
      <c r="AK84">
        <v>0.56309438447574101</v>
      </c>
      <c r="AL84">
        <v>91.975084989337503</v>
      </c>
      <c r="AM84">
        <v>90.943594319431199</v>
      </c>
      <c r="AN84">
        <v>1.0000000189881699</v>
      </c>
    </row>
    <row r="85" spans="1:40" x14ac:dyDescent="0.25">
      <c r="A85" t="str">
        <f>"20190312151502497"</f>
        <v>20190312151502497</v>
      </c>
      <c r="B85" t="str">
        <f>"1552374902488244"</f>
        <v>1552374902488244</v>
      </c>
      <c r="C85" t="s">
        <v>40</v>
      </c>
      <c r="D85">
        <v>4.620139</v>
      </c>
      <c r="E85">
        <v>0.56440049999999997</v>
      </c>
      <c r="F85" t="s">
        <v>41</v>
      </c>
      <c r="G85">
        <v>-472.50720000000001</v>
      </c>
      <c r="H85">
        <v>0.91399410000000003</v>
      </c>
      <c r="I85">
        <v>367.18270000000001</v>
      </c>
      <c r="J85">
        <v>-473.15870000000001</v>
      </c>
      <c r="K85">
        <v>1.1082780000000001</v>
      </c>
      <c r="L85">
        <v>367.28519999999997</v>
      </c>
      <c r="M85">
        <v>0.99969850000000005</v>
      </c>
      <c r="N85">
        <v>0</v>
      </c>
      <c r="O85">
        <v>2.454491E-2</v>
      </c>
      <c r="P85">
        <v>0.99856389999999995</v>
      </c>
      <c r="Q85">
        <v>-3.4083120000000001E-2</v>
      </c>
      <c r="R85">
        <v>4.1334999999999997E-2</v>
      </c>
      <c r="S85">
        <v>2.9940190000000002</v>
      </c>
      <c r="T85">
        <v>-0.77467069999999905</v>
      </c>
      <c r="U85">
        <v>-0.3939819</v>
      </c>
      <c r="V85">
        <v>-1.679829E-2</v>
      </c>
      <c r="W85">
        <v>-3.4851689999999998E-2</v>
      </c>
      <c r="X85">
        <v>0.99925129999999995</v>
      </c>
      <c r="Y85">
        <v>0.14913280000000001</v>
      </c>
      <c r="Z85">
        <v>-2.5127420000000001E-2</v>
      </c>
      <c r="AA85">
        <v>0.98849790000000004</v>
      </c>
      <c r="AB85">
        <v>10</v>
      </c>
      <c r="AC85">
        <v>0.65149999999999797</v>
      </c>
      <c r="AD85">
        <v>-0.19428390000000001</v>
      </c>
      <c r="AE85">
        <v>-0.102499999999963</v>
      </c>
      <c r="AF85">
        <v>0.109000899942192</v>
      </c>
      <c r="AG85">
        <v>-0.19428390000000001</v>
      </c>
      <c r="AH85">
        <v>0.59698111212704696</v>
      </c>
      <c r="AI85">
        <v>107.752525747636</v>
      </c>
      <c r="AJ85">
        <v>79.652527266474706</v>
      </c>
      <c r="AK85">
        <v>0.63719218311578796</v>
      </c>
      <c r="AL85">
        <v>91.997259226975501</v>
      </c>
      <c r="AM85">
        <v>90.963101542968701</v>
      </c>
      <c r="AN85">
        <v>0.99999999169723497</v>
      </c>
    </row>
    <row r="86" spans="1:40" x14ac:dyDescent="0.25">
      <c r="A86" t="str">
        <f>"20190312151502519"</f>
        <v>20190312151502519</v>
      </c>
      <c r="B86" t="str">
        <f>"1552374902507764"</f>
        <v>1552374902507764</v>
      </c>
      <c r="C86" t="s">
        <v>40</v>
      </c>
      <c r="D86">
        <v>4.6324459999999998</v>
      </c>
      <c r="E86">
        <v>0.56448469999999995</v>
      </c>
      <c r="F86" t="s">
        <v>41</v>
      </c>
      <c r="G86">
        <v>-472.41320000000002</v>
      </c>
      <c r="H86">
        <v>0.91512700000000002</v>
      </c>
      <c r="I86">
        <v>367.18729999999999</v>
      </c>
      <c r="J86">
        <v>-473.05459999999999</v>
      </c>
      <c r="K86">
        <v>1.1083130000000001</v>
      </c>
      <c r="L86">
        <v>367.2885</v>
      </c>
      <c r="M86">
        <v>0.99968179999999995</v>
      </c>
      <c r="N86">
        <v>0</v>
      </c>
      <c r="O86">
        <v>2.5218859999999999E-2</v>
      </c>
      <c r="P86">
        <v>0.99851270000000003</v>
      </c>
      <c r="Q86">
        <v>-3.451767E-2</v>
      </c>
      <c r="R86">
        <v>4.2203999999999998E-2</v>
      </c>
      <c r="S86">
        <v>2.9940190000000002</v>
      </c>
      <c r="T86">
        <v>-0.77591409999999905</v>
      </c>
      <c r="U86">
        <v>-0.39199830000000002</v>
      </c>
      <c r="V86">
        <v>-1.6995360000000001E-2</v>
      </c>
      <c r="W86">
        <v>-3.517464E-2</v>
      </c>
      <c r="X86">
        <v>0.99923660000000003</v>
      </c>
      <c r="Y86">
        <v>0.1491152</v>
      </c>
      <c r="Z86">
        <v>-2.5336480000000002E-2</v>
      </c>
      <c r="AA86">
        <v>0.98849520000000002</v>
      </c>
      <c r="AB86">
        <v>10</v>
      </c>
      <c r="AC86">
        <v>0.64139999999997599</v>
      </c>
      <c r="AD86">
        <v>-0.193185999999999</v>
      </c>
      <c r="AE86">
        <v>-0.10120000000000499</v>
      </c>
      <c r="AF86">
        <v>0.10780122554289299</v>
      </c>
      <c r="AG86">
        <v>-0.193185999999999</v>
      </c>
      <c r="AH86">
        <v>0.58671141126666304</v>
      </c>
      <c r="AI86">
        <v>107.94444628916</v>
      </c>
      <c r="AJ86">
        <v>79.588707878054905</v>
      </c>
      <c r="AK86">
        <v>0.62703446072370606</v>
      </c>
      <c r="AL86">
        <v>92.015774355579694</v>
      </c>
      <c r="AM86">
        <v>90.974412384127504</v>
      </c>
      <c r="AN86">
        <v>0.99999994017010696</v>
      </c>
    </row>
    <row r="87" spans="1:40" x14ac:dyDescent="0.25">
      <c r="A87" t="str">
        <f>"20190312151502542"</f>
        <v>20190312151502542</v>
      </c>
      <c r="B87" t="str">
        <f>"1552374902538020"</f>
        <v>1552374902538020</v>
      </c>
      <c r="C87" t="s">
        <v>40</v>
      </c>
      <c r="D87">
        <v>4.6788790000000002</v>
      </c>
      <c r="E87">
        <v>0.56458409999999903</v>
      </c>
      <c r="F87" t="s">
        <v>41</v>
      </c>
      <c r="G87">
        <v>-472.31729999999999</v>
      </c>
      <c r="H87">
        <v>0.91695979999999999</v>
      </c>
      <c r="I87">
        <v>367.19209999999998</v>
      </c>
      <c r="J87">
        <v>-472.94470000000001</v>
      </c>
      <c r="K87">
        <v>1.108339</v>
      </c>
      <c r="L87">
        <v>367.2921</v>
      </c>
      <c r="M87">
        <v>0.99966319999999997</v>
      </c>
      <c r="N87">
        <v>0</v>
      </c>
      <c r="O87">
        <v>2.5951510000000001E-2</v>
      </c>
      <c r="P87">
        <v>0.99844940000000004</v>
      </c>
      <c r="Q87">
        <v>-3.5119919999999999E-2</v>
      </c>
      <c r="R87">
        <v>4.3190279999999998E-2</v>
      </c>
      <c r="S87">
        <v>2.99411</v>
      </c>
      <c r="T87">
        <v>-0.77731470000000003</v>
      </c>
      <c r="U87">
        <v>-0.38977050000000002</v>
      </c>
      <c r="V87">
        <v>-1.7249009999999999E-2</v>
      </c>
      <c r="W87">
        <v>-3.5668310000000002E-2</v>
      </c>
      <c r="X87">
        <v>0.99921479999999996</v>
      </c>
      <c r="Y87">
        <v>0.14906920000000001</v>
      </c>
      <c r="Z87">
        <v>-2.5561770000000001E-2</v>
      </c>
      <c r="AA87">
        <v>0.98849629999999999</v>
      </c>
      <c r="AB87">
        <v>10</v>
      </c>
      <c r="AC87">
        <v>0.62740000000002205</v>
      </c>
      <c r="AD87">
        <v>-0.1913792</v>
      </c>
      <c r="AE87">
        <v>-0.100000000000022</v>
      </c>
      <c r="AF87">
        <v>0.106577327612194</v>
      </c>
      <c r="AG87">
        <v>-0.1913792</v>
      </c>
      <c r="AH87">
        <v>0.57263213236868005</v>
      </c>
      <c r="AI87">
        <v>108.188833909927</v>
      </c>
      <c r="AJ87">
        <v>79.456839926662795</v>
      </c>
      <c r="AK87">
        <v>0.61310054964475302</v>
      </c>
      <c r="AL87">
        <v>92.044077231235704</v>
      </c>
      <c r="AM87">
        <v>90.988973864195202</v>
      </c>
      <c r="AN87">
        <v>0.99999998661163803</v>
      </c>
    </row>
    <row r="88" spans="1:40" x14ac:dyDescent="0.25">
      <c r="A88" t="str">
        <f>"20190312151502566"</f>
        <v>20190312151502566</v>
      </c>
      <c r="B88" t="str">
        <f>"1552374902557541"</f>
        <v>1552374902557541</v>
      </c>
      <c r="C88" t="s">
        <v>40</v>
      </c>
      <c r="D88">
        <v>4.6502400000000002</v>
      </c>
      <c r="E88">
        <v>0.56467630000000002</v>
      </c>
      <c r="F88" t="s">
        <v>41</v>
      </c>
      <c r="G88">
        <v>-472.21929999999998</v>
      </c>
      <c r="H88">
        <v>0.91959760000000002</v>
      </c>
      <c r="I88">
        <v>367.1979</v>
      </c>
      <c r="J88">
        <v>-472.82670000000002</v>
      </c>
      <c r="K88">
        <v>1.108363</v>
      </c>
      <c r="L88">
        <v>367.29599999999999</v>
      </c>
      <c r="M88">
        <v>0.99964200000000003</v>
      </c>
      <c r="N88">
        <v>0</v>
      </c>
      <c r="O88">
        <v>2.6753989999999998E-2</v>
      </c>
      <c r="P88">
        <v>0.9984227</v>
      </c>
      <c r="Q88">
        <v>-3.511624E-2</v>
      </c>
      <c r="R88">
        <v>4.3807100000000002E-2</v>
      </c>
      <c r="S88">
        <v>2.9939879999999999</v>
      </c>
      <c r="T88">
        <v>-0.7792289</v>
      </c>
      <c r="U88">
        <v>-0.38766479999999998</v>
      </c>
      <c r="V88">
        <v>-1.706278E-2</v>
      </c>
      <c r="W88">
        <v>-3.5572180000000002E-2</v>
      </c>
      <c r="X88">
        <v>0.99922140000000004</v>
      </c>
      <c r="Y88">
        <v>0.1491266</v>
      </c>
      <c r="Z88">
        <v>-2.583686E-2</v>
      </c>
      <c r="AA88">
        <v>0.98848049999999998</v>
      </c>
      <c r="AB88">
        <v>11</v>
      </c>
      <c r="AC88">
        <v>0.60740000000004102</v>
      </c>
      <c r="AD88">
        <v>-0.1887654</v>
      </c>
      <c r="AE88">
        <v>-9.8099999999988002E-2</v>
      </c>
      <c r="AF88">
        <v>0.104480842664536</v>
      </c>
      <c r="AG88">
        <v>-0.1887654</v>
      </c>
      <c r="AH88">
        <v>0.55254854963720801</v>
      </c>
      <c r="AI88">
        <v>108.555794129194</v>
      </c>
      <c r="AJ88">
        <v>79.2924201370096</v>
      </c>
      <c r="AK88">
        <v>0.59317663678472199</v>
      </c>
      <c r="AL88">
        <v>92.038565939876804</v>
      </c>
      <c r="AM88">
        <v>90.978291972826497</v>
      </c>
      <c r="AN88">
        <v>0.99999996233461896</v>
      </c>
    </row>
    <row r="89" spans="1:40" x14ac:dyDescent="0.25">
      <c r="A89" t="str">
        <f>"20190312151502588"</f>
        <v>20190312151502588</v>
      </c>
      <c r="B89" t="str">
        <f>"1552374902578036"</f>
        <v>1552374902578036</v>
      </c>
      <c r="C89" t="s">
        <v>40</v>
      </c>
      <c r="D89">
        <v>4.6073120000000003</v>
      </c>
      <c r="E89">
        <v>0.56477279999999996</v>
      </c>
      <c r="F89" t="s">
        <v>41</v>
      </c>
      <c r="G89">
        <v>-472.1189</v>
      </c>
      <c r="H89">
        <v>0.92420159999999996</v>
      </c>
      <c r="I89">
        <v>367.20440000000002</v>
      </c>
      <c r="J89">
        <v>-472.71769999999998</v>
      </c>
      <c r="K89">
        <v>1.108379</v>
      </c>
      <c r="L89">
        <v>367.29969999999997</v>
      </c>
      <c r="M89">
        <v>0.9996216</v>
      </c>
      <c r="N89">
        <v>0</v>
      </c>
      <c r="O89">
        <v>2.7503110000000001E-2</v>
      </c>
      <c r="P89">
        <v>0.99838079999999996</v>
      </c>
      <c r="Q89">
        <v>-3.5590249999999997E-2</v>
      </c>
      <c r="R89">
        <v>4.4377989999999999E-2</v>
      </c>
      <c r="S89">
        <v>2.9942630000000001</v>
      </c>
      <c r="T89">
        <v>-0.77923730000000002</v>
      </c>
      <c r="U89">
        <v>-0.3866272</v>
      </c>
      <c r="V89">
        <v>-1.6884329999999999E-2</v>
      </c>
      <c r="W89">
        <v>-3.5986360000000002E-2</v>
      </c>
      <c r="X89">
        <v>0.99920960000000003</v>
      </c>
      <c r="Y89">
        <v>0.1494827</v>
      </c>
      <c r="Z89">
        <v>-2.607191E-2</v>
      </c>
      <c r="AA89">
        <v>0.98842050000000004</v>
      </c>
      <c r="AB89">
        <v>11</v>
      </c>
      <c r="AC89">
        <v>0.59879999999998201</v>
      </c>
      <c r="AD89">
        <v>-0.18417739999999999</v>
      </c>
      <c r="AE89">
        <v>-9.5299999999951895E-2</v>
      </c>
      <c r="AF89">
        <v>0.102294428088124</v>
      </c>
      <c r="AG89">
        <v>-0.18417739999999999</v>
      </c>
      <c r="AH89">
        <v>0.54561065518125795</v>
      </c>
      <c r="AI89">
        <v>108.35486837885701</v>
      </c>
      <c r="AJ89">
        <v>79.381112645630395</v>
      </c>
      <c r="AK89">
        <v>0.58487302189104096</v>
      </c>
      <c r="AL89">
        <v>92.062311912314598</v>
      </c>
      <c r="AM89">
        <v>90.9680739557663</v>
      </c>
      <c r="AN89">
        <v>0.99999996171887795</v>
      </c>
    </row>
    <row r="90" spans="1:40" x14ac:dyDescent="0.25">
      <c r="A90" t="str">
        <f>"20190312151502608"</f>
        <v>20190312151502608</v>
      </c>
      <c r="B90" t="str">
        <f>"1552374902597556"</f>
        <v>1552374902597556</v>
      </c>
      <c r="C90" t="s">
        <v>40</v>
      </c>
      <c r="D90">
        <v>4.6116580000000003</v>
      </c>
      <c r="E90">
        <v>0.56485129999999995</v>
      </c>
      <c r="F90" t="s">
        <v>41</v>
      </c>
      <c r="G90">
        <v>-472.01780000000002</v>
      </c>
      <c r="H90">
        <v>0.92578709999999997</v>
      </c>
      <c r="I90">
        <v>367.20940000000002</v>
      </c>
      <c r="J90">
        <v>-472.61169999999998</v>
      </c>
      <c r="K90">
        <v>1.1083970000000001</v>
      </c>
      <c r="L90">
        <v>367.30340000000001</v>
      </c>
      <c r="M90">
        <v>0.99960139999999997</v>
      </c>
      <c r="N90">
        <v>0</v>
      </c>
      <c r="O90">
        <v>2.8233620000000001E-2</v>
      </c>
      <c r="P90">
        <v>0.99836340000000001</v>
      </c>
      <c r="Q90">
        <v>-3.5565510000000002E-2</v>
      </c>
      <c r="R90">
        <v>4.478294E-2</v>
      </c>
      <c r="S90">
        <v>2.9941409999999999</v>
      </c>
      <c r="T90">
        <v>-0.78134989999999904</v>
      </c>
      <c r="U90">
        <v>-0.3855286</v>
      </c>
      <c r="V90">
        <v>-1.6557510000000001E-2</v>
      </c>
      <c r="W90">
        <v>-3.5923289999999997E-2</v>
      </c>
      <c r="X90">
        <v>0.99921740000000003</v>
      </c>
      <c r="Y90">
        <v>0.1497869</v>
      </c>
      <c r="Z90">
        <v>-2.6367689999999999E-2</v>
      </c>
      <c r="AA90">
        <v>0.98836670000000004</v>
      </c>
      <c r="AB90">
        <v>11</v>
      </c>
      <c r="AC90">
        <v>0.59389999999996201</v>
      </c>
      <c r="AD90">
        <v>-0.18260989999999899</v>
      </c>
      <c r="AE90">
        <v>-9.3999999999994005E-2</v>
      </c>
      <c r="AF90">
        <v>0.101380096332921</v>
      </c>
      <c r="AG90">
        <v>-0.18260989999999899</v>
      </c>
      <c r="AH90">
        <v>0.54110288064313095</v>
      </c>
      <c r="AI90">
        <v>108.35096635147301</v>
      </c>
      <c r="AJ90">
        <v>79.388189999569406</v>
      </c>
      <c r="AK90">
        <v>0.58001433340114705</v>
      </c>
      <c r="AL90">
        <v>92.058695802736693</v>
      </c>
      <c r="AM90">
        <v>90.949331574101805</v>
      </c>
      <c r="AN90">
        <v>1.0000000231822901</v>
      </c>
    </row>
    <row r="91" spans="1:40" x14ac:dyDescent="0.25">
      <c r="A91" t="str">
        <f>"20190312151502630"</f>
        <v>20190312151502630</v>
      </c>
      <c r="B91" t="str">
        <f>"1552374902627812"</f>
        <v>1552374902627812</v>
      </c>
      <c r="C91" t="s">
        <v>40</v>
      </c>
      <c r="D91">
        <v>4.6752960000000003</v>
      </c>
      <c r="E91">
        <v>0.56496999999999997</v>
      </c>
      <c r="F91" t="s">
        <v>41</v>
      </c>
      <c r="G91">
        <v>-471.91520000000003</v>
      </c>
      <c r="H91">
        <v>0.92667469999999996</v>
      </c>
      <c r="I91">
        <v>367.21370000000002</v>
      </c>
      <c r="J91">
        <v>-472.49740000000003</v>
      </c>
      <c r="K91">
        <v>1.108398</v>
      </c>
      <c r="L91">
        <v>367.3075</v>
      </c>
      <c r="M91">
        <v>0.99957879999999999</v>
      </c>
      <c r="N91">
        <v>0</v>
      </c>
      <c r="O91">
        <v>2.9019199999999998E-2</v>
      </c>
      <c r="P91">
        <v>0.99834690000000004</v>
      </c>
      <c r="Q91">
        <v>-3.560431E-2</v>
      </c>
      <c r="R91">
        <v>4.5121260000000003E-2</v>
      </c>
      <c r="S91">
        <v>2.9943849999999999</v>
      </c>
      <c r="T91">
        <v>-0.78142019999999901</v>
      </c>
      <c r="U91">
        <v>-0.3850403</v>
      </c>
      <c r="V91">
        <v>-1.6109620000000002E-2</v>
      </c>
      <c r="W91">
        <v>-3.5936799999999998E-2</v>
      </c>
      <c r="X91">
        <v>0.99922420000000001</v>
      </c>
      <c r="Y91">
        <v>0.1503496</v>
      </c>
      <c r="Z91">
        <v>-2.6641069999999999E-2</v>
      </c>
      <c r="AA91">
        <v>0.98827390000000004</v>
      </c>
      <c r="AB91">
        <v>11</v>
      </c>
      <c r="AC91">
        <v>0.58220000000000005</v>
      </c>
      <c r="AD91">
        <v>-0.1817233</v>
      </c>
      <c r="AE91">
        <v>-9.3799999999987393E-2</v>
      </c>
      <c r="AF91">
        <v>0.101058783544467</v>
      </c>
      <c r="AG91">
        <v>-0.1817233</v>
      </c>
      <c r="AH91">
        <v>0.52899833999489199</v>
      </c>
      <c r="AI91">
        <v>108.645494470643</v>
      </c>
      <c r="AJ91">
        <v>79.184643145515196</v>
      </c>
      <c r="AK91">
        <v>0.56839728994052097</v>
      </c>
      <c r="AL91">
        <v>92.059470442023894</v>
      </c>
      <c r="AM91">
        <v>90.923649844789793</v>
      </c>
      <c r="AN91">
        <v>0.99999998765821196</v>
      </c>
    </row>
    <row r="92" spans="1:40" x14ac:dyDescent="0.25">
      <c r="A92" t="str">
        <f>"20190312151502654"</f>
        <v>20190312151502654</v>
      </c>
      <c r="B92" t="str">
        <f>"1552374902648308"</f>
        <v>1552374902648308</v>
      </c>
      <c r="C92" t="s">
        <v>40</v>
      </c>
      <c r="D92">
        <v>4.6347120000000004</v>
      </c>
      <c r="E92">
        <v>0.56502469999999905</v>
      </c>
      <c r="F92" t="s">
        <v>41</v>
      </c>
      <c r="G92">
        <v>-471.81029999999998</v>
      </c>
      <c r="H92">
        <v>0.92888999999999999</v>
      </c>
      <c r="I92">
        <v>367.21899999999999</v>
      </c>
      <c r="J92">
        <v>-472.37790000000001</v>
      </c>
      <c r="K92">
        <v>1.108401</v>
      </c>
      <c r="L92">
        <v>367.31180000000001</v>
      </c>
      <c r="M92">
        <v>0.99955479999999997</v>
      </c>
      <c r="N92">
        <v>0</v>
      </c>
      <c r="O92">
        <v>2.983601E-2</v>
      </c>
      <c r="P92">
        <v>0.99832259999999995</v>
      </c>
      <c r="Q92">
        <v>-3.5710619999999998E-2</v>
      </c>
      <c r="R92">
        <v>4.5571670000000002E-2</v>
      </c>
      <c r="S92">
        <v>2.9944760000000001</v>
      </c>
      <c r="T92">
        <v>-0.78244089999999999</v>
      </c>
      <c r="U92">
        <v>-0.3848877</v>
      </c>
      <c r="V92">
        <v>-1.5742220000000001E-2</v>
      </c>
      <c r="W92">
        <v>-3.6030329999999999E-2</v>
      </c>
      <c r="X92">
        <v>0.99922670000000002</v>
      </c>
      <c r="Y92">
        <v>0.15103849999999999</v>
      </c>
      <c r="Z92">
        <v>-2.6971419999999999E-2</v>
      </c>
      <c r="AA92">
        <v>0.98815989999999998</v>
      </c>
      <c r="AB92">
        <v>11</v>
      </c>
      <c r="AC92">
        <v>0.56760000000002697</v>
      </c>
      <c r="AD92">
        <v>-0.179510999999999</v>
      </c>
      <c r="AE92">
        <v>-9.2800000000011096E-2</v>
      </c>
      <c r="AF92">
        <v>9.9956051460069403E-2</v>
      </c>
      <c r="AG92">
        <v>-0.179510999999999</v>
      </c>
      <c r="AH92">
        <v>0.51446061982876901</v>
      </c>
      <c r="AI92">
        <v>108.907627741627</v>
      </c>
      <c r="AJ92">
        <v>79.004825304215103</v>
      </c>
      <c r="AK92">
        <v>0.55397214794526395</v>
      </c>
      <c r="AL92">
        <v>92.064832763439895</v>
      </c>
      <c r="AM92">
        <v>90.902586124377294</v>
      </c>
      <c r="AN92">
        <v>1.00000000008166</v>
      </c>
    </row>
    <row r="93" spans="1:40" x14ac:dyDescent="0.25">
      <c r="A93" t="str">
        <f>"20190312151502675"</f>
        <v>20190312151502675</v>
      </c>
      <c r="B93" t="str">
        <f>"1552374902667828"</f>
        <v>1552374902667828</v>
      </c>
      <c r="C93" t="s">
        <v>40</v>
      </c>
      <c r="D93">
        <v>4.6179790000000001</v>
      </c>
      <c r="E93">
        <v>0.56508649999999905</v>
      </c>
      <c r="F93" t="s">
        <v>41</v>
      </c>
      <c r="G93">
        <v>-471.60509999999999</v>
      </c>
      <c r="H93">
        <v>0.90638890000000005</v>
      </c>
      <c r="I93">
        <v>367.2124</v>
      </c>
      <c r="J93">
        <v>-472.25889999999998</v>
      </c>
      <c r="K93">
        <v>1.108393</v>
      </c>
      <c r="L93">
        <v>367.31630000000001</v>
      </c>
      <c r="M93">
        <v>0.99953040000000004</v>
      </c>
      <c r="N93">
        <v>0</v>
      </c>
      <c r="O93">
        <v>3.0642389999999999E-2</v>
      </c>
      <c r="P93">
        <v>0.99831829999999999</v>
      </c>
      <c r="Q93">
        <v>-3.5374950000000002E-2</v>
      </c>
      <c r="R93">
        <v>4.5925599999999997E-2</v>
      </c>
      <c r="S93">
        <v>2.9945369999999998</v>
      </c>
      <c r="T93">
        <v>-0.78299379999999996</v>
      </c>
      <c r="U93">
        <v>-0.38418580000000002</v>
      </c>
      <c r="V93">
        <v>-1.528975E-2</v>
      </c>
      <c r="W93">
        <v>-3.569344E-2</v>
      </c>
      <c r="X93">
        <v>0.99924579999999996</v>
      </c>
      <c r="Y93">
        <v>0.15155260000000001</v>
      </c>
      <c r="Z93">
        <v>-2.7262249999999998E-2</v>
      </c>
      <c r="AA93">
        <v>0.98807319999999998</v>
      </c>
      <c r="AB93">
        <v>12</v>
      </c>
      <c r="AC93">
        <v>0.65379999999998895</v>
      </c>
      <c r="AD93">
        <v>-0.20200409999999899</v>
      </c>
      <c r="AE93">
        <v>-0.10390000000001</v>
      </c>
      <c r="AF93">
        <v>0.113332733873209</v>
      </c>
      <c r="AG93">
        <v>-0.20200409999999899</v>
      </c>
      <c r="AH93">
        <v>0.59491627059191698</v>
      </c>
      <c r="AI93">
        <v>108.44622086082499</v>
      </c>
      <c r="AJ93">
        <v>79.214275647596807</v>
      </c>
      <c r="AK93">
        <v>0.63841627015528102</v>
      </c>
      <c r="AL93">
        <v>92.045517998057704</v>
      </c>
      <c r="AM93">
        <v>90.876630940682304</v>
      </c>
      <c r="AN93">
        <v>0.99999998346586705</v>
      </c>
    </row>
    <row r="94" spans="1:40" x14ac:dyDescent="0.25">
      <c r="A94" t="str">
        <f>"20190312151502699"</f>
        <v>20190312151502699</v>
      </c>
      <c r="B94" t="str">
        <f>"1552374902687349"</f>
        <v>1552374902687349</v>
      </c>
      <c r="C94" t="s">
        <v>40</v>
      </c>
      <c r="D94">
        <v>4.7469089999999996</v>
      </c>
      <c r="E94">
        <v>0.56505249999999996</v>
      </c>
      <c r="F94" t="s">
        <v>41</v>
      </c>
      <c r="G94">
        <v>-471.4948</v>
      </c>
      <c r="H94">
        <v>0.90878300000000001</v>
      </c>
      <c r="I94">
        <v>367.21839999999997</v>
      </c>
      <c r="J94">
        <v>-472.13209999999998</v>
      </c>
      <c r="K94">
        <v>1.108385</v>
      </c>
      <c r="L94">
        <v>367.3211</v>
      </c>
      <c r="M94">
        <v>0.9995039</v>
      </c>
      <c r="N94">
        <v>0</v>
      </c>
      <c r="O94">
        <v>3.1494479999999998E-2</v>
      </c>
      <c r="P94">
        <v>0.99828430000000001</v>
      </c>
      <c r="Q94">
        <v>-3.4863709999999999E-2</v>
      </c>
      <c r="R94">
        <v>4.7041239999999998E-2</v>
      </c>
      <c r="S94">
        <v>2.9949650000000001</v>
      </c>
      <c r="T94">
        <v>-0.78246899999999997</v>
      </c>
      <c r="U94">
        <v>-0.38317869999999998</v>
      </c>
      <c r="V94">
        <v>-1.555257E-2</v>
      </c>
      <c r="W94">
        <v>-3.5190899999999997E-2</v>
      </c>
      <c r="X94">
        <v>0.99925960000000003</v>
      </c>
      <c r="Y94">
        <v>0.1520155</v>
      </c>
      <c r="Z94">
        <v>-2.7518839999999999E-2</v>
      </c>
      <c r="AA94">
        <v>0.98799499999999996</v>
      </c>
      <c r="AB94">
        <v>12</v>
      </c>
      <c r="AC94">
        <v>0.63729999999998199</v>
      </c>
      <c r="AD94">
        <v>-0.199601999999999</v>
      </c>
      <c r="AE94">
        <v>-0.10270000000002701</v>
      </c>
      <c r="AF94">
        <v>0.112011004236336</v>
      </c>
      <c r="AG94">
        <v>-0.199601999999999</v>
      </c>
      <c r="AH94">
        <v>0.57844379251043898</v>
      </c>
      <c r="AI94">
        <v>108.715051196126</v>
      </c>
      <c r="AJ94">
        <v>79.040768318333306</v>
      </c>
      <c r="AK94">
        <v>0.62208089873254602</v>
      </c>
      <c r="AL94">
        <v>92.016706411102902</v>
      </c>
      <c r="AM94">
        <v>90.8916848821424</v>
      </c>
      <c r="AN94">
        <v>1.00000001503428</v>
      </c>
    </row>
    <row r="95" spans="1:40" x14ac:dyDescent="0.25">
      <c r="A95" t="str">
        <f>"20190312151502719"</f>
        <v>20190312151502719</v>
      </c>
      <c r="B95" t="str">
        <f>"1552374902707854"</f>
        <v>1552374902707854</v>
      </c>
      <c r="C95" t="s">
        <v>40</v>
      </c>
      <c r="D95">
        <v>4.6944220000000003</v>
      </c>
      <c r="E95">
        <v>0.56506540000000005</v>
      </c>
      <c r="F95" t="s">
        <v>41</v>
      </c>
      <c r="G95">
        <v>-471.38220000000001</v>
      </c>
      <c r="H95">
        <v>0.91249199999999997</v>
      </c>
      <c r="I95">
        <v>367.22609999999997</v>
      </c>
      <c r="J95">
        <v>-472.01459999999997</v>
      </c>
      <c r="K95">
        <v>1.1083809999999901</v>
      </c>
      <c r="L95">
        <v>367.32569999999998</v>
      </c>
      <c r="M95">
        <v>0.99947889999999995</v>
      </c>
      <c r="N95">
        <v>0</v>
      </c>
      <c r="O95">
        <v>3.228077E-2</v>
      </c>
      <c r="P95">
        <v>0.99824669999999904</v>
      </c>
      <c r="Q95">
        <v>-3.4883570000000003E-2</v>
      </c>
      <c r="R95">
        <v>4.7819920000000002E-2</v>
      </c>
      <c r="S95">
        <v>2.9957579999999999</v>
      </c>
      <c r="T95">
        <v>-0.78258030000000001</v>
      </c>
      <c r="U95">
        <v>-0.38000489999999998</v>
      </c>
      <c r="V95">
        <v>-1.554588E-2</v>
      </c>
      <c r="W95">
        <v>-3.5225399999999997E-2</v>
      </c>
      <c r="X95">
        <v>0.99925850000000005</v>
      </c>
      <c r="Y95">
        <v>0.15171370000000001</v>
      </c>
      <c r="Z95">
        <v>-2.7680079999999999E-2</v>
      </c>
      <c r="AA95">
        <v>0.98803680000000005</v>
      </c>
      <c r="AB95">
        <v>12</v>
      </c>
      <c r="AC95">
        <v>0.63239999999996099</v>
      </c>
      <c r="AD95">
        <v>-0.19588899999999901</v>
      </c>
      <c r="AE95">
        <v>-9.9600000000009403E-2</v>
      </c>
      <c r="AF95">
        <v>0.109692416962772</v>
      </c>
      <c r="AG95">
        <v>-0.19588899999999901</v>
      </c>
      <c r="AH95">
        <v>0.575018704725061</v>
      </c>
      <c r="AI95">
        <v>108.501845335894</v>
      </c>
      <c r="AJ95">
        <v>79.199833425616504</v>
      </c>
      <c r="AK95">
        <v>0.61729363956209804</v>
      </c>
      <c r="AL95">
        <v>92.018684318614007</v>
      </c>
      <c r="AM95">
        <v>90.891302363225606</v>
      </c>
      <c r="AN95">
        <v>1.0000000265061899</v>
      </c>
    </row>
    <row r="96" spans="1:40" x14ac:dyDescent="0.25">
      <c r="A96" t="str">
        <f>"20190312151502742"</f>
        <v>20190312151502742</v>
      </c>
      <c r="B96" t="str">
        <f>"1552374902738100"</f>
        <v>1552374902738100</v>
      </c>
      <c r="C96" t="s">
        <v>40</v>
      </c>
      <c r="D96">
        <v>4.7383480000000002</v>
      </c>
      <c r="E96">
        <v>0.56505069999999902</v>
      </c>
      <c r="F96" t="s">
        <v>41</v>
      </c>
      <c r="G96">
        <v>-471.2688</v>
      </c>
      <c r="H96">
        <v>0.91331589999999996</v>
      </c>
      <c r="I96">
        <v>367.23160000000001</v>
      </c>
      <c r="J96">
        <v>-471.88589999999999</v>
      </c>
      <c r="K96">
        <v>1.1083750000000001</v>
      </c>
      <c r="L96">
        <v>367.33089999999999</v>
      </c>
      <c r="M96">
        <v>0.99945090000000003</v>
      </c>
      <c r="N96">
        <v>0</v>
      </c>
      <c r="O96">
        <v>3.3137630000000001E-2</v>
      </c>
      <c r="P96">
        <v>0.99819910000000001</v>
      </c>
      <c r="Q96">
        <v>-3.4993829999999997E-2</v>
      </c>
      <c r="R96">
        <v>4.872543E-2</v>
      </c>
      <c r="S96">
        <v>2.9960019999999998</v>
      </c>
      <c r="T96">
        <v>-0.78379109999999996</v>
      </c>
      <c r="U96">
        <v>-0.37750240000000002</v>
      </c>
      <c r="V96">
        <v>-1.5595360000000001E-2</v>
      </c>
      <c r="W96">
        <v>-3.5357069999999997E-2</v>
      </c>
      <c r="X96">
        <v>0.99925299999999995</v>
      </c>
      <c r="Y96">
        <v>0.15169179999999999</v>
      </c>
      <c r="Z96">
        <v>-2.7937670000000001E-2</v>
      </c>
      <c r="AA96">
        <v>0.98803289999999999</v>
      </c>
      <c r="AB96">
        <v>12</v>
      </c>
      <c r="AC96">
        <v>0.61709999999999299</v>
      </c>
      <c r="AD96">
        <v>-0.19505910000000001</v>
      </c>
      <c r="AE96">
        <v>-9.9299999999970995E-2</v>
      </c>
      <c r="AF96">
        <v>0.109072049788998</v>
      </c>
      <c r="AG96">
        <v>-0.19505910000000001</v>
      </c>
      <c r="AH96">
        <v>0.55902634608231105</v>
      </c>
      <c r="AI96">
        <v>108.90473140472</v>
      </c>
      <c r="AJ96">
        <v>78.959678052081998</v>
      </c>
      <c r="AK96">
        <v>0.60204254015154401</v>
      </c>
      <c r="AL96">
        <v>92.026233315583795</v>
      </c>
      <c r="AM96">
        <v>90.894143694052602</v>
      </c>
      <c r="AN96">
        <v>0.99999994783075496</v>
      </c>
    </row>
    <row r="97" spans="1:40" x14ac:dyDescent="0.25">
      <c r="A97" t="str">
        <f>"20190312151502766"</f>
        <v>20190312151502766</v>
      </c>
      <c r="B97" t="str">
        <f>"1552374902757620"</f>
        <v>1552374902757620</v>
      </c>
      <c r="C97" t="s">
        <v>40</v>
      </c>
      <c r="D97">
        <v>4.5023989999999996</v>
      </c>
      <c r="E97">
        <v>0.56505839999999996</v>
      </c>
      <c r="F97" t="s">
        <v>41</v>
      </c>
      <c r="G97">
        <v>-471.15300000000002</v>
      </c>
      <c r="H97">
        <v>0.91598329999999994</v>
      </c>
      <c r="I97">
        <v>367.23939999999999</v>
      </c>
      <c r="J97">
        <v>-471.74529999999999</v>
      </c>
      <c r="K97">
        <v>1.1083700000000001</v>
      </c>
      <c r="L97">
        <v>367.33659999999998</v>
      </c>
      <c r="M97">
        <v>0.99941930000000001</v>
      </c>
      <c r="N97">
        <v>0</v>
      </c>
      <c r="O97">
        <v>3.407102E-2</v>
      </c>
      <c r="P97">
        <v>0.99814959999999997</v>
      </c>
      <c r="Q97">
        <v>-3.469738E-2</v>
      </c>
      <c r="R97">
        <v>4.9936399999999999E-2</v>
      </c>
      <c r="S97">
        <v>2.996124</v>
      </c>
      <c r="T97">
        <v>-0.78656329999999997</v>
      </c>
      <c r="U97">
        <v>-0.3738708</v>
      </c>
      <c r="V97">
        <v>-1.5873769999999999E-2</v>
      </c>
      <c r="W97">
        <v>-3.508729E-2</v>
      </c>
      <c r="X97">
        <v>0.99925819999999999</v>
      </c>
      <c r="Y97">
        <v>0.1513661</v>
      </c>
      <c r="Z97">
        <v>-2.8232480000000001E-2</v>
      </c>
      <c r="AA97">
        <v>0.98807449999999997</v>
      </c>
      <c r="AB97">
        <v>13</v>
      </c>
      <c r="AC97">
        <v>0.59229999999996596</v>
      </c>
      <c r="AD97">
        <v>-0.19238669999999999</v>
      </c>
      <c r="AE97">
        <v>-9.7199999999986603E-2</v>
      </c>
      <c r="AF97">
        <v>0.10639333809649699</v>
      </c>
      <c r="AG97">
        <v>-0.19238669999999999</v>
      </c>
      <c r="AH97">
        <v>0.53380325130179496</v>
      </c>
      <c r="AI97">
        <v>109.466226452162</v>
      </c>
      <c r="AJ97">
        <v>78.727981630121704</v>
      </c>
      <c r="AK97">
        <v>0.57730243012529603</v>
      </c>
      <c r="AL97">
        <v>92.010766312286904</v>
      </c>
      <c r="AM97">
        <v>90.910098644357205</v>
      </c>
      <c r="AN97">
        <v>1.00000002238039</v>
      </c>
    </row>
    <row r="98" spans="1:40" x14ac:dyDescent="0.25">
      <c r="A98" t="str">
        <f>"20190312151502789"</f>
        <v>20190312151502789</v>
      </c>
      <c r="B98" t="str">
        <f>"1552374902778116"</f>
        <v>1552374902778116</v>
      </c>
      <c r="C98" t="s">
        <v>40</v>
      </c>
      <c r="D98">
        <v>4.7493800000000004</v>
      </c>
      <c r="E98">
        <v>0.54029459999999996</v>
      </c>
      <c r="F98" t="s">
        <v>41</v>
      </c>
      <c r="G98">
        <v>-471.03399999999999</v>
      </c>
      <c r="H98">
        <v>0.92199850000000005</v>
      </c>
      <c r="I98">
        <v>367.2484</v>
      </c>
      <c r="J98">
        <v>-471.6123</v>
      </c>
      <c r="K98">
        <v>1.108366</v>
      </c>
      <c r="L98">
        <v>367.34219999999999</v>
      </c>
      <c r="M98">
        <v>0.99938890000000002</v>
      </c>
      <c r="N98">
        <v>0</v>
      </c>
      <c r="O98">
        <v>3.4952909999999997E-2</v>
      </c>
      <c r="P98">
        <v>0.9981177</v>
      </c>
      <c r="Q98">
        <v>-3.4485389999999998E-2</v>
      </c>
      <c r="R98">
        <v>5.0710529999999997E-2</v>
      </c>
      <c r="S98">
        <v>2.9967959999999998</v>
      </c>
      <c r="T98">
        <v>-0.78542730000000005</v>
      </c>
      <c r="U98">
        <v>-0.3705444</v>
      </c>
      <c r="V98">
        <v>-1.576572E-2</v>
      </c>
      <c r="W98">
        <v>-3.4901950000000001E-2</v>
      </c>
      <c r="X98">
        <v>0.9992664</v>
      </c>
      <c r="Y98">
        <v>0.15112790000000001</v>
      </c>
      <c r="Z98">
        <v>-2.8384779999999998E-2</v>
      </c>
      <c r="AA98">
        <v>0.98810659999999895</v>
      </c>
      <c r="AB98">
        <v>13</v>
      </c>
      <c r="AC98">
        <v>0.57830000000001203</v>
      </c>
      <c r="AD98">
        <v>-0.18636749999999899</v>
      </c>
      <c r="AE98">
        <v>-9.3799999999987393E-2</v>
      </c>
      <c r="AF98">
        <v>0.103483967885275</v>
      </c>
      <c r="AG98">
        <v>-0.18636749999999899</v>
      </c>
      <c r="AH98">
        <v>0.521858915190763</v>
      </c>
      <c r="AI98">
        <v>109.305431490445</v>
      </c>
      <c r="AJ98">
        <v>78.783823826066694</v>
      </c>
      <c r="AK98">
        <v>0.56371846167179096</v>
      </c>
      <c r="AL98">
        <v>92.000140607048294</v>
      </c>
      <c r="AM98">
        <v>90.903897375808199</v>
      </c>
      <c r="AN98">
        <v>1.00000002110494</v>
      </c>
    </row>
    <row r="99" spans="1:40" x14ac:dyDescent="0.25">
      <c r="A99" t="str">
        <f>"20190312151502810"</f>
        <v>20190312151502810</v>
      </c>
      <c r="B99" t="str">
        <f>"1552374902797636"</f>
        <v>1552374902797636</v>
      </c>
      <c r="C99" t="s">
        <v>40</v>
      </c>
      <c r="D99">
        <v>4.8109929999999999</v>
      </c>
      <c r="E99">
        <v>0.52996980000000005</v>
      </c>
      <c r="F99" t="s">
        <v>41</v>
      </c>
      <c r="G99">
        <v>-470.8904</v>
      </c>
      <c r="H99">
        <v>0.98133919999999997</v>
      </c>
      <c r="I99">
        <v>367.30110000000002</v>
      </c>
      <c r="J99">
        <v>-471.48719999999997</v>
      </c>
      <c r="K99">
        <v>1.1083620000000001</v>
      </c>
      <c r="L99">
        <v>367.34739999999999</v>
      </c>
      <c r="M99">
        <v>0.99935949999999996</v>
      </c>
      <c r="N99">
        <v>0</v>
      </c>
      <c r="O99">
        <v>3.578162E-2</v>
      </c>
      <c r="P99">
        <v>0.99809349999999997</v>
      </c>
      <c r="Q99">
        <v>-3.4224259999999999E-2</v>
      </c>
      <c r="R99">
        <v>5.1360580000000003E-2</v>
      </c>
      <c r="S99">
        <v>2.9960629999999999</v>
      </c>
      <c r="T99">
        <v>-0.52728629999999999</v>
      </c>
      <c r="U99">
        <v>-0.17016600000000001</v>
      </c>
      <c r="V99">
        <v>-1.558764E-2</v>
      </c>
      <c r="W99">
        <v>-3.466586E-2</v>
      </c>
      <c r="X99">
        <v>0.99927739999999998</v>
      </c>
      <c r="Y99">
        <v>9.0458140000000006E-2</v>
      </c>
      <c r="Z99">
        <v>-1.4138029999999999E-2</v>
      </c>
      <c r="AA99">
        <v>0.99579989999999996</v>
      </c>
      <c r="AB99">
        <v>13</v>
      </c>
      <c r="AC99">
        <v>0.59679999999997302</v>
      </c>
      <c r="AD99">
        <v>-0.12702279999999999</v>
      </c>
      <c r="AE99">
        <v>-4.62999999999738E-2</v>
      </c>
      <c r="AF99">
        <v>6.4710907734744597E-2</v>
      </c>
      <c r="AG99">
        <v>-0.12702279999999999</v>
      </c>
      <c r="AH99">
        <v>0.56913320557384495</v>
      </c>
      <c r="AI99">
        <v>102.50343659186299</v>
      </c>
      <c r="AJ99">
        <v>83.513280777542803</v>
      </c>
      <c r="AK99">
        <v>0.58671534749523502</v>
      </c>
      <c r="AL99">
        <v>91.986605479553404</v>
      </c>
      <c r="AM99">
        <v>90.893679329176393</v>
      </c>
      <c r="AN99">
        <v>1.0000000092605299</v>
      </c>
    </row>
    <row r="100" spans="1:40" x14ac:dyDescent="0.25">
      <c r="A100" t="str">
        <f>"20190312151502831"</f>
        <v>20190312151502831</v>
      </c>
      <c r="B100" t="str">
        <f>"1552374902827892"</f>
        <v>1552374902827892</v>
      </c>
      <c r="C100" t="s">
        <v>40</v>
      </c>
      <c r="D100">
        <v>4.7575279999999998</v>
      </c>
      <c r="E100">
        <v>0.5227522</v>
      </c>
      <c r="F100" t="s">
        <v>41</v>
      </c>
      <c r="G100">
        <v>-470.75819999999999</v>
      </c>
      <c r="H100">
        <v>1.007347</v>
      </c>
      <c r="I100">
        <v>367.3263</v>
      </c>
      <c r="J100">
        <v>-471.3526</v>
      </c>
      <c r="K100">
        <v>1.1083320000000001</v>
      </c>
      <c r="L100">
        <v>367.35320000000002</v>
      </c>
      <c r="M100">
        <v>0.99932149999999997</v>
      </c>
      <c r="N100">
        <v>0</v>
      </c>
      <c r="O100">
        <v>3.6830479999999999E-2</v>
      </c>
      <c r="P100">
        <v>0.99802519999999995</v>
      </c>
      <c r="Q100">
        <v>-3.4509739999999997E-2</v>
      </c>
      <c r="R100">
        <v>5.2488989999999999E-2</v>
      </c>
      <c r="S100">
        <v>2.9958800000000001</v>
      </c>
      <c r="T100">
        <v>-0.41549659999999999</v>
      </c>
      <c r="U100">
        <v>-8.5510249999999996E-2</v>
      </c>
      <c r="V100">
        <v>-1.5668439999999999E-2</v>
      </c>
      <c r="W100">
        <v>-3.5042419999999998E-2</v>
      </c>
      <c r="X100">
        <v>0.99926300000000001</v>
      </c>
      <c r="Y100">
        <v>6.4359250000000007E-2</v>
      </c>
      <c r="Z100">
        <v>-9.5232679999999997E-3</v>
      </c>
      <c r="AA100">
        <v>0.99788140000000003</v>
      </c>
      <c r="AB100">
        <v>13</v>
      </c>
      <c r="AC100">
        <v>0.59440000000000703</v>
      </c>
      <c r="AD100">
        <v>-0.10098499999999901</v>
      </c>
      <c r="AE100">
        <v>-2.6900000000011901E-2</v>
      </c>
      <c r="AF100">
        <v>4.7408194907129601E-2</v>
      </c>
      <c r="AG100">
        <v>-0.10098499999999901</v>
      </c>
      <c r="AH100">
        <v>0.57640270765110602</v>
      </c>
      <c r="AI100">
        <v>99.904512062770394</v>
      </c>
      <c r="AJ100">
        <v>85.298097773933506</v>
      </c>
      <c r="AK100">
        <v>0.58709930042274605</v>
      </c>
      <c r="AL100">
        <v>92.008193899282105</v>
      </c>
      <c r="AM100">
        <v>90.8983239860856</v>
      </c>
      <c r="AN100">
        <v>1.00000000719024</v>
      </c>
    </row>
    <row r="101" spans="1:40" x14ac:dyDescent="0.25">
      <c r="A101" t="str">
        <f>"20190312151502855"</f>
        <v>20190312151502855</v>
      </c>
      <c r="B101" t="str">
        <f>"1552374902847412"</f>
        <v>1552374902847412</v>
      </c>
      <c r="C101" t="s">
        <v>40</v>
      </c>
      <c r="D101">
        <v>4.7683749999999998</v>
      </c>
      <c r="E101">
        <v>0.52074049999999905</v>
      </c>
      <c r="F101" t="s">
        <v>41</v>
      </c>
      <c r="G101">
        <v>-470.62779999999998</v>
      </c>
      <c r="H101">
        <v>1.025023</v>
      </c>
      <c r="I101">
        <v>367.34730000000002</v>
      </c>
      <c r="J101">
        <v>-471.2106</v>
      </c>
      <c r="K101">
        <v>1.1083609999999999</v>
      </c>
      <c r="L101">
        <v>367.35939999999999</v>
      </c>
      <c r="M101">
        <v>0.99928410000000001</v>
      </c>
      <c r="N101">
        <v>0</v>
      </c>
      <c r="O101">
        <v>3.7831789999999997E-2</v>
      </c>
      <c r="P101">
        <v>0.99795719999999999</v>
      </c>
      <c r="Q101">
        <v>-3.4674969999999999E-2</v>
      </c>
      <c r="R101">
        <v>5.3658209999999998E-2</v>
      </c>
      <c r="S101">
        <v>2.9952999999999999</v>
      </c>
      <c r="T101">
        <v>-0.34438740000000001</v>
      </c>
      <c r="U101">
        <v>-2.444458E-2</v>
      </c>
      <c r="V101">
        <v>-1.583037E-2</v>
      </c>
      <c r="W101">
        <v>-3.5178050000000002E-2</v>
      </c>
      <c r="X101">
        <v>0.99925569999999997</v>
      </c>
      <c r="Y101">
        <v>4.5436890000000001E-2</v>
      </c>
      <c r="Z101">
        <v>-6.9382350000000001E-3</v>
      </c>
      <c r="AA101">
        <v>0.99894309999999997</v>
      </c>
      <c r="AB101">
        <v>14</v>
      </c>
      <c r="AC101">
        <v>0.58280000000001997</v>
      </c>
      <c r="AD101">
        <v>-8.3338000000000106E-2</v>
      </c>
      <c r="AE101">
        <v>-1.2099999999975301E-2</v>
      </c>
      <c r="AF101">
        <v>3.3455900018735399E-2</v>
      </c>
      <c r="AG101">
        <v>-8.3338000000000106E-2</v>
      </c>
      <c r="AH101">
        <v>0.57026928074039795</v>
      </c>
      <c r="AI101">
        <v>98.300163488135098</v>
      </c>
      <c r="AJ101">
        <v>86.642485765988397</v>
      </c>
      <c r="AK101">
        <v>0.57729677986823502</v>
      </c>
      <c r="AL101">
        <v>92.015969684308104</v>
      </c>
      <c r="AM101">
        <v>90.907613058004799</v>
      </c>
      <c r="AN101">
        <v>1.0000000248993099</v>
      </c>
    </row>
    <row r="102" spans="1:40" x14ac:dyDescent="0.25">
      <c r="A102" t="str">
        <f>"20190312151502876"</f>
        <v>20190312151502876</v>
      </c>
      <c r="B102" t="str">
        <f>"1552374902867909"</f>
        <v>1552374902867909</v>
      </c>
      <c r="C102" t="s">
        <v>40</v>
      </c>
      <c r="D102">
        <v>4.7406300000000003</v>
      </c>
      <c r="E102">
        <v>0.51946009999999998</v>
      </c>
      <c r="F102" t="s">
        <v>41</v>
      </c>
      <c r="G102">
        <v>-470.3802</v>
      </c>
      <c r="H102">
        <v>1.0197430000000001</v>
      </c>
      <c r="I102">
        <v>367.35809999999998</v>
      </c>
      <c r="J102">
        <v>-471.07510000000002</v>
      </c>
      <c r="K102">
        <v>1.1084529999999999</v>
      </c>
      <c r="L102">
        <v>367.3655</v>
      </c>
      <c r="M102">
        <v>0.99925540000000002</v>
      </c>
      <c r="N102">
        <v>0</v>
      </c>
      <c r="O102">
        <v>3.8579410000000001E-2</v>
      </c>
      <c r="P102">
        <v>0.99793089999999995</v>
      </c>
      <c r="Q102">
        <v>-3.483663E-2</v>
      </c>
      <c r="R102">
        <v>5.4038849999999999E-2</v>
      </c>
      <c r="S102">
        <v>2.9952700000000001</v>
      </c>
      <c r="T102">
        <v>-0.3196447</v>
      </c>
      <c r="U102">
        <v>-4.7912600000000003E-3</v>
      </c>
      <c r="V102">
        <v>-1.5453430000000001E-2</v>
      </c>
      <c r="W102">
        <v>-3.524878E-2</v>
      </c>
      <c r="X102">
        <v>0.99925909999999996</v>
      </c>
      <c r="Y102">
        <v>3.9733190000000002E-2</v>
      </c>
      <c r="Z102">
        <v>-6.2187569999999897E-3</v>
      </c>
      <c r="AA102">
        <v>0.99919100000000005</v>
      </c>
      <c r="AB102">
        <v>14</v>
      </c>
      <c r="AC102">
        <v>0.69490000000001795</v>
      </c>
      <c r="AD102">
        <v>-8.8709999999999997E-2</v>
      </c>
      <c r="AE102">
        <v>-7.40000000001828E-3</v>
      </c>
      <c r="AF102">
        <v>3.3654923572030801E-2</v>
      </c>
      <c r="AG102">
        <v>-8.8709999999999997E-2</v>
      </c>
      <c r="AH102">
        <v>0.682968295618265</v>
      </c>
      <c r="AI102">
        <v>97.391782420282794</v>
      </c>
      <c r="AJ102">
        <v>87.1788931242491</v>
      </c>
      <c r="AK102">
        <v>0.68952723717077102</v>
      </c>
      <c r="AL102">
        <v>92.020024745610698</v>
      </c>
      <c r="AM102">
        <v>90.886002180940807</v>
      </c>
      <c r="AN102">
        <v>1.00000001696153</v>
      </c>
    </row>
    <row r="103" spans="1:40" x14ac:dyDescent="0.25">
      <c r="A103" t="str">
        <f>"20190312151502900"</f>
        <v>20190312151502900</v>
      </c>
      <c r="B103" t="str">
        <f>"1552374902887428"</f>
        <v>1552374902887428</v>
      </c>
      <c r="C103" t="s">
        <v>40</v>
      </c>
      <c r="D103">
        <v>4.7476029999999998</v>
      </c>
      <c r="E103">
        <v>0.51869299999999996</v>
      </c>
      <c r="F103" t="s">
        <v>41</v>
      </c>
      <c r="G103">
        <v>-470.25020000000001</v>
      </c>
      <c r="H103">
        <v>1.024653</v>
      </c>
      <c r="I103">
        <v>367.36689999999999</v>
      </c>
      <c r="J103">
        <v>-470.92309999999998</v>
      </c>
      <c r="K103">
        <v>1.1084849999999999</v>
      </c>
      <c r="L103">
        <v>367.37240000000003</v>
      </c>
      <c r="M103">
        <v>0.99922500000000003</v>
      </c>
      <c r="N103">
        <v>0</v>
      </c>
      <c r="O103">
        <v>3.9362519999999998E-2</v>
      </c>
      <c r="P103">
        <v>0.99790650000000003</v>
      </c>
      <c r="Q103">
        <v>-3.4977830000000001E-2</v>
      </c>
      <c r="R103">
        <v>5.4400289999999997E-2</v>
      </c>
      <c r="S103">
        <v>2.9952390000000002</v>
      </c>
      <c r="T103">
        <v>-0.3047105</v>
      </c>
      <c r="U103">
        <v>6.8054200000000004E-3</v>
      </c>
      <c r="V103">
        <v>-1.5024559999999999E-2</v>
      </c>
      <c r="W103">
        <v>-3.5314180000000001E-2</v>
      </c>
      <c r="X103">
        <v>0.99926329999999997</v>
      </c>
      <c r="Y103">
        <v>3.6699610000000001E-2</v>
      </c>
      <c r="Z103">
        <v>-5.8552259999999998E-3</v>
      </c>
      <c r="AA103">
        <v>0.99930920000000001</v>
      </c>
      <c r="AB103">
        <v>14</v>
      </c>
      <c r="AC103">
        <v>0.67289999999996997</v>
      </c>
      <c r="AD103">
        <v>-8.3831999999999907E-2</v>
      </c>
      <c r="AE103">
        <v>-5.5000000000404699E-3</v>
      </c>
      <c r="AF103">
        <v>3.14939927030915E-2</v>
      </c>
      <c r="AG103">
        <v>-8.3831999999999907E-2</v>
      </c>
      <c r="AH103">
        <v>0.66188953065906397</v>
      </c>
      <c r="AI103">
        <v>97.210323806790697</v>
      </c>
      <c r="AJ103">
        <v>87.275809897728095</v>
      </c>
      <c r="AK103">
        <v>0.66792022472482304</v>
      </c>
      <c r="AL103">
        <v>92.023774287150601</v>
      </c>
      <c r="AM103">
        <v>90.861413618819796</v>
      </c>
      <c r="AN103">
        <v>0.99999998571957704</v>
      </c>
    </row>
    <row r="104" spans="1:40" x14ac:dyDescent="0.25">
      <c r="A104" t="str">
        <f>"20190312151502921"</f>
        <v>20190312151502921</v>
      </c>
      <c r="B104" t="str">
        <f>"1552374902917685"</f>
        <v>1552374902917685</v>
      </c>
      <c r="C104" t="s">
        <v>40</v>
      </c>
      <c r="D104">
        <v>5.4515560000000001</v>
      </c>
      <c r="E104">
        <v>0.51781469999999996</v>
      </c>
      <c r="F104" t="s">
        <v>41</v>
      </c>
      <c r="G104">
        <v>-470.11840000000001</v>
      </c>
      <c r="H104">
        <v>1.029757</v>
      </c>
      <c r="I104">
        <v>367.37580000000003</v>
      </c>
      <c r="J104">
        <v>-470.78210000000001</v>
      </c>
      <c r="K104">
        <v>1.108447</v>
      </c>
      <c r="L104">
        <v>367.37909999999999</v>
      </c>
      <c r="M104">
        <v>0.9991932</v>
      </c>
      <c r="N104">
        <v>0</v>
      </c>
      <c r="O104">
        <v>4.0162910000000003E-2</v>
      </c>
      <c r="P104">
        <v>0.99786889999999995</v>
      </c>
      <c r="Q104">
        <v>-3.4738819999999997E-2</v>
      </c>
      <c r="R104">
        <v>5.5236090000000002E-2</v>
      </c>
      <c r="S104">
        <v>2.995209</v>
      </c>
      <c r="T104">
        <v>-0.29339730000000003</v>
      </c>
      <c r="U104">
        <v>1.38855E-2</v>
      </c>
      <c r="V104">
        <v>-1.506091E-2</v>
      </c>
      <c r="W104">
        <v>-3.5047429999999997E-2</v>
      </c>
      <c r="X104">
        <v>0.99927220000000005</v>
      </c>
      <c r="Y104">
        <v>3.5169909999999999E-2</v>
      </c>
      <c r="Z104">
        <v>-5.6423030000000004E-3</v>
      </c>
      <c r="AA104">
        <v>0.99936539999999996</v>
      </c>
      <c r="AB104">
        <v>14</v>
      </c>
      <c r="AC104">
        <v>0.66370000000000495</v>
      </c>
      <c r="AD104">
        <v>-7.8689999999999899E-2</v>
      </c>
      <c r="AE104">
        <v>-3.2999999999674301E-3</v>
      </c>
      <c r="AF104">
        <v>2.9538247705359202E-2</v>
      </c>
      <c r="AG104">
        <v>-7.8689999999999899E-2</v>
      </c>
      <c r="AH104">
        <v>0.65384107640887501</v>
      </c>
      <c r="AI104">
        <v>96.855635333590698</v>
      </c>
      <c r="AJ104">
        <v>87.413336303674299</v>
      </c>
      <c r="AK104">
        <v>0.65922134171840996</v>
      </c>
      <c r="AL104">
        <v>92.008481058577402</v>
      </c>
      <c r="AM104">
        <v>90.863489694084805</v>
      </c>
      <c r="AN104">
        <v>1.00000004152623</v>
      </c>
    </row>
    <row r="105" spans="1:40" x14ac:dyDescent="0.25">
      <c r="A105" t="str">
        <f>"20190312151502945"</f>
        <v>20190312151502945</v>
      </c>
      <c r="B105" t="str">
        <f>"1552374902938181"</f>
        <v>1552374902938181</v>
      </c>
      <c r="C105" t="s">
        <v>40</v>
      </c>
      <c r="D105">
        <v>4.8771829999999996</v>
      </c>
      <c r="E105">
        <v>0.51757229999999999</v>
      </c>
      <c r="F105" t="s">
        <v>41</v>
      </c>
      <c r="G105">
        <v>-469.98500000000001</v>
      </c>
      <c r="H105">
        <v>1.0343709999999999</v>
      </c>
      <c r="I105">
        <v>367.3852</v>
      </c>
      <c r="J105">
        <v>-470.63069999999999</v>
      </c>
      <c r="K105">
        <v>1.108366</v>
      </c>
      <c r="L105">
        <v>367.38639999999998</v>
      </c>
      <c r="M105">
        <v>0.99915370000000003</v>
      </c>
      <c r="N105">
        <v>0</v>
      </c>
      <c r="O105">
        <v>4.1128360000000003E-2</v>
      </c>
      <c r="P105">
        <v>0.99779949999999995</v>
      </c>
      <c r="Q105">
        <v>-3.4671819999999999E-2</v>
      </c>
      <c r="R105">
        <v>5.6516129999999998E-2</v>
      </c>
      <c r="S105">
        <v>2.995422</v>
      </c>
      <c r="T105">
        <v>-0.27860049999999997</v>
      </c>
      <c r="U105">
        <v>2.377319E-2</v>
      </c>
      <c r="V105">
        <v>-1.538163E-2</v>
      </c>
      <c r="W105">
        <v>-3.4975260000000001E-2</v>
      </c>
      <c r="X105">
        <v>0.99926979999999999</v>
      </c>
      <c r="Y105">
        <v>3.2878230000000001E-2</v>
      </c>
      <c r="Z105">
        <v>-5.3417009999999999E-3</v>
      </c>
      <c r="AA105">
        <v>0.99944509999999998</v>
      </c>
      <c r="AB105">
        <v>15</v>
      </c>
      <c r="AC105">
        <v>0.64569999999997596</v>
      </c>
      <c r="AD105">
        <v>-7.3995000000000005E-2</v>
      </c>
      <c r="AE105">
        <v>-1.1999999999829901E-3</v>
      </c>
      <c r="AF105">
        <v>2.7395800632773502E-2</v>
      </c>
      <c r="AG105">
        <v>-7.3995000000000005E-2</v>
      </c>
      <c r="AH105">
        <v>0.63674239123530596</v>
      </c>
      <c r="AI105">
        <v>96.622463749150398</v>
      </c>
      <c r="AJ105">
        <v>87.536372181099495</v>
      </c>
      <c r="AK105">
        <v>0.64161254874991802</v>
      </c>
      <c r="AL105">
        <v>92.004343572386901</v>
      </c>
      <c r="AM105">
        <v>90.881876831988095</v>
      </c>
      <c r="AN105">
        <v>0.99999999827278196</v>
      </c>
    </row>
    <row r="106" spans="1:40" x14ac:dyDescent="0.25">
      <c r="A106" t="str">
        <f>"20190312151502968"</f>
        <v>20190312151502968</v>
      </c>
      <c r="B106" t="str">
        <f>"1552374902957701"</f>
        <v>1552374902957701</v>
      </c>
      <c r="C106" t="s">
        <v>40</v>
      </c>
      <c r="D106">
        <v>4.7268980000000003</v>
      </c>
      <c r="E106">
        <v>0.51733180000000001</v>
      </c>
      <c r="F106" t="s">
        <v>41</v>
      </c>
      <c r="G106">
        <v>-469.85</v>
      </c>
      <c r="H106">
        <v>1.038265</v>
      </c>
      <c r="I106">
        <v>367.39400000000001</v>
      </c>
      <c r="J106">
        <v>-470.47570000000002</v>
      </c>
      <c r="K106">
        <v>1.108295</v>
      </c>
      <c r="L106">
        <v>367.39389999999997</v>
      </c>
      <c r="M106">
        <v>0.99911030000000001</v>
      </c>
      <c r="N106">
        <v>0</v>
      </c>
      <c r="O106">
        <v>4.2176789999999999E-2</v>
      </c>
      <c r="P106">
        <v>0.9976988</v>
      </c>
      <c r="Q106">
        <v>-3.4734670000000002E-2</v>
      </c>
      <c r="R106">
        <v>5.8231100000000001E-2</v>
      </c>
      <c r="S106">
        <v>2.9955750000000001</v>
      </c>
      <c r="T106">
        <v>-0.26904749999999999</v>
      </c>
      <c r="U106">
        <v>2.944946E-2</v>
      </c>
      <c r="V106">
        <v>-1.6054869999999999E-2</v>
      </c>
      <c r="W106">
        <v>-3.503568E-2</v>
      </c>
      <c r="X106">
        <v>0.99925710000000001</v>
      </c>
      <c r="Y106">
        <v>3.2054319999999997E-2</v>
      </c>
      <c r="Z106">
        <v>-5.2159219999999996E-3</v>
      </c>
      <c r="AA106">
        <v>0.99947249999999999</v>
      </c>
      <c r="AB106">
        <v>15</v>
      </c>
      <c r="AC106">
        <v>0.62569999999999404</v>
      </c>
      <c r="AD106">
        <v>-7.0029999999999995E-2</v>
      </c>
      <c r="AE106">
        <v>1.00000000031741E-4</v>
      </c>
      <c r="AF106">
        <v>2.5964849559006801E-2</v>
      </c>
      <c r="AG106">
        <v>-7.0029999999999995E-2</v>
      </c>
      <c r="AH106">
        <v>0.61741330897059998</v>
      </c>
      <c r="AI106">
        <v>96.465441692749494</v>
      </c>
      <c r="AJ106">
        <v>87.591888304554999</v>
      </c>
      <c r="AK106">
        <v>0.62191443817188197</v>
      </c>
      <c r="AL106">
        <v>92.007807493229905</v>
      </c>
      <c r="AM106">
        <v>90.920480976225406</v>
      </c>
      <c r="AN106">
        <v>1.0000000048120901</v>
      </c>
    </row>
    <row r="107" spans="1:40" x14ac:dyDescent="0.25">
      <c r="A107" t="str">
        <f>"20190312151502992"</f>
        <v>20190312151502992</v>
      </c>
      <c r="B107" t="str">
        <f>"1552374902987957"</f>
        <v>1552374902987957</v>
      </c>
      <c r="C107" t="s">
        <v>40</v>
      </c>
      <c r="D107">
        <v>4.6596380000000002</v>
      </c>
      <c r="E107">
        <v>0.51713129999999996</v>
      </c>
      <c r="F107" t="s">
        <v>41</v>
      </c>
      <c r="G107">
        <v>-469.71339999999998</v>
      </c>
      <c r="H107">
        <v>1.041898</v>
      </c>
      <c r="I107">
        <v>367.40249999999997</v>
      </c>
      <c r="J107">
        <v>-470.30759999999998</v>
      </c>
      <c r="K107">
        <v>1.108244</v>
      </c>
      <c r="L107">
        <v>367.40219999999999</v>
      </c>
      <c r="M107">
        <v>0.99906159999999999</v>
      </c>
      <c r="N107">
        <v>0</v>
      </c>
      <c r="O107">
        <v>4.331086E-2</v>
      </c>
      <c r="P107">
        <v>0.99760439999999995</v>
      </c>
      <c r="Q107">
        <v>-3.4764450000000002E-2</v>
      </c>
      <c r="R107">
        <v>5.980688E-2</v>
      </c>
      <c r="S107">
        <v>2.9956360000000002</v>
      </c>
      <c r="T107">
        <v>-0.26160600000000001</v>
      </c>
      <c r="U107">
        <v>3.6346440000000001E-2</v>
      </c>
      <c r="V107">
        <v>-1.650275E-2</v>
      </c>
      <c r="W107">
        <v>-3.505664E-2</v>
      </c>
      <c r="X107">
        <v>0.99924900000000005</v>
      </c>
      <c r="Y107">
        <v>3.0904520000000001E-2</v>
      </c>
      <c r="Z107">
        <v>-5.1206569999999998E-3</v>
      </c>
      <c r="AA107">
        <v>0.99950919999999999</v>
      </c>
      <c r="AB107">
        <v>15</v>
      </c>
      <c r="AC107">
        <v>0.59419999999999995</v>
      </c>
      <c r="AD107">
        <v>-6.6346000000000002E-2</v>
      </c>
      <c r="AE107">
        <v>2.9999999998153699E-4</v>
      </c>
      <c r="AF107">
        <v>2.51223932533042E-2</v>
      </c>
      <c r="AG107">
        <v>-6.6346000000000002E-2</v>
      </c>
      <c r="AH107">
        <v>0.58634541826539499</v>
      </c>
      <c r="AI107">
        <v>96.449791412527802</v>
      </c>
      <c r="AJ107">
        <v>87.546621447524899</v>
      </c>
      <c r="AK107">
        <v>0.59062160126395202</v>
      </c>
      <c r="AL107">
        <v>92.009009288477898</v>
      </c>
      <c r="AM107">
        <v>90.946162542251301</v>
      </c>
      <c r="AN107">
        <v>0.99999993638332396</v>
      </c>
    </row>
    <row r="108" spans="1:40" x14ac:dyDescent="0.25">
      <c r="A108" t="str">
        <f>"20190312151503010"</f>
        <v>20190312151503010</v>
      </c>
      <c r="B108" t="str">
        <f>"1552374903007476"</f>
        <v>1552374903007476</v>
      </c>
      <c r="C108" t="s">
        <v>40</v>
      </c>
      <c r="D108">
        <v>4.6197429999999997</v>
      </c>
      <c r="E108">
        <v>0.5171289</v>
      </c>
      <c r="F108" t="s">
        <v>41</v>
      </c>
      <c r="G108">
        <v>-469.5745</v>
      </c>
      <c r="H108">
        <v>1.0465930000000001</v>
      </c>
      <c r="I108">
        <v>367.4126</v>
      </c>
      <c r="J108">
        <v>-470.18079999999998</v>
      </c>
      <c r="K108">
        <v>1.1082270000000001</v>
      </c>
      <c r="L108">
        <v>367.4085</v>
      </c>
      <c r="M108">
        <v>0.99902590000000002</v>
      </c>
      <c r="N108">
        <v>0</v>
      </c>
      <c r="O108">
        <v>4.4127960000000001E-2</v>
      </c>
      <c r="P108">
        <v>0.99753289999999994</v>
      </c>
      <c r="Q108">
        <v>-3.452119E-2</v>
      </c>
      <c r="R108">
        <v>6.1127550000000003E-2</v>
      </c>
      <c r="S108">
        <v>2.9958499999999999</v>
      </c>
      <c r="T108">
        <v>-0.2518803</v>
      </c>
      <c r="U108">
        <v>4.263306E-2</v>
      </c>
      <c r="V108">
        <v>-1.701035E-2</v>
      </c>
      <c r="W108">
        <v>-3.480101E-2</v>
      </c>
      <c r="X108">
        <v>0.99924950000000001</v>
      </c>
      <c r="Y108">
        <v>2.9647960000000001E-2</v>
      </c>
      <c r="Z108">
        <v>-4.9462960000000002E-3</v>
      </c>
      <c r="AA108">
        <v>0.99954810000000005</v>
      </c>
      <c r="AB108">
        <v>15</v>
      </c>
      <c r="AC108">
        <v>0.60629999999997597</v>
      </c>
      <c r="AD108">
        <v>-6.1633999999999897E-2</v>
      </c>
      <c r="AE108">
        <v>4.0999999999939904E-3</v>
      </c>
      <c r="AF108">
        <v>2.2427026908058301E-2</v>
      </c>
      <c r="AG108">
        <v>-6.1633999999999897E-2</v>
      </c>
      <c r="AH108">
        <v>0.59969341284017497</v>
      </c>
      <c r="AI108">
        <v>95.8639486928883</v>
      </c>
      <c r="AJ108">
        <v>87.858279879971505</v>
      </c>
      <c r="AK108">
        <v>0.60326935186186204</v>
      </c>
      <c r="AL108">
        <v>91.994353672241502</v>
      </c>
      <c r="AM108">
        <v>90.975259067205698</v>
      </c>
      <c r="AN108">
        <v>1.00000001277719</v>
      </c>
    </row>
    <row r="109" spans="1:40" x14ac:dyDescent="0.25">
      <c r="A109" t="str">
        <f>"20190312151503033"</f>
        <v>20190312151503033</v>
      </c>
      <c r="B109" t="str">
        <f>"1552374903027973"</f>
        <v>1552374903027973</v>
      </c>
      <c r="C109" t="s">
        <v>40</v>
      </c>
      <c r="D109">
        <v>4.5947680000000002</v>
      </c>
      <c r="E109">
        <v>0.51715829999999996</v>
      </c>
      <c r="F109" t="s">
        <v>41</v>
      </c>
      <c r="G109">
        <v>-469.4357</v>
      </c>
      <c r="H109">
        <v>1.0470520000000001</v>
      </c>
      <c r="I109">
        <v>367.42</v>
      </c>
      <c r="J109">
        <v>-470.01830000000001</v>
      </c>
      <c r="K109">
        <v>1.1082270000000001</v>
      </c>
      <c r="L109">
        <v>367.41669999999999</v>
      </c>
      <c r="M109">
        <v>0.99898149999999997</v>
      </c>
      <c r="N109">
        <v>0</v>
      </c>
      <c r="O109">
        <v>4.5124119999999997E-2</v>
      </c>
      <c r="P109">
        <v>0.99746170000000001</v>
      </c>
      <c r="Q109">
        <v>-3.4788159999999999E-2</v>
      </c>
      <c r="R109">
        <v>6.2132130000000001E-2</v>
      </c>
      <c r="S109">
        <v>2.9960330000000002</v>
      </c>
      <c r="T109">
        <v>-0.24610979999999999</v>
      </c>
      <c r="U109">
        <v>4.6722409999999999E-2</v>
      </c>
      <c r="V109">
        <v>-1.7021640000000001E-2</v>
      </c>
      <c r="W109">
        <v>-3.5040740000000001E-2</v>
      </c>
      <c r="X109">
        <v>0.99924089999999999</v>
      </c>
      <c r="Y109">
        <v>2.9291190000000002E-2</v>
      </c>
      <c r="Z109">
        <v>-4.8999780000000001E-3</v>
      </c>
      <c r="AA109">
        <v>0.99955890000000003</v>
      </c>
      <c r="AB109">
        <v>15</v>
      </c>
      <c r="AC109">
        <v>0.582600000000013</v>
      </c>
      <c r="AD109">
        <v>-6.1174999999999903E-2</v>
      </c>
      <c r="AE109">
        <v>3.30000000002428E-3</v>
      </c>
      <c r="AF109">
        <v>2.2741932634283899E-2</v>
      </c>
      <c r="AG109">
        <v>-6.1174999999999903E-2</v>
      </c>
      <c r="AH109">
        <v>0.57580698301278999</v>
      </c>
      <c r="AI109">
        <v>96.059791119688498</v>
      </c>
      <c r="AJ109">
        <v>87.738235384337301</v>
      </c>
      <c r="AK109">
        <v>0.57949396701884104</v>
      </c>
      <c r="AL109">
        <v>92.008097631897002</v>
      </c>
      <c r="AM109">
        <v>90.9759146322764</v>
      </c>
      <c r="AN109">
        <v>0.99999998296042303</v>
      </c>
    </row>
    <row r="110" spans="1:40" x14ac:dyDescent="0.25">
      <c r="A110" t="str">
        <f>"20190312151503055"</f>
        <v>20190312151503055</v>
      </c>
      <c r="B110" t="str">
        <f>"1552374903047494"</f>
        <v>1552374903047494</v>
      </c>
      <c r="C110" t="s">
        <v>40</v>
      </c>
      <c r="D110">
        <v>4.5480799999999997</v>
      </c>
      <c r="E110">
        <v>0.51723019999999997</v>
      </c>
      <c r="F110" t="s">
        <v>41</v>
      </c>
      <c r="G110">
        <v>-469.15800000000002</v>
      </c>
      <c r="H110">
        <v>1.0380849999999999</v>
      </c>
      <c r="I110">
        <v>367.4307</v>
      </c>
      <c r="J110">
        <v>-469.86660000000001</v>
      </c>
      <c r="K110">
        <v>1.1082449999999999</v>
      </c>
      <c r="L110">
        <v>367.42469999999997</v>
      </c>
      <c r="M110">
        <v>0.99894110000000003</v>
      </c>
      <c r="N110">
        <v>0</v>
      </c>
      <c r="O110">
        <v>4.6005949999999997E-2</v>
      </c>
      <c r="P110">
        <v>0.99740050000000002</v>
      </c>
      <c r="Q110">
        <v>-3.500959E-2</v>
      </c>
      <c r="R110">
        <v>6.2983330000000004E-2</v>
      </c>
      <c r="S110">
        <v>2.9960019999999998</v>
      </c>
      <c r="T110">
        <v>-0.24449870000000001</v>
      </c>
      <c r="U110">
        <v>4.977417E-2</v>
      </c>
      <c r="V110">
        <v>-1.6993899999999999E-2</v>
      </c>
      <c r="W110">
        <v>-3.5220050000000003E-2</v>
      </c>
      <c r="X110">
        <v>0.99923510000000004</v>
      </c>
      <c r="Y110">
        <v>2.915628E-2</v>
      </c>
      <c r="Z110">
        <v>-4.934272E-3</v>
      </c>
      <c r="AA110">
        <v>0.99956270000000003</v>
      </c>
      <c r="AB110">
        <v>16</v>
      </c>
      <c r="AC110">
        <v>0.70859999999998902</v>
      </c>
      <c r="AD110">
        <v>-7.016E-2</v>
      </c>
      <c r="AE110">
        <v>6.0000000000286404E-3</v>
      </c>
      <c r="AF110">
        <v>2.63478908372765E-2</v>
      </c>
      <c r="AG110">
        <v>-7.016E-2</v>
      </c>
      <c r="AH110">
        <v>0.70125158645893704</v>
      </c>
      <c r="AI110">
        <v>95.709409715367997</v>
      </c>
      <c r="AJ110">
        <v>87.848257040038405</v>
      </c>
      <c r="AK110">
        <v>0.70524493933863097</v>
      </c>
      <c r="AL110">
        <v>92.018377619482195</v>
      </c>
      <c r="AM110">
        <v>90.974330154919201</v>
      </c>
      <c r="AN110">
        <v>1.0000000148156101</v>
      </c>
    </row>
    <row r="111" spans="1:40" x14ac:dyDescent="0.25">
      <c r="A111" t="str">
        <f>"20190312151503077"</f>
        <v>20190312151503077</v>
      </c>
      <c r="B111" t="str">
        <f>"1552374903067989"</f>
        <v>1552374903067989</v>
      </c>
      <c r="C111" t="s">
        <v>40</v>
      </c>
      <c r="D111">
        <v>4.5251619999999999</v>
      </c>
      <c r="E111">
        <v>0.51739460000000004</v>
      </c>
      <c r="F111" t="s">
        <v>41</v>
      </c>
      <c r="G111">
        <v>-469.01389999999998</v>
      </c>
      <c r="H111">
        <v>1.039339</v>
      </c>
      <c r="I111">
        <v>367.43920000000003</v>
      </c>
      <c r="J111">
        <v>-469.70499999999998</v>
      </c>
      <c r="K111">
        <v>1.1082689999999999</v>
      </c>
      <c r="L111">
        <v>367.43310000000002</v>
      </c>
      <c r="M111">
        <v>0.99889910000000004</v>
      </c>
      <c r="N111">
        <v>0</v>
      </c>
      <c r="O111">
        <v>4.6908659999999998E-2</v>
      </c>
      <c r="P111">
        <v>0.99737169999999997</v>
      </c>
      <c r="Q111">
        <v>-3.5176720000000002E-2</v>
      </c>
      <c r="R111">
        <v>6.3339930000000003E-2</v>
      </c>
      <c r="S111">
        <v>2.9960939999999998</v>
      </c>
      <c r="T111">
        <v>-0.24223210000000001</v>
      </c>
      <c r="U111">
        <v>5.1574710000000003E-2</v>
      </c>
      <c r="V111">
        <v>-1.6448750000000002E-2</v>
      </c>
      <c r="W111">
        <v>-3.5325049999999997E-2</v>
      </c>
      <c r="X111">
        <v>0.99924049999999998</v>
      </c>
      <c r="Y111">
        <v>2.946025E-2</v>
      </c>
      <c r="Z111">
        <v>-4.9735430000000004E-3</v>
      </c>
      <c r="AA111">
        <v>0.99955360000000004</v>
      </c>
      <c r="AB111">
        <v>16</v>
      </c>
      <c r="AC111">
        <v>0.69110000000000504</v>
      </c>
      <c r="AD111">
        <v>-6.8929999999999894E-2</v>
      </c>
      <c r="AE111">
        <v>6.1000000000035401E-3</v>
      </c>
      <c r="AF111">
        <v>2.6066008741719899E-2</v>
      </c>
      <c r="AG111">
        <v>-6.8929999999999894E-2</v>
      </c>
      <c r="AH111">
        <v>0.683823240125223</v>
      </c>
      <c r="AI111">
        <v>95.751874398661201</v>
      </c>
      <c r="AJ111">
        <v>87.8170534420683</v>
      </c>
      <c r="AK111">
        <v>0.687782673122173</v>
      </c>
      <c r="AL111">
        <v>92.024397454851197</v>
      </c>
      <c r="AM111">
        <v>90.943075107079196</v>
      </c>
      <c r="AN111">
        <v>0.99999999868715705</v>
      </c>
    </row>
    <row r="112" spans="1:40" x14ac:dyDescent="0.25">
      <c r="A112" t="str">
        <f>"20190312151503100"</f>
        <v>20190312151503100</v>
      </c>
      <c r="B112" t="str">
        <f>"1552374903087524"</f>
        <v>1552374903087524</v>
      </c>
      <c r="C112" t="s">
        <v>40</v>
      </c>
      <c r="D112">
        <v>4.5179720000000003</v>
      </c>
      <c r="E112">
        <v>0.5175476</v>
      </c>
      <c r="F112" t="s">
        <v>41</v>
      </c>
      <c r="G112">
        <v>-468.86770000000001</v>
      </c>
      <c r="H112">
        <v>1.041282</v>
      </c>
      <c r="I112">
        <v>367.44729999999998</v>
      </c>
      <c r="J112">
        <v>-469.54239999999999</v>
      </c>
      <c r="K112">
        <v>1.108287</v>
      </c>
      <c r="L112">
        <v>367.4418</v>
      </c>
      <c r="M112">
        <v>0.99885769999999996</v>
      </c>
      <c r="N112">
        <v>0</v>
      </c>
      <c r="O112">
        <v>4.7784970000000003E-2</v>
      </c>
      <c r="P112">
        <v>0.99735240000000003</v>
      </c>
      <c r="Q112">
        <v>-3.5710400000000003E-2</v>
      </c>
      <c r="R112">
        <v>6.3348879999999996E-2</v>
      </c>
      <c r="S112">
        <v>2.9961850000000001</v>
      </c>
      <c r="T112">
        <v>-0.2399319</v>
      </c>
      <c r="U112">
        <v>5.1269530000000001E-2</v>
      </c>
      <c r="V112">
        <v>-1.5582739999999999E-2</v>
      </c>
      <c r="W112">
        <v>-3.5781609999999998E-2</v>
      </c>
      <c r="X112">
        <v>0.99923810000000002</v>
      </c>
      <c r="Y112">
        <v>3.0438219999999998E-2</v>
      </c>
      <c r="Z112">
        <v>-5.0353990000000003E-3</v>
      </c>
      <c r="AA112">
        <v>0.99952390000000002</v>
      </c>
      <c r="AB112">
        <v>16</v>
      </c>
      <c r="AC112">
        <v>0.67469999999997299</v>
      </c>
      <c r="AD112">
        <v>-6.7004999999999898E-2</v>
      </c>
      <c r="AE112">
        <v>5.4999999999836204E-3</v>
      </c>
      <c r="AF112">
        <v>2.6485599988432001E-2</v>
      </c>
      <c r="AG112">
        <v>-6.7004999999999898E-2</v>
      </c>
      <c r="AH112">
        <v>0.667608132591202</v>
      </c>
      <c r="AI112">
        <v>95.726866604333793</v>
      </c>
      <c r="AJ112">
        <v>87.728131762409504</v>
      </c>
      <c r="AK112">
        <v>0.67148475465468305</v>
      </c>
      <c r="AL112">
        <v>92.050573038197399</v>
      </c>
      <c r="AM112">
        <v>90.893433576800106</v>
      </c>
      <c r="AN112">
        <v>0.99999996294585403</v>
      </c>
    </row>
    <row r="113" spans="1:40" x14ac:dyDescent="0.25">
      <c r="A113" t="str">
        <f>"20190312151503123"</f>
        <v>20190312151503123</v>
      </c>
      <c r="B113" t="str">
        <f>"1552374903117765"</f>
        <v>1552374903117765</v>
      </c>
      <c r="C113" t="s">
        <v>40</v>
      </c>
      <c r="D113">
        <v>4.4448639999999999</v>
      </c>
      <c r="E113">
        <v>0.51759359999999999</v>
      </c>
      <c r="F113" t="s">
        <v>41</v>
      </c>
      <c r="G113">
        <v>-468.72019999999998</v>
      </c>
      <c r="H113">
        <v>1.0426310000000001</v>
      </c>
      <c r="I113">
        <v>367.4556</v>
      </c>
      <c r="J113">
        <v>-469.37090000000001</v>
      </c>
      <c r="K113">
        <v>1.108311</v>
      </c>
      <c r="L113">
        <v>367.4511</v>
      </c>
      <c r="M113">
        <v>0.9988146</v>
      </c>
      <c r="N113">
        <v>0</v>
      </c>
      <c r="O113">
        <v>4.8678079999999999E-2</v>
      </c>
      <c r="P113">
        <v>0.99732949999999998</v>
      </c>
      <c r="Q113">
        <v>-3.5945650000000003E-2</v>
      </c>
      <c r="R113">
        <v>6.3575660000000006E-2</v>
      </c>
      <c r="S113">
        <v>2.9962460000000002</v>
      </c>
      <c r="T113">
        <v>-0.23937459999999999</v>
      </c>
      <c r="U113">
        <v>5.0201419999999997E-2</v>
      </c>
      <c r="V113">
        <v>-1.4917980000000001E-2</v>
      </c>
      <c r="W113">
        <v>-3.5925099999999897E-2</v>
      </c>
      <c r="X113">
        <v>0.99924310000000005</v>
      </c>
      <c r="Y113">
        <v>3.1682849999999999E-2</v>
      </c>
      <c r="Z113">
        <v>-5.1444530000000002E-3</v>
      </c>
      <c r="AA113">
        <v>0.9994847</v>
      </c>
      <c r="AB113">
        <v>16</v>
      </c>
      <c r="AC113">
        <v>0.65070000000002803</v>
      </c>
      <c r="AD113">
        <v>-6.5680000000000099E-2</v>
      </c>
      <c r="AE113">
        <v>4.5000000000072699E-3</v>
      </c>
      <c r="AF113">
        <v>2.6906043180703401E-2</v>
      </c>
      <c r="AG113">
        <v>-6.5680000000000099E-2</v>
      </c>
      <c r="AH113">
        <v>0.64359083192809496</v>
      </c>
      <c r="AI113">
        <v>95.821949388135593</v>
      </c>
      <c r="AJ113">
        <v>87.606079098031699</v>
      </c>
      <c r="AK113">
        <v>0.64749282351354198</v>
      </c>
      <c r="AL113">
        <v>92.058799693026003</v>
      </c>
      <c r="AM113">
        <v>90.855321191709905</v>
      </c>
      <c r="AN113">
        <v>0.999999965917449</v>
      </c>
    </row>
    <row r="114" spans="1:40" x14ac:dyDescent="0.25">
      <c r="A114" t="str">
        <f>"20190312151503145"</f>
        <v>20190312151503145</v>
      </c>
      <c r="B114" t="str">
        <f>"1552374903138261"</f>
        <v>1552374903138261</v>
      </c>
      <c r="C114" t="s">
        <v>40</v>
      </c>
      <c r="D114">
        <v>4.428191</v>
      </c>
      <c r="E114">
        <v>0.51774189999999998</v>
      </c>
      <c r="F114" t="s">
        <v>41</v>
      </c>
      <c r="G114">
        <v>-468.5702</v>
      </c>
      <c r="H114">
        <v>1.0458769999999999</v>
      </c>
      <c r="I114">
        <v>367.46409999999997</v>
      </c>
      <c r="J114">
        <v>-469.20620000000002</v>
      </c>
      <c r="K114">
        <v>1.108328</v>
      </c>
      <c r="L114">
        <v>367.46010000000001</v>
      </c>
      <c r="M114">
        <v>0.99877349999999998</v>
      </c>
      <c r="N114">
        <v>0</v>
      </c>
      <c r="O114">
        <v>4.9511939999999997E-2</v>
      </c>
      <c r="P114">
        <v>0.99733130000000003</v>
      </c>
      <c r="Q114">
        <v>-3.5799570000000003E-2</v>
      </c>
      <c r="R114">
        <v>6.3628589999999999E-2</v>
      </c>
      <c r="S114">
        <v>2.9963679999999999</v>
      </c>
      <c r="T114">
        <v>-0.23408029999999999</v>
      </c>
      <c r="U114">
        <v>5.0567630000000002E-2</v>
      </c>
      <c r="V114">
        <v>-1.413762E-2</v>
      </c>
      <c r="W114">
        <v>-3.5686500000000003E-2</v>
      </c>
      <c r="X114">
        <v>0.99926300000000001</v>
      </c>
      <c r="Y114">
        <v>3.2402319999999998E-2</v>
      </c>
      <c r="Z114">
        <v>-5.1238350000000002E-3</v>
      </c>
      <c r="AA114">
        <v>0.99946179999999996</v>
      </c>
      <c r="AB114">
        <v>16</v>
      </c>
      <c r="AC114">
        <v>0.63600000000002399</v>
      </c>
      <c r="AD114">
        <v>-6.2451E-2</v>
      </c>
      <c r="AE114">
        <v>3.9999999999622499E-3</v>
      </c>
      <c r="AF114">
        <v>2.7231942261758402E-2</v>
      </c>
      <c r="AG114">
        <v>-6.2451E-2</v>
      </c>
      <c r="AH114">
        <v>0.62935009615838999</v>
      </c>
      <c r="AI114">
        <v>95.661698840749196</v>
      </c>
      <c r="AJ114">
        <v>87.522360447799898</v>
      </c>
      <c r="AK114">
        <v>0.63302705283022698</v>
      </c>
      <c r="AL114">
        <v>92.045120137612301</v>
      </c>
      <c r="AM114">
        <v>90.810569307543503</v>
      </c>
      <c r="AN114">
        <v>0.99999997087525605</v>
      </c>
    </row>
    <row r="115" spans="1:40" x14ac:dyDescent="0.25">
      <c r="A115" t="str">
        <f>"20190312151503168"</f>
        <v>20190312151503168</v>
      </c>
      <c r="B115" t="str">
        <f>"1552374903157780"</f>
        <v>1552374903157780</v>
      </c>
      <c r="C115" t="s">
        <v>40</v>
      </c>
      <c r="D115">
        <v>4.4408019999999997</v>
      </c>
      <c r="E115">
        <v>0.51774909999999996</v>
      </c>
      <c r="F115" t="s">
        <v>41</v>
      </c>
      <c r="G115">
        <v>-468.4194</v>
      </c>
      <c r="H115">
        <v>1.0473699999999999</v>
      </c>
      <c r="I115">
        <v>367.47320000000002</v>
      </c>
      <c r="J115">
        <v>-469.03309999999999</v>
      </c>
      <c r="K115">
        <v>1.108347</v>
      </c>
      <c r="L115">
        <v>367.46969999999999</v>
      </c>
      <c r="M115">
        <v>0.99873069999999997</v>
      </c>
      <c r="N115">
        <v>0</v>
      </c>
      <c r="O115">
        <v>5.0370110000000003E-2</v>
      </c>
      <c r="P115">
        <v>0.99733530000000004</v>
      </c>
      <c r="Q115">
        <v>-3.5813820000000003E-2</v>
      </c>
      <c r="R115">
        <v>6.3560210000000006E-2</v>
      </c>
      <c r="S115">
        <v>2.996521</v>
      </c>
      <c r="T115">
        <v>-0.2320805</v>
      </c>
      <c r="U115">
        <v>4.9591059999999999E-2</v>
      </c>
      <c r="V115">
        <v>-1.3211840000000001E-2</v>
      </c>
      <c r="W115">
        <v>-3.5604700000000003E-2</v>
      </c>
      <c r="X115">
        <v>0.99927860000000002</v>
      </c>
      <c r="Y115">
        <v>3.3585719999999999E-2</v>
      </c>
      <c r="Z115">
        <v>-5.1919949999999996E-3</v>
      </c>
      <c r="AA115">
        <v>0.99942240000000004</v>
      </c>
      <c r="AB115">
        <v>17</v>
      </c>
      <c r="AC115">
        <v>0.61369999999999403</v>
      </c>
      <c r="AD115">
        <v>-6.0976999999999802E-2</v>
      </c>
      <c r="AE115">
        <v>3.5000000000309198E-3</v>
      </c>
      <c r="AF115">
        <v>2.7148565870272201E-2</v>
      </c>
      <c r="AG115">
        <v>-6.0976999999999802E-2</v>
      </c>
      <c r="AH115">
        <v>0.60710393899012505</v>
      </c>
      <c r="AI115">
        <v>95.729816060377104</v>
      </c>
      <c r="AJ115">
        <v>87.439544472404293</v>
      </c>
      <c r="AK115">
        <v>0.61076217294061197</v>
      </c>
      <c r="AL115">
        <v>92.040430335744702</v>
      </c>
      <c r="AM115">
        <v>90.757485017842896</v>
      </c>
      <c r="AN115">
        <v>0.99999998389811695</v>
      </c>
    </row>
    <row r="116" spans="1:40" x14ac:dyDescent="0.25">
      <c r="A116" t="str">
        <f>"20190312151503201"</f>
        <v>20190312151503201</v>
      </c>
      <c r="B116" t="str">
        <f>"1552374903197638"</f>
        <v>1552374903197638</v>
      </c>
      <c r="C116" t="s">
        <v>40</v>
      </c>
      <c r="D116">
        <v>4.4255469999999999</v>
      </c>
      <c r="E116">
        <v>0.50843229999999995</v>
      </c>
      <c r="F116" t="s">
        <v>41</v>
      </c>
      <c r="G116">
        <v>-468.26569999999998</v>
      </c>
      <c r="H116">
        <v>1.049687</v>
      </c>
      <c r="I116">
        <v>367.48169999999999</v>
      </c>
      <c r="J116">
        <v>-468.78050000000002</v>
      </c>
      <c r="K116">
        <v>1.1083829999999999</v>
      </c>
      <c r="L116">
        <v>367.48390000000001</v>
      </c>
      <c r="M116">
        <v>0.99866739999999998</v>
      </c>
      <c r="N116">
        <v>0</v>
      </c>
      <c r="O116">
        <v>5.1607310000000003E-2</v>
      </c>
      <c r="P116">
        <v>0.99725739999999996</v>
      </c>
      <c r="Q116">
        <v>-3.641084E-2</v>
      </c>
      <c r="R116">
        <v>6.4434720000000001E-2</v>
      </c>
      <c r="S116">
        <v>2.9966430000000002</v>
      </c>
      <c r="T116">
        <v>-0.22973869999999999</v>
      </c>
      <c r="U116">
        <v>4.9194340000000003E-2</v>
      </c>
      <c r="V116">
        <v>-1.2851400000000001E-2</v>
      </c>
      <c r="W116">
        <v>-3.6072279999999998E-2</v>
      </c>
      <c r="X116">
        <v>0.9992666</v>
      </c>
      <c r="Y116">
        <v>3.4954180000000001E-2</v>
      </c>
      <c r="Z116">
        <v>-5.2865309999999997E-3</v>
      </c>
      <c r="AA116">
        <v>0.99937489999999995</v>
      </c>
      <c r="AB116">
        <v>17</v>
      </c>
      <c r="AC116">
        <v>0.51480000000003601</v>
      </c>
      <c r="AD116">
        <v>-5.8695999999999797E-2</v>
      </c>
      <c r="AE116">
        <v>-2.2000000000161799E-3</v>
      </c>
      <c r="AF116">
        <v>2.83953827163143E-2</v>
      </c>
      <c r="AG116">
        <v>-5.8695999999999797E-2</v>
      </c>
      <c r="AH116">
        <v>0.50740438499069695</v>
      </c>
      <c r="AI116">
        <v>96.588368277734403</v>
      </c>
      <c r="AJ116">
        <v>86.796952421605098</v>
      </c>
      <c r="AK116">
        <v>0.51157670791719301</v>
      </c>
      <c r="AL116">
        <v>92.067237775687303</v>
      </c>
      <c r="AM116">
        <v>90.736830779929093</v>
      </c>
      <c r="AN116">
        <v>1.0000000528709501</v>
      </c>
    </row>
    <row r="117" spans="1:40" x14ac:dyDescent="0.25">
      <c r="A117" t="str">
        <f>"20190312151503223"</f>
        <v>20190312151503223</v>
      </c>
      <c r="B117" t="str">
        <f>"1552374903218133"</f>
        <v>1552374903218133</v>
      </c>
      <c r="C117" t="s">
        <v>40</v>
      </c>
      <c r="D117">
        <v>4.5608510000000004</v>
      </c>
      <c r="E117">
        <v>0.50841629999999904</v>
      </c>
      <c r="F117" t="s">
        <v>42</v>
      </c>
      <c r="G117">
        <v>-431.09930000000003</v>
      </c>
      <c r="H117">
        <v>-0.05</v>
      </c>
      <c r="I117">
        <v>369.06990000000002</v>
      </c>
      <c r="J117">
        <v>-468.60930000000002</v>
      </c>
      <c r="K117">
        <v>1.1084000000000001</v>
      </c>
      <c r="L117">
        <v>367.49369999999999</v>
      </c>
      <c r="M117">
        <v>0.99862399999999996</v>
      </c>
      <c r="N117">
        <v>0</v>
      </c>
      <c r="O117">
        <v>5.2441670000000003E-2</v>
      </c>
      <c r="P117">
        <v>0.9971873</v>
      </c>
      <c r="Q117">
        <v>-3.6573349999999998E-2</v>
      </c>
      <c r="R117">
        <v>6.5424120000000002E-2</v>
      </c>
      <c r="S117">
        <v>2.9967649999999999</v>
      </c>
      <c r="T117">
        <v>-9.212542E-2</v>
      </c>
      <c r="U117">
        <v>0.1261292</v>
      </c>
      <c r="V117">
        <v>-1.300813E-2</v>
      </c>
      <c r="W117">
        <v>-3.6155739999999999E-2</v>
      </c>
      <c r="X117">
        <v>0.99926150000000002</v>
      </c>
      <c r="Y117">
        <v>1.0372360000000001E-2</v>
      </c>
      <c r="Z117">
        <v>-1.7693730000000001E-3</v>
      </c>
      <c r="AA117">
        <v>0.99994459999999996</v>
      </c>
      <c r="AB117">
        <v>17</v>
      </c>
      <c r="AC117">
        <v>37.509999999999899</v>
      </c>
      <c r="AD117">
        <v>-1.1584000000000001</v>
      </c>
      <c r="AE117">
        <v>1.57620000000002</v>
      </c>
      <c r="AF117">
        <v>0.39268203816987202</v>
      </c>
      <c r="AG117">
        <v>-1.1584000000000001</v>
      </c>
      <c r="AH117">
        <v>37.505337672018598</v>
      </c>
      <c r="AI117">
        <v>91.768993636818806</v>
      </c>
      <c r="AJ117">
        <v>89.400133346281294</v>
      </c>
      <c r="AK117">
        <v>37.525277395846601</v>
      </c>
      <c r="AL117">
        <v>92.072022918019599</v>
      </c>
      <c r="AM117">
        <v>90.745819639901001</v>
      </c>
      <c r="AN117">
        <v>0.999999997181647</v>
      </c>
    </row>
    <row r="118" spans="1:40" x14ac:dyDescent="0.25">
      <c r="A118" t="str">
        <f>"20190312151503245"</f>
        <v>20190312151503245</v>
      </c>
      <c r="B118" t="str">
        <f>"1552374903237653"</f>
        <v>1552374903237653</v>
      </c>
      <c r="C118" t="s">
        <v>40</v>
      </c>
      <c r="D118">
        <v>4.5571549999999998</v>
      </c>
      <c r="E118">
        <v>0.50880930000000002</v>
      </c>
      <c r="F118" t="s">
        <v>42</v>
      </c>
      <c r="G118">
        <v>-432.35520000000002</v>
      </c>
      <c r="H118">
        <v>-0.05</v>
      </c>
      <c r="I118">
        <v>369.05560000000003</v>
      </c>
      <c r="J118">
        <v>-468.43779999999998</v>
      </c>
      <c r="K118">
        <v>1.10842</v>
      </c>
      <c r="L118">
        <v>367.50369999999998</v>
      </c>
      <c r="M118">
        <v>0.99857980000000002</v>
      </c>
      <c r="N118">
        <v>0</v>
      </c>
      <c r="O118">
        <v>5.3275139999999999E-2</v>
      </c>
      <c r="P118">
        <v>0.99708280000000005</v>
      </c>
      <c r="Q118">
        <v>-3.6647140000000002E-2</v>
      </c>
      <c r="R118">
        <v>6.6955399999999998E-2</v>
      </c>
      <c r="S118">
        <v>2.996429</v>
      </c>
      <c r="T118">
        <v>-9.57427E-2</v>
      </c>
      <c r="U118">
        <v>0.12908939999999999</v>
      </c>
      <c r="V118">
        <v>-1.3708079999999999E-2</v>
      </c>
      <c r="W118">
        <v>-3.6157460000000002E-2</v>
      </c>
      <c r="X118">
        <v>0.99925209999999998</v>
      </c>
      <c r="Y118">
        <v>1.0213460000000001E-2</v>
      </c>
      <c r="Z118">
        <v>-1.863001E-3</v>
      </c>
      <c r="AA118">
        <v>0.99994609999999995</v>
      </c>
      <c r="AB118">
        <v>17</v>
      </c>
      <c r="AC118">
        <v>36.0825999999999</v>
      </c>
      <c r="AD118">
        <v>-1.15842</v>
      </c>
      <c r="AE118">
        <v>1.55190000000004</v>
      </c>
      <c r="AF118">
        <v>0.372226652187371</v>
      </c>
      <c r="AG118">
        <v>-1.15842</v>
      </c>
      <c r="AH118">
        <v>36.0769195747609</v>
      </c>
      <c r="AI118">
        <v>91.839022071072606</v>
      </c>
      <c r="AJ118">
        <v>89.408866950930602</v>
      </c>
      <c r="AK118">
        <v>36.097432257444098</v>
      </c>
      <c r="AL118">
        <v>92.072121491477503</v>
      </c>
      <c r="AM118">
        <v>90.785953679709905</v>
      </c>
      <c r="AN118">
        <v>1.0000000163626701</v>
      </c>
    </row>
    <row r="119" spans="1:40" x14ac:dyDescent="0.25">
      <c r="A119" t="str">
        <f>"20190312151503267"</f>
        <v>20190312151503267</v>
      </c>
      <c r="B119" t="str">
        <f>"1552374903258149"</f>
        <v>1552374903258149</v>
      </c>
      <c r="C119" t="s">
        <v>40</v>
      </c>
      <c r="D119">
        <v>4.4319699999999997</v>
      </c>
      <c r="E119">
        <v>0.50902020000000003</v>
      </c>
      <c r="F119" t="s">
        <v>42</v>
      </c>
      <c r="G119">
        <v>-432.00110000000001</v>
      </c>
      <c r="H119">
        <v>-0.05</v>
      </c>
      <c r="I119">
        <v>369.0942</v>
      </c>
      <c r="J119">
        <v>-468.25850000000003</v>
      </c>
      <c r="K119">
        <v>1.1084419999999999</v>
      </c>
      <c r="L119">
        <v>367.51429999999999</v>
      </c>
      <c r="M119">
        <v>0.99853320000000001</v>
      </c>
      <c r="N119">
        <v>0</v>
      </c>
      <c r="O119">
        <v>5.4141380000000003E-2</v>
      </c>
      <c r="P119">
        <v>0.9969363</v>
      </c>
      <c r="Q119">
        <v>-3.7161439999999997E-2</v>
      </c>
      <c r="R119">
        <v>6.8826440000000003E-2</v>
      </c>
      <c r="S119">
        <v>2.9964599999999999</v>
      </c>
      <c r="T119">
        <v>-9.5265390000000005E-2</v>
      </c>
      <c r="U119">
        <v>0.13079830000000001</v>
      </c>
      <c r="V119">
        <v>-1.471654E-2</v>
      </c>
      <c r="W119">
        <v>-3.6603469999999999E-2</v>
      </c>
      <c r="X119">
        <v>0.99922149999999998</v>
      </c>
      <c r="Y119">
        <v>1.051185E-2</v>
      </c>
      <c r="Z119">
        <v>-1.885884E-3</v>
      </c>
      <c r="AA119">
        <v>0.99994300000000003</v>
      </c>
      <c r="AB119">
        <v>18</v>
      </c>
      <c r="AC119">
        <v>36.257399999999997</v>
      </c>
      <c r="AD119">
        <v>-1.158442</v>
      </c>
      <c r="AE119">
        <v>1.5799000000000001</v>
      </c>
      <c r="AF119">
        <v>0.38505077114250802</v>
      </c>
      <c r="AG119">
        <v>-1.158442</v>
      </c>
      <c r="AH119">
        <v>36.252820516842696</v>
      </c>
      <c r="AI119">
        <v>91.830134022736402</v>
      </c>
      <c r="AJ119">
        <v>89.391469292028006</v>
      </c>
      <c r="AK119">
        <v>36.273368293971998</v>
      </c>
      <c r="AL119">
        <v>92.097692947748001</v>
      </c>
      <c r="AM119">
        <v>90.843791563679105</v>
      </c>
      <c r="AN119">
        <v>0.99999999831393105</v>
      </c>
    </row>
    <row r="120" spans="1:40" x14ac:dyDescent="0.25">
      <c r="A120" t="str">
        <f>"20190312151503290"</f>
        <v>20190312151503290</v>
      </c>
      <c r="B120" t="str">
        <f>"1552374903277670"</f>
        <v>1552374903277670</v>
      </c>
      <c r="C120" t="s">
        <v>40</v>
      </c>
      <c r="D120">
        <v>4.4085799999999997</v>
      </c>
      <c r="E120">
        <v>0.50919029999999998</v>
      </c>
      <c r="F120" t="s">
        <v>42</v>
      </c>
      <c r="G120">
        <v>-431.91629999999998</v>
      </c>
      <c r="H120">
        <v>-0.05</v>
      </c>
      <c r="I120">
        <v>369.14879999999999</v>
      </c>
      <c r="J120">
        <v>-468.0763</v>
      </c>
      <c r="K120">
        <v>1.10846</v>
      </c>
      <c r="L120">
        <v>367.52510000000001</v>
      </c>
      <c r="M120">
        <v>0.99848559999999997</v>
      </c>
      <c r="N120">
        <v>0</v>
      </c>
      <c r="O120">
        <v>5.5012329999999998E-2</v>
      </c>
      <c r="P120">
        <v>0.99681140000000001</v>
      </c>
      <c r="Q120">
        <v>-3.7146930000000002E-2</v>
      </c>
      <c r="R120">
        <v>7.0620489999999994E-2</v>
      </c>
      <c r="S120">
        <v>2.9963679999999999</v>
      </c>
      <c r="T120">
        <v>-9.5511910000000005E-2</v>
      </c>
      <c r="U120">
        <v>0.13476560000000001</v>
      </c>
      <c r="V120">
        <v>-1.5642349999999999E-2</v>
      </c>
      <c r="W120">
        <v>-3.652569E-2</v>
      </c>
      <c r="X120">
        <v>0.9992103</v>
      </c>
      <c r="Y120">
        <v>1.0060970000000001E-2</v>
      </c>
      <c r="Z120">
        <v>-1.9112619999999999E-3</v>
      </c>
      <c r="AA120">
        <v>0.99994749999999999</v>
      </c>
      <c r="AB120">
        <v>18</v>
      </c>
      <c r="AC120">
        <v>36.159999999999997</v>
      </c>
      <c r="AD120">
        <v>-1.15846</v>
      </c>
      <c r="AE120">
        <v>1.6236999999999799</v>
      </c>
      <c r="AF120">
        <v>0.36762824724534199</v>
      </c>
      <c r="AG120">
        <v>-1.15846</v>
      </c>
      <c r="AH120">
        <v>36.157529096267297</v>
      </c>
      <c r="AI120">
        <v>91.834991101537398</v>
      </c>
      <c r="AJ120">
        <v>89.417470669435104</v>
      </c>
      <c r="AK120">
        <v>36.177950335075501</v>
      </c>
      <c r="AL120">
        <v>92.0932334620977</v>
      </c>
      <c r="AM120">
        <v>90.896875696262498</v>
      </c>
      <c r="AN120">
        <v>1.00000001638479</v>
      </c>
    </row>
    <row r="121" spans="1:40" x14ac:dyDescent="0.25">
      <c r="A121" t="str">
        <f>"20190312151503311"</f>
        <v>20190312151503311</v>
      </c>
      <c r="B121" t="str">
        <f>"1552374903307925"</f>
        <v>1552374903307925</v>
      </c>
      <c r="C121" t="s">
        <v>40</v>
      </c>
      <c r="D121">
        <v>4.429621</v>
      </c>
      <c r="E121">
        <v>0.51220379999999999</v>
      </c>
      <c r="F121" t="s">
        <v>42</v>
      </c>
      <c r="G121">
        <v>-431.5421</v>
      </c>
      <c r="H121">
        <v>-0.05</v>
      </c>
      <c r="I121">
        <v>369.21940000000001</v>
      </c>
      <c r="J121">
        <v>-467.90109999999999</v>
      </c>
      <c r="K121">
        <v>1.1084799999999999</v>
      </c>
      <c r="L121">
        <v>367.53570000000002</v>
      </c>
      <c r="M121">
        <v>0.99843990000000005</v>
      </c>
      <c r="N121">
        <v>0</v>
      </c>
      <c r="O121">
        <v>5.5835000000000003E-2</v>
      </c>
      <c r="P121">
        <v>0.99670639999999999</v>
      </c>
      <c r="Q121">
        <v>-3.7187749999999999E-2</v>
      </c>
      <c r="R121">
        <v>7.2068190000000004E-2</v>
      </c>
      <c r="S121">
        <v>2.996216</v>
      </c>
      <c r="T121">
        <v>-9.5006699999999999E-2</v>
      </c>
      <c r="U121">
        <v>0.1389465</v>
      </c>
      <c r="V121">
        <v>-1.6269860000000001E-2</v>
      </c>
      <c r="W121">
        <v>-3.6509479999999997E-2</v>
      </c>
      <c r="X121">
        <v>0.99920089999999995</v>
      </c>
      <c r="Y121">
        <v>9.4903890000000001E-3</v>
      </c>
      <c r="Z121">
        <v>-1.9181560000000001E-3</v>
      </c>
      <c r="AA121">
        <v>0.99995319999999999</v>
      </c>
      <c r="AB121">
        <v>18</v>
      </c>
      <c r="AC121">
        <v>36.358999999999902</v>
      </c>
      <c r="AD121">
        <v>-1.15848</v>
      </c>
      <c r="AE121">
        <v>1.68369999999998</v>
      </c>
      <c r="AF121">
        <v>0.34867832146844102</v>
      </c>
      <c r="AG121">
        <v>-1.15848</v>
      </c>
      <c r="AH121">
        <v>36.3594564245725</v>
      </c>
      <c r="AI121">
        <v>91.824849018827905</v>
      </c>
      <c r="AJ121">
        <v>89.450564287333705</v>
      </c>
      <c r="AK121">
        <v>36.379578391903401</v>
      </c>
      <c r="AL121">
        <v>92.092304018749005</v>
      </c>
      <c r="AM121">
        <v>90.932857385889903</v>
      </c>
      <c r="AN121">
        <v>1.0000000445175401</v>
      </c>
    </row>
    <row r="122" spans="1:40" x14ac:dyDescent="0.25">
      <c r="A122" t="str">
        <f>"20190312151503335"</f>
        <v>20190312151503335</v>
      </c>
      <c r="B122" t="str">
        <f>"1552374903327445"</f>
        <v>1552374903327445</v>
      </c>
      <c r="C122" t="s">
        <v>40</v>
      </c>
      <c r="D122">
        <v>4.3673109999999999</v>
      </c>
      <c r="E122">
        <v>0.51242579999999904</v>
      </c>
      <c r="F122" t="s">
        <v>43</v>
      </c>
      <c r="G122">
        <v>-441.67919999999998</v>
      </c>
      <c r="H122" s="1">
        <v>-4.0977809999999997E-6</v>
      </c>
      <c r="I122">
        <v>368.57909999999998</v>
      </c>
      <c r="J122">
        <v>-467.71039999999999</v>
      </c>
      <c r="K122">
        <v>1.10849</v>
      </c>
      <c r="L122">
        <v>367.54739999999998</v>
      </c>
      <c r="M122">
        <v>0.99839060000000002</v>
      </c>
      <c r="N122">
        <v>0</v>
      </c>
      <c r="O122">
        <v>5.6707439999999998E-2</v>
      </c>
      <c r="P122">
        <v>0.99656029999999995</v>
      </c>
      <c r="Q122">
        <v>-3.7247910000000002E-2</v>
      </c>
      <c r="R122">
        <v>7.4030650000000003E-2</v>
      </c>
      <c r="S122">
        <v>2.996613</v>
      </c>
      <c r="T122">
        <v>-0.12667629999999999</v>
      </c>
      <c r="U122">
        <v>0.119232199999999</v>
      </c>
      <c r="V122">
        <v>-1.7364750000000002E-2</v>
      </c>
      <c r="W122">
        <v>-3.6510319999999999E-2</v>
      </c>
      <c r="X122">
        <v>0.99918240000000003</v>
      </c>
      <c r="Y122">
        <v>1.690351E-2</v>
      </c>
      <c r="Z122">
        <v>-2.7505310000000001E-3</v>
      </c>
      <c r="AA122">
        <v>0.99985329999999994</v>
      </c>
      <c r="AB122">
        <v>18</v>
      </c>
      <c r="AC122">
        <v>26.031199999999998</v>
      </c>
      <c r="AD122">
        <v>-1.1084940977810001</v>
      </c>
      <c r="AE122">
        <v>1.0317000000000001</v>
      </c>
      <c r="AF122">
        <v>0.44531699320573098</v>
      </c>
      <c r="AG122">
        <v>-1.1084940977810001</v>
      </c>
      <c r="AH122">
        <v>26.0007425024619</v>
      </c>
      <c r="AI122">
        <v>92.440864890369596</v>
      </c>
      <c r="AJ122">
        <v>89.018786102683293</v>
      </c>
      <c r="AK122">
        <v>26.0281708360111</v>
      </c>
      <c r="AL122">
        <v>92.092352265717494</v>
      </c>
      <c r="AM122">
        <v>90.995640776014596</v>
      </c>
      <c r="AN122">
        <v>1.0000000032394101</v>
      </c>
    </row>
    <row r="123" spans="1:40" x14ac:dyDescent="0.25">
      <c r="A123" t="str">
        <f>"20190312151503356"</f>
        <v>20190312151503356</v>
      </c>
      <c r="B123" t="str">
        <f>"1552374903347944"</f>
        <v>1552374903347944</v>
      </c>
      <c r="C123" t="s">
        <v>40</v>
      </c>
      <c r="D123">
        <v>4.3784580000000002</v>
      </c>
      <c r="E123">
        <v>0.51263400000000003</v>
      </c>
      <c r="F123" t="s">
        <v>43</v>
      </c>
      <c r="G123">
        <v>-441.34559999999999</v>
      </c>
      <c r="H123" s="1">
        <v>-4.2460279999999996E-6</v>
      </c>
      <c r="I123">
        <v>368.63220000000001</v>
      </c>
      <c r="J123">
        <v>-467.53030000000001</v>
      </c>
      <c r="K123">
        <v>1.108493</v>
      </c>
      <c r="L123">
        <v>367.55860000000001</v>
      </c>
      <c r="M123">
        <v>0.99834500000000004</v>
      </c>
      <c r="N123">
        <v>0</v>
      </c>
      <c r="O123">
        <v>5.7506139999999997E-2</v>
      </c>
      <c r="P123">
        <v>0.99646959999999996</v>
      </c>
      <c r="Q123">
        <v>-3.6823920000000003E-2</v>
      </c>
      <c r="R123">
        <v>7.5446719999999995E-2</v>
      </c>
      <c r="S123">
        <v>2.9964599999999999</v>
      </c>
      <c r="T123">
        <v>-0.12598470000000001</v>
      </c>
      <c r="U123">
        <v>0.123291</v>
      </c>
      <c r="V123">
        <v>-1.798491E-2</v>
      </c>
      <c r="W123">
        <v>-3.6031529999999999E-2</v>
      </c>
      <c r="X123">
        <v>0.99918879999999999</v>
      </c>
      <c r="Y123">
        <v>1.6349740000000001E-2</v>
      </c>
      <c r="Z123">
        <v>-2.7574280000000001E-3</v>
      </c>
      <c r="AA123">
        <v>0.99986260000000005</v>
      </c>
      <c r="AB123">
        <v>18</v>
      </c>
      <c r="AC123">
        <v>26.184699999999999</v>
      </c>
      <c r="AD123">
        <v>-1.108497246028</v>
      </c>
      <c r="AE123">
        <v>1.0735999999999899</v>
      </c>
      <c r="AF123">
        <v>0.43318287297948199</v>
      </c>
      <c r="AG123">
        <v>-1.108497246028</v>
      </c>
      <c r="AH123">
        <v>26.156309582374998</v>
      </c>
      <c r="AI123">
        <v>92.426394993956606</v>
      </c>
      <c r="AJ123">
        <v>89.051193306565295</v>
      </c>
      <c r="AK123">
        <v>26.1833715268858</v>
      </c>
      <c r="AL123">
        <v>92.064901577484406</v>
      </c>
      <c r="AM123">
        <v>91.031184672981496</v>
      </c>
      <c r="AN123">
        <v>0.99999999309364396</v>
      </c>
    </row>
    <row r="124" spans="1:40" x14ac:dyDescent="0.25">
      <c r="A124" t="str">
        <f>"20190312151503381"</f>
        <v>20190312151503381</v>
      </c>
      <c r="B124" t="str">
        <f>"1552374903367461"</f>
        <v>1552374903367461</v>
      </c>
      <c r="C124" t="s">
        <v>40</v>
      </c>
      <c r="D124">
        <v>4.364058</v>
      </c>
      <c r="E124">
        <v>0.51322879999999904</v>
      </c>
      <c r="F124" t="s">
        <v>42</v>
      </c>
      <c r="G124">
        <v>-438.57679999999999</v>
      </c>
      <c r="H124">
        <v>-0.05</v>
      </c>
      <c r="I124">
        <v>368.7731</v>
      </c>
      <c r="J124">
        <v>-467.3329</v>
      </c>
      <c r="K124">
        <v>1.108495</v>
      </c>
      <c r="L124">
        <v>367.57089999999999</v>
      </c>
      <c r="M124">
        <v>0.99829570000000001</v>
      </c>
      <c r="N124">
        <v>0</v>
      </c>
      <c r="O124">
        <v>5.8354740000000002E-2</v>
      </c>
      <c r="P124">
        <v>0.996394</v>
      </c>
      <c r="Q124">
        <v>-3.6209110000000003E-2</v>
      </c>
      <c r="R124">
        <v>7.67341E-2</v>
      </c>
      <c r="S124">
        <v>2.9967039999999998</v>
      </c>
      <c r="T124">
        <v>-0.11990489999999999</v>
      </c>
      <c r="U124">
        <v>0.12570190000000001</v>
      </c>
      <c r="V124">
        <v>-1.8426540000000002E-2</v>
      </c>
      <c r="W124">
        <v>-3.5358019999999997E-2</v>
      </c>
      <c r="X124">
        <v>0.9992048</v>
      </c>
      <c r="Y124">
        <v>1.6405389999999999E-2</v>
      </c>
      <c r="Z124">
        <v>-2.659172E-3</v>
      </c>
      <c r="AA124">
        <v>0.99986189999999997</v>
      </c>
      <c r="AB124">
        <v>19</v>
      </c>
      <c r="AC124">
        <v>28.7561</v>
      </c>
      <c r="AD124">
        <v>-1.1584950000000001</v>
      </c>
      <c r="AE124">
        <v>1.2021999999999999</v>
      </c>
      <c r="AF124">
        <v>0.47713069913346501</v>
      </c>
      <c r="AG124">
        <v>-1.1584950000000001</v>
      </c>
      <c r="AH124">
        <v>28.730701460892501</v>
      </c>
      <c r="AI124">
        <v>92.308742744646693</v>
      </c>
      <c r="AJ124">
        <v>89.048576568014397</v>
      </c>
      <c r="AK124">
        <v>28.758007072883402</v>
      </c>
      <c r="AL124">
        <v>92.026287716133098</v>
      </c>
      <c r="AM124">
        <v>91.056483432474707</v>
      </c>
      <c r="AN124">
        <v>0.999999979648865</v>
      </c>
    </row>
    <row r="125" spans="1:40" x14ac:dyDescent="0.25">
      <c r="A125" t="str">
        <f>"20190312151503403"</f>
        <v>20190312151503403</v>
      </c>
      <c r="B125" t="str">
        <f>"1552374903398223"</f>
        <v>1552374903398223</v>
      </c>
      <c r="C125" t="s">
        <v>40</v>
      </c>
      <c r="D125">
        <v>4.3968360000000004</v>
      </c>
      <c r="E125">
        <v>0.51385209999999903</v>
      </c>
      <c r="F125" t="s">
        <v>42</v>
      </c>
      <c r="G125">
        <v>-436.24040000000002</v>
      </c>
      <c r="H125">
        <v>-0.05</v>
      </c>
      <c r="I125">
        <v>368.86799999999999</v>
      </c>
      <c r="J125">
        <v>-467.137</v>
      </c>
      <c r="K125">
        <v>1.1084940000000001</v>
      </c>
      <c r="L125">
        <v>367.58330000000001</v>
      </c>
      <c r="M125">
        <v>0.99824769999999896</v>
      </c>
      <c r="N125">
        <v>0</v>
      </c>
      <c r="O125">
        <v>5.9166009999999998E-2</v>
      </c>
      <c r="P125">
        <v>0.99633539999999998</v>
      </c>
      <c r="Q125">
        <v>-3.6295380000000002E-2</v>
      </c>
      <c r="R125">
        <v>7.7450030000000003E-2</v>
      </c>
      <c r="S125">
        <v>2.9971619999999999</v>
      </c>
      <c r="T125">
        <v>-0.11167340000000001</v>
      </c>
      <c r="U125">
        <v>0.12503049999999999</v>
      </c>
      <c r="V125">
        <v>-1.8334090000000001E-2</v>
      </c>
      <c r="W125">
        <v>-3.5386630000000002E-2</v>
      </c>
      <c r="X125">
        <v>0.99920549999999997</v>
      </c>
      <c r="Y125">
        <v>1.7454580000000001E-2</v>
      </c>
      <c r="Z125">
        <v>-2.5260650000000001E-3</v>
      </c>
      <c r="AA125">
        <v>0.99984450000000002</v>
      </c>
      <c r="AB125">
        <v>19</v>
      </c>
      <c r="AC125">
        <v>30.8965999999999</v>
      </c>
      <c r="AD125">
        <v>-1.1584939999999999</v>
      </c>
      <c r="AE125">
        <v>1.2847000000000399</v>
      </c>
      <c r="AF125">
        <v>0.54481531879270395</v>
      </c>
      <c r="AG125">
        <v>-1.1584939999999999</v>
      </c>
      <c r="AH125">
        <v>30.875150941482602</v>
      </c>
      <c r="AI125">
        <v>92.148503685395895</v>
      </c>
      <c r="AJ125">
        <v>88.989077684226999</v>
      </c>
      <c r="AK125">
        <v>30.901680823847801</v>
      </c>
      <c r="AL125">
        <v>92.027927950164596</v>
      </c>
      <c r="AM125">
        <v>91.0511832790759</v>
      </c>
      <c r="AN125">
        <v>0.999999991834567</v>
      </c>
    </row>
    <row r="126" spans="1:40" x14ac:dyDescent="0.25">
      <c r="A126" t="str">
        <f>"20190312151503424"</f>
        <v>20190312151503424</v>
      </c>
      <c r="B126" t="str">
        <f>"1552374903417743"</f>
        <v>1552374903417743</v>
      </c>
      <c r="C126" t="s">
        <v>40</v>
      </c>
      <c r="D126">
        <v>4.3084670000000003</v>
      </c>
      <c r="E126">
        <v>0.51416980000000001</v>
      </c>
      <c r="F126" t="s">
        <v>42</v>
      </c>
      <c r="G126">
        <v>-435.53949999999998</v>
      </c>
      <c r="H126">
        <v>-0.05</v>
      </c>
      <c r="I126">
        <v>368.87009999999998</v>
      </c>
      <c r="J126">
        <v>-466.95569999999998</v>
      </c>
      <c r="K126">
        <v>1.1084849999999999</v>
      </c>
      <c r="L126">
        <v>367.5949</v>
      </c>
      <c r="M126">
        <v>0.99820520000000001</v>
      </c>
      <c r="N126">
        <v>0</v>
      </c>
      <c r="O126">
        <v>5.9880309999999999E-2</v>
      </c>
      <c r="P126">
        <v>0.99629100000000004</v>
      </c>
      <c r="Q126">
        <v>-3.656181E-2</v>
      </c>
      <c r="R126">
        <v>7.7893749999999998E-2</v>
      </c>
      <c r="S126">
        <v>2.9975589999999999</v>
      </c>
      <c r="T126">
        <v>-0.1099029</v>
      </c>
      <c r="U126">
        <v>0.12207030000000001</v>
      </c>
      <c r="V126">
        <v>-1.8065709999999999E-2</v>
      </c>
      <c r="W126">
        <v>-3.5598900000000003E-2</v>
      </c>
      <c r="X126">
        <v>0.99920279999999995</v>
      </c>
      <c r="Y126">
        <v>1.9161290000000001E-2</v>
      </c>
      <c r="Z126">
        <v>-2.5431640000000001E-3</v>
      </c>
      <c r="AA126">
        <v>0.99981319999999996</v>
      </c>
      <c r="AB126">
        <v>19</v>
      </c>
      <c r="AC126">
        <v>31.4162</v>
      </c>
      <c r="AD126">
        <v>-1.158485</v>
      </c>
      <c r="AE126">
        <v>1.2751999999999799</v>
      </c>
      <c r="AF126">
        <v>0.60747606082277295</v>
      </c>
      <c r="AG126">
        <v>-1.158485</v>
      </c>
      <c r="AH126">
        <v>31.393566400383101</v>
      </c>
      <c r="AI126">
        <v>92.112974008029298</v>
      </c>
      <c r="AJ126">
        <v>88.891445756921897</v>
      </c>
      <c r="AK126">
        <v>31.420807214248399</v>
      </c>
      <c r="AL126">
        <v>92.040097891777094</v>
      </c>
      <c r="AM126">
        <v>91.035801913269495</v>
      </c>
      <c r="AN126">
        <v>0.99999994354342503</v>
      </c>
    </row>
    <row r="127" spans="1:40" x14ac:dyDescent="0.25">
      <c r="A127" t="str">
        <f>"20190312151503512"</f>
        <v>20190312151503512</v>
      </c>
      <c r="B127" t="str">
        <f>"1552374903508041"</f>
        <v>1552374903508041</v>
      </c>
      <c r="C127" t="s">
        <v>40</v>
      </c>
      <c r="D127">
        <v>5.5499640000000001</v>
      </c>
      <c r="E127">
        <v>0.55031819999999998</v>
      </c>
      <c r="F127" t="s">
        <v>42</v>
      </c>
      <c r="G127">
        <v>-436.99329999999998</v>
      </c>
      <c r="H127">
        <v>-0.05</v>
      </c>
      <c r="I127">
        <v>368.80560000000003</v>
      </c>
      <c r="J127">
        <v>-466.17739999999998</v>
      </c>
      <c r="K127">
        <v>1.108412</v>
      </c>
      <c r="L127">
        <v>367.6454</v>
      </c>
      <c r="M127">
        <v>0.99804879999999996</v>
      </c>
      <c r="N127">
        <v>0</v>
      </c>
      <c r="O127">
        <v>6.2428280000000003E-2</v>
      </c>
      <c r="P127">
        <v>0.99614959999999997</v>
      </c>
      <c r="Q127">
        <v>-3.4982060000000002E-2</v>
      </c>
      <c r="R127">
        <v>8.0388219999999996E-2</v>
      </c>
      <c r="S127">
        <v>2.9974370000000001</v>
      </c>
      <c r="T127">
        <v>-0.1158946</v>
      </c>
      <c r="U127">
        <v>0.1211243</v>
      </c>
      <c r="V127">
        <v>-1.8024459999999999E-2</v>
      </c>
      <c r="W127">
        <v>-3.3747079999999999E-2</v>
      </c>
      <c r="X127">
        <v>0.99926789999999999</v>
      </c>
      <c r="Y127">
        <v>2.2016939999999999E-2</v>
      </c>
      <c r="Z127">
        <v>-2.8352469999999999E-3</v>
      </c>
      <c r="AA127">
        <v>0.99975360000000002</v>
      </c>
      <c r="AB127">
        <v>20</v>
      </c>
      <c r="AC127">
        <v>29.184100000000001</v>
      </c>
      <c r="AD127">
        <v>-1.158412</v>
      </c>
      <c r="AE127">
        <v>1.1602000000000301</v>
      </c>
      <c r="AF127">
        <v>0.66293453956078796</v>
      </c>
      <c r="AG127">
        <v>-1.158412</v>
      </c>
      <c r="AH127">
        <v>29.153743455260699</v>
      </c>
      <c r="AI127">
        <v>92.274839780540901</v>
      </c>
      <c r="AJ127">
        <v>88.697360887276901</v>
      </c>
      <c r="AK127">
        <v>29.1842792958922</v>
      </c>
      <c r="AL127">
        <v>91.933932375030494</v>
      </c>
      <c r="AM127">
        <v>91.033370036448503</v>
      </c>
      <c r="AN127">
        <v>1.0000000412686101</v>
      </c>
    </row>
    <row r="128" spans="1:40" x14ac:dyDescent="0.25">
      <c r="A128" t="str">
        <f>"20190312151503535"</f>
        <v>20190312151503535</v>
      </c>
      <c r="B128" t="str">
        <f>"1552374903527562"</f>
        <v>1552374903527562</v>
      </c>
      <c r="C128" t="s">
        <v>40</v>
      </c>
      <c r="D128">
        <v>4.3514689999999998</v>
      </c>
      <c r="E128">
        <v>0.5456569</v>
      </c>
      <c r="F128" t="s">
        <v>44</v>
      </c>
      <c r="G128">
        <v>-158.78319999999999</v>
      </c>
      <c r="H128">
        <v>15.433909999999999</v>
      </c>
      <c r="I128">
        <v>351.6293</v>
      </c>
      <c r="J128">
        <v>-465.9803</v>
      </c>
      <c r="K128">
        <v>1.1083799999999999</v>
      </c>
      <c r="L128">
        <v>367.65839999999997</v>
      </c>
      <c r="M128">
        <v>0.99801859999999998</v>
      </c>
      <c r="N128">
        <v>0</v>
      </c>
      <c r="O128">
        <v>6.2906299999999998E-2</v>
      </c>
      <c r="P128">
        <v>0.99611830000000001</v>
      </c>
      <c r="Q128">
        <v>-3.4580960000000001E-2</v>
      </c>
      <c r="R128">
        <v>8.0947850000000002E-2</v>
      </c>
      <c r="S128">
        <v>3.0293269999999999</v>
      </c>
      <c r="T128">
        <v>0.14117660000000001</v>
      </c>
      <c r="U128">
        <v>-0.1578369</v>
      </c>
      <c r="V128">
        <v>-1.81091E-2</v>
      </c>
      <c r="W128">
        <v>-3.3265059999999999E-2</v>
      </c>
      <c r="X128">
        <v>0.99928249999999996</v>
      </c>
      <c r="Y128">
        <v>0.1145583</v>
      </c>
      <c r="Z128">
        <v>5.5939589999999999E-3</v>
      </c>
      <c r="AA128">
        <v>0.99340079999999997</v>
      </c>
      <c r="AB128">
        <v>20</v>
      </c>
      <c r="AC128">
        <v>307.19709999999998</v>
      </c>
      <c r="AD128">
        <v>14.325529999999899</v>
      </c>
      <c r="AE128">
        <v>-16.0290999999999</v>
      </c>
      <c r="AF128">
        <v>35.245564125264103</v>
      </c>
      <c r="AG128">
        <v>14.325529999999899</v>
      </c>
      <c r="AH128">
        <v>304.919055230948</v>
      </c>
      <c r="AI128">
        <v>87.327906538404903</v>
      </c>
      <c r="AJ128">
        <v>83.406448021010803</v>
      </c>
      <c r="AK128">
        <v>307.283421035407</v>
      </c>
      <c r="AL128">
        <v>91.906299209627306</v>
      </c>
      <c r="AM128">
        <v>91.0382063526705</v>
      </c>
      <c r="AN128">
        <v>1.00000000926293</v>
      </c>
    </row>
    <row r="129" spans="1:40" x14ac:dyDescent="0.25">
      <c r="A129" t="str">
        <f>"20190312151503557"</f>
        <v>20190312151503557</v>
      </c>
      <c r="B129" t="str">
        <f>"1552374903548058"</f>
        <v>1552374903548058</v>
      </c>
      <c r="C129" t="s">
        <v>40</v>
      </c>
      <c r="D129">
        <v>4.3628819999999999</v>
      </c>
      <c r="E129">
        <v>0.54386679999999998</v>
      </c>
      <c r="F129" t="s">
        <v>44</v>
      </c>
      <c r="G129">
        <v>-158.19499999999999</v>
      </c>
      <c r="H129">
        <v>15.617039999999999</v>
      </c>
      <c r="I129">
        <v>355.55380000000002</v>
      </c>
      <c r="J129">
        <v>-465.77589999999998</v>
      </c>
      <c r="K129">
        <v>1.108365</v>
      </c>
      <c r="L129">
        <v>367.67180000000002</v>
      </c>
      <c r="M129">
        <v>0.99799110000000002</v>
      </c>
      <c r="N129">
        <v>0</v>
      </c>
      <c r="O129">
        <v>6.3337640000000001E-2</v>
      </c>
      <c r="P129">
        <v>0.99610779999999999</v>
      </c>
      <c r="Q129">
        <v>-3.4956639999999997E-2</v>
      </c>
      <c r="R129">
        <v>8.091479E-2</v>
      </c>
      <c r="S129">
        <v>3.0263059999999999</v>
      </c>
      <c r="T129">
        <v>0.14265749999999999</v>
      </c>
      <c r="U129">
        <v>-0.1190186</v>
      </c>
      <c r="V129">
        <v>-1.7648150000000001E-2</v>
      </c>
      <c r="W129">
        <v>-3.3555830000000002E-2</v>
      </c>
      <c r="X129">
        <v>0.99928099999999997</v>
      </c>
      <c r="Y129">
        <v>0.10232380000000001</v>
      </c>
      <c r="Z129">
        <v>5.3917679999999999E-3</v>
      </c>
      <c r="AA129">
        <v>0.99473659999999997</v>
      </c>
      <c r="AB129">
        <v>20</v>
      </c>
      <c r="AC129">
        <v>307.58089999999999</v>
      </c>
      <c r="AD129">
        <v>14.508675</v>
      </c>
      <c r="AE129">
        <v>-12.117999999999901</v>
      </c>
      <c r="AF129">
        <v>31.5051463373742</v>
      </c>
      <c r="AG129">
        <v>14.508675</v>
      </c>
      <c r="AH129">
        <v>305.51706535177601</v>
      </c>
      <c r="AI129">
        <v>87.295448493422697</v>
      </c>
      <c r="AJ129">
        <v>84.112427139040307</v>
      </c>
      <c r="AK129">
        <v>307.47967919385502</v>
      </c>
      <c r="AL129">
        <v>91.922968458208302</v>
      </c>
      <c r="AM129">
        <v>91.011786876370905</v>
      </c>
      <c r="AN129">
        <v>0.999999983943205</v>
      </c>
    </row>
    <row r="130" spans="1:40" x14ac:dyDescent="0.25">
      <c r="A130" t="str">
        <f>"20190312151503580"</f>
        <v>20190312151503580</v>
      </c>
      <c r="B130" t="str">
        <f>"1552374903567578"</f>
        <v>1552374903567578</v>
      </c>
      <c r="C130" t="s">
        <v>40</v>
      </c>
      <c r="D130">
        <v>4.3632939999999998</v>
      </c>
      <c r="E130">
        <v>0.54197859999999998</v>
      </c>
      <c r="F130" t="s">
        <v>44</v>
      </c>
      <c r="G130">
        <v>-170.08879999999999</v>
      </c>
      <c r="H130">
        <v>13.065530000000001</v>
      </c>
      <c r="I130">
        <v>357.40570000000002</v>
      </c>
      <c r="J130">
        <v>-465.56630000000001</v>
      </c>
      <c r="K130">
        <v>1.1083459999999901</v>
      </c>
      <c r="L130">
        <v>367.68549999999999</v>
      </c>
      <c r="M130">
        <v>0.9979673</v>
      </c>
      <c r="N130">
        <v>0</v>
      </c>
      <c r="O130">
        <v>6.3713640000000002E-2</v>
      </c>
      <c r="P130">
        <v>0.99610089999999996</v>
      </c>
      <c r="Q130">
        <v>-3.4803260000000003E-2</v>
      </c>
      <c r="R130">
        <v>8.1067150000000004E-2</v>
      </c>
      <c r="S130">
        <v>3.0245669999999998</v>
      </c>
      <c r="T130">
        <v>0.1223099</v>
      </c>
      <c r="U130">
        <v>-0.10501099999999999</v>
      </c>
      <c r="V130">
        <v>-1.742672E-2</v>
      </c>
      <c r="W130">
        <v>-3.3314499999999997E-2</v>
      </c>
      <c r="X130">
        <v>0.99929299999999999</v>
      </c>
      <c r="Y130">
        <v>9.8171110000000006E-2</v>
      </c>
      <c r="Z130">
        <v>4.5576369999999998E-3</v>
      </c>
      <c r="AA130">
        <v>0.99515909999999996</v>
      </c>
      <c r="AB130">
        <v>20</v>
      </c>
      <c r="AC130">
        <v>295.47750000000002</v>
      </c>
      <c r="AD130">
        <v>11.957184</v>
      </c>
      <c r="AE130">
        <v>-10.2797999999999</v>
      </c>
      <c r="AF130">
        <v>29.037383813610202</v>
      </c>
      <c r="AG130">
        <v>11.957184</v>
      </c>
      <c r="AH130">
        <v>293.74173889132697</v>
      </c>
      <c r="AI130">
        <v>87.680273237234502</v>
      </c>
      <c r="AJ130">
        <v>84.354456368044097</v>
      </c>
      <c r="AK130">
        <v>295.41555997416498</v>
      </c>
      <c r="AL130">
        <v>91.909133457310602</v>
      </c>
      <c r="AM130">
        <v>90.999082657519693</v>
      </c>
      <c r="AN130">
        <v>1.0000000231646</v>
      </c>
    </row>
    <row r="131" spans="1:40" x14ac:dyDescent="0.25">
      <c r="A131" t="str">
        <f>"20190312151503603"</f>
        <v>20190312151503603</v>
      </c>
      <c r="B131" t="str">
        <f>"1552374903597834"</f>
        <v>1552374903597834</v>
      </c>
      <c r="C131" t="s">
        <v>40</v>
      </c>
      <c r="D131">
        <v>4.261673</v>
      </c>
      <c r="E131">
        <v>0.54007720000000004</v>
      </c>
      <c r="F131" t="s">
        <v>44</v>
      </c>
      <c r="G131">
        <v>-168.84350000000001</v>
      </c>
      <c r="H131">
        <v>9.0023260000000001</v>
      </c>
      <c r="I131">
        <v>358.84859999999998</v>
      </c>
      <c r="J131">
        <v>-465.35090000000002</v>
      </c>
      <c r="K131">
        <v>1.10832</v>
      </c>
      <c r="L131">
        <v>367.69959999999998</v>
      </c>
      <c r="M131">
        <v>0.99794700000000003</v>
      </c>
      <c r="N131">
        <v>0</v>
      </c>
      <c r="O131">
        <v>6.4026689999999997E-2</v>
      </c>
      <c r="P131">
        <v>0.99609610000000004</v>
      </c>
      <c r="Q131">
        <v>-3.4669760000000001E-2</v>
      </c>
      <c r="R131">
        <v>8.1183039999999998E-2</v>
      </c>
      <c r="S131">
        <v>3.021881</v>
      </c>
      <c r="T131">
        <v>8.0394629999999995E-2</v>
      </c>
      <c r="U131">
        <v>-8.9996339999999994E-2</v>
      </c>
      <c r="V131">
        <v>-1.7231960000000001E-2</v>
      </c>
      <c r="W131">
        <v>-3.308958E-2</v>
      </c>
      <c r="X131">
        <v>0.99930379999999996</v>
      </c>
      <c r="Y131">
        <v>9.3649919999999998E-2</v>
      </c>
      <c r="Z131">
        <v>2.9474739999999998E-3</v>
      </c>
      <c r="AA131">
        <v>0.99560079999999995</v>
      </c>
      <c r="AB131">
        <v>20</v>
      </c>
      <c r="AC131">
        <v>296.50740000000002</v>
      </c>
      <c r="AD131">
        <v>7.8940060000000001</v>
      </c>
      <c r="AE131">
        <v>-8.8509999999999902</v>
      </c>
      <c r="AF131">
        <v>27.797563839683502</v>
      </c>
      <c r="AG131">
        <v>7.8940060000000001</v>
      </c>
      <c r="AH131">
        <v>295.12332253377599</v>
      </c>
      <c r="AI131">
        <v>88.474557108971496</v>
      </c>
      <c r="AJ131">
        <v>84.619205091610198</v>
      </c>
      <c r="AK131">
        <v>296.534644501321</v>
      </c>
      <c r="AL131">
        <v>91.896239477523906</v>
      </c>
      <c r="AM131">
        <v>90.987908518950903</v>
      </c>
      <c r="AN131">
        <v>0.99999997272222796</v>
      </c>
    </row>
    <row r="132" spans="1:40" x14ac:dyDescent="0.25">
      <c r="A132" t="str">
        <f>"20190312151503626"</f>
        <v>20190312151503626</v>
      </c>
      <c r="B132" t="str">
        <f>"1552374903618330"</f>
        <v>1552374903618330</v>
      </c>
      <c r="C132" t="s">
        <v>40</v>
      </c>
      <c r="D132">
        <v>4.2821389999999999</v>
      </c>
      <c r="E132">
        <v>0.53983380000000003</v>
      </c>
      <c r="F132" t="s">
        <v>44</v>
      </c>
      <c r="G132">
        <v>-158.19499999999999</v>
      </c>
      <c r="H132">
        <v>5.7827089999999997</v>
      </c>
      <c r="I132">
        <v>360.13400000000001</v>
      </c>
      <c r="J132">
        <v>-465.1481</v>
      </c>
      <c r="K132">
        <v>1.10829</v>
      </c>
      <c r="L132">
        <v>367.71300000000002</v>
      </c>
      <c r="M132">
        <v>0.99793259999999995</v>
      </c>
      <c r="N132">
        <v>0</v>
      </c>
      <c r="O132">
        <v>6.4247869999999999E-2</v>
      </c>
      <c r="P132">
        <v>0.99614829999999999</v>
      </c>
      <c r="Q132">
        <v>-3.4585949999999997E-2</v>
      </c>
      <c r="R132">
        <v>8.0575839999999996E-2</v>
      </c>
      <c r="S132">
        <v>3.0193789999999998</v>
      </c>
      <c r="T132">
        <v>4.5950650000000003E-2</v>
      </c>
      <c r="U132">
        <v>-7.4371339999999994E-2</v>
      </c>
      <c r="V132">
        <v>-1.640436E-2</v>
      </c>
      <c r="W132">
        <v>-3.2916769999999998E-2</v>
      </c>
      <c r="X132">
        <v>0.99932350000000003</v>
      </c>
      <c r="Y132">
        <v>8.8783760000000003E-2</v>
      </c>
      <c r="Z132">
        <v>1.6526850000000001E-3</v>
      </c>
      <c r="AA132">
        <v>0.99604950000000003</v>
      </c>
      <c r="AB132">
        <v>21</v>
      </c>
      <c r="AC132">
        <v>306.95310000000001</v>
      </c>
      <c r="AD132">
        <v>4.6744189999999897</v>
      </c>
      <c r="AE132">
        <v>-7.5789999999999997</v>
      </c>
      <c r="AF132">
        <v>27.2781292832959</v>
      </c>
      <c r="AG132">
        <v>4.6744189999999897</v>
      </c>
      <c r="AH132">
        <v>305.76112458098601</v>
      </c>
      <c r="AI132">
        <v>89.127605371757696</v>
      </c>
      <c r="AJ132">
        <v>84.901919323783702</v>
      </c>
      <c r="AK132">
        <v>307.01109399370699</v>
      </c>
      <c r="AL132">
        <v>91.886332675192406</v>
      </c>
      <c r="AM132">
        <v>90.940452399089395</v>
      </c>
      <c r="AN132">
        <v>1.00000003721324</v>
      </c>
    </row>
    <row r="133" spans="1:40" x14ac:dyDescent="0.25">
      <c r="A133" t="str">
        <f>"20190312151503646"</f>
        <v>20190312151503646</v>
      </c>
      <c r="B133" t="str">
        <f>"1552374903637853"</f>
        <v>1552374903637853</v>
      </c>
      <c r="C133" t="s">
        <v>40</v>
      </c>
      <c r="D133">
        <v>4.2829230000000003</v>
      </c>
      <c r="E133">
        <v>0.5396571</v>
      </c>
      <c r="F133" t="s">
        <v>44</v>
      </c>
      <c r="G133">
        <v>-158.19499999999999</v>
      </c>
      <c r="H133">
        <v>4.5929830000000003</v>
      </c>
      <c r="I133">
        <v>360.16640000000001</v>
      </c>
      <c r="J133">
        <v>-464.95069999999998</v>
      </c>
      <c r="K133">
        <v>1.108268</v>
      </c>
      <c r="L133">
        <v>367.72579999999999</v>
      </c>
      <c r="M133">
        <v>0.99792329999999996</v>
      </c>
      <c r="N133">
        <v>0</v>
      </c>
      <c r="O133">
        <v>6.4391180000000006E-2</v>
      </c>
      <c r="P133">
        <v>0.99614800000000003</v>
      </c>
      <c r="Q133">
        <v>-3.4389990000000002E-2</v>
      </c>
      <c r="R133">
        <v>8.0663819999999997E-2</v>
      </c>
      <c r="S133">
        <v>3.018799</v>
      </c>
      <c r="T133">
        <v>3.4271839999999998E-2</v>
      </c>
      <c r="U133">
        <v>-7.421875E-2</v>
      </c>
      <c r="V133">
        <v>-1.635209E-2</v>
      </c>
      <c r="W133">
        <v>-3.2629730000000003E-2</v>
      </c>
      <c r="X133">
        <v>0.99933369999999999</v>
      </c>
      <c r="Y133">
        <v>8.8889040000000002E-2</v>
      </c>
      <c r="Z133">
        <v>1.2351300000000001E-3</v>
      </c>
      <c r="AA133">
        <v>0.99604079999999995</v>
      </c>
      <c r="AB133">
        <v>21</v>
      </c>
      <c r="AC133">
        <v>306.75569999999999</v>
      </c>
      <c r="AD133">
        <v>3.484715</v>
      </c>
      <c r="AE133">
        <v>-7.5593999999999797</v>
      </c>
      <c r="AF133">
        <v>27.292582067537499</v>
      </c>
      <c r="AG133">
        <v>3.484715</v>
      </c>
      <c r="AH133">
        <v>305.59292726627899</v>
      </c>
      <c r="AI133">
        <v>89.349267107402397</v>
      </c>
      <c r="AJ133">
        <v>84.896439827709997</v>
      </c>
      <c r="AK133">
        <v>306.82904925987299</v>
      </c>
      <c r="AL133">
        <v>91.869877787029694</v>
      </c>
      <c r="AM133">
        <v>90.937446759358494</v>
      </c>
      <c r="AN133">
        <v>0.99999996704146399</v>
      </c>
    </row>
    <row r="134" spans="1:40" x14ac:dyDescent="0.25">
      <c r="A134" t="str">
        <f>"20190312151503669"</f>
        <v>20190312151503669</v>
      </c>
      <c r="B134" t="str">
        <f>"1552374903657370"</f>
        <v>1552374903657370</v>
      </c>
      <c r="C134" t="s">
        <v>40</v>
      </c>
      <c r="D134">
        <v>4.6736360000000001</v>
      </c>
      <c r="E134">
        <v>0.5393713</v>
      </c>
      <c r="F134" t="s">
        <v>44</v>
      </c>
      <c r="G134">
        <v>-158.19499999999999</v>
      </c>
      <c r="H134">
        <v>3.9536370000000001</v>
      </c>
      <c r="I134">
        <v>360.31349999999998</v>
      </c>
      <c r="J134">
        <v>-464.74329999999998</v>
      </c>
      <c r="K134">
        <v>1.1082379999999901</v>
      </c>
      <c r="L134">
        <v>367.73939999999999</v>
      </c>
      <c r="M134">
        <v>0.99791770000000002</v>
      </c>
      <c r="N134">
        <v>0</v>
      </c>
      <c r="O134">
        <v>6.4475329999999997E-2</v>
      </c>
      <c r="P134">
        <v>0.99615410000000004</v>
      </c>
      <c r="Q134">
        <v>-3.4164420000000001E-2</v>
      </c>
      <c r="R134">
        <v>8.0686899999999895E-2</v>
      </c>
      <c r="S134">
        <v>3.0184630000000001</v>
      </c>
      <c r="T134">
        <v>2.7999159999999999E-2</v>
      </c>
      <c r="U134">
        <v>-7.2937009999999997E-2</v>
      </c>
      <c r="V134">
        <v>-1.6293660000000001E-2</v>
      </c>
      <c r="W134">
        <v>-3.2302350000000001E-2</v>
      </c>
      <c r="X134">
        <v>0.99934529999999999</v>
      </c>
      <c r="Y134">
        <v>8.8556360000000001E-2</v>
      </c>
      <c r="Z134">
        <v>1.008431E-3</v>
      </c>
      <c r="AA134">
        <v>0.99607069999999998</v>
      </c>
      <c r="AB134">
        <v>21</v>
      </c>
      <c r="AC134">
        <v>306.54829999999998</v>
      </c>
      <c r="AD134">
        <v>2.845399</v>
      </c>
      <c r="AE134">
        <v>-7.4259000000000102</v>
      </c>
      <c r="AF134">
        <v>27.172943520663299</v>
      </c>
      <c r="AG134">
        <v>2.845399</v>
      </c>
      <c r="AH134">
        <v>305.40537792312102</v>
      </c>
      <c r="AI134">
        <v>89.468302725336599</v>
      </c>
      <c r="AJ134">
        <v>84.915590113843194</v>
      </c>
      <c r="AK134">
        <v>306.625031625617</v>
      </c>
      <c r="AL134">
        <v>91.851110382339698</v>
      </c>
      <c r="AM134">
        <v>90.934086787651296</v>
      </c>
      <c r="AN134">
        <v>0.99999997690190301</v>
      </c>
    </row>
    <row r="135" spans="1:40" x14ac:dyDescent="0.25">
      <c r="A135" t="str">
        <f>"20190312151503691"</f>
        <v>20190312151503691</v>
      </c>
      <c r="B135" t="str">
        <f>"1552374903687626"</f>
        <v>1552374903687626</v>
      </c>
      <c r="C135" t="s">
        <v>40</v>
      </c>
      <c r="D135">
        <v>4.4673829999999999</v>
      </c>
      <c r="E135">
        <v>0.53900899999999996</v>
      </c>
      <c r="F135" t="s">
        <v>44</v>
      </c>
      <c r="G135">
        <v>-158.19499999999999</v>
      </c>
      <c r="H135">
        <v>3.6585009999999998</v>
      </c>
      <c r="I135">
        <v>360.59480000000002</v>
      </c>
      <c r="J135">
        <v>-464.52710000000002</v>
      </c>
      <c r="K135">
        <v>1.10822</v>
      </c>
      <c r="L135">
        <v>367.7534</v>
      </c>
      <c r="M135">
        <v>0.99791560000000001</v>
      </c>
      <c r="N135">
        <v>0</v>
      </c>
      <c r="O135">
        <v>6.4504329999999999E-2</v>
      </c>
      <c r="P135">
        <v>0.99615010000000004</v>
      </c>
      <c r="Q135">
        <v>-3.4214519999999998E-2</v>
      </c>
      <c r="R135">
        <v>8.071151E-2</v>
      </c>
      <c r="S135">
        <v>3.0181580000000001</v>
      </c>
      <c r="T135">
        <v>2.510977E-2</v>
      </c>
      <c r="U135">
        <v>-7.0343020000000006E-2</v>
      </c>
      <c r="V135">
        <v>-1.6292259999999999E-2</v>
      </c>
      <c r="W135">
        <v>-3.2239209999999997E-2</v>
      </c>
      <c r="X135">
        <v>0.9993474</v>
      </c>
      <c r="Y135">
        <v>8.7733430000000001E-2</v>
      </c>
      <c r="Z135">
        <v>9.0128440000000005E-4</v>
      </c>
      <c r="AA135">
        <v>0.99614360000000002</v>
      </c>
      <c r="AB135">
        <v>21</v>
      </c>
      <c r="AC135">
        <v>306.33210000000003</v>
      </c>
      <c r="AD135">
        <v>2.550281</v>
      </c>
      <c r="AE135">
        <v>-7.1585999999999697</v>
      </c>
      <c r="AF135">
        <v>26.901611024285099</v>
      </c>
      <c r="AG135">
        <v>2.550281</v>
      </c>
      <c r="AH135">
        <v>305.21123480926201</v>
      </c>
      <c r="AI135">
        <v>89.523108411718297</v>
      </c>
      <c r="AJ135">
        <v>84.962912206934504</v>
      </c>
      <c r="AK135">
        <v>306.40512146939602</v>
      </c>
      <c r="AL135">
        <v>91.847490770872497</v>
      </c>
      <c r="AM135">
        <v>90.934004579992404</v>
      </c>
      <c r="AN135">
        <v>1.0000000151420401</v>
      </c>
    </row>
    <row r="136" spans="1:40" x14ac:dyDescent="0.25">
      <c r="A136" t="str">
        <f>"20190312151503714"</f>
        <v>20190312151503714</v>
      </c>
      <c r="B136" t="str">
        <f>"1552374903708122"</f>
        <v>1552374903708122</v>
      </c>
      <c r="C136" t="s">
        <v>40</v>
      </c>
      <c r="D136">
        <v>4.4314070000000001</v>
      </c>
      <c r="E136">
        <v>0.53890340000000003</v>
      </c>
      <c r="F136" t="s">
        <v>44</v>
      </c>
      <c r="G136">
        <v>-158.19499999999999</v>
      </c>
      <c r="H136">
        <v>2.2328540000000001</v>
      </c>
      <c r="I136">
        <v>360.91879999999998</v>
      </c>
      <c r="J136">
        <v>-464.30709999999999</v>
      </c>
      <c r="K136">
        <v>1.108209</v>
      </c>
      <c r="L136">
        <v>367.76760000000002</v>
      </c>
      <c r="M136">
        <v>0.9979169</v>
      </c>
      <c r="N136">
        <v>0</v>
      </c>
      <c r="O136">
        <v>6.4477640000000003E-2</v>
      </c>
      <c r="P136">
        <v>0.99617089999999997</v>
      </c>
      <c r="Q136">
        <v>-3.387511E-2</v>
      </c>
      <c r="R136">
        <v>8.0597710000000003E-2</v>
      </c>
      <c r="S136">
        <v>3.017395</v>
      </c>
      <c r="T136">
        <v>1.1078599999999999E-2</v>
      </c>
      <c r="U136">
        <v>-6.7321779999999998E-2</v>
      </c>
      <c r="V136">
        <v>-1.6206249999999998E-2</v>
      </c>
      <c r="W136">
        <v>-3.1777260000000002E-2</v>
      </c>
      <c r="X136">
        <v>0.99936360000000002</v>
      </c>
      <c r="Y136">
        <v>8.6719980000000002E-2</v>
      </c>
      <c r="Z136">
        <v>3.9580330000000001E-4</v>
      </c>
      <c r="AA136">
        <v>0.99623260000000002</v>
      </c>
      <c r="AB136">
        <v>21</v>
      </c>
      <c r="AC136">
        <v>306.1121</v>
      </c>
      <c r="AD136">
        <v>1.1246449999999999</v>
      </c>
      <c r="AE136">
        <v>-6.8488000000000397</v>
      </c>
      <c r="AF136">
        <v>26.571620279203898</v>
      </c>
      <c r="AG136">
        <v>1.1246449999999999</v>
      </c>
      <c r="AH136">
        <v>305.02941369977202</v>
      </c>
      <c r="AI136">
        <v>89.789548111378295</v>
      </c>
      <c r="AJ136">
        <v>85.021437012461803</v>
      </c>
      <c r="AK136">
        <v>306.18664087883599</v>
      </c>
      <c r="AL136">
        <v>91.821009406296199</v>
      </c>
      <c r="AM136">
        <v>90.929059597315401</v>
      </c>
      <c r="AN136">
        <v>1.00000002089856</v>
      </c>
    </row>
    <row r="137" spans="1:40" x14ac:dyDescent="0.25">
      <c r="A137" t="str">
        <f>"20190312151503736"</f>
        <v>20190312151503736</v>
      </c>
      <c r="B137" t="str">
        <f>"1552374903727642"</f>
        <v>1552374903727642</v>
      </c>
      <c r="C137" t="s">
        <v>40</v>
      </c>
      <c r="D137">
        <v>4.3310230000000001</v>
      </c>
      <c r="E137">
        <v>0.53872019999999998</v>
      </c>
      <c r="F137" t="s">
        <v>44</v>
      </c>
      <c r="G137">
        <v>-158.19499999999999</v>
      </c>
      <c r="H137">
        <v>1.6779200000000001</v>
      </c>
      <c r="I137">
        <v>360.96839999999997</v>
      </c>
      <c r="J137">
        <v>-464.09230000000002</v>
      </c>
      <c r="K137">
        <v>1.108201</v>
      </c>
      <c r="L137">
        <v>367.78140000000002</v>
      </c>
      <c r="M137">
        <v>0.99792190000000003</v>
      </c>
      <c r="N137">
        <v>0</v>
      </c>
      <c r="O137">
        <v>6.439897E-2</v>
      </c>
      <c r="P137">
        <v>0.99620209999999998</v>
      </c>
      <c r="Q137">
        <v>-3.3494879999999998E-2</v>
      </c>
      <c r="R137">
        <v>8.0374139999999997E-2</v>
      </c>
      <c r="S137">
        <v>3.0171809999999999</v>
      </c>
      <c r="T137">
        <v>5.6161880000000003E-3</v>
      </c>
      <c r="U137">
        <v>-6.7016599999999996E-2</v>
      </c>
      <c r="V137">
        <v>-1.6061639999999999E-2</v>
      </c>
      <c r="W137">
        <v>-3.1271090000000001E-2</v>
      </c>
      <c r="X137">
        <v>0.99938190000000005</v>
      </c>
      <c r="Y137">
        <v>8.6543079999999994E-2</v>
      </c>
      <c r="Z137">
        <v>2.0035269999999999E-4</v>
      </c>
      <c r="AA137">
        <v>0.99624809999999997</v>
      </c>
      <c r="AB137">
        <v>22</v>
      </c>
      <c r="AC137">
        <v>305.89729999999997</v>
      </c>
      <c r="AD137">
        <v>0.56971899999999998</v>
      </c>
      <c r="AE137">
        <v>-6.8130000000000397</v>
      </c>
      <c r="AF137">
        <v>26.498282744697999</v>
      </c>
      <c r="AG137">
        <v>0.56971899999999998</v>
      </c>
      <c r="AH137">
        <v>304.82251716657998</v>
      </c>
      <c r="AI137">
        <v>89.893315578487403</v>
      </c>
      <c r="AJ137">
        <v>85.031756014141806</v>
      </c>
      <c r="AK137">
        <v>305.97263037717403</v>
      </c>
      <c r="AL137">
        <v>91.791993582862602</v>
      </c>
      <c r="AM137">
        <v>90.920754081071607</v>
      </c>
      <c r="AN137">
        <v>1.00000001969844</v>
      </c>
    </row>
    <row r="138" spans="1:40" x14ac:dyDescent="0.25">
      <c r="A138" t="str">
        <f>"20190312151503759"</f>
        <v>20190312151503759</v>
      </c>
      <c r="B138" t="str">
        <f>"1552374903748138"</f>
        <v>1552374903748138</v>
      </c>
      <c r="C138" t="s">
        <v>40</v>
      </c>
      <c r="D138">
        <v>4.3417510000000004</v>
      </c>
      <c r="E138">
        <v>0.53862140000000003</v>
      </c>
      <c r="F138" t="s">
        <v>44</v>
      </c>
      <c r="G138">
        <v>-158.19499999999999</v>
      </c>
      <c r="H138">
        <v>0.81192109999999995</v>
      </c>
      <c r="I138">
        <v>361.05700000000002</v>
      </c>
      <c r="J138">
        <v>-463.86579999999998</v>
      </c>
      <c r="K138">
        <v>1.1082069999999999</v>
      </c>
      <c r="L138">
        <v>367.79590000000002</v>
      </c>
      <c r="M138">
        <v>0.99792959999999997</v>
      </c>
      <c r="N138">
        <v>0</v>
      </c>
      <c r="O138">
        <v>6.4274339999999999E-2</v>
      </c>
      <c r="P138">
        <v>0.9962664</v>
      </c>
      <c r="Q138">
        <v>-3.3003949999999997E-2</v>
      </c>
      <c r="R138">
        <v>7.9776979999999997E-2</v>
      </c>
      <c r="S138">
        <v>3.0166930000000001</v>
      </c>
      <c r="T138">
        <v>-2.9209850000000001E-3</v>
      </c>
      <c r="U138">
        <v>-6.6314699999999893E-2</v>
      </c>
      <c r="V138">
        <v>-1.5587780000000001E-2</v>
      </c>
      <c r="W138">
        <v>-3.064511E-2</v>
      </c>
      <c r="X138">
        <v>0.99940879999999999</v>
      </c>
      <c r="Y138">
        <v>8.6190760000000005E-2</v>
      </c>
      <c r="Z138">
        <v>-1.039297E-4</v>
      </c>
      <c r="AA138">
        <v>0.99627860000000001</v>
      </c>
      <c r="AB138">
        <v>22</v>
      </c>
      <c r="AC138">
        <v>305.67079999999999</v>
      </c>
      <c r="AD138">
        <v>-0.29628589999999999</v>
      </c>
      <c r="AE138">
        <v>-6.7389000000000499</v>
      </c>
      <c r="AF138">
        <v>26.371782127666599</v>
      </c>
      <c r="AG138">
        <v>-0.29628589999999999</v>
      </c>
      <c r="AH138">
        <v>304.60532543414098</v>
      </c>
      <c r="AI138">
        <v>90.055523191141702</v>
      </c>
      <c r="AJ138">
        <v>85.0518479680197</v>
      </c>
      <c r="AK138">
        <v>305.74493121025301</v>
      </c>
      <c r="AL138">
        <v>91.7561103611541</v>
      </c>
      <c r="AM138">
        <v>90.893569873501903</v>
      </c>
      <c r="AN138">
        <v>1.00000002558484</v>
      </c>
    </row>
    <row r="139" spans="1:40" x14ac:dyDescent="0.25">
      <c r="A139" t="str">
        <f>"20190312151503782"</f>
        <v>20190312151503782</v>
      </c>
      <c r="B139" t="str">
        <f>"1552374903778394"</f>
        <v>1552374903778394</v>
      </c>
      <c r="C139" t="s">
        <v>40</v>
      </c>
      <c r="D139">
        <v>4.3937790000000003</v>
      </c>
      <c r="E139">
        <v>0.5386379</v>
      </c>
      <c r="F139" t="s">
        <v>45</v>
      </c>
      <c r="G139">
        <v>-180</v>
      </c>
      <c r="H139">
        <v>1.3559170000000001E-2</v>
      </c>
      <c r="I139">
        <v>361.4545</v>
      </c>
      <c r="J139">
        <v>-463.6463</v>
      </c>
      <c r="K139">
        <v>1.108212</v>
      </c>
      <c r="L139">
        <v>367.80990000000003</v>
      </c>
      <c r="M139">
        <v>0.99793940000000003</v>
      </c>
      <c r="N139">
        <v>0</v>
      </c>
      <c r="O139">
        <v>6.4117220000000003E-2</v>
      </c>
      <c r="P139">
        <v>0.99631380000000003</v>
      </c>
      <c r="Q139">
        <v>-3.243451E-2</v>
      </c>
      <c r="R139">
        <v>7.9417619999999994E-2</v>
      </c>
      <c r="S139">
        <v>3.0162960000000001</v>
      </c>
      <c r="T139">
        <v>-1.163149E-2</v>
      </c>
      <c r="U139">
        <v>-6.7382810000000001E-2</v>
      </c>
      <c r="V139">
        <v>-1.5384139999999999E-2</v>
      </c>
      <c r="W139">
        <v>-2.9942239999999998E-2</v>
      </c>
      <c r="X139">
        <v>0.99943320000000002</v>
      </c>
      <c r="Y139">
        <v>8.6388359999999997E-2</v>
      </c>
      <c r="Z139">
        <v>-4.1368040000000001E-4</v>
      </c>
      <c r="AA139">
        <v>0.99626150000000002</v>
      </c>
      <c r="AB139">
        <v>22</v>
      </c>
      <c r="AC139">
        <v>283.6463</v>
      </c>
      <c r="AD139">
        <v>-1.09465283</v>
      </c>
      <c r="AE139">
        <v>-6.3554000000000297</v>
      </c>
      <c r="AF139">
        <v>24.528623949266802</v>
      </c>
      <c r="AG139">
        <v>-1.09465283</v>
      </c>
      <c r="AH139">
        <v>282.65095921273701</v>
      </c>
      <c r="AI139">
        <v>90.221063598932403</v>
      </c>
      <c r="AJ139">
        <v>85.040262524220907</v>
      </c>
      <c r="AK139">
        <v>283.71537921223597</v>
      </c>
      <c r="AL139">
        <v>91.715820488702306</v>
      </c>
      <c r="AM139">
        <v>90.881876534241897</v>
      </c>
      <c r="AN139">
        <v>0.999999965380998</v>
      </c>
    </row>
    <row r="140" spans="1:40" x14ac:dyDescent="0.25">
      <c r="A140" t="str">
        <f>"20190312151503805"</f>
        <v>20190312151503805</v>
      </c>
      <c r="B140" t="str">
        <f>"1552374903797914"</f>
        <v>1552374903797914</v>
      </c>
      <c r="C140" t="s">
        <v>40</v>
      </c>
      <c r="D140">
        <v>4.4007239999999896</v>
      </c>
      <c r="E140">
        <v>0.53860959999999902</v>
      </c>
      <c r="F140" t="s">
        <v>43</v>
      </c>
      <c r="G140">
        <v>-321.78680000000003</v>
      </c>
      <c r="H140" s="1">
        <v>-4.3978700000000003E-6</v>
      </c>
      <c r="I140">
        <v>364.58710000000002</v>
      </c>
      <c r="J140">
        <v>-463.41390000000001</v>
      </c>
      <c r="K140">
        <v>1.108217</v>
      </c>
      <c r="L140">
        <v>367.82459999999998</v>
      </c>
      <c r="M140">
        <v>0.99795199999999995</v>
      </c>
      <c r="N140">
        <v>0</v>
      </c>
      <c r="O140">
        <v>6.3914029999999997E-2</v>
      </c>
      <c r="P140">
        <v>0.99635669999999998</v>
      </c>
      <c r="Q140">
        <v>-3.2154309999999998E-2</v>
      </c>
      <c r="R140">
        <v>7.8990119999999997E-2</v>
      </c>
      <c r="S140">
        <v>3.0158079999999998</v>
      </c>
      <c r="T140">
        <v>-2.3559690000000001E-2</v>
      </c>
      <c r="U140">
        <v>-6.8511959999999997E-2</v>
      </c>
      <c r="V140">
        <v>-1.5158919999999999E-2</v>
      </c>
      <c r="W140">
        <v>-2.9514579999999999E-2</v>
      </c>
      <c r="X140">
        <v>0.99944940000000004</v>
      </c>
      <c r="Y140">
        <v>8.6558490000000002E-2</v>
      </c>
      <c r="Z140">
        <v>-8.371171E-4</v>
      </c>
      <c r="AA140">
        <v>0.99624639999999998</v>
      </c>
      <c r="AB140">
        <v>22</v>
      </c>
      <c r="AC140">
        <v>141.62709999999899</v>
      </c>
      <c r="AD140">
        <v>-1.10822139787</v>
      </c>
      <c r="AE140">
        <v>-3.2374999999999501</v>
      </c>
      <c r="AF140">
        <v>12.282118460625</v>
      </c>
      <c r="AG140">
        <v>-1.10822139787</v>
      </c>
      <c r="AH140">
        <v>141.121969738617</v>
      </c>
      <c r="AI140">
        <v>90.448236354888294</v>
      </c>
      <c r="AJ140">
        <v>85.025970718593697</v>
      </c>
      <c r="AK140">
        <v>141.659764687983</v>
      </c>
      <c r="AL140">
        <v>91.691306475732901</v>
      </c>
      <c r="AM140">
        <v>90.868953991654706</v>
      </c>
      <c r="AN140">
        <v>1.00000000322425</v>
      </c>
    </row>
    <row r="141" spans="1:40" x14ac:dyDescent="0.25">
      <c r="A141" t="str">
        <f>"20190312151503828"</f>
        <v>20190312151503828</v>
      </c>
      <c r="B141" t="str">
        <f>"1552374903818411"</f>
        <v>1552374903818411</v>
      </c>
      <c r="C141" t="s">
        <v>40</v>
      </c>
      <c r="D141">
        <v>4.380109</v>
      </c>
      <c r="E141">
        <v>0.5385529</v>
      </c>
      <c r="F141" t="s">
        <v>43</v>
      </c>
      <c r="G141">
        <v>-353.32150000000001</v>
      </c>
      <c r="H141" s="1">
        <v>-3.6166229999999998E-6</v>
      </c>
      <c r="I141">
        <v>365.27980000000002</v>
      </c>
      <c r="J141">
        <v>-463.1961</v>
      </c>
      <c r="K141">
        <v>1.108215</v>
      </c>
      <c r="L141">
        <v>367.8383</v>
      </c>
      <c r="M141">
        <v>0.99796609999999997</v>
      </c>
      <c r="N141">
        <v>0</v>
      </c>
      <c r="O141">
        <v>6.368878E-2</v>
      </c>
      <c r="P141">
        <v>0.9963822</v>
      </c>
      <c r="Q141">
        <v>-3.1981339999999997E-2</v>
      </c>
      <c r="R141">
        <v>7.8738069999999993E-2</v>
      </c>
      <c r="S141">
        <v>3.0155029999999998</v>
      </c>
      <c r="T141">
        <v>-3.0354860000000001E-2</v>
      </c>
      <c r="U141">
        <v>-6.9702150000000004E-2</v>
      </c>
      <c r="V141">
        <v>-1.5132369999999999E-2</v>
      </c>
      <c r="W141">
        <v>-2.9198519999999999E-2</v>
      </c>
      <c r="X141">
        <v>0.99945910000000004</v>
      </c>
      <c r="Y141">
        <v>8.6725910000000003E-2</v>
      </c>
      <c r="Z141">
        <v>-1.077235E-3</v>
      </c>
      <c r="AA141">
        <v>0.99623159999999999</v>
      </c>
      <c r="AB141">
        <v>22</v>
      </c>
      <c r="AC141">
        <v>109.8746</v>
      </c>
      <c r="AD141">
        <v>-1.1082186166229999</v>
      </c>
      <c r="AE141">
        <v>-2.55849999999998</v>
      </c>
      <c r="AF141">
        <v>9.5501398198300294</v>
      </c>
      <c r="AG141">
        <v>-1.1082186166229999</v>
      </c>
      <c r="AH141">
        <v>109.47745226483001</v>
      </c>
      <c r="AI141">
        <v>90.577779981670304</v>
      </c>
      <c r="AJ141">
        <v>85.014489069823099</v>
      </c>
      <c r="AK141">
        <v>109.898798325908</v>
      </c>
      <c r="AL141">
        <v>91.673189739709102</v>
      </c>
      <c r="AM141">
        <v>90.8674238827587</v>
      </c>
      <c r="AN141">
        <v>1.0000000173824</v>
      </c>
    </row>
    <row r="142" spans="1:40" x14ac:dyDescent="0.25">
      <c r="A142" t="str">
        <f>"20190312151503849"</f>
        <v>20190312151503849</v>
      </c>
      <c r="B142" t="str">
        <f>"1552374903837930"</f>
        <v>1552374903837930</v>
      </c>
      <c r="C142" t="s">
        <v>40</v>
      </c>
      <c r="D142">
        <v>4.3714230000000001</v>
      </c>
      <c r="E142">
        <v>0.53855039999999998</v>
      </c>
      <c r="F142" t="s">
        <v>43</v>
      </c>
      <c r="G142">
        <v>-365.6216</v>
      </c>
      <c r="H142" s="1">
        <v>-2.5793119999999999E-6</v>
      </c>
      <c r="I142">
        <v>365.56490000000002</v>
      </c>
      <c r="J142">
        <v>-462.97500000000002</v>
      </c>
      <c r="K142">
        <v>1.1082080000000001</v>
      </c>
      <c r="L142">
        <v>367.85210000000001</v>
      </c>
      <c r="M142">
        <v>0.99798229999999999</v>
      </c>
      <c r="N142">
        <v>0</v>
      </c>
      <c r="O142">
        <v>6.3424629999999996E-2</v>
      </c>
      <c r="P142">
        <v>0.99641009999999997</v>
      </c>
      <c r="Q142">
        <v>-3.1834889999999998E-2</v>
      </c>
      <c r="R142">
        <v>7.8443499999999999E-2</v>
      </c>
      <c r="S142">
        <v>3.01532</v>
      </c>
      <c r="T142">
        <v>-3.424692E-2</v>
      </c>
      <c r="U142">
        <v>-7.0251460000000002E-2</v>
      </c>
      <c r="V142">
        <v>-1.510295E-2</v>
      </c>
      <c r="W142">
        <v>-2.890773E-2</v>
      </c>
      <c r="X142">
        <v>0.99946800000000002</v>
      </c>
      <c r="Y142">
        <v>8.6642999999999998E-2</v>
      </c>
      <c r="Z142">
        <v>-1.2119539999999999E-3</v>
      </c>
      <c r="AA142">
        <v>0.99623870000000003</v>
      </c>
      <c r="AB142">
        <v>22</v>
      </c>
      <c r="AC142">
        <v>97.353399999999993</v>
      </c>
      <c r="AD142">
        <v>-1.1082105793120001</v>
      </c>
      <c r="AE142">
        <v>-2.2871999999999799</v>
      </c>
      <c r="AF142">
        <v>8.4561298962287399</v>
      </c>
      <c r="AG142">
        <v>-1.1082105793120001</v>
      </c>
      <c r="AH142">
        <v>96.999762155813897</v>
      </c>
      <c r="AI142">
        <v>90.652095896056494</v>
      </c>
      <c r="AJ142">
        <v>85.017732608126906</v>
      </c>
      <c r="AK142">
        <v>97.373960183379893</v>
      </c>
      <c r="AL142">
        <v>91.656521660612498</v>
      </c>
      <c r="AM142">
        <v>90.865730006455095</v>
      </c>
      <c r="AN142">
        <v>1.0000000194882199</v>
      </c>
    </row>
    <row r="143" spans="1:40" x14ac:dyDescent="0.25">
      <c r="A143" t="str">
        <f>"20190312151503870"</f>
        <v>20190312151503870</v>
      </c>
      <c r="B143" t="str">
        <f>"1552374903868186"</f>
        <v>1552374903868186</v>
      </c>
      <c r="C143" t="s">
        <v>40</v>
      </c>
      <c r="D143">
        <v>4.4719230000000003</v>
      </c>
      <c r="E143">
        <v>0.53843419999999997</v>
      </c>
      <c r="F143" t="s">
        <v>43</v>
      </c>
      <c r="G143">
        <v>-370.59390000000002</v>
      </c>
      <c r="H143" s="1">
        <v>-4.7162349999999997E-6</v>
      </c>
      <c r="I143">
        <v>365.67720000000003</v>
      </c>
      <c r="J143">
        <v>-462.7645</v>
      </c>
      <c r="K143">
        <v>1.108198</v>
      </c>
      <c r="L143">
        <v>367.86520000000002</v>
      </c>
      <c r="M143">
        <v>0.99800009999999995</v>
      </c>
      <c r="N143">
        <v>0</v>
      </c>
      <c r="O143">
        <v>6.3138070000000004E-2</v>
      </c>
      <c r="P143">
        <v>0.99641069999999998</v>
      </c>
      <c r="Q143">
        <v>-3.163672E-2</v>
      </c>
      <c r="R143">
        <v>7.8516749999999996E-2</v>
      </c>
      <c r="S143">
        <v>3.0152589999999999</v>
      </c>
      <c r="T143">
        <v>-3.617132E-2</v>
      </c>
      <c r="U143">
        <v>-7.0983889999999994E-2</v>
      </c>
      <c r="V143">
        <v>-1.546435E-2</v>
      </c>
      <c r="W143">
        <v>-2.8575570000000002E-2</v>
      </c>
      <c r="X143">
        <v>0.99947200000000003</v>
      </c>
      <c r="Y143">
        <v>8.65982E-2</v>
      </c>
      <c r="Z143">
        <v>-1.2763729999999999E-3</v>
      </c>
      <c r="AA143">
        <v>0.99624250000000003</v>
      </c>
      <c r="AB143">
        <v>22</v>
      </c>
      <c r="AC143">
        <v>92.170599999999894</v>
      </c>
      <c r="AD143">
        <v>-1.1082027162350001</v>
      </c>
      <c r="AE143">
        <v>-2.1879999999999802</v>
      </c>
      <c r="AF143">
        <v>8.0019794372435307</v>
      </c>
      <c r="AG143">
        <v>-1.1082027162350001</v>
      </c>
      <c r="AH143">
        <v>91.835284499682999</v>
      </c>
      <c r="AI143">
        <v>90.688761586472495</v>
      </c>
      <c r="AJ143">
        <v>85.020164657914805</v>
      </c>
      <c r="AK143">
        <v>92.189908706495899</v>
      </c>
      <c r="AL143">
        <v>91.637482470821993</v>
      </c>
      <c r="AM143">
        <v>90.886439332221201</v>
      </c>
      <c r="AN143">
        <v>0.99999999405287299</v>
      </c>
    </row>
    <row r="144" spans="1:40" x14ac:dyDescent="0.25">
      <c r="A144" t="str">
        <f>"20190312151503893"</f>
        <v>20190312151503893</v>
      </c>
      <c r="B144" t="str">
        <f>"1552374903887706"</f>
        <v>1552374903887706</v>
      </c>
      <c r="C144" t="s">
        <v>40</v>
      </c>
      <c r="D144">
        <v>4.4813070000000002</v>
      </c>
      <c r="E144">
        <v>0.53848399999999996</v>
      </c>
      <c r="F144" t="s">
        <v>43</v>
      </c>
      <c r="G144">
        <v>-382.92090000000002</v>
      </c>
      <c r="H144" s="1">
        <v>-3.657432E-6</v>
      </c>
      <c r="I144">
        <v>366.01839999999999</v>
      </c>
      <c r="J144">
        <v>-462.52640000000002</v>
      </c>
      <c r="K144">
        <v>1.108188</v>
      </c>
      <c r="L144">
        <v>367.87990000000002</v>
      </c>
      <c r="M144">
        <v>0.99802270000000004</v>
      </c>
      <c r="N144">
        <v>0</v>
      </c>
      <c r="O144">
        <v>6.2774070000000001E-2</v>
      </c>
      <c r="P144">
        <v>0.99640799999999996</v>
      </c>
      <c r="Q144">
        <v>-3.1569519999999997E-2</v>
      </c>
      <c r="R144">
        <v>7.8579650000000001E-2</v>
      </c>
      <c r="S144">
        <v>3.0149840000000001</v>
      </c>
      <c r="T144">
        <v>-4.1846870000000001E-2</v>
      </c>
      <c r="U144">
        <v>-6.9732669999999997E-2</v>
      </c>
      <c r="V144">
        <v>-1.5893850000000001E-2</v>
      </c>
      <c r="W144">
        <v>-2.8361870000000001E-2</v>
      </c>
      <c r="X144">
        <v>0.99947140000000001</v>
      </c>
      <c r="Y144">
        <v>8.5820209999999994E-2</v>
      </c>
      <c r="Z144">
        <v>-1.4663229999999901E-3</v>
      </c>
      <c r="AA144">
        <v>0.99630960000000002</v>
      </c>
      <c r="AB144">
        <v>22</v>
      </c>
      <c r="AC144">
        <v>79.605500000000006</v>
      </c>
      <c r="AD144">
        <v>-1.1081916574320001</v>
      </c>
      <c r="AE144">
        <v>-1.8615000000000299</v>
      </c>
      <c r="AF144">
        <v>6.8536876376798403</v>
      </c>
      <c r="AG144">
        <v>-1.1081916574320001</v>
      </c>
      <c r="AH144">
        <v>79.316280259386403</v>
      </c>
      <c r="AI144">
        <v>90.797502016372306</v>
      </c>
      <c r="AJ144">
        <v>85.061362171157896</v>
      </c>
      <c r="AK144">
        <v>79.619554364301806</v>
      </c>
      <c r="AL144">
        <v>91.625233315434699</v>
      </c>
      <c r="AM144">
        <v>90.911055358423795</v>
      </c>
      <c r="AN144">
        <v>1.0000000447778301</v>
      </c>
    </row>
    <row r="145" spans="1:40" x14ac:dyDescent="0.25">
      <c r="A145" t="str">
        <f>"20190312151503916"</f>
        <v>20190312151503916</v>
      </c>
      <c r="B145" t="str">
        <f>"1552374903908202"</f>
        <v>1552374903908202</v>
      </c>
      <c r="C145" t="s">
        <v>40</v>
      </c>
      <c r="D145">
        <v>4.4079230000000003</v>
      </c>
      <c r="E145">
        <v>0.53847279999999997</v>
      </c>
      <c r="F145" t="s">
        <v>43</v>
      </c>
      <c r="G145">
        <v>-390.21949999999998</v>
      </c>
      <c r="H145" s="1">
        <v>-4.7844460000000003E-6</v>
      </c>
      <c r="I145">
        <v>366.1979</v>
      </c>
      <c r="J145">
        <v>-462.29259999999999</v>
      </c>
      <c r="K145">
        <v>1.1081700000000001</v>
      </c>
      <c r="L145">
        <v>367.89420000000001</v>
      </c>
      <c r="M145">
        <v>0.99804749999999998</v>
      </c>
      <c r="N145">
        <v>0</v>
      </c>
      <c r="O145">
        <v>6.2372169999999998E-2</v>
      </c>
      <c r="P145">
        <v>0.99642260000000005</v>
      </c>
      <c r="Q145">
        <v>-3.1999840000000002E-2</v>
      </c>
      <c r="R145">
        <v>7.8221890000000002E-2</v>
      </c>
      <c r="S145">
        <v>3.0148619999999999</v>
      </c>
      <c r="T145">
        <v>-4.6206469999999999E-2</v>
      </c>
      <c r="U145">
        <v>-7.012939E-2</v>
      </c>
      <c r="V145">
        <v>-1.594042E-2</v>
      </c>
      <c r="W145">
        <v>-2.8657220000000001E-2</v>
      </c>
      <c r="X145">
        <v>0.99946219999999997</v>
      </c>
      <c r="Y145">
        <v>8.5547949999999998E-2</v>
      </c>
      <c r="Z145">
        <v>-1.610895E-3</v>
      </c>
      <c r="AA145">
        <v>0.99633280000000002</v>
      </c>
      <c r="AB145">
        <v>23</v>
      </c>
      <c r="AC145">
        <v>72.073099999999997</v>
      </c>
      <c r="AD145">
        <v>-1.1081747844459999</v>
      </c>
      <c r="AE145">
        <v>-1.6962999999999999</v>
      </c>
      <c r="AF145">
        <v>6.1869154937640198</v>
      </c>
      <c r="AG145">
        <v>-1.1081747844459999</v>
      </c>
      <c r="AH145">
        <v>71.809999453351494</v>
      </c>
      <c r="AI145">
        <v>90.880857847080307</v>
      </c>
      <c r="AJ145">
        <v>85.075742591318402</v>
      </c>
      <c r="AK145">
        <v>72.084547554730506</v>
      </c>
      <c r="AL145">
        <v>91.642162559681097</v>
      </c>
      <c r="AM145">
        <v>90.913732766507096</v>
      </c>
      <c r="AN145">
        <v>1.00000001123837</v>
      </c>
    </row>
    <row r="146" spans="1:40" x14ac:dyDescent="0.25">
      <c r="A146" t="str">
        <f>"20190312151503938"</f>
        <v>20190312151503938</v>
      </c>
      <c r="B146" t="str">
        <f>"1552374903927723"</f>
        <v>1552374903927723</v>
      </c>
      <c r="C146" t="s">
        <v>40</v>
      </c>
      <c r="D146">
        <v>4.6982929999999996</v>
      </c>
      <c r="E146">
        <v>0.52894770000000002</v>
      </c>
      <c r="F146" t="s">
        <v>43</v>
      </c>
      <c r="G146">
        <v>-396.31380000000001</v>
      </c>
      <c r="H146" s="1">
        <v>-2.1448499999999999E-6</v>
      </c>
      <c r="I146">
        <v>366.3399</v>
      </c>
      <c r="J146">
        <v>-462.06990000000002</v>
      </c>
      <c r="K146">
        <v>1.108155</v>
      </c>
      <c r="L146">
        <v>367.9076</v>
      </c>
      <c r="M146">
        <v>0.99807279999999998</v>
      </c>
      <c r="N146">
        <v>0</v>
      </c>
      <c r="O146">
        <v>6.1959710000000001E-2</v>
      </c>
      <c r="P146">
        <v>0.99646060000000003</v>
      </c>
      <c r="Q146">
        <v>-3.2585219999999998E-2</v>
      </c>
      <c r="R146">
        <v>7.7490779999999995E-2</v>
      </c>
      <c r="S146">
        <v>3.0147089999999999</v>
      </c>
      <c r="T146">
        <v>-5.0634619999999998E-2</v>
      </c>
      <c r="U146">
        <v>-7.1014399999999894E-2</v>
      </c>
      <c r="V146">
        <v>-1.5622810000000001E-2</v>
      </c>
      <c r="W146">
        <v>-2.912315E-2</v>
      </c>
      <c r="X146">
        <v>0.9994537</v>
      </c>
      <c r="Y146">
        <v>8.542632E-2</v>
      </c>
      <c r="Z146">
        <v>-1.7573980000000001E-3</v>
      </c>
      <c r="AA146">
        <v>0.99634299999999998</v>
      </c>
      <c r="AB146">
        <v>23</v>
      </c>
      <c r="AC146">
        <v>65.756100000000004</v>
      </c>
      <c r="AD146">
        <v>-1.1081571448500001</v>
      </c>
      <c r="AE146">
        <v>-1.5677000000000001</v>
      </c>
      <c r="AF146">
        <v>5.6373404070881197</v>
      </c>
      <c r="AG146">
        <v>-1.1081571448500001</v>
      </c>
      <c r="AH146">
        <v>65.514027386699695</v>
      </c>
      <c r="AI146">
        <v>90.965487579076793</v>
      </c>
      <c r="AJ146">
        <v>85.081936338563906</v>
      </c>
      <c r="AK146">
        <v>65.765457525575798</v>
      </c>
      <c r="AL146">
        <v>91.668869608326403</v>
      </c>
      <c r="AM146">
        <v>90.895537415556305</v>
      </c>
      <c r="AN146">
        <v>0.99999996425095306</v>
      </c>
    </row>
    <row r="147" spans="1:40" x14ac:dyDescent="0.25">
      <c r="A147" t="str">
        <f>"20190312151503959"</f>
        <v>20190312151503959</v>
      </c>
      <c r="B147" t="str">
        <f>"1552374903957978"</f>
        <v>1552374903957978</v>
      </c>
      <c r="C147" t="s">
        <v>40</v>
      </c>
      <c r="D147">
        <v>4.4896379999999896</v>
      </c>
      <c r="E147">
        <v>0.52680380000000004</v>
      </c>
      <c r="F147" t="s">
        <v>41</v>
      </c>
      <c r="G147">
        <v>-461.1857</v>
      </c>
      <c r="H147">
        <v>1.046497</v>
      </c>
      <c r="I147">
        <v>367.90769999999998</v>
      </c>
      <c r="J147">
        <v>-461.8415</v>
      </c>
      <c r="K147">
        <v>1.1081449999999999</v>
      </c>
      <c r="L147">
        <v>367.92129999999997</v>
      </c>
      <c r="M147">
        <v>0.99810010000000005</v>
      </c>
      <c r="N147">
        <v>0</v>
      </c>
      <c r="O147">
        <v>6.1510599999999999E-2</v>
      </c>
      <c r="P147">
        <v>0.9965311</v>
      </c>
      <c r="Q147">
        <v>-3.2620650000000001E-2</v>
      </c>
      <c r="R147">
        <v>7.6562679999999994E-2</v>
      </c>
      <c r="S147">
        <v>3.0036619999999998</v>
      </c>
      <c r="T147">
        <v>-0.2096423</v>
      </c>
      <c r="U147">
        <v>1.739502E-3</v>
      </c>
      <c r="V147">
        <v>-1.5142930000000001E-2</v>
      </c>
      <c r="W147">
        <v>-2.9045040000000001E-2</v>
      </c>
      <c r="X147">
        <v>0.9994634</v>
      </c>
      <c r="Y147">
        <v>6.0635950000000001E-2</v>
      </c>
      <c r="Z147">
        <v>-6.3994150000000003E-3</v>
      </c>
      <c r="AA147">
        <v>0.99813940000000001</v>
      </c>
      <c r="AB147">
        <v>23</v>
      </c>
      <c r="AC147">
        <v>0.65579999999999905</v>
      </c>
      <c r="AD147">
        <v>-6.1648000000000099E-2</v>
      </c>
      <c r="AE147">
        <v>-1.35999999999967E-2</v>
      </c>
      <c r="AF147">
        <v>5.3441107960432999E-2</v>
      </c>
      <c r="AG147">
        <v>-6.1648000000000099E-2</v>
      </c>
      <c r="AH147">
        <v>0.64799786411984395</v>
      </c>
      <c r="AI147">
        <v>95.416263320188193</v>
      </c>
      <c r="AJ147">
        <v>85.285422430489604</v>
      </c>
      <c r="AK147">
        <v>0.653113818432835</v>
      </c>
      <c r="AL147">
        <v>91.664392272445696</v>
      </c>
      <c r="AM147">
        <v>90.868025380839597</v>
      </c>
      <c r="AN147">
        <v>1.00000000530857</v>
      </c>
    </row>
    <row r="148" spans="1:40" x14ac:dyDescent="0.25">
      <c r="A148" t="str">
        <f>"20190312151503983"</f>
        <v>20190312151503983</v>
      </c>
      <c r="B148" t="str">
        <f>"1552374903977498"</f>
        <v>1552374903977498</v>
      </c>
      <c r="C148" t="s">
        <v>40</v>
      </c>
      <c r="D148">
        <v>4.5393150000000002</v>
      </c>
      <c r="E148">
        <v>0.52643019999999996</v>
      </c>
      <c r="F148" t="s">
        <v>41</v>
      </c>
      <c r="G148">
        <v>-460.98079999999999</v>
      </c>
      <c r="H148">
        <v>1.0418810000000001</v>
      </c>
      <c r="I148">
        <v>367.92559999999997</v>
      </c>
      <c r="J148">
        <v>-461.61189999999999</v>
      </c>
      <c r="K148">
        <v>1.108144</v>
      </c>
      <c r="L148">
        <v>367.93490000000003</v>
      </c>
      <c r="M148">
        <v>0.99812880000000004</v>
      </c>
      <c r="N148">
        <v>0</v>
      </c>
      <c r="O148">
        <v>6.1036300000000002E-2</v>
      </c>
      <c r="P148">
        <v>0.99660649999999995</v>
      </c>
      <c r="Q148">
        <v>-3.2503200000000003E-2</v>
      </c>
      <c r="R148">
        <v>7.5624070000000002E-2</v>
      </c>
      <c r="S148">
        <v>3.0016479999999999</v>
      </c>
      <c r="T148">
        <v>-0.2311743</v>
      </c>
      <c r="U148">
        <v>1.5838620000000001E-2</v>
      </c>
      <c r="V148">
        <v>-1.467692E-2</v>
      </c>
      <c r="W148">
        <v>-2.881947E-2</v>
      </c>
      <c r="X148">
        <v>0.9994769</v>
      </c>
      <c r="Y148">
        <v>5.5424460000000002E-2</v>
      </c>
      <c r="Z148">
        <v>-6.8225380000000004E-3</v>
      </c>
      <c r="AA148">
        <v>0.99843959999999998</v>
      </c>
      <c r="AB148">
        <v>23</v>
      </c>
      <c r="AC148">
        <v>0.63110000000000299</v>
      </c>
      <c r="AD148">
        <v>-6.6262999999999905E-2</v>
      </c>
      <c r="AE148">
        <v>-9.3000000000529204E-3</v>
      </c>
      <c r="AF148">
        <v>4.7281799352602599E-2</v>
      </c>
      <c r="AG148">
        <v>-6.6262999999999905E-2</v>
      </c>
      <c r="AH148">
        <v>0.62249469017457704</v>
      </c>
      <c r="AI148">
        <v>96.058789761463004</v>
      </c>
      <c r="AJ148">
        <v>85.656419467156994</v>
      </c>
      <c r="AK148">
        <v>0.62779454681811497</v>
      </c>
      <c r="AL148">
        <v>91.651462620400096</v>
      </c>
      <c r="AM148">
        <v>90.841305221796503</v>
      </c>
      <c r="AN148">
        <v>1.00000002373268</v>
      </c>
    </row>
    <row r="149" spans="1:40" x14ac:dyDescent="0.25">
      <c r="A149" t="str">
        <f>"20190312151504005"</f>
        <v>20190312151504005</v>
      </c>
      <c r="B149" t="str">
        <f>"1552374903997994"</f>
        <v>1552374903997994</v>
      </c>
      <c r="C149" t="s">
        <v>40</v>
      </c>
      <c r="D149">
        <v>4.418698</v>
      </c>
      <c r="E149">
        <v>0.52630080000000001</v>
      </c>
      <c r="F149" t="s">
        <v>41</v>
      </c>
      <c r="G149">
        <v>-460.77409999999998</v>
      </c>
      <c r="H149">
        <v>1.0379700000000001</v>
      </c>
      <c r="I149">
        <v>367.93920000000003</v>
      </c>
      <c r="J149">
        <v>-461.3664</v>
      </c>
      <c r="K149">
        <v>1.1081449999999999</v>
      </c>
      <c r="L149">
        <v>367.94940000000003</v>
      </c>
      <c r="M149">
        <v>0.99816050000000001</v>
      </c>
      <c r="N149">
        <v>0</v>
      </c>
      <c r="O149">
        <v>6.0509849999999997E-2</v>
      </c>
      <c r="P149">
        <v>0.99669660000000004</v>
      </c>
      <c r="Q149">
        <v>-3.257231E-2</v>
      </c>
      <c r="R149">
        <v>7.4399690000000004E-2</v>
      </c>
      <c r="S149">
        <v>3.0007929999999998</v>
      </c>
      <c r="T149">
        <v>-0.2514132</v>
      </c>
      <c r="U149">
        <v>1.6113280000000001E-2</v>
      </c>
      <c r="V149">
        <v>-1.397731E-2</v>
      </c>
      <c r="W149">
        <v>-2.877917E-2</v>
      </c>
      <c r="X149">
        <v>0.99948809999999999</v>
      </c>
      <c r="Y149">
        <v>5.4746070000000001E-2</v>
      </c>
      <c r="Z149">
        <v>-7.3476030000000003E-3</v>
      </c>
      <c r="AA149">
        <v>0.99847330000000001</v>
      </c>
      <c r="AB149">
        <v>23</v>
      </c>
      <c r="AC149">
        <v>0.59230000000002203</v>
      </c>
      <c r="AD149">
        <v>-7.0175000000000098E-2</v>
      </c>
      <c r="AE149">
        <v>-1.0199999999997499E-2</v>
      </c>
      <c r="AF149">
        <v>4.5384661420109898E-2</v>
      </c>
      <c r="AG149">
        <v>-7.0175000000000098E-2</v>
      </c>
      <c r="AH149">
        <v>0.58242425077331195</v>
      </c>
      <c r="AI149">
        <v>96.849755766664202</v>
      </c>
      <c r="AJ149">
        <v>85.544303925949805</v>
      </c>
      <c r="AK149">
        <v>0.58838958692865295</v>
      </c>
      <c r="AL149">
        <v>91.6491526255693</v>
      </c>
      <c r="AM149">
        <v>90.801198806160997</v>
      </c>
      <c r="AN149">
        <v>1.0000000339311601</v>
      </c>
    </row>
    <row r="150" spans="1:40" x14ac:dyDescent="0.25">
      <c r="A150" t="str">
        <f>"20190312151504028"</f>
        <v>20190312151504028</v>
      </c>
      <c r="B150" t="str">
        <f>"1552374904017514"</f>
        <v>1552374904017514</v>
      </c>
      <c r="C150" t="s">
        <v>40</v>
      </c>
      <c r="D150">
        <v>4.5348169999999897</v>
      </c>
      <c r="E150">
        <v>0.52619579999999999</v>
      </c>
      <c r="F150" t="s">
        <v>41</v>
      </c>
      <c r="G150">
        <v>-460.56349999999998</v>
      </c>
      <c r="H150">
        <v>1.039779</v>
      </c>
      <c r="I150">
        <v>367.95269999999999</v>
      </c>
      <c r="J150">
        <v>-461.13249999999999</v>
      </c>
      <c r="K150">
        <v>1.108142</v>
      </c>
      <c r="L150">
        <v>367.96300000000002</v>
      </c>
      <c r="M150">
        <v>0.9981911</v>
      </c>
      <c r="N150">
        <v>0</v>
      </c>
      <c r="O150">
        <v>5.9996250000000001E-2</v>
      </c>
      <c r="P150">
        <v>0.99678719999999998</v>
      </c>
      <c r="Q150">
        <v>-3.3006189999999998E-2</v>
      </c>
      <c r="R150">
        <v>7.297853E-2</v>
      </c>
      <c r="S150">
        <v>3.0005799999999998</v>
      </c>
      <c r="T150">
        <v>-0.25567699999999999</v>
      </c>
      <c r="U150">
        <v>1.33667E-2</v>
      </c>
      <c r="V150">
        <v>-1.306831E-2</v>
      </c>
      <c r="W150">
        <v>-2.9115499999999999E-2</v>
      </c>
      <c r="X150">
        <v>0.99949060000000001</v>
      </c>
      <c r="Y150">
        <v>5.5132510000000003E-2</v>
      </c>
      <c r="Z150">
        <v>-7.4451639999999998E-3</v>
      </c>
      <c r="AA150">
        <v>0.99845130000000004</v>
      </c>
      <c r="AB150">
        <v>23</v>
      </c>
      <c r="AC150">
        <v>0.56900000000001605</v>
      </c>
      <c r="AD150">
        <v>-6.8362999999999896E-2</v>
      </c>
      <c r="AE150">
        <v>-1.0300000000029201E-2</v>
      </c>
      <c r="AF150">
        <v>4.3787697556776597E-2</v>
      </c>
      <c r="AG150">
        <v>-6.8362999999999896E-2</v>
      </c>
      <c r="AH150">
        <v>0.55928635272045601</v>
      </c>
      <c r="AI150">
        <v>96.947787592161006</v>
      </c>
      <c r="AJ150">
        <v>85.523325578650002</v>
      </c>
      <c r="AK150">
        <v>0.56514784487395298</v>
      </c>
      <c r="AL150">
        <v>91.668431089577794</v>
      </c>
      <c r="AM150">
        <v>90.749097935237998</v>
      </c>
      <c r="AN150">
        <v>0.99999997627743198</v>
      </c>
    </row>
    <row r="151" spans="1:40" x14ac:dyDescent="0.25">
      <c r="A151" t="str">
        <f>"20190312151504048"</f>
        <v>20190312151504048</v>
      </c>
      <c r="B151" t="str">
        <f>"1552374904038011"</f>
        <v>1552374904038011</v>
      </c>
      <c r="C151" t="s">
        <v>40</v>
      </c>
      <c r="D151">
        <v>4.639507</v>
      </c>
      <c r="E151">
        <v>0.52605669999999904</v>
      </c>
      <c r="F151" t="s">
        <v>41</v>
      </c>
      <c r="G151">
        <v>-460.3528</v>
      </c>
      <c r="H151">
        <v>1.0397670000000001</v>
      </c>
      <c r="I151">
        <v>367.96550000000002</v>
      </c>
      <c r="J151">
        <v>-460.91759999999999</v>
      </c>
      <c r="K151">
        <v>1.108152</v>
      </c>
      <c r="L151">
        <v>367.97539999999998</v>
      </c>
      <c r="M151">
        <v>0.99821930000000003</v>
      </c>
      <c r="N151">
        <v>0</v>
      </c>
      <c r="O151">
        <v>5.9519000000000002E-2</v>
      </c>
      <c r="P151">
        <v>0.99683739999999998</v>
      </c>
      <c r="Q151">
        <v>-3.2958910000000001E-2</v>
      </c>
      <c r="R151">
        <v>7.2311730000000005E-2</v>
      </c>
      <c r="S151">
        <v>3.0002140000000002</v>
      </c>
      <c r="T151">
        <v>-0.26323649999999998</v>
      </c>
      <c r="U151">
        <v>1.010132E-2</v>
      </c>
      <c r="V151">
        <v>-1.287772E-2</v>
      </c>
      <c r="W151">
        <v>-2.8984650000000001E-2</v>
      </c>
      <c r="X151">
        <v>0.99949690000000002</v>
      </c>
      <c r="Y151">
        <v>5.5715790000000001E-2</v>
      </c>
      <c r="Z151">
        <v>-7.6492599999999997E-3</v>
      </c>
      <c r="AA151">
        <v>0.99841740000000001</v>
      </c>
      <c r="AB151">
        <v>23</v>
      </c>
      <c r="AC151">
        <v>0.56479999999999098</v>
      </c>
      <c r="AD151">
        <v>-6.8384999999999904E-2</v>
      </c>
      <c r="AE151">
        <v>-9.8999999999591602E-3</v>
      </c>
      <c r="AF151">
        <v>4.2870754283121801E-2</v>
      </c>
      <c r="AG151">
        <v>-6.8384999999999904E-2</v>
      </c>
      <c r="AH151">
        <v>0.55507458550107802</v>
      </c>
      <c r="AI151">
        <v>97.002781799092105</v>
      </c>
      <c r="AJ151">
        <v>85.583572580628001</v>
      </c>
      <c r="AK151">
        <v>0.56091194074203599</v>
      </c>
      <c r="AL151">
        <v>91.660930732844704</v>
      </c>
      <c r="AM151">
        <v>90.738169555173997</v>
      </c>
      <c r="AN151">
        <v>0.99999999935881501</v>
      </c>
    </row>
    <row r="152" spans="1:40" x14ac:dyDescent="0.25">
      <c r="A152" t="str">
        <f>"20190312151504072"</f>
        <v>20190312151504072</v>
      </c>
      <c r="B152" t="str">
        <f>"1552374904067290"</f>
        <v>1552374904067290</v>
      </c>
      <c r="C152" t="s">
        <v>40</v>
      </c>
      <c r="D152">
        <v>4.5423669999999996</v>
      </c>
      <c r="E152">
        <v>0.52578559999999996</v>
      </c>
      <c r="F152" t="s">
        <v>41</v>
      </c>
      <c r="G152">
        <v>-460.14080000000001</v>
      </c>
      <c r="H152">
        <v>1.039865</v>
      </c>
      <c r="I152">
        <v>367.97710000000001</v>
      </c>
      <c r="J152">
        <v>-460.66930000000002</v>
      </c>
      <c r="K152">
        <v>1.108155</v>
      </c>
      <c r="L152">
        <v>367.9896</v>
      </c>
      <c r="M152">
        <v>0.99825189999999997</v>
      </c>
      <c r="N152">
        <v>0</v>
      </c>
      <c r="O152">
        <v>5.896527E-2</v>
      </c>
      <c r="P152">
        <v>0.99690259999999997</v>
      </c>
      <c r="Q152">
        <v>-3.2418099999999998E-2</v>
      </c>
      <c r="R152">
        <v>7.1655499999999997E-2</v>
      </c>
      <c r="S152">
        <v>3.000092</v>
      </c>
      <c r="T152">
        <v>-0.26403579999999999</v>
      </c>
      <c r="U152">
        <v>9.1247559999999995E-3</v>
      </c>
      <c r="V152">
        <v>-1.2773100000000001E-2</v>
      </c>
      <c r="W152">
        <v>-2.83542E-2</v>
      </c>
      <c r="X152">
        <v>0.99951630000000002</v>
      </c>
      <c r="Y152">
        <v>5.5487109999999999E-2</v>
      </c>
      <c r="Z152">
        <v>-7.614109E-3</v>
      </c>
      <c r="AA152">
        <v>0.99843040000000005</v>
      </c>
      <c r="AB152">
        <v>24</v>
      </c>
      <c r="AC152">
        <v>0.52850000000000796</v>
      </c>
      <c r="AD152">
        <v>-6.8289999999999906E-2</v>
      </c>
      <c r="AE152">
        <v>-1.24999999999886E-2</v>
      </c>
      <c r="AF152">
        <v>4.2925347953267398E-2</v>
      </c>
      <c r="AG152">
        <v>-6.8289999999999906E-2</v>
      </c>
      <c r="AH152">
        <v>0.51819614090635402</v>
      </c>
      <c r="AI152">
        <v>97.482075739376299</v>
      </c>
      <c r="AJ152">
        <v>85.264652297797298</v>
      </c>
      <c r="AK152">
        <v>0.52443622114337896</v>
      </c>
      <c r="AL152">
        <v>91.624793796098302</v>
      </c>
      <c r="AM152">
        <v>90.732159031330397</v>
      </c>
      <c r="AN152">
        <v>0.99999997335346902</v>
      </c>
    </row>
    <row r="153" spans="1:40" x14ac:dyDescent="0.25">
      <c r="A153" t="str">
        <f>"20190312151504094"</f>
        <v>20190312151504094</v>
      </c>
      <c r="B153" t="str">
        <f>"1552374904087787"</f>
        <v>1552374904087787</v>
      </c>
      <c r="C153" t="s">
        <v>40</v>
      </c>
      <c r="D153">
        <v>4.7107599999999996</v>
      </c>
      <c r="E153">
        <v>0.525528</v>
      </c>
      <c r="F153" t="s">
        <v>41</v>
      </c>
      <c r="G153">
        <v>-459.92599999999999</v>
      </c>
      <c r="H153">
        <v>1.044009</v>
      </c>
      <c r="I153">
        <v>367.99169999999998</v>
      </c>
      <c r="J153">
        <v>-460.42989999999998</v>
      </c>
      <c r="K153">
        <v>1.108161</v>
      </c>
      <c r="L153">
        <v>368.00319999999999</v>
      </c>
      <c r="M153">
        <v>0.99828280000000003</v>
      </c>
      <c r="N153">
        <v>0</v>
      </c>
      <c r="O153">
        <v>5.843201E-2</v>
      </c>
      <c r="P153">
        <v>0.99692000000000003</v>
      </c>
      <c r="Q153">
        <v>-3.2645550000000002E-2</v>
      </c>
      <c r="R153">
        <v>7.1308430000000006E-2</v>
      </c>
      <c r="S153">
        <v>3.0002439999999999</v>
      </c>
      <c r="T153">
        <v>-0.25908140000000002</v>
      </c>
      <c r="U153">
        <v>9.0026859999999993E-3</v>
      </c>
      <c r="V153">
        <v>-1.2959399999999999E-2</v>
      </c>
      <c r="W153">
        <v>-2.8502360000000001E-2</v>
      </c>
      <c r="X153">
        <v>0.99950969999999995</v>
      </c>
      <c r="Y153">
        <v>5.5014750000000001E-2</v>
      </c>
      <c r="Z153">
        <v>-7.4051369999999896E-3</v>
      </c>
      <c r="AA153">
        <v>0.99845810000000002</v>
      </c>
      <c r="AB153">
        <v>24</v>
      </c>
      <c r="AC153">
        <v>0.50389999999998702</v>
      </c>
      <c r="AD153">
        <v>-6.4151999999999904E-2</v>
      </c>
      <c r="AE153">
        <v>-1.15000000000122E-2</v>
      </c>
      <c r="AF153">
        <v>4.0272099217047802E-2</v>
      </c>
      <c r="AG153">
        <v>-6.4151999999999904E-2</v>
      </c>
      <c r="AH153">
        <v>0.49435860817138799</v>
      </c>
      <c r="AI153">
        <v>97.369704697599403</v>
      </c>
      <c r="AJ153">
        <v>85.342778945892107</v>
      </c>
      <c r="AK153">
        <v>0.50012773823544299</v>
      </c>
      <c r="AL153">
        <v>91.633286151529902</v>
      </c>
      <c r="AM153">
        <v>90.742841535925507</v>
      </c>
      <c r="AN153">
        <v>0.99999998548400904</v>
      </c>
    </row>
    <row r="154" spans="1:40" x14ac:dyDescent="0.25">
      <c r="A154" t="str">
        <f>"20190312151504116"</f>
        <v>20190312151504116</v>
      </c>
      <c r="B154" t="str">
        <f>"1552374904108283"</f>
        <v>1552374904108283</v>
      </c>
      <c r="C154" t="s">
        <v>40</v>
      </c>
      <c r="D154">
        <v>4.5858019999999904</v>
      </c>
      <c r="E154">
        <v>0.52538469999999904</v>
      </c>
      <c r="F154" t="s">
        <v>41</v>
      </c>
      <c r="G154">
        <v>-459.50349999999997</v>
      </c>
      <c r="H154">
        <v>1.029169</v>
      </c>
      <c r="I154">
        <v>368.0061</v>
      </c>
      <c r="J154">
        <v>-460.19490000000002</v>
      </c>
      <c r="K154">
        <v>1.108171</v>
      </c>
      <c r="L154">
        <v>368.0163</v>
      </c>
      <c r="M154">
        <v>0.99831309999999995</v>
      </c>
      <c r="N154">
        <v>0</v>
      </c>
      <c r="O154">
        <v>5.7909860000000001E-2</v>
      </c>
      <c r="P154">
        <v>0.99693089999999995</v>
      </c>
      <c r="Q154">
        <v>-3.2354979999999998E-2</v>
      </c>
      <c r="R154">
        <v>7.1292209999999995E-2</v>
      </c>
      <c r="S154">
        <v>3.0001530000000001</v>
      </c>
      <c r="T154">
        <v>-0.2558976</v>
      </c>
      <c r="U154">
        <v>1.0223390000000001E-2</v>
      </c>
      <c r="V154">
        <v>-1.346521E-2</v>
      </c>
      <c r="W154">
        <v>-2.8139999999999998E-2</v>
      </c>
      <c r="X154">
        <v>0.99951330000000005</v>
      </c>
      <c r="Y154">
        <v>5.4101629999999998E-2</v>
      </c>
      <c r="Z154">
        <v>-7.2314060000000001E-3</v>
      </c>
      <c r="AA154">
        <v>0.99850919999999999</v>
      </c>
      <c r="AB154">
        <v>24</v>
      </c>
      <c r="AC154">
        <v>0.69140000000004398</v>
      </c>
      <c r="AD154">
        <v>-7.9002000000000003E-2</v>
      </c>
      <c r="AE154">
        <v>-1.0199999999997499E-2</v>
      </c>
      <c r="AF154">
        <v>4.9574986783550198E-2</v>
      </c>
      <c r="AG154">
        <v>-7.9002000000000003E-2</v>
      </c>
      <c r="AH154">
        <v>0.68076274423361804</v>
      </c>
      <c r="AI154">
        <v>96.602193646524597</v>
      </c>
      <c r="AJ154">
        <v>85.834918454859306</v>
      </c>
      <c r="AK154">
        <v>0.68712219383096296</v>
      </c>
      <c r="AL154">
        <v>91.612516090916799</v>
      </c>
      <c r="AM154">
        <v>90.7718286845856</v>
      </c>
      <c r="AN154">
        <v>1.0000000041786099</v>
      </c>
    </row>
    <row r="155" spans="1:40" x14ac:dyDescent="0.25">
      <c r="A155" t="str">
        <f>"20190312151504129"</f>
        <v>20190312151504129</v>
      </c>
      <c r="B155" t="str">
        <f>"1552374904118043"</f>
        <v>1552374904118043</v>
      </c>
      <c r="C155" t="s">
        <v>40</v>
      </c>
      <c r="D155">
        <v>4.6251889999999998</v>
      </c>
      <c r="E155">
        <v>0.52529300000000001</v>
      </c>
      <c r="F155" t="s">
        <v>41</v>
      </c>
      <c r="G155">
        <v>-459.28590000000003</v>
      </c>
      <c r="H155">
        <v>1.032216</v>
      </c>
      <c r="I155">
        <v>368.01940000000002</v>
      </c>
      <c r="J155">
        <v>-460.04129999999998</v>
      </c>
      <c r="K155">
        <v>1.108176</v>
      </c>
      <c r="L155">
        <v>368.0249</v>
      </c>
      <c r="M155">
        <v>0.99833260000000001</v>
      </c>
      <c r="N155">
        <v>0</v>
      </c>
      <c r="O155">
        <v>5.7569700000000001E-2</v>
      </c>
      <c r="P155">
        <v>0.99692689999999995</v>
      </c>
      <c r="Q155">
        <v>-3.2754640000000002E-2</v>
      </c>
      <c r="R155">
        <v>7.1164149999999995E-2</v>
      </c>
      <c r="S155">
        <v>3.0002749999999998</v>
      </c>
      <c r="T155">
        <v>-0.25080429999999998</v>
      </c>
      <c r="U155">
        <v>1.1444090000000001E-2</v>
      </c>
      <c r="V155">
        <v>-1.3678589999999999E-2</v>
      </c>
      <c r="W155">
        <v>-2.849556E-2</v>
      </c>
      <c r="X155">
        <v>0.99950030000000001</v>
      </c>
      <c r="Y155">
        <v>5.3375039999999999E-2</v>
      </c>
      <c r="Z155">
        <v>-7.0290079999999998E-3</v>
      </c>
      <c r="AA155">
        <v>0.99854980000000004</v>
      </c>
      <c r="AB155">
        <v>24</v>
      </c>
      <c r="AC155">
        <v>0.755399999999951</v>
      </c>
      <c r="AD155">
        <v>-7.596E-2</v>
      </c>
      <c r="AE155">
        <v>-5.4999999999836204E-3</v>
      </c>
      <c r="AF155">
        <v>4.8489142969004903E-2</v>
      </c>
      <c r="AG155">
        <v>-7.596E-2</v>
      </c>
      <c r="AH155">
        <v>0.74628483728130002</v>
      </c>
      <c r="AI155">
        <v>95.799644297043201</v>
      </c>
      <c r="AJ155">
        <v>86.282487009391005</v>
      </c>
      <c r="AK155">
        <v>0.75170617726731803</v>
      </c>
      <c r="AL155">
        <v>91.632896398652605</v>
      </c>
      <c r="AM155">
        <v>90.784068352912001</v>
      </c>
      <c r="AN155">
        <v>0.99999997523209505</v>
      </c>
    </row>
    <row r="156" spans="1:40" x14ac:dyDescent="0.25">
      <c r="A156" t="str">
        <f>"20190312151504150"</f>
        <v>20190312151504150</v>
      </c>
      <c r="B156" t="str">
        <f>"1552374904137562"</f>
        <v>1552374904137562</v>
      </c>
      <c r="C156" t="s">
        <v>40</v>
      </c>
      <c r="D156">
        <v>4.609845</v>
      </c>
      <c r="E156">
        <v>0.5250821</v>
      </c>
      <c r="F156" t="s">
        <v>41</v>
      </c>
      <c r="G156">
        <v>-459.28050000000002</v>
      </c>
      <c r="H156">
        <v>1.0442100000000001</v>
      </c>
      <c r="I156">
        <v>368.02749999999997</v>
      </c>
      <c r="J156">
        <v>-459.8279</v>
      </c>
      <c r="K156">
        <v>1.108176</v>
      </c>
      <c r="L156">
        <v>368.0367</v>
      </c>
      <c r="M156">
        <v>0.99835929999999995</v>
      </c>
      <c r="N156">
        <v>0</v>
      </c>
      <c r="O156">
        <v>5.7098129999999997E-2</v>
      </c>
      <c r="P156">
        <v>0.99696600000000002</v>
      </c>
      <c r="Q156">
        <v>-3.223032E-2</v>
      </c>
      <c r="R156">
        <v>7.0852970000000001E-2</v>
      </c>
      <c r="S156">
        <v>3.0001220000000002</v>
      </c>
      <c r="T156">
        <v>-0.25239050000000002</v>
      </c>
      <c r="U156">
        <v>1.165771E-2</v>
      </c>
      <c r="V156">
        <v>-1.3836569999999999E-2</v>
      </c>
      <c r="W156">
        <v>-2.791327E-2</v>
      </c>
      <c r="X156">
        <v>0.99951460000000003</v>
      </c>
      <c r="Y156">
        <v>5.2830729999999999E-2</v>
      </c>
      <c r="Z156">
        <v>-7.0112550000000001E-3</v>
      </c>
      <c r="AA156">
        <v>0.99857879999999999</v>
      </c>
      <c r="AB156">
        <v>24</v>
      </c>
      <c r="AC156">
        <v>0.54739999999998101</v>
      </c>
      <c r="AD156">
        <v>-6.3965999999999898E-2</v>
      </c>
      <c r="AE156">
        <v>-9.2000000000211895E-3</v>
      </c>
      <c r="AF156">
        <v>3.9896171494667898E-2</v>
      </c>
      <c r="AG156">
        <v>-6.3965999999999898E-2</v>
      </c>
      <c r="AH156">
        <v>0.53862878164127204</v>
      </c>
      <c r="AI156">
        <v>96.754230887939102</v>
      </c>
      <c r="AJ156">
        <v>85.763843951851797</v>
      </c>
      <c r="AK156">
        <v>0.54387895534603403</v>
      </c>
      <c r="AL156">
        <v>91.599520290957301</v>
      </c>
      <c r="AM156">
        <v>90.7931114043175</v>
      </c>
      <c r="AN156">
        <v>1.0000000184622999</v>
      </c>
    </row>
    <row r="157" spans="1:40" x14ac:dyDescent="0.25">
      <c r="A157" t="str">
        <f>"20190312151504174"</f>
        <v>20190312151504174</v>
      </c>
      <c r="B157" t="str">
        <f>"1552374904167818"</f>
        <v>1552374904167818</v>
      </c>
      <c r="C157" t="s">
        <v>40</v>
      </c>
      <c r="D157">
        <v>4.5506190000000002</v>
      </c>
      <c r="E157">
        <v>0.5248488</v>
      </c>
      <c r="F157" t="s">
        <v>41</v>
      </c>
      <c r="G157">
        <v>-459.06330000000003</v>
      </c>
      <c r="H157">
        <v>1.044173</v>
      </c>
      <c r="I157">
        <v>368.03989999999999</v>
      </c>
      <c r="J157">
        <v>-459.56830000000002</v>
      </c>
      <c r="K157">
        <v>1.1081829999999999</v>
      </c>
      <c r="L157">
        <v>368.05090000000001</v>
      </c>
      <c r="M157">
        <v>0.99839160000000005</v>
      </c>
      <c r="N157">
        <v>0</v>
      </c>
      <c r="O157">
        <v>5.652687E-2</v>
      </c>
      <c r="P157">
        <v>0.99701090000000003</v>
      </c>
      <c r="Q157">
        <v>-3.2261529999999997E-2</v>
      </c>
      <c r="R157">
        <v>7.0205039999999996E-2</v>
      </c>
      <c r="S157">
        <v>3.0001220000000002</v>
      </c>
      <c r="T157">
        <v>-0.25129119999999999</v>
      </c>
      <c r="U157">
        <v>1.269531E-2</v>
      </c>
      <c r="V157">
        <v>-1.3758899999999999E-2</v>
      </c>
      <c r="W157">
        <v>-2.787914E-2</v>
      </c>
      <c r="X157">
        <v>0.99951659999999998</v>
      </c>
      <c r="Y157">
        <v>5.1922530000000001E-2</v>
      </c>
      <c r="Z157">
        <v>-6.8951350000000002E-3</v>
      </c>
      <c r="AA157">
        <v>0.9986273</v>
      </c>
      <c r="AB157">
        <v>24</v>
      </c>
      <c r="AC157">
        <v>0.50499999999999501</v>
      </c>
      <c r="AD157">
        <v>-6.40099999999999E-2</v>
      </c>
      <c r="AE157">
        <v>-1.10000000000241E-2</v>
      </c>
      <c r="AF157">
        <v>3.8904008242752898E-2</v>
      </c>
      <c r="AG157">
        <v>-6.40099999999999E-2</v>
      </c>
      <c r="AH157">
        <v>0.49561190882982897</v>
      </c>
      <c r="AI157">
        <v>97.336888354479498</v>
      </c>
      <c r="AJ157">
        <v>85.511661391734606</v>
      </c>
      <c r="AK157">
        <v>0.50124042747098796</v>
      </c>
      <c r="AL157">
        <v>91.597564064237005</v>
      </c>
      <c r="AM157">
        <v>90.788658350367498</v>
      </c>
      <c r="AN157">
        <v>0.99999999372595405</v>
      </c>
    </row>
    <row r="158" spans="1:40" x14ac:dyDescent="0.25">
      <c r="A158" t="str">
        <f>"20190312151504196"</f>
        <v>20190312151504196</v>
      </c>
      <c r="B158" t="str">
        <f>"1552374904188128"</f>
        <v>1552374904188128</v>
      </c>
      <c r="C158" t="s">
        <v>40</v>
      </c>
      <c r="D158">
        <v>4.5330750000000002</v>
      </c>
      <c r="E158">
        <v>0.52467680000000005</v>
      </c>
      <c r="F158" t="s">
        <v>41</v>
      </c>
      <c r="G158">
        <v>-458.63260000000002</v>
      </c>
      <c r="H158">
        <v>1.028926</v>
      </c>
      <c r="I158">
        <v>368.05459999999999</v>
      </c>
      <c r="J158">
        <v>-459.3177</v>
      </c>
      <c r="K158">
        <v>1.1081890000000001</v>
      </c>
      <c r="L158">
        <v>368.06450000000001</v>
      </c>
      <c r="M158">
        <v>0.99842229999999998</v>
      </c>
      <c r="N158">
        <v>0</v>
      </c>
      <c r="O158">
        <v>5.5977739999999998E-2</v>
      </c>
      <c r="P158">
        <v>0.99711329999999998</v>
      </c>
      <c r="Q158">
        <v>-3.180591E-2</v>
      </c>
      <c r="R158">
        <v>6.8947399999999895E-2</v>
      </c>
      <c r="S158">
        <v>2.999908</v>
      </c>
      <c r="T158">
        <v>-0.25421189999999999</v>
      </c>
      <c r="U158">
        <v>1.2390139999999999E-2</v>
      </c>
      <c r="V158">
        <v>-1.3047029999999999E-2</v>
      </c>
      <c r="W158">
        <v>-2.7365540000000001E-2</v>
      </c>
      <c r="X158">
        <v>0.99954030000000005</v>
      </c>
      <c r="Y158">
        <v>5.1469239999999999E-2</v>
      </c>
      <c r="Z158">
        <v>-6.9099299999999999E-3</v>
      </c>
      <c r="AA158">
        <v>0.9986507</v>
      </c>
      <c r="AB158">
        <v>24</v>
      </c>
      <c r="AC158">
        <v>0.68509999999997695</v>
      </c>
      <c r="AD158">
        <v>-7.9262999999999806E-2</v>
      </c>
      <c r="AE158">
        <v>-9.9000000000160002E-3</v>
      </c>
      <c r="AF158">
        <v>4.7598207846735401E-2</v>
      </c>
      <c r="AG158">
        <v>-7.9262999999999806E-2</v>
      </c>
      <c r="AH158">
        <v>0.67444569256146802</v>
      </c>
      <c r="AI158">
        <v>96.686356230596402</v>
      </c>
      <c r="AJ158">
        <v>85.963111309976796</v>
      </c>
      <c r="AK158">
        <v>0.68075340966750897</v>
      </c>
      <c r="AL158">
        <v>91.568125780043005</v>
      </c>
      <c r="AM158">
        <v>90.747841085392906</v>
      </c>
      <c r="AN158">
        <v>0.99999995454769997</v>
      </c>
    </row>
    <row r="159" spans="1:40" x14ac:dyDescent="0.25">
      <c r="A159" t="str">
        <f>"20190312151504231"</f>
        <v>20190312151504231</v>
      </c>
      <c r="B159" t="str">
        <f>"1552374904228144"</f>
        <v>1552374904228144</v>
      </c>
      <c r="C159" t="s">
        <v>40</v>
      </c>
      <c r="D159">
        <v>4.5171539999999997</v>
      </c>
      <c r="E159">
        <v>0.52430869999999996</v>
      </c>
      <c r="F159" t="s">
        <v>41</v>
      </c>
      <c r="G159">
        <v>-458.41079999999999</v>
      </c>
      <c r="H159">
        <v>1.0319529999999999</v>
      </c>
      <c r="I159">
        <v>368.06709999999998</v>
      </c>
      <c r="J159">
        <v>-458.93430000000001</v>
      </c>
      <c r="K159">
        <v>1.108195</v>
      </c>
      <c r="L159">
        <v>368.08499999999998</v>
      </c>
      <c r="M159">
        <v>0.99846849999999998</v>
      </c>
      <c r="N159">
        <v>0</v>
      </c>
      <c r="O159">
        <v>5.5139920000000002E-2</v>
      </c>
      <c r="P159">
        <v>0.99720880000000001</v>
      </c>
      <c r="Q159">
        <v>-3.1193470000000001E-2</v>
      </c>
      <c r="R159">
        <v>6.7836880000000002E-2</v>
      </c>
      <c r="S159">
        <v>2.9999389999999999</v>
      </c>
      <c r="T159">
        <v>-0.25232529999999997</v>
      </c>
      <c r="U159">
        <v>1.0223390000000001E-2</v>
      </c>
      <c r="V159">
        <v>-1.2771309999999999E-2</v>
      </c>
      <c r="W159">
        <v>-2.666992E-2</v>
      </c>
      <c r="X159">
        <v>0.99956270000000003</v>
      </c>
      <c r="Y159">
        <v>5.1361610000000002E-2</v>
      </c>
      <c r="Z159">
        <v>-6.784015E-3</v>
      </c>
      <c r="AA159">
        <v>0.99865709999999996</v>
      </c>
      <c r="AB159">
        <v>25</v>
      </c>
      <c r="AC159">
        <v>0.52350000000001196</v>
      </c>
      <c r="AD159">
        <v>-7.6241999999999893E-2</v>
      </c>
      <c r="AE159">
        <v>-1.78999999999973E-2</v>
      </c>
      <c r="AF159">
        <v>4.5769145020787501E-2</v>
      </c>
      <c r="AG159">
        <v>-7.6241999999999893E-2</v>
      </c>
      <c r="AH159">
        <v>0.51089279218772699</v>
      </c>
      <c r="AI159">
        <v>98.454408428147502</v>
      </c>
      <c r="AJ159">
        <v>84.880732423139804</v>
      </c>
      <c r="AK159">
        <v>0.51857410493516398</v>
      </c>
      <c r="AL159">
        <v>91.528255076786806</v>
      </c>
      <c r="AM159">
        <v>90.732022460423707</v>
      </c>
      <c r="AN159">
        <v>0.99999999111160598</v>
      </c>
    </row>
    <row r="160" spans="1:40" x14ac:dyDescent="0.25">
      <c r="A160" t="str">
        <f>"20190312151504251"</f>
        <v>20190312151504251</v>
      </c>
      <c r="B160" t="str">
        <f>"1552374904247664"</f>
        <v>1552374904247664</v>
      </c>
      <c r="C160" t="s">
        <v>40</v>
      </c>
      <c r="D160">
        <v>4.8753489999999999</v>
      </c>
      <c r="E160">
        <v>0.52138139999999999</v>
      </c>
      <c r="F160" t="s">
        <v>41</v>
      </c>
      <c r="G160">
        <v>-458.18310000000002</v>
      </c>
      <c r="H160">
        <v>1.0457540000000001</v>
      </c>
      <c r="I160">
        <v>368.08730000000003</v>
      </c>
      <c r="J160">
        <v>-458.71359999999999</v>
      </c>
      <c r="K160">
        <v>1.1082000000000001</v>
      </c>
      <c r="L160">
        <v>368.0967</v>
      </c>
      <c r="M160">
        <v>0.99849469999999996</v>
      </c>
      <c r="N160">
        <v>0</v>
      </c>
      <c r="O160">
        <v>5.4658600000000002E-2</v>
      </c>
      <c r="P160">
        <v>0.99728280000000002</v>
      </c>
      <c r="Q160">
        <v>-3.064776E-2</v>
      </c>
      <c r="R160">
        <v>6.6991999999999996E-2</v>
      </c>
      <c r="S160">
        <v>2.9999690000000001</v>
      </c>
      <c r="T160">
        <v>-0.24944640000000001</v>
      </c>
      <c r="U160">
        <v>9.7961430000000002E-3</v>
      </c>
      <c r="V160">
        <v>-1.240497E-2</v>
      </c>
      <c r="W160">
        <v>-2.6079950000000001E-2</v>
      </c>
      <c r="X160">
        <v>0.99958290000000005</v>
      </c>
      <c r="Y160">
        <v>5.1033780000000001E-2</v>
      </c>
      <c r="Z160">
        <v>-6.6533089999999996E-3</v>
      </c>
      <c r="AA160">
        <v>0.99867479999999997</v>
      </c>
      <c r="AB160">
        <v>25</v>
      </c>
      <c r="AC160">
        <v>0.53049999999996</v>
      </c>
      <c r="AD160">
        <v>-6.2446000000000002E-2</v>
      </c>
      <c r="AE160">
        <v>-9.3999999999709802E-3</v>
      </c>
      <c r="AF160">
        <v>3.7858236314411597E-2</v>
      </c>
      <c r="AG160">
        <v>-6.2446000000000002E-2</v>
      </c>
      <c r="AH160">
        <v>0.52196308317239803</v>
      </c>
      <c r="AI160">
        <v>96.804552346773903</v>
      </c>
      <c r="AJ160">
        <v>85.851573568117502</v>
      </c>
      <c r="AK160">
        <v>0.52704668594696003</v>
      </c>
      <c r="AL160">
        <v>91.494440492562902</v>
      </c>
      <c r="AM160">
        <v>90.711012504603104</v>
      </c>
      <c r="AN160">
        <v>1.0000000105225499</v>
      </c>
    </row>
    <row r="161" spans="1:40" x14ac:dyDescent="0.25">
      <c r="A161" t="str">
        <f>"20190312151504273"</f>
        <v>20190312151504273</v>
      </c>
      <c r="B161" t="str">
        <f>"1552374904268160"</f>
        <v>1552374904268160</v>
      </c>
      <c r="C161" t="s">
        <v>40</v>
      </c>
      <c r="D161">
        <v>4.50549</v>
      </c>
      <c r="E161">
        <v>0.52098979999999995</v>
      </c>
      <c r="F161" t="s">
        <v>43</v>
      </c>
      <c r="G161">
        <v>-440.29109999999997</v>
      </c>
      <c r="H161" s="1">
        <v>-4.8061309999999901E-6</v>
      </c>
      <c r="I161">
        <v>368.28480000000002</v>
      </c>
      <c r="J161">
        <v>-458.4692</v>
      </c>
      <c r="K161">
        <v>1.1082000000000001</v>
      </c>
      <c r="L161">
        <v>368.10950000000003</v>
      </c>
      <c r="M161">
        <v>0.99852370000000001</v>
      </c>
      <c r="N161">
        <v>0</v>
      </c>
      <c r="O161">
        <v>5.4125640000000003E-2</v>
      </c>
      <c r="P161">
        <v>0.99736170000000002</v>
      </c>
      <c r="Q161">
        <v>-2.9787859999999999E-2</v>
      </c>
      <c r="R161">
        <v>6.620231E-2</v>
      </c>
      <c r="S161">
        <v>3.0005799999999998</v>
      </c>
      <c r="T161">
        <v>-0.18049979999999999</v>
      </c>
      <c r="U161">
        <v>3.0639650000000001E-2</v>
      </c>
      <c r="V161">
        <v>-1.2145009999999999E-2</v>
      </c>
      <c r="W161">
        <v>-2.517289E-2</v>
      </c>
      <c r="X161">
        <v>0.99960939999999998</v>
      </c>
      <c r="Y161">
        <v>4.3750829999999997E-2</v>
      </c>
      <c r="Z161">
        <v>-4.5662100000000002E-3</v>
      </c>
      <c r="AA161">
        <v>0.99903200000000003</v>
      </c>
      <c r="AB161">
        <v>25</v>
      </c>
      <c r="AC161">
        <v>18.178100000000001</v>
      </c>
      <c r="AD161">
        <v>-1.1082048061309999</v>
      </c>
      <c r="AE161">
        <v>0.17529999999999199</v>
      </c>
      <c r="AF161">
        <v>0.80587370575293005</v>
      </c>
      <c r="AG161">
        <v>-1.1082048061309999</v>
      </c>
      <c r="AH161">
        <v>18.0937007233339</v>
      </c>
      <c r="AI161">
        <v>93.5014168665071</v>
      </c>
      <c r="AJ161">
        <v>87.449793842796893</v>
      </c>
      <c r="AK161">
        <v>18.145510634521401</v>
      </c>
      <c r="AL161">
        <v>91.442452630898799</v>
      </c>
      <c r="AM161">
        <v>90.696095473021799</v>
      </c>
      <c r="AN161">
        <v>1.0000000641136</v>
      </c>
    </row>
    <row r="162" spans="1:40" x14ac:dyDescent="0.25">
      <c r="A162" t="str">
        <f>"20190312151504294"</f>
        <v>20190312151504294</v>
      </c>
      <c r="B162" t="str">
        <f>"1552374904287680"</f>
        <v>1552374904287680</v>
      </c>
      <c r="C162" t="s">
        <v>40</v>
      </c>
      <c r="D162">
        <v>4.4848019999999904</v>
      </c>
      <c r="E162">
        <v>0.52033269999999998</v>
      </c>
      <c r="F162" t="s">
        <v>43</v>
      </c>
      <c r="G162">
        <v>-440.04480000000001</v>
      </c>
      <c r="H162" s="1">
        <v>-4.9193719999999999E-6</v>
      </c>
      <c r="I162">
        <v>368.30290000000002</v>
      </c>
      <c r="J162">
        <v>-458.22489999999999</v>
      </c>
      <c r="K162">
        <v>1.108203</v>
      </c>
      <c r="L162">
        <v>368.12209999999999</v>
      </c>
      <c r="M162">
        <v>0.998552</v>
      </c>
      <c r="N162">
        <v>0</v>
      </c>
      <c r="O162">
        <v>5.3593399999999999E-2</v>
      </c>
      <c r="P162">
        <v>0.99737889999999996</v>
      </c>
      <c r="Q162">
        <v>-2.9777700000000001E-2</v>
      </c>
      <c r="R162">
        <v>6.5944249999999996E-2</v>
      </c>
      <c r="S162">
        <v>3.0004270000000002</v>
      </c>
      <c r="T162">
        <v>-0.18047189999999999</v>
      </c>
      <c r="U162">
        <v>3.1494139999999997E-2</v>
      </c>
      <c r="V162">
        <v>-1.241958E-2</v>
      </c>
      <c r="W162">
        <v>-2.511733E-2</v>
      </c>
      <c r="X162">
        <v>0.99960740000000003</v>
      </c>
      <c r="Y162">
        <v>4.2935800000000003E-2</v>
      </c>
      <c r="Z162">
        <v>-4.5092910000000003E-3</v>
      </c>
      <c r="AA162">
        <v>0.9990677</v>
      </c>
      <c r="AB162">
        <v>25</v>
      </c>
      <c r="AC162">
        <v>18.1800999999999</v>
      </c>
      <c r="AD162">
        <v>-1.108207919372</v>
      </c>
      <c r="AE162">
        <v>0.18080000000003299</v>
      </c>
      <c r="AF162">
        <v>0.79086537209903196</v>
      </c>
      <c r="AG162">
        <v>-1.108207919372</v>
      </c>
      <c r="AH162">
        <v>18.096425848711501</v>
      </c>
      <c r="AI162">
        <v>93.501029284211697</v>
      </c>
      <c r="AJ162">
        <v>87.497603512238001</v>
      </c>
      <c r="AK162">
        <v>18.147567917692399</v>
      </c>
      <c r="AL162">
        <v>91.439268305183603</v>
      </c>
      <c r="AM162">
        <v>90.711832370755502</v>
      </c>
      <c r="AN162">
        <v>1.0000000401842299</v>
      </c>
    </row>
    <row r="163" spans="1:40" x14ac:dyDescent="0.25">
      <c r="A163" t="str">
        <f>"20190312151504316"</f>
        <v>20190312151504316</v>
      </c>
      <c r="B163" t="str">
        <f>"1552374904308176"</f>
        <v>1552374904308176</v>
      </c>
      <c r="C163" t="s">
        <v>40</v>
      </c>
      <c r="D163">
        <v>4.5520930000000002</v>
      </c>
      <c r="E163">
        <v>0.51990579999999997</v>
      </c>
      <c r="F163" t="s">
        <v>41</v>
      </c>
      <c r="G163">
        <v>-457.28859999999997</v>
      </c>
      <c r="H163">
        <v>1.0420049999999901</v>
      </c>
      <c r="I163">
        <v>368.13299999999998</v>
      </c>
      <c r="J163">
        <v>-457.97210000000001</v>
      </c>
      <c r="K163">
        <v>1.1082110000000001</v>
      </c>
      <c r="L163">
        <v>368.13510000000002</v>
      </c>
      <c r="M163">
        <v>0.99858119999999995</v>
      </c>
      <c r="N163">
        <v>0</v>
      </c>
      <c r="O163">
        <v>5.3042560000000002E-2</v>
      </c>
      <c r="P163">
        <v>0.99744929999999998</v>
      </c>
      <c r="Q163">
        <v>-2.9321179999999999E-2</v>
      </c>
      <c r="R163">
        <v>6.5081020000000003E-2</v>
      </c>
      <c r="S163">
        <v>2.9991759999999998</v>
      </c>
      <c r="T163">
        <v>-0.21229429999999999</v>
      </c>
      <c r="U163">
        <v>3.5949710000000003E-2</v>
      </c>
      <c r="V163">
        <v>-1.210514E-2</v>
      </c>
      <c r="W163">
        <v>-2.461648E-2</v>
      </c>
      <c r="X163">
        <v>0.9996237</v>
      </c>
      <c r="Y163">
        <v>4.0835820000000002E-2</v>
      </c>
      <c r="Z163">
        <v>-5.1915809999999998E-3</v>
      </c>
      <c r="AA163">
        <v>0.99915240000000005</v>
      </c>
      <c r="AB163">
        <v>25</v>
      </c>
      <c r="AC163">
        <v>0.68350000000003697</v>
      </c>
      <c r="AD163">
        <v>-6.6206000000000195E-2</v>
      </c>
      <c r="AE163">
        <v>-2.0999999999844398E-3</v>
      </c>
      <c r="AF163">
        <v>3.7995544487790002E-2</v>
      </c>
      <c r="AG163">
        <v>-6.6206000000000195E-2</v>
      </c>
      <c r="AH163">
        <v>0.67608311610523397</v>
      </c>
      <c r="AI163">
        <v>95.584148895952296</v>
      </c>
      <c r="AJ163">
        <v>86.783388458610403</v>
      </c>
      <c r="AK163">
        <v>0.68037877371320599</v>
      </c>
      <c r="AL163">
        <v>91.410562861762202</v>
      </c>
      <c r="AM163">
        <v>90.693800609597503</v>
      </c>
      <c r="AN163">
        <v>1.00000002355184</v>
      </c>
    </row>
    <row r="164" spans="1:40" x14ac:dyDescent="0.25">
      <c r="A164" t="str">
        <f>"20190312151504338"</f>
        <v>20190312151504338</v>
      </c>
      <c r="B164" t="str">
        <f>"1552374904327696"</f>
        <v>1552374904327696</v>
      </c>
      <c r="C164" t="s">
        <v>40</v>
      </c>
      <c r="D164">
        <v>4.4951270000000001</v>
      </c>
      <c r="E164">
        <v>0.52000179999999996</v>
      </c>
      <c r="F164" t="s">
        <v>41</v>
      </c>
      <c r="G164">
        <v>-457.06139999999999</v>
      </c>
      <c r="H164">
        <v>1.0433250000000001</v>
      </c>
      <c r="I164">
        <v>368.14569999999998</v>
      </c>
      <c r="J164">
        <v>-457.7253</v>
      </c>
      <c r="K164">
        <v>1.1082190000000001</v>
      </c>
      <c r="L164">
        <v>368.14769999999999</v>
      </c>
      <c r="M164">
        <v>0.99860959999999999</v>
      </c>
      <c r="N164">
        <v>0</v>
      </c>
      <c r="O164">
        <v>5.2504790000000003E-2</v>
      </c>
      <c r="P164">
        <v>0.99753559999999997</v>
      </c>
      <c r="Q164">
        <v>-2.8497000000000001E-2</v>
      </c>
      <c r="R164">
        <v>6.4117099999999996E-2</v>
      </c>
      <c r="S164">
        <v>2.998993</v>
      </c>
      <c r="T164">
        <v>-0.21392990000000001</v>
      </c>
      <c r="U164">
        <v>3.6712649999999999E-2</v>
      </c>
      <c r="V164">
        <v>-1.167496E-2</v>
      </c>
      <c r="W164">
        <v>-2.3750650000000002E-2</v>
      </c>
      <c r="X164">
        <v>0.99964980000000003</v>
      </c>
      <c r="Y164">
        <v>4.0042580000000001E-2</v>
      </c>
      <c r="Z164">
        <v>-5.1652599999999996E-3</v>
      </c>
      <c r="AA164">
        <v>0.99918459999999998</v>
      </c>
      <c r="AB164">
        <v>25</v>
      </c>
      <c r="AC164">
        <v>0.66390000000001204</v>
      </c>
      <c r="AD164">
        <v>-6.4893999999999993E-2</v>
      </c>
      <c r="AE164">
        <v>-2.0000000000095402E-3</v>
      </c>
      <c r="AF164">
        <v>3.6506759507204403E-2</v>
      </c>
      <c r="AG164">
        <v>-6.4893999999999993E-2</v>
      </c>
      <c r="AH164">
        <v>0.65660581086749203</v>
      </c>
      <c r="AI164">
        <v>95.635707660517696</v>
      </c>
      <c r="AJ164">
        <v>86.817676789433307</v>
      </c>
      <c r="AK164">
        <v>0.66081401739874801</v>
      </c>
      <c r="AL164">
        <v>91.360939893532901</v>
      </c>
      <c r="AM164">
        <v>90.669129851867893</v>
      </c>
      <c r="AN164">
        <v>1.00000006035323</v>
      </c>
    </row>
    <row r="165" spans="1:40" x14ac:dyDescent="0.25">
      <c r="A165" t="str">
        <f>"20190312151504407"</f>
        <v>20190312151504407</v>
      </c>
      <c r="B165" t="str">
        <f>"1552374904397968"</f>
        <v>1552374904397968</v>
      </c>
      <c r="C165" t="s">
        <v>40</v>
      </c>
      <c r="D165">
        <v>4.3316400000000002</v>
      </c>
      <c r="E165">
        <v>0.52025310000000002</v>
      </c>
      <c r="F165" t="s">
        <v>41</v>
      </c>
      <c r="G165">
        <v>-456.83300000000003</v>
      </c>
      <c r="H165">
        <v>1.044937</v>
      </c>
      <c r="I165">
        <v>368.1574</v>
      </c>
      <c r="J165">
        <v>-456.93799999999999</v>
      </c>
      <c r="K165">
        <v>1.1082240000000001</v>
      </c>
      <c r="L165">
        <v>368.18680000000001</v>
      </c>
      <c r="M165">
        <v>0.99869719999999995</v>
      </c>
      <c r="N165">
        <v>0</v>
      </c>
      <c r="O165">
        <v>5.0793039999999998E-2</v>
      </c>
      <c r="P165">
        <v>0.99771339999999997</v>
      </c>
      <c r="Q165">
        <v>-2.8513110000000001E-2</v>
      </c>
      <c r="R165">
        <v>6.1278119999999998E-2</v>
      </c>
      <c r="S165">
        <v>2.9991759999999998</v>
      </c>
      <c r="T165">
        <v>-0.2127125</v>
      </c>
      <c r="U165">
        <v>3.2989499999999998E-2</v>
      </c>
      <c r="V165">
        <v>-1.05448E-2</v>
      </c>
      <c r="W165">
        <v>-2.36256E-2</v>
      </c>
      <c r="X165">
        <v>0.99966529999999998</v>
      </c>
      <c r="Y165">
        <v>3.9579059999999999E-2</v>
      </c>
      <c r="Z165">
        <v>-4.9981740000000002E-3</v>
      </c>
      <c r="AA165">
        <v>0.99920390000000003</v>
      </c>
      <c r="AB165">
        <v>26</v>
      </c>
      <c r="AC165">
        <v>0.105000000000018</v>
      </c>
      <c r="AD165">
        <v>-6.3286999999999802E-2</v>
      </c>
      <c r="AE165">
        <v>-2.9400000000009599E-2</v>
      </c>
      <c r="AF165">
        <v>2.5952573950224399E-2</v>
      </c>
      <c r="AG165">
        <v>-6.3286999999999802E-2</v>
      </c>
      <c r="AH165">
        <v>7.7322879134727601E-2</v>
      </c>
      <c r="AI165">
        <v>127.80921329973</v>
      </c>
      <c r="AJ165">
        <v>71.446238977639894</v>
      </c>
      <c r="AK165">
        <v>0.103235691993251</v>
      </c>
      <c r="AL165">
        <v>91.353773077445595</v>
      </c>
      <c r="AM165">
        <v>90.604352405844693</v>
      </c>
      <c r="AN165">
        <v>1.00000003690324</v>
      </c>
    </row>
    <row r="166" spans="1:40" x14ac:dyDescent="0.25">
      <c r="A166" t="str">
        <f>"20190312151504475"</f>
        <v>20190312151504475</v>
      </c>
      <c r="B166" t="str">
        <f>"1552374904468241"</f>
        <v>1552374904468241</v>
      </c>
      <c r="C166" t="s">
        <v>40</v>
      </c>
      <c r="D166">
        <v>4.4774000000000003</v>
      </c>
      <c r="E166">
        <v>0.51880079999999995</v>
      </c>
      <c r="F166" t="s">
        <v>41</v>
      </c>
      <c r="G166">
        <v>-456.13470000000001</v>
      </c>
      <c r="H166">
        <v>1.055723</v>
      </c>
      <c r="I166">
        <v>368.19240000000002</v>
      </c>
      <c r="J166">
        <v>-456.16210000000001</v>
      </c>
      <c r="K166">
        <v>1.1082449999999999</v>
      </c>
      <c r="L166">
        <v>368.22399999999999</v>
      </c>
      <c r="M166">
        <v>0.99878049999999996</v>
      </c>
      <c r="N166">
        <v>0</v>
      </c>
      <c r="O166">
        <v>4.910925E-2</v>
      </c>
      <c r="P166">
        <v>0.99782510000000002</v>
      </c>
      <c r="Q166">
        <v>-2.833896E-2</v>
      </c>
      <c r="R166">
        <v>5.951534E-2</v>
      </c>
      <c r="S166">
        <v>2.9998170000000002</v>
      </c>
      <c r="T166">
        <v>-0.19630069999999999</v>
      </c>
      <c r="U166">
        <v>2.2705079999999999E-2</v>
      </c>
      <c r="V166">
        <v>-1.046386E-2</v>
      </c>
      <c r="W166">
        <v>-2.325582E-2</v>
      </c>
      <c r="X166">
        <v>0.99967479999999997</v>
      </c>
      <c r="Y166">
        <v>4.1355620000000003E-2</v>
      </c>
      <c r="Z166">
        <v>-4.5606759999999996E-3</v>
      </c>
      <c r="AA166">
        <v>0.99913410000000002</v>
      </c>
      <c r="AB166">
        <v>26</v>
      </c>
      <c r="AC166">
        <v>2.7400000000000001E-2</v>
      </c>
      <c r="AD166">
        <v>-5.2522000000000103E-2</v>
      </c>
      <c r="AE166">
        <v>-3.1599999999968903E-2</v>
      </c>
      <c r="AF166">
        <v>1.27700182011655E-2</v>
      </c>
      <c r="AG166">
        <v>-5.2522000000000103E-2</v>
      </c>
      <c r="AH166">
        <v>1.00177482560087E-2</v>
      </c>
      <c r="AI166">
        <v>162.827668914496</v>
      </c>
      <c r="AJ166">
        <v>38.113264785841999</v>
      </c>
      <c r="AK166">
        <v>5.4972621630943498E-2</v>
      </c>
      <c r="AL166">
        <v>91.332580449963999</v>
      </c>
      <c r="AM166">
        <v>90.599708146203</v>
      </c>
      <c r="AN166">
        <v>1.0000000156425</v>
      </c>
    </row>
    <row r="167" spans="1:40" x14ac:dyDescent="0.25">
      <c r="A167" t="str">
        <f>"20190312151504495"</f>
        <v>20190312151504495</v>
      </c>
      <c r="B167" t="str">
        <f>"1552374904487761"</f>
        <v>1552374904487761</v>
      </c>
      <c r="C167" t="s">
        <v>40</v>
      </c>
      <c r="D167">
        <v>4.477792</v>
      </c>
      <c r="E167">
        <v>0.51825449999999995</v>
      </c>
      <c r="F167" t="s">
        <v>41</v>
      </c>
      <c r="G167">
        <v>-455.20069999999998</v>
      </c>
      <c r="H167">
        <v>1.0563480000000001</v>
      </c>
      <c r="I167">
        <v>368.23270000000002</v>
      </c>
      <c r="J167">
        <v>-455.90620000000001</v>
      </c>
      <c r="K167">
        <v>1.10825</v>
      </c>
      <c r="L167">
        <v>368.23599999999999</v>
      </c>
      <c r="M167">
        <v>0.99880740000000001</v>
      </c>
      <c r="N167">
        <v>0</v>
      </c>
      <c r="O167">
        <v>4.855454E-2</v>
      </c>
      <c r="P167">
        <v>0.99784850000000003</v>
      </c>
      <c r="Q167">
        <v>-2.84149E-2</v>
      </c>
      <c r="R167">
        <v>5.9086279999999998E-2</v>
      </c>
      <c r="S167">
        <v>3.0002140000000002</v>
      </c>
      <c r="T167">
        <v>-0.1621628</v>
      </c>
      <c r="U167">
        <v>2.886963E-2</v>
      </c>
      <c r="V167">
        <v>-1.0588749999999999E-2</v>
      </c>
      <c r="W167">
        <v>-2.3253949999999999E-2</v>
      </c>
      <c r="X167">
        <v>0.99967349999999999</v>
      </c>
      <c r="Y167">
        <v>3.8814750000000002E-2</v>
      </c>
      <c r="Z167">
        <v>-3.6697129999999998E-3</v>
      </c>
      <c r="AA167">
        <v>0.99923969999999995</v>
      </c>
      <c r="AB167">
        <v>26</v>
      </c>
      <c r="AC167">
        <v>0.70550000000002899</v>
      </c>
      <c r="AD167">
        <v>-5.1901999999999802E-2</v>
      </c>
      <c r="AE167">
        <v>-3.2999999999674301E-3</v>
      </c>
      <c r="AF167">
        <v>3.7349645491940302E-2</v>
      </c>
      <c r="AG167">
        <v>-5.1901999999999802E-2</v>
      </c>
      <c r="AH167">
        <v>0.700715300813186</v>
      </c>
      <c r="AI167">
        <v>94.2301809604364</v>
      </c>
      <c r="AJ167">
        <v>86.948897999605293</v>
      </c>
      <c r="AK167">
        <v>0.70362685168780104</v>
      </c>
      <c r="AL167">
        <v>91.332473315768098</v>
      </c>
      <c r="AM167">
        <v>90.606866139445103</v>
      </c>
      <c r="AN167">
        <v>0.99999998720970695</v>
      </c>
    </row>
    <row r="168" spans="1:40" x14ac:dyDescent="0.25">
      <c r="A168" t="str">
        <f>"20190312151504518"</f>
        <v>20190312151504518</v>
      </c>
      <c r="B168" t="str">
        <f>"1552374904508256"</f>
        <v>1552374904508256</v>
      </c>
      <c r="C168" t="s">
        <v>40</v>
      </c>
      <c r="D168">
        <v>4.5747080000000002</v>
      </c>
      <c r="E168">
        <v>0.51794059999999997</v>
      </c>
      <c r="F168" t="s">
        <v>42</v>
      </c>
      <c r="G168">
        <v>-433.9941</v>
      </c>
      <c r="H168">
        <v>-0.05</v>
      </c>
      <c r="I168">
        <v>368.46980000000002</v>
      </c>
      <c r="J168">
        <v>-455.65030000000002</v>
      </c>
      <c r="K168">
        <v>1.108255</v>
      </c>
      <c r="L168">
        <v>368.24779999999998</v>
      </c>
      <c r="M168">
        <v>0.99883370000000005</v>
      </c>
      <c r="N168">
        <v>0</v>
      </c>
      <c r="O168">
        <v>4.8000180000000003E-2</v>
      </c>
      <c r="P168">
        <v>0.99784399999999995</v>
      </c>
      <c r="Q168">
        <v>-2.9219579999999998E-2</v>
      </c>
      <c r="R168">
        <v>5.8766569999999997E-2</v>
      </c>
      <c r="S168">
        <v>3.0000309999999999</v>
      </c>
      <c r="T168">
        <v>-0.15857829999999901</v>
      </c>
      <c r="U168">
        <v>3.2012939999999997E-2</v>
      </c>
      <c r="V168">
        <v>-1.082547E-2</v>
      </c>
      <c r="W168">
        <v>-2.397763E-2</v>
      </c>
      <c r="X168">
        <v>0.99965389999999998</v>
      </c>
      <c r="Y168">
        <v>3.7221219999999999E-2</v>
      </c>
      <c r="Z168">
        <v>-3.5175559999999998E-3</v>
      </c>
      <c r="AA168">
        <v>0.99930079999999999</v>
      </c>
      <c r="AB168">
        <v>26</v>
      </c>
      <c r="AC168">
        <v>21.656199999999998</v>
      </c>
      <c r="AD168">
        <v>-1.158255</v>
      </c>
      <c r="AE168">
        <v>0.222000000000036</v>
      </c>
      <c r="AF168">
        <v>0.81543921863046198</v>
      </c>
      <c r="AG168">
        <v>-1.158255</v>
      </c>
      <c r="AH168">
        <v>21.580169129994001</v>
      </c>
      <c r="AI168">
        <v>93.070055552285893</v>
      </c>
      <c r="AJ168">
        <v>87.836022140334194</v>
      </c>
      <c r="AK168">
        <v>21.626608505344802</v>
      </c>
      <c r="AL168">
        <v>91.373948650836894</v>
      </c>
      <c r="AM168">
        <v>90.620444233576094</v>
      </c>
      <c r="AN168">
        <v>1.0000000186631699</v>
      </c>
    </row>
    <row r="169" spans="1:40" x14ac:dyDescent="0.25">
      <c r="A169" t="str">
        <f>"20190312151504540"</f>
        <v>20190312151504540</v>
      </c>
      <c r="B169" t="str">
        <f>"1552374904527776"</f>
        <v>1552374904527776</v>
      </c>
      <c r="C169" t="s">
        <v>40</v>
      </c>
      <c r="D169">
        <v>4.4727129999999997</v>
      </c>
      <c r="E169">
        <v>0.51742589999999999</v>
      </c>
      <c r="F169" t="s">
        <v>42</v>
      </c>
      <c r="G169">
        <v>-433.23340000000002</v>
      </c>
      <c r="H169">
        <v>-0.05</v>
      </c>
      <c r="I169">
        <v>368.49759999999998</v>
      </c>
      <c r="J169">
        <v>-455.38659999999999</v>
      </c>
      <c r="K169">
        <v>1.108257</v>
      </c>
      <c r="L169">
        <v>368.25990000000002</v>
      </c>
      <c r="M169">
        <v>0.99886039999999998</v>
      </c>
      <c r="N169">
        <v>0</v>
      </c>
      <c r="O169">
        <v>4.7430479999999997E-2</v>
      </c>
      <c r="P169">
        <v>0.9978361</v>
      </c>
      <c r="Q169">
        <v>-2.991659E-2</v>
      </c>
      <c r="R169">
        <v>5.8548629999999997E-2</v>
      </c>
      <c r="S169">
        <v>2.999908</v>
      </c>
      <c r="T169">
        <v>-0.1550019</v>
      </c>
      <c r="U169">
        <v>3.3416750000000002E-2</v>
      </c>
      <c r="V169">
        <v>-1.1179E-2</v>
      </c>
      <c r="W169">
        <v>-2.4588059999999998E-2</v>
      </c>
      <c r="X169">
        <v>0.99963519999999995</v>
      </c>
      <c r="Y169">
        <v>3.6190699999999999E-2</v>
      </c>
      <c r="Z169">
        <v>-3.382468E-3</v>
      </c>
      <c r="AA169">
        <v>0.99933919999999998</v>
      </c>
      <c r="AB169">
        <v>26</v>
      </c>
      <c r="AC169">
        <v>22.153199999999899</v>
      </c>
      <c r="AD169">
        <v>-1.1582569999999901</v>
      </c>
      <c r="AE169">
        <v>0.237699999999961</v>
      </c>
      <c r="AF169">
        <v>0.81110229699957803</v>
      </c>
      <c r="AG169">
        <v>-1.1582569999999901</v>
      </c>
      <c r="AH169">
        <v>22.079192166520102</v>
      </c>
      <c r="AI169">
        <v>93.000918200265701</v>
      </c>
      <c r="AJ169">
        <v>87.896125484694096</v>
      </c>
      <c r="AK169">
        <v>22.1244248047349</v>
      </c>
      <c r="AL169">
        <v>91.408934002497105</v>
      </c>
      <c r="AM169">
        <v>90.640716553601095</v>
      </c>
      <c r="AN169">
        <v>1.0000000379073</v>
      </c>
    </row>
    <row r="170" spans="1:40" x14ac:dyDescent="0.25">
      <c r="A170" t="str">
        <f>"20190312151504562"</f>
        <v>20190312151504562</v>
      </c>
      <c r="B170" t="str">
        <f>"1552374904558032"</f>
        <v>1552374904558032</v>
      </c>
      <c r="C170" t="s">
        <v>40</v>
      </c>
      <c r="D170">
        <v>4.4989720000000002</v>
      </c>
      <c r="E170">
        <v>0.51715049999999996</v>
      </c>
      <c r="F170" t="s">
        <v>42</v>
      </c>
      <c r="G170">
        <v>-432.82139999999998</v>
      </c>
      <c r="H170">
        <v>-0.05</v>
      </c>
      <c r="I170">
        <v>368.53590000000003</v>
      </c>
      <c r="J170">
        <v>-455.11750000000001</v>
      </c>
      <c r="K170">
        <v>1.1082559999999999</v>
      </c>
      <c r="L170">
        <v>368.27210000000002</v>
      </c>
      <c r="M170">
        <v>0.99888730000000003</v>
      </c>
      <c r="N170">
        <v>0</v>
      </c>
      <c r="O170">
        <v>4.6851110000000001E-2</v>
      </c>
      <c r="P170">
        <v>0.99786450000000004</v>
      </c>
      <c r="Q170">
        <v>-2.99776E-2</v>
      </c>
      <c r="R170">
        <v>5.8035179999999999E-2</v>
      </c>
      <c r="S170">
        <v>2.9997250000000002</v>
      </c>
      <c r="T170">
        <v>-0.15397420000000001</v>
      </c>
      <c r="U170">
        <v>3.668213E-2</v>
      </c>
      <c r="V170">
        <v>-1.124526E-2</v>
      </c>
      <c r="W170">
        <v>-2.455895E-2</v>
      </c>
      <c r="X170">
        <v>0.99963519999999995</v>
      </c>
      <c r="Y170">
        <v>3.4527059999999998E-2</v>
      </c>
      <c r="Z170">
        <v>-3.2878830000000001E-3</v>
      </c>
      <c r="AA170">
        <v>0.99939840000000002</v>
      </c>
      <c r="AB170">
        <v>26</v>
      </c>
      <c r="AC170">
        <v>22.296099999999999</v>
      </c>
      <c r="AD170">
        <v>-1.158256</v>
      </c>
      <c r="AE170">
        <v>0.26380000000000298</v>
      </c>
      <c r="AF170">
        <v>0.778999965882331</v>
      </c>
      <c r="AG170">
        <v>-1.158256</v>
      </c>
      <c r="AH170">
        <v>22.22400800075</v>
      </c>
      <c r="AI170">
        <v>92.981576122515705</v>
      </c>
      <c r="AJ170">
        <v>87.992479841884304</v>
      </c>
      <c r="AK170">
        <v>22.267800284845901</v>
      </c>
      <c r="AL170">
        <v>91.407265579788202</v>
      </c>
      <c r="AM170">
        <v>90.644513879671607</v>
      </c>
      <c r="AN170">
        <v>1.0000000654882999</v>
      </c>
    </row>
    <row r="171" spans="1:40" x14ac:dyDescent="0.25">
      <c r="A171" t="str">
        <f>"20190312151504584"</f>
        <v>20190312151504584</v>
      </c>
      <c r="B171" t="str">
        <f>"1552374904577553"</f>
        <v>1552374904577553</v>
      </c>
      <c r="C171" t="s">
        <v>40</v>
      </c>
      <c r="D171">
        <v>4.4825049999999997</v>
      </c>
      <c r="E171">
        <v>0.51710639999999997</v>
      </c>
      <c r="F171" t="s">
        <v>42</v>
      </c>
      <c r="G171">
        <v>-431.61349999999999</v>
      </c>
      <c r="H171">
        <v>-0.05</v>
      </c>
      <c r="I171">
        <v>368.56689999999998</v>
      </c>
      <c r="J171">
        <v>-454.85770000000002</v>
      </c>
      <c r="K171">
        <v>1.1082719999999999</v>
      </c>
      <c r="L171">
        <v>368.28359999999998</v>
      </c>
      <c r="M171">
        <v>0.99891289999999999</v>
      </c>
      <c r="N171">
        <v>0</v>
      </c>
      <c r="O171">
        <v>4.6292720000000002E-2</v>
      </c>
      <c r="P171">
        <v>0.99786529999999996</v>
      </c>
      <c r="Q171">
        <v>-3.0156490000000001E-2</v>
      </c>
      <c r="R171">
        <v>5.7928479999999997E-2</v>
      </c>
      <c r="S171">
        <v>2.9998170000000002</v>
      </c>
      <c r="T171">
        <v>-0.1478283</v>
      </c>
      <c r="U171">
        <v>3.7628170000000002E-2</v>
      </c>
      <c r="V171">
        <v>-1.169711E-2</v>
      </c>
      <c r="W171">
        <v>-2.46492E-2</v>
      </c>
      <c r="X171">
        <v>0.99962770000000001</v>
      </c>
      <c r="Y171">
        <v>3.3663760000000001E-2</v>
      </c>
      <c r="Z171">
        <v>-3.1079739999999999E-3</v>
      </c>
      <c r="AA171">
        <v>0.99942839999999999</v>
      </c>
      <c r="AB171">
        <v>27</v>
      </c>
      <c r="AC171">
        <v>23.244199999999999</v>
      </c>
      <c r="AD171">
        <v>-1.158272</v>
      </c>
      <c r="AE171">
        <v>0.283299999999997</v>
      </c>
      <c r="AF171">
        <v>0.79109305351096304</v>
      </c>
      <c r="AG171">
        <v>-1.158272</v>
      </c>
      <c r="AH171">
        <v>23.1748578352144</v>
      </c>
      <c r="AI171">
        <v>92.859581112077294</v>
      </c>
      <c r="AJ171">
        <v>88.044920049755007</v>
      </c>
      <c r="AK171">
        <v>23.217266374999799</v>
      </c>
      <c r="AL171">
        <v>91.412438221443395</v>
      </c>
      <c r="AM171">
        <v>90.670414044495899</v>
      </c>
      <c r="AN171">
        <v>0.99999997202514002</v>
      </c>
    </row>
    <row r="172" spans="1:40" x14ac:dyDescent="0.25">
      <c r="A172" t="str">
        <f>"20190312151504608"</f>
        <v>20190312151504608</v>
      </c>
      <c r="B172" t="str">
        <f>"1552374904598048"</f>
        <v>1552374904598048</v>
      </c>
      <c r="C172" t="s">
        <v>40</v>
      </c>
      <c r="D172">
        <v>4.4531939999999999</v>
      </c>
      <c r="E172">
        <v>0.51705119999999904</v>
      </c>
      <c r="F172" t="s">
        <v>42</v>
      </c>
      <c r="G172">
        <v>-430.68770000000001</v>
      </c>
      <c r="H172">
        <v>-0.05</v>
      </c>
      <c r="I172">
        <v>368.58629999999999</v>
      </c>
      <c r="J172">
        <v>-454.57569999999998</v>
      </c>
      <c r="K172">
        <v>1.108277</v>
      </c>
      <c r="L172">
        <v>368.29610000000002</v>
      </c>
      <c r="M172">
        <v>0.9989401</v>
      </c>
      <c r="N172">
        <v>0</v>
      </c>
      <c r="O172">
        <v>4.5688039999999999E-2</v>
      </c>
      <c r="P172">
        <v>0.99791779999999997</v>
      </c>
      <c r="Q172">
        <v>-2.9945670000000001E-2</v>
      </c>
      <c r="R172">
        <v>5.7128419999999999E-2</v>
      </c>
      <c r="S172">
        <v>2.9998779999999998</v>
      </c>
      <c r="T172">
        <v>-0.14375950000000001</v>
      </c>
      <c r="U172">
        <v>3.7567139999999999E-2</v>
      </c>
      <c r="V172">
        <v>-1.150034E-2</v>
      </c>
      <c r="W172">
        <v>-2.4341379999999999E-2</v>
      </c>
      <c r="X172">
        <v>0.99963749999999996</v>
      </c>
      <c r="Y172">
        <v>3.3085999999999997E-2</v>
      </c>
      <c r="Z172">
        <v>-2.979701E-3</v>
      </c>
      <c r="AA172">
        <v>0.99944809999999995</v>
      </c>
      <c r="AB172">
        <v>27</v>
      </c>
      <c r="AC172">
        <v>23.887999999999899</v>
      </c>
      <c r="AD172">
        <v>-1.158277</v>
      </c>
      <c r="AE172">
        <v>0.29019999999996998</v>
      </c>
      <c r="AF172">
        <v>0.79963629585392004</v>
      </c>
      <c r="AG172">
        <v>-1.158277</v>
      </c>
      <c r="AH172">
        <v>23.820318265575199</v>
      </c>
      <c r="AI172">
        <v>92.782283517880799</v>
      </c>
      <c r="AJ172">
        <v>88.077331045697207</v>
      </c>
      <c r="AK172">
        <v>23.861864681698101</v>
      </c>
      <c r="AL172">
        <v>91.394796176744407</v>
      </c>
      <c r="AM172">
        <v>90.659130811971707</v>
      </c>
      <c r="AN172">
        <v>0.99999994600333297</v>
      </c>
    </row>
    <row r="173" spans="1:40" x14ac:dyDescent="0.25">
      <c r="A173" t="str">
        <f>"20190312151504631"</f>
        <v>20190312151504631</v>
      </c>
      <c r="B173" t="str">
        <f>"1552374904628305"</f>
        <v>1552374904628305</v>
      </c>
      <c r="C173" t="s">
        <v>40</v>
      </c>
      <c r="D173">
        <v>4.4972620000000001</v>
      </c>
      <c r="E173">
        <v>0.51684569999999996</v>
      </c>
      <c r="F173" t="s">
        <v>42</v>
      </c>
      <c r="G173">
        <v>-429.75670000000002</v>
      </c>
      <c r="H173">
        <v>-0.05</v>
      </c>
      <c r="I173">
        <v>368.59019999999998</v>
      </c>
      <c r="J173">
        <v>-454.30369999999999</v>
      </c>
      <c r="K173">
        <v>1.1082829999999999</v>
      </c>
      <c r="L173">
        <v>368.30790000000002</v>
      </c>
      <c r="M173">
        <v>0.99896600000000002</v>
      </c>
      <c r="N173">
        <v>0</v>
      </c>
      <c r="O173">
        <v>4.5106140000000003E-2</v>
      </c>
      <c r="P173">
        <v>0.99792530000000002</v>
      </c>
      <c r="Q173">
        <v>-2.9760000000000002E-2</v>
      </c>
      <c r="R173">
        <v>5.7090559999999999E-2</v>
      </c>
      <c r="S173">
        <v>3.0000610000000001</v>
      </c>
      <c r="T173">
        <v>-0.14000950000000001</v>
      </c>
      <c r="U173">
        <v>3.5552979999999998E-2</v>
      </c>
      <c r="V173">
        <v>-1.2044289999999999E-2</v>
      </c>
      <c r="W173">
        <v>-2.406092E-2</v>
      </c>
      <c r="X173">
        <v>0.99963800000000003</v>
      </c>
      <c r="Y173">
        <v>3.3180679999999997E-2</v>
      </c>
      <c r="Z173">
        <v>-2.8769970000000001E-3</v>
      </c>
      <c r="AA173">
        <v>0.99944520000000003</v>
      </c>
      <c r="AB173">
        <v>27</v>
      </c>
      <c r="AC173">
        <v>24.546999999999901</v>
      </c>
      <c r="AD173">
        <v>-1.158283</v>
      </c>
      <c r="AE173">
        <v>0.28229999999996302</v>
      </c>
      <c r="AF173">
        <v>0.82339258930704495</v>
      </c>
      <c r="AG173">
        <v>-1.158283</v>
      </c>
      <c r="AH173">
        <v>24.4802496261606</v>
      </c>
      <c r="AI173">
        <v>92.707400741365603</v>
      </c>
      <c r="AJ173">
        <v>88.073584116268606</v>
      </c>
      <c r="AK173">
        <v>24.521464406175902</v>
      </c>
      <c r="AL173">
        <v>91.378722133764398</v>
      </c>
      <c r="AM173">
        <v>90.690303483690499</v>
      </c>
      <c r="AN173">
        <v>1.0000000619184199</v>
      </c>
    </row>
    <row r="174" spans="1:40" x14ac:dyDescent="0.25">
      <c r="A174" t="str">
        <f>"20190312151504653"</f>
        <v>20190312151504653</v>
      </c>
      <c r="B174" t="str">
        <f>"1552374904647824"</f>
        <v>1552374904647824</v>
      </c>
      <c r="C174" t="s">
        <v>40</v>
      </c>
      <c r="D174">
        <v>4.5026590000000004</v>
      </c>
      <c r="E174">
        <v>0.51684549999999996</v>
      </c>
      <c r="F174" t="s">
        <v>42</v>
      </c>
      <c r="G174">
        <v>-428.9676</v>
      </c>
      <c r="H174">
        <v>-0.05</v>
      </c>
      <c r="I174">
        <v>368.62189999999998</v>
      </c>
      <c r="J174">
        <v>-454.0301</v>
      </c>
      <c r="K174">
        <v>1.1082970000000001</v>
      </c>
      <c r="L174">
        <v>368.31959999999998</v>
      </c>
      <c r="M174">
        <v>0.99899179999999999</v>
      </c>
      <c r="N174">
        <v>0</v>
      </c>
      <c r="O174">
        <v>4.452118E-2</v>
      </c>
      <c r="P174">
        <v>0.99795769999999995</v>
      </c>
      <c r="Q174">
        <v>-2.9645080000000001E-2</v>
      </c>
      <c r="R174">
        <v>5.6583590000000003E-2</v>
      </c>
      <c r="S174">
        <v>3.0000610000000001</v>
      </c>
      <c r="T174">
        <v>-0.13715239999999901</v>
      </c>
      <c r="U174">
        <v>3.7170410000000001E-2</v>
      </c>
      <c r="V174">
        <v>-1.212157E-2</v>
      </c>
      <c r="W174">
        <v>-2.3850360000000001E-2</v>
      </c>
      <c r="X174">
        <v>0.99964209999999998</v>
      </c>
      <c r="Y174">
        <v>3.2061920000000001E-2</v>
      </c>
      <c r="Z174">
        <v>-2.7660720000000001E-3</v>
      </c>
      <c r="AA174">
        <v>0.99948199999999998</v>
      </c>
      <c r="AB174">
        <v>27</v>
      </c>
      <c r="AC174">
        <v>25.0625</v>
      </c>
      <c r="AD174">
        <v>-1.1582969999999999</v>
      </c>
      <c r="AE174">
        <v>0.30230000000000201</v>
      </c>
      <c r="AF174">
        <v>0.81209603765591398</v>
      </c>
      <c r="AG174">
        <v>-1.1582969999999999</v>
      </c>
      <c r="AH174">
        <v>24.997721078676999</v>
      </c>
      <c r="AI174">
        <v>92.651568750446302</v>
      </c>
      <c r="AJ174">
        <v>88.139297710106007</v>
      </c>
      <c r="AK174">
        <v>25.037715771250301</v>
      </c>
      <c r="AL174">
        <v>91.366654488145997</v>
      </c>
      <c r="AM174">
        <v>90.694729408779807</v>
      </c>
      <c r="AN174">
        <v>1.0000000501119</v>
      </c>
    </row>
    <row r="175" spans="1:40" x14ac:dyDescent="0.25">
      <c r="A175" t="str">
        <f>"20190312151504674"</f>
        <v>20190312151504674</v>
      </c>
      <c r="B175" t="str">
        <f>"1552374904668321"</f>
        <v>1552374904668321</v>
      </c>
      <c r="C175" t="s">
        <v>40</v>
      </c>
      <c r="D175">
        <v>4.4685579999999998</v>
      </c>
      <c r="E175">
        <v>0.51685729999999996</v>
      </c>
      <c r="F175" t="s">
        <v>42</v>
      </c>
      <c r="G175">
        <v>-428.4529</v>
      </c>
      <c r="H175">
        <v>-0.05</v>
      </c>
      <c r="I175">
        <v>368.61989999999997</v>
      </c>
      <c r="J175">
        <v>-453.77620000000002</v>
      </c>
      <c r="K175">
        <v>1.108303</v>
      </c>
      <c r="L175">
        <v>368.3304</v>
      </c>
      <c r="M175">
        <v>0.99901519999999999</v>
      </c>
      <c r="N175">
        <v>0</v>
      </c>
      <c r="O175">
        <v>4.3978740000000002E-2</v>
      </c>
      <c r="P175">
        <v>0.99797749999999996</v>
      </c>
      <c r="Q175">
        <v>-2.9800009999999998E-2</v>
      </c>
      <c r="R175">
        <v>5.6149739999999997E-2</v>
      </c>
      <c r="S175">
        <v>3.0001220000000002</v>
      </c>
      <c r="T175">
        <v>-0.13586500000000001</v>
      </c>
      <c r="U175">
        <v>3.5217289999999998E-2</v>
      </c>
      <c r="V175">
        <v>-1.2229749999999999E-2</v>
      </c>
      <c r="W175">
        <v>-2.3917040000000001E-2</v>
      </c>
      <c r="X175">
        <v>0.99963919999999995</v>
      </c>
      <c r="Y175">
        <v>3.2172020000000003E-2</v>
      </c>
      <c r="Z175">
        <v>-2.7180580000000002E-3</v>
      </c>
      <c r="AA175">
        <v>0.99947859999999999</v>
      </c>
      <c r="AB175">
        <v>27</v>
      </c>
      <c r="AC175">
        <v>25.3233</v>
      </c>
      <c r="AD175">
        <v>-1.1583030000000001</v>
      </c>
      <c r="AE175">
        <v>0.289499999999975</v>
      </c>
      <c r="AF175">
        <v>0.82276498280876698</v>
      </c>
      <c r="AG175">
        <v>-1.1583030000000001</v>
      </c>
      <c r="AH175">
        <v>25.2586906990364</v>
      </c>
      <c r="AI175">
        <v>92.624217759374801</v>
      </c>
      <c r="AJ175">
        <v>88.134333268940296</v>
      </c>
      <c r="AK175">
        <v>25.298617825611299</v>
      </c>
      <c r="AL175">
        <v>91.370476045897504</v>
      </c>
      <c r="AM175">
        <v>90.700930998854801</v>
      </c>
      <c r="AN175">
        <v>1.0000000608820301</v>
      </c>
    </row>
    <row r="176" spans="1:40" x14ac:dyDescent="0.25">
      <c r="A176" t="str">
        <f>"20190312151504696"</f>
        <v>20190312151504696</v>
      </c>
      <c r="B176" t="str">
        <f>"1552374904687840"</f>
        <v>1552374904687840</v>
      </c>
      <c r="C176" t="s">
        <v>40</v>
      </c>
      <c r="D176">
        <v>4.4814439999999998</v>
      </c>
      <c r="E176">
        <v>0.51684459999999999</v>
      </c>
      <c r="F176" t="s">
        <v>42</v>
      </c>
      <c r="G176">
        <v>-428.29590000000002</v>
      </c>
      <c r="H176">
        <v>-0.05</v>
      </c>
      <c r="I176">
        <v>368.6223</v>
      </c>
      <c r="J176">
        <v>-453.50139999999999</v>
      </c>
      <c r="K176">
        <v>1.1083069999999999</v>
      </c>
      <c r="L176">
        <v>368.34190000000001</v>
      </c>
      <c r="M176">
        <v>0.99904029999999999</v>
      </c>
      <c r="N176">
        <v>0</v>
      </c>
      <c r="O176">
        <v>4.3391520000000003E-2</v>
      </c>
      <c r="P176">
        <v>0.99802500000000005</v>
      </c>
      <c r="Q176">
        <v>-3.009736E-2</v>
      </c>
      <c r="R176">
        <v>5.5138680000000002E-2</v>
      </c>
      <c r="S176">
        <v>3.0000610000000001</v>
      </c>
      <c r="T176">
        <v>-0.13637939999999901</v>
      </c>
      <c r="U176">
        <v>3.4362789999999997E-2</v>
      </c>
      <c r="V176">
        <v>-1.1805939999999999E-2</v>
      </c>
      <c r="W176">
        <v>-2.412181E-2</v>
      </c>
      <c r="X176">
        <v>0.99963930000000001</v>
      </c>
      <c r="Y176">
        <v>3.186928E-2</v>
      </c>
      <c r="Z176">
        <v>-2.694868E-3</v>
      </c>
      <c r="AA176">
        <v>0.99948840000000005</v>
      </c>
      <c r="AB176">
        <v>27</v>
      </c>
      <c r="AC176">
        <v>25.205499999999901</v>
      </c>
      <c r="AD176">
        <v>-1.158307</v>
      </c>
      <c r="AE176">
        <v>0.28039999999998599</v>
      </c>
      <c r="AF176">
        <v>0.81187424217451798</v>
      </c>
      <c r="AG176">
        <v>-1.158307</v>
      </c>
      <c r="AH176">
        <v>25.140840073888299</v>
      </c>
      <c r="AI176">
        <v>92.636534788050795</v>
      </c>
      <c r="AJ176">
        <v>88.150387671334101</v>
      </c>
      <c r="AK176">
        <v>25.180600757571</v>
      </c>
      <c r="AL176">
        <v>91.382211991352904</v>
      </c>
      <c r="AM176">
        <v>90.676643153305903</v>
      </c>
      <c r="AN176">
        <v>0.99999998602072404</v>
      </c>
    </row>
    <row r="177" spans="1:40" x14ac:dyDescent="0.25">
      <c r="A177" t="str">
        <f>"20190312151504719"</f>
        <v>20190312151504719</v>
      </c>
      <c r="B177" t="str">
        <f>"1552374904708337"</f>
        <v>1552374904708337</v>
      </c>
      <c r="C177" t="s">
        <v>40</v>
      </c>
      <c r="D177">
        <v>4.4867269999999904</v>
      </c>
      <c r="E177">
        <v>0.5168334</v>
      </c>
      <c r="F177" t="s">
        <v>42</v>
      </c>
      <c r="G177">
        <v>-428.21159999999998</v>
      </c>
      <c r="H177">
        <v>-0.05</v>
      </c>
      <c r="I177">
        <v>368.60500000000002</v>
      </c>
      <c r="J177">
        <v>-453.24020000000002</v>
      </c>
      <c r="K177">
        <v>1.1083099999999999</v>
      </c>
      <c r="L177">
        <v>368.3526</v>
      </c>
      <c r="M177">
        <v>0.99906399999999995</v>
      </c>
      <c r="N177">
        <v>0</v>
      </c>
      <c r="O177">
        <v>4.2833580000000003E-2</v>
      </c>
      <c r="P177">
        <v>0.99804789999999999</v>
      </c>
      <c r="Q177">
        <v>-3.0642809999999999E-2</v>
      </c>
      <c r="R177">
        <v>5.4420580000000003E-2</v>
      </c>
      <c r="S177">
        <v>3.0000610000000001</v>
      </c>
      <c r="T177">
        <v>-0.1374068</v>
      </c>
      <c r="U177">
        <v>3.1219480000000001E-2</v>
      </c>
      <c r="V177">
        <v>-1.1646129999999999E-2</v>
      </c>
      <c r="W177">
        <v>-2.4579569999999999E-2</v>
      </c>
      <c r="X177">
        <v>0.99963000000000002</v>
      </c>
      <c r="Y177">
        <v>3.2357080000000003E-2</v>
      </c>
      <c r="Z177">
        <v>-2.700821E-3</v>
      </c>
      <c r="AA177">
        <v>0.99947269999999999</v>
      </c>
      <c r="AB177">
        <v>27</v>
      </c>
      <c r="AC177">
        <v>25.028600000000001</v>
      </c>
      <c r="AD177">
        <v>-1.15831</v>
      </c>
      <c r="AE177">
        <v>0.252400000000022</v>
      </c>
      <c r="AF177">
        <v>0.81816355803942498</v>
      </c>
      <c r="AG177">
        <v>-1.15831</v>
      </c>
      <c r="AH177">
        <v>24.962979857611899</v>
      </c>
      <c r="AI177">
        <v>92.6552585301596</v>
      </c>
      <c r="AJ177">
        <v>88.122798455479497</v>
      </c>
      <c r="AK177">
        <v>25.003228532238399</v>
      </c>
      <c r="AL177">
        <v>91.408447520864101</v>
      </c>
      <c r="AM177">
        <v>90.667490880424893</v>
      </c>
      <c r="AN177">
        <v>0.99999996225267995</v>
      </c>
    </row>
    <row r="178" spans="1:40" x14ac:dyDescent="0.25">
      <c r="A178" t="str">
        <f>"20190312151504740"</f>
        <v>20190312151504740</v>
      </c>
      <c r="B178" t="str">
        <f>"1552374904737617"</f>
        <v>1552374904737617</v>
      </c>
      <c r="C178" t="s">
        <v>40</v>
      </c>
      <c r="D178">
        <v>4.506081</v>
      </c>
      <c r="E178">
        <v>0.51687590000000005</v>
      </c>
      <c r="F178" t="s">
        <v>42</v>
      </c>
      <c r="G178">
        <v>-428.3879</v>
      </c>
      <c r="H178">
        <v>-0.05</v>
      </c>
      <c r="I178">
        <v>368.59379999999999</v>
      </c>
      <c r="J178">
        <v>-452.96589999999998</v>
      </c>
      <c r="K178">
        <v>1.1083179999999999</v>
      </c>
      <c r="L178">
        <v>368.36369999999999</v>
      </c>
      <c r="M178">
        <v>0.99908839999999999</v>
      </c>
      <c r="N178">
        <v>0</v>
      </c>
      <c r="O178">
        <v>4.2247779999999999E-2</v>
      </c>
      <c r="P178">
        <v>0.99811280000000002</v>
      </c>
      <c r="Q178">
        <v>-3.0868320000000001E-2</v>
      </c>
      <c r="R178">
        <v>5.3086910000000001E-2</v>
      </c>
      <c r="S178">
        <v>3</v>
      </c>
      <c r="T178">
        <v>-0.13982339999999999</v>
      </c>
      <c r="U178">
        <v>2.9113770000000001E-2</v>
      </c>
      <c r="V178">
        <v>-1.0897250000000001E-2</v>
      </c>
      <c r="W178">
        <v>-2.4711899999999998E-2</v>
      </c>
      <c r="X178">
        <v>0.99963519999999995</v>
      </c>
      <c r="Y178">
        <v>3.2470039999999999E-2</v>
      </c>
      <c r="Z178">
        <v>-2.7237089999999999E-3</v>
      </c>
      <c r="AA178">
        <v>0.99946900000000005</v>
      </c>
      <c r="AB178">
        <v>27</v>
      </c>
      <c r="AC178">
        <v>24.5779999999999</v>
      </c>
      <c r="AD178">
        <v>-1.158318</v>
      </c>
      <c r="AE178">
        <v>0.230099999999993</v>
      </c>
      <c r="AF178">
        <v>0.806699273247519</v>
      </c>
      <c r="AG178">
        <v>-1.158318</v>
      </c>
      <c r="AH178">
        <v>24.5113397832936</v>
      </c>
      <c r="AI178">
        <v>92.704118307867105</v>
      </c>
      <c r="AJ178">
        <v>88.115003626227903</v>
      </c>
      <c r="AK178">
        <v>24.551949867142</v>
      </c>
      <c r="AL178">
        <v>91.416031749451506</v>
      </c>
      <c r="AM178">
        <v>90.624569545474202</v>
      </c>
      <c r="AN178">
        <v>0.999999980569106</v>
      </c>
    </row>
    <row r="179" spans="1:40" x14ac:dyDescent="0.25">
      <c r="A179" t="str">
        <f>"20190312151504753"</f>
        <v>20190312151504753</v>
      </c>
      <c r="B179" t="str">
        <f>"1552374904748353"</f>
        <v>1552374904748353</v>
      </c>
      <c r="C179" t="s">
        <v>40</v>
      </c>
      <c r="D179">
        <v>4.511425</v>
      </c>
      <c r="E179">
        <v>0.51687380000000005</v>
      </c>
      <c r="F179" t="s">
        <v>42</v>
      </c>
      <c r="G179">
        <v>-428.4427</v>
      </c>
      <c r="H179">
        <v>-0.05</v>
      </c>
      <c r="I179">
        <v>368.56650000000002</v>
      </c>
      <c r="J179">
        <v>-452.81110000000001</v>
      </c>
      <c r="K179">
        <v>1.1083229999999999</v>
      </c>
      <c r="L179">
        <v>368.37</v>
      </c>
      <c r="M179">
        <v>0.99910180000000004</v>
      </c>
      <c r="N179">
        <v>0</v>
      </c>
      <c r="O179">
        <v>4.1917589999999998E-2</v>
      </c>
      <c r="P179">
        <v>0.99815370000000003</v>
      </c>
      <c r="Q179">
        <v>-3.071515E-2</v>
      </c>
      <c r="R179">
        <v>5.2400309999999999E-2</v>
      </c>
      <c r="S179">
        <v>2.9999690000000001</v>
      </c>
      <c r="T179">
        <v>-0.14169909999999999</v>
      </c>
      <c r="U179">
        <v>2.4810789999999999E-2</v>
      </c>
      <c r="V179">
        <v>-1.053981E-2</v>
      </c>
      <c r="W179">
        <v>-2.4505849999999999E-2</v>
      </c>
      <c r="X179">
        <v>0.99964410000000004</v>
      </c>
      <c r="Y179">
        <v>3.3570049999999997E-2</v>
      </c>
      <c r="Z179">
        <v>-2.7706559999999998E-3</v>
      </c>
      <c r="AA179">
        <v>0.99943249999999995</v>
      </c>
      <c r="AB179">
        <v>27</v>
      </c>
      <c r="AC179">
        <v>24.368400000000001</v>
      </c>
      <c r="AD179">
        <v>-1.158323</v>
      </c>
      <c r="AE179">
        <v>0.196500000000014</v>
      </c>
      <c r="AF179">
        <v>0.82329689620948998</v>
      </c>
      <c r="AG179">
        <v>-1.158323</v>
      </c>
      <c r="AH179">
        <v>24.300315953208599</v>
      </c>
      <c r="AI179">
        <v>92.727489288546394</v>
      </c>
      <c r="AJ179">
        <v>88.059556048297196</v>
      </c>
      <c r="AK179">
        <v>24.341834059441801</v>
      </c>
      <c r="AL179">
        <v>91.404222384591293</v>
      </c>
      <c r="AM179">
        <v>90.604079245802694</v>
      </c>
      <c r="AN179">
        <v>0.99999997547193398</v>
      </c>
    </row>
    <row r="180" spans="1:40" x14ac:dyDescent="0.25">
      <c r="A180" t="str">
        <f>"20190312151504773"</f>
        <v>20190312151504773</v>
      </c>
      <c r="B180" t="str">
        <f>"1552374904767873"</f>
        <v>1552374904767873</v>
      </c>
      <c r="C180" t="s">
        <v>40</v>
      </c>
      <c r="D180">
        <v>4.516356</v>
      </c>
      <c r="E180">
        <v>0.51686560000000004</v>
      </c>
      <c r="F180" t="s">
        <v>42</v>
      </c>
      <c r="G180">
        <v>-428.27600000000001</v>
      </c>
      <c r="H180">
        <v>-0.05</v>
      </c>
      <c r="I180">
        <v>368.55720000000002</v>
      </c>
      <c r="J180">
        <v>-452.55470000000003</v>
      </c>
      <c r="K180">
        <v>1.1083339999999999</v>
      </c>
      <c r="L180">
        <v>368.38010000000003</v>
      </c>
      <c r="M180">
        <v>0.99912420000000002</v>
      </c>
      <c r="N180">
        <v>0</v>
      </c>
      <c r="O180">
        <v>4.1370789999999998E-2</v>
      </c>
      <c r="P180">
        <v>0.99821539999999997</v>
      </c>
      <c r="Q180">
        <v>-3.0165330000000001E-2</v>
      </c>
      <c r="R180">
        <v>5.1539759999999997E-2</v>
      </c>
      <c r="S180">
        <v>2.9999690000000001</v>
      </c>
      <c r="T180">
        <v>-0.14163110000000001</v>
      </c>
      <c r="U180">
        <v>2.2888180000000001E-2</v>
      </c>
      <c r="V180">
        <v>-1.0223940000000001E-2</v>
      </c>
      <c r="W180">
        <v>-2.3870249999999999E-2</v>
      </c>
      <c r="X180">
        <v>0.99966279999999996</v>
      </c>
      <c r="Y180">
        <v>3.3664140000000002E-2</v>
      </c>
      <c r="Z180">
        <v>-2.7457800000000002E-3</v>
      </c>
      <c r="AA180">
        <v>0.99942940000000002</v>
      </c>
      <c r="AB180">
        <v>27</v>
      </c>
      <c r="AC180">
        <v>24.278700000000001</v>
      </c>
      <c r="AD180">
        <v>-1.158334</v>
      </c>
      <c r="AE180">
        <v>0.17709999999999501</v>
      </c>
      <c r="AF180">
        <v>0.82562115377245504</v>
      </c>
      <c r="AG180">
        <v>-1.158334</v>
      </c>
      <c r="AH180">
        <v>24.210135204281201</v>
      </c>
      <c r="AI180">
        <v>92.737638869192594</v>
      </c>
      <c r="AJ180">
        <v>88.046839388411698</v>
      </c>
      <c r="AK180">
        <v>24.251887236969601</v>
      </c>
      <c r="AL180">
        <v>91.367794472697994</v>
      </c>
      <c r="AM180">
        <v>90.585965776541997</v>
      </c>
      <c r="AN180">
        <v>1.0000000157440101</v>
      </c>
    </row>
    <row r="181" spans="1:40" x14ac:dyDescent="0.25">
      <c r="A181" t="str">
        <f>"20190312151504785"</f>
        <v>20190312151504785</v>
      </c>
      <c r="B181" t="str">
        <f>"1552374904777632"</f>
        <v>1552374904777632</v>
      </c>
      <c r="C181" t="s">
        <v>40</v>
      </c>
      <c r="D181">
        <v>4.5147629999999896</v>
      </c>
      <c r="E181">
        <v>0.51685990000000004</v>
      </c>
      <c r="F181" t="s">
        <v>42</v>
      </c>
      <c r="G181">
        <v>-427.94060000000002</v>
      </c>
      <c r="H181">
        <v>-0.05</v>
      </c>
      <c r="I181">
        <v>368.54509999999999</v>
      </c>
      <c r="J181">
        <v>-452.40690000000001</v>
      </c>
      <c r="K181">
        <v>1.108339</v>
      </c>
      <c r="L181">
        <v>368.38600000000002</v>
      </c>
      <c r="M181">
        <v>0.99913669999999999</v>
      </c>
      <c r="N181">
        <v>0</v>
      </c>
      <c r="O181">
        <v>4.1056120000000002E-2</v>
      </c>
      <c r="P181">
        <v>0.99823539999999999</v>
      </c>
      <c r="Q181">
        <v>-3.0105719999999999E-2</v>
      </c>
      <c r="R181">
        <v>5.1183039999999999E-2</v>
      </c>
      <c r="S181">
        <v>3.0000610000000001</v>
      </c>
      <c r="T181">
        <v>-0.14118159999999999</v>
      </c>
      <c r="U181">
        <v>2.011108E-2</v>
      </c>
      <c r="V181">
        <v>-1.0181539999999999E-2</v>
      </c>
      <c r="W181">
        <v>-2.3761379999999999E-2</v>
      </c>
      <c r="X181">
        <v>0.99966580000000005</v>
      </c>
      <c r="Y181">
        <v>3.4274930000000002E-2</v>
      </c>
      <c r="Z181">
        <v>-2.7365850000000001E-3</v>
      </c>
      <c r="AA181">
        <v>0.99940870000000004</v>
      </c>
      <c r="AB181">
        <v>27</v>
      </c>
      <c r="AC181">
        <v>24.466299999999901</v>
      </c>
      <c r="AD181">
        <v>-1.158339</v>
      </c>
      <c r="AE181">
        <v>0.159100000000023</v>
      </c>
      <c r="AF181">
        <v>0.84365476158725505</v>
      </c>
      <c r="AG181">
        <v>-1.158339</v>
      </c>
      <c r="AH181">
        <v>24.397518150553299</v>
      </c>
      <c r="AI181">
        <v>92.716611605923603</v>
      </c>
      <c r="AJ181">
        <v>88.019527881908601</v>
      </c>
      <c r="AK181">
        <v>24.4395661684541</v>
      </c>
      <c r="AL181">
        <v>91.361554947502896</v>
      </c>
      <c r="AM181">
        <v>90.583534118083193</v>
      </c>
      <c r="AN181">
        <v>0.99999998931295797</v>
      </c>
    </row>
    <row r="182" spans="1:40" x14ac:dyDescent="0.25">
      <c r="A182" t="str">
        <f>"20190312151504809"</f>
        <v>20190312151504809</v>
      </c>
      <c r="B182" t="str">
        <f>"1552374904798129"</f>
        <v>1552374904798129</v>
      </c>
      <c r="C182" t="s">
        <v>40</v>
      </c>
      <c r="D182">
        <v>4.5628869999999999</v>
      </c>
      <c r="E182">
        <v>0.51680959999999998</v>
      </c>
      <c r="F182" t="s">
        <v>42</v>
      </c>
      <c r="G182">
        <v>-427.82170000000002</v>
      </c>
      <c r="H182">
        <v>-0.05</v>
      </c>
      <c r="I182">
        <v>368.54480000000001</v>
      </c>
      <c r="J182">
        <v>-452.1207</v>
      </c>
      <c r="K182">
        <v>1.1083529999999999</v>
      </c>
      <c r="L182">
        <v>368.39710000000002</v>
      </c>
      <c r="M182">
        <v>0.99916099999999997</v>
      </c>
      <c r="N182">
        <v>0</v>
      </c>
      <c r="O182">
        <v>4.0446089999999997E-2</v>
      </c>
      <c r="P182">
        <v>0.9982702</v>
      </c>
      <c r="Q182">
        <v>-2.9384960000000002E-2</v>
      </c>
      <c r="R182">
        <v>5.0922450000000001E-2</v>
      </c>
      <c r="S182">
        <v>3.0000309999999999</v>
      </c>
      <c r="T182">
        <v>-0.1413471</v>
      </c>
      <c r="U182">
        <v>1.9378659999999999E-2</v>
      </c>
      <c r="V182">
        <v>-1.052876E-2</v>
      </c>
      <c r="W182">
        <v>-2.2945920000000002E-2</v>
      </c>
      <c r="X182">
        <v>0.99968120000000005</v>
      </c>
      <c r="Y182">
        <v>3.3909559999999998E-2</v>
      </c>
      <c r="Z182">
        <v>-2.702514E-3</v>
      </c>
      <c r="AA182">
        <v>0.99942120000000001</v>
      </c>
      <c r="AB182">
        <v>27</v>
      </c>
      <c r="AC182">
        <v>24.2989999999999</v>
      </c>
      <c r="AD182">
        <v>-1.158353</v>
      </c>
      <c r="AE182">
        <v>0.14769999999998601</v>
      </c>
      <c r="AF182">
        <v>0.83334703875699201</v>
      </c>
      <c r="AG182">
        <v>-1.158353</v>
      </c>
      <c r="AH182">
        <v>24.230028999240201</v>
      </c>
      <c r="AI182">
        <v>92.735412201982399</v>
      </c>
      <c r="AJ182">
        <v>88.030194063212406</v>
      </c>
      <c r="AK182">
        <v>24.272011747352799</v>
      </c>
      <c r="AL182">
        <v>91.314819853420303</v>
      </c>
      <c r="AM182">
        <v>90.603423579028004</v>
      </c>
      <c r="AN182">
        <v>0.99999993583260904</v>
      </c>
    </row>
    <row r="183" spans="1:40" x14ac:dyDescent="0.25">
      <c r="A183" t="str">
        <f>"20190312151504832"</f>
        <v>20190312151504832</v>
      </c>
      <c r="B183" t="str">
        <f>"1552374904828385"</f>
        <v>1552374904828385</v>
      </c>
      <c r="C183" t="s">
        <v>40</v>
      </c>
      <c r="D183">
        <v>4.6252579999999996</v>
      </c>
      <c r="E183">
        <v>0.51686279999999996</v>
      </c>
      <c r="F183" t="s">
        <v>42</v>
      </c>
      <c r="G183">
        <v>-427.43439999999998</v>
      </c>
      <c r="H183">
        <v>-0.05</v>
      </c>
      <c r="I183">
        <v>368.553</v>
      </c>
      <c r="J183">
        <v>-451.84199999999998</v>
      </c>
      <c r="K183">
        <v>1.1083590000000001</v>
      </c>
      <c r="L183">
        <v>368.40769999999998</v>
      </c>
      <c r="M183">
        <v>0.99918450000000003</v>
      </c>
      <c r="N183">
        <v>0</v>
      </c>
      <c r="O183">
        <v>3.9851810000000001E-2</v>
      </c>
      <c r="P183">
        <v>0.99830370000000002</v>
      </c>
      <c r="Q183">
        <v>-2.8705620000000001E-2</v>
      </c>
      <c r="R183">
        <v>5.0655159999999998E-2</v>
      </c>
      <c r="S183">
        <v>3.0000610000000001</v>
      </c>
      <c r="T183">
        <v>-0.14077219999999999</v>
      </c>
      <c r="U183">
        <v>1.895142E-2</v>
      </c>
      <c r="V183">
        <v>-1.0854529999999999E-2</v>
      </c>
      <c r="W183">
        <v>-2.217469E-2</v>
      </c>
      <c r="X183">
        <v>0.99969520000000001</v>
      </c>
      <c r="Y183">
        <v>3.345936E-2</v>
      </c>
      <c r="Z183">
        <v>-2.653103E-3</v>
      </c>
      <c r="AA183">
        <v>0.99943660000000001</v>
      </c>
      <c r="AB183">
        <v>28</v>
      </c>
      <c r="AC183">
        <v>24.407599999999999</v>
      </c>
      <c r="AD183">
        <v>-1.1583589999999999</v>
      </c>
      <c r="AE183">
        <v>0.14530000000007701</v>
      </c>
      <c r="AF183">
        <v>0.82566335932310198</v>
      </c>
      <c r="AG183">
        <v>-1.1583589999999999</v>
      </c>
      <c r="AH183">
        <v>24.3391819467437</v>
      </c>
      <c r="AI183">
        <v>92.723220996893602</v>
      </c>
      <c r="AJ183">
        <v>88.057087880877006</v>
      </c>
      <c r="AK183">
        <v>24.380715604602401</v>
      </c>
      <c r="AL183">
        <v>91.270620274984793</v>
      </c>
      <c r="AM183">
        <v>90.622083930619496</v>
      </c>
      <c r="AN183">
        <v>1.0000000153005699</v>
      </c>
    </row>
    <row r="184" spans="1:40" x14ac:dyDescent="0.25">
      <c r="A184" t="str">
        <f>"20190312151504855"</f>
        <v>20190312151504855</v>
      </c>
      <c r="B184" t="str">
        <f>"1552374904847905"</f>
        <v>1552374904847905</v>
      </c>
      <c r="C184" t="s">
        <v>40</v>
      </c>
      <c r="D184">
        <v>4.5511689999999998</v>
      </c>
      <c r="E184">
        <v>0.51681009999999905</v>
      </c>
      <c r="F184" t="s">
        <v>42</v>
      </c>
      <c r="G184">
        <v>-426.83699999999999</v>
      </c>
      <c r="H184">
        <v>-0.05</v>
      </c>
      <c r="I184">
        <v>368.55529999999999</v>
      </c>
      <c r="J184">
        <v>-451.55849999999998</v>
      </c>
      <c r="K184">
        <v>1.1083719999999999</v>
      </c>
      <c r="L184">
        <v>368.41840000000002</v>
      </c>
      <c r="M184">
        <v>0.99920770000000003</v>
      </c>
      <c r="N184">
        <v>0</v>
      </c>
      <c r="O184">
        <v>3.9248350000000001E-2</v>
      </c>
      <c r="P184">
        <v>0.99833050000000001</v>
      </c>
      <c r="Q184">
        <v>-2.9004249999999999E-2</v>
      </c>
      <c r="R184">
        <v>4.995252E-2</v>
      </c>
      <c r="S184">
        <v>3.0001829999999998</v>
      </c>
      <c r="T184">
        <v>-0.13898379999999999</v>
      </c>
      <c r="U184">
        <v>1.7700199999999999E-2</v>
      </c>
      <c r="V184">
        <v>-1.0755320000000001E-2</v>
      </c>
      <c r="W184">
        <v>-2.2381410000000001E-2</v>
      </c>
      <c r="X184">
        <v>0.99969169999999996</v>
      </c>
      <c r="Y184">
        <v>3.327571E-2</v>
      </c>
      <c r="Z184">
        <v>-2.5871620000000001E-3</v>
      </c>
      <c r="AA184">
        <v>0.99944290000000002</v>
      </c>
      <c r="AB184">
        <v>28</v>
      </c>
      <c r="AC184">
        <v>24.721499999999899</v>
      </c>
      <c r="AD184">
        <v>-1.158372</v>
      </c>
      <c r="AE184">
        <v>0.13689999999996799</v>
      </c>
      <c r="AF184">
        <v>0.83167874623815197</v>
      </c>
      <c r="AG184">
        <v>-1.158372</v>
      </c>
      <c r="AH184">
        <v>24.6536969858577</v>
      </c>
      <c r="AI184">
        <v>92.688578557124004</v>
      </c>
      <c r="AJ184">
        <v>88.067891466449893</v>
      </c>
      <c r="AK184">
        <v>24.694904136234602</v>
      </c>
      <c r="AL184">
        <v>91.282467354493406</v>
      </c>
      <c r="AM184">
        <v>90.616400705277997</v>
      </c>
      <c r="AN184">
        <v>1.00000004973538</v>
      </c>
    </row>
    <row r="185" spans="1:40" x14ac:dyDescent="0.25">
      <c r="A185" t="str">
        <f>"20190312151504875"</f>
        <v>20190312151504875</v>
      </c>
      <c r="B185" t="str">
        <f>"1552374904868401"</f>
        <v>1552374904868401</v>
      </c>
      <c r="C185" t="s">
        <v>40</v>
      </c>
      <c r="D185">
        <v>4.582484</v>
      </c>
      <c r="E185">
        <v>0.51670099999999997</v>
      </c>
      <c r="F185" t="s">
        <v>42</v>
      </c>
      <c r="G185">
        <v>-426.89339999999999</v>
      </c>
      <c r="H185">
        <v>-0.05</v>
      </c>
      <c r="I185">
        <v>368.54930000000002</v>
      </c>
      <c r="J185">
        <v>-451.30509999999998</v>
      </c>
      <c r="K185">
        <v>1.108371</v>
      </c>
      <c r="L185">
        <v>368.42779999999999</v>
      </c>
      <c r="M185">
        <v>0.99922809999999995</v>
      </c>
      <c r="N185">
        <v>0</v>
      </c>
      <c r="O185">
        <v>3.8708600000000003E-2</v>
      </c>
      <c r="P185">
        <v>0.99837980000000004</v>
      </c>
      <c r="Q185">
        <v>-2.934233E-2</v>
      </c>
      <c r="R185">
        <v>4.8752070000000002E-2</v>
      </c>
      <c r="S185">
        <v>3.0001220000000002</v>
      </c>
      <c r="T185">
        <v>-0.14089789999999999</v>
      </c>
      <c r="U185">
        <v>1.5930179999999999E-2</v>
      </c>
      <c r="V185">
        <v>-1.009409E-2</v>
      </c>
      <c r="W185">
        <v>-2.264087E-2</v>
      </c>
      <c r="X185">
        <v>0.99969269999999999</v>
      </c>
      <c r="Y185">
        <v>3.3323749999999999E-2</v>
      </c>
      <c r="Z185">
        <v>-2.5986239999999999E-3</v>
      </c>
      <c r="AA185">
        <v>0.99944120000000003</v>
      </c>
      <c r="AB185">
        <v>28</v>
      </c>
      <c r="AC185">
        <v>24.4117</v>
      </c>
      <c r="AD185">
        <v>-1.15837099999999</v>
      </c>
      <c r="AE185">
        <v>0.121500000000025</v>
      </c>
      <c r="AF185">
        <v>0.82170484510838804</v>
      </c>
      <c r="AG185">
        <v>-1.15837099999999</v>
      </c>
      <c r="AH185">
        <v>24.343295793681701</v>
      </c>
      <c r="AI185">
        <v>92.7228051178231</v>
      </c>
      <c r="AJ185">
        <v>88.066722299625198</v>
      </c>
      <c r="AK185">
        <v>24.384689301379201</v>
      </c>
      <c r="AL185">
        <v>91.297337153228895</v>
      </c>
      <c r="AM185">
        <v>90.578506876535101</v>
      </c>
      <c r="AN185">
        <v>0.99999999704028697</v>
      </c>
    </row>
    <row r="186" spans="1:40" x14ac:dyDescent="0.25">
      <c r="A186" t="str">
        <f>"20190312151504899"</f>
        <v>20190312151504899</v>
      </c>
      <c r="B186" t="str">
        <f>"1552374904887921"</f>
        <v>1552374904887921</v>
      </c>
      <c r="C186" t="s">
        <v>40</v>
      </c>
      <c r="D186">
        <v>4.752434</v>
      </c>
      <c r="E186">
        <v>0.51660689999999998</v>
      </c>
      <c r="F186" t="s">
        <v>42</v>
      </c>
      <c r="G186">
        <v>-427.07780000000002</v>
      </c>
      <c r="H186">
        <v>-0.05</v>
      </c>
      <c r="I186">
        <v>368.53570000000002</v>
      </c>
      <c r="J186">
        <v>-451.00360000000001</v>
      </c>
      <c r="K186">
        <v>1.1083750000000001</v>
      </c>
      <c r="L186">
        <v>368.43880000000001</v>
      </c>
      <c r="M186">
        <v>0.99925229999999998</v>
      </c>
      <c r="N186">
        <v>0</v>
      </c>
      <c r="O186">
        <v>3.8066929999999999E-2</v>
      </c>
      <c r="P186">
        <v>0.99841559999999996</v>
      </c>
      <c r="Q186">
        <v>-2.9715220000000001E-2</v>
      </c>
      <c r="R186">
        <v>4.778541E-2</v>
      </c>
      <c r="S186">
        <v>3.0000309999999999</v>
      </c>
      <c r="T186">
        <v>-0.1434397</v>
      </c>
      <c r="U186">
        <v>1.33667E-2</v>
      </c>
      <c r="V186">
        <v>-9.7689270000000002E-3</v>
      </c>
      <c r="W186">
        <v>-2.2925460000000002E-2</v>
      </c>
      <c r="X186">
        <v>0.99968950000000001</v>
      </c>
      <c r="Y186">
        <v>3.3533399999999998E-2</v>
      </c>
      <c r="Z186">
        <v>-2.6199090000000001E-3</v>
      </c>
      <c r="AA186">
        <v>0.99943419999999905</v>
      </c>
      <c r="AB186">
        <v>28</v>
      </c>
      <c r="AC186">
        <v>23.925799999999899</v>
      </c>
      <c r="AD186">
        <v>-1.1583749999999999</v>
      </c>
      <c r="AE186">
        <v>9.6900000000005093E-2</v>
      </c>
      <c r="AF186">
        <v>0.81206933216079102</v>
      </c>
      <c r="AG186">
        <v>-1.1583749999999999</v>
      </c>
      <c r="AH186">
        <v>23.856227273956701</v>
      </c>
      <c r="AI186">
        <v>92.7782927186812</v>
      </c>
      <c r="AJ186">
        <v>88.050396395438497</v>
      </c>
      <c r="AK186">
        <v>23.898135261721499</v>
      </c>
      <c r="AL186">
        <v>91.313647119913298</v>
      </c>
      <c r="AM186">
        <v>90.559874313404606</v>
      </c>
      <c r="AN186">
        <v>1.0000000525305901</v>
      </c>
    </row>
    <row r="187" spans="1:40" x14ac:dyDescent="0.25">
      <c r="A187" t="str">
        <f>"20190312151504921"</f>
        <v>20190312151504921</v>
      </c>
      <c r="B187" t="str">
        <f>"1552374904918177"</f>
        <v>1552374904918177</v>
      </c>
      <c r="C187" t="s">
        <v>40</v>
      </c>
      <c r="D187">
        <v>4.4755200000000004</v>
      </c>
      <c r="E187">
        <v>0.51687839999999996</v>
      </c>
      <c r="F187" t="s">
        <v>42</v>
      </c>
      <c r="G187">
        <v>-426.89850000000001</v>
      </c>
      <c r="H187">
        <v>-0.05</v>
      </c>
      <c r="I187">
        <v>368.53</v>
      </c>
      <c r="J187">
        <v>-450.73149999999998</v>
      </c>
      <c r="K187">
        <v>1.108374</v>
      </c>
      <c r="L187">
        <v>368.4486</v>
      </c>
      <c r="M187">
        <v>0.99927350000000004</v>
      </c>
      <c r="N187">
        <v>0</v>
      </c>
      <c r="O187">
        <v>3.7487970000000002E-2</v>
      </c>
      <c r="P187">
        <v>0.99846590000000002</v>
      </c>
      <c r="Q187">
        <v>-2.9831110000000001E-2</v>
      </c>
      <c r="R187">
        <v>4.6647719999999997E-2</v>
      </c>
      <c r="S187">
        <v>2.999908</v>
      </c>
      <c r="T187">
        <v>-0.14416129999999999</v>
      </c>
      <c r="U187">
        <v>1.135254E-2</v>
      </c>
      <c r="V187">
        <v>-9.2092830000000004E-3</v>
      </c>
      <c r="W187">
        <v>-2.296728E-2</v>
      </c>
      <c r="X187">
        <v>0.99969379999999997</v>
      </c>
      <c r="Y187">
        <v>3.3624929999999997E-2</v>
      </c>
      <c r="Z187">
        <v>-2.6076010000000002E-3</v>
      </c>
      <c r="AA187">
        <v>0.99943110000000002</v>
      </c>
      <c r="AB187">
        <v>28</v>
      </c>
      <c r="AC187">
        <v>23.832999999999899</v>
      </c>
      <c r="AD187">
        <v>-1.158374</v>
      </c>
      <c r="AE187">
        <v>8.1399999999973702E-2</v>
      </c>
      <c r="AF187">
        <v>0.81021509046996598</v>
      </c>
      <c r="AG187">
        <v>-1.158374</v>
      </c>
      <c r="AH187">
        <v>23.763162360555398</v>
      </c>
      <c r="AI187">
        <v>92.789148700704501</v>
      </c>
      <c r="AJ187">
        <v>88.047232579650498</v>
      </c>
      <c r="AK187">
        <v>23.8051709548749</v>
      </c>
      <c r="AL187">
        <v>91.316043929103103</v>
      </c>
      <c r="AM187">
        <v>90.527799735232307</v>
      </c>
      <c r="AN187">
        <v>1.0000000003012</v>
      </c>
    </row>
    <row r="188" spans="1:40" x14ac:dyDescent="0.25">
      <c r="A188" t="str">
        <f>"20190312151504944"</f>
        <v>20190312151504944</v>
      </c>
      <c r="B188" t="str">
        <f>"1552374904937697"</f>
        <v>1552374904937697</v>
      </c>
      <c r="C188" t="s">
        <v>40</v>
      </c>
      <c r="D188">
        <v>4.5891320000000002</v>
      </c>
      <c r="E188">
        <v>0.51721439999999996</v>
      </c>
      <c r="F188" t="s">
        <v>42</v>
      </c>
      <c r="G188">
        <v>-426.98250000000002</v>
      </c>
      <c r="H188">
        <v>-0.05</v>
      </c>
      <c r="I188">
        <v>368.49259999999998</v>
      </c>
      <c r="J188">
        <v>-450.43349999999998</v>
      </c>
      <c r="K188">
        <v>1.1083799999999999</v>
      </c>
      <c r="L188">
        <v>368.45909999999998</v>
      </c>
      <c r="M188">
        <v>0.99929659999999998</v>
      </c>
      <c r="N188">
        <v>0</v>
      </c>
      <c r="O188">
        <v>3.6854089999999999E-2</v>
      </c>
      <c r="P188">
        <v>0.99850099999999997</v>
      </c>
      <c r="Q188">
        <v>-2.9857000000000002E-2</v>
      </c>
      <c r="R188">
        <v>4.5872330000000003E-2</v>
      </c>
      <c r="S188">
        <v>2.9999690000000001</v>
      </c>
      <c r="T188">
        <v>-0.14632609999999999</v>
      </c>
      <c r="U188">
        <v>5.5541990000000001E-3</v>
      </c>
      <c r="V188">
        <v>-9.067238E-3</v>
      </c>
      <c r="W188">
        <v>-2.291605E-2</v>
      </c>
      <c r="X188">
        <v>0.99969629999999998</v>
      </c>
      <c r="Y188">
        <v>3.4919449999999998E-2</v>
      </c>
      <c r="Z188">
        <v>-2.6473489999999998E-3</v>
      </c>
      <c r="AA188">
        <v>0.99938660000000001</v>
      </c>
      <c r="AB188">
        <v>28</v>
      </c>
      <c r="AC188">
        <v>23.450999999999901</v>
      </c>
      <c r="AD188">
        <v>-1.15838</v>
      </c>
      <c r="AE188">
        <v>3.3500000000003603E-2</v>
      </c>
      <c r="AF188">
        <v>0.828786615387892</v>
      </c>
      <c r="AG188">
        <v>-1.15838</v>
      </c>
      <c r="AH188">
        <v>23.3792587079685</v>
      </c>
      <c r="AI188">
        <v>92.834755896156196</v>
      </c>
      <c r="AJ188">
        <v>87.969734659641006</v>
      </c>
      <c r="AK188">
        <v>23.422605944095299</v>
      </c>
      <c r="AL188">
        <v>91.313107859565505</v>
      </c>
      <c r="AM188">
        <v>90.519658044179806</v>
      </c>
      <c r="AN188">
        <v>1.0000000261931199</v>
      </c>
    </row>
    <row r="189" spans="1:40" x14ac:dyDescent="0.25">
      <c r="A189" t="str">
        <f>"20190312151504965"</f>
        <v>20190312151504965</v>
      </c>
      <c r="B189" t="str">
        <f>"1552374904958193"</f>
        <v>1552374904958193</v>
      </c>
      <c r="C189" t="s">
        <v>40</v>
      </c>
      <c r="D189">
        <v>4.5578139999999996</v>
      </c>
      <c r="E189">
        <v>0.51748709999999998</v>
      </c>
      <c r="F189" t="s">
        <v>42</v>
      </c>
      <c r="G189">
        <v>-427.07549999999998</v>
      </c>
      <c r="H189">
        <v>-0.05</v>
      </c>
      <c r="I189">
        <v>368.46260000000001</v>
      </c>
      <c r="J189">
        <v>-450.17329999999998</v>
      </c>
      <c r="K189">
        <v>1.108384</v>
      </c>
      <c r="L189">
        <v>368.46809999999999</v>
      </c>
      <c r="M189">
        <v>0.99931639999999999</v>
      </c>
      <c r="N189">
        <v>0</v>
      </c>
      <c r="O189">
        <v>3.6300600000000002E-2</v>
      </c>
      <c r="P189">
        <v>0.99851279999999998</v>
      </c>
      <c r="Q189">
        <v>-2.9976539999999999E-2</v>
      </c>
      <c r="R189">
        <v>4.5541199999999997E-2</v>
      </c>
      <c r="S189">
        <v>3.0000610000000001</v>
      </c>
      <c r="T189">
        <v>-0.1487802</v>
      </c>
      <c r="U189">
        <v>4.577637E-4</v>
      </c>
      <c r="V189">
        <v>-9.2903199999999995E-3</v>
      </c>
      <c r="W189">
        <v>-2.2967870000000001E-2</v>
      </c>
      <c r="X189">
        <v>0.99969300000000005</v>
      </c>
      <c r="Y189">
        <v>3.6060090000000003E-2</v>
      </c>
      <c r="Z189">
        <v>-2.6924789999999998E-3</v>
      </c>
      <c r="AA189">
        <v>0.99934599999999996</v>
      </c>
      <c r="AB189">
        <v>28</v>
      </c>
      <c r="AC189">
        <v>23.097799999999999</v>
      </c>
      <c r="AD189">
        <v>-1.1583840000000001</v>
      </c>
      <c r="AE189">
        <v>-5.4999999999836204E-3</v>
      </c>
      <c r="AF189">
        <v>0.84186350354220896</v>
      </c>
      <c r="AG189">
        <v>-1.1583840000000001</v>
      </c>
      <c r="AH189">
        <v>23.024466225910299</v>
      </c>
      <c r="AI189">
        <v>92.878259582680499</v>
      </c>
      <c r="AJ189">
        <v>87.9059776263461</v>
      </c>
      <c r="AK189">
        <v>23.068953869608698</v>
      </c>
      <c r="AL189">
        <v>91.316077790745993</v>
      </c>
      <c r="AM189">
        <v>90.532444263934096</v>
      </c>
      <c r="AN189">
        <v>0.99999996367351895</v>
      </c>
    </row>
    <row r="190" spans="1:40" x14ac:dyDescent="0.25">
      <c r="A190" t="str">
        <f>"20190312151504989"</f>
        <v>20190312151504989</v>
      </c>
      <c r="B190" t="str">
        <f>"1552374904977718"</f>
        <v>1552374904977718</v>
      </c>
      <c r="C190" t="s">
        <v>40</v>
      </c>
      <c r="D190">
        <v>4.5836839999999999</v>
      </c>
      <c r="E190">
        <v>0.51770459999999996</v>
      </c>
      <c r="F190" t="s">
        <v>42</v>
      </c>
      <c r="G190">
        <v>-427.1542</v>
      </c>
      <c r="H190">
        <v>-0.05</v>
      </c>
      <c r="I190">
        <v>368.4477</v>
      </c>
      <c r="J190">
        <v>-449.8725</v>
      </c>
      <c r="K190">
        <v>1.108385</v>
      </c>
      <c r="L190">
        <v>368.47829999999999</v>
      </c>
      <c r="M190">
        <v>0.99933879999999997</v>
      </c>
      <c r="N190">
        <v>0</v>
      </c>
      <c r="O190">
        <v>3.5661640000000001E-2</v>
      </c>
      <c r="P190">
        <v>0.9985465</v>
      </c>
      <c r="Q190">
        <v>-2.9941909999999999E-2</v>
      </c>
      <c r="R190">
        <v>4.4812009999999999E-2</v>
      </c>
      <c r="S190">
        <v>3.0000610000000001</v>
      </c>
      <c r="T190">
        <v>-0.15097140000000001</v>
      </c>
      <c r="U190">
        <v>-2.6550290000000002E-3</v>
      </c>
      <c r="V190">
        <v>-9.1988199999999999E-3</v>
      </c>
      <c r="W190">
        <v>-2.2851320000000001E-2</v>
      </c>
      <c r="X190">
        <v>0.99969660000000005</v>
      </c>
      <c r="Y190">
        <v>3.6455710000000002E-2</v>
      </c>
      <c r="Z190">
        <v>-2.7099200000000002E-3</v>
      </c>
      <c r="AA190">
        <v>0.99933159999999999</v>
      </c>
      <c r="AB190">
        <v>28</v>
      </c>
      <c r="AC190">
        <v>22.718299999999999</v>
      </c>
      <c r="AD190">
        <v>-1.158385</v>
      </c>
      <c r="AE190">
        <v>-3.0599999999992598E-2</v>
      </c>
      <c r="AF190">
        <v>0.838592470969732</v>
      </c>
      <c r="AG190">
        <v>-1.158385</v>
      </c>
      <c r="AH190">
        <v>22.643885976856801</v>
      </c>
      <c r="AI190">
        <v>92.926503709298899</v>
      </c>
      <c r="AJ190">
        <v>87.879080412396902</v>
      </c>
      <c r="AK190">
        <v>22.688998771948601</v>
      </c>
      <c r="AL190">
        <v>91.309398105699998</v>
      </c>
      <c r="AM190">
        <v>90.527198640175101</v>
      </c>
      <c r="AN190">
        <v>1.0000000465833401</v>
      </c>
    </row>
    <row r="191" spans="1:40" x14ac:dyDescent="0.25">
      <c r="A191" t="str">
        <f>"20190312151505010"</f>
        <v>20190312151505010</v>
      </c>
      <c r="B191" t="str">
        <f>"1552374905007570"</f>
        <v>1552374905007570</v>
      </c>
      <c r="C191" t="s">
        <v>40</v>
      </c>
      <c r="D191">
        <v>4.5585269999999998</v>
      </c>
      <c r="E191">
        <v>0.51794059999999997</v>
      </c>
      <c r="F191" t="s">
        <v>42</v>
      </c>
      <c r="G191">
        <v>-426.84109999999998</v>
      </c>
      <c r="H191">
        <v>-0.05</v>
      </c>
      <c r="I191">
        <v>368.42790000000002</v>
      </c>
      <c r="J191">
        <v>-449.60340000000002</v>
      </c>
      <c r="K191">
        <v>1.108392</v>
      </c>
      <c r="L191">
        <v>368.48739999999998</v>
      </c>
      <c r="M191">
        <v>0.99935870000000004</v>
      </c>
      <c r="N191">
        <v>0</v>
      </c>
      <c r="O191">
        <v>3.5090030000000001E-2</v>
      </c>
      <c r="P191">
        <v>0.99857720000000005</v>
      </c>
      <c r="Q191">
        <v>-2.9797170000000001E-2</v>
      </c>
      <c r="R191">
        <v>4.422777E-2</v>
      </c>
      <c r="S191">
        <v>3.000092</v>
      </c>
      <c r="T191">
        <v>-0.15089249999999901</v>
      </c>
      <c r="U191">
        <v>-6.5612789999999997E-3</v>
      </c>
      <c r="V191">
        <v>-9.1855189999999996E-3</v>
      </c>
      <c r="W191">
        <v>-2.2627640000000001E-2</v>
      </c>
      <c r="X191">
        <v>0.99970170000000003</v>
      </c>
      <c r="Y191">
        <v>3.7185169999999997E-2</v>
      </c>
      <c r="Z191">
        <v>-2.6981000000000002E-3</v>
      </c>
      <c r="AA191">
        <v>0.99930479999999999</v>
      </c>
      <c r="AB191">
        <v>28</v>
      </c>
      <c r="AC191">
        <v>22.7623</v>
      </c>
      <c r="AD191">
        <v>-1.1583920000000001</v>
      </c>
      <c r="AE191">
        <v>-5.9499999999957198E-2</v>
      </c>
      <c r="AF191">
        <v>0.85599655613237402</v>
      </c>
      <c r="AG191">
        <v>-1.1583920000000001</v>
      </c>
      <c r="AH191">
        <v>22.687436110554799</v>
      </c>
      <c r="AI191">
        <v>92.920837675207494</v>
      </c>
      <c r="AJ191">
        <v>87.839256191284903</v>
      </c>
      <c r="AK191">
        <v>22.7331115204294</v>
      </c>
      <c r="AL191">
        <v>91.296579014434002</v>
      </c>
      <c r="AM191">
        <v>90.526433696694497</v>
      </c>
      <c r="AN191">
        <v>0.99999993641707696</v>
      </c>
    </row>
    <row r="192" spans="1:40" x14ac:dyDescent="0.25">
      <c r="A192" t="str">
        <f>"20190312151505033"</f>
        <v>20190312151505033</v>
      </c>
      <c r="B192" t="str">
        <f>"1552374905028067"</f>
        <v>1552374905028067</v>
      </c>
      <c r="C192" t="s">
        <v>40</v>
      </c>
      <c r="D192">
        <v>4.5650870000000001</v>
      </c>
      <c r="E192">
        <v>0.5181057</v>
      </c>
      <c r="F192" t="s">
        <v>42</v>
      </c>
      <c r="G192">
        <v>-426.279</v>
      </c>
      <c r="H192">
        <v>-0.05</v>
      </c>
      <c r="I192">
        <v>368.40719999999999</v>
      </c>
      <c r="J192">
        <v>-449.30930000000001</v>
      </c>
      <c r="K192">
        <v>1.1084050000000001</v>
      </c>
      <c r="L192">
        <v>368.49700000000001</v>
      </c>
      <c r="M192">
        <v>0.99937960000000003</v>
      </c>
      <c r="N192">
        <v>0</v>
      </c>
      <c r="O192">
        <v>3.4465379999999997E-2</v>
      </c>
      <c r="P192">
        <v>0.99862150000000005</v>
      </c>
      <c r="Q192">
        <v>-2.959823E-2</v>
      </c>
      <c r="R192">
        <v>4.334942E-2</v>
      </c>
      <c r="S192">
        <v>3.0002439999999999</v>
      </c>
      <c r="T192">
        <v>-0.1490052</v>
      </c>
      <c r="U192">
        <v>-1.031494E-2</v>
      </c>
      <c r="V192">
        <v>-8.9305449999999998E-3</v>
      </c>
      <c r="W192">
        <v>-2.2336100000000001E-2</v>
      </c>
      <c r="X192">
        <v>0.9997106</v>
      </c>
      <c r="Y192">
        <v>3.7812980000000003E-2</v>
      </c>
      <c r="Z192">
        <v>-2.6488549999999999E-3</v>
      </c>
      <c r="AA192">
        <v>0.99928130000000004</v>
      </c>
      <c r="AB192">
        <v>28</v>
      </c>
      <c r="AC192">
        <v>23.0303</v>
      </c>
      <c r="AD192">
        <v>-1.1584049999999999</v>
      </c>
      <c r="AE192">
        <v>-8.9799999999968294E-2</v>
      </c>
      <c r="AF192">
        <v>0.88128591965080505</v>
      </c>
      <c r="AG192">
        <v>-1.1584049999999999</v>
      </c>
      <c r="AH192">
        <v>22.9554451847591</v>
      </c>
      <c r="AI192">
        <v>92.886754302448693</v>
      </c>
      <c r="AJ192">
        <v>87.801428903011299</v>
      </c>
      <c r="AK192">
        <v>23.001544092662101</v>
      </c>
      <c r="AL192">
        <v>91.279870735931297</v>
      </c>
      <c r="AM192">
        <v>90.511817046862006</v>
      </c>
      <c r="AN192">
        <v>0.99999996987478301</v>
      </c>
    </row>
    <row r="193" spans="1:40" x14ac:dyDescent="0.25">
      <c r="A193" t="str">
        <f>"20190312151505056"</f>
        <v>20190312151505056</v>
      </c>
      <c r="B193" t="str">
        <f>"1552374905047586"</f>
        <v>1552374905047586</v>
      </c>
      <c r="C193" t="s">
        <v>40</v>
      </c>
      <c r="D193">
        <v>4.6274100000000002</v>
      </c>
      <c r="E193">
        <v>0.51827409999999996</v>
      </c>
      <c r="F193" t="s">
        <v>42</v>
      </c>
      <c r="G193">
        <v>-425.82709999999997</v>
      </c>
      <c r="H193">
        <v>-0.05</v>
      </c>
      <c r="I193">
        <v>368.38619999999997</v>
      </c>
      <c r="J193">
        <v>-449.0179</v>
      </c>
      <c r="K193">
        <v>1.108417</v>
      </c>
      <c r="L193">
        <v>368.50639999999999</v>
      </c>
      <c r="M193">
        <v>0.99939999999999996</v>
      </c>
      <c r="N193">
        <v>0</v>
      </c>
      <c r="O193">
        <v>3.3847599999999999E-2</v>
      </c>
      <c r="P193">
        <v>0.99865720000000002</v>
      </c>
      <c r="Q193">
        <v>-2.940193E-2</v>
      </c>
      <c r="R193">
        <v>4.2653950000000003E-2</v>
      </c>
      <c r="S193">
        <v>3.0003660000000001</v>
      </c>
      <c r="T193">
        <v>-0.14801230000000001</v>
      </c>
      <c r="U193">
        <v>-1.416016E-2</v>
      </c>
      <c r="V193">
        <v>-8.8524250000000006E-3</v>
      </c>
      <c r="W193">
        <v>-2.2040859999999999E-2</v>
      </c>
      <c r="X193">
        <v>0.99971790000000005</v>
      </c>
      <c r="Y193">
        <v>3.8476929999999999E-2</v>
      </c>
      <c r="Z193">
        <v>-2.6170439999999998E-3</v>
      </c>
      <c r="AA193">
        <v>0.99925609999999998</v>
      </c>
      <c r="AB193">
        <v>28</v>
      </c>
      <c r="AC193">
        <v>23.190799999999999</v>
      </c>
      <c r="AD193">
        <v>-1.158417</v>
      </c>
      <c r="AE193">
        <v>-0.12020000000001101</v>
      </c>
      <c r="AF193">
        <v>0.90285253026989698</v>
      </c>
      <c r="AG193">
        <v>-1.158417</v>
      </c>
      <c r="AH193">
        <v>23.115766513433901</v>
      </c>
      <c r="AI193">
        <v>92.866722358226596</v>
      </c>
      <c r="AJ193">
        <v>87.763285992968406</v>
      </c>
      <c r="AK193">
        <v>23.162377558033601</v>
      </c>
      <c r="AL193">
        <v>91.262950497591405</v>
      </c>
      <c r="AM193">
        <v>90.507336454561298</v>
      </c>
      <c r="AN193">
        <v>1.0000000222591601</v>
      </c>
    </row>
    <row r="194" spans="1:40" x14ac:dyDescent="0.25">
      <c r="A194" t="str">
        <f>"20190312151505076"</f>
        <v>20190312151505076</v>
      </c>
      <c r="B194" t="str">
        <f>"1552374905068083"</f>
        <v>1552374905068083</v>
      </c>
      <c r="C194" t="s">
        <v>40</v>
      </c>
      <c r="D194">
        <v>4.7734930000000002</v>
      </c>
      <c r="E194">
        <v>0.51844069999999998</v>
      </c>
      <c r="F194" t="s">
        <v>42</v>
      </c>
      <c r="G194">
        <v>-425.3603</v>
      </c>
      <c r="H194">
        <v>-0.05</v>
      </c>
      <c r="I194">
        <v>368.36759999999998</v>
      </c>
      <c r="J194">
        <v>-448.7561</v>
      </c>
      <c r="K194">
        <v>1.108428</v>
      </c>
      <c r="L194">
        <v>368.5147</v>
      </c>
      <c r="M194">
        <v>0.99941809999999998</v>
      </c>
      <c r="N194">
        <v>0</v>
      </c>
      <c r="O194">
        <v>3.329215E-2</v>
      </c>
      <c r="P194">
        <v>0.99868489999999999</v>
      </c>
      <c r="Q194">
        <v>-2.9248469999999999E-2</v>
      </c>
      <c r="R194">
        <v>4.2111879999999997E-2</v>
      </c>
      <c r="S194">
        <v>3.0004580000000001</v>
      </c>
      <c r="T194">
        <v>-0.14691969999999999</v>
      </c>
      <c r="U194">
        <v>-1.7608639999999998E-2</v>
      </c>
      <c r="V194">
        <v>-8.8643899999999998E-3</v>
      </c>
      <c r="W194">
        <v>-2.1796940000000001E-2</v>
      </c>
      <c r="X194">
        <v>0.99972309999999998</v>
      </c>
      <c r="Y194">
        <v>3.9071109999999999E-2</v>
      </c>
      <c r="Z194">
        <v>-2.5850370000000001E-3</v>
      </c>
      <c r="AA194">
        <v>0.99923309999999999</v>
      </c>
      <c r="AB194">
        <v>29</v>
      </c>
      <c r="AC194">
        <v>23.395800000000001</v>
      </c>
      <c r="AD194">
        <v>-1.158428</v>
      </c>
      <c r="AE194">
        <v>-0.14710000000002299</v>
      </c>
      <c r="AF194">
        <v>0.92367194193856905</v>
      </c>
      <c r="AG194">
        <v>-1.158428</v>
      </c>
      <c r="AH194">
        <v>23.320760126545899</v>
      </c>
      <c r="AI194">
        <v>92.841530571118398</v>
      </c>
      <c r="AJ194">
        <v>87.7318554012855</v>
      </c>
      <c r="AK194">
        <v>23.367776491729</v>
      </c>
      <c r="AL194">
        <v>91.248971605282193</v>
      </c>
      <c r="AM194">
        <v>90.508019495864403</v>
      </c>
      <c r="AN194">
        <v>0.999999980338522</v>
      </c>
    </row>
    <row r="195" spans="1:40" x14ac:dyDescent="0.25">
      <c r="A195" t="str">
        <f>"20190312151505099"</f>
        <v>20190312151505099</v>
      </c>
      <c r="B195" t="str">
        <f>"1552374905087608"</f>
        <v>1552374905087608</v>
      </c>
      <c r="C195" t="s">
        <v>40</v>
      </c>
      <c r="D195">
        <v>4.5567409999999997</v>
      </c>
      <c r="E195">
        <v>0.51858059999999995</v>
      </c>
      <c r="F195" t="s">
        <v>42</v>
      </c>
      <c r="G195">
        <v>-425.053</v>
      </c>
      <c r="H195">
        <v>-0.05</v>
      </c>
      <c r="I195">
        <v>368.35129999999998</v>
      </c>
      <c r="J195">
        <v>-448.4674</v>
      </c>
      <c r="K195">
        <v>1.1084369999999999</v>
      </c>
      <c r="L195">
        <v>368.52359999999999</v>
      </c>
      <c r="M195">
        <v>0.99943740000000003</v>
      </c>
      <c r="N195">
        <v>0</v>
      </c>
      <c r="O195">
        <v>3.2679979999999997E-2</v>
      </c>
      <c r="P195">
        <v>0.99872640000000001</v>
      </c>
      <c r="Q195">
        <v>-2.9104229999999998E-2</v>
      </c>
      <c r="R195">
        <v>4.1216339999999997E-2</v>
      </c>
      <c r="S195">
        <v>3.0005190000000002</v>
      </c>
      <c r="T195">
        <v>-0.1466422</v>
      </c>
      <c r="U195">
        <v>-2.0690920000000002E-2</v>
      </c>
      <c r="V195">
        <v>-8.580318E-3</v>
      </c>
      <c r="W195">
        <v>-2.1554540000000001E-2</v>
      </c>
      <c r="X195">
        <v>0.99973080000000003</v>
      </c>
      <c r="Y195">
        <v>3.9485939999999997E-2</v>
      </c>
      <c r="Z195">
        <v>-2.5603480000000001E-3</v>
      </c>
      <c r="AA195">
        <v>0.99921689999999996</v>
      </c>
      <c r="AB195">
        <v>29</v>
      </c>
      <c r="AC195">
        <v>23.414399999999901</v>
      </c>
      <c r="AD195">
        <v>-1.1584369999999999</v>
      </c>
      <c r="AE195">
        <v>-0.172300000000007</v>
      </c>
      <c r="AF195">
        <v>0.935122973542172</v>
      </c>
      <c r="AG195">
        <v>-1.1584369999999999</v>
      </c>
      <c r="AH195">
        <v>23.339135143490498</v>
      </c>
      <c r="AI195">
        <v>92.839267303931507</v>
      </c>
      <c r="AJ195">
        <v>87.705572366690603</v>
      </c>
      <c r="AK195">
        <v>23.386570088508702</v>
      </c>
      <c r="AL195">
        <v>91.2350798862971</v>
      </c>
      <c r="AM195">
        <v>90.491736313169696</v>
      </c>
      <c r="AN195">
        <v>0.99999994626011501</v>
      </c>
    </row>
    <row r="196" spans="1:40" x14ac:dyDescent="0.25">
      <c r="A196" t="str">
        <f>"20190312151505121"</f>
        <v>20190312151505121</v>
      </c>
      <c r="B196" t="str">
        <f>"1552374905117858"</f>
        <v>1552374905117858</v>
      </c>
      <c r="C196" t="s">
        <v>40</v>
      </c>
      <c r="D196">
        <v>4.5426859999999998</v>
      </c>
      <c r="E196">
        <v>0.51887209999999995</v>
      </c>
      <c r="F196" t="s">
        <v>42</v>
      </c>
      <c r="G196">
        <v>-424.71539999999999</v>
      </c>
      <c r="H196">
        <v>-0.05</v>
      </c>
      <c r="I196">
        <v>368.33010000000002</v>
      </c>
      <c r="J196">
        <v>-448.18360000000001</v>
      </c>
      <c r="K196">
        <v>1.108455</v>
      </c>
      <c r="L196">
        <v>368.53230000000002</v>
      </c>
      <c r="M196">
        <v>0.99945620000000002</v>
      </c>
      <c r="N196">
        <v>0</v>
      </c>
      <c r="O196">
        <v>3.207836E-2</v>
      </c>
      <c r="P196">
        <v>0.99877570000000004</v>
      </c>
      <c r="Q196">
        <v>-2.8640229999999999E-2</v>
      </c>
      <c r="R196">
        <v>4.033697E-2</v>
      </c>
      <c r="S196">
        <v>3.0005799999999998</v>
      </c>
      <c r="T196">
        <v>-0.146345</v>
      </c>
      <c r="U196">
        <v>-2.444458E-2</v>
      </c>
      <c r="V196">
        <v>-8.3005900000000001E-3</v>
      </c>
      <c r="W196">
        <v>-2.0995280000000002E-2</v>
      </c>
      <c r="X196">
        <v>0.99974510000000005</v>
      </c>
      <c r="Y196">
        <v>4.013456E-2</v>
      </c>
      <c r="Z196">
        <v>-2.5416029999999999E-3</v>
      </c>
      <c r="AA196">
        <v>0.99919100000000005</v>
      </c>
      <c r="AB196">
        <v>29</v>
      </c>
      <c r="AC196">
        <v>23.4682</v>
      </c>
      <c r="AD196">
        <v>-1.158455</v>
      </c>
      <c r="AE196">
        <v>-0.20220000000000399</v>
      </c>
      <c r="AF196">
        <v>0.95261818574936397</v>
      </c>
      <c r="AG196">
        <v>-1.158455</v>
      </c>
      <c r="AH196">
        <v>23.3926389364341</v>
      </c>
      <c r="AI196">
        <v>92.832752997318593</v>
      </c>
      <c r="AJ196">
        <v>87.668033094463098</v>
      </c>
      <c r="AK196">
        <v>23.4406709760027</v>
      </c>
      <c r="AL196">
        <v>91.203029347771604</v>
      </c>
      <c r="AM196">
        <v>90.475699102394898</v>
      </c>
      <c r="AN196">
        <v>0.99999998327531803</v>
      </c>
    </row>
    <row r="197" spans="1:40" x14ac:dyDescent="0.25">
      <c r="A197" t="str">
        <f>"20190312151505145"</f>
        <v>20190312151505145</v>
      </c>
      <c r="B197" t="str">
        <f>"1552374905138354"</f>
        <v>1552374905138354</v>
      </c>
      <c r="C197" t="s">
        <v>40</v>
      </c>
      <c r="D197">
        <v>4.5537919999999996</v>
      </c>
      <c r="E197">
        <v>0.51900919999999995</v>
      </c>
      <c r="F197" t="s">
        <v>42</v>
      </c>
      <c r="G197">
        <v>-424.45249999999999</v>
      </c>
      <c r="H197">
        <v>-0.05</v>
      </c>
      <c r="I197">
        <v>368.30009999999999</v>
      </c>
      <c r="J197">
        <v>-447.88240000000002</v>
      </c>
      <c r="K197">
        <v>1.1084670000000001</v>
      </c>
      <c r="L197">
        <v>368.5412</v>
      </c>
      <c r="M197">
        <v>0.99947569999999997</v>
      </c>
      <c r="N197">
        <v>0</v>
      </c>
      <c r="O197">
        <v>3.1440240000000001E-2</v>
      </c>
      <c r="P197">
        <v>0.99880670000000005</v>
      </c>
      <c r="Q197">
        <v>-2.8264689999999999E-2</v>
      </c>
      <c r="R197">
        <v>3.9828889999999999E-2</v>
      </c>
      <c r="S197">
        <v>3.0006710000000001</v>
      </c>
      <c r="T197">
        <v>-0.14648</v>
      </c>
      <c r="U197">
        <v>-2.9357910000000001E-2</v>
      </c>
      <c r="V197">
        <v>-8.4298629999999992E-3</v>
      </c>
      <c r="W197">
        <v>-2.0519889999999999E-2</v>
      </c>
      <c r="X197">
        <v>0.99975389999999997</v>
      </c>
      <c r="Y197">
        <v>4.1131750000000002E-2</v>
      </c>
      <c r="Z197">
        <v>-2.5370610000000002E-3</v>
      </c>
      <c r="AA197">
        <v>0.99915050000000005</v>
      </c>
      <c r="AB197">
        <v>29</v>
      </c>
      <c r="AC197">
        <v>23.4299</v>
      </c>
      <c r="AD197">
        <v>-1.1584669999999999</v>
      </c>
      <c r="AE197">
        <v>-0.241100000000017</v>
      </c>
      <c r="AF197">
        <v>0.97526054833799403</v>
      </c>
      <c r="AG197">
        <v>-1.1584669999999999</v>
      </c>
      <c r="AH197">
        <v>23.353649140978099</v>
      </c>
      <c r="AI197">
        <v>92.837382997920798</v>
      </c>
      <c r="AJ197">
        <v>87.608687870320097</v>
      </c>
      <c r="AK197">
        <v>23.402694441605199</v>
      </c>
      <c r="AL197">
        <v>91.175785623231107</v>
      </c>
      <c r="AM197">
        <v>90.483103017308807</v>
      </c>
      <c r="AN197">
        <v>0.99999999452051003</v>
      </c>
    </row>
    <row r="198" spans="1:40" x14ac:dyDescent="0.25">
      <c r="A198" t="str">
        <f>"20190312151505166"</f>
        <v>20190312151505166</v>
      </c>
      <c r="B198" t="str">
        <f>"1552374905157874"</f>
        <v>1552374905157874</v>
      </c>
      <c r="C198" t="s">
        <v>40</v>
      </c>
      <c r="D198">
        <v>4.5018849999999997</v>
      </c>
      <c r="E198">
        <v>0.51914939999999998</v>
      </c>
      <c r="F198" t="s">
        <v>42</v>
      </c>
      <c r="G198">
        <v>-424.1028</v>
      </c>
      <c r="H198">
        <v>-0.05</v>
      </c>
      <c r="I198">
        <v>368.28660000000002</v>
      </c>
      <c r="J198">
        <v>-447.59840000000003</v>
      </c>
      <c r="K198">
        <v>1.1084719999999999</v>
      </c>
      <c r="L198">
        <v>368.54950000000002</v>
      </c>
      <c r="M198">
        <v>0.99949379999999999</v>
      </c>
      <c r="N198">
        <v>0</v>
      </c>
      <c r="O198">
        <v>3.083845E-2</v>
      </c>
      <c r="P198">
        <v>0.9988399</v>
      </c>
      <c r="Q198">
        <v>-2.7971670000000001E-2</v>
      </c>
      <c r="R198">
        <v>3.9204959999999997E-2</v>
      </c>
      <c r="S198">
        <v>3.0007320000000002</v>
      </c>
      <c r="T198">
        <v>-0.14618619999999999</v>
      </c>
      <c r="U198">
        <v>-3.2135009999999999E-2</v>
      </c>
      <c r="V198">
        <v>-8.4070459999999996E-3</v>
      </c>
      <c r="W198">
        <v>-2.013419E-2</v>
      </c>
      <c r="X198">
        <v>0.99976189999999998</v>
      </c>
      <c r="Y198">
        <v>4.1455239999999997E-2</v>
      </c>
      <c r="Z198">
        <v>-2.5105050000000001E-3</v>
      </c>
      <c r="AA198">
        <v>0.99913719999999995</v>
      </c>
      <c r="AB198">
        <v>29</v>
      </c>
      <c r="AC198">
        <v>23.4956</v>
      </c>
      <c r="AD198">
        <v>-1.1584719999999999</v>
      </c>
      <c r="AE198">
        <v>-0.26290000000000102</v>
      </c>
      <c r="AF198">
        <v>0.98497075091581399</v>
      </c>
      <c r="AG198">
        <v>-1.1584719999999999</v>
      </c>
      <c r="AH198">
        <v>23.419389588769398</v>
      </c>
      <c r="AI198">
        <v>92.829408201758298</v>
      </c>
      <c r="AJ198">
        <v>87.591678174955305</v>
      </c>
      <c r="AK198">
        <v>23.468703276182602</v>
      </c>
      <c r="AL198">
        <v>91.153682113291097</v>
      </c>
      <c r="AM198">
        <v>90.481791615309604</v>
      </c>
      <c r="AN198">
        <v>0.99999996036050498</v>
      </c>
    </row>
    <row r="199" spans="1:40" x14ac:dyDescent="0.25">
      <c r="A199" t="str">
        <f>"20190312151505188"</f>
        <v>20190312151505188</v>
      </c>
      <c r="B199" t="str">
        <f>"1552374905178370"</f>
        <v>1552374905178370</v>
      </c>
      <c r="C199" t="s">
        <v>40</v>
      </c>
      <c r="D199">
        <v>4.4624499999999996</v>
      </c>
      <c r="E199">
        <v>0.51931260000000001</v>
      </c>
      <c r="F199" t="s">
        <v>42</v>
      </c>
      <c r="G199">
        <v>-423.79640000000001</v>
      </c>
      <c r="H199">
        <v>-0.05</v>
      </c>
      <c r="I199">
        <v>368.27210000000002</v>
      </c>
      <c r="J199">
        <v>-447.31619999999998</v>
      </c>
      <c r="K199">
        <v>1.1084780000000001</v>
      </c>
      <c r="L199">
        <v>368.55759999999998</v>
      </c>
      <c r="M199">
        <v>0.99951120000000004</v>
      </c>
      <c r="N199">
        <v>0</v>
      </c>
      <c r="O199">
        <v>3.0240969999999999E-2</v>
      </c>
      <c r="P199">
        <v>0.9988977</v>
      </c>
      <c r="Q199">
        <v>-2.816654E-2</v>
      </c>
      <c r="R199">
        <v>3.7553740000000002E-2</v>
      </c>
      <c r="S199">
        <v>3.0007929999999998</v>
      </c>
      <c r="T199">
        <v>-0.1460524</v>
      </c>
      <c r="U199">
        <v>-3.497314E-2</v>
      </c>
      <c r="V199">
        <v>-7.3525119999999899E-3</v>
      </c>
      <c r="W199">
        <v>-2.0241579999999999E-2</v>
      </c>
      <c r="X199">
        <v>0.99976810000000005</v>
      </c>
      <c r="Y199">
        <v>4.1803100000000003E-2</v>
      </c>
      <c r="Z199">
        <v>-2.4875560000000001E-3</v>
      </c>
      <c r="AA199">
        <v>0.99912279999999998</v>
      </c>
      <c r="AB199">
        <v>29</v>
      </c>
      <c r="AC199">
        <v>23.519799999999901</v>
      </c>
      <c r="AD199">
        <v>-1.1584779999999999</v>
      </c>
      <c r="AE199">
        <v>-0.28549999999995601</v>
      </c>
      <c r="AF199">
        <v>0.99424155949246495</v>
      </c>
      <c r="AG199">
        <v>-1.1584779999999999</v>
      </c>
      <c r="AH199">
        <v>23.443540230004299</v>
      </c>
      <c r="AI199">
        <v>92.826470905910995</v>
      </c>
      <c r="AJ199">
        <v>87.571538757383905</v>
      </c>
      <c r="AK199">
        <v>23.493194037229902</v>
      </c>
      <c r="AL199">
        <v>91.159836295362993</v>
      </c>
      <c r="AM199">
        <v>90.421358024901707</v>
      </c>
      <c r="AN199">
        <v>1.0000000173856001</v>
      </c>
    </row>
    <row r="200" spans="1:40" x14ac:dyDescent="0.25">
      <c r="A200" t="str">
        <f>"20190312151505210"</f>
        <v>20190312151505210</v>
      </c>
      <c r="B200" t="str">
        <f>"1552374905207650"</f>
        <v>1552374905207650</v>
      </c>
      <c r="C200" t="s">
        <v>40</v>
      </c>
      <c r="D200">
        <v>4.4663750000000002</v>
      </c>
      <c r="E200">
        <v>0.51950790000000002</v>
      </c>
      <c r="F200" t="s">
        <v>42</v>
      </c>
      <c r="G200">
        <v>-423.81920000000002</v>
      </c>
      <c r="H200">
        <v>-0.05</v>
      </c>
      <c r="I200">
        <v>368.23610000000002</v>
      </c>
      <c r="J200">
        <v>-447.02940000000001</v>
      </c>
      <c r="K200">
        <v>1.108482</v>
      </c>
      <c r="L200">
        <v>368.56560000000002</v>
      </c>
      <c r="M200">
        <v>0.9995288</v>
      </c>
      <c r="N200">
        <v>0</v>
      </c>
      <c r="O200">
        <v>2.963348E-2</v>
      </c>
      <c r="P200">
        <v>0.99895630000000002</v>
      </c>
      <c r="Q200">
        <v>-2.8320149999999999E-2</v>
      </c>
      <c r="R200">
        <v>3.5842619999999999E-2</v>
      </c>
      <c r="S200">
        <v>3.0006710000000001</v>
      </c>
      <c r="T200">
        <v>-0.14794280000000001</v>
      </c>
      <c r="U200">
        <v>-4.1046140000000002E-2</v>
      </c>
      <c r="V200">
        <v>-6.2479240000000002E-3</v>
      </c>
      <c r="W200">
        <v>-2.0311840000000001E-2</v>
      </c>
      <c r="X200">
        <v>0.99977419999999995</v>
      </c>
      <c r="Y200">
        <v>4.3214889999999999E-2</v>
      </c>
      <c r="Z200">
        <v>-2.5246520000000001E-3</v>
      </c>
      <c r="AA200">
        <v>0.99906260000000002</v>
      </c>
      <c r="AB200">
        <v>29</v>
      </c>
      <c r="AC200">
        <v>23.210199999999901</v>
      </c>
      <c r="AD200">
        <v>-1.158482</v>
      </c>
      <c r="AE200">
        <v>-0.32949999999999502</v>
      </c>
      <c r="AF200">
        <v>1.01464904947304</v>
      </c>
      <c r="AG200">
        <v>-1.158482</v>
      </c>
      <c r="AH200">
        <v>23.1326236242402</v>
      </c>
      <c r="AI200">
        <v>92.864228630956902</v>
      </c>
      <c r="AJ200">
        <v>87.488487681002994</v>
      </c>
      <c r="AK200">
        <v>23.183827746484699</v>
      </c>
      <c r="AL200">
        <v>91.163862710827601</v>
      </c>
      <c r="AM200">
        <v>90.358055864839898</v>
      </c>
      <c r="AN200">
        <v>1.0000000291920601</v>
      </c>
    </row>
    <row r="201" spans="1:40" x14ac:dyDescent="0.25">
      <c r="A201" t="str">
        <f>"20190312151505246"</f>
        <v>20190312151505246</v>
      </c>
      <c r="B201" t="str">
        <f>"1552374905237907"</f>
        <v>1552374905237907</v>
      </c>
      <c r="C201" t="s">
        <v>40</v>
      </c>
      <c r="D201">
        <v>4.4206390000000004</v>
      </c>
      <c r="E201">
        <v>0.51967589999999997</v>
      </c>
      <c r="F201" t="s">
        <v>42</v>
      </c>
      <c r="G201">
        <v>-423.70049999999998</v>
      </c>
      <c r="H201">
        <v>-0.05</v>
      </c>
      <c r="I201">
        <v>368.19380000000001</v>
      </c>
      <c r="J201">
        <v>-446.5763</v>
      </c>
      <c r="K201">
        <v>1.1084989999999999</v>
      </c>
      <c r="L201">
        <v>368.57799999999997</v>
      </c>
      <c r="M201">
        <v>0.99955579999999999</v>
      </c>
      <c r="N201">
        <v>0</v>
      </c>
      <c r="O201">
        <v>2.8674419999999999E-2</v>
      </c>
      <c r="P201">
        <v>0.99901399999999996</v>
      </c>
      <c r="Q201">
        <v>-2.8102640000000002E-2</v>
      </c>
      <c r="R201">
        <v>3.4374460000000003E-2</v>
      </c>
      <c r="S201">
        <v>3.00061</v>
      </c>
      <c r="T201">
        <v>-0.14900649999999999</v>
      </c>
      <c r="U201">
        <v>-4.7821040000000002E-2</v>
      </c>
      <c r="V201">
        <v>-5.7373859999999997E-3</v>
      </c>
      <c r="W201">
        <v>-1.9967720000000001E-2</v>
      </c>
      <c r="X201">
        <v>0.99978420000000001</v>
      </c>
      <c r="Y201">
        <v>4.4510099999999997E-2</v>
      </c>
      <c r="Z201">
        <v>-2.527357E-3</v>
      </c>
      <c r="AA201">
        <v>0.9990057</v>
      </c>
      <c r="AB201">
        <v>29</v>
      </c>
      <c r="AC201">
        <v>22.875800000000002</v>
      </c>
      <c r="AD201">
        <v>-1.1584989999999999</v>
      </c>
      <c r="AE201">
        <v>-0.38420000000002102</v>
      </c>
      <c r="AF201">
        <v>1.03735418086086</v>
      </c>
      <c r="AG201">
        <v>-1.1584989999999999</v>
      </c>
      <c r="AH201">
        <v>22.796924794415698</v>
      </c>
      <c r="AI201">
        <v>92.906164530971395</v>
      </c>
      <c r="AJ201">
        <v>87.394602798252507</v>
      </c>
      <c r="AK201">
        <v>22.8499016127377</v>
      </c>
      <c r="AL201">
        <v>91.144142078865897</v>
      </c>
      <c r="AM201">
        <v>90.328795348808896</v>
      </c>
      <c r="AN201">
        <v>1.0000000370048701</v>
      </c>
    </row>
    <row r="202" spans="1:40" x14ac:dyDescent="0.25">
      <c r="A202" t="str">
        <f>"20190312151505267"</f>
        <v>20190312151505267</v>
      </c>
      <c r="B202" t="str">
        <f>"1552374905258403"</f>
        <v>1552374905258403</v>
      </c>
      <c r="C202" t="s">
        <v>40</v>
      </c>
      <c r="D202">
        <v>4.496937</v>
      </c>
      <c r="E202">
        <v>0.51975680000000002</v>
      </c>
      <c r="F202" t="s">
        <v>42</v>
      </c>
      <c r="G202">
        <v>-423.2878</v>
      </c>
      <c r="H202">
        <v>-0.05</v>
      </c>
      <c r="I202">
        <v>368.16109999999998</v>
      </c>
      <c r="J202">
        <v>-446.29390000000001</v>
      </c>
      <c r="K202">
        <v>1.1085050000000001</v>
      </c>
      <c r="L202">
        <v>368.58550000000002</v>
      </c>
      <c r="M202">
        <v>0.99957209999999996</v>
      </c>
      <c r="N202">
        <v>0</v>
      </c>
      <c r="O202">
        <v>2.8077290000000001E-2</v>
      </c>
      <c r="P202">
        <v>0.9990696</v>
      </c>
      <c r="Q202">
        <v>-2.7999369999999999E-2</v>
      </c>
      <c r="R202">
        <v>3.280135E-2</v>
      </c>
      <c r="S202">
        <v>3.00061</v>
      </c>
      <c r="T202">
        <v>-0.1492676</v>
      </c>
      <c r="U202">
        <v>-5.3710939999999999E-2</v>
      </c>
      <c r="V202">
        <v>-4.7600940000000003E-3</v>
      </c>
      <c r="W202">
        <v>-1.979032E-2</v>
      </c>
      <c r="X202">
        <v>0.99979280000000004</v>
      </c>
      <c r="Y202">
        <v>4.5872410000000002E-2</v>
      </c>
      <c r="Z202">
        <v>-2.53593E-3</v>
      </c>
      <c r="AA202">
        <v>0.9989441</v>
      </c>
      <c r="AB202">
        <v>29</v>
      </c>
      <c r="AC202">
        <v>23.0061</v>
      </c>
      <c r="AD202">
        <v>-1.1585049999999999</v>
      </c>
      <c r="AE202">
        <v>-0.42440000000004802</v>
      </c>
      <c r="AF202">
        <v>1.0674973377840999</v>
      </c>
      <c r="AG202">
        <v>-1.1585049999999999</v>
      </c>
      <c r="AH202">
        <v>22.926995147636099</v>
      </c>
      <c r="AI202">
        <v>92.889580116185499</v>
      </c>
      <c r="AJ202">
        <v>87.3341927013213</v>
      </c>
      <c r="AK202">
        <v>22.981052867545699</v>
      </c>
      <c r="AL202">
        <v>91.133975864688296</v>
      </c>
      <c r="AM202">
        <v>90.272787757174299</v>
      </c>
      <c r="AN202">
        <v>0.99999997909621496</v>
      </c>
    </row>
    <row r="203" spans="1:40" x14ac:dyDescent="0.25">
      <c r="A203" t="str">
        <f>"20190312151505288"</f>
        <v>20190312151505288</v>
      </c>
      <c r="B203" t="str">
        <f>"1552374905277923"</f>
        <v>1552374905277923</v>
      </c>
      <c r="C203" t="s">
        <v>40</v>
      </c>
      <c r="D203">
        <v>4.4537899999999997</v>
      </c>
      <c r="E203">
        <v>0.51980630000000005</v>
      </c>
      <c r="F203" t="s">
        <v>42</v>
      </c>
      <c r="G203">
        <v>-422.9461</v>
      </c>
      <c r="H203">
        <v>-0.05</v>
      </c>
      <c r="I203">
        <v>368.12860000000001</v>
      </c>
      <c r="J203">
        <v>-446.01780000000002</v>
      </c>
      <c r="K203">
        <v>1.108509</v>
      </c>
      <c r="L203">
        <v>368.5926</v>
      </c>
      <c r="M203">
        <v>0.99958780000000003</v>
      </c>
      <c r="N203">
        <v>0</v>
      </c>
      <c r="O203">
        <v>2.7493E-2</v>
      </c>
      <c r="P203">
        <v>0.99911229999999995</v>
      </c>
      <c r="Q203">
        <v>-2.739641E-2</v>
      </c>
      <c r="R203">
        <v>3.2001090000000003E-2</v>
      </c>
      <c r="S203">
        <v>3.0005489999999999</v>
      </c>
      <c r="T203">
        <v>-0.148885299999999</v>
      </c>
      <c r="U203">
        <v>-5.8715820000000002E-2</v>
      </c>
      <c r="V203">
        <v>-4.5427610000000002E-3</v>
      </c>
      <c r="W203">
        <v>-1.911827E-2</v>
      </c>
      <c r="X203">
        <v>0.99980690000000005</v>
      </c>
      <c r="Y203">
        <v>4.6954320000000001E-2</v>
      </c>
      <c r="Z203">
        <v>-2.5273180000000002E-3</v>
      </c>
      <c r="AA203">
        <v>0.9988939</v>
      </c>
      <c r="AB203">
        <v>29</v>
      </c>
      <c r="AC203">
        <v>23.0717</v>
      </c>
      <c r="AD203">
        <v>-1.158509</v>
      </c>
      <c r="AE203">
        <v>-0.46399999999999803</v>
      </c>
      <c r="AF203">
        <v>1.09539572501522</v>
      </c>
      <c r="AG203">
        <v>-1.158509</v>
      </c>
      <c r="AH203">
        <v>22.992272027333499</v>
      </c>
      <c r="AI203">
        <v>92.881253984369295</v>
      </c>
      <c r="AJ203">
        <v>87.272382126801702</v>
      </c>
      <c r="AK203">
        <v>23.047485933966101</v>
      </c>
      <c r="AL203">
        <v>91.0954629327031</v>
      </c>
      <c r="AM203">
        <v>90.260329511150502</v>
      </c>
      <c r="AN203">
        <v>0.99999999110645299</v>
      </c>
    </row>
    <row r="204" spans="1:40" x14ac:dyDescent="0.25">
      <c r="A204" t="str">
        <f>"20190312151505446"</f>
        <v>20190312151505446</v>
      </c>
      <c r="B204" t="str">
        <f>"1552374905437987"</f>
        <v>1552374905437987</v>
      </c>
      <c r="C204" t="s">
        <v>40</v>
      </c>
      <c r="D204">
        <v>4.3801920000000001</v>
      </c>
      <c r="E204">
        <v>0.51558549999999903</v>
      </c>
      <c r="F204" t="s">
        <v>42</v>
      </c>
      <c r="G204">
        <v>-422.25630000000001</v>
      </c>
      <c r="H204">
        <v>-0.05</v>
      </c>
      <c r="I204">
        <v>368.10469999999998</v>
      </c>
      <c r="J204">
        <v>-443.93450000000001</v>
      </c>
      <c r="K204">
        <v>1.108528</v>
      </c>
      <c r="L204">
        <v>368.6413</v>
      </c>
      <c r="M204">
        <v>0.99969609999999998</v>
      </c>
      <c r="N204">
        <v>0</v>
      </c>
      <c r="O204">
        <v>2.3090880000000001E-2</v>
      </c>
      <c r="P204">
        <v>0.999278</v>
      </c>
      <c r="Q204">
        <v>-2.6219099999999999E-2</v>
      </c>
      <c r="R204">
        <v>2.7498999999999999E-2</v>
      </c>
      <c r="S204">
        <v>3.0006409999999999</v>
      </c>
      <c r="T204">
        <v>-0.1462984</v>
      </c>
      <c r="U204">
        <v>-6.1614990000000001E-2</v>
      </c>
      <c r="V204">
        <v>-4.4384799999999999E-3</v>
      </c>
      <c r="W204">
        <v>-1.756684E-2</v>
      </c>
      <c r="X204">
        <v>0.99983580000000005</v>
      </c>
      <c r="Y204">
        <v>4.353191E-2</v>
      </c>
      <c r="Z204">
        <v>-2.1855329999999999E-3</v>
      </c>
      <c r="AA204">
        <v>0.99904970000000004</v>
      </c>
      <c r="AB204">
        <v>30</v>
      </c>
      <c r="AC204">
        <v>21.6782</v>
      </c>
      <c r="AD204">
        <v>-1.158528</v>
      </c>
      <c r="AE204">
        <v>-0.53660000000002095</v>
      </c>
      <c r="AF204">
        <v>1.03409266501437</v>
      </c>
      <c r="AG204">
        <v>-1.158528</v>
      </c>
      <c r="AH204">
        <v>21.598380086551799</v>
      </c>
      <c r="AI204">
        <v>93.066872598177596</v>
      </c>
      <c r="AJ204">
        <v>87.258871523882306</v>
      </c>
      <c r="AK204">
        <v>21.654134873732001</v>
      </c>
      <c r="AL204">
        <v>91.006557605287099</v>
      </c>
      <c r="AM204">
        <v>90.254346264628296</v>
      </c>
      <c r="AN204">
        <v>0.99999996046696704</v>
      </c>
    </row>
    <row r="205" spans="1:40" x14ac:dyDescent="0.25">
      <c r="A205" t="str">
        <f>"20190312151505467"</f>
        <v>20190312151505467</v>
      </c>
      <c r="B205" t="str">
        <f>"1552374905458483"</f>
        <v>1552374905458483</v>
      </c>
      <c r="C205" t="s">
        <v>40</v>
      </c>
      <c r="D205">
        <v>4.3594410000000003</v>
      </c>
      <c r="E205">
        <v>0.51408350000000003</v>
      </c>
      <c r="F205" t="s">
        <v>44</v>
      </c>
      <c r="G205">
        <v>-158.19499999999999</v>
      </c>
      <c r="H205">
        <v>1.0980970000000001</v>
      </c>
      <c r="I205">
        <v>364.63749999999999</v>
      </c>
      <c r="J205">
        <v>-443.65690000000001</v>
      </c>
      <c r="K205">
        <v>1.1085259999999999</v>
      </c>
      <c r="L205">
        <v>368.64710000000002</v>
      </c>
      <c r="M205">
        <v>0.99970919999999996</v>
      </c>
      <c r="N205">
        <v>0</v>
      </c>
      <c r="O205">
        <v>2.250479E-2</v>
      </c>
      <c r="P205">
        <v>0.99930300000000005</v>
      </c>
      <c r="Q205">
        <v>-2.6173970000000001E-2</v>
      </c>
      <c r="R205">
        <v>2.66197E-2</v>
      </c>
      <c r="S205">
        <v>3.0033259999999999</v>
      </c>
      <c r="T205">
        <v>-1.0871889999999999E-4</v>
      </c>
      <c r="U205">
        <v>-4.2083740000000001E-2</v>
      </c>
      <c r="V205">
        <v>-4.144801E-3</v>
      </c>
      <c r="W205">
        <v>-1.7487430000000002E-2</v>
      </c>
      <c r="X205">
        <v>0.99983849999999996</v>
      </c>
      <c r="Y205">
        <v>3.6510880000000002E-2</v>
      </c>
      <c r="Z205" s="1">
        <v>-1.4754380000000001E-6</v>
      </c>
      <c r="AA205">
        <v>0.99933329999999998</v>
      </c>
      <c r="AB205">
        <v>30</v>
      </c>
      <c r="AC205">
        <v>285.46190000000001</v>
      </c>
      <c r="AD205">
        <v>-1.04290000000002E-2</v>
      </c>
      <c r="AE205">
        <v>-4.00960000000003</v>
      </c>
      <c r="AF205">
        <v>10.433085615064799</v>
      </c>
      <c r="AG205">
        <v>-1.04290000000002E-2</v>
      </c>
      <c r="AH205">
        <v>285.29935813245402</v>
      </c>
      <c r="AI205">
        <v>90.002093024496702</v>
      </c>
      <c r="AJ205">
        <v>87.905689214226697</v>
      </c>
      <c r="AK205">
        <v>285.49005785667202</v>
      </c>
      <c r="AL205">
        <v>91.002007000768799</v>
      </c>
      <c r="AM205">
        <v>90.237516602810501</v>
      </c>
      <c r="AN205">
        <v>1.00000000783279</v>
      </c>
    </row>
    <row r="206" spans="1:40" x14ac:dyDescent="0.25">
      <c r="A206" t="str">
        <f>"20190312151505489"</f>
        <v>20190312151505489</v>
      </c>
      <c r="B206" t="str">
        <f>"1552374905487763"</f>
        <v>1552374905487763</v>
      </c>
      <c r="C206" t="s">
        <v>40</v>
      </c>
      <c r="D206">
        <v>4.3240949999999998</v>
      </c>
      <c r="E206">
        <v>0.51247559999999903</v>
      </c>
      <c r="F206" t="s">
        <v>43</v>
      </c>
      <c r="G206">
        <v>-241.16309999999999</v>
      </c>
      <c r="H206" s="1">
        <v>-4.7214119999999997E-6</v>
      </c>
      <c r="I206">
        <v>366.43869999999998</v>
      </c>
      <c r="J206">
        <v>-443.35469999999998</v>
      </c>
      <c r="K206">
        <v>1.1085259999999999</v>
      </c>
      <c r="L206">
        <v>368.6533</v>
      </c>
      <c r="M206">
        <v>0.99972300000000003</v>
      </c>
      <c r="N206">
        <v>0</v>
      </c>
      <c r="O206">
        <v>2.1867419999999999E-2</v>
      </c>
      <c r="P206">
        <v>0.99931570000000003</v>
      </c>
      <c r="Q206">
        <v>-2.6309989999999998E-2</v>
      </c>
      <c r="R206">
        <v>2.6000079999999998E-2</v>
      </c>
      <c r="S206">
        <v>3.0025330000000001</v>
      </c>
      <c r="T206">
        <v>-1.6437050000000002E-2</v>
      </c>
      <c r="U206">
        <v>-3.2745360000000001E-2</v>
      </c>
      <c r="V206">
        <v>-4.1624339999999996E-3</v>
      </c>
      <c r="W206">
        <v>-1.7588469999999998E-2</v>
      </c>
      <c r="X206">
        <v>0.99983659999999996</v>
      </c>
      <c r="Y206">
        <v>3.2768789999999999E-2</v>
      </c>
      <c r="Z206">
        <v>-2.0939879999999999E-4</v>
      </c>
      <c r="AA206">
        <v>0.99946299999999999</v>
      </c>
      <c r="AB206">
        <v>30</v>
      </c>
      <c r="AC206">
        <v>202.19159999999999</v>
      </c>
      <c r="AD206">
        <v>-1.1085307214119999</v>
      </c>
      <c r="AE206">
        <v>-2.2146000000000101</v>
      </c>
      <c r="AF206">
        <v>6.6354470589999099</v>
      </c>
      <c r="AG206">
        <v>-1.1085307214119999</v>
      </c>
      <c r="AH206">
        <v>202.08874495161899</v>
      </c>
      <c r="AI206">
        <v>90.314115892095501</v>
      </c>
      <c r="AJ206">
        <v>88.119407511565399</v>
      </c>
      <c r="AK206">
        <v>202.200689499699</v>
      </c>
      <c r="AL206">
        <v>91.007797111654298</v>
      </c>
      <c r="AM206">
        <v>90.238527498311797</v>
      </c>
      <c r="AN206">
        <v>0.99999995341665104</v>
      </c>
    </row>
    <row r="207" spans="1:40" x14ac:dyDescent="0.25">
      <c r="A207" t="str">
        <f>"20190312151505513"</f>
        <v>20190312151505513</v>
      </c>
      <c r="B207" t="str">
        <f>"1552374905508259"</f>
        <v>1552374905508259</v>
      </c>
      <c r="C207" t="s">
        <v>40</v>
      </c>
      <c r="D207">
        <v>4.3230420000000001</v>
      </c>
      <c r="E207">
        <v>0.51243539999999999</v>
      </c>
      <c r="F207" t="s">
        <v>42</v>
      </c>
      <c r="G207">
        <v>-282.11989999999997</v>
      </c>
      <c r="H207">
        <v>-0.05</v>
      </c>
      <c r="I207">
        <v>367.48790000000002</v>
      </c>
      <c r="J207">
        <v>-443.05599999999998</v>
      </c>
      <c r="K207">
        <v>1.108527</v>
      </c>
      <c r="L207">
        <v>368.6592</v>
      </c>
      <c r="M207">
        <v>0.99973610000000002</v>
      </c>
      <c r="N207">
        <v>0</v>
      </c>
      <c r="O207">
        <v>2.123777E-2</v>
      </c>
      <c r="P207">
        <v>0.99933760000000005</v>
      </c>
      <c r="Q207">
        <v>-2.6301850000000002E-2</v>
      </c>
      <c r="R207">
        <v>2.5156939999999999E-2</v>
      </c>
      <c r="S207">
        <v>3.002075</v>
      </c>
      <c r="T207">
        <v>-2.157092E-2</v>
      </c>
      <c r="U207">
        <v>-2.1697999999999999E-2</v>
      </c>
      <c r="V207">
        <v>-3.9488489999999999E-3</v>
      </c>
      <c r="W207">
        <v>-1.7548500000000002E-2</v>
      </c>
      <c r="X207">
        <v>0.99983820000000001</v>
      </c>
      <c r="Y207">
        <v>2.8462589999999999E-2</v>
      </c>
      <c r="Z207">
        <v>-2.5485070000000001E-4</v>
      </c>
      <c r="AA207">
        <v>0.99959480000000001</v>
      </c>
      <c r="AB207">
        <v>30</v>
      </c>
      <c r="AC207">
        <v>160.93610000000001</v>
      </c>
      <c r="AD207">
        <v>-1.1585270000000001</v>
      </c>
      <c r="AE207">
        <v>-1.17129999999997</v>
      </c>
      <c r="AF207">
        <v>4.5888529505820799</v>
      </c>
      <c r="AG207">
        <v>-1.1585270000000001</v>
      </c>
      <c r="AH207">
        <v>160.86658600999999</v>
      </c>
      <c r="AI207">
        <v>90.412457133388003</v>
      </c>
      <c r="AJ207">
        <v>88.366033413207006</v>
      </c>
      <c r="AK207">
        <v>160.936193103741</v>
      </c>
      <c r="AL207">
        <v>91.005506614256106</v>
      </c>
      <c r="AM207">
        <v>90.226287818618601</v>
      </c>
      <c r="AN207">
        <v>0.99999998471995699</v>
      </c>
    </row>
    <row r="208" spans="1:40" x14ac:dyDescent="0.25">
      <c r="A208" t="str">
        <f>"20190312151505534"</f>
        <v>20190312151505534</v>
      </c>
      <c r="B208" t="str">
        <f>"1552374905527779"</f>
        <v>1552374905527779</v>
      </c>
      <c r="C208" t="s">
        <v>40</v>
      </c>
      <c r="D208">
        <v>4.318085</v>
      </c>
      <c r="E208">
        <v>0.51244089999999998</v>
      </c>
      <c r="F208" t="s">
        <v>42</v>
      </c>
      <c r="G208">
        <v>-280.2208</v>
      </c>
      <c r="H208">
        <v>-0.05</v>
      </c>
      <c r="I208">
        <v>367.35309999999998</v>
      </c>
      <c r="J208">
        <v>-442.76620000000003</v>
      </c>
      <c r="K208">
        <v>1.108527</v>
      </c>
      <c r="L208">
        <v>368.66469999999998</v>
      </c>
      <c r="M208">
        <v>0.99974870000000005</v>
      </c>
      <c r="N208">
        <v>0</v>
      </c>
      <c r="O208">
        <v>2.06269E-2</v>
      </c>
      <c r="P208">
        <v>0.9993495</v>
      </c>
      <c r="Q208">
        <v>-2.6744319999999999E-2</v>
      </c>
      <c r="R208">
        <v>2.419988E-2</v>
      </c>
      <c r="S208">
        <v>3.002014</v>
      </c>
      <c r="T208">
        <v>-2.1358490000000001E-2</v>
      </c>
      <c r="U208">
        <v>-2.4078370000000002E-2</v>
      </c>
      <c r="V208">
        <v>-3.6031710000000001E-3</v>
      </c>
      <c r="W208">
        <v>-1.7962789999999999E-2</v>
      </c>
      <c r="X208">
        <v>0.99983219999999995</v>
      </c>
      <c r="Y208">
        <v>2.8644559999999999E-2</v>
      </c>
      <c r="Z208">
        <v>-2.4864739999999998E-4</v>
      </c>
      <c r="AA208">
        <v>0.99958959999999997</v>
      </c>
      <c r="AB208">
        <v>30</v>
      </c>
      <c r="AC208">
        <v>162.5454</v>
      </c>
      <c r="AD208">
        <v>-1.1585270000000001</v>
      </c>
      <c r="AE208">
        <v>-1.3115999999999901</v>
      </c>
      <c r="AF208">
        <v>4.66402092537</v>
      </c>
      <c r="AG208">
        <v>-1.1585270000000001</v>
      </c>
      <c r="AH208">
        <v>162.47550615224901</v>
      </c>
      <c r="AI208">
        <v>90.408370795698204</v>
      </c>
      <c r="AJ208">
        <v>88.355719238403594</v>
      </c>
      <c r="AK208">
        <v>162.54656371462201</v>
      </c>
      <c r="AL208">
        <v>91.029247372668294</v>
      </c>
      <c r="AM208">
        <v>90.206480244835404</v>
      </c>
      <c r="AN208">
        <v>1.00000003641133</v>
      </c>
    </row>
    <row r="209" spans="1:40" x14ac:dyDescent="0.25">
      <c r="A209" t="str">
        <f>"20190312151505556"</f>
        <v>20190312151505556</v>
      </c>
      <c r="B209" t="str">
        <f>"1552374905548275"</f>
        <v>1552374905548275</v>
      </c>
      <c r="C209" t="s">
        <v>40</v>
      </c>
      <c r="D209">
        <v>4.323537</v>
      </c>
      <c r="E209">
        <v>0.51258930000000003</v>
      </c>
      <c r="F209" t="s">
        <v>43</v>
      </c>
      <c r="G209">
        <v>-269.5813</v>
      </c>
      <c r="H209" s="1">
        <v>-7.9492660000000004E-7</v>
      </c>
      <c r="I209">
        <v>367.11180000000002</v>
      </c>
      <c r="J209">
        <v>-442.46870000000001</v>
      </c>
      <c r="K209">
        <v>1.108528</v>
      </c>
      <c r="L209">
        <v>368.67009999999999</v>
      </c>
      <c r="M209">
        <v>0.99976120000000002</v>
      </c>
      <c r="N209">
        <v>0</v>
      </c>
      <c r="O209">
        <v>1.9999650000000001E-2</v>
      </c>
      <c r="P209">
        <v>0.99938329999999997</v>
      </c>
      <c r="Q209">
        <v>-2.623501E-2</v>
      </c>
      <c r="R209">
        <v>2.334584E-2</v>
      </c>
      <c r="S209">
        <v>3.0020449999999999</v>
      </c>
      <c r="T209">
        <v>-1.9215579999999999E-2</v>
      </c>
      <c r="U209">
        <v>-2.6916499999999999E-2</v>
      </c>
      <c r="V209">
        <v>-3.375313E-3</v>
      </c>
      <c r="W209">
        <v>-1.7426029999999999E-2</v>
      </c>
      <c r="X209">
        <v>0.99984249999999997</v>
      </c>
      <c r="Y209">
        <v>2.8962519999999999E-2</v>
      </c>
      <c r="Z209">
        <v>-2.2070130000000001E-4</v>
      </c>
      <c r="AA209">
        <v>0.99958049999999998</v>
      </c>
      <c r="AB209">
        <v>30</v>
      </c>
      <c r="AC209">
        <v>172.88740000000001</v>
      </c>
      <c r="AD209">
        <v>-1.1085287949266001</v>
      </c>
      <c r="AE209">
        <v>-1.55829999999997</v>
      </c>
      <c r="AF209">
        <v>5.0156036925453398</v>
      </c>
      <c r="AG209">
        <v>-1.1085287949266001</v>
      </c>
      <c r="AH209">
        <v>172.81454677372901</v>
      </c>
      <c r="AI209">
        <v>90.367367327472806</v>
      </c>
      <c r="AJ209">
        <v>88.337568907605103</v>
      </c>
      <c r="AK209">
        <v>172.89086931674399</v>
      </c>
      <c r="AL209">
        <v>90.998488469632207</v>
      </c>
      <c r="AM209">
        <v>90.193420918585502</v>
      </c>
      <c r="AN209">
        <v>1.0000000420328199</v>
      </c>
    </row>
    <row r="210" spans="1:40" x14ac:dyDescent="0.25">
      <c r="A210" t="str">
        <f>"20190312151505578"</f>
        <v>20190312151505578</v>
      </c>
      <c r="B210" t="str">
        <f>"1552374905567795"</f>
        <v>1552374905567795</v>
      </c>
      <c r="C210" t="s">
        <v>40</v>
      </c>
      <c r="D210">
        <v>4.3193830000000002</v>
      </c>
      <c r="E210">
        <v>0.51228600000000002</v>
      </c>
      <c r="F210" t="s">
        <v>45</v>
      </c>
      <c r="G210">
        <v>-197.18709999999999</v>
      </c>
      <c r="H210" s="1">
        <v>-8.3969629999999999E-6</v>
      </c>
      <c r="I210">
        <v>366.14690000000002</v>
      </c>
      <c r="J210">
        <v>-442.1816</v>
      </c>
      <c r="K210">
        <v>1.108527</v>
      </c>
      <c r="L210">
        <v>368.67529999999999</v>
      </c>
      <c r="M210">
        <v>0.99977289999999996</v>
      </c>
      <c r="N210">
        <v>0</v>
      </c>
      <c r="O210">
        <v>1.9394640000000001E-2</v>
      </c>
      <c r="P210">
        <v>0.99939820000000001</v>
      </c>
      <c r="Q210">
        <v>-2.631971E-2</v>
      </c>
      <c r="R210">
        <v>2.2592959999999999E-2</v>
      </c>
      <c r="S210">
        <v>3.0022280000000001</v>
      </c>
      <c r="T210">
        <v>-1.35684E-2</v>
      </c>
      <c r="U210">
        <v>-3.0883790000000001E-2</v>
      </c>
      <c r="V210">
        <v>-3.2275139999999999E-3</v>
      </c>
      <c r="W210">
        <v>-1.7485779999999999E-2</v>
      </c>
      <c r="X210">
        <v>0.99984189999999995</v>
      </c>
      <c r="Y210">
        <v>2.9678360000000001E-2</v>
      </c>
      <c r="Z210">
        <v>-1.547145E-4</v>
      </c>
      <c r="AA210">
        <v>0.99955950000000005</v>
      </c>
      <c r="AB210">
        <v>30</v>
      </c>
      <c r="AC210">
        <v>244.99449999999999</v>
      </c>
      <c r="AD210">
        <v>-1.1085353969630001</v>
      </c>
      <c r="AE210">
        <v>-2.5283999999999698</v>
      </c>
      <c r="AF210">
        <v>7.2795408101735104</v>
      </c>
      <c r="AG210">
        <v>-1.1085353969630001</v>
      </c>
      <c r="AH210">
        <v>244.89436191226599</v>
      </c>
      <c r="AI210">
        <v>90.259238000543505</v>
      </c>
      <c r="AJ210">
        <v>88.297371231686895</v>
      </c>
      <c r="AK210">
        <v>245.00503884930399</v>
      </c>
      <c r="AL210">
        <v>91.001912458958103</v>
      </c>
      <c r="AM210">
        <v>90.184951529052398</v>
      </c>
      <c r="AN210">
        <v>0.99999999717221899</v>
      </c>
    </row>
    <row r="211" spans="1:40" x14ac:dyDescent="0.25">
      <c r="A211" t="str">
        <f>"20190312151505600"</f>
        <v>20190312151505600</v>
      </c>
      <c r="B211" t="str">
        <f>"1552374905598052"</f>
        <v>1552374905598052</v>
      </c>
      <c r="C211" t="s">
        <v>40</v>
      </c>
      <c r="D211">
        <v>4.2942830000000001</v>
      </c>
      <c r="E211">
        <v>0.51207619999999998</v>
      </c>
      <c r="F211" t="s">
        <v>45</v>
      </c>
      <c r="G211">
        <v>-179.995</v>
      </c>
      <c r="H211">
        <v>5.499209E-2</v>
      </c>
      <c r="I211">
        <v>366.01280000000003</v>
      </c>
      <c r="J211">
        <v>-441.87049999999999</v>
      </c>
      <c r="K211">
        <v>1.108527</v>
      </c>
      <c r="L211">
        <v>368.68060000000003</v>
      </c>
      <c r="M211">
        <v>0.99978529999999999</v>
      </c>
      <c r="N211">
        <v>0</v>
      </c>
      <c r="O211">
        <v>1.873915E-2</v>
      </c>
      <c r="P211">
        <v>0.99939750000000005</v>
      </c>
      <c r="Q211">
        <v>-2.6712489999999998E-2</v>
      </c>
      <c r="R211">
        <v>2.2165210000000001E-2</v>
      </c>
      <c r="S211">
        <v>3.002167</v>
      </c>
      <c r="T211">
        <v>-1.20635E-2</v>
      </c>
      <c r="U211">
        <v>-3.048706E-2</v>
      </c>
      <c r="V211">
        <v>-3.4558599999999998E-3</v>
      </c>
      <c r="W211">
        <v>-1.7852639999999999E-2</v>
      </c>
      <c r="X211">
        <v>0.99983469999999997</v>
      </c>
      <c r="Y211">
        <v>2.8891239999999999E-2</v>
      </c>
      <c r="Z211">
        <v>-1.3334269999999999E-4</v>
      </c>
      <c r="AA211">
        <v>0.99958250000000004</v>
      </c>
      <c r="AB211">
        <v>30</v>
      </c>
      <c r="AC211">
        <v>261.87549999999999</v>
      </c>
      <c r="AD211">
        <v>-1.05353491</v>
      </c>
      <c r="AE211">
        <v>-2.6678000000000002</v>
      </c>
      <c r="AF211">
        <v>7.57472509162415</v>
      </c>
      <c r="AG211">
        <v>-1.05353491</v>
      </c>
      <c r="AH211">
        <v>261.77528221577501</v>
      </c>
      <c r="AI211">
        <v>90.230493586033901</v>
      </c>
      <c r="AJ211">
        <v>88.342552788739297</v>
      </c>
      <c r="AK211">
        <v>261.88696946425</v>
      </c>
      <c r="AL211">
        <v>91.022935223315599</v>
      </c>
      <c r="AM211">
        <v>90.198038139776997</v>
      </c>
      <c r="AN211">
        <v>1.00000004352369</v>
      </c>
    </row>
    <row r="212" spans="1:40" x14ac:dyDescent="0.25">
      <c r="A212" t="str">
        <f>"20190312151505623"</f>
        <v>20190312151505623</v>
      </c>
      <c r="B212" t="str">
        <f>"1552374905617571"</f>
        <v>1552374905617571</v>
      </c>
      <c r="C212" t="s">
        <v>40</v>
      </c>
      <c r="D212">
        <v>4.2778799999999997</v>
      </c>
      <c r="E212">
        <v>0.51199659999999902</v>
      </c>
      <c r="F212" t="s">
        <v>45</v>
      </c>
      <c r="G212">
        <v>-178.98939999999999</v>
      </c>
      <c r="H212">
        <v>7.9987920000000004E-2</v>
      </c>
      <c r="I212">
        <v>366.0324</v>
      </c>
      <c r="J212">
        <v>-441.5711</v>
      </c>
      <c r="K212">
        <v>1.10853</v>
      </c>
      <c r="L212">
        <v>368.68549999999999</v>
      </c>
      <c r="M212">
        <v>0.99979669999999998</v>
      </c>
      <c r="N212">
        <v>0</v>
      </c>
      <c r="O212">
        <v>1.810846E-2</v>
      </c>
      <c r="P212">
        <v>0.99940700000000005</v>
      </c>
      <c r="Q212">
        <v>-2.6604180000000002E-2</v>
      </c>
      <c r="R212">
        <v>2.1871580000000002E-2</v>
      </c>
      <c r="S212">
        <v>3.002167</v>
      </c>
      <c r="T212">
        <v>-1.174617E-2</v>
      </c>
      <c r="U212">
        <v>-3.024292E-2</v>
      </c>
      <c r="V212">
        <v>-3.7924600000000001E-3</v>
      </c>
      <c r="W212">
        <v>-1.7720320000000001E-2</v>
      </c>
      <c r="X212">
        <v>0.99983580000000005</v>
      </c>
      <c r="Y212">
        <v>2.817944E-2</v>
      </c>
      <c r="Z212">
        <v>-1.2597530000000001E-4</v>
      </c>
      <c r="AA212">
        <v>0.99960289999999996</v>
      </c>
      <c r="AB212">
        <v>30</v>
      </c>
      <c r="AC212">
        <v>262.58170000000001</v>
      </c>
      <c r="AD212">
        <v>-1.02854208</v>
      </c>
      <c r="AE212">
        <v>-2.65309999999999</v>
      </c>
      <c r="AF212">
        <v>7.40768847929305</v>
      </c>
      <c r="AG212">
        <v>-1.02854208</v>
      </c>
      <c r="AH212">
        <v>262.486568260095</v>
      </c>
      <c r="AI212">
        <v>90.224420494843699</v>
      </c>
      <c r="AJ212">
        <v>88.383472855693896</v>
      </c>
      <c r="AK212">
        <v>262.593088759735</v>
      </c>
      <c r="AL212">
        <v>91.015352680910794</v>
      </c>
      <c r="AM212">
        <v>90.2173265949137</v>
      </c>
      <c r="AN212">
        <v>1.00000000972769</v>
      </c>
    </row>
    <row r="213" spans="1:40" x14ac:dyDescent="0.25">
      <c r="A213" t="str">
        <f>"20190312151505647"</f>
        <v>20190312151505647</v>
      </c>
      <c r="B213" t="str">
        <f>"1552374905638067"</f>
        <v>1552374905638067</v>
      </c>
      <c r="C213" t="s">
        <v>40</v>
      </c>
      <c r="D213">
        <v>4.2724479999999998</v>
      </c>
      <c r="E213">
        <v>0.5118819</v>
      </c>
      <c r="F213" t="s">
        <v>44</v>
      </c>
      <c r="G213">
        <v>-158.19499999999999</v>
      </c>
      <c r="H213">
        <v>7.0435049999999999E-2</v>
      </c>
      <c r="I213">
        <v>365.81369999999998</v>
      </c>
      <c r="J213">
        <v>-441.25069999999999</v>
      </c>
      <c r="K213">
        <v>1.108528</v>
      </c>
      <c r="L213">
        <v>368.69069999999999</v>
      </c>
      <c r="M213">
        <v>0.99980840000000004</v>
      </c>
      <c r="N213">
        <v>0</v>
      </c>
      <c r="O213">
        <v>1.7434209999999999E-2</v>
      </c>
      <c r="P213">
        <v>0.99941270000000004</v>
      </c>
      <c r="Q213">
        <v>-2.663157E-2</v>
      </c>
      <c r="R213">
        <v>2.1571719999999999E-2</v>
      </c>
      <c r="S213">
        <v>3.002167</v>
      </c>
      <c r="T213">
        <v>-1.099694E-2</v>
      </c>
      <c r="U213">
        <v>-3.042603E-2</v>
      </c>
      <c r="V213">
        <v>-4.1667149999999997E-3</v>
      </c>
      <c r="W213">
        <v>-1.7725129999999999E-2</v>
      </c>
      <c r="X213">
        <v>0.99983420000000001</v>
      </c>
      <c r="Y213">
        <v>2.756633E-2</v>
      </c>
      <c r="Z213">
        <v>-1.143474E-4</v>
      </c>
      <c r="AA213">
        <v>0.99961999999999995</v>
      </c>
      <c r="AB213">
        <v>30</v>
      </c>
      <c r="AC213">
        <v>283.0557</v>
      </c>
      <c r="AD213">
        <v>-1.03809295</v>
      </c>
      <c r="AE213">
        <v>-2.8769999999999998</v>
      </c>
      <c r="AF213">
        <v>7.8115056181142704</v>
      </c>
      <c r="AG213">
        <v>-1.03809295</v>
      </c>
      <c r="AH213">
        <v>282.958710028513</v>
      </c>
      <c r="AI213">
        <v>90.210120502593995</v>
      </c>
      <c r="AJ213">
        <v>88.418664490894699</v>
      </c>
      <c r="AK213">
        <v>283.06841723865102</v>
      </c>
      <c r="AL213">
        <v>91.015628342403204</v>
      </c>
      <c r="AM213">
        <v>90.238773390516698</v>
      </c>
      <c r="AN213">
        <v>0.99999998461852302</v>
      </c>
    </row>
    <row r="214" spans="1:40" x14ac:dyDescent="0.25">
      <c r="A214" t="str">
        <f>"20190312151505669"</f>
        <v>20190312151505669</v>
      </c>
      <c r="B214" t="str">
        <f>"1552374905657587"</f>
        <v>1552374905657587</v>
      </c>
      <c r="C214" t="s">
        <v>40</v>
      </c>
      <c r="D214">
        <v>4.3245809999999896</v>
      </c>
      <c r="E214">
        <v>0.5118682</v>
      </c>
      <c r="F214" t="s">
        <v>45</v>
      </c>
      <c r="G214">
        <v>-179.98699999999999</v>
      </c>
      <c r="H214">
        <v>6.3025949999999997E-2</v>
      </c>
      <c r="I214">
        <v>366.05869999999999</v>
      </c>
      <c r="J214">
        <v>-440.95049999999998</v>
      </c>
      <c r="K214">
        <v>1.108401</v>
      </c>
      <c r="L214">
        <v>368.69529999999997</v>
      </c>
      <c r="M214">
        <v>0.99982369999999998</v>
      </c>
      <c r="N214">
        <v>0</v>
      </c>
      <c r="O214">
        <v>1.6784480000000001E-2</v>
      </c>
      <c r="P214">
        <v>0.9994267</v>
      </c>
      <c r="Q214">
        <v>-2.621153E-2</v>
      </c>
      <c r="R214">
        <v>2.143747E-2</v>
      </c>
      <c r="S214">
        <v>3.0021059999999999</v>
      </c>
      <c r="T214">
        <v>-1.201355E-2</v>
      </c>
      <c r="U214">
        <v>-3.024292E-2</v>
      </c>
      <c r="V214">
        <v>-4.6816080000000003E-3</v>
      </c>
      <c r="W214">
        <v>-1.7779840000000002E-2</v>
      </c>
      <c r="X214">
        <v>0.99983100000000003</v>
      </c>
      <c r="Y214">
        <v>2.6855850000000001E-2</v>
      </c>
      <c r="Z214">
        <v>-1.208992E-4</v>
      </c>
      <c r="AA214">
        <v>0.99963930000000001</v>
      </c>
      <c r="AB214">
        <v>30</v>
      </c>
      <c r="AC214">
        <v>260.96349999999899</v>
      </c>
      <c r="AD214">
        <v>-1.0453750500000001</v>
      </c>
      <c r="AE214">
        <v>-2.6365999999999801</v>
      </c>
      <c r="AF214">
        <v>7.01640780062373</v>
      </c>
      <c r="AG214">
        <v>-1.0453750500000001</v>
      </c>
      <c r="AH214">
        <v>260.87829432131002</v>
      </c>
      <c r="AI214">
        <v>90.229507813385197</v>
      </c>
      <c r="AJ214">
        <v>88.459382507110703</v>
      </c>
      <c r="AK214">
        <v>260.97472528085098</v>
      </c>
      <c r="AL214">
        <v>91.018763437927106</v>
      </c>
      <c r="AM214">
        <v>90.268279758690994</v>
      </c>
      <c r="AN214">
        <v>1.00000003436244</v>
      </c>
    </row>
    <row r="215" spans="1:40" x14ac:dyDescent="0.25">
      <c r="A215" t="str">
        <f>"20190312151505690"</f>
        <v>20190312151505690</v>
      </c>
      <c r="B215" t="str">
        <f>"1552374905687843"</f>
        <v>1552374905687843</v>
      </c>
      <c r="C215" t="s">
        <v>40</v>
      </c>
      <c r="D215">
        <v>4.2828530000000002</v>
      </c>
      <c r="E215">
        <v>0.5116946</v>
      </c>
      <c r="F215" t="s">
        <v>44</v>
      </c>
      <c r="G215">
        <v>-158.19499999999999</v>
      </c>
      <c r="H215">
        <v>8.59766E-2</v>
      </c>
      <c r="I215">
        <v>365.80950000000001</v>
      </c>
      <c r="J215">
        <v>-440.65480000000002</v>
      </c>
      <c r="K215">
        <v>1.1081570000000001</v>
      </c>
      <c r="L215">
        <v>368.69959999999998</v>
      </c>
      <c r="M215">
        <v>0.99983920000000004</v>
      </c>
      <c r="N215">
        <v>0</v>
      </c>
      <c r="O215">
        <v>1.613823E-2</v>
      </c>
      <c r="P215">
        <v>0.99944480000000002</v>
      </c>
      <c r="Q215">
        <v>-2.5750200000000001E-2</v>
      </c>
      <c r="R215">
        <v>2.1144340000000001E-2</v>
      </c>
      <c r="S215">
        <v>3.0021059999999999</v>
      </c>
      <c r="T215">
        <v>-1.085448E-2</v>
      </c>
      <c r="U215">
        <v>-3.0639650000000001E-2</v>
      </c>
      <c r="V215">
        <v>-5.0343949999999997E-3</v>
      </c>
      <c r="W215">
        <v>-1.792521E-2</v>
      </c>
      <c r="X215">
        <v>0.99982669999999996</v>
      </c>
      <c r="Y215">
        <v>2.6341799999999999E-2</v>
      </c>
      <c r="Z215">
        <v>-1.0596869999999999E-4</v>
      </c>
      <c r="AA215">
        <v>0.99965300000000001</v>
      </c>
      <c r="AB215">
        <v>30</v>
      </c>
      <c r="AC215">
        <v>282.45979999999997</v>
      </c>
      <c r="AD215">
        <v>-1.0221804000000001</v>
      </c>
      <c r="AE215">
        <v>-2.8900999999999599</v>
      </c>
      <c r="AF215">
        <v>7.4481666243043101</v>
      </c>
      <c r="AG215">
        <v>-1.0221804000000001</v>
      </c>
      <c r="AH215">
        <v>282.37267297578802</v>
      </c>
      <c r="AI215">
        <v>90.207335941545296</v>
      </c>
      <c r="AJ215">
        <v>88.489054980647097</v>
      </c>
      <c r="AK215">
        <v>282.47273582122102</v>
      </c>
      <c r="AL215">
        <v>91.027093842662197</v>
      </c>
      <c r="AM215">
        <v>90.288497144718093</v>
      </c>
      <c r="AN215">
        <v>1.0000000441597201</v>
      </c>
    </row>
    <row r="216" spans="1:40" x14ac:dyDescent="0.25">
      <c r="A216" t="str">
        <f>"20190312151505713"</f>
        <v>20190312151505713</v>
      </c>
      <c r="B216" t="str">
        <f>"1552374905708339"</f>
        <v>1552374905708339</v>
      </c>
      <c r="C216" t="s">
        <v>40</v>
      </c>
      <c r="D216">
        <v>4.3031420000000002</v>
      </c>
      <c r="E216">
        <v>0.51159690000000002</v>
      </c>
      <c r="F216" t="s">
        <v>44</v>
      </c>
      <c r="G216">
        <v>-158.19499999999999</v>
      </c>
      <c r="H216">
        <v>0.50947310000000001</v>
      </c>
      <c r="I216">
        <v>365.86860000000001</v>
      </c>
      <c r="J216">
        <v>-440.34519999999998</v>
      </c>
      <c r="K216">
        <v>1.1078059999999901</v>
      </c>
      <c r="L216">
        <v>368.70400000000001</v>
      </c>
      <c r="M216">
        <v>0.99985210000000002</v>
      </c>
      <c r="N216">
        <v>0</v>
      </c>
      <c r="O216">
        <v>1.5460450000000001E-2</v>
      </c>
      <c r="P216">
        <v>0.99945170000000005</v>
      </c>
      <c r="Q216">
        <v>-2.5730039999999999E-2</v>
      </c>
      <c r="R216">
        <v>2.084169E-2</v>
      </c>
      <c r="S216">
        <v>3.0021360000000001</v>
      </c>
      <c r="T216">
        <v>-6.3622000000000001E-3</v>
      </c>
      <c r="U216">
        <v>-3.0090329999999998E-2</v>
      </c>
      <c r="V216">
        <v>-5.4095760000000001E-3</v>
      </c>
      <c r="W216">
        <v>-1.8176009999999999E-2</v>
      </c>
      <c r="X216">
        <v>0.99982020000000005</v>
      </c>
      <c r="Y216">
        <v>2.5481299999999998E-2</v>
      </c>
      <c r="Z216" s="1">
        <v>-5.9763480000000003E-5</v>
      </c>
      <c r="AA216">
        <v>0.99967530000000004</v>
      </c>
      <c r="AB216">
        <v>30</v>
      </c>
      <c r="AC216">
        <v>282.15019999999998</v>
      </c>
      <c r="AD216">
        <v>-0.59833289999999895</v>
      </c>
      <c r="AE216">
        <v>-2.8353999999999902</v>
      </c>
      <c r="AF216">
        <v>7.1973215778959503</v>
      </c>
      <c r="AG216">
        <v>-0.59833289999999895</v>
      </c>
      <c r="AH216">
        <v>282.07136936529901</v>
      </c>
      <c r="AI216">
        <v>90.121496712676702</v>
      </c>
      <c r="AJ216">
        <v>88.538360374408697</v>
      </c>
      <c r="AK216">
        <v>282.16381209462298</v>
      </c>
      <c r="AL216">
        <v>91.0414659782451</v>
      </c>
      <c r="AM216">
        <v>90.309998587098505</v>
      </c>
      <c r="AN216">
        <v>1.0000000315900199</v>
      </c>
    </row>
    <row r="217" spans="1:40" x14ac:dyDescent="0.25">
      <c r="A217" t="str">
        <f>"20190312151505735"</f>
        <v>20190312151505735</v>
      </c>
      <c r="B217" t="str">
        <f>"1552374905727859"</f>
        <v>1552374905727859</v>
      </c>
      <c r="C217" t="s">
        <v>40</v>
      </c>
      <c r="D217">
        <v>4.8140919999999996</v>
      </c>
      <c r="E217">
        <v>0.51155470000000003</v>
      </c>
      <c r="F217" t="s">
        <v>44</v>
      </c>
      <c r="G217">
        <v>-158.19499999999999</v>
      </c>
      <c r="H217">
        <v>0.71199820000000003</v>
      </c>
      <c r="I217">
        <v>365.87900000000002</v>
      </c>
      <c r="J217">
        <v>-440.03859999999997</v>
      </c>
      <c r="K217">
        <v>1.107289</v>
      </c>
      <c r="L217">
        <v>368.70819999999998</v>
      </c>
      <c r="M217">
        <v>0.99986030000000004</v>
      </c>
      <c r="N217">
        <v>0</v>
      </c>
      <c r="O217">
        <v>1.4803429999999999E-2</v>
      </c>
      <c r="P217">
        <v>0.9994497</v>
      </c>
      <c r="Q217">
        <v>-2.617156E-2</v>
      </c>
      <c r="R217">
        <v>2.0387479999999999E-2</v>
      </c>
      <c r="S217">
        <v>3.002167</v>
      </c>
      <c r="T217">
        <v>-4.2105909999999996E-3</v>
      </c>
      <c r="U217">
        <v>-3.0059809999999999E-2</v>
      </c>
      <c r="V217">
        <v>-5.6136040000000003E-3</v>
      </c>
      <c r="W217">
        <v>-1.8389829999999999E-2</v>
      </c>
      <c r="X217">
        <v>0.99981509999999996</v>
      </c>
      <c r="Y217">
        <v>2.4814200000000002E-2</v>
      </c>
      <c r="Z217" s="1">
        <v>-3.81627E-5</v>
      </c>
      <c r="AA217">
        <v>0.99969209999999997</v>
      </c>
      <c r="AB217">
        <v>31</v>
      </c>
      <c r="AC217">
        <v>281.84359999999998</v>
      </c>
      <c r="AD217">
        <v>-0.3952908</v>
      </c>
      <c r="AE217">
        <v>-2.82919999999995</v>
      </c>
      <c r="AF217">
        <v>7.0012538714875197</v>
      </c>
      <c r="AG217">
        <v>-0.3952908</v>
      </c>
      <c r="AH217">
        <v>281.77027729892899</v>
      </c>
      <c r="AI217">
        <v>90.080354434912095</v>
      </c>
      <c r="AJ217">
        <v>88.576642723013293</v>
      </c>
      <c r="AK217">
        <v>281.85752248202499</v>
      </c>
      <c r="AL217">
        <v>91.053719078321606</v>
      </c>
      <c r="AM217">
        <v>90.321691918186005</v>
      </c>
      <c r="AN217">
        <v>0.99999996629265298</v>
      </c>
    </row>
    <row r="218" spans="1:40" x14ac:dyDescent="0.25">
      <c r="A218" t="str">
        <f>"20190312151505757"</f>
        <v>20190312151505757</v>
      </c>
      <c r="B218" t="str">
        <f>"1552374905748358"</f>
        <v>1552374905748358</v>
      </c>
      <c r="C218" t="s">
        <v>40</v>
      </c>
      <c r="D218">
        <v>4.3303000000000003</v>
      </c>
      <c r="E218">
        <v>0.51164100000000001</v>
      </c>
      <c r="F218" t="s">
        <v>44</v>
      </c>
      <c r="G218">
        <v>-158.19499999999999</v>
      </c>
      <c r="H218">
        <v>0.63114309999999996</v>
      </c>
      <c r="I218">
        <v>365.78019999999998</v>
      </c>
      <c r="J218">
        <v>-439.73660000000001</v>
      </c>
      <c r="K218">
        <v>1.1065659999999999</v>
      </c>
      <c r="L218">
        <v>368.7122</v>
      </c>
      <c r="M218">
        <v>0.99986439999999999</v>
      </c>
      <c r="N218">
        <v>0</v>
      </c>
      <c r="O218">
        <v>1.4178680000000001E-2</v>
      </c>
      <c r="P218">
        <v>0.99943179999999998</v>
      </c>
      <c r="Q218">
        <v>-2.701829E-2</v>
      </c>
      <c r="R218">
        <v>2.015366E-2</v>
      </c>
      <c r="S218">
        <v>3.002167</v>
      </c>
      <c r="T218">
        <v>-5.0709250000000004E-3</v>
      </c>
      <c r="U218">
        <v>-3.1188960000000002E-2</v>
      </c>
      <c r="V218">
        <v>-6.0059409999999999E-3</v>
      </c>
      <c r="W218">
        <v>-1.8633719999999999E-2</v>
      </c>
      <c r="X218">
        <v>0.99980829999999998</v>
      </c>
      <c r="Y218">
        <v>2.4565569999999998E-2</v>
      </c>
      <c r="Z218" s="1">
        <v>-4.4695199999999999E-5</v>
      </c>
      <c r="AA218">
        <v>0.99969819999999998</v>
      </c>
      <c r="AB218">
        <v>31</v>
      </c>
      <c r="AC218">
        <v>281.54160000000002</v>
      </c>
      <c r="AD218">
        <v>-0.47542289999999998</v>
      </c>
      <c r="AE218">
        <v>-2.9320000000000102</v>
      </c>
      <c r="AF218">
        <v>6.9237137755843197</v>
      </c>
      <c r="AG218">
        <v>-0.47542289999999998</v>
      </c>
      <c r="AH218">
        <v>281.47092086071501</v>
      </c>
      <c r="AI218">
        <v>90.096746983142793</v>
      </c>
      <c r="AJ218">
        <v>88.590903833459507</v>
      </c>
      <c r="AK218">
        <v>281.55646525973998</v>
      </c>
      <c r="AL218">
        <v>91.067695346230494</v>
      </c>
      <c r="AM218">
        <v>90.344176910958694</v>
      </c>
      <c r="AN218">
        <v>0.99999996179861095</v>
      </c>
    </row>
    <row r="219" spans="1:40" x14ac:dyDescent="0.25">
      <c r="A219" t="str">
        <f>"20190312151505779"</f>
        <v>20190312151505779</v>
      </c>
      <c r="B219" t="str">
        <f>"1552374905767879"</f>
        <v>1552374905767879</v>
      </c>
      <c r="C219" t="s">
        <v>40</v>
      </c>
      <c r="D219">
        <v>4.3338429999999999</v>
      </c>
      <c r="E219">
        <v>0.51170599999999999</v>
      </c>
      <c r="F219" t="s">
        <v>42</v>
      </c>
      <c r="G219">
        <v>-415.66160000000002</v>
      </c>
      <c r="H219">
        <v>-0.05</v>
      </c>
      <c r="I219">
        <v>368.45389999999998</v>
      </c>
      <c r="J219">
        <v>-439.4316</v>
      </c>
      <c r="K219">
        <v>1.1056429999999999</v>
      </c>
      <c r="L219">
        <v>368.71589999999998</v>
      </c>
      <c r="M219">
        <v>0.99986299999999995</v>
      </c>
      <c r="N219">
        <v>0</v>
      </c>
      <c r="O219">
        <v>1.360772E-2</v>
      </c>
      <c r="P219">
        <v>0.99942030000000004</v>
      </c>
      <c r="Q219">
        <v>-2.7720160000000001E-2</v>
      </c>
      <c r="R219">
        <v>1.977394E-2</v>
      </c>
      <c r="S219">
        <v>2.9985050000000002</v>
      </c>
      <c r="T219">
        <v>-0.14404819999999999</v>
      </c>
      <c r="U219">
        <v>-3.2165529999999998E-2</v>
      </c>
      <c r="V219">
        <v>-6.1981099999999997E-3</v>
      </c>
      <c r="W219">
        <v>-1.8284290000000002E-2</v>
      </c>
      <c r="X219">
        <v>0.99981359999999997</v>
      </c>
      <c r="Y219">
        <v>2.4289419999999999E-2</v>
      </c>
      <c r="Z219">
        <v>-1.236425E-3</v>
      </c>
      <c r="AA219">
        <v>0.99970420000000004</v>
      </c>
      <c r="AB219">
        <v>31</v>
      </c>
      <c r="AC219">
        <v>23.7699999999999</v>
      </c>
      <c r="AD219">
        <v>-1.155643</v>
      </c>
      <c r="AE219">
        <v>-0.26200000000000001</v>
      </c>
      <c r="AF219">
        <v>0.58406523134694499</v>
      </c>
      <c r="AG219">
        <v>-1.155643</v>
      </c>
      <c r="AH219">
        <v>23.7082017366352</v>
      </c>
      <c r="AI219">
        <v>92.789796723052604</v>
      </c>
      <c r="AJ219">
        <v>88.588770858308493</v>
      </c>
      <c r="AK219">
        <v>23.743535383824199</v>
      </c>
      <c r="AL219">
        <v>91.047671046837905</v>
      </c>
      <c r="AM219">
        <v>90.355187201693099</v>
      </c>
      <c r="AN219">
        <v>0.99999998328666795</v>
      </c>
    </row>
    <row r="220" spans="1:40" x14ac:dyDescent="0.25">
      <c r="A220" t="str">
        <f>"20190312151505802"</f>
        <v>20190312151505802</v>
      </c>
      <c r="B220" t="str">
        <f>"1552374905798131"</f>
        <v>1552374905798131</v>
      </c>
      <c r="C220" t="s">
        <v>40</v>
      </c>
      <c r="D220">
        <v>4.3858370000000004</v>
      </c>
      <c r="E220">
        <v>0.51204959999999999</v>
      </c>
      <c r="F220" t="s">
        <v>42</v>
      </c>
      <c r="G220">
        <v>-418.50990000000002</v>
      </c>
      <c r="H220">
        <v>-0.05</v>
      </c>
      <c r="I220">
        <v>368.48099999999999</v>
      </c>
      <c r="J220">
        <v>-439.11309999999997</v>
      </c>
      <c r="K220">
        <v>1.104528</v>
      </c>
      <c r="L220">
        <v>368.71969999999999</v>
      </c>
      <c r="M220">
        <v>0.99985239999999997</v>
      </c>
      <c r="N220">
        <v>0</v>
      </c>
      <c r="O220">
        <v>1.3054420000000001E-2</v>
      </c>
      <c r="P220">
        <v>0.99937750000000003</v>
      </c>
      <c r="Q220">
        <v>-2.9548109999999999E-2</v>
      </c>
      <c r="R220">
        <v>1.928129E-2</v>
      </c>
      <c r="S220">
        <v>2.9977420000000001</v>
      </c>
      <c r="T220">
        <v>-0.16558490000000001</v>
      </c>
      <c r="U220">
        <v>-3.3660889999999999E-2</v>
      </c>
      <c r="V220">
        <v>-6.2605530000000003E-3</v>
      </c>
      <c r="W220">
        <v>-1.836612E-2</v>
      </c>
      <c r="X220">
        <v>0.99981169999999997</v>
      </c>
      <c r="Y220">
        <v>2.4224679999999998E-2</v>
      </c>
      <c r="Z220">
        <v>-1.389066E-3</v>
      </c>
      <c r="AA220">
        <v>0.99970559999999997</v>
      </c>
      <c r="AB220">
        <v>31</v>
      </c>
      <c r="AC220">
        <v>20.603199999999902</v>
      </c>
      <c r="AD220">
        <v>-1.154528</v>
      </c>
      <c r="AE220">
        <v>-0.238699999999994</v>
      </c>
      <c r="AF220">
        <v>0.50607037880741401</v>
      </c>
      <c r="AG220">
        <v>-1.154528</v>
      </c>
      <c r="AH220">
        <v>20.533858706861398</v>
      </c>
      <c r="AI220">
        <v>93.217124971119006</v>
      </c>
      <c r="AJ220">
        <v>88.588193838636599</v>
      </c>
      <c r="AK220">
        <v>20.5725155371053</v>
      </c>
      <c r="AL220">
        <v>91.052360359683405</v>
      </c>
      <c r="AM220">
        <v>90.358766131924199</v>
      </c>
      <c r="AN220">
        <v>0.99999997217230396</v>
      </c>
    </row>
    <row r="221" spans="1:40" x14ac:dyDescent="0.25">
      <c r="A221" t="str">
        <f>"20190312151505824"</f>
        <v>20190312151505824</v>
      </c>
      <c r="B221" t="str">
        <f>"1552374905817651"</f>
        <v>1552374905817651</v>
      </c>
      <c r="C221" t="s">
        <v>40</v>
      </c>
      <c r="D221">
        <v>4.3927430000000003</v>
      </c>
      <c r="E221">
        <v>0.51237639999999995</v>
      </c>
      <c r="F221" t="s">
        <v>42</v>
      </c>
      <c r="G221">
        <v>-419.92430000000002</v>
      </c>
      <c r="H221">
        <v>-0.05</v>
      </c>
      <c r="I221">
        <v>368.47699999999998</v>
      </c>
      <c r="J221">
        <v>-438.8098</v>
      </c>
      <c r="K221">
        <v>1.1033249999999999</v>
      </c>
      <c r="L221">
        <v>368.72300000000001</v>
      </c>
      <c r="M221">
        <v>0.99983480000000002</v>
      </c>
      <c r="N221">
        <v>0</v>
      </c>
      <c r="O221">
        <v>1.249958E-2</v>
      </c>
      <c r="P221">
        <v>0.99931999999999999</v>
      </c>
      <c r="Q221">
        <v>-3.1630499999999999E-2</v>
      </c>
      <c r="R221">
        <v>1.8951079999999999E-2</v>
      </c>
      <c r="S221">
        <v>2.997223</v>
      </c>
      <c r="T221">
        <v>-0.1803323</v>
      </c>
      <c r="U221">
        <v>-3.7902829999999998E-2</v>
      </c>
      <c r="V221">
        <v>-6.4860480000000003E-3</v>
      </c>
      <c r="W221">
        <v>-1.842543E-2</v>
      </c>
      <c r="X221">
        <v>0.99980919999999895</v>
      </c>
      <c r="Y221">
        <v>2.5075710000000001E-2</v>
      </c>
      <c r="Z221">
        <v>-1.505059E-3</v>
      </c>
      <c r="AA221">
        <v>0.99968440000000003</v>
      </c>
      <c r="AB221">
        <v>31</v>
      </c>
      <c r="AC221">
        <v>18.885499999999901</v>
      </c>
      <c r="AD221">
        <v>-1.1533249999999999</v>
      </c>
      <c r="AE221">
        <v>-0.24600000000003699</v>
      </c>
      <c r="AF221">
        <v>0.48027130148784902</v>
      </c>
      <c r="AG221">
        <v>-1.1533249999999999</v>
      </c>
      <c r="AH221">
        <v>18.8108068617796</v>
      </c>
      <c r="AI221">
        <v>93.507377048881494</v>
      </c>
      <c r="AJ221">
        <v>88.537460838870203</v>
      </c>
      <c r="AK221">
        <v>18.852248509656199</v>
      </c>
      <c r="AL221">
        <v>91.055759117315702</v>
      </c>
      <c r="AM221">
        <v>90.371688881250904</v>
      </c>
      <c r="AN221">
        <v>1.00000000084699</v>
      </c>
    </row>
    <row r="222" spans="1:40" x14ac:dyDescent="0.25">
      <c r="A222" t="str">
        <f>"20190312151505838"</f>
        <v>20190312151505838</v>
      </c>
      <c r="B222" t="str">
        <f>"1552374905828391"</f>
        <v>1552374905828391</v>
      </c>
      <c r="C222" t="s">
        <v>40</v>
      </c>
      <c r="D222">
        <v>4.3755800000000002</v>
      </c>
      <c r="E222">
        <v>0.51243809999999901</v>
      </c>
      <c r="F222" t="s">
        <v>42</v>
      </c>
      <c r="G222">
        <v>-420.63920000000002</v>
      </c>
      <c r="H222">
        <v>-0.05</v>
      </c>
      <c r="I222">
        <v>368.47039999999998</v>
      </c>
      <c r="J222">
        <v>-438.6232</v>
      </c>
      <c r="K222">
        <v>1.1024910000000001</v>
      </c>
      <c r="L222">
        <v>368.72489999999999</v>
      </c>
      <c r="M222">
        <v>0.99982309999999996</v>
      </c>
      <c r="N222">
        <v>0</v>
      </c>
      <c r="O222">
        <v>1.2122580000000001E-2</v>
      </c>
      <c r="P222">
        <v>0.99929920000000005</v>
      </c>
      <c r="Q222">
        <v>-3.2591380000000003E-2</v>
      </c>
      <c r="R222">
        <v>1.8416269999999998E-2</v>
      </c>
      <c r="S222">
        <v>2.9968569999999999</v>
      </c>
      <c r="T222">
        <v>-0.19021679999999999</v>
      </c>
      <c r="U222">
        <v>-4.1656489999999997E-2</v>
      </c>
      <c r="V222">
        <v>-6.3277949999999998E-3</v>
      </c>
      <c r="W222">
        <v>-1.8199050000000001E-2</v>
      </c>
      <c r="X222">
        <v>0.99981430000000004</v>
      </c>
      <c r="Y222">
        <v>2.5943770000000001E-2</v>
      </c>
      <c r="Z222">
        <v>-1.5912019999999999E-3</v>
      </c>
      <c r="AA222">
        <v>0.99966219999999995</v>
      </c>
      <c r="AB222">
        <v>31</v>
      </c>
      <c r="AC222">
        <v>17.983999999999899</v>
      </c>
      <c r="AD222">
        <v>-1.1524909999999999</v>
      </c>
      <c r="AE222">
        <v>-0.254500000000007</v>
      </c>
      <c r="AF222">
        <v>0.47058411795674299</v>
      </c>
      <c r="AG222">
        <v>-1.1524909999999999</v>
      </c>
      <c r="AH222">
        <v>17.906070975813901</v>
      </c>
      <c r="AI222">
        <v>93.681389153069404</v>
      </c>
      <c r="AJ222">
        <v>88.494573207502995</v>
      </c>
      <c r="AK222">
        <v>17.949291426349902</v>
      </c>
      <c r="AL222">
        <v>91.042786386404899</v>
      </c>
      <c r="AM222">
        <v>90.3626184446548</v>
      </c>
      <c r="AN222">
        <v>0.99999994044747498</v>
      </c>
    </row>
    <row r="223" spans="1:40" x14ac:dyDescent="0.25">
      <c r="A223" t="str">
        <f>"20190312151505859"</f>
        <v>20190312151505859</v>
      </c>
      <c r="B223" t="str">
        <f>"1552374905847908"</f>
        <v>1552374905847908</v>
      </c>
      <c r="C223" t="s">
        <v>40</v>
      </c>
      <c r="D223">
        <v>4.3722310000000002</v>
      </c>
      <c r="E223">
        <v>0.51253720000000003</v>
      </c>
      <c r="F223" t="s">
        <v>42</v>
      </c>
      <c r="G223">
        <v>-420.90280000000001</v>
      </c>
      <c r="H223">
        <v>-0.05</v>
      </c>
      <c r="I223">
        <v>368.46570000000003</v>
      </c>
      <c r="J223">
        <v>-438.32080000000002</v>
      </c>
      <c r="K223">
        <v>1.1009370000000001</v>
      </c>
      <c r="L223">
        <v>368.72800000000001</v>
      </c>
      <c r="M223">
        <v>0.99980809999999998</v>
      </c>
      <c r="N223">
        <v>0</v>
      </c>
      <c r="O223">
        <v>1.14421E-2</v>
      </c>
      <c r="P223">
        <v>0.99926490000000001</v>
      </c>
      <c r="Q223">
        <v>-3.4080399999999997E-2</v>
      </c>
      <c r="R223">
        <v>1.7561920000000002E-2</v>
      </c>
      <c r="S223">
        <v>2.996521</v>
      </c>
      <c r="T223">
        <v>-0.19488610000000001</v>
      </c>
      <c r="U223">
        <v>-4.3823239999999999E-2</v>
      </c>
      <c r="V223">
        <v>-6.1528299999999998E-3</v>
      </c>
      <c r="W223">
        <v>-1.8176790000000002E-2</v>
      </c>
      <c r="X223">
        <v>0.99981589999999998</v>
      </c>
      <c r="Y223">
        <v>2.5985439999999999E-2</v>
      </c>
      <c r="Z223">
        <v>-1.5875139999999999E-3</v>
      </c>
      <c r="AA223">
        <v>0.99966109999999997</v>
      </c>
      <c r="AB223">
        <v>31</v>
      </c>
      <c r="AC223">
        <v>17.417999999999999</v>
      </c>
      <c r="AD223">
        <v>-1.1509370000000001</v>
      </c>
      <c r="AE223">
        <v>-0.26229999999998199</v>
      </c>
      <c r="AF223">
        <v>0.45960025767035001</v>
      </c>
      <c r="AG223">
        <v>-1.1509370000000001</v>
      </c>
      <c r="AH223">
        <v>17.338172563428898</v>
      </c>
      <c r="AI223">
        <v>93.7964884583659</v>
      </c>
      <c r="AJ223">
        <v>88.481559134565302</v>
      </c>
      <c r="AK223">
        <v>17.382408239770999</v>
      </c>
      <c r="AL223">
        <v>91.041510663980006</v>
      </c>
      <c r="AM223">
        <v>90.352591653019104</v>
      </c>
      <c r="AN223">
        <v>1.00000004345226</v>
      </c>
    </row>
    <row r="224" spans="1:40" x14ac:dyDescent="0.25">
      <c r="A224" t="str">
        <f>"20190312151505881"</f>
        <v>20190312151505881</v>
      </c>
      <c r="B224" t="str">
        <f>"1552374905878164"</f>
        <v>1552374905878164</v>
      </c>
      <c r="C224" t="s">
        <v>40</v>
      </c>
      <c r="D224">
        <v>4.4348729999999996</v>
      </c>
      <c r="E224">
        <v>0.51273950000000001</v>
      </c>
      <c r="F224" t="s">
        <v>42</v>
      </c>
      <c r="G224">
        <v>-421.1114</v>
      </c>
      <c r="H224">
        <v>-0.05</v>
      </c>
      <c r="I224">
        <v>368.4581</v>
      </c>
      <c r="J224">
        <v>-438.02179999999998</v>
      </c>
      <c r="K224">
        <v>1.0991839999999999</v>
      </c>
      <c r="L224">
        <v>368.73079999999999</v>
      </c>
      <c r="M224">
        <v>0.99979640000000003</v>
      </c>
      <c r="N224">
        <v>0</v>
      </c>
      <c r="O224">
        <v>1.075922E-2</v>
      </c>
      <c r="P224">
        <v>0.99925310000000001</v>
      </c>
      <c r="Q224">
        <v>-3.4907790000000001E-2</v>
      </c>
      <c r="R224">
        <v>1.6585630000000001E-2</v>
      </c>
      <c r="S224">
        <v>2.9961850000000001</v>
      </c>
      <c r="T224">
        <v>-0.20037930000000001</v>
      </c>
      <c r="U224">
        <v>-4.6966550000000003E-2</v>
      </c>
      <c r="V224">
        <v>-5.8591889999999999E-3</v>
      </c>
      <c r="W224">
        <v>-1.78255999999999E-2</v>
      </c>
      <c r="X224">
        <v>0.99982389999999999</v>
      </c>
      <c r="Y224">
        <v>2.63492E-2</v>
      </c>
      <c r="Z224">
        <v>-1.598875E-3</v>
      </c>
      <c r="AA224">
        <v>0.99965150000000003</v>
      </c>
      <c r="AB224">
        <v>31</v>
      </c>
      <c r="AC224">
        <v>16.9103999999999</v>
      </c>
      <c r="AD224">
        <v>-1.149184</v>
      </c>
      <c r="AE224">
        <v>-0.27269999999998601</v>
      </c>
      <c r="AF224">
        <v>0.45256395851709502</v>
      </c>
      <c r="AG224">
        <v>-1.149184</v>
      </c>
      <c r="AH224">
        <v>16.828788177549601</v>
      </c>
      <c r="AI224">
        <v>93.905073133100402</v>
      </c>
      <c r="AJ224">
        <v>88.459558916514098</v>
      </c>
      <c r="AK224">
        <v>16.874049588858</v>
      </c>
      <c r="AL224">
        <v>91.021385787761204</v>
      </c>
      <c r="AM224">
        <v>90.335762085883005</v>
      </c>
      <c r="AN224">
        <v>0.99999995656115304</v>
      </c>
    </row>
    <row r="225" spans="1:40" x14ac:dyDescent="0.25">
      <c r="A225" t="str">
        <f>"20190312151505904"</f>
        <v>20190312151505904</v>
      </c>
      <c r="B225" t="str">
        <f>"1552374905897683"</f>
        <v>1552374905897683</v>
      </c>
      <c r="C225" t="s">
        <v>40</v>
      </c>
      <c r="D225">
        <v>4.4257780000000002</v>
      </c>
      <c r="E225">
        <v>0.51283109999999998</v>
      </c>
      <c r="F225" t="s">
        <v>42</v>
      </c>
      <c r="G225">
        <v>-421.41649999999998</v>
      </c>
      <c r="H225">
        <v>-0.05</v>
      </c>
      <c r="I225">
        <v>368.44630000000001</v>
      </c>
      <c r="J225">
        <v>-437.7029</v>
      </c>
      <c r="K225">
        <v>1.0970819999999999</v>
      </c>
      <c r="L225">
        <v>368.73360000000002</v>
      </c>
      <c r="M225">
        <v>0.99978489999999998</v>
      </c>
      <c r="N225">
        <v>0</v>
      </c>
      <c r="O225">
        <v>1.0073739999999999E-2</v>
      </c>
      <c r="P225">
        <v>0.99924060000000003</v>
      </c>
      <c r="Q225">
        <v>-3.5522060000000001E-2</v>
      </c>
      <c r="R225">
        <v>1.6022169999999999E-2</v>
      </c>
      <c r="S225">
        <v>2.9958499999999999</v>
      </c>
      <c r="T225">
        <v>-0.20732999999999999</v>
      </c>
      <c r="U225">
        <v>-5.1330569999999999E-2</v>
      </c>
      <c r="V225">
        <v>-5.9812839999999999E-3</v>
      </c>
      <c r="W225">
        <v>-1.7384630000000002E-2</v>
      </c>
      <c r="X225">
        <v>0.99983100000000003</v>
      </c>
      <c r="Y225">
        <v>2.7115489999999999E-2</v>
      </c>
      <c r="Z225">
        <v>-1.6334819999999999E-3</v>
      </c>
      <c r="AA225">
        <v>0.99963100000000005</v>
      </c>
      <c r="AB225">
        <v>31</v>
      </c>
      <c r="AC225">
        <v>16.2864</v>
      </c>
      <c r="AD225">
        <v>-1.1470819999999999</v>
      </c>
      <c r="AE225">
        <v>-0.28730000000001599</v>
      </c>
      <c r="AF225">
        <v>0.449149961496146</v>
      </c>
      <c r="AG225">
        <v>-1.1470819999999999</v>
      </c>
      <c r="AH225">
        <v>16.2023295620073</v>
      </c>
      <c r="AI225">
        <v>94.048082496835704</v>
      </c>
      <c r="AJ225">
        <v>88.412092035864006</v>
      </c>
      <c r="AK225">
        <v>16.249092775860799</v>
      </c>
      <c r="AL225">
        <v>90.996116092168293</v>
      </c>
      <c r="AM225">
        <v>90.342756166955496</v>
      </c>
      <c r="AN225">
        <v>1.0000000148397601</v>
      </c>
    </row>
    <row r="226" spans="1:40" x14ac:dyDescent="0.25">
      <c r="A226" t="str">
        <f>"20190312151505925"</f>
        <v>20190312151505925</v>
      </c>
      <c r="B226" t="str">
        <f>"1552374905918179"</f>
        <v>1552374905918179</v>
      </c>
      <c r="C226" t="s">
        <v>40</v>
      </c>
      <c r="D226">
        <v>4.4081809999999999</v>
      </c>
      <c r="E226">
        <v>0.51283559999999995</v>
      </c>
      <c r="F226" t="s">
        <v>42</v>
      </c>
      <c r="G226">
        <v>-421.4522</v>
      </c>
      <c r="H226">
        <v>-0.05</v>
      </c>
      <c r="I226">
        <v>368.44029999999998</v>
      </c>
      <c r="J226">
        <v>-437.39640000000003</v>
      </c>
      <c r="K226">
        <v>1.0948659999999999</v>
      </c>
      <c r="L226">
        <v>368.73599999999999</v>
      </c>
      <c r="M226">
        <v>0.99977709999999997</v>
      </c>
      <c r="N226">
        <v>0</v>
      </c>
      <c r="O226">
        <v>9.4473460000000006E-3</v>
      </c>
      <c r="P226">
        <v>0.9992162</v>
      </c>
      <c r="Q226">
        <v>-3.644555E-2</v>
      </c>
      <c r="R226">
        <v>1.5455119999999999E-2</v>
      </c>
      <c r="S226">
        <v>2.9956360000000002</v>
      </c>
      <c r="T226">
        <v>-0.21145120000000001</v>
      </c>
      <c r="U226">
        <v>-5.4046629999999998E-2</v>
      </c>
      <c r="V226">
        <v>-6.0418149999999999E-3</v>
      </c>
      <c r="W226">
        <v>-1.7554899999999998E-2</v>
      </c>
      <c r="X226">
        <v>0.99982760000000004</v>
      </c>
      <c r="Y226">
        <v>2.7393899999999999E-2</v>
      </c>
      <c r="Z226">
        <v>-1.6316359999999999E-3</v>
      </c>
      <c r="AA226">
        <v>0.99962340000000005</v>
      </c>
      <c r="AB226">
        <v>31</v>
      </c>
      <c r="AC226">
        <v>15.9442</v>
      </c>
      <c r="AD226">
        <v>-1.1448659999999999</v>
      </c>
      <c r="AE226">
        <v>-0.29570000000001001</v>
      </c>
      <c r="AF226">
        <v>0.44405531578422303</v>
      </c>
      <c r="AG226">
        <v>-1.1448659999999999</v>
      </c>
      <c r="AH226">
        <v>15.8589551705183</v>
      </c>
      <c r="AI226">
        <v>94.127436381293904</v>
      </c>
      <c r="AJ226">
        <v>88.396120727480906</v>
      </c>
      <c r="AK226">
        <v>15.9064251917878</v>
      </c>
      <c r="AL226">
        <v>91.005873394767903</v>
      </c>
      <c r="AM226">
        <v>90.3462259759484</v>
      </c>
      <c r="AN226">
        <v>0.99999995388213103</v>
      </c>
    </row>
    <row r="227" spans="1:40" x14ac:dyDescent="0.25">
      <c r="A227" t="str">
        <f>"20190312151505948"</f>
        <v>20190312151505948</v>
      </c>
      <c r="B227" t="str">
        <f>"1552374905937699"</f>
        <v>1552374905937699</v>
      </c>
      <c r="C227" t="s">
        <v>40</v>
      </c>
      <c r="D227">
        <v>4.3742660000000004</v>
      </c>
      <c r="E227">
        <v>0.51291620000000004</v>
      </c>
      <c r="F227" t="s">
        <v>42</v>
      </c>
      <c r="G227">
        <v>-421.69740000000002</v>
      </c>
      <c r="H227">
        <v>-0.05</v>
      </c>
      <c r="I227">
        <v>368.4436</v>
      </c>
      <c r="J227">
        <v>-437.08539999999999</v>
      </c>
      <c r="K227">
        <v>1.0924229999999999</v>
      </c>
      <c r="L227">
        <v>368.73820000000001</v>
      </c>
      <c r="M227">
        <v>0.99977510000000003</v>
      </c>
      <c r="N227">
        <v>0</v>
      </c>
      <c r="O227">
        <v>8.8174499999999992E-3</v>
      </c>
      <c r="P227">
        <v>0.99919480000000005</v>
      </c>
      <c r="Q227">
        <v>-3.7453939999999998E-2</v>
      </c>
      <c r="R227">
        <v>1.439264E-2</v>
      </c>
      <c r="S227">
        <v>2.9952700000000001</v>
      </c>
      <c r="T227">
        <v>-0.2184343</v>
      </c>
      <c r="U227">
        <v>-5.5786130000000003E-2</v>
      </c>
      <c r="V227">
        <v>-5.6112449999999999E-3</v>
      </c>
      <c r="W227">
        <v>-1.8155839999999999E-2</v>
      </c>
      <c r="X227">
        <v>0.99981940000000002</v>
      </c>
      <c r="Y227">
        <v>2.7342350000000001E-2</v>
      </c>
      <c r="Z227">
        <v>-1.637826E-3</v>
      </c>
      <c r="AA227">
        <v>0.99962479999999998</v>
      </c>
      <c r="AB227">
        <v>31</v>
      </c>
      <c r="AC227">
        <v>15.3879999999999</v>
      </c>
      <c r="AD227">
        <v>-1.142423</v>
      </c>
      <c r="AE227">
        <v>-0.29460000000000203</v>
      </c>
      <c r="AF227">
        <v>0.42793888014284398</v>
      </c>
      <c r="AG227">
        <v>-1.142423</v>
      </c>
      <c r="AH227">
        <v>15.300501828594401</v>
      </c>
      <c r="AI227">
        <v>94.268444186641005</v>
      </c>
      <c r="AJ227">
        <v>88.397915209213295</v>
      </c>
      <c r="AK227">
        <v>15.3490591960187</v>
      </c>
      <c r="AL227">
        <v>91.040310188884206</v>
      </c>
      <c r="AM227">
        <v>90.321555353791297</v>
      </c>
      <c r="AN227">
        <v>0.99999997660645701</v>
      </c>
    </row>
    <row r="228" spans="1:40" x14ac:dyDescent="0.25">
      <c r="A228" t="str">
        <f>"20190312151505969"</f>
        <v>20190312151505969</v>
      </c>
      <c r="B228" t="str">
        <f>"1552374905958195"</f>
        <v>1552374905958195</v>
      </c>
      <c r="C228" t="s">
        <v>40</v>
      </c>
      <c r="D228">
        <v>4.403772</v>
      </c>
      <c r="E228">
        <v>0.51291520000000002</v>
      </c>
      <c r="F228" t="s">
        <v>42</v>
      </c>
      <c r="G228">
        <v>-421.9076</v>
      </c>
      <c r="H228">
        <v>-0.05</v>
      </c>
      <c r="I228">
        <v>368.43700000000001</v>
      </c>
      <c r="J228">
        <v>-436.78710000000001</v>
      </c>
      <c r="K228">
        <v>1.089912</v>
      </c>
      <c r="L228">
        <v>368.74020000000002</v>
      </c>
      <c r="M228">
        <v>0.99977930000000004</v>
      </c>
      <c r="N228">
        <v>0</v>
      </c>
      <c r="O228">
        <v>8.2123500000000002E-3</v>
      </c>
      <c r="P228">
        <v>0.99919669999999905</v>
      </c>
      <c r="Q228">
        <v>-3.7673520000000002E-2</v>
      </c>
      <c r="R228">
        <v>1.3657610000000001E-2</v>
      </c>
      <c r="S228">
        <v>2.9948429999999999</v>
      </c>
      <c r="T228">
        <v>-0.22541890000000001</v>
      </c>
      <c r="U228">
        <v>-5.9448239999999999E-2</v>
      </c>
      <c r="V228">
        <v>-5.4820270000000004E-3</v>
      </c>
      <c r="W228">
        <v>-1.833313E-2</v>
      </c>
      <c r="X228">
        <v>0.99981690000000001</v>
      </c>
      <c r="Y228">
        <v>2.795562E-2</v>
      </c>
      <c r="Z228">
        <v>-1.667832E-3</v>
      </c>
      <c r="AA228">
        <v>0.99960780000000005</v>
      </c>
      <c r="AB228">
        <v>31</v>
      </c>
      <c r="AC228">
        <v>14.8795</v>
      </c>
      <c r="AD228">
        <v>-1.139912</v>
      </c>
      <c r="AE228">
        <v>-0.30320000000005998</v>
      </c>
      <c r="AF228">
        <v>0.42292714507575802</v>
      </c>
      <c r="AG228">
        <v>-1.139912</v>
      </c>
      <c r="AH228">
        <v>14.789742253644899</v>
      </c>
      <c r="AI228">
        <v>94.405536357395206</v>
      </c>
      <c r="AJ228">
        <v>88.362017524278002</v>
      </c>
      <c r="AK228">
        <v>14.8396341823859</v>
      </c>
      <c r="AL228">
        <v>91.050469829684701</v>
      </c>
      <c r="AM228">
        <v>90.314151383820004</v>
      </c>
      <c r="AN228">
        <v>0.99999999490061697</v>
      </c>
    </row>
    <row r="229" spans="1:40" x14ac:dyDescent="0.25">
      <c r="A229" t="str">
        <f>"20190312151505994"</f>
        <v>20190312151505994</v>
      </c>
      <c r="B229" t="str">
        <f>"1552374905987476"</f>
        <v>1552374905987476</v>
      </c>
      <c r="C229" t="s">
        <v>40</v>
      </c>
      <c r="D229">
        <v>4.3817190000000004</v>
      </c>
      <c r="E229">
        <v>0.51276460000000001</v>
      </c>
      <c r="F229" t="s">
        <v>42</v>
      </c>
      <c r="G229">
        <v>-421.7072</v>
      </c>
      <c r="H229">
        <v>-0.05</v>
      </c>
      <c r="I229">
        <v>368.4282</v>
      </c>
      <c r="J229">
        <v>-436.44589999999999</v>
      </c>
      <c r="K229">
        <v>1.0869150000000001</v>
      </c>
      <c r="L229">
        <v>368.74220000000003</v>
      </c>
      <c r="M229">
        <v>0.99978710000000004</v>
      </c>
      <c r="N229">
        <v>0</v>
      </c>
      <c r="O229">
        <v>7.5754819999999997E-3</v>
      </c>
      <c r="P229">
        <v>0.99920969999999998</v>
      </c>
      <c r="Q229">
        <v>-3.7452230000000003E-2</v>
      </c>
      <c r="R229">
        <v>1.3327230000000001E-2</v>
      </c>
      <c r="S229">
        <v>2.99472</v>
      </c>
      <c r="T229">
        <v>-0.22637470000000001</v>
      </c>
      <c r="U229">
        <v>-6.1950680000000001E-2</v>
      </c>
      <c r="V229">
        <v>-5.7885860000000001E-3</v>
      </c>
      <c r="W229">
        <v>-1.8247670000000001E-2</v>
      </c>
      <c r="X229">
        <v>0.9998167</v>
      </c>
      <c r="Y229">
        <v>2.8154970000000001E-2</v>
      </c>
      <c r="Z229">
        <v>-1.634382E-3</v>
      </c>
      <c r="AA229">
        <v>0.99960230000000005</v>
      </c>
      <c r="AB229">
        <v>31</v>
      </c>
      <c r="AC229">
        <v>14.7386999999999</v>
      </c>
      <c r="AD229">
        <v>-1.1369149999999999</v>
      </c>
      <c r="AE229">
        <v>-0.31400000000002098</v>
      </c>
      <c r="AF229">
        <v>0.42314760765350201</v>
      </c>
      <c r="AG229">
        <v>-1.1369149999999999</v>
      </c>
      <c r="AH229">
        <v>14.6487729834795</v>
      </c>
      <c r="AI229">
        <v>94.436078839613003</v>
      </c>
      <c r="AJ229">
        <v>88.345401891418206</v>
      </c>
      <c r="AK229">
        <v>14.6989176314655</v>
      </c>
      <c r="AL229">
        <v>91.045572550230702</v>
      </c>
      <c r="AM229">
        <v>90.331718645484003</v>
      </c>
      <c r="AN229">
        <v>0.99999995939359798</v>
      </c>
    </row>
    <row r="230" spans="1:40" x14ac:dyDescent="0.25">
      <c r="A230" t="str">
        <f>"20190312151506014"</f>
        <v>20190312151506014</v>
      </c>
      <c r="B230" t="str">
        <f>"1552374906007972"</f>
        <v>1552374906007972</v>
      </c>
      <c r="C230" t="s">
        <v>40</v>
      </c>
      <c r="D230">
        <v>4.3285689999999999</v>
      </c>
      <c r="E230">
        <v>0.51267249999999998</v>
      </c>
      <c r="F230" t="s">
        <v>41</v>
      </c>
      <c r="G230">
        <v>-435.45490000000001</v>
      </c>
      <c r="H230">
        <v>1.012159</v>
      </c>
      <c r="I230">
        <v>368.7217</v>
      </c>
      <c r="J230">
        <v>-436.16199999999998</v>
      </c>
      <c r="K230">
        <v>1.0843879999999999</v>
      </c>
      <c r="L230">
        <v>368.74369999999999</v>
      </c>
      <c r="M230">
        <v>0.9997952</v>
      </c>
      <c r="N230">
        <v>0</v>
      </c>
      <c r="O230">
        <v>7.0354789999999999E-3</v>
      </c>
      <c r="P230">
        <v>0.99922679999999997</v>
      </c>
      <c r="Q230">
        <v>-3.7231149999999998E-2</v>
      </c>
      <c r="R230">
        <v>1.264359E-2</v>
      </c>
      <c r="S230">
        <v>2.9946899999999999</v>
      </c>
      <c r="T230">
        <v>-0.2260112</v>
      </c>
      <c r="U230">
        <v>-6.1340329999999998E-2</v>
      </c>
      <c r="V230">
        <v>-5.6441310000000001E-3</v>
      </c>
      <c r="W230">
        <v>-1.8245589999999999E-2</v>
      </c>
      <c r="X230">
        <v>0.99981759999999997</v>
      </c>
      <c r="Y230">
        <v>2.7415559999999999E-2</v>
      </c>
      <c r="Z230">
        <v>-1.5632230000000001E-3</v>
      </c>
      <c r="AA230">
        <v>0.99962289999999998</v>
      </c>
      <c r="AB230">
        <v>31</v>
      </c>
      <c r="AC230">
        <v>0.70709999999996798</v>
      </c>
      <c r="AD230">
        <v>-7.2228999999999793E-2</v>
      </c>
      <c r="AE230">
        <v>-2.1999999999991301E-2</v>
      </c>
      <c r="AF230">
        <v>2.66968460130057E-2</v>
      </c>
      <c r="AG230">
        <v>-7.2228999999999793E-2</v>
      </c>
      <c r="AH230">
        <v>0.69963457792702299</v>
      </c>
      <c r="AI230">
        <v>95.8899743372247</v>
      </c>
      <c r="AJ230">
        <v>87.8147523039666</v>
      </c>
      <c r="AK230">
        <v>0.70385956884819401</v>
      </c>
      <c r="AL230">
        <v>91.045453317388393</v>
      </c>
      <c r="AM230">
        <v>90.323440445729403</v>
      </c>
      <c r="AN230">
        <v>0.99999999551947605</v>
      </c>
    </row>
    <row r="231" spans="1:40" x14ac:dyDescent="0.25">
      <c r="A231" t="str">
        <f>"20190312151506037"</f>
        <v>20190312151506037</v>
      </c>
      <c r="B231" t="str">
        <f>"1552374906027491"</f>
        <v>1552374906027491</v>
      </c>
      <c r="C231" t="s">
        <v>40</v>
      </c>
      <c r="D231">
        <v>4.4807959999999998</v>
      </c>
      <c r="E231">
        <v>0.51263899999999996</v>
      </c>
      <c r="F231" t="s">
        <v>41</v>
      </c>
      <c r="G231">
        <v>-435.1764</v>
      </c>
      <c r="H231">
        <v>1.010148</v>
      </c>
      <c r="I231">
        <v>368.72300000000001</v>
      </c>
      <c r="J231">
        <v>-435.85520000000002</v>
      </c>
      <c r="K231">
        <v>1.0816889999999999</v>
      </c>
      <c r="L231">
        <v>368.74509999999998</v>
      </c>
      <c r="M231">
        <v>0.99980659999999999</v>
      </c>
      <c r="N231">
        <v>0</v>
      </c>
      <c r="O231">
        <v>6.3980390000000003E-3</v>
      </c>
      <c r="P231">
        <v>0.9992529</v>
      </c>
      <c r="Q231">
        <v>-3.6728530000000002E-2</v>
      </c>
      <c r="R231">
        <v>1.20327E-2</v>
      </c>
      <c r="S231">
        <v>2.99472</v>
      </c>
      <c r="T231">
        <v>-0.22569159999999999</v>
      </c>
      <c r="U231">
        <v>-6.283569E-2</v>
      </c>
      <c r="V231">
        <v>-5.6694090000000003E-3</v>
      </c>
      <c r="W231">
        <v>-1.8135510000000001E-2</v>
      </c>
      <c r="X231">
        <v>0.99981949999999997</v>
      </c>
      <c r="Y231">
        <v>2.7279379999999999E-2</v>
      </c>
      <c r="Z231">
        <v>-1.507892E-3</v>
      </c>
      <c r="AA231">
        <v>0.99962669999999998</v>
      </c>
      <c r="AB231">
        <v>31</v>
      </c>
      <c r="AC231">
        <v>0.67880000000002305</v>
      </c>
      <c r="AD231">
        <v>-7.1540999999999799E-2</v>
      </c>
      <c r="AE231">
        <v>-2.2099999999966199E-2</v>
      </c>
      <c r="AF231">
        <v>2.6153092957028098E-2</v>
      </c>
      <c r="AG231">
        <v>-7.1540999999999799E-2</v>
      </c>
      <c r="AH231">
        <v>0.67119708133831701</v>
      </c>
      <c r="AI231">
        <v>96.079446001792206</v>
      </c>
      <c r="AJ231">
        <v>87.768607420866303</v>
      </c>
      <c r="AK231">
        <v>0.67550545589898403</v>
      </c>
      <c r="AL231">
        <v>91.039145112377696</v>
      </c>
      <c r="AM231">
        <v>90.324888368909996</v>
      </c>
      <c r="AN231">
        <v>1.0000000357508001</v>
      </c>
    </row>
    <row r="232" spans="1:40" x14ac:dyDescent="0.25">
      <c r="A232" t="str">
        <f>"20190312151506060"</f>
        <v>20190312151506060</v>
      </c>
      <c r="B232" t="str">
        <f>"1552374906057747"</f>
        <v>1552374906057747</v>
      </c>
      <c r="C232" t="s">
        <v>40</v>
      </c>
      <c r="D232">
        <v>4.2667909999999996</v>
      </c>
      <c r="E232">
        <v>0.51233739999999905</v>
      </c>
      <c r="F232" t="s">
        <v>41</v>
      </c>
      <c r="G232">
        <v>-434.89569999999998</v>
      </c>
      <c r="H232">
        <v>1.0105309999999901</v>
      </c>
      <c r="I232">
        <v>368.7242</v>
      </c>
      <c r="J232">
        <v>-435.52010000000001</v>
      </c>
      <c r="K232">
        <v>1.078835</v>
      </c>
      <c r="L232">
        <v>368.74650000000003</v>
      </c>
      <c r="M232">
        <v>0.9998224</v>
      </c>
      <c r="N232">
        <v>0</v>
      </c>
      <c r="O232">
        <v>5.6582840000000004E-3</v>
      </c>
      <c r="P232">
        <v>0.99927449999999995</v>
      </c>
      <c r="Q232">
        <v>-3.6270919999999998E-2</v>
      </c>
      <c r="R232">
        <v>1.162589E-2</v>
      </c>
      <c r="S232">
        <v>2.9948730000000001</v>
      </c>
      <c r="T232">
        <v>-0.2222257</v>
      </c>
      <c r="U232">
        <v>-6.4575199999999999E-2</v>
      </c>
      <c r="V232">
        <v>-6.0007339999999998E-3</v>
      </c>
      <c r="W232">
        <v>-1.8286469999999999E-2</v>
      </c>
      <c r="X232">
        <v>0.9998148</v>
      </c>
      <c r="Y232">
        <v>2.7124349999999998E-2</v>
      </c>
      <c r="Z232">
        <v>-1.424147E-3</v>
      </c>
      <c r="AA232">
        <v>0.99963100000000005</v>
      </c>
      <c r="AB232">
        <v>31</v>
      </c>
      <c r="AC232">
        <v>0.62440000000003604</v>
      </c>
      <c r="AD232">
        <v>-6.8304000000000101E-2</v>
      </c>
      <c r="AE232">
        <v>-2.2300000000029699E-2</v>
      </c>
      <c r="AF232">
        <v>2.5528153388444601E-2</v>
      </c>
      <c r="AG232">
        <v>-6.8304000000000101E-2</v>
      </c>
      <c r="AH232">
        <v>0.61689118775927299</v>
      </c>
      <c r="AI232">
        <v>96.312861634852794</v>
      </c>
      <c r="AJ232">
        <v>87.630341592837695</v>
      </c>
      <c r="AK232">
        <v>0.62118585026260098</v>
      </c>
      <c r="AL232">
        <v>91.047795935052804</v>
      </c>
      <c r="AM232">
        <v>90.343876289819406</v>
      </c>
      <c r="AN232">
        <v>1.0000000190463101</v>
      </c>
    </row>
    <row r="233" spans="1:40" x14ac:dyDescent="0.25">
      <c r="A233" t="str">
        <f>"20190312151506083"</f>
        <v>20190312151506083</v>
      </c>
      <c r="B233" t="str">
        <f>"1552374906078244"</f>
        <v>1552374906078244</v>
      </c>
      <c r="C233" t="s">
        <v>40</v>
      </c>
      <c r="D233">
        <v>4.2744269999999904</v>
      </c>
      <c r="E233">
        <v>0.51217959999999996</v>
      </c>
      <c r="F233" t="s">
        <v>41</v>
      </c>
      <c r="G233">
        <v>-434.61309999999997</v>
      </c>
      <c r="H233">
        <v>1.012607</v>
      </c>
      <c r="I233">
        <v>368.72730000000001</v>
      </c>
      <c r="J233">
        <v>-435.21159999999998</v>
      </c>
      <c r="K233">
        <v>1.0763389999999999</v>
      </c>
      <c r="L233">
        <v>368.74759999999998</v>
      </c>
      <c r="M233">
        <v>0.9998378</v>
      </c>
      <c r="N233">
        <v>0</v>
      </c>
      <c r="O233">
        <v>4.9749549999999997E-3</v>
      </c>
      <c r="P233">
        <v>0.99932209999999999</v>
      </c>
      <c r="Q233">
        <v>-3.5171830000000001E-2</v>
      </c>
      <c r="R233">
        <v>1.090321E-2</v>
      </c>
      <c r="S233">
        <v>2.9949650000000001</v>
      </c>
      <c r="T233">
        <v>-0.218693</v>
      </c>
      <c r="U233">
        <v>-6.3232419999999998E-2</v>
      </c>
      <c r="V233">
        <v>-5.9597819999999899E-3</v>
      </c>
      <c r="W233">
        <v>-1.7852469999999999E-2</v>
      </c>
      <c r="X233">
        <v>0.99982289999999996</v>
      </c>
      <c r="Y233">
        <v>2.6000100000000002E-2</v>
      </c>
      <c r="Z233">
        <v>-1.3107069999999999E-3</v>
      </c>
      <c r="AA233">
        <v>0.99966109999999997</v>
      </c>
      <c r="AB233">
        <v>31</v>
      </c>
      <c r="AC233">
        <v>0.59850000000000103</v>
      </c>
      <c r="AD233">
        <v>-6.37319999999999E-2</v>
      </c>
      <c r="AE233">
        <v>-2.0299999999963299E-2</v>
      </c>
      <c r="AF233">
        <v>2.3017008272539701E-2</v>
      </c>
      <c r="AG233">
        <v>-6.37319999999999E-2</v>
      </c>
      <c r="AH233">
        <v>0.59168993632693301</v>
      </c>
      <c r="AI233">
        <v>96.143120119680503</v>
      </c>
      <c r="AJ233">
        <v>87.772291292940494</v>
      </c>
      <c r="AK233">
        <v>0.59555732826016705</v>
      </c>
      <c r="AL233">
        <v>91.022925494778505</v>
      </c>
      <c r="AM233">
        <v>90.341526795571994</v>
      </c>
      <c r="AN233">
        <v>1.0000000305254899</v>
      </c>
    </row>
    <row r="234" spans="1:40" x14ac:dyDescent="0.25">
      <c r="A234" t="str">
        <f>"20190312151506104"</f>
        <v>20190312151506104</v>
      </c>
      <c r="B234" t="str">
        <f>"1552374906097764"</f>
        <v>1552374906097764</v>
      </c>
      <c r="C234" t="s">
        <v>40</v>
      </c>
      <c r="D234">
        <v>4.3118309999999997</v>
      </c>
      <c r="E234">
        <v>0.51208169999999997</v>
      </c>
      <c r="F234" t="s">
        <v>42</v>
      </c>
      <c r="G234">
        <v>-419.42320000000001</v>
      </c>
      <c r="H234">
        <v>-0.05</v>
      </c>
      <c r="I234">
        <v>368.40949999999998</v>
      </c>
      <c r="J234">
        <v>-434.91230000000002</v>
      </c>
      <c r="K234">
        <v>1.0740959999999999</v>
      </c>
      <c r="L234">
        <v>368.7484</v>
      </c>
      <c r="M234">
        <v>0.99985250000000003</v>
      </c>
      <c r="N234">
        <v>0</v>
      </c>
      <c r="O234">
        <v>4.327633E-3</v>
      </c>
      <c r="P234">
        <v>0.99936570000000002</v>
      </c>
      <c r="Q234">
        <v>-3.4026729999999998E-2</v>
      </c>
      <c r="R234">
        <v>1.0536480000000001E-2</v>
      </c>
      <c r="S234">
        <v>2.995209</v>
      </c>
      <c r="T234">
        <v>-0.2136776</v>
      </c>
      <c r="U234">
        <v>-6.4147949999999995E-2</v>
      </c>
      <c r="V234">
        <v>-6.2387329999999998E-3</v>
      </c>
      <c r="W234">
        <v>-1.7392390000000001E-2</v>
      </c>
      <c r="X234">
        <v>0.99982930000000003</v>
      </c>
      <c r="Y234">
        <v>2.5662790000000001E-2</v>
      </c>
      <c r="Z234">
        <v>-1.222475E-3</v>
      </c>
      <c r="AA234">
        <v>0.9996699</v>
      </c>
      <c r="AB234">
        <v>31</v>
      </c>
      <c r="AC234">
        <v>15.489100000000001</v>
      </c>
      <c r="AD234">
        <v>-1.124096</v>
      </c>
      <c r="AE234">
        <v>-0.33890000000002302</v>
      </c>
      <c r="AF234">
        <v>0.40381141294012401</v>
      </c>
      <c r="AG234">
        <v>-1.124096</v>
      </c>
      <c r="AH234">
        <v>15.4063831453718</v>
      </c>
      <c r="AI234">
        <v>94.171649774699901</v>
      </c>
      <c r="AJ234">
        <v>88.498583778235499</v>
      </c>
      <c r="AK234">
        <v>15.4526145715356</v>
      </c>
      <c r="AL234">
        <v>90.996560766431301</v>
      </c>
      <c r="AM234">
        <v>90.357509458227099</v>
      </c>
      <c r="AN234">
        <v>1.0000000230789201</v>
      </c>
    </row>
    <row r="235" spans="1:40" x14ac:dyDescent="0.25">
      <c r="A235" t="str">
        <f>"20190312151506126"</f>
        <v>20190312151506126</v>
      </c>
      <c r="B235" t="str">
        <f>"1552374906117619"</f>
        <v>1552374906117619</v>
      </c>
      <c r="C235" t="s">
        <v>40</v>
      </c>
      <c r="D235">
        <v>4.2669449999999998</v>
      </c>
      <c r="E235">
        <v>0.51190119999999995</v>
      </c>
      <c r="F235" t="s">
        <v>42</v>
      </c>
      <c r="G235">
        <v>-418.78519999999997</v>
      </c>
      <c r="H235">
        <v>-0.05</v>
      </c>
      <c r="I235">
        <v>368.40159999999997</v>
      </c>
      <c r="J235">
        <v>-434.60539999999997</v>
      </c>
      <c r="K235">
        <v>1.072001</v>
      </c>
      <c r="L235">
        <v>368.7491</v>
      </c>
      <c r="M235">
        <v>0.99986640000000004</v>
      </c>
      <c r="N235">
        <v>0</v>
      </c>
      <c r="O235">
        <v>3.6789069999999999E-3</v>
      </c>
      <c r="P235">
        <v>0.99940150000000005</v>
      </c>
      <c r="Q235">
        <v>-3.3169450000000003E-2</v>
      </c>
      <c r="R235">
        <v>9.8121879999999995E-3</v>
      </c>
      <c r="S235">
        <v>2.9954830000000001</v>
      </c>
      <c r="T235">
        <v>-0.20879220000000001</v>
      </c>
      <c r="U235">
        <v>-6.4422610000000005E-2</v>
      </c>
      <c r="V235">
        <v>-6.1619919999999998E-3</v>
      </c>
      <c r="W235">
        <v>-1.7237510000000001E-2</v>
      </c>
      <c r="X235">
        <v>0.99983250000000001</v>
      </c>
      <c r="Y235">
        <v>2.5110159999999999E-2</v>
      </c>
      <c r="Z235">
        <v>-1.1300800000000001E-3</v>
      </c>
      <c r="AA235">
        <v>0.99968400000000002</v>
      </c>
      <c r="AB235">
        <v>31</v>
      </c>
      <c r="AC235">
        <v>15.8202</v>
      </c>
      <c r="AD235">
        <v>-1.122001</v>
      </c>
      <c r="AE235">
        <v>-0.34750000000002501</v>
      </c>
      <c r="AF235">
        <v>0.40367658639881998</v>
      </c>
      <c r="AG235">
        <v>-1.122001</v>
      </c>
      <c r="AH235">
        <v>15.739682897931401</v>
      </c>
      <c r="AI235">
        <v>94.076088275434302</v>
      </c>
      <c r="AJ235">
        <v>88.530853788684695</v>
      </c>
      <c r="AK235">
        <v>15.7847856734845</v>
      </c>
      <c r="AL235">
        <v>90.987685424370198</v>
      </c>
      <c r="AM235">
        <v>90.353110811127806</v>
      </c>
      <c r="AN235">
        <v>1.0000000649763201</v>
      </c>
    </row>
    <row r="236" spans="1:40" x14ac:dyDescent="0.25">
      <c r="A236" t="str">
        <f>"20190312151506148"</f>
        <v>20190312151506148</v>
      </c>
      <c r="B236" t="str">
        <f>"1552374906138107"</f>
        <v>1552374906138107</v>
      </c>
      <c r="C236" t="s">
        <v>40</v>
      </c>
      <c r="D236">
        <v>4.2349459999999999</v>
      </c>
      <c r="E236">
        <v>0.51173440000000003</v>
      </c>
      <c r="F236" t="s">
        <v>42</v>
      </c>
      <c r="G236">
        <v>-418.1848</v>
      </c>
      <c r="H236">
        <v>-0.05</v>
      </c>
      <c r="I236">
        <v>368.3929</v>
      </c>
      <c r="J236">
        <v>-434.29390000000001</v>
      </c>
      <c r="K236">
        <v>1.070106</v>
      </c>
      <c r="L236">
        <v>368.74950000000001</v>
      </c>
      <c r="M236">
        <v>0.99987939999999997</v>
      </c>
      <c r="N236">
        <v>0</v>
      </c>
      <c r="O236">
        <v>3.0261139999999999E-3</v>
      </c>
      <c r="P236">
        <v>0.99944140000000004</v>
      </c>
      <c r="Q236">
        <v>-3.2229769999999998E-2</v>
      </c>
      <c r="R236">
        <v>8.8471139999999997E-3</v>
      </c>
      <c r="S236">
        <v>2.9956049999999999</v>
      </c>
      <c r="T236">
        <v>-0.2046858</v>
      </c>
      <c r="U236">
        <v>-6.4971920000000002E-2</v>
      </c>
      <c r="V236">
        <v>-5.8492639999999999E-3</v>
      </c>
      <c r="W236">
        <v>-1.69839E-2</v>
      </c>
      <c r="X236">
        <v>0.99983869999999997</v>
      </c>
      <c r="Y236">
        <v>2.4645150000000001E-2</v>
      </c>
      <c r="Z236">
        <v>-1.047437E-3</v>
      </c>
      <c r="AA236">
        <v>0.99969569999999996</v>
      </c>
      <c r="AB236">
        <v>31</v>
      </c>
      <c r="AC236">
        <v>16.109100000000002</v>
      </c>
      <c r="AD236">
        <v>-1.120106</v>
      </c>
      <c r="AE236">
        <v>-0.35660000000001402</v>
      </c>
      <c r="AF236">
        <v>0.40340259340170997</v>
      </c>
      <c r="AG236">
        <v>-1.120106</v>
      </c>
      <c r="AH236">
        <v>16.030481279662101</v>
      </c>
      <c r="AI236">
        <v>93.995700028868001</v>
      </c>
      <c r="AJ236">
        <v>88.558471915506402</v>
      </c>
      <c r="AK236">
        <v>16.074629114265701</v>
      </c>
      <c r="AL236">
        <v>90.9731525331282</v>
      </c>
      <c r="AM236">
        <v>90.3351883830627</v>
      </c>
      <c r="AN236">
        <v>1.00000004638311</v>
      </c>
    </row>
    <row r="237" spans="1:40" x14ac:dyDescent="0.25">
      <c r="A237" t="str">
        <f>"20190312151506171"</f>
        <v>20190312151506171</v>
      </c>
      <c r="B237" t="str">
        <f>"1552374906167388"</f>
        <v>1552374906167388</v>
      </c>
      <c r="C237" t="s">
        <v>40</v>
      </c>
      <c r="D237">
        <v>4.2099710000000004</v>
      </c>
      <c r="E237">
        <v>0.51121799999999995</v>
      </c>
      <c r="F237" t="s">
        <v>42</v>
      </c>
      <c r="G237">
        <v>-417.49209999999999</v>
      </c>
      <c r="H237">
        <v>-0.05</v>
      </c>
      <c r="I237">
        <v>368.37569999999999</v>
      </c>
      <c r="J237">
        <v>-433.97160000000002</v>
      </c>
      <c r="K237">
        <v>1.06837</v>
      </c>
      <c r="L237">
        <v>368.74979999999999</v>
      </c>
      <c r="M237">
        <v>0.99989110000000003</v>
      </c>
      <c r="N237">
        <v>0</v>
      </c>
      <c r="O237">
        <v>2.3501730000000001E-3</v>
      </c>
      <c r="P237">
        <v>0.99947799999999998</v>
      </c>
      <c r="Q237">
        <v>-3.1357320000000001E-2</v>
      </c>
      <c r="R237">
        <v>7.7904799999999998E-3</v>
      </c>
      <c r="S237">
        <v>2.995819</v>
      </c>
      <c r="T237">
        <v>-0.19971910000000001</v>
      </c>
      <c r="U237">
        <v>-6.6650390000000004E-2</v>
      </c>
      <c r="V237">
        <v>-5.4673969999999997E-3</v>
      </c>
      <c r="W237">
        <v>-1.677623E-2</v>
      </c>
      <c r="X237">
        <v>0.99984430000000002</v>
      </c>
      <c r="Y237">
        <v>2.4532439999999999E-2</v>
      </c>
      <c r="Z237">
        <v>-9.732327E-4</v>
      </c>
      <c r="AA237">
        <v>0.99969859999999999</v>
      </c>
      <c r="AB237">
        <v>31</v>
      </c>
      <c r="AC237">
        <v>16.479500000000002</v>
      </c>
      <c r="AD237">
        <v>-1.1183700000000001</v>
      </c>
      <c r="AE237">
        <v>-0.37409999999999799</v>
      </c>
      <c r="AF237">
        <v>0.41094111237132902</v>
      </c>
      <c r="AG237">
        <v>-1.1183700000000001</v>
      </c>
      <c r="AH237">
        <v>16.4030686914477</v>
      </c>
      <c r="AI237">
        <v>93.899200890135802</v>
      </c>
      <c r="AJ237">
        <v>88.564886381025104</v>
      </c>
      <c r="AK237">
        <v>16.446284885988302</v>
      </c>
      <c r="AL237">
        <v>90.961252288096105</v>
      </c>
      <c r="AM237">
        <v>90.313304432251002</v>
      </c>
      <c r="AN237">
        <v>0.99999997928272899</v>
      </c>
    </row>
    <row r="238" spans="1:40" x14ac:dyDescent="0.25">
      <c r="A238" t="str">
        <f>"20190312151506193"</f>
        <v>20190312151506193</v>
      </c>
      <c r="B238" t="str">
        <f>"1552374906187883"</f>
        <v>1552374906187883</v>
      </c>
      <c r="C238" t="s">
        <v>40</v>
      </c>
      <c r="D238">
        <v>4.2343339999999996</v>
      </c>
      <c r="E238">
        <v>0.4937492</v>
      </c>
      <c r="F238" t="s">
        <v>42</v>
      </c>
      <c r="G238">
        <v>-416.51369999999997</v>
      </c>
      <c r="H238">
        <v>-0.05</v>
      </c>
      <c r="I238">
        <v>368.3657</v>
      </c>
      <c r="J238">
        <v>-433.66079999999999</v>
      </c>
      <c r="K238">
        <v>1.0669109999999999</v>
      </c>
      <c r="L238">
        <v>368.74979999999999</v>
      </c>
      <c r="M238">
        <v>0.99990080000000003</v>
      </c>
      <c r="N238">
        <v>0</v>
      </c>
      <c r="O238">
        <v>1.693855E-3</v>
      </c>
      <c r="P238">
        <v>0.99950150000000004</v>
      </c>
      <c r="Q238">
        <v>-3.0809349999999999E-2</v>
      </c>
      <c r="R238">
        <v>6.908539E-3</v>
      </c>
      <c r="S238">
        <v>2.9960330000000002</v>
      </c>
      <c r="T238">
        <v>-0.1919293</v>
      </c>
      <c r="U238">
        <v>-6.5917970000000006E-2</v>
      </c>
      <c r="V238">
        <v>-5.2409320000000002E-3</v>
      </c>
      <c r="W238">
        <v>-1.6815759999999999E-2</v>
      </c>
      <c r="X238">
        <v>0.99984479999999998</v>
      </c>
      <c r="Y238">
        <v>2.363811E-2</v>
      </c>
      <c r="Z238">
        <v>-8.6467309999999997E-4</v>
      </c>
      <c r="AA238">
        <v>0.99972019999999995</v>
      </c>
      <c r="AB238">
        <v>31</v>
      </c>
      <c r="AC238">
        <v>17.147099999999998</v>
      </c>
      <c r="AD238">
        <v>-1.116911</v>
      </c>
      <c r="AE238">
        <v>-0.38409999999998901</v>
      </c>
      <c r="AF238">
        <v>0.411402354364861</v>
      </c>
      <c r="AG238">
        <v>-1.116911</v>
      </c>
      <c r="AH238">
        <v>17.0740188708766</v>
      </c>
      <c r="AI238">
        <v>93.741635096389501</v>
      </c>
      <c r="AJ238">
        <v>88.6197122881767</v>
      </c>
      <c r="AK238">
        <v>17.115456829490299</v>
      </c>
      <c r="AL238">
        <v>90.9635175567376</v>
      </c>
      <c r="AM238">
        <v>90.300327144949094</v>
      </c>
      <c r="AN238">
        <v>0.99999993061981995</v>
      </c>
    </row>
    <row r="239" spans="1:40" x14ac:dyDescent="0.25">
      <c r="A239" t="str">
        <f>"20190312151506215"</f>
        <v>20190312151506215</v>
      </c>
      <c r="B239" t="str">
        <f>"1552374906208379"</f>
        <v>1552374906208379</v>
      </c>
      <c r="C239" t="s">
        <v>40</v>
      </c>
      <c r="D239">
        <v>4.1846829999999997</v>
      </c>
      <c r="E239">
        <v>0.49426520000000002</v>
      </c>
      <c r="F239" t="s">
        <v>43</v>
      </c>
      <c r="G239">
        <v>-276.20659999999998</v>
      </c>
      <c r="H239" s="1">
        <v>-2.358771E-6</v>
      </c>
      <c r="I239">
        <v>372.43169999999998</v>
      </c>
      <c r="J239">
        <v>-433.35660000000001</v>
      </c>
      <c r="K239">
        <v>1.065679</v>
      </c>
      <c r="L239">
        <v>368.74970000000002</v>
      </c>
      <c r="M239">
        <v>0.99990880000000004</v>
      </c>
      <c r="N239">
        <v>0</v>
      </c>
      <c r="O239">
        <v>1.050575E-3</v>
      </c>
      <c r="P239">
        <v>0.99952700000000005</v>
      </c>
      <c r="Q239">
        <v>-3.014667E-2</v>
      </c>
      <c r="R239">
        <v>6.10517E-3</v>
      </c>
      <c r="S239">
        <v>3.0003660000000001</v>
      </c>
      <c r="T239">
        <v>-2.0330549999999999E-2</v>
      </c>
      <c r="U239">
        <v>7.0159910000000006E-2</v>
      </c>
      <c r="V239">
        <v>-5.0802740000000001E-3</v>
      </c>
      <c r="W239">
        <v>-1.667246E-2</v>
      </c>
      <c r="X239">
        <v>0.99984810000000002</v>
      </c>
      <c r="Y239">
        <v>-2.2326510000000001E-2</v>
      </c>
      <c r="Z239" s="1">
        <v>6.8512969999999997E-5</v>
      </c>
      <c r="AA239">
        <v>0.99975069999999999</v>
      </c>
      <c r="AB239">
        <v>31</v>
      </c>
      <c r="AC239">
        <v>157.15</v>
      </c>
      <c r="AD239">
        <v>-1.0656813587709999</v>
      </c>
      <c r="AE239">
        <v>3.68199999999996</v>
      </c>
      <c r="AF239">
        <v>-3.5167235078491501</v>
      </c>
      <c r="AG239">
        <v>-1.0656813587709999</v>
      </c>
      <c r="AH239">
        <v>157.14655924592401</v>
      </c>
      <c r="AI239">
        <v>90.388445191936</v>
      </c>
      <c r="AJ239">
        <v>91.281986634852004</v>
      </c>
      <c r="AK239">
        <v>157.18951652009599</v>
      </c>
      <c r="AL239">
        <v>90.955305851942697</v>
      </c>
      <c r="AM239">
        <v>90.291119975208005</v>
      </c>
      <c r="AN239">
        <v>1.0000000015899799</v>
      </c>
    </row>
    <row r="240" spans="1:40" x14ac:dyDescent="0.25">
      <c r="A240" t="str">
        <f>"20190312151506238"</f>
        <v>20190312151506238</v>
      </c>
      <c r="B240" t="str">
        <f>"1552374906227900"</f>
        <v>1552374906227900</v>
      </c>
      <c r="C240" t="s">
        <v>40</v>
      </c>
      <c r="D240">
        <v>4.1767029999999998</v>
      </c>
      <c r="E240">
        <v>0.4945987</v>
      </c>
      <c r="F240" t="s">
        <v>43</v>
      </c>
      <c r="G240">
        <v>-253.10079999999999</v>
      </c>
      <c r="H240" s="1">
        <v>-3.7314529999999999E-6</v>
      </c>
      <c r="I240">
        <v>372.58319999999998</v>
      </c>
      <c r="J240">
        <v>-433.03199999999998</v>
      </c>
      <c r="K240">
        <v>1.0645420000000001</v>
      </c>
      <c r="L240">
        <v>368.74930000000001</v>
      </c>
      <c r="M240">
        <v>0.99991580000000002</v>
      </c>
      <c r="N240">
        <v>0</v>
      </c>
      <c r="O240">
        <v>3.656617E-4</v>
      </c>
      <c r="P240">
        <v>0.99955349999999998</v>
      </c>
      <c r="Q240">
        <v>-2.941481E-2</v>
      </c>
      <c r="R240">
        <v>5.2614599999999999E-3</v>
      </c>
      <c r="S240">
        <v>3.0004879999999998</v>
      </c>
      <c r="T240">
        <v>-1.7739060000000001E-2</v>
      </c>
      <c r="U240">
        <v>6.3812259999999996E-2</v>
      </c>
      <c r="V240">
        <v>-4.9205769999999998E-3</v>
      </c>
      <c r="W240">
        <v>-1.6437940000000002E-2</v>
      </c>
      <c r="X240">
        <v>0.99985279999999999</v>
      </c>
      <c r="Y240">
        <v>-2.089651E-2</v>
      </c>
      <c r="Z240" s="1">
        <v>5.9601439999999998E-5</v>
      </c>
      <c r="AA240">
        <v>0.9997817</v>
      </c>
      <c r="AB240">
        <v>31</v>
      </c>
      <c r="AC240">
        <v>179.93119999999999</v>
      </c>
      <c r="AD240">
        <v>-1.064545731453</v>
      </c>
      <c r="AE240">
        <v>3.8338999999999701</v>
      </c>
      <c r="AF240">
        <v>-3.7679684257414401</v>
      </c>
      <c r="AG240">
        <v>-1.064545731453</v>
      </c>
      <c r="AH240">
        <v>179.92629474401201</v>
      </c>
      <c r="AI240">
        <v>90.338915977355398</v>
      </c>
      <c r="AJ240">
        <v>91.199697559323297</v>
      </c>
      <c r="AK240">
        <v>179.96889282312401</v>
      </c>
      <c r="AL240">
        <v>90.941866986810695</v>
      </c>
      <c r="AM240">
        <v>90.281967524495201</v>
      </c>
      <c r="AN240">
        <v>1.0000000198086401</v>
      </c>
    </row>
    <row r="241" spans="1:40" x14ac:dyDescent="0.25">
      <c r="A241" t="str">
        <f>"20190312151506273"</f>
        <v>20190312151506273</v>
      </c>
      <c r="B241" t="str">
        <f>"1552374906267915"</f>
        <v>1552374906267915</v>
      </c>
      <c r="C241" t="s">
        <v>40</v>
      </c>
      <c r="D241">
        <v>4.1406739999999997</v>
      </c>
      <c r="E241">
        <v>0.49482959999999898</v>
      </c>
      <c r="F241" t="s">
        <v>43</v>
      </c>
      <c r="G241">
        <v>-227.94880000000001</v>
      </c>
      <c r="H241" s="1">
        <v>-1.6938049999999999E-6</v>
      </c>
      <c r="I241">
        <v>372.74149999999997</v>
      </c>
      <c r="J241">
        <v>-432.53750000000002</v>
      </c>
      <c r="K241">
        <v>1.0631060000000001</v>
      </c>
      <c r="L241">
        <v>368.7484</v>
      </c>
      <c r="M241">
        <v>0.99992409999999998</v>
      </c>
      <c r="N241">
        <v>0</v>
      </c>
      <c r="O241">
        <v>-6.6911460000000005E-4</v>
      </c>
      <c r="P241">
        <v>0.99958369999999996</v>
      </c>
      <c r="Q241">
        <v>-2.8523369999999999E-2</v>
      </c>
      <c r="R241">
        <v>4.3760960000000003E-3</v>
      </c>
      <c r="S241">
        <v>3.00061</v>
      </c>
      <c r="T241">
        <v>-1.5575530000000001E-2</v>
      </c>
      <c r="U241">
        <v>5.841064E-2</v>
      </c>
      <c r="V241">
        <v>-5.068871E-3</v>
      </c>
      <c r="W241">
        <v>-1.6204929999999999E-2</v>
      </c>
      <c r="X241">
        <v>0.99985579999999996</v>
      </c>
      <c r="Y241">
        <v>-2.0131320000000001E-2</v>
      </c>
      <c r="Z241" s="1">
        <v>5.5716549999999998E-5</v>
      </c>
      <c r="AA241">
        <v>0.9997973</v>
      </c>
      <c r="AB241">
        <v>32</v>
      </c>
      <c r="AC241">
        <v>204.58869999999999</v>
      </c>
      <c r="AD241">
        <v>-1.0631076938049999</v>
      </c>
      <c r="AE241">
        <v>3.9930999999999601</v>
      </c>
      <c r="AF241">
        <v>-4.1298912808285904</v>
      </c>
      <c r="AG241">
        <v>-1.0631076938049999</v>
      </c>
      <c r="AH241">
        <v>204.58046023236099</v>
      </c>
      <c r="AI241">
        <v>90.297675684481405</v>
      </c>
      <c r="AJ241">
        <v>91.156479971943199</v>
      </c>
      <c r="AK241">
        <v>204.624902953782</v>
      </c>
      <c r="AL241">
        <v>90.928514777214303</v>
      </c>
      <c r="AM241">
        <v>90.290464312131206</v>
      </c>
      <c r="AN241">
        <v>0.99999995700157895</v>
      </c>
    </row>
    <row r="242" spans="1:40" x14ac:dyDescent="0.25">
      <c r="A242" t="str">
        <f>"20190312151506295"</f>
        <v>20190312151506295</v>
      </c>
      <c r="B242" t="str">
        <f>"1552374906287435"</f>
        <v>1552374906287435</v>
      </c>
      <c r="C242" t="s">
        <v>40</v>
      </c>
      <c r="D242">
        <v>4.4913740000000004</v>
      </c>
      <c r="E242">
        <v>0.49476870000000001</v>
      </c>
      <c r="F242" t="s">
        <v>45</v>
      </c>
      <c r="G242">
        <v>-180</v>
      </c>
      <c r="H242">
        <v>2.1321110000000001E-2</v>
      </c>
      <c r="I242">
        <v>373.28399999999999</v>
      </c>
      <c r="J242">
        <v>-432.22210000000001</v>
      </c>
      <c r="K242">
        <v>1.062378</v>
      </c>
      <c r="L242">
        <v>368.74740000000003</v>
      </c>
      <c r="M242">
        <v>0.99992760000000003</v>
      </c>
      <c r="N242">
        <v>0</v>
      </c>
      <c r="O242">
        <v>-1.3182789999999999E-3</v>
      </c>
      <c r="P242">
        <v>0.99960309999999997</v>
      </c>
      <c r="Q242">
        <v>-2.7995300000000001E-2</v>
      </c>
      <c r="R242">
        <v>3.1589830000000002E-3</v>
      </c>
      <c r="S242">
        <v>3.000702</v>
      </c>
      <c r="T242">
        <v>-1.2378689999999999E-2</v>
      </c>
      <c r="U242">
        <v>5.3894039999999997E-2</v>
      </c>
      <c r="V242">
        <v>-4.5000969999999998E-3</v>
      </c>
      <c r="W242">
        <v>-1.6032979999999999E-2</v>
      </c>
      <c r="X242">
        <v>0.99986140000000001</v>
      </c>
      <c r="Y242">
        <v>-1.9275549999999999E-2</v>
      </c>
      <c r="Z242" s="1">
        <v>4.519321E-5</v>
      </c>
      <c r="AA242">
        <v>0.99981419999999999</v>
      </c>
      <c r="AB242">
        <v>32</v>
      </c>
      <c r="AC242">
        <v>252.22210000000001</v>
      </c>
      <c r="AD242">
        <v>-1.0410568899999999</v>
      </c>
      <c r="AE242">
        <v>4.53659999999996</v>
      </c>
      <c r="AF242">
        <v>-4.8690360159714903</v>
      </c>
      <c r="AG242">
        <v>-1.0410568899999999</v>
      </c>
      <c r="AH242">
        <v>252.211604437072</v>
      </c>
      <c r="AI242">
        <v>90.236455080467096</v>
      </c>
      <c r="AJ242">
        <v>91.105978309940994</v>
      </c>
      <c r="AK242">
        <v>252.26074748936901</v>
      </c>
      <c r="AL242">
        <v>90.918661389734893</v>
      </c>
      <c r="AM242">
        <v>90.2578705654266</v>
      </c>
      <c r="AN242">
        <v>1.0000000632653201</v>
      </c>
    </row>
    <row r="243" spans="1:40" x14ac:dyDescent="0.25">
      <c r="A243" t="str">
        <f>"20190312151506316"</f>
        <v>20190312151506316</v>
      </c>
      <c r="B243" t="str">
        <f>"1552374906307944"</f>
        <v>1552374906307944</v>
      </c>
      <c r="C243" t="s">
        <v>40</v>
      </c>
      <c r="D243">
        <v>4.1207699999999896</v>
      </c>
      <c r="E243">
        <v>0.49490820000000002</v>
      </c>
      <c r="F243" t="s">
        <v>44</v>
      </c>
      <c r="G243">
        <v>-158.19499999999999</v>
      </c>
      <c r="H243">
        <v>0.50760649999999996</v>
      </c>
      <c r="I243">
        <v>373.39299999999997</v>
      </c>
      <c r="J243">
        <v>-431.92189999999999</v>
      </c>
      <c r="K243">
        <v>1.061787</v>
      </c>
      <c r="L243">
        <v>368.74639999999999</v>
      </c>
      <c r="M243">
        <v>0.99993019999999999</v>
      </c>
      <c r="N243">
        <v>0</v>
      </c>
      <c r="O243">
        <v>-1.928758E-3</v>
      </c>
      <c r="P243">
        <v>0.99961239999999996</v>
      </c>
      <c r="Q243">
        <v>-2.7731869999999999E-2</v>
      </c>
      <c r="R243">
        <v>2.470009E-3</v>
      </c>
      <c r="S243">
        <v>3.0008539999999999</v>
      </c>
      <c r="T243">
        <v>-6.074309E-3</v>
      </c>
      <c r="U243">
        <v>5.0872800000000003E-2</v>
      </c>
      <c r="V243">
        <v>-4.4214270000000003E-3</v>
      </c>
      <c r="W243">
        <v>-1.6069920000000001E-2</v>
      </c>
      <c r="X243">
        <v>0.99986109999999995</v>
      </c>
      <c r="Y243">
        <v>-1.8878880000000001E-2</v>
      </c>
      <c r="Z243" s="1">
        <v>2.301003E-5</v>
      </c>
      <c r="AA243">
        <v>0.99982179999999998</v>
      </c>
      <c r="AB243">
        <v>32</v>
      </c>
      <c r="AC243">
        <v>273.7269</v>
      </c>
      <c r="AD243">
        <v>-0.55418049999999996</v>
      </c>
      <c r="AE243">
        <v>4.6466000000000296</v>
      </c>
      <c r="AF243">
        <v>-5.1745589716471496</v>
      </c>
      <c r="AG243">
        <v>-0.55418049999999996</v>
      </c>
      <c r="AH243">
        <v>273.71630639467003</v>
      </c>
      <c r="AI243">
        <v>90.115983180963795</v>
      </c>
      <c r="AJ243">
        <v>91.083037694923405</v>
      </c>
      <c r="AK243">
        <v>273.76577500286402</v>
      </c>
      <c r="AL243">
        <v>90.920778221766795</v>
      </c>
      <c r="AM243">
        <v>90.253362647379205</v>
      </c>
      <c r="AN243">
        <v>1.0000000053193601</v>
      </c>
    </row>
    <row r="244" spans="1:40" x14ac:dyDescent="0.25">
      <c r="A244" t="str">
        <f>"20190312151506338"</f>
        <v>20190312151506338</v>
      </c>
      <c r="B244" t="str">
        <f>"1552374906327452"</f>
        <v>1552374906327452</v>
      </c>
      <c r="C244" t="s">
        <v>40</v>
      </c>
      <c r="D244">
        <v>4.1009159999999998</v>
      </c>
      <c r="E244">
        <v>0.49494589999999999</v>
      </c>
      <c r="F244" t="s">
        <v>44</v>
      </c>
      <c r="G244">
        <v>-158.19499999999999</v>
      </c>
      <c r="H244">
        <v>1.2288479999999999</v>
      </c>
      <c r="I244">
        <v>373.08859999999999</v>
      </c>
      <c r="J244">
        <v>-431.61630000000002</v>
      </c>
      <c r="K244">
        <v>1.061277</v>
      </c>
      <c r="L244">
        <v>368.74520000000001</v>
      </c>
      <c r="M244">
        <v>0.99993209999999999</v>
      </c>
      <c r="N244">
        <v>0</v>
      </c>
      <c r="O244">
        <v>-2.534536E-3</v>
      </c>
      <c r="P244">
        <v>0.9996197</v>
      </c>
      <c r="Q244">
        <v>-2.755875E-2</v>
      </c>
      <c r="R244">
        <v>1.0312749999999999E-3</v>
      </c>
      <c r="S244">
        <v>3.0011290000000002</v>
      </c>
      <c r="T244">
        <v>1.832604E-3</v>
      </c>
      <c r="U244">
        <v>4.7607419999999998E-2</v>
      </c>
      <c r="V244">
        <v>-3.5875479999999999E-3</v>
      </c>
      <c r="W244">
        <v>-1.6168180000000001E-2</v>
      </c>
      <c r="X244">
        <v>0.99986280000000005</v>
      </c>
      <c r="Y244">
        <v>-1.839551E-2</v>
      </c>
      <c r="Z244" s="1">
        <v>-7.1638419999999998E-6</v>
      </c>
      <c r="AA244">
        <v>0.99983080000000002</v>
      </c>
      <c r="AB244">
        <v>32</v>
      </c>
      <c r="AC244">
        <v>273.42129999999997</v>
      </c>
      <c r="AD244">
        <v>0.167570999999999</v>
      </c>
      <c r="AE244">
        <v>4.3433999999999697</v>
      </c>
      <c r="AF244">
        <v>-5.0364251155584903</v>
      </c>
      <c r="AG244">
        <v>0.167570999999999</v>
      </c>
      <c r="AH244">
        <v>273.40930978892601</v>
      </c>
      <c r="AI244">
        <v>89.964889705723905</v>
      </c>
      <c r="AJ244">
        <v>91.055316186708595</v>
      </c>
      <c r="AK244">
        <v>273.45574475084902</v>
      </c>
      <c r="AL244">
        <v>90.926408888110501</v>
      </c>
      <c r="AM244">
        <v>90.205578682510904</v>
      </c>
      <c r="AN244">
        <v>0.99999994968450101</v>
      </c>
    </row>
    <row r="245" spans="1:40" x14ac:dyDescent="0.25">
      <c r="A245" t="str">
        <f>"20190312151506360"</f>
        <v>20190312151506360</v>
      </c>
      <c r="B245" t="str">
        <f>"1552374906357708"</f>
        <v>1552374906357708</v>
      </c>
      <c r="C245" t="s">
        <v>40</v>
      </c>
      <c r="D245">
        <v>4.0607689999999996</v>
      </c>
      <c r="E245">
        <v>0.49488199999999999</v>
      </c>
      <c r="F245" t="s">
        <v>44</v>
      </c>
      <c r="G245">
        <v>-158.19499999999999</v>
      </c>
      <c r="H245">
        <v>1.6785509999999999</v>
      </c>
      <c r="I245">
        <v>372.64870000000002</v>
      </c>
      <c r="J245">
        <v>-431.29059999999998</v>
      </c>
      <c r="K245">
        <v>1.0608280000000001</v>
      </c>
      <c r="L245">
        <v>368.74369999999999</v>
      </c>
      <c r="M245">
        <v>0.99993319999999997</v>
      </c>
      <c r="N245">
        <v>0</v>
      </c>
      <c r="O245">
        <v>-3.1553900000000001E-3</v>
      </c>
      <c r="P245">
        <v>0.99961800000000001</v>
      </c>
      <c r="Q245">
        <v>-2.764523E-2</v>
      </c>
      <c r="R245">
        <v>-5.1486100000000003E-4</v>
      </c>
      <c r="S245">
        <v>3.0012509999999999</v>
      </c>
      <c r="T245">
        <v>6.7765710000000003E-3</v>
      </c>
      <c r="U245">
        <v>4.2846679999999998E-2</v>
      </c>
      <c r="V245">
        <v>-2.6621180000000002E-3</v>
      </c>
      <c r="W245">
        <v>-1.6508990000000001E-2</v>
      </c>
      <c r="X245">
        <v>0.99986019999999998</v>
      </c>
      <c r="Y245">
        <v>-1.7429960000000001E-2</v>
      </c>
      <c r="Z245" s="1">
        <v>-2.6801369999999998E-5</v>
      </c>
      <c r="AA245">
        <v>0.99984810000000002</v>
      </c>
      <c r="AB245">
        <v>32</v>
      </c>
      <c r="AC245">
        <v>273.09559999999999</v>
      </c>
      <c r="AD245">
        <v>0.61772299999999902</v>
      </c>
      <c r="AE245">
        <v>3.9050000000000198</v>
      </c>
      <c r="AF245">
        <v>-4.7667325758797103</v>
      </c>
      <c r="AG245">
        <v>0.61772299999999902</v>
      </c>
      <c r="AH245">
        <v>273.08052084935701</v>
      </c>
      <c r="AI245">
        <v>89.870413789925394</v>
      </c>
      <c r="AJ245">
        <v>91.000019790606601</v>
      </c>
      <c r="AK245">
        <v>273.12281887185998</v>
      </c>
      <c r="AL245">
        <v>90.945938397934199</v>
      </c>
      <c r="AM245">
        <v>90.152549091913798</v>
      </c>
      <c r="AN245">
        <v>1.00000002658355</v>
      </c>
    </row>
    <row r="246" spans="1:40" x14ac:dyDescent="0.25">
      <c r="A246" t="str">
        <f>"20190312151506383"</f>
        <v>20190312151506383</v>
      </c>
      <c r="B246" t="str">
        <f>"1552374906378204"</f>
        <v>1552374906378204</v>
      </c>
      <c r="C246" t="s">
        <v>40</v>
      </c>
      <c r="D246">
        <v>4.073061</v>
      </c>
      <c r="E246">
        <v>0.49490790000000001</v>
      </c>
      <c r="F246" t="s">
        <v>44</v>
      </c>
      <c r="G246">
        <v>-158.19499999999999</v>
      </c>
      <c r="H246">
        <v>1.5209839999999999</v>
      </c>
      <c r="I246">
        <v>372.27319999999997</v>
      </c>
      <c r="J246">
        <v>-430.97219999999999</v>
      </c>
      <c r="K246">
        <v>1.0604629999999999</v>
      </c>
      <c r="L246">
        <v>368.74220000000003</v>
      </c>
      <c r="M246">
        <v>0.99993350000000003</v>
      </c>
      <c r="N246">
        <v>0</v>
      </c>
      <c r="O246">
        <v>-3.7315080000000001E-3</v>
      </c>
      <c r="P246">
        <v>0.9996235</v>
      </c>
      <c r="Q246">
        <v>-2.7401559999999998E-2</v>
      </c>
      <c r="R246">
        <v>-1.4963540000000001E-3</v>
      </c>
      <c r="S246">
        <v>3.001312</v>
      </c>
      <c r="T246">
        <v>5.0580499999999997E-3</v>
      </c>
      <c r="U246">
        <v>3.8787839999999997E-2</v>
      </c>
      <c r="V246">
        <v>-2.2554329999999998E-3</v>
      </c>
      <c r="W246">
        <v>-1.6482279999999998E-2</v>
      </c>
      <c r="X246">
        <v>0.99986160000000002</v>
      </c>
      <c r="Y246">
        <v>-1.6653850000000001E-2</v>
      </c>
      <c r="Z246" s="1">
        <v>-2.032137E-5</v>
      </c>
      <c r="AA246">
        <v>0.99986129999999995</v>
      </c>
      <c r="AB246">
        <v>32</v>
      </c>
      <c r="AC246">
        <v>272.77719999999999</v>
      </c>
      <c r="AD246">
        <v>0.46052100000000001</v>
      </c>
      <c r="AE246">
        <v>3.5309999999999402</v>
      </c>
      <c r="AF246">
        <v>-4.5488933596558301</v>
      </c>
      <c r="AG246">
        <v>0.46052100000000001</v>
      </c>
      <c r="AH246">
        <v>272.76134662497998</v>
      </c>
      <c r="AI246">
        <v>89.903277292153803</v>
      </c>
      <c r="AJ246">
        <v>90.955444145955695</v>
      </c>
      <c r="AK246">
        <v>272.79966408165097</v>
      </c>
      <c r="AL246">
        <v>90.944407857928994</v>
      </c>
      <c r="AM246">
        <v>90.129244460123203</v>
      </c>
      <c r="AN246">
        <v>0.99999998584328698</v>
      </c>
    </row>
    <row r="247" spans="1:40" x14ac:dyDescent="0.25">
      <c r="A247" t="str">
        <f>"20190312151506405"</f>
        <v>20190312151506405</v>
      </c>
      <c r="B247" t="str">
        <f>"1552374906397724"</f>
        <v>1552374906397724</v>
      </c>
      <c r="C247" t="s">
        <v>40</v>
      </c>
      <c r="D247">
        <v>4.0491729999999997</v>
      </c>
      <c r="E247">
        <v>0.49479050000000002</v>
      </c>
      <c r="F247" t="s">
        <v>44</v>
      </c>
      <c r="G247">
        <v>-158.19499999999999</v>
      </c>
      <c r="H247">
        <v>1.544103</v>
      </c>
      <c r="I247">
        <v>371.99009999999998</v>
      </c>
      <c r="J247">
        <v>-430.65910000000002</v>
      </c>
      <c r="K247">
        <v>1.0601739999999999</v>
      </c>
      <c r="L247">
        <v>368.74040000000002</v>
      </c>
      <c r="M247">
        <v>0.99993339999999997</v>
      </c>
      <c r="N247">
        <v>0</v>
      </c>
      <c r="O247">
        <v>-4.265596E-3</v>
      </c>
      <c r="P247">
        <v>0.99961639999999996</v>
      </c>
      <c r="Q247">
        <v>-2.7582740000000001E-2</v>
      </c>
      <c r="R247">
        <v>-2.5581200000000001E-3</v>
      </c>
      <c r="S247">
        <v>3.001312</v>
      </c>
      <c r="T247">
        <v>5.3223369999999999E-3</v>
      </c>
      <c r="U247">
        <v>3.5736080000000003E-2</v>
      </c>
      <c r="V247">
        <v>-1.7271599999999999E-3</v>
      </c>
      <c r="W247">
        <v>-1.685039E-2</v>
      </c>
      <c r="X247">
        <v>0.99985650000000004</v>
      </c>
      <c r="Y247">
        <v>-1.6171379999999999E-2</v>
      </c>
      <c r="Z247" s="1">
        <v>-2.190266E-5</v>
      </c>
      <c r="AA247">
        <v>0.99986920000000001</v>
      </c>
      <c r="AB247">
        <v>32</v>
      </c>
      <c r="AC247">
        <v>272.46409999999997</v>
      </c>
      <c r="AD247">
        <v>0.483929</v>
      </c>
      <c r="AE247">
        <v>3.2496999999999598</v>
      </c>
      <c r="AF247">
        <v>-4.4119451246293098</v>
      </c>
      <c r="AG247">
        <v>0.483929</v>
      </c>
      <c r="AH247">
        <v>272.44689887532002</v>
      </c>
      <c r="AI247">
        <v>89.898242830401401</v>
      </c>
      <c r="AJ247">
        <v>90.927754152744299</v>
      </c>
      <c r="AK247">
        <v>272.48304929635299</v>
      </c>
      <c r="AL247">
        <v>90.965501953191406</v>
      </c>
      <c r="AM247">
        <v>90.098973082752195</v>
      </c>
      <c r="AN247">
        <v>0.99999996965853299</v>
      </c>
    </row>
    <row r="248" spans="1:40" x14ac:dyDescent="0.25">
      <c r="A248" t="str">
        <f>"20190312151506427"</f>
        <v>20190312151506427</v>
      </c>
      <c r="B248" t="str">
        <f>"1552374906418220"</f>
        <v>1552374906418220</v>
      </c>
      <c r="C248" t="s">
        <v>40</v>
      </c>
      <c r="D248">
        <v>4.0387120000000003</v>
      </c>
      <c r="E248">
        <v>0.49473030000000001</v>
      </c>
      <c r="F248" t="s">
        <v>44</v>
      </c>
      <c r="G248">
        <v>-158.19499999999999</v>
      </c>
      <c r="H248">
        <v>1.542861</v>
      </c>
      <c r="I248">
        <v>371.77409999999998</v>
      </c>
      <c r="J248">
        <v>-430.33300000000003</v>
      </c>
      <c r="K248">
        <v>1.0599289999999999</v>
      </c>
      <c r="L248">
        <v>368.73849999999999</v>
      </c>
      <c r="M248">
        <v>0.99993279999999995</v>
      </c>
      <c r="N248">
        <v>0</v>
      </c>
      <c r="O248">
        <v>-4.7863009999999998E-3</v>
      </c>
      <c r="P248">
        <v>0.99962309999999999</v>
      </c>
      <c r="Q248">
        <v>-2.7246759999999998E-2</v>
      </c>
      <c r="R248">
        <v>-3.4392429999999998E-3</v>
      </c>
      <c r="S248">
        <v>3.0013429999999999</v>
      </c>
      <c r="T248">
        <v>5.3180459999999999E-3</v>
      </c>
      <c r="U248">
        <v>3.3416750000000002E-2</v>
      </c>
      <c r="V248">
        <v>-1.3648200000000001E-3</v>
      </c>
      <c r="W248">
        <v>-1.6683779999999999E-2</v>
      </c>
      <c r="X248">
        <v>0.99985990000000002</v>
      </c>
      <c r="Y248">
        <v>-1.5919349999999999E-2</v>
      </c>
      <c r="Z248" s="1">
        <v>-2.2584239999999999E-5</v>
      </c>
      <c r="AA248">
        <v>0.99987329999999996</v>
      </c>
      <c r="AB248">
        <v>32</v>
      </c>
      <c r="AC248">
        <v>272.13799999999998</v>
      </c>
      <c r="AD248">
        <v>0.48293199999999897</v>
      </c>
      <c r="AE248">
        <v>3.0355999999999801</v>
      </c>
      <c r="AF248">
        <v>-4.3381585606227198</v>
      </c>
      <c r="AG248">
        <v>0.48293199999999897</v>
      </c>
      <c r="AH248">
        <v>272.119495529505</v>
      </c>
      <c r="AI248">
        <v>89.898329883357704</v>
      </c>
      <c r="AJ248">
        <v>90.913338171600898</v>
      </c>
      <c r="AK248">
        <v>272.15450150649002</v>
      </c>
      <c r="AL248">
        <v>90.955954517150403</v>
      </c>
      <c r="AM248">
        <v>90.078209334354895</v>
      </c>
      <c r="AN248">
        <v>1.0000000154383599</v>
      </c>
    </row>
    <row r="249" spans="1:40" x14ac:dyDescent="0.25">
      <c r="A249" t="str">
        <f>"20190312151506450"</f>
        <v>20190312151506450</v>
      </c>
      <c r="B249" t="str">
        <f>"1552374906447500"</f>
        <v>1552374906447500</v>
      </c>
      <c r="C249" t="s">
        <v>40</v>
      </c>
      <c r="D249">
        <v>4.0310980000000001</v>
      </c>
      <c r="E249">
        <v>0.4945003</v>
      </c>
      <c r="F249" t="s">
        <v>44</v>
      </c>
      <c r="G249">
        <v>-158.19499999999999</v>
      </c>
      <c r="H249">
        <v>1.641448</v>
      </c>
      <c r="I249">
        <v>371.57470000000001</v>
      </c>
      <c r="J249">
        <v>-430.00920000000002</v>
      </c>
      <c r="K249">
        <v>1.0597350000000001</v>
      </c>
      <c r="L249">
        <v>368.73649999999998</v>
      </c>
      <c r="M249">
        <v>0.99993189999999998</v>
      </c>
      <c r="N249">
        <v>0</v>
      </c>
      <c r="O249">
        <v>-5.2674970000000003E-3</v>
      </c>
      <c r="P249">
        <v>0.99962439999999997</v>
      </c>
      <c r="Q249">
        <v>-2.7127040000000002E-2</v>
      </c>
      <c r="R249">
        <v>-3.898772E-3</v>
      </c>
      <c r="S249">
        <v>3.001404</v>
      </c>
      <c r="T249">
        <v>6.414533E-3</v>
      </c>
      <c r="U249">
        <v>3.1280519999999999E-2</v>
      </c>
      <c r="V249">
        <v>-1.38532E-3</v>
      </c>
      <c r="W249">
        <v>-1.6707280000000001E-2</v>
      </c>
      <c r="X249">
        <v>0.99985950000000001</v>
      </c>
      <c r="Y249">
        <v>-1.56887E-2</v>
      </c>
      <c r="Z249" s="1">
        <v>-2.8022200000000001E-5</v>
      </c>
      <c r="AA249">
        <v>0.99987689999999996</v>
      </c>
      <c r="AB249">
        <v>32</v>
      </c>
      <c r="AC249">
        <v>271.81420000000003</v>
      </c>
      <c r="AD249">
        <v>0.58171299999999904</v>
      </c>
      <c r="AE249">
        <v>2.83820000000002</v>
      </c>
      <c r="AF249">
        <v>-4.26999919238592</v>
      </c>
      <c r="AG249">
        <v>0.58171299999999904</v>
      </c>
      <c r="AH249">
        <v>271.79423289024601</v>
      </c>
      <c r="AI249">
        <v>89.877386888774794</v>
      </c>
      <c r="AJ249">
        <v>90.900066217216207</v>
      </c>
      <c r="AK249">
        <v>271.828394976526</v>
      </c>
      <c r="AL249">
        <v>90.957301135930095</v>
      </c>
      <c r="AM249">
        <v>90.079384091950502</v>
      </c>
      <c r="AN249">
        <v>1.0000000360283701</v>
      </c>
    </row>
    <row r="250" spans="1:40" x14ac:dyDescent="0.25">
      <c r="A250" t="str">
        <f>"20190312151506473"</f>
        <v>20190312151506473</v>
      </c>
      <c r="B250" t="str">
        <f>"1552374906467996"</f>
        <v>1552374906467996</v>
      </c>
      <c r="C250" t="s">
        <v>40</v>
      </c>
      <c r="D250">
        <v>3.9835669999999999</v>
      </c>
      <c r="E250">
        <v>0.49429289999999998</v>
      </c>
      <c r="F250" t="s">
        <v>44</v>
      </c>
      <c r="G250">
        <v>-158.19499999999999</v>
      </c>
      <c r="H250">
        <v>1.6637580000000001</v>
      </c>
      <c r="I250">
        <v>371.608</v>
      </c>
      <c r="J250">
        <v>-429.67689999999999</v>
      </c>
      <c r="K250">
        <v>1.0595669999999999</v>
      </c>
      <c r="L250">
        <v>368.73419999999999</v>
      </c>
      <c r="M250">
        <v>0.9999306</v>
      </c>
      <c r="N250">
        <v>0</v>
      </c>
      <c r="O250">
        <v>-5.7263430000000001E-3</v>
      </c>
      <c r="P250">
        <v>0.99962720000000005</v>
      </c>
      <c r="Q250">
        <v>-2.6981809999999998E-2</v>
      </c>
      <c r="R250">
        <v>-4.1874950000000003E-3</v>
      </c>
      <c r="S250">
        <v>3.0014340000000002</v>
      </c>
      <c r="T250">
        <v>6.670713E-3</v>
      </c>
      <c r="U250">
        <v>3.1707760000000001E-2</v>
      </c>
      <c r="V250">
        <v>-1.5540969999999999E-3</v>
      </c>
      <c r="W250">
        <v>-1.6681339999999999E-2</v>
      </c>
      <c r="X250">
        <v>0.99985959999999996</v>
      </c>
      <c r="Y250">
        <v>-1.6289709999999999E-2</v>
      </c>
      <c r="Z250" s="1">
        <v>-3.0828679999999997E-5</v>
      </c>
      <c r="AA250">
        <v>0.99986730000000001</v>
      </c>
      <c r="AB250">
        <v>32</v>
      </c>
      <c r="AC250">
        <v>271.4819</v>
      </c>
      <c r="AD250">
        <v>0.60419100000000003</v>
      </c>
      <c r="AE250">
        <v>2.8738000000000099</v>
      </c>
      <c r="AF250">
        <v>-4.4284118270495201</v>
      </c>
      <c r="AG250">
        <v>0.60419100000000003</v>
      </c>
      <c r="AH250">
        <v>271.45964678867898</v>
      </c>
      <c r="AI250">
        <v>89.872493270335298</v>
      </c>
      <c r="AJ250">
        <v>90.934602274548794</v>
      </c>
      <c r="AK250">
        <v>271.49643775325802</v>
      </c>
      <c r="AL250">
        <v>90.955814757573194</v>
      </c>
      <c r="AM250">
        <v>90.089055630758196</v>
      </c>
      <c r="AN250">
        <v>0.99999995101691896</v>
      </c>
    </row>
    <row r="251" spans="1:40" x14ac:dyDescent="0.25">
      <c r="A251" t="str">
        <f>"20190312151506494"</f>
        <v>20190312151506494</v>
      </c>
      <c r="B251" t="str">
        <f>"1552374906487516"</f>
        <v>1552374906487516</v>
      </c>
      <c r="C251" t="s">
        <v>40</v>
      </c>
      <c r="D251">
        <v>3.9613740000000002</v>
      </c>
      <c r="E251">
        <v>0.49420059999999899</v>
      </c>
      <c r="F251" t="s">
        <v>44</v>
      </c>
      <c r="G251">
        <v>-158.19499999999999</v>
      </c>
      <c r="H251">
        <v>1.7476659999999999</v>
      </c>
      <c r="I251">
        <v>371.6823</v>
      </c>
      <c r="J251">
        <v>-429.37650000000002</v>
      </c>
      <c r="K251">
        <v>1.0594429999999999</v>
      </c>
      <c r="L251">
        <v>368.7321</v>
      </c>
      <c r="M251">
        <v>0.99992919999999996</v>
      </c>
      <c r="N251">
        <v>0</v>
      </c>
      <c r="O251">
        <v>-6.114431E-3</v>
      </c>
      <c r="P251">
        <v>0.99962439999999997</v>
      </c>
      <c r="Q251">
        <v>-2.7113080000000001E-2</v>
      </c>
      <c r="R251">
        <v>-4.0613669999999998E-3</v>
      </c>
      <c r="S251">
        <v>3.0014340000000002</v>
      </c>
      <c r="T251">
        <v>7.608414E-3</v>
      </c>
      <c r="U251">
        <v>3.259277E-2</v>
      </c>
      <c r="V251">
        <v>-2.0680479999999998E-3</v>
      </c>
      <c r="W251">
        <v>-1.6898380000000001E-2</v>
      </c>
      <c r="X251">
        <v>0.9998551</v>
      </c>
      <c r="Y251">
        <v>-1.6972540000000001E-2</v>
      </c>
      <c r="Z251" s="1">
        <v>-3.7011409999999997E-5</v>
      </c>
      <c r="AA251">
        <v>0.99985590000000002</v>
      </c>
      <c r="AB251">
        <v>32</v>
      </c>
      <c r="AC251">
        <v>271.18150000000003</v>
      </c>
      <c r="AD251">
        <v>0.68822299999999903</v>
      </c>
      <c r="AE251">
        <v>2.9501999999999899</v>
      </c>
      <c r="AF251">
        <v>-4.6083221398848098</v>
      </c>
      <c r="AG251">
        <v>0.68822299999999903</v>
      </c>
      <c r="AH251">
        <v>271.15664420533801</v>
      </c>
      <c r="AI251">
        <v>89.854598823027999</v>
      </c>
      <c r="AJ251">
        <v>90.9736512030575</v>
      </c>
      <c r="AK251">
        <v>271.196673985031</v>
      </c>
      <c r="AL251">
        <v>90.968251914214704</v>
      </c>
      <c r="AM251">
        <v>90.118507424986902</v>
      </c>
      <c r="AN251">
        <v>1.0000000265325799</v>
      </c>
    </row>
    <row r="252" spans="1:40" x14ac:dyDescent="0.25">
      <c r="A252" t="str">
        <f>"20190312151506516"</f>
        <v>20190312151506516</v>
      </c>
      <c r="B252" t="str">
        <f>"1552374906508080"</f>
        <v>1552374906508080</v>
      </c>
      <c r="C252" t="s">
        <v>40</v>
      </c>
      <c r="D252">
        <v>3.9709590000000001</v>
      </c>
      <c r="E252">
        <v>0.49404120000000001</v>
      </c>
      <c r="F252" t="s">
        <v>44</v>
      </c>
      <c r="G252">
        <v>-158.19499999999999</v>
      </c>
      <c r="H252">
        <v>1.7318990000000001</v>
      </c>
      <c r="I252">
        <v>371.74029999999999</v>
      </c>
      <c r="J252">
        <v>-429.05439999999999</v>
      </c>
      <c r="K252">
        <v>1.0593349999999999</v>
      </c>
      <c r="L252">
        <v>368.72980000000001</v>
      </c>
      <c r="M252">
        <v>0.99992740000000002</v>
      </c>
      <c r="N252">
        <v>0</v>
      </c>
      <c r="O252">
        <v>-6.5106169999999998E-3</v>
      </c>
      <c r="P252">
        <v>0.999614</v>
      </c>
      <c r="Q252">
        <v>-2.7455549999999999E-2</v>
      </c>
      <c r="R252">
        <v>-4.2345109999999998E-3</v>
      </c>
      <c r="S252">
        <v>3.001465</v>
      </c>
      <c r="T252">
        <v>7.443786E-3</v>
      </c>
      <c r="U252">
        <v>3.329468E-2</v>
      </c>
      <c r="V252">
        <v>-2.290205E-3</v>
      </c>
      <c r="W252">
        <v>-1.7315830000000001E-2</v>
      </c>
      <c r="X252">
        <v>0.9998475</v>
      </c>
      <c r="Y252">
        <v>-1.7602369999999999E-2</v>
      </c>
      <c r="Z252" s="1">
        <v>-3.7973730000000001E-5</v>
      </c>
      <c r="AA252">
        <v>0.99984510000000004</v>
      </c>
      <c r="AB252">
        <v>32</v>
      </c>
      <c r="AC252">
        <v>270.85939999999999</v>
      </c>
      <c r="AD252">
        <v>0.67256399999999905</v>
      </c>
      <c r="AE252">
        <v>3.0104999999999702</v>
      </c>
      <c r="AF252">
        <v>-4.7739592260549601</v>
      </c>
      <c r="AG252">
        <v>0.67256399999999905</v>
      </c>
      <c r="AH252">
        <v>270.83238786307498</v>
      </c>
      <c r="AI252">
        <v>89.857738527715</v>
      </c>
      <c r="AJ252">
        <v>91.009847431206694</v>
      </c>
      <c r="AK252">
        <v>270.87529482151302</v>
      </c>
      <c r="AL252">
        <v>90.9921735111418</v>
      </c>
      <c r="AM252">
        <v>90.131238865160995</v>
      </c>
      <c r="AN252">
        <v>1.00000005313188</v>
      </c>
    </row>
    <row r="253" spans="1:40" x14ac:dyDescent="0.25">
      <c r="A253" t="str">
        <f>"20190312151506539"</f>
        <v>20190312151506539</v>
      </c>
      <c r="B253" t="str">
        <f>"1552374906528565"</f>
        <v>1552374906528565</v>
      </c>
      <c r="C253" t="s">
        <v>40</v>
      </c>
      <c r="D253">
        <v>3.987527</v>
      </c>
      <c r="E253">
        <v>0.49393690000000001</v>
      </c>
      <c r="F253" t="s">
        <v>44</v>
      </c>
      <c r="G253">
        <v>-158.19499999999999</v>
      </c>
      <c r="H253">
        <v>1.806081</v>
      </c>
      <c r="I253">
        <v>371.81970000000001</v>
      </c>
      <c r="J253">
        <v>-428.72899999999998</v>
      </c>
      <c r="K253">
        <v>1.059239</v>
      </c>
      <c r="L253">
        <v>368.72719999999998</v>
      </c>
      <c r="M253">
        <v>0.99992550000000002</v>
      </c>
      <c r="N253">
        <v>0</v>
      </c>
      <c r="O253">
        <v>-6.8926159999999998E-3</v>
      </c>
      <c r="P253">
        <v>0.99961180000000005</v>
      </c>
      <c r="Q253">
        <v>-2.7501609999999999E-2</v>
      </c>
      <c r="R253">
        <v>-4.4599679999999999E-3</v>
      </c>
      <c r="S253">
        <v>3.0015559999999999</v>
      </c>
      <c r="T253">
        <v>8.2761050000000006E-3</v>
      </c>
      <c r="U253">
        <v>3.4240720000000002E-2</v>
      </c>
      <c r="V253">
        <v>-2.4461019999999999E-3</v>
      </c>
      <c r="W253">
        <v>-1.742378E-2</v>
      </c>
      <c r="X253">
        <v>0.99984519999999999</v>
      </c>
      <c r="Y253">
        <v>-1.8299070000000001E-2</v>
      </c>
      <c r="Z253" s="1">
        <v>-4.4232069999999997E-5</v>
      </c>
      <c r="AA253">
        <v>0.99983259999999996</v>
      </c>
      <c r="AB253">
        <v>32</v>
      </c>
      <c r="AC253">
        <v>270.53399999999999</v>
      </c>
      <c r="AD253">
        <v>0.74684200000000001</v>
      </c>
      <c r="AE253">
        <v>3.0925000000000198</v>
      </c>
      <c r="AF253">
        <v>-4.9571703626028896</v>
      </c>
      <c r="AG253">
        <v>0.74684200000000001</v>
      </c>
      <c r="AH253">
        <v>270.50419523743199</v>
      </c>
      <c r="AI253">
        <v>89.841837564011399</v>
      </c>
      <c r="AJ253">
        <v>91.0498659791498</v>
      </c>
      <c r="AK253">
        <v>270.55064396897598</v>
      </c>
      <c r="AL253">
        <v>90.998359578779002</v>
      </c>
      <c r="AM253">
        <v>90.140172739985204</v>
      </c>
      <c r="AN253">
        <v>0.99999999774376103</v>
      </c>
    </row>
    <row r="254" spans="1:40" x14ac:dyDescent="0.25">
      <c r="A254" t="str">
        <f>"20190312151506561"</f>
        <v>20190312151506561</v>
      </c>
      <c r="B254" t="str">
        <f>"1552374906557841"</f>
        <v>1552374906557841</v>
      </c>
      <c r="C254" t="s">
        <v>40</v>
      </c>
      <c r="D254">
        <v>4.1181799999999997</v>
      </c>
      <c r="E254">
        <v>0.4938611</v>
      </c>
      <c r="F254" t="s">
        <v>44</v>
      </c>
      <c r="G254">
        <v>-158.19499999999999</v>
      </c>
      <c r="H254">
        <v>2.0279720000000001</v>
      </c>
      <c r="I254">
        <v>371.84359999999998</v>
      </c>
      <c r="J254">
        <v>-428.41410000000002</v>
      </c>
      <c r="K254">
        <v>1.0591699999999999</v>
      </c>
      <c r="L254">
        <v>368.72469999999998</v>
      </c>
      <c r="M254">
        <v>0.99992349999999997</v>
      </c>
      <c r="N254">
        <v>0</v>
      </c>
      <c r="O254">
        <v>-7.2474230000000002E-3</v>
      </c>
      <c r="P254">
        <v>0.99960729999999998</v>
      </c>
      <c r="Q254">
        <v>-2.7559030000000002E-2</v>
      </c>
      <c r="R254">
        <v>-5.0935679999999997E-3</v>
      </c>
      <c r="S254">
        <v>3.001617</v>
      </c>
      <c r="T254">
        <v>1.074922E-2</v>
      </c>
      <c r="U254">
        <v>3.4576419999999997E-2</v>
      </c>
      <c r="V254">
        <v>-2.167193E-3</v>
      </c>
      <c r="W254">
        <v>-1.75295E-2</v>
      </c>
      <c r="X254">
        <v>0.99984399999999996</v>
      </c>
      <c r="Y254">
        <v>-1.8765339999999998E-2</v>
      </c>
      <c r="Z254" s="1">
        <v>-5.9553979999999998E-5</v>
      </c>
      <c r="AA254">
        <v>0.99982389999999999</v>
      </c>
      <c r="AB254">
        <v>32</v>
      </c>
      <c r="AC254">
        <v>270.21910000000003</v>
      </c>
      <c r="AD254">
        <v>0.96880200000000005</v>
      </c>
      <c r="AE254">
        <v>3.1188999999999898</v>
      </c>
      <c r="AF254">
        <v>-5.0772433328702098</v>
      </c>
      <c r="AG254">
        <v>0.96880200000000005</v>
      </c>
      <c r="AH254">
        <v>270.18592491785398</v>
      </c>
      <c r="AI254">
        <v>89.794592446270599</v>
      </c>
      <c r="AJ254">
        <v>91.0765563743456</v>
      </c>
      <c r="AK254">
        <v>270.23536223243002</v>
      </c>
      <c r="AL254">
        <v>91.004417809376307</v>
      </c>
      <c r="AM254">
        <v>90.124190191501</v>
      </c>
      <c r="AN254">
        <v>1.0000000022158699</v>
      </c>
    </row>
    <row r="255" spans="1:40" x14ac:dyDescent="0.25">
      <c r="A255" t="str">
        <f>"20190312151506584"</f>
        <v>20190312151506584</v>
      </c>
      <c r="B255" t="str">
        <f>"1552374906578337"</f>
        <v>1552374906578337</v>
      </c>
      <c r="C255" t="s">
        <v>40</v>
      </c>
      <c r="D255">
        <v>4.0257350000000001</v>
      </c>
      <c r="E255">
        <v>0.4937724</v>
      </c>
      <c r="F255" t="s">
        <v>44</v>
      </c>
      <c r="G255">
        <v>-158.19499999999999</v>
      </c>
      <c r="H255">
        <v>2.1774610000000001</v>
      </c>
      <c r="I255">
        <v>371.69459999999998</v>
      </c>
      <c r="J255">
        <v>-428.08640000000003</v>
      </c>
      <c r="K255">
        <v>1.0591120000000001</v>
      </c>
      <c r="L255">
        <v>368.72190000000001</v>
      </c>
      <c r="M255">
        <v>0.99992119999999995</v>
      </c>
      <c r="N255">
        <v>0</v>
      </c>
      <c r="O255">
        <v>-7.6045560000000002E-3</v>
      </c>
      <c r="P255">
        <v>0.99961299999999997</v>
      </c>
      <c r="Q255">
        <v>-2.7298679999999999E-2</v>
      </c>
      <c r="R255">
        <v>-5.3406080000000002E-3</v>
      </c>
      <c r="S255">
        <v>3.001617</v>
      </c>
      <c r="T255">
        <v>1.242304E-2</v>
      </c>
      <c r="U255">
        <v>3.2989499999999998E-2</v>
      </c>
      <c r="V255">
        <v>-2.2763800000000002E-3</v>
      </c>
      <c r="W255">
        <v>-1.7306410000000001E-2</v>
      </c>
      <c r="X255">
        <v>0.99984770000000001</v>
      </c>
      <c r="Y255">
        <v>-1.8593849999999999E-2</v>
      </c>
      <c r="Z255" s="1">
        <v>-6.9950789999999994E-5</v>
      </c>
      <c r="AA255">
        <v>0.99982709999999997</v>
      </c>
      <c r="AB255">
        <v>32</v>
      </c>
      <c r="AC255">
        <v>269.89139999999998</v>
      </c>
      <c r="AD255">
        <v>1.118349</v>
      </c>
      <c r="AE255">
        <v>2.9726999999999699</v>
      </c>
      <c r="AF255">
        <v>-5.0250344164532903</v>
      </c>
      <c r="AG255">
        <v>1.118349</v>
      </c>
      <c r="AH255">
        <v>269.85635516660898</v>
      </c>
      <c r="AI255">
        <v>89.762595160179103</v>
      </c>
      <c r="AJ255">
        <v>91.066789748281394</v>
      </c>
      <c r="AK255">
        <v>269.90545400043197</v>
      </c>
      <c r="AL255">
        <v>90.991633698749894</v>
      </c>
      <c r="AM255">
        <v>90.130446608231694</v>
      </c>
      <c r="AN255">
        <v>1.00000005846413</v>
      </c>
    </row>
    <row r="256" spans="1:40" x14ac:dyDescent="0.25">
      <c r="A256" t="str">
        <f>"20190312151506605"</f>
        <v>20190312151506605</v>
      </c>
      <c r="B256" t="str">
        <f>"1552374906597863"</f>
        <v>1552374906597863</v>
      </c>
      <c r="C256" t="s">
        <v>40</v>
      </c>
      <c r="D256">
        <v>4.0123309999999996</v>
      </c>
      <c r="E256">
        <v>0.49374279999999998</v>
      </c>
      <c r="F256" t="s">
        <v>44</v>
      </c>
      <c r="G256">
        <v>-158.19499999999999</v>
      </c>
      <c r="H256">
        <v>2.426695</v>
      </c>
      <c r="I256">
        <v>371.68540000000002</v>
      </c>
      <c r="J256">
        <v>-427.7704</v>
      </c>
      <c r="K256">
        <v>1.05907</v>
      </c>
      <c r="L256">
        <v>368.7192</v>
      </c>
      <c r="M256">
        <v>0.99991890000000005</v>
      </c>
      <c r="N256">
        <v>0</v>
      </c>
      <c r="O256">
        <v>-7.9394789999999993E-3</v>
      </c>
      <c r="P256">
        <v>0.99961580000000005</v>
      </c>
      <c r="Q256">
        <v>-2.7094690000000001E-2</v>
      </c>
      <c r="R256">
        <v>-5.8306779999999997E-3</v>
      </c>
      <c r="S256">
        <v>3.001709</v>
      </c>
      <c r="T256">
        <v>1.521111E-2</v>
      </c>
      <c r="U256">
        <v>3.2958979999999999E-2</v>
      </c>
      <c r="V256">
        <v>-2.1200070000000001E-3</v>
      </c>
      <c r="W256">
        <v>-1.7128560000000001E-2</v>
      </c>
      <c r="X256">
        <v>0.99985100000000005</v>
      </c>
      <c r="Y256">
        <v>-1.891812E-2</v>
      </c>
      <c r="Z256" s="1">
        <v>-8.8165669999999905E-5</v>
      </c>
      <c r="AA256">
        <v>0.99982099999999996</v>
      </c>
      <c r="AB256">
        <v>32</v>
      </c>
      <c r="AC256">
        <v>269.5754</v>
      </c>
      <c r="AD256">
        <v>1.3676250000000001</v>
      </c>
      <c r="AE256">
        <v>2.9662000000000099</v>
      </c>
      <c r="AF256">
        <v>-5.1063694386758796</v>
      </c>
      <c r="AG256">
        <v>1.3676250000000001</v>
      </c>
      <c r="AH256">
        <v>269.53641491804501</v>
      </c>
      <c r="AI256">
        <v>89.709336454201605</v>
      </c>
      <c r="AJ256">
        <v>91.085339145227806</v>
      </c>
      <c r="AK256">
        <v>269.58824969545202</v>
      </c>
      <c r="AL256">
        <v>90.981442238632496</v>
      </c>
      <c r="AM256">
        <v>90.1214853729293</v>
      </c>
      <c r="AN256">
        <v>0.99999995209917503</v>
      </c>
    </row>
    <row r="257" spans="1:40" x14ac:dyDescent="0.25">
      <c r="A257" t="str">
        <f>"20190312151506628"</f>
        <v>20190312151506628</v>
      </c>
      <c r="B257" t="str">
        <f>"1552374906618473"</f>
        <v>1552374906618473</v>
      </c>
      <c r="C257" t="s">
        <v>40</v>
      </c>
      <c r="D257">
        <v>3.969916</v>
      </c>
      <c r="E257">
        <v>0.49366500000000002</v>
      </c>
      <c r="F257" t="s">
        <v>44</v>
      </c>
      <c r="G257">
        <v>-158.19499999999999</v>
      </c>
      <c r="H257">
        <v>2.5970580000000001</v>
      </c>
      <c r="I257">
        <v>371.57490000000001</v>
      </c>
      <c r="J257">
        <v>-427.45139999999998</v>
      </c>
      <c r="K257">
        <v>1.0590349999999999</v>
      </c>
      <c r="L257">
        <v>368.71629999999999</v>
      </c>
      <c r="M257">
        <v>0.99991640000000004</v>
      </c>
      <c r="N257">
        <v>0</v>
      </c>
      <c r="O257">
        <v>-8.2700540000000006E-3</v>
      </c>
      <c r="P257">
        <v>0.99960700000000002</v>
      </c>
      <c r="Q257">
        <v>-2.727077E-2</v>
      </c>
      <c r="R257">
        <v>-6.492439E-3</v>
      </c>
      <c r="S257">
        <v>3.0018009999999999</v>
      </c>
      <c r="T257">
        <v>1.712692E-2</v>
      </c>
      <c r="U257">
        <v>3.1799319999999999E-2</v>
      </c>
      <c r="V257">
        <v>-1.789126E-3</v>
      </c>
      <c r="W257">
        <v>-1.732382E-2</v>
      </c>
      <c r="X257">
        <v>0.99984830000000002</v>
      </c>
      <c r="Y257">
        <v>-1.886202E-2</v>
      </c>
      <c r="Z257">
        <v>-1.0099309999999999E-4</v>
      </c>
      <c r="AA257">
        <v>0.99982210000000005</v>
      </c>
      <c r="AB257">
        <v>32</v>
      </c>
      <c r="AC257">
        <v>269.25639999999999</v>
      </c>
      <c r="AD257">
        <v>1.5380229999999999</v>
      </c>
      <c r="AE257">
        <v>2.85860000000002</v>
      </c>
      <c r="AF257">
        <v>-5.08521130796293</v>
      </c>
      <c r="AG257">
        <v>1.5380229999999999</v>
      </c>
      <c r="AH257">
        <v>269.21476624228399</v>
      </c>
      <c r="AI257">
        <v>89.672731354593495</v>
      </c>
      <c r="AJ257">
        <v>91.082134182962093</v>
      </c>
      <c r="AK257">
        <v>269.267181906156</v>
      </c>
      <c r="AL257">
        <v>90.992631456235699</v>
      </c>
      <c r="AM257">
        <v>90.102524812421606</v>
      </c>
      <c r="AN257">
        <v>0.99999996936206204</v>
      </c>
    </row>
    <row r="258" spans="1:40" x14ac:dyDescent="0.25">
      <c r="A258" t="str">
        <f>"20190312151506650"</f>
        <v>20190312151506650</v>
      </c>
      <c r="B258" t="str">
        <f>"1552374906647750"</f>
        <v>1552374906647750</v>
      </c>
      <c r="C258" t="s">
        <v>40</v>
      </c>
      <c r="D258">
        <v>3.9872670000000001</v>
      </c>
      <c r="E258">
        <v>0.49352289999999999</v>
      </c>
      <c r="F258" t="s">
        <v>44</v>
      </c>
      <c r="G258">
        <v>-158.19499999999999</v>
      </c>
      <c r="H258">
        <v>2.6825739999999998</v>
      </c>
      <c r="I258">
        <v>371.42079999999999</v>
      </c>
      <c r="J258">
        <v>-427.11919999999998</v>
      </c>
      <c r="K258">
        <v>1.059021</v>
      </c>
      <c r="L258">
        <v>368.71319999999997</v>
      </c>
      <c r="M258">
        <v>0.9999131</v>
      </c>
      <c r="N258">
        <v>0</v>
      </c>
      <c r="O258">
        <v>-8.608157E-3</v>
      </c>
      <c r="P258">
        <v>0.99960649999999995</v>
      </c>
      <c r="Q258">
        <v>-2.7138990000000002E-2</v>
      </c>
      <c r="R258">
        <v>-7.1089650000000001E-3</v>
      </c>
      <c r="S258">
        <v>3.001862</v>
      </c>
      <c r="T258">
        <v>1.8101329999999999E-2</v>
      </c>
      <c r="U258">
        <v>3.015137E-2</v>
      </c>
      <c r="V258">
        <v>-1.509746E-3</v>
      </c>
      <c r="W258">
        <v>-1.71460999999999E-2</v>
      </c>
      <c r="X258">
        <v>0.99985190000000002</v>
      </c>
      <c r="Y258">
        <v>-1.8651000000000001E-2</v>
      </c>
      <c r="Z258">
        <v>-1.081396E-4</v>
      </c>
      <c r="AA258">
        <v>0.99982610000000005</v>
      </c>
      <c r="AB258">
        <v>32</v>
      </c>
      <c r="AC258">
        <v>268.92419999999998</v>
      </c>
      <c r="AD258">
        <v>1.623553</v>
      </c>
      <c r="AE258">
        <v>2.70760000000001</v>
      </c>
      <c r="AF258">
        <v>-5.0223737683699596</v>
      </c>
      <c r="AG258">
        <v>1.623553</v>
      </c>
      <c r="AH258">
        <v>268.88112734928399</v>
      </c>
      <c r="AI258">
        <v>89.654102233631903</v>
      </c>
      <c r="AJ258">
        <v>91.070091321006899</v>
      </c>
      <c r="AK258">
        <v>268.93292994208599</v>
      </c>
      <c r="AL258">
        <v>90.982447262974503</v>
      </c>
      <c r="AM258">
        <v>90.086514821039998</v>
      </c>
      <c r="AN258">
        <v>1.0000000450058999</v>
      </c>
    </row>
    <row r="259" spans="1:40" x14ac:dyDescent="0.25">
      <c r="A259" t="str">
        <f>"20190312151506675"</f>
        <v>20190312151506675</v>
      </c>
      <c r="B259" t="str">
        <f>"1552374906668246"</f>
        <v>1552374906668246</v>
      </c>
      <c r="C259" t="s">
        <v>40</v>
      </c>
      <c r="D259">
        <v>3.9806919999999999</v>
      </c>
      <c r="E259">
        <v>0.49345440000000002</v>
      </c>
      <c r="F259" t="s">
        <v>44</v>
      </c>
      <c r="G259">
        <v>-158.19499999999999</v>
      </c>
      <c r="H259">
        <v>2.6616219999999999</v>
      </c>
      <c r="I259">
        <v>371.36779999999999</v>
      </c>
      <c r="J259">
        <v>-426.78219999999999</v>
      </c>
      <c r="K259">
        <v>1.059043</v>
      </c>
      <c r="L259">
        <v>368.71</v>
      </c>
      <c r="M259">
        <v>0.99990809999999997</v>
      </c>
      <c r="N259">
        <v>0</v>
      </c>
      <c r="O259">
        <v>-8.9438450000000006E-3</v>
      </c>
      <c r="P259">
        <v>0.99959589999999998</v>
      </c>
      <c r="Q259">
        <v>-2.7404669999999999E-2</v>
      </c>
      <c r="R259">
        <v>-7.5689249999999998E-3</v>
      </c>
      <c r="S259">
        <v>3.0019230000000001</v>
      </c>
      <c r="T259">
        <v>1.7890329999999999E-2</v>
      </c>
      <c r="U259">
        <v>2.963257E-2</v>
      </c>
      <c r="V259">
        <v>-1.3853079999999901E-3</v>
      </c>
      <c r="W259">
        <v>-1.7222870000000001E-2</v>
      </c>
      <c r="X259">
        <v>0.99985069999999998</v>
      </c>
      <c r="Y259">
        <v>-1.8813699999999999E-2</v>
      </c>
      <c r="Z259">
        <v>-1.093625E-4</v>
      </c>
      <c r="AA259">
        <v>0.99982300000000002</v>
      </c>
      <c r="AB259">
        <v>32</v>
      </c>
      <c r="AC259">
        <v>268.5872</v>
      </c>
      <c r="AD259">
        <v>1.602579</v>
      </c>
      <c r="AE259">
        <v>2.6577999999999999</v>
      </c>
      <c r="AF259">
        <v>-5.0598405335393801</v>
      </c>
      <c r="AG259">
        <v>1.602579</v>
      </c>
      <c r="AH259">
        <v>268.54312442103998</v>
      </c>
      <c r="AI259">
        <v>89.658141949131107</v>
      </c>
      <c r="AJ259">
        <v>91.079428894070205</v>
      </c>
      <c r="AK259">
        <v>268.59556943384302</v>
      </c>
      <c r="AL259">
        <v>90.986846569285404</v>
      </c>
      <c r="AM259">
        <v>90.079384102983298</v>
      </c>
      <c r="AN259">
        <v>0.99999998430989001</v>
      </c>
    </row>
    <row r="260" spans="1:40" x14ac:dyDescent="0.25">
      <c r="A260" t="str">
        <f>"20190312151506697"</f>
        <v>20190312151506697</v>
      </c>
      <c r="B260" t="str">
        <f>"1552374906687766"</f>
        <v>1552374906687766</v>
      </c>
      <c r="C260" t="s">
        <v>40</v>
      </c>
      <c r="D260">
        <v>3.8880490000000001</v>
      </c>
      <c r="E260">
        <v>0.49343160000000003</v>
      </c>
      <c r="F260" t="s">
        <v>44</v>
      </c>
      <c r="G260">
        <v>-158.19499999999999</v>
      </c>
      <c r="H260">
        <v>2.5564119999999999</v>
      </c>
      <c r="I260">
        <v>371.30669999999998</v>
      </c>
      <c r="J260">
        <v>-426.44889999999998</v>
      </c>
      <c r="K260">
        <v>1.059013</v>
      </c>
      <c r="L260">
        <v>368.70659999999998</v>
      </c>
      <c r="M260">
        <v>0.99990500000000004</v>
      </c>
      <c r="N260">
        <v>0</v>
      </c>
      <c r="O260">
        <v>-9.2706799999999999E-3</v>
      </c>
      <c r="P260">
        <v>0.99959520000000002</v>
      </c>
      <c r="Q260">
        <v>-2.7359649999999999E-2</v>
      </c>
      <c r="R260">
        <v>-7.8360700000000005E-3</v>
      </c>
      <c r="S260">
        <v>3.0019230000000001</v>
      </c>
      <c r="T260">
        <v>1.6736629999999999E-2</v>
      </c>
      <c r="U260">
        <v>2.9022220000000001E-2</v>
      </c>
      <c r="V260">
        <v>-1.445382E-3</v>
      </c>
      <c r="W260">
        <v>-1.7157680000000002E-2</v>
      </c>
      <c r="X260">
        <v>0.99985179999999996</v>
      </c>
      <c r="Y260">
        <v>-1.8937300000000001E-2</v>
      </c>
      <c r="Z260">
        <v>-1.044769E-4</v>
      </c>
      <c r="AA260">
        <v>0.99982059999999995</v>
      </c>
      <c r="AB260">
        <v>32</v>
      </c>
      <c r="AC260">
        <v>268.25389999999999</v>
      </c>
      <c r="AD260">
        <v>1.4973989999999999</v>
      </c>
      <c r="AE260">
        <v>2.6000999999999901</v>
      </c>
      <c r="AF260">
        <v>-5.0868552171537198</v>
      </c>
      <c r="AG260">
        <v>1.4973989999999999</v>
      </c>
      <c r="AH260">
        <v>268.20990863734897</v>
      </c>
      <c r="AI260">
        <v>89.680182114881703</v>
      </c>
      <c r="AJ260">
        <v>91.086538516659601</v>
      </c>
      <c r="AK260">
        <v>268.26232197425799</v>
      </c>
      <c r="AL260">
        <v>90.983110842214899</v>
      </c>
      <c r="AM260">
        <v>90.082826505585302</v>
      </c>
      <c r="AN260">
        <v>1.0000000485376701</v>
      </c>
    </row>
    <row r="261" spans="1:40" x14ac:dyDescent="0.25">
      <c r="A261" t="str">
        <f>"20190312151506718"</f>
        <v>20190312151506718</v>
      </c>
      <c r="B261" t="str">
        <f>"1552374906708262"</f>
        <v>1552374906708262</v>
      </c>
      <c r="C261" t="s">
        <v>40</v>
      </c>
      <c r="D261">
        <v>3.5730819999999999</v>
      </c>
      <c r="E261">
        <v>0.46520800000000001</v>
      </c>
      <c r="F261" t="s">
        <v>44</v>
      </c>
      <c r="G261">
        <v>-158.19499999999999</v>
      </c>
      <c r="H261">
        <v>2.530154</v>
      </c>
      <c r="I261">
        <v>371.25650000000002</v>
      </c>
      <c r="J261">
        <v>-426.1352</v>
      </c>
      <c r="K261">
        <v>1.0589959999999901</v>
      </c>
      <c r="L261">
        <v>368.70339999999999</v>
      </c>
      <c r="M261">
        <v>0.99990159999999995</v>
      </c>
      <c r="N261">
        <v>0</v>
      </c>
      <c r="O261">
        <v>-9.5777989999999997E-3</v>
      </c>
      <c r="P261">
        <v>0.99958100000000005</v>
      </c>
      <c r="Q261">
        <v>-2.790803E-2</v>
      </c>
      <c r="R261">
        <v>-7.6945859999999998E-3</v>
      </c>
      <c r="S261">
        <v>3.0018919999999998</v>
      </c>
      <c r="T261">
        <v>1.6463760000000001E-2</v>
      </c>
      <c r="U261">
        <v>2.8533940000000001E-2</v>
      </c>
      <c r="V261">
        <v>-1.8930500000000001E-3</v>
      </c>
      <c r="W261">
        <v>-1.7651710000000001E-2</v>
      </c>
      <c r="X261">
        <v>0.99984240000000002</v>
      </c>
      <c r="Y261">
        <v>-1.9081890000000001E-2</v>
      </c>
      <c r="Z261">
        <v>-1.048556E-4</v>
      </c>
      <c r="AA261">
        <v>0.99981790000000004</v>
      </c>
      <c r="AB261">
        <v>32</v>
      </c>
      <c r="AC261">
        <v>267.9402</v>
      </c>
      <c r="AD261">
        <v>1.471158</v>
      </c>
      <c r="AE261">
        <v>2.5531000000000201</v>
      </c>
      <c r="AF261">
        <v>-5.1192407581350396</v>
      </c>
      <c r="AG261">
        <v>1.471158</v>
      </c>
      <c r="AH261">
        <v>267.89537893309</v>
      </c>
      <c r="AI261">
        <v>89.6854185678189</v>
      </c>
      <c r="AJ261">
        <v>91.094737793340002</v>
      </c>
      <c r="AK261">
        <v>267.948325214965</v>
      </c>
      <c r="AL261">
        <v>91.011421016781597</v>
      </c>
      <c r="AM261">
        <v>90.108480742366694</v>
      </c>
      <c r="AN261">
        <v>0.99999999567099296</v>
      </c>
    </row>
    <row r="262" spans="1:40" x14ac:dyDescent="0.25">
      <c r="A262" t="str">
        <f>"20190312151506740"</f>
        <v>20190312151506740</v>
      </c>
      <c r="B262" t="str">
        <f>"1552374906738518"</f>
        <v>1552374906738518</v>
      </c>
      <c r="C262" t="s">
        <v>40</v>
      </c>
      <c r="D262">
        <v>3.875632</v>
      </c>
      <c r="E262">
        <v>0.3942233</v>
      </c>
      <c r="F262" t="s">
        <v>46</v>
      </c>
      <c r="G262">
        <v>0</v>
      </c>
      <c r="H262">
        <v>0</v>
      </c>
      <c r="I262">
        <v>0</v>
      </c>
      <c r="J262">
        <v>-425.81209999999999</v>
      </c>
      <c r="K262">
        <v>1.0589999999999999</v>
      </c>
      <c r="L262">
        <v>368.7</v>
      </c>
      <c r="M262">
        <v>0.99989689999999998</v>
      </c>
      <c r="N262">
        <v>0</v>
      </c>
      <c r="O262">
        <v>-9.8998279999999994E-3</v>
      </c>
      <c r="P262">
        <v>0.99956920000000005</v>
      </c>
      <c r="Q262">
        <v>-2.8155719999999999E-2</v>
      </c>
      <c r="R262">
        <v>-8.2872610000000006E-3</v>
      </c>
      <c r="S262">
        <v>3.0042420000000001</v>
      </c>
      <c r="T262">
        <v>3.594601E-2</v>
      </c>
      <c r="U262">
        <v>0.25363160000000001</v>
      </c>
      <c r="V262">
        <v>-1.6227220000000001E-3</v>
      </c>
      <c r="W262">
        <v>-1.77597E-2</v>
      </c>
      <c r="X262">
        <v>0.99984099999999998</v>
      </c>
      <c r="Y262">
        <v>-9.3978999999999993E-2</v>
      </c>
      <c r="Z262">
        <v>-6.7947020000000001E-4</v>
      </c>
      <c r="AA262">
        <v>0.99557390000000001</v>
      </c>
      <c r="AB262">
        <v>32</v>
      </c>
      <c r="AC262">
        <v>3.0042420000000001</v>
      </c>
      <c r="AD262">
        <v>3.594601E-2</v>
      </c>
      <c r="AE262">
        <v>0.25363160000000001</v>
      </c>
      <c r="AF262">
        <v>-0.28332198328275299</v>
      </c>
      <c r="AG262">
        <v>3.594601E-2</v>
      </c>
      <c r="AH262">
        <v>3.0011571029387998</v>
      </c>
      <c r="AI262">
        <v>89.316816559050906</v>
      </c>
      <c r="AJ262">
        <v>95.392981907203705</v>
      </c>
      <c r="AK262">
        <v>3.0147151471351701</v>
      </c>
      <c r="AL262">
        <v>91.017609320403395</v>
      </c>
      <c r="AM262">
        <v>90.092989825671296</v>
      </c>
      <c r="AN262">
        <v>1.00000003272588</v>
      </c>
    </row>
    <row r="263" spans="1:40" x14ac:dyDescent="0.25">
      <c r="A263" t="str">
        <f>"20190312151506764"</f>
        <v>20190312151506764</v>
      </c>
      <c r="B263" t="str">
        <f>"1552374906758039"</f>
        <v>1552374906758039</v>
      </c>
      <c r="C263" t="s">
        <v>40</v>
      </c>
      <c r="D263">
        <v>3.9563679999999999</v>
      </c>
      <c r="E263">
        <v>0.37922129999999998</v>
      </c>
      <c r="F263" t="s">
        <v>42</v>
      </c>
      <c r="G263">
        <v>-415.9864</v>
      </c>
      <c r="H263">
        <v>-0.05</v>
      </c>
      <c r="I263">
        <v>371.38720000000001</v>
      </c>
      <c r="J263">
        <v>-425.47039999999998</v>
      </c>
      <c r="K263">
        <v>1.059018</v>
      </c>
      <c r="L263">
        <v>368.69619999999998</v>
      </c>
      <c r="M263">
        <v>0.99989159999999999</v>
      </c>
      <c r="N263">
        <v>0</v>
      </c>
      <c r="O263">
        <v>-1.023961E-2</v>
      </c>
      <c r="P263">
        <v>0.99954730000000003</v>
      </c>
      <c r="Q263">
        <v>-2.8794119999999999E-2</v>
      </c>
      <c r="R263">
        <v>-8.7130119999999991E-3</v>
      </c>
      <c r="S263">
        <v>2.998535</v>
      </c>
      <c r="T263">
        <v>-0.33843579999999901</v>
      </c>
      <c r="U263">
        <v>0.82006840000000003</v>
      </c>
      <c r="V263">
        <v>-1.5364160000000001E-3</v>
      </c>
      <c r="W263">
        <v>-1.822263E-2</v>
      </c>
      <c r="X263">
        <v>0.99983270000000002</v>
      </c>
      <c r="Y263">
        <v>-0.27199659999999998</v>
      </c>
      <c r="Z263">
        <v>1.6159659999999999E-2</v>
      </c>
      <c r="AA263">
        <v>0.96216259999999998</v>
      </c>
      <c r="AB263">
        <v>32</v>
      </c>
      <c r="AC263">
        <v>9.4839999999999804</v>
      </c>
      <c r="AD263">
        <v>-1.1090180000000001</v>
      </c>
      <c r="AE263">
        <v>2.69100000000003</v>
      </c>
      <c r="AF263">
        <v>-2.75313558506932</v>
      </c>
      <c r="AG263">
        <v>-1.1090180000000001</v>
      </c>
      <c r="AH263">
        <v>9.3377758762457699</v>
      </c>
      <c r="AI263">
        <v>96.499034675534901</v>
      </c>
      <c r="AJ263">
        <v>106.42754498310499</v>
      </c>
      <c r="AK263">
        <v>9.79814955943705</v>
      </c>
      <c r="AL263">
        <v>91.044137659712206</v>
      </c>
      <c r="AM263">
        <v>90.088044812983199</v>
      </c>
      <c r="AN263">
        <v>0.99999992640376301</v>
      </c>
    </row>
    <row r="264" spans="1:40" x14ac:dyDescent="0.25">
      <c r="A264" t="str">
        <f>"20190312151506785"</f>
        <v>20190312151506785</v>
      </c>
      <c r="B264" t="str">
        <f>"1552374906778535"</f>
        <v>1552374906778535</v>
      </c>
      <c r="C264" t="s">
        <v>40</v>
      </c>
      <c r="D264">
        <v>3.8937219999999999</v>
      </c>
      <c r="E264">
        <v>0.37104999999999999</v>
      </c>
      <c r="F264" t="s">
        <v>42</v>
      </c>
      <c r="G264">
        <v>-417.15989999999999</v>
      </c>
      <c r="H264">
        <v>-0.05</v>
      </c>
      <c r="I264">
        <v>371.29919999999998</v>
      </c>
      <c r="J264">
        <v>-425.16890000000001</v>
      </c>
      <c r="K264">
        <v>1.059029</v>
      </c>
      <c r="L264">
        <v>368.69279999999998</v>
      </c>
      <c r="M264">
        <v>0.99988710000000003</v>
      </c>
      <c r="N264">
        <v>0</v>
      </c>
      <c r="O264">
        <v>-1.0538850000000001E-2</v>
      </c>
      <c r="P264">
        <v>0.9995385</v>
      </c>
      <c r="Q264">
        <v>-2.9067180000000001E-2</v>
      </c>
      <c r="R264">
        <v>-8.8344659999999992E-3</v>
      </c>
      <c r="S264">
        <v>2.9980159999999998</v>
      </c>
      <c r="T264">
        <v>-0.40008199999999999</v>
      </c>
      <c r="U264">
        <v>0.93905640000000001</v>
      </c>
      <c r="V264">
        <v>-1.714719E-3</v>
      </c>
      <c r="W264">
        <v>-1.8348799999999998E-2</v>
      </c>
      <c r="X264">
        <v>0.9998302</v>
      </c>
      <c r="Y264">
        <v>-0.30638539999999997</v>
      </c>
      <c r="Z264">
        <v>2.125144E-2</v>
      </c>
      <c r="AA264">
        <v>0.95167029999999997</v>
      </c>
      <c r="AB264">
        <v>32</v>
      </c>
      <c r="AC264">
        <v>8.0090000000000092</v>
      </c>
      <c r="AD264">
        <v>-1.109029</v>
      </c>
      <c r="AE264">
        <v>2.6063999999999998</v>
      </c>
      <c r="AF264">
        <v>-2.6448088154920302</v>
      </c>
      <c r="AG264">
        <v>-1.109029</v>
      </c>
      <c r="AH264">
        <v>7.84506380619088</v>
      </c>
      <c r="AI264">
        <v>97.629842051052805</v>
      </c>
      <c r="AJ264">
        <v>108.630521099608</v>
      </c>
      <c r="AK264">
        <v>8.3528429361835599</v>
      </c>
      <c r="AL264">
        <v>91.051367775239001</v>
      </c>
      <c r="AM264">
        <v>90.098262750443496</v>
      </c>
      <c r="AN264">
        <v>1.0000000237773601</v>
      </c>
    </row>
    <row r="265" spans="1:40" x14ac:dyDescent="0.25">
      <c r="A265" t="str">
        <f>"20190312151506807"</f>
        <v>20190312151506807</v>
      </c>
      <c r="B265" t="str">
        <f>"1552374906798054"</f>
        <v>1552374906798054</v>
      </c>
      <c r="C265" t="s">
        <v>40</v>
      </c>
      <c r="D265">
        <v>3.8569</v>
      </c>
      <c r="E265">
        <v>0.3668804</v>
      </c>
      <c r="F265" t="s">
        <v>42</v>
      </c>
      <c r="G265">
        <v>-417.46230000000003</v>
      </c>
      <c r="H265">
        <v>-0.05</v>
      </c>
      <c r="I265">
        <v>371.27420000000001</v>
      </c>
      <c r="J265">
        <v>-424.84890000000001</v>
      </c>
      <c r="K265">
        <v>1.0590310000000001</v>
      </c>
      <c r="L265">
        <v>368.6891</v>
      </c>
      <c r="M265">
        <v>0.99988220000000005</v>
      </c>
      <c r="N265">
        <v>0</v>
      </c>
      <c r="O265">
        <v>-1.085476E-2</v>
      </c>
      <c r="P265">
        <v>0.99952229999999997</v>
      </c>
      <c r="Q265">
        <v>-2.9397119999999999E-2</v>
      </c>
      <c r="R265">
        <v>-9.5625720000000001E-3</v>
      </c>
      <c r="S265">
        <v>2.9977109999999998</v>
      </c>
      <c r="T265">
        <v>-0.43138840000000001</v>
      </c>
      <c r="U265">
        <v>1.004089</v>
      </c>
      <c r="V265">
        <v>-1.3027970000000001E-3</v>
      </c>
      <c r="W265">
        <v>-1.8533939999999999E-2</v>
      </c>
      <c r="X265">
        <v>0.99982740000000003</v>
      </c>
      <c r="Y265">
        <v>-0.32477040000000001</v>
      </c>
      <c r="Z265">
        <v>2.4153529999999999E-2</v>
      </c>
      <c r="AA265">
        <v>0.94548449999999995</v>
      </c>
      <c r="AB265">
        <v>32</v>
      </c>
      <c r="AC265">
        <v>7.3865999999999801</v>
      </c>
      <c r="AD265">
        <v>-1.1090309999999901</v>
      </c>
      <c r="AE265">
        <v>2.5851000000000099</v>
      </c>
      <c r="AF265">
        <v>-2.61266315038973</v>
      </c>
      <c r="AG265">
        <v>-1.1090309999999901</v>
      </c>
      <c r="AH265">
        <v>7.2132419513864496</v>
      </c>
      <c r="AI265">
        <v>98.225638100482698</v>
      </c>
      <c r="AJ265">
        <v>109.910575835092</v>
      </c>
      <c r="AK265">
        <v>7.7515687409457197</v>
      </c>
      <c r="AL265">
        <v>91.061977327039898</v>
      </c>
      <c r="AM265">
        <v>90.074657613320795</v>
      </c>
      <c r="AN265">
        <v>1.0000000170013501</v>
      </c>
    </row>
    <row r="266" spans="1:40" x14ac:dyDescent="0.25">
      <c r="A266" t="str">
        <f>"20190312151506829"</f>
        <v>20190312151506829</v>
      </c>
      <c r="B266" t="str">
        <f>"1552374906818558"</f>
        <v>1552374906818558</v>
      </c>
      <c r="C266" t="s">
        <v>40</v>
      </c>
      <c r="D266">
        <v>3.880452</v>
      </c>
      <c r="E266">
        <v>0.36344569999999998</v>
      </c>
      <c r="F266" t="s">
        <v>42</v>
      </c>
      <c r="G266">
        <v>-417.41109999999998</v>
      </c>
      <c r="H266">
        <v>-0.05</v>
      </c>
      <c r="I266">
        <v>371.25540000000001</v>
      </c>
      <c r="J266">
        <v>-424.52929999999998</v>
      </c>
      <c r="K266">
        <v>1.0590349999999999</v>
      </c>
      <c r="L266">
        <v>368.68520000000001</v>
      </c>
      <c r="M266">
        <v>0.99987729999999997</v>
      </c>
      <c r="N266">
        <v>0</v>
      </c>
      <c r="O266">
        <v>-1.1170609999999999E-2</v>
      </c>
      <c r="P266">
        <v>0.99951749999999995</v>
      </c>
      <c r="Q266">
        <v>-2.941701E-2</v>
      </c>
      <c r="R266">
        <v>-1.0011529999999999E-2</v>
      </c>
      <c r="S266">
        <v>2.99823</v>
      </c>
      <c r="T266">
        <v>-0.44705319999999998</v>
      </c>
      <c r="U266">
        <v>1.0345150000000001</v>
      </c>
      <c r="V266">
        <v>-1.169308E-3</v>
      </c>
      <c r="W266">
        <v>-1.841843E-2</v>
      </c>
      <c r="X266">
        <v>0.99982969999999904</v>
      </c>
      <c r="Y266">
        <v>-0.33330349999999997</v>
      </c>
      <c r="Z266">
        <v>2.5639459999999999E-2</v>
      </c>
      <c r="AA266">
        <v>0.9424709</v>
      </c>
      <c r="AB266">
        <v>32</v>
      </c>
      <c r="AC266">
        <v>7.1181999999999999</v>
      </c>
      <c r="AD266">
        <v>-1.109035</v>
      </c>
      <c r="AE266">
        <v>2.5701999999999998</v>
      </c>
      <c r="AF266">
        <v>-2.5938566803671002</v>
      </c>
      <c r="AG266">
        <v>-1.109035</v>
      </c>
      <c r="AH266">
        <v>6.9400085839536301</v>
      </c>
      <c r="AI266">
        <v>98.513368509804195</v>
      </c>
      <c r="AJ266">
        <v>110.493435785394</v>
      </c>
      <c r="AK266">
        <v>7.4914464728021697</v>
      </c>
      <c r="AL266">
        <v>91.055357961290895</v>
      </c>
      <c r="AM266">
        <v>90.067007794233504</v>
      </c>
      <c r="AN266">
        <v>1.00000001742347</v>
      </c>
    </row>
    <row r="267" spans="1:40" x14ac:dyDescent="0.25">
      <c r="A267" t="str">
        <f>"20190312151506852"</f>
        <v>20190312151506852</v>
      </c>
      <c r="B267" t="str">
        <f>"1552374906847831"</f>
        <v>1552374906847831</v>
      </c>
      <c r="C267" t="s">
        <v>40</v>
      </c>
      <c r="D267">
        <v>3.8600699999999999</v>
      </c>
      <c r="E267">
        <v>0.36144280000000001</v>
      </c>
      <c r="F267" t="s">
        <v>42</v>
      </c>
      <c r="G267">
        <v>-417.38290000000001</v>
      </c>
      <c r="H267">
        <v>-0.05</v>
      </c>
      <c r="I267">
        <v>371.21359999999999</v>
      </c>
      <c r="J267">
        <v>-424.19060000000002</v>
      </c>
      <c r="K267">
        <v>1.0590440000000001</v>
      </c>
      <c r="L267">
        <v>368.68110000000001</v>
      </c>
      <c r="M267">
        <v>0.99987179999999998</v>
      </c>
      <c r="N267">
        <v>0</v>
      </c>
      <c r="O267">
        <v>-1.150927E-2</v>
      </c>
      <c r="P267">
        <v>0.99951690000000004</v>
      </c>
      <c r="Q267">
        <v>-2.9344990000000001E-2</v>
      </c>
      <c r="R267">
        <v>-1.022353E-2</v>
      </c>
      <c r="S267">
        <v>2.9984130000000002</v>
      </c>
      <c r="T267">
        <v>-0.4653177</v>
      </c>
      <c r="U267">
        <v>1.0608519999999999</v>
      </c>
      <c r="V267">
        <v>-1.2951760000000001E-3</v>
      </c>
      <c r="W267">
        <v>-1.821383E-2</v>
      </c>
      <c r="X267">
        <v>0.99983330000000004</v>
      </c>
      <c r="Y267">
        <v>-0.34062019999999998</v>
      </c>
      <c r="Z267">
        <v>2.7236150000000001E-2</v>
      </c>
      <c r="AA267">
        <v>0.93980640000000004</v>
      </c>
      <c r="AB267">
        <v>32</v>
      </c>
      <c r="AC267">
        <v>6.8077000000000103</v>
      </c>
      <c r="AD267">
        <v>-1.1090439999999999</v>
      </c>
      <c r="AE267">
        <v>2.53249999999997</v>
      </c>
      <c r="AF267">
        <v>-2.5512112298894598</v>
      </c>
      <c r="AG267">
        <v>-1.1090439999999999</v>
      </c>
      <c r="AH267">
        <v>6.6236792252430101</v>
      </c>
      <c r="AI267">
        <v>98.880495924357902</v>
      </c>
      <c r="AJ267">
        <v>111.064952259761</v>
      </c>
      <c r="AK267">
        <v>7.1841341727702996</v>
      </c>
      <c r="AL267">
        <v>91.043633270799504</v>
      </c>
      <c r="AM267">
        <v>90.074220449567505</v>
      </c>
      <c r="AN267">
        <v>1.0000000244365099</v>
      </c>
    </row>
    <row r="268" spans="1:40" x14ac:dyDescent="0.25">
      <c r="A268" t="str">
        <f>"20190312151506876"</f>
        <v>20190312151506876</v>
      </c>
      <c r="B268" t="str">
        <f>"1552374906868327"</f>
        <v>1552374906868327</v>
      </c>
      <c r="C268" t="s">
        <v>40</v>
      </c>
      <c r="D268">
        <v>3.6622270000000001</v>
      </c>
      <c r="E268">
        <v>0.3604694</v>
      </c>
      <c r="F268" t="s">
        <v>42</v>
      </c>
      <c r="G268">
        <v>-417.1662</v>
      </c>
      <c r="H268">
        <v>-0.05</v>
      </c>
      <c r="I268">
        <v>371.2022</v>
      </c>
      <c r="J268">
        <v>-423.86709999999999</v>
      </c>
      <c r="K268">
        <v>1.059051</v>
      </c>
      <c r="L268">
        <v>368.67689999999999</v>
      </c>
      <c r="M268">
        <v>0.99986679999999994</v>
      </c>
      <c r="N268">
        <v>0</v>
      </c>
      <c r="O268">
        <v>-1.1836259999999999E-2</v>
      </c>
      <c r="P268">
        <v>0.99951710000000005</v>
      </c>
      <c r="Q268">
        <v>-2.9343169999999998E-2</v>
      </c>
      <c r="R268">
        <v>-1.024312E-2</v>
      </c>
      <c r="S268">
        <v>2.998596</v>
      </c>
      <c r="T268">
        <v>-0.4734352</v>
      </c>
      <c r="U268">
        <v>1.076233</v>
      </c>
      <c r="V268">
        <v>-1.602689E-3</v>
      </c>
      <c r="W268">
        <v>-1.8098920000000001E-2</v>
      </c>
      <c r="X268">
        <v>0.99983489999999997</v>
      </c>
      <c r="Y268">
        <v>-0.34500769999999997</v>
      </c>
      <c r="Z268">
        <v>2.8065509999999998E-2</v>
      </c>
      <c r="AA268">
        <v>0.93818009999999996</v>
      </c>
      <c r="AB268">
        <v>32</v>
      </c>
      <c r="AC268">
        <v>6.7008999999999901</v>
      </c>
      <c r="AD268">
        <v>-1.109051</v>
      </c>
      <c r="AE268">
        <v>2.5253000000000099</v>
      </c>
      <c r="AF268">
        <v>-2.5434343098344798</v>
      </c>
      <c r="AG268">
        <v>-1.109051</v>
      </c>
      <c r="AH268">
        <v>6.51428546622612</v>
      </c>
      <c r="AI268">
        <v>99.011472909191895</v>
      </c>
      <c r="AJ268">
        <v>111.32763701976999</v>
      </c>
      <c r="AK268">
        <v>7.0806050126051403</v>
      </c>
      <c r="AL268">
        <v>91.037048370041603</v>
      </c>
      <c r="AM268">
        <v>90.091842400103502</v>
      </c>
      <c r="AN268">
        <v>0.99999998338760299</v>
      </c>
    </row>
    <row r="269" spans="1:40" x14ac:dyDescent="0.25">
      <c r="A269" t="str">
        <f>"20190312151506897"</f>
        <v>20190312151506897</v>
      </c>
      <c r="B269" t="str">
        <f>"1552374906887851"</f>
        <v>1552374906887851</v>
      </c>
      <c r="C269" t="s">
        <v>40</v>
      </c>
      <c r="D269">
        <v>3.737816</v>
      </c>
      <c r="E269">
        <v>0.35963499999999998</v>
      </c>
      <c r="F269" t="s">
        <v>42</v>
      </c>
      <c r="G269">
        <v>-416.8741</v>
      </c>
      <c r="H269">
        <v>-0.05</v>
      </c>
      <c r="I269">
        <v>371.2047</v>
      </c>
      <c r="J269">
        <v>-423.54239999999999</v>
      </c>
      <c r="K269">
        <v>1.0590580000000001</v>
      </c>
      <c r="L269">
        <v>368.67270000000002</v>
      </c>
      <c r="M269">
        <v>0.99986169999999996</v>
      </c>
      <c r="N269">
        <v>0</v>
      </c>
      <c r="O269">
        <v>-1.216533E-2</v>
      </c>
      <c r="P269">
        <v>0.99951599999999996</v>
      </c>
      <c r="Q269">
        <v>-2.9365410000000002E-2</v>
      </c>
      <c r="R269">
        <v>-1.029238E-2</v>
      </c>
      <c r="S269">
        <v>2.998596</v>
      </c>
      <c r="T269">
        <v>-0.47555910000000001</v>
      </c>
      <c r="U269">
        <v>1.083893</v>
      </c>
      <c r="V269">
        <v>-1.882072E-3</v>
      </c>
      <c r="W269">
        <v>-1.8019500000000001E-2</v>
      </c>
      <c r="X269">
        <v>0.99983580000000005</v>
      </c>
      <c r="Y269">
        <v>-0.347375299999999</v>
      </c>
      <c r="Z269">
        <v>2.840968E-2</v>
      </c>
      <c r="AA269">
        <v>0.93729569999999995</v>
      </c>
      <c r="AB269">
        <v>32</v>
      </c>
      <c r="AC269">
        <v>6.6682999999999799</v>
      </c>
      <c r="AD269">
        <v>-1.1090580000000001</v>
      </c>
      <c r="AE269">
        <v>2.53199999999998</v>
      </c>
      <c r="AF269">
        <v>-2.5512605538411202</v>
      </c>
      <c r="AG269">
        <v>-1.1090580000000001</v>
      </c>
      <c r="AH269">
        <v>6.4803331858581803</v>
      </c>
      <c r="AI269">
        <v>99.048119012811597</v>
      </c>
      <c r="AJ269">
        <v>111.489202851697</v>
      </c>
      <c r="AK269">
        <v>7.0522094595016496</v>
      </c>
      <c r="AL269">
        <v>91.032497246118695</v>
      </c>
      <c r="AM269">
        <v>90.107852364332402</v>
      </c>
      <c r="AN269">
        <v>0.99999993576844903</v>
      </c>
    </row>
    <row r="270" spans="1:40" x14ac:dyDescent="0.25">
      <c r="A270" t="str">
        <f>"20190312151506920"</f>
        <v>20190312151506920</v>
      </c>
      <c r="B270" t="str">
        <f>"1552374906908342"</f>
        <v>1552374906908342</v>
      </c>
      <c r="C270" t="s">
        <v>40</v>
      </c>
      <c r="D270">
        <v>3.7175370000000001</v>
      </c>
      <c r="E270">
        <v>0.29696640000000002</v>
      </c>
      <c r="F270" t="s">
        <v>42</v>
      </c>
      <c r="G270">
        <v>-416.5471</v>
      </c>
      <c r="H270">
        <v>-0.05</v>
      </c>
      <c r="I270">
        <v>371.21559999999999</v>
      </c>
      <c r="J270">
        <v>-423.21570000000003</v>
      </c>
      <c r="K270">
        <v>1.0590660000000001</v>
      </c>
      <c r="L270">
        <v>368.66840000000002</v>
      </c>
      <c r="M270">
        <v>0.99985670000000004</v>
      </c>
      <c r="N270">
        <v>0</v>
      </c>
      <c r="O270">
        <v>-1.2494359999999999E-2</v>
      </c>
      <c r="P270">
        <v>0.99951259999999997</v>
      </c>
      <c r="Q270">
        <v>-2.931858E-2</v>
      </c>
      <c r="R270">
        <v>-1.0726339999999999E-2</v>
      </c>
      <c r="S270">
        <v>2.9987180000000002</v>
      </c>
      <c r="T270">
        <v>-0.47542640000000003</v>
      </c>
      <c r="U270">
        <v>1.0900879999999999</v>
      </c>
      <c r="V270">
        <v>-1.776712E-3</v>
      </c>
      <c r="W270">
        <v>-1.7882060000000002E-2</v>
      </c>
      <c r="X270">
        <v>0.99983849999999996</v>
      </c>
      <c r="Y270">
        <v>-0.3493619</v>
      </c>
      <c r="Z270">
        <v>2.859329E-2</v>
      </c>
      <c r="AA270">
        <v>0.93655149999999998</v>
      </c>
      <c r="AB270">
        <v>32</v>
      </c>
      <c r="AC270">
        <v>6.6686000000000201</v>
      </c>
      <c r="AD270">
        <v>-1.1090659999999899</v>
      </c>
      <c r="AE270">
        <v>2.5471999999999699</v>
      </c>
      <c r="AF270">
        <v>-2.5683324534721002</v>
      </c>
      <c r="AG270">
        <v>-1.1090659999999899</v>
      </c>
      <c r="AH270">
        <v>6.4798422426644704</v>
      </c>
      <c r="AI270">
        <v>99.040758675444707</v>
      </c>
      <c r="AJ270">
        <v>111.621257765035</v>
      </c>
      <c r="AK270">
        <v>7.0579539863711798</v>
      </c>
      <c r="AL270">
        <v>91.024621203982903</v>
      </c>
      <c r="AM270">
        <v>90.101814434891494</v>
      </c>
      <c r="AN270">
        <v>0.99999997542881103</v>
      </c>
    </row>
    <row r="271" spans="1:40" x14ac:dyDescent="0.25">
      <c r="A271" t="str">
        <f>"20190312151506942"</f>
        <v>20190312151506942</v>
      </c>
      <c r="B271" t="str">
        <f>"1552374906938599"</f>
        <v>1552374906938599</v>
      </c>
      <c r="C271" t="s">
        <v>40</v>
      </c>
      <c r="D271">
        <v>3.533738</v>
      </c>
      <c r="E271">
        <v>0.28549409999999997</v>
      </c>
      <c r="F271" t="s">
        <v>42</v>
      </c>
      <c r="G271">
        <v>-418.74439999999998</v>
      </c>
      <c r="H271">
        <v>-0.05</v>
      </c>
      <c r="I271">
        <v>371.04109999999997</v>
      </c>
      <c r="J271">
        <v>-422.892</v>
      </c>
      <c r="K271">
        <v>1.0590619999999999</v>
      </c>
      <c r="L271">
        <v>368.66390000000001</v>
      </c>
      <c r="M271">
        <v>0.99985159999999995</v>
      </c>
      <c r="N271">
        <v>0</v>
      </c>
      <c r="O271">
        <v>-1.2818939999999999E-2</v>
      </c>
      <c r="P271">
        <v>0.99949679999999996</v>
      </c>
      <c r="Q271">
        <v>-2.9771679999999998E-2</v>
      </c>
      <c r="R271">
        <v>-1.096459E-2</v>
      </c>
      <c r="S271">
        <v>2.9967649999999999</v>
      </c>
      <c r="T271">
        <v>-0.74331190000000003</v>
      </c>
      <c r="U271">
        <v>1.5902099999999999</v>
      </c>
      <c r="V271">
        <v>-1.8629930000000001E-3</v>
      </c>
      <c r="W271">
        <v>-1.8255859999999999E-2</v>
      </c>
      <c r="X271">
        <v>0.99983160000000004</v>
      </c>
      <c r="Y271">
        <v>-0.46858300000000003</v>
      </c>
      <c r="Z271">
        <v>5.6783340000000002E-2</v>
      </c>
      <c r="AA271">
        <v>0.88159270000000001</v>
      </c>
      <c r="AB271">
        <v>32</v>
      </c>
      <c r="AC271">
        <v>4.1476000000000104</v>
      </c>
      <c r="AD271">
        <v>-1.109062</v>
      </c>
      <c r="AE271">
        <v>2.3771999999999598</v>
      </c>
      <c r="AF271">
        <v>-2.3060603816781402</v>
      </c>
      <c r="AG271">
        <v>-1.109062</v>
      </c>
      <c r="AH271">
        <v>3.9065287319541802</v>
      </c>
      <c r="AI271">
        <v>103.738239551972</v>
      </c>
      <c r="AJ271">
        <v>120.553750199177</v>
      </c>
      <c r="AK271">
        <v>4.66999997188148</v>
      </c>
      <c r="AL271">
        <v>91.046041851185095</v>
      </c>
      <c r="AM271">
        <v>90.106759490928397</v>
      </c>
      <c r="AN271">
        <v>0.99999998776290799</v>
      </c>
    </row>
    <row r="272" spans="1:40" x14ac:dyDescent="0.25">
      <c r="A272" t="str">
        <f>"20190312151506964"</f>
        <v>20190312151506964</v>
      </c>
      <c r="B272" t="str">
        <f>"1552374906958119"</f>
        <v>1552374906958119</v>
      </c>
      <c r="C272" t="s">
        <v>40</v>
      </c>
      <c r="D272">
        <v>3.7393830000000001</v>
      </c>
      <c r="E272">
        <v>0.2832364</v>
      </c>
      <c r="F272" t="s">
        <v>42</v>
      </c>
      <c r="G272">
        <v>-417.99520000000001</v>
      </c>
      <c r="H272">
        <v>-0.05</v>
      </c>
      <c r="I272">
        <v>371.40730000000002</v>
      </c>
      <c r="J272">
        <v>-422.56479999999999</v>
      </c>
      <c r="K272">
        <v>1.0590619999999999</v>
      </c>
      <c r="L272">
        <v>368.65940000000001</v>
      </c>
      <c r="M272">
        <v>0.99984660000000003</v>
      </c>
      <c r="N272">
        <v>0</v>
      </c>
      <c r="O272">
        <v>-1.3145489999999999E-2</v>
      </c>
      <c r="P272">
        <v>0.99949650000000001</v>
      </c>
      <c r="Q272">
        <v>-2.9661070000000001E-2</v>
      </c>
      <c r="R272">
        <v>-1.128698E-2</v>
      </c>
      <c r="S272">
        <v>2.9997250000000002</v>
      </c>
      <c r="T272">
        <v>-0.67939469999999902</v>
      </c>
      <c r="U272">
        <v>1.6805730000000001</v>
      </c>
      <c r="V272">
        <v>-1.86729E-3</v>
      </c>
      <c r="W272">
        <v>-1.807462E-2</v>
      </c>
      <c r="X272">
        <v>0.99983489999999997</v>
      </c>
      <c r="Y272">
        <v>-0.49043680000000001</v>
      </c>
      <c r="Z272">
        <v>5.3973699999999999E-2</v>
      </c>
      <c r="AA272">
        <v>0.86980380000000002</v>
      </c>
      <c r="AB272">
        <v>32</v>
      </c>
      <c r="AC272">
        <v>4.5695999999999799</v>
      </c>
      <c r="AD272">
        <v>-1.109062</v>
      </c>
      <c r="AE272">
        <v>2.7479000000000098</v>
      </c>
      <c r="AF272">
        <v>-2.6913063384950999</v>
      </c>
      <c r="AG272">
        <v>-1.109062</v>
      </c>
      <c r="AH272">
        <v>4.3451046113202496</v>
      </c>
      <c r="AI272">
        <v>102.242927149396</v>
      </c>
      <c r="AJ272">
        <v>121.773583721162</v>
      </c>
      <c r="AK272">
        <v>5.2300174388604503</v>
      </c>
      <c r="AL272">
        <v>91.035655834518494</v>
      </c>
      <c r="AM272">
        <v>90.107005378326704</v>
      </c>
      <c r="AN272">
        <v>1.0000000029590399</v>
      </c>
    </row>
    <row r="273" spans="1:40" x14ac:dyDescent="0.25">
      <c r="A273" t="str">
        <f>"20190312151506987"</f>
        <v>20190312151506987</v>
      </c>
      <c r="B273" t="str">
        <f>"1552374906978615"</f>
        <v>1552374906978615</v>
      </c>
      <c r="C273" t="s">
        <v>40</v>
      </c>
      <c r="D273">
        <v>3.5102929999999999</v>
      </c>
      <c r="E273">
        <v>0.28231800000000001</v>
      </c>
      <c r="F273" t="s">
        <v>42</v>
      </c>
      <c r="G273">
        <v>-417.6422</v>
      </c>
      <c r="H273">
        <v>-0.05</v>
      </c>
      <c r="I273">
        <v>371.44490000000002</v>
      </c>
      <c r="J273">
        <v>-422.24180000000001</v>
      </c>
      <c r="K273">
        <v>1.059075</v>
      </c>
      <c r="L273">
        <v>368.65480000000002</v>
      </c>
      <c r="M273">
        <v>0.99984130000000004</v>
      </c>
      <c r="N273">
        <v>0</v>
      </c>
      <c r="O273">
        <v>-1.346573E-2</v>
      </c>
      <c r="P273">
        <v>0.99950240000000001</v>
      </c>
      <c r="Q273">
        <v>-2.9390969999999999E-2</v>
      </c>
      <c r="R273">
        <v>-1.144652E-2</v>
      </c>
      <c r="S273">
        <v>3.0005489999999999</v>
      </c>
      <c r="T273">
        <v>-0.676019699999999</v>
      </c>
      <c r="U273">
        <v>1.6978759999999999</v>
      </c>
      <c r="V273">
        <v>-2.0274939999999999E-3</v>
      </c>
      <c r="W273">
        <v>-1.7731230000000001E-2</v>
      </c>
      <c r="X273">
        <v>0.99984070000000003</v>
      </c>
      <c r="Y273">
        <v>-0.49446250000000003</v>
      </c>
      <c r="Z273">
        <v>5.411407E-2</v>
      </c>
      <c r="AA273">
        <v>0.86751279999999997</v>
      </c>
      <c r="AB273">
        <v>32</v>
      </c>
      <c r="AC273">
        <v>4.5995999999999997</v>
      </c>
      <c r="AD273">
        <v>-1.109075</v>
      </c>
      <c r="AE273">
        <v>2.79009999999999</v>
      </c>
      <c r="AF273">
        <v>-2.7355231732493301</v>
      </c>
      <c r="AG273">
        <v>-1.109075</v>
      </c>
      <c r="AH273">
        <v>4.3756366310087698</v>
      </c>
      <c r="AI273">
        <v>102.129616788118</v>
      </c>
      <c r="AJ273">
        <v>122.0124473692</v>
      </c>
      <c r="AK273">
        <v>5.2781938495696501</v>
      </c>
      <c r="AL273">
        <v>91.015977920199205</v>
      </c>
      <c r="AM273">
        <v>90.116185198262897</v>
      </c>
      <c r="AN273">
        <v>0.99999996631286003</v>
      </c>
    </row>
    <row r="274" spans="1:40" x14ac:dyDescent="0.25">
      <c r="A274" t="str">
        <f>"20190312151507008"</f>
        <v>20190312151507008</v>
      </c>
      <c r="B274" t="str">
        <f>"1552374906998134"</f>
        <v>1552374906998134</v>
      </c>
      <c r="C274" t="s">
        <v>40</v>
      </c>
      <c r="D274">
        <v>3.504572</v>
      </c>
      <c r="E274">
        <v>0.28174460000000001</v>
      </c>
      <c r="F274" t="s">
        <v>42</v>
      </c>
      <c r="G274">
        <v>-417.31299999999999</v>
      </c>
      <c r="H274">
        <v>-0.05</v>
      </c>
      <c r="I274">
        <v>371.45389999999998</v>
      </c>
      <c r="J274">
        <v>-421.93040000000002</v>
      </c>
      <c r="K274">
        <v>1.0588959999999901</v>
      </c>
      <c r="L274">
        <v>368.65019999999998</v>
      </c>
      <c r="M274">
        <v>0.99984479999999998</v>
      </c>
      <c r="N274">
        <v>0</v>
      </c>
      <c r="O274">
        <v>-1.3766219999999999E-2</v>
      </c>
      <c r="P274">
        <v>0.99952540000000001</v>
      </c>
      <c r="Q274">
        <v>-2.8483600000000001E-2</v>
      </c>
      <c r="R274">
        <v>-1.174559E-2</v>
      </c>
      <c r="S274">
        <v>3.0011290000000002</v>
      </c>
      <c r="T274">
        <v>-0.67531919999999901</v>
      </c>
      <c r="U274">
        <v>1.704437</v>
      </c>
      <c r="V274">
        <v>-2.02798E-3</v>
      </c>
      <c r="W274">
        <v>-1.7484619999999999E-2</v>
      </c>
      <c r="X274">
        <v>0.99984510000000004</v>
      </c>
      <c r="Y274">
        <v>-0.49608219999999997</v>
      </c>
      <c r="Z274">
        <v>5.4254030000000002E-2</v>
      </c>
      <c r="AA274">
        <v>0.86657890000000004</v>
      </c>
      <c r="AB274">
        <v>32</v>
      </c>
      <c r="AC274">
        <v>4.6173999999999698</v>
      </c>
      <c r="AD274">
        <v>-1.1088960000000001</v>
      </c>
      <c r="AE274">
        <v>2.8036999999999899</v>
      </c>
      <c r="AF274">
        <v>-2.7510758912428601</v>
      </c>
      <c r="AG274">
        <v>-1.1088960000000001</v>
      </c>
      <c r="AH274">
        <v>4.3932389438835804</v>
      </c>
      <c r="AI274">
        <v>102.07509788362201</v>
      </c>
      <c r="AJ274">
        <v>122.055076201104</v>
      </c>
      <c r="AK274">
        <v>5.3008128920241102</v>
      </c>
      <c r="AL274">
        <v>91.001845958494002</v>
      </c>
      <c r="AM274">
        <v>90.116212536918496</v>
      </c>
      <c r="AN274">
        <v>1.00000002431671</v>
      </c>
    </row>
    <row r="275" spans="1:40" x14ac:dyDescent="0.25">
      <c r="A275" t="str">
        <f>"20190312151507031"</f>
        <v>20190312151507031</v>
      </c>
      <c r="B275" t="str">
        <f>"1552374907028391"</f>
        <v>1552374907028391</v>
      </c>
      <c r="C275" t="s">
        <v>40</v>
      </c>
      <c r="D275">
        <v>3.7267939999999999</v>
      </c>
      <c r="E275">
        <v>0.28181250000000002</v>
      </c>
      <c r="F275" t="s">
        <v>42</v>
      </c>
      <c r="G275">
        <v>-417.10649999999998</v>
      </c>
      <c r="H275">
        <v>-0.05</v>
      </c>
      <c r="I275">
        <v>371.39440000000002</v>
      </c>
      <c r="J275">
        <v>-421.6</v>
      </c>
      <c r="K275">
        <v>1.0586</v>
      </c>
      <c r="L275">
        <v>368.6454</v>
      </c>
      <c r="M275">
        <v>0.99985310000000005</v>
      </c>
      <c r="N275">
        <v>0</v>
      </c>
      <c r="O275">
        <v>-1.407576E-2</v>
      </c>
      <c r="P275">
        <v>0.99956509999999998</v>
      </c>
      <c r="Q275">
        <v>-2.6797459999999999E-2</v>
      </c>
      <c r="R275">
        <v>-1.230261E-2</v>
      </c>
      <c r="S275">
        <v>3.0018310000000001</v>
      </c>
      <c r="T275">
        <v>-0.6900558</v>
      </c>
      <c r="U275">
        <v>1.7076720000000001</v>
      </c>
      <c r="V275">
        <v>-1.780076E-3</v>
      </c>
      <c r="W275">
        <v>-1.702205E-2</v>
      </c>
      <c r="X275">
        <v>0.99985360000000001</v>
      </c>
      <c r="Y275">
        <v>-0.4965388</v>
      </c>
      <c r="Z275">
        <v>5.5503160000000003E-2</v>
      </c>
      <c r="AA275">
        <v>0.86623819999999996</v>
      </c>
      <c r="AB275">
        <v>32</v>
      </c>
      <c r="AC275">
        <v>4.49350000000004</v>
      </c>
      <c r="AD275">
        <v>-1.1086</v>
      </c>
      <c r="AE275">
        <v>2.7490000000000201</v>
      </c>
      <c r="AF275">
        <v>-2.69271851894282</v>
      </c>
      <c r="AG275">
        <v>-1.1086</v>
      </c>
      <c r="AH275">
        <v>4.2654406254889503</v>
      </c>
      <c r="AI275">
        <v>102.395060007097</v>
      </c>
      <c r="AJ275">
        <v>122.263697679111</v>
      </c>
      <c r="AK275">
        <v>5.1646597866489898</v>
      </c>
      <c r="AL275">
        <v>90.975338659869394</v>
      </c>
      <c r="AM275">
        <v>90.102005667885805</v>
      </c>
      <c r="AN275">
        <v>1.0000000701448599</v>
      </c>
    </row>
    <row r="276" spans="1:40" x14ac:dyDescent="0.25">
      <c r="A276" t="str">
        <f>"20190312151507053"</f>
        <v>20190312151507053</v>
      </c>
      <c r="B276" t="str">
        <f>"1552374907047911"</f>
        <v>1552374907047911</v>
      </c>
      <c r="C276" t="s">
        <v>40</v>
      </c>
      <c r="D276">
        <v>3.4972940000000001</v>
      </c>
      <c r="E276">
        <v>0.369309</v>
      </c>
      <c r="F276" t="s">
        <v>42</v>
      </c>
      <c r="G276">
        <v>-416.55340000000001</v>
      </c>
      <c r="H276">
        <v>-0.05</v>
      </c>
      <c r="I276">
        <v>371.51100000000002</v>
      </c>
      <c r="J276">
        <v>-421.27010000000001</v>
      </c>
      <c r="K276">
        <v>1.0583499999999999</v>
      </c>
      <c r="L276">
        <v>368.6404</v>
      </c>
      <c r="M276">
        <v>0.99986070000000005</v>
      </c>
      <c r="N276">
        <v>0</v>
      </c>
      <c r="O276">
        <v>-1.437886E-2</v>
      </c>
      <c r="P276">
        <v>0.99958670000000005</v>
      </c>
      <c r="Q276">
        <v>-2.5617150000000002E-2</v>
      </c>
      <c r="R276">
        <v>-1.306123E-2</v>
      </c>
      <c r="S276">
        <v>3.0046080000000002</v>
      </c>
      <c r="T276">
        <v>-0.66003080000000003</v>
      </c>
      <c r="U276">
        <v>1.7061459999999999</v>
      </c>
      <c r="V276">
        <v>-1.323807E-3</v>
      </c>
      <c r="W276">
        <v>-1.7131790000000001E-2</v>
      </c>
      <c r="X276">
        <v>0.99985239999999997</v>
      </c>
      <c r="Y276">
        <v>-0.49697479999999999</v>
      </c>
      <c r="Z276">
        <v>5.3204700000000001E-2</v>
      </c>
      <c r="AA276">
        <v>0.86613240000000002</v>
      </c>
      <c r="AB276">
        <v>33</v>
      </c>
      <c r="AC276">
        <v>4.7167000000000003</v>
      </c>
      <c r="AD276">
        <v>-1.1083499999999999</v>
      </c>
      <c r="AE276">
        <v>2.8705999999999601</v>
      </c>
      <c r="AF276">
        <v>-2.8243256132388801</v>
      </c>
      <c r="AG276">
        <v>-1.1083499999999999</v>
      </c>
      <c r="AH276">
        <v>4.4938632745453297</v>
      </c>
      <c r="AI276">
        <v>101.79498149218099</v>
      </c>
      <c r="AJ276">
        <v>122.14874501906</v>
      </c>
      <c r="AK276">
        <v>5.4221824040145004</v>
      </c>
      <c r="AL276">
        <v>90.981627248565502</v>
      </c>
      <c r="AM276">
        <v>90.075859706562198</v>
      </c>
      <c r="AN276">
        <v>1.0000000362396599</v>
      </c>
    </row>
    <row r="277" spans="1:40" x14ac:dyDescent="0.25">
      <c r="A277" t="str">
        <f>"20190312151507077"</f>
        <v>20190312151507077</v>
      </c>
      <c r="B277" t="str">
        <f>"1552374907068406"</f>
        <v>1552374907068406</v>
      </c>
      <c r="C277" t="s">
        <v>40</v>
      </c>
      <c r="D277">
        <v>4.0921079999999996</v>
      </c>
      <c r="E277">
        <v>0.44041730000000001</v>
      </c>
      <c r="F277" t="s">
        <v>42</v>
      </c>
      <c r="G277">
        <v>-403.99919999999997</v>
      </c>
      <c r="H277">
        <v>-0.05</v>
      </c>
      <c r="I277">
        <v>374.40069999999997</v>
      </c>
      <c r="J277">
        <v>-420.9153</v>
      </c>
      <c r="K277">
        <v>1.058127</v>
      </c>
      <c r="L277">
        <v>368.63510000000002</v>
      </c>
      <c r="M277">
        <v>0.99986679999999994</v>
      </c>
      <c r="N277">
        <v>0</v>
      </c>
      <c r="O277">
        <v>-1.468699E-2</v>
      </c>
      <c r="P277">
        <v>0.9996102</v>
      </c>
      <c r="Q277">
        <v>-2.4433E-2</v>
      </c>
      <c r="R277">
        <v>-1.3508859999999999E-2</v>
      </c>
      <c r="S277">
        <v>3.009369</v>
      </c>
      <c r="T277">
        <v>-0.19312380000000001</v>
      </c>
      <c r="U277">
        <v>1.0036929999999999</v>
      </c>
      <c r="V277">
        <v>-1.1841110000000001E-3</v>
      </c>
      <c r="W277">
        <v>-1.729292E-2</v>
      </c>
      <c r="X277">
        <v>0.99984969999999995</v>
      </c>
      <c r="Y277">
        <v>-0.3296499</v>
      </c>
      <c r="Z277">
        <v>1.1206239999999999E-2</v>
      </c>
      <c r="AA277">
        <v>0.94403680000000001</v>
      </c>
      <c r="AB277">
        <v>33</v>
      </c>
      <c r="AC277">
        <v>16.9161</v>
      </c>
      <c r="AD277">
        <v>-1.1081270000000001</v>
      </c>
      <c r="AE277">
        <v>5.7655999999999397</v>
      </c>
      <c r="AF277">
        <v>-5.9904004109649698</v>
      </c>
      <c r="AG277">
        <v>-1.1081270000000001</v>
      </c>
      <c r="AH277">
        <v>16.7651389835518</v>
      </c>
      <c r="AI277">
        <v>93.5616694123526</v>
      </c>
      <c r="AJ277">
        <v>109.662464155984</v>
      </c>
      <c r="AK277">
        <v>17.837677193783598</v>
      </c>
      <c r="AL277">
        <v>90.990860785495897</v>
      </c>
      <c r="AM277">
        <v>90.067854729622596</v>
      </c>
      <c r="AN277">
        <v>0.99999993489553596</v>
      </c>
    </row>
    <row r="278" spans="1:40" x14ac:dyDescent="0.25">
      <c r="A278" t="str">
        <f>"20190312151507098"</f>
        <v>20190312151507098</v>
      </c>
      <c r="B278" t="str">
        <f>"1552374907087927"</f>
        <v>1552374907087927</v>
      </c>
      <c r="C278" t="s">
        <v>40</v>
      </c>
      <c r="D278">
        <v>3.8795039999999998</v>
      </c>
      <c r="E278">
        <v>0.4638312</v>
      </c>
      <c r="F278" t="s">
        <v>47</v>
      </c>
      <c r="G278">
        <v>-260.75040000000001</v>
      </c>
      <c r="H278">
        <v>1.745649</v>
      </c>
      <c r="I278">
        <v>391.75</v>
      </c>
      <c r="J278">
        <v>-420.58499999999998</v>
      </c>
      <c r="K278">
        <v>1.0579499999999999</v>
      </c>
      <c r="L278">
        <v>368.63</v>
      </c>
      <c r="M278">
        <v>0.9998707</v>
      </c>
      <c r="N278">
        <v>0</v>
      </c>
      <c r="O278">
        <v>-1.4951799999999999E-2</v>
      </c>
      <c r="P278">
        <v>0.99963060000000004</v>
      </c>
      <c r="Q278">
        <v>-2.317609E-2</v>
      </c>
      <c r="R278">
        <v>-1.4201480000000001E-2</v>
      </c>
      <c r="S278">
        <v>3.007355</v>
      </c>
      <c r="T278">
        <v>1.290989E-2</v>
      </c>
      <c r="U278">
        <v>0.43402099999999999</v>
      </c>
      <c r="V278">
        <v>-7.5597649999999995E-4</v>
      </c>
      <c r="W278">
        <v>-1.72339E-2</v>
      </c>
      <c r="X278">
        <v>0.99985119999999905</v>
      </c>
      <c r="Y278">
        <v>-0.15762119999999999</v>
      </c>
      <c r="Z278">
        <v>-4.0044089999999999E-4</v>
      </c>
      <c r="AA278">
        <v>0.98749960000000003</v>
      </c>
      <c r="AB278">
        <v>34</v>
      </c>
      <c r="AC278">
        <v>159.834599999999</v>
      </c>
      <c r="AD278">
        <v>0.68769899999999995</v>
      </c>
      <c r="AE278">
        <v>23.12</v>
      </c>
      <c r="AF278">
        <v>-25.506809774457398</v>
      </c>
      <c r="AG278">
        <v>0.68769899999999995</v>
      </c>
      <c r="AH278">
        <v>159.468149102528</v>
      </c>
      <c r="AI278">
        <v>89.756017386577398</v>
      </c>
      <c r="AJ278">
        <v>99.087441342142696</v>
      </c>
      <c r="AK278">
        <v>161.496627992572</v>
      </c>
      <c r="AL278">
        <v>90.987478619589595</v>
      </c>
      <c r="AM278">
        <v>90.043320700727506</v>
      </c>
      <c r="AN278">
        <v>1.00000000047555</v>
      </c>
    </row>
    <row r="279" spans="1:40" x14ac:dyDescent="0.25">
      <c r="A279" t="str">
        <f>"20190312151507120"</f>
        <v>20190312151507120</v>
      </c>
      <c r="B279" t="str">
        <f>"1552374907108423"</f>
        <v>1552374907108423</v>
      </c>
      <c r="C279" t="s">
        <v>40</v>
      </c>
      <c r="D279">
        <v>3.9122750000000002</v>
      </c>
      <c r="E279">
        <v>0.48018260000000001</v>
      </c>
      <c r="F279" t="s">
        <v>46</v>
      </c>
      <c r="G279">
        <v>0</v>
      </c>
      <c r="H279">
        <v>0</v>
      </c>
      <c r="I279">
        <v>0</v>
      </c>
      <c r="J279">
        <v>-420.25790000000001</v>
      </c>
      <c r="K279">
        <v>1.057817</v>
      </c>
      <c r="L279">
        <v>368.625</v>
      </c>
      <c r="M279">
        <v>0.99987289999999995</v>
      </c>
      <c r="N279">
        <v>0</v>
      </c>
      <c r="O279">
        <v>-1.518839E-2</v>
      </c>
      <c r="P279">
        <v>0.99964459999999999</v>
      </c>
      <c r="Q279">
        <v>-2.2286380000000001E-2</v>
      </c>
      <c r="R279">
        <v>-1.4644000000000001E-2</v>
      </c>
      <c r="S279">
        <v>3.004578</v>
      </c>
      <c r="T279">
        <v>-1.4321799999999999E-3</v>
      </c>
      <c r="U279">
        <v>0.2455444</v>
      </c>
      <c r="V279">
        <v>-5.5001189999999997E-4</v>
      </c>
      <c r="W279">
        <v>-1.7411940000000001E-2</v>
      </c>
      <c r="X279">
        <v>0.99984819999999996</v>
      </c>
      <c r="Y279">
        <v>-9.6580600000000003E-2</v>
      </c>
      <c r="Z279" s="1">
        <v>3.020878E-5</v>
      </c>
      <c r="AA279">
        <v>0.99532509999999996</v>
      </c>
      <c r="AB279">
        <v>34</v>
      </c>
      <c r="AC279">
        <v>3.004578</v>
      </c>
      <c r="AD279">
        <v>-1.4321799999999999E-3</v>
      </c>
      <c r="AE279">
        <v>0.2455444</v>
      </c>
      <c r="AF279">
        <v>-0.29115124860352198</v>
      </c>
      <c r="AG279">
        <v>-1.4321799999999999E-3</v>
      </c>
      <c r="AH279">
        <v>3.0005012678907899</v>
      </c>
      <c r="AI279">
        <v>90.027220204006099</v>
      </c>
      <c r="AJ279">
        <v>95.542298993947199</v>
      </c>
      <c r="AK279">
        <v>3.0145943274870599</v>
      </c>
      <c r="AL279">
        <v>90.997681140853999</v>
      </c>
      <c r="AM279">
        <v>90.031518141827107</v>
      </c>
      <c r="AN279">
        <v>0.999999950605445</v>
      </c>
    </row>
    <row r="280" spans="1:40" x14ac:dyDescent="0.25">
      <c r="A280" t="str">
        <f>"20190312151507142"</f>
        <v>20190312151507142</v>
      </c>
      <c r="B280" t="str">
        <f>"1552374907137703"</f>
        <v>1552374907137703</v>
      </c>
      <c r="C280" t="s">
        <v>40</v>
      </c>
      <c r="D280">
        <v>3.8598780000000001</v>
      </c>
      <c r="E280">
        <v>0.49012739999999999</v>
      </c>
      <c r="F280" t="s">
        <v>44</v>
      </c>
      <c r="G280">
        <v>-158.19499999999999</v>
      </c>
      <c r="H280">
        <v>0.44640639999999998</v>
      </c>
      <c r="I280">
        <v>378.536</v>
      </c>
      <c r="J280">
        <v>-419.91489999999999</v>
      </c>
      <c r="K280">
        <v>1.0577559999999999</v>
      </c>
      <c r="L280">
        <v>368.61959999999999</v>
      </c>
      <c r="M280">
        <v>0.99987329999999996</v>
      </c>
      <c r="N280">
        <v>0</v>
      </c>
      <c r="O280">
        <v>-1.540302E-2</v>
      </c>
      <c r="P280">
        <v>0.99965820000000005</v>
      </c>
      <c r="Q280">
        <v>-2.1512509999999999E-2</v>
      </c>
      <c r="R280">
        <v>-1.4854060000000001E-2</v>
      </c>
      <c r="S280">
        <v>3.0025940000000002</v>
      </c>
      <c r="T280">
        <v>-7.0042610000000003E-3</v>
      </c>
      <c r="U280">
        <v>0.1135559</v>
      </c>
      <c r="V280">
        <v>-5.5477870000000004E-4</v>
      </c>
      <c r="W280">
        <v>-1.74974E-2</v>
      </c>
      <c r="X280">
        <v>0.99984680000000004</v>
      </c>
      <c r="Y280">
        <v>-5.3179740000000003E-2</v>
      </c>
      <c r="Z280" s="1">
        <v>9.7925059999999999E-5</v>
      </c>
      <c r="AA280">
        <v>0.9985849</v>
      </c>
      <c r="AB280">
        <v>34</v>
      </c>
      <c r="AC280">
        <v>261.7199</v>
      </c>
      <c r="AD280">
        <v>-0.61134959999999905</v>
      </c>
      <c r="AE280">
        <v>9.9164000000000101</v>
      </c>
      <c r="AF280">
        <v>-13.946456943605099</v>
      </c>
      <c r="AG280">
        <v>-0.61134959999999905</v>
      </c>
      <c r="AH280">
        <v>261.53468200820402</v>
      </c>
      <c r="AI280">
        <v>90.133741313069507</v>
      </c>
      <c r="AJ280">
        <v>93.052432624085299</v>
      </c>
      <c r="AK280">
        <v>261.90698215730202</v>
      </c>
      <c r="AL280">
        <v>91.002578289705895</v>
      </c>
      <c r="AM280">
        <v>90.031791345245793</v>
      </c>
      <c r="AN280">
        <v>1.0000000451282001</v>
      </c>
    </row>
    <row r="281" spans="1:40" x14ac:dyDescent="0.25">
      <c r="A281" t="str">
        <f>"20190312151507165"</f>
        <v>20190312151507165</v>
      </c>
      <c r="B281" t="str">
        <f>"1552374907158199"</f>
        <v>1552374907158199</v>
      </c>
      <c r="C281" t="s">
        <v>40</v>
      </c>
      <c r="D281">
        <v>3.8719800000000002</v>
      </c>
      <c r="E281">
        <v>0.49342750000000002</v>
      </c>
      <c r="F281" t="s">
        <v>45</v>
      </c>
      <c r="G281">
        <v>-207.06979999999999</v>
      </c>
      <c r="H281" s="1">
        <v>-5.6458759999999998E-6</v>
      </c>
      <c r="I281">
        <v>371.02629999999999</v>
      </c>
      <c r="J281">
        <v>-419.56580000000002</v>
      </c>
      <c r="K281">
        <v>1.0578019999999999</v>
      </c>
      <c r="L281">
        <v>368.61399999999998</v>
      </c>
      <c r="M281">
        <v>0.99987219999999999</v>
      </c>
      <c r="N281">
        <v>0</v>
      </c>
      <c r="O281">
        <v>-1.5583639999999999E-2</v>
      </c>
      <c r="P281">
        <v>0.99967220000000001</v>
      </c>
      <c r="Q281">
        <v>-2.083438E-2</v>
      </c>
      <c r="R281">
        <v>-1.4891450000000001E-2</v>
      </c>
      <c r="S281">
        <v>3.0012509999999999</v>
      </c>
      <c r="T281">
        <v>-1.4915110000000001E-2</v>
      </c>
      <c r="U281">
        <v>3.3935550000000002E-2</v>
      </c>
      <c r="V281">
        <v>-6.9828740000000005E-4</v>
      </c>
      <c r="W281">
        <v>-1.726047E-2</v>
      </c>
      <c r="X281">
        <v>0.99985080000000004</v>
      </c>
      <c r="Y281">
        <v>-2.6887250000000001E-2</v>
      </c>
      <c r="Z281">
        <v>1.442491E-4</v>
      </c>
      <c r="AA281">
        <v>0.99963840000000004</v>
      </c>
      <c r="AB281">
        <v>34</v>
      </c>
      <c r="AC281">
        <v>212.49600000000001</v>
      </c>
      <c r="AD281">
        <v>-1.057807645876</v>
      </c>
      <c r="AE281">
        <v>2.4122999999999601</v>
      </c>
      <c r="AF281">
        <v>-5.7233475048584896</v>
      </c>
      <c r="AG281">
        <v>-1.057807645876</v>
      </c>
      <c r="AH281">
        <v>212.42733974177801</v>
      </c>
      <c r="AI281">
        <v>90.285205414277002</v>
      </c>
      <c r="AJ281">
        <v>91.543324623765301</v>
      </c>
      <c r="AK281">
        <v>212.50705949084599</v>
      </c>
      <c r="AL281">
        <v>90.989001178732806</v>
      </c>
      <c r="AM281">
        <v>90.040014884623105</v>
      </c>
      <c r="AN281">
        <v>1.0000000168452701</v>
      </c>
    </row>
    <row r="282" spans="1:40" x14ac:dyDescent="0.25">
      <c r="A282" t="str">
        <f>"20190312151507187"</f>
        <v>20190312151507187</v>
      </c>
      <c r="B282" t="str">
        <f>"1552374907177719"</f>
        <v>1552374907177719</v>
      </c>
      <c r="C282" t="s">
        <v>40</v>
      </c>
      <c r="D282">
        <v>3.8304749999999999</v>
      </c>
      <c r="E282">
        <v>0.4955889</v>
      </c>
      <c r="F282" t="s">
        <v>45</v>
      </c>
      <c r="G282">
        <v>-193.30179999999999</v>
      </c>
      <c r="H282" s="1">
        <v>-6.5474019999999998E-6</v>
      </c>
      <c r="I282">
        <v>369.1893</v>
      </c>
      <c r="J282">
        <v>-419.21390000000002</v>
      </c>
      <c r="K282">
        <v>1.0579480000000001</v>
      </c>
      <c r="L282">
        <v>368.60829999999999</v>
      </c>
      <c r="M282">
        <v>0.99986989999999998</v>
      </c>
      <c r="N282">
        <v>0</v>
      </c>
      <c r="O282">
        <v>-1.5738700000000001E-2</v>
      </c>
      <c r="P282">
        <v>0.99966840000000001</v>
      </c>
      <c r="Q282">
        <v>-2.1040119999999999E-2</v>
      </c>
      <c r="R282">
        <v>-1.4867200000000001E-2</v>
      </c>
      <c r="S282">
        <v>3.0007929999999998</v>
      </c>
      <c r="T282">
        <v>-1.402903E-2</v>
      </c>
      <c r="U282">
        <v>7.6293949999999998E-3</v>
      </c>
      <c r="V282">
        <v>-8.7754849999999998E-4</v>
      </c>
      <c r="W282">
        <v>-1.7462209999999999E-2</v>
      </c>
      <c r="X282">
        <v>0.99984709999999999</v>
      </c>
      <c r="Y282">
        <v>-1.8280520000000001E-2</v>
      </c>
      <c r="Z282">
        <v>1.1630949999999999E-4</v>
      </c>
      <c r="AA282">
        <v>0.99983290000000002</v>
      </c>
      <c r="AB282">
        <v>35</v>
      </c>
      <c r="AC282">
        <v>225.91210000000001</v>
      </c>
      <c r="AD282">
        <v>-1.05795454740199</v>
      </c>
      <c r="AE282">
        <v>0.58100000000001695</v>
      </c>
      <c r="AF282">
        <v>-4.1364222700717299</v>
      </c>
      <c r="AG282">
        <v>-1.05795454740199</v>
      </c>
      <c r="AH282">
        <v>225.87002022446799</v>
      </c>
      <c r="AI282">
        <v>90.268321246332107</v>
      </c>
      <c r="AJ282">
        <v>91.049156717506406</v>
      </c>
      <c r="AK282">
        <v>225.910370043569</v>
      </c>
      <c r="AL282">
        <v>91.000561827280805</v>
      </c>
      <c r="AM282">
        <v>90.050287501416307</v>
      </c>
      <c r="AN282">
        <v>0.99999996112393097</v>
      </c>
    </row>
    <row r="283" spans="1:40" x14ac:dyDescent="0.25">
      <c r="A283" t="str">
        <f>"20190312151507208"</f>
        <v>20190312151507208</v>
      </c>
      <c r="B283" t="str">
        <f>"1552374907198215"</f>
        <v>1552374907198215</v>
      </c>
      <c r="C283" t="s">
        <v>40</v>
      </c>
      <c r="D283">
        <v>3.8139829999999999</v>
      </c>
      <c r="E283">
        <v>0.49719449999999998</v>
      </c>
      <c r="F283" t="s">
        <v>43</v>
      </c>
      <c r="G283">
        <v>-228.07669999999999</v>
      </c>
      <c r="H283" s="1">
        <v>-1.0952140000000001E-6</v>
      </c>
      <c r="I283">
        <v>367.99400000000003</v>
      </c>
      <c r="J283">
        <v>-418.88040000000001</v>
      </c>
      <c r="K283">
        <v>1.0581290000000001</v>
      </c>
      <c r="L283">
        <v>368.60289999999998</v>
      </c>
      <c r="M283">
        <v>0.9998667</v>
      </c>
      <c r="N283">
        <v>0</v>
      </c>
      <c r="O283">
        <v>-1.5874829999999999E-2</v>
      </c>
      <c r="P283">
        <v>0.99965850000000001</v>
      </c>
      <c r="Q283">
        <v>-2.1341700000000002E-2</v>
      </c>
      <c r="R283">
        <v>-1.508222E-2</v>
      </c>
      <c r="S283">
        <v>3.0004879999999998</v>
      </c>
      <c r="T283">
        <v>-1.6607759999999999E-2</v>
      </c>
      <c r="U283">
        <v>-9.6435549999999998E-3</v>
      </c>
      <c r="V283">
        <v>-7.9792830000000004E-4</v>
      </c>
      <c r="W283">
        <v>-1.7505389999999999E-2</v>
      </c>
      <c r="X283">
        <v>0.99984649999999997</v>
      </c>
      <c r="Y283">
        <v>-1.266085E-2</v>
      </c>
      <c r="Z283">
        <v>1.229026E-4</v>
      </c>
      <c r="AA283">
        <v>0.99991980000000003</v>
      </c>
      <c r="AB283">
        <v>35</v>
      </c>
      <c r="AC283">
        <v>190.80369999999999</v>
      </c>
      <c r="AD283">
        <v>-1.058130095214</v>
      </c>
      <c r="AE283">
        <v>-0.60889999999994804</v>
      </c>
      <c r="AF283">
        <v>-2.4201006731835699</v>
      </c>
      <c r="AG283">
        <v>-1.058130095214</v>
      </c>
      <c r="AH283">
        <v>190.78345481285899</v>
      </c>
      <c r="AI283">
        <v>90.317747102758105</v>
      </c>
      <c r="AJ283">
        <v>90.726761752161707</v>
      </c>
      <c r="AK283">
        <v>190.80173782462501</v>
      </c>
      <c r="AL283">
        <v>91.003036148739596</v>
      </c>
      <c r="AM283">
        <v>90.045724933015507</v>
      </c>
      <c r="AN283">
        <v>1.00000004946543</v>
      </c>
    </row>
    <row r="284" spans="1:40" x14ac:dyDescent="0.25">
      <c r="A284" t="str">
        <f>"20190312151507221"</f>
        <v>20190312151507221</v>
      </c>
      <c r="B284" t="str">
        <f>"1552374907217735"</f>
        <v>1552374907217735</v>
      </c>
      <c r="C284" t="s">
        <v>40</v>
      </c>
      <c r="D284">
        <v>3.8266779999999998</v>
      </c>
      <c r="E284">
        <v>0.49832880000000002</v>
      </c>
      <c r="F284" t="s">
        <v>43</v>
      </c>
      <c r="G284">
        <v>-243.33029999999999</v>
      </c>
      <c r="H284" s="1">
        <v>-3.5534460000000001E-6</v>
      </c>
      <c r="I284">
        <v>367.24770000000001</v>
      </c>
      <c r="J284">
        <v>-418.68560000000002</v>
      </c>
      <c r="K284">
        <v>1.058227</v>
      </c>
      <c r="L284">
        <v>368.59980000000002</v>
      </c>
      <c r="M284">
        <v>0.99986470000000005</v>
      </c>
      <c r="N284">
        <v>0</v>
      </c>
      <c r="O284">
        <v>-1.5951150000000001E-2</v>
      </c>
      <c r="P284">
        <v>0.99965380000000004</v>
      </c>
      <c r="Q284">
        <v>-2.1531430000000001E-2</v>
      </c>
      <c r="R284">
        <v>-1.514453E-2</v>
      </c>
      <c r="S284">
        <v>3.000305</v>
      </c>
      <c r="T284">
        <v>-1.8084409999999999E-2</v>
      </c>
      <c r="U284">
        <v>-2.3162840000000001E-2</v>
      </c>
      <c r="V284">
        <v>-8.1175449999999999E-4</v>
      </c>
      <c r="W284">
        <v>-1.74916E-2</v>
      </c>
      <c r="X284">
        <v>0.99984669999999998</v>
      </c>
      <c r="Y284">
        <v>-8.23141199999999E-3</v>
      </c>
      <c r="Z284">
        <v>1.209467E-4</v>
      </c>
      <c r="AA284">
        <v>0.99996609999999997</v>
      </c>
      <c r="AB284">
        <v>35</v>
      </c>
      <c r="AC284">
        <v>175.3553</v>
      </c>
      <c r="AD284">
        <v>-1.0582305534459999</v>
      </c>
      <c r="AE284">
        <v>-1.3521000000000001</v>
      </c>
      <c r="AF284">
        <v>-1.4451606699101101</v>
      </c>
      <c r="AG284">
        <v>-1.0582305534459999</v>
      </c>
      <c r="AH284">
        <v>175.34817176596499</v>
      </c>
      <c r="AI284">
        <v>90.345765505991494</v>
      </c>
      <c r="AJ284">
        <v>90.472201857479803</v>
      </c>
      <c r="AK284">
        <v>175.357320015255</v>
      </c>
      <c r="AL284">
        <v>91.002245949264804</v>
      </c>
      <c r="AM284">
        <v>90.046517227722703</v>
      </c>
      <c r="AN284">
        <v>1.0000000192584</v>
      </c>
    </row>
    <row r="285" spans="1:40" x14ac:dyDescent="0.25">
      <c r="A285" t="str">
        <f>"20190312151507244"</f>
        <v>20190312151507244</v>
      </c>
      <c r="B285" t="str">
        <f>"1552374907238231"</f>
        <v>1552374907238231</v>
      </c>
      <c r="C285" t="s">
        <v>40</v>
      </c>
      <c r="D285">
        <v>3.8402219999999998</v>
      </c>
      <c r="E285">
        <v>0.49934669999999998</v>
      </c>
      <c r="F285" t="s">
        <v>43</v>
      </c>
      <c r="G285">
        <v>-258.60939999999999</v>
      </c>
      <c r="H285" s="1">
        <v>-1.1881549999999999E-6</v>
      </c>
      <c r="I285">
        <v>366.87700000000001</v>
      </c>
      <c r="J285">
        <v>-418.33609999999999</v>
      </c>
      <c r="K285">
        <v>1.058387</v>
      </c>
      <c r="L285">
        <v>368.59399999999999</v>
      </c>
      <c r="M285">
        <v>0.99986090000000005</v>
      </c>
      <c r="N285">
        <v>0</v>
      </c>
      <c r="O285">
        <v>-1.6080569999999999E-2</v>
      </c>
      <c r="P285">
        <v>0.99964390000000003</v>
      </c>
      <c r="Q285">
        <v>-2.1736930000000002E-2</v>
      </c>
      <c r="R285">
        <v>-1.5482569999999999E-2</v>
      </c>
      <c r="S285">
        <v>3.0001530000000001</v>
      </c>
      <c r="T285">
        <v>-1.983333E-2</v>
      </c>
      <c r="U285">
        <v>-3.22876E-2</v>
      </c>
      <c r="V285">
        <v>-6.0150359999999996E-4</v>
      </c>
      <c r="W285">
        <v>-1.729843E-2</v>
      </c>
      <c r="X285">
        <v>0.99985020000000002</v>
      </c>
      <c r="Y285">
        <v>-5.3193609999999999E-3</v>
      </c>
      <c r="Z285">
        <v>1.238779E-4</v>
      </c>
      <c r="AA285">
        <v>0.99998589999999998</v>
      </c>
      <c r="AB285">
        <v>35</v>
      </c>
      <c r="AC285">
        <v>159.72669999999999</v>
      </c>
      <c r="AD285">
        <v>-1.0583881881549999</v>
      </c>
      <c r="AE285">
        <v>-1.71700000000004</v>
      </c>
      <c r="AF285">
        <v>-0.85170616866663096</v>
      </c>
      <c r="AG285">
        <v>-1.0583881881549999</v>
      </c>
      <c r="AH285">
        <v>159.72664510001201</v>
      </c>
      <c r="AI285">
        <v>90.379645028372195</v>
      </c>
      <c r="AJ285">
        <v>90.305513875425305</v>
      </c>
      <c r="AK285">
        <v>159.732422331409</v>
      </c>
      <c r="AL285">
        <v>90.9911764580783</v>
      </c>
      <c r="AM285">
        <v>90.034468776907005</v>
      </c>
      <c r="AN285">
        <v>1.00000000996354</v>
      </c>
    </row>
    <row r="286" spans="1:40" x14ac:dyDescent="0.25">
      <c r="A286" t="str">
        <f>"20190312151507265"</f>
        <v>20190312151507265</v>
      </c>
      <c r="B286" t="str">
        <f>"1552374907257750"</f>
        <v>1552374907257750</v>
      </c>
      <c r="C286" t="s">
        <v>40</v>
      </c>
      <c r="D286">
        <v>3.8020049999999999</v>
      </c>
      <c r="E286">
        <v>0.500081</v>
      </c>
      <c r="F286" t="s">
        <v>43</v>
      </c>
      <c r="G286">
        <v>-264.82310000000001</v>
      </c>
      <c r="H286" s="1">
        <v>-2.7634889999999998E-6</v>
      </c>
      <c r="I286">
        <v>366.45760000000001</v>
      </c>
      <c r="J286">
        <v>-418.00450000000001</v>
      </c>
      <c r="K286">
        <v>1.0585100000000001</v>
      </c>
      <c r="L286">
        <v>368.58859999999999</v>
      </c>
      <c r="M286">
        <v>0.9998572</v>
      </c>
      <c r="N286">
        <v>0</v>
      </c>
      <c r="O286">
        <v>-1.619193E-2</v>
      </c>
      <c r="P286">
        <v>0.99962320000000005</v>
      </c>
      <c r="Q286">
        <v>-2.2332620000000001E-2</v>
      </c>
      <c r="R286">
        <v>-1.5962399999999901E-2</v>
      </c>
      <c r="S286">
        <v>2.9999690000000001</v>
      </c>
      <c r="T286">
        <v>-2.0683170000000001E-2</v>
      </c>
      <c r="U286">
        <v>-4.1748050000000002E-2</v>
      </c>
      <c r="V286">
        <v>-2.320093E-4</v>
      </c>
      <c r="W286">
        <v>-1.7499259999999999E-2</v>
      </c>
      <c r="X286">
        <v>0.99984689999999998</v>
      </c>
      <c r="Y286">
        <v>-2.27713E-3</v>
      </c>
      <c r="Z286">
        <v>1.194717E-4</v>
      </c>
      <c r="AA286">
        <v>0.99999740000000004</v>
      </c>
      <c r="AB286">
        <v>35</v>
      </c>
      <c r="AC286">
        <v>153.1814</v>
      </c>
      <c r="AD286">
        <v>-1.0585127634889999</v>
      </c>
      <c r="AE286">
        <v>-2.13099999999997</v>
      </c>
      <c r="AF286">
        <v>-0.34959421339708502</v>
      </c>
      <c r="AG286">
        <v>-1.0585127634889999</v>
      </c>
      <c r="AH286">
        <v>153.18850972827701</v>
      </c>
      <c r="AI286">
        <v>90.395899084582496</v>
      </c>
      <c r="AJ286">
        <v>90.130755487030399</v>
      </c>
      <c r="AK286">
        <v>153.19256567521501</v>
      </c>
      <c r="AL286">
        <v>91.002684870598699</v>
      </c>
      <c r="AM286">
        <v>90.013295188952597</v>
      </c>
      <c r="AN286">
        <v>1.0000000506842299</v>
      </c>
    </row>
    <row r="287" spans="1:40" x14ac:dyDescent="0.25">
      <c r="A287" t="str">
        <f>"20190312151507300"</f>
        <v>20190312151507300</v>
      </c>
      <c r="B287" t="str">
        <f>"1552374907288006"</f>
        <v>1552374907288006</v>
      </c>
      <c r="C287" t="s">
        <v>40</v>
      </c>
      <c r="D287">
        <v>3.797361</v>
      </c>
      <c r="E287">
        <v>0.50082890000000002</v>
      </c>
      <c r="F287" t="s">
        <v>42</v>
      </c>
      <c r="G287">
        <v>-276.28399999999999</v>
      </c>
      <c r="H287">
        <v>-0.05</v>
      </c>
      <c r="I287">
        <v>366.27890000000002</v>
      </c>
      <c r="J287">
        <v>-417.46089999999998</v>
      </c>
      <c r="K287">
        <v>1.058654</v>
      </c>
      <c r="L287">
        <v>368.57960000000003</v>
      </c>
      <c r="M287">
        <v>0.9998515</v>
      </c>
      <c r="N287">
        <v>0</v>
      </c>
      <c r="O287">
        <v>-1.6343199999999999E-2</v>
      </c>
      <c r="P287">
        <v>0.99960260000000001</v>
      </c>
      <c r="Q287">
        <v>-2.2943459999999999E-2</v>
      </c>
      <c r="R287">
        <v>-1.6385690000000001E-2</v>
      </c>
      <c r="S287">
        <v>2.9998170000000002</v>
      </c>
      <c r="T287">
        <v>-2.3463959999999999E-2</v>
      </c>
      <c r="U287">
        <v>-4.8889160000000001E-2</v>
      </c>
      <c r="V287" s="1">
        <v>4.1435220000000001E-5</v>
      </c>
      <c r="W287">
        <v>-1.7468819999999999E-2</v>
      </c>
      <c r="X287">
        <v>0.99984740000000005</v>
      </c>
      <c r="Y287" s="1">
        <v>-4.7735329999999897E-5</v>
      </c>
      <c r="Z287">
        <v>1.2800290000000001E-4</v>
      </c>
      <c r="AA287">
        <v>1</v>
      </c>
      <c r="AB287">
        <v>35</v>
      </c>
      <c r="AC287">
        <v>141.17689999999999</v>
      </c>
      <c r="AD287">
        <v>-1.108654</v>
      </c>
      <c r="AE287">
        <v>-2.3007</v>
      </c>
      <c r="AF287">
        <v>-6.9236426099594699E-3</v>
      </c>
      <c r="AG287">
        <v>-1.108654</v>
      </c>
      <c r="AH287">
        <v>141.18694084827399</v>
      </c>
      <c r="AI287">
        <v>90.449899184441904</v>
      </c>
      <c r="AJ287">
        <v>90.002809718077998</v>
      </c>
      <c r="AK287">
        <v>141.19129373910599</v>
      </c>
      <c r="AL287">
        <v>91.000940578928805</v>
      </c>
      <c r="AM287">
        <v>89.997625574434807</v>
      </c>
      <c r="AN287">
        <v>0.99999999233791403</v>
      </c>
    </row>
    <row r="288" spans="1:40" x14ac:dyDescent="0.25">
      <c r="A288" t="str">
        <f>"20190312151507321"</f>
        <v>20190312151507321</v>
      </c>
      <c r="B288" t="str">
        <f>"1552374907318264"</f>
        <v>1552374907318264</v>
      </c>
      <c r="C288" t="s">
        <v>40</v>
      </c>
      <c r="D288">
        <v>3.771808</v>
      </c>
      <c r="E288">
        <v>0.50157510000000005</v>
      </c>
      <c r="F288" t="s">
        <v>43</v>
      </c>
      <c r="G288">
        <v>-275.37990000000002</v>
      </c>
      <c r="H288" s="1">
        <v>-2.6181910000000002E-6</v>
      </c>
      <c r="I288">
        <v>365.93009999999998</v>
      </c>
      <c r="J288">
        <v>-417.12860000000001</v>
      </c>
      <c r="K288">
        <v>1.058713</v>
      </c>
      <c r="L288">
        <v>368.57409999999999</v>
      </c>
      <c r="M288">
        <v>0.99984819999999996</v>
      </c>
      <c r="N288">
        <v>0</v>
      </c>
      <c r="O288">
        <v>-1.6415349999999999E-2</v>
      </c>
      <c r="P288">
        <v>0.99959580000000003</v>
      </c>
      <c r="Q288">
        <v>-2.3358449999999999E-2</v>
      </c>
      <c r="R288">
        <v>-1.6210639999999998E-2</v>
      </c>
      <c r="S288">
        <v>2.9997859999999998</v>
      </c>
      <c r="T288">
        <v>-2.2351619999999999E-2</v>
      </c>
      <c r="U288">
        <v>-5.5938719999999997E-2</v>
      </c>
      <c r="V288">
        <v>-2.0531050000000001E-4</v>
      </c>
      <c r="W288">
        <v>-1.751482E-2</v>
      </c>
      <c r="X288">
        <v>0.99984660000000003</v>
      </c>
      <c r="Y288">
        <v>2.2294329999999998E-3</v>
      </c>
      <c r="Z288">
        <v>1.139879E-4</v>
      </c>
      <c r="AA288">
        <v>0.99999749999999998</v>
      </c>
      <c r="AB288">
        <v>35</v>
      </c>
      <c r="AC288">
        <v>141.74870000000001</v>
      </c>
      <c r="AD288">
        <v>-1.058715618191</v>
      </c>
      <c r="AE288">
        <v>-2.6440000000000001</v>
      </c>
      <c r="AF288">
        <v>0.31673185811271098</v>
      </c>
      <c r="AG288">
        <v>-1.058715618191</v>
      </c>
      <c r="AH288">
        <v>141.765097251073</v>
      </c>
      <c r="AI288">
        <v>90.427881465428101</v>
      </c>
      <c r="AJ288">
        <v>89.871989870116295</v>
      </c>
      <c r="AK288">
        <v>141.76940430303199</v>
      </c>
      <c r="AL288">
        <v>91.003576563043595</v>
      </c>
      <c r="AM288">
        <v>90.011765229760599</v>
      </c>
      <c r="AN288">
        <v>1.00000001730179</v>
      </c>
    </row>
    <row r="289" spans="1:40" x14ac:dyDescent="0.25">
      <c r="A289" t="str">
        <f>"20190312151507342"</f>
        <v>20190312151507342</v>
      </c>
      <c r="B289" t="str">
        <f>"1552374907337783"</f>
        <v>1552374907337783</v>
      </c>
      <c r="C289" t="s">
        <v>40</v>
      </c>
      <c r="D289">
        <v>3.7791410000000001</v>
      </c>
      <c r="E289">
        <v>0.50189729999999999</v>
      </c>
      <c r="F289" t="s">
        <v>42</v>
      </c>
      <c r="G289">
        <v>-281.30189999999999</v>
      </c>
      <c r="H289">
        <v>-0.05</v>
      </c>
      <c r="I289">
        <v>365.79509999999999</v>
      </c>
      <c r="J289">
        <v>-416.79129999999998</v>
      </c>
      <c r="K289">
        <v>1.0587530000000001</v>
      </c>
      <c r="L289">
        <v>368.56849999999997</v>
      </c>
      <c r="M289">
        <v>0.99984510000000004</v>
      </c>
      <c r="N289">
        <v>0</v>
      </c>
      <c r="O289">
        <v>-1.647498E-2</v>
      </c>
      <c r="P289">
        <v>0.99958959999999997</v>
      </c>
      <c r="Q289">
        <v>-2.35999E-2</v>
      </c>
      <c r="R289">
        <v>-1.6248800000000001E-2</v>
      </c>
      <c r="S289">
        <v>2.999603</v>
      </c>
      <c r="T289">
        <v>-2.4484869999999999E-2</v>
      </c>
      <c r="U289">
        <v>-6.1370849999999998E-2</v>
      </c>
      <c r="V289">
        <v>-2.258118E-4</v>
      </c>
      <c r="W289">
        <v>-1.740852E-2</v>
      </c>
      <c r="X289">
        <v>0.99984839999999997</v>
      </c>
      <c r="Y289">
        <v>3.9811650000000001E-3</v>
      </c>
      <c r="Z289">
        <v>1.182099E-4</v>
      </c>
      <c r="AA289">
        <v>0.99999210000000005</v>
      </c>
      <c r="AB289">
        <v>35</v>
      </c>
      <c r="AC289">
        <v>135.48939999999999</v>
      </c>
      <c r="AD289">
        <v>-1.1087530000000001</v>
      </c>
      <c r="AE289">
        <v>-2.7733999999999801</v>
      </c>
      <c r="AF289">
        <v>0.54075941755115897</v>
      </c>
      <c r="AG289">
        <v>-1.1087530000000001</v>
      </c>
      <c r="AH289">
        <v>135.507632329659</v>
      </c>
      <c r="AI289">
        <v>90.4687923692033</v>
      </c>
      <c r="AJ289">
        <v>89.771355551294405</v>
      </c>
      <c r="AK289">
        <v>135.51324722532701</v>
      </c>
      <c r="AL289">
        <v>90.997485144943397</v>
      </c>
      <c r="AM289">
        <v>90.012940024591998</v>
      </c>
      <c r="AN289">
        <v>0.99999996527105905</v>
      </c>
    </row>
    <row r="290" spans="1:40" x14ac:dyDescent="0.25">
      <c r="A290" t="str">
        <f>"20190312151507366"</f>
        <v>20190312151507366</v>
      </c>
      <c r="B290" t="str">
        <f>"1552374907358278"</f>
        <v>1552374907358278</v>
      </c>
      <c r="C290" t="s">
        <v>40</v>
      </c>
      <c r="D290">
        <v>3.770203</v>
      </c>
      <c r="E290">
        <v>0.50226040000000005</v>
      </c>
      <c r="F290" t="s">
        <v>43</v>
      </c>
      <c r="G290">
        <v>-277.82530000000003</v>
      </c>
      <c r="H290" s="1">
        <v>-1.793007E-6</v>
      </c>
      <c r="I290">
        <v>365.60660000000001</v>
      </c>
      <c r="J290">
        <v>-416.42750000000001</v>
      </c>
      <c r="K290">
        <v>1.0587819999999999</v>
      </c>
      <c r="L290">
        <v>368.56240000000003</v>
      </c>
      <c r="M290">
        <v>0.99984220000000001</v>
      </c>
      <c r="N290">
        <v>0</v>
      </c>
      <c r="O290">
        <v>-1.652236E-2</v>
      </c>
      <c r="P290">
        <v>0.99958480000000005</v>
      </c>
      <c r="Q290">
        <v>-2.3827339999999999E-2</v>
      </c>
      <c r="R290">
        <v>-1.6204880000000001E-2</v>
      </c>
      <c r="S290">
        <v>2.999695</v>
      </c>
      <c r="T290">
        <v>-2.2854090000000001E-2</v>
      </c>
      <c r="U290">
        <v>-6.3934329999999998E-2</v>
      </c>
      <c r="V290">
        <v>-3.1639770000000002E-4</v>
      </c>
      <c r="W290">
        <v>-1.729404E-2</v>
      </c>
      <c r="X290">
        <v>0.99985040000000003</v>
      </c>
      <c r="Y290">
        <v>4.7872469999999997E-3</v>
      </c>
      <c r="Z290">
        <v>1.076232E-4</v>
      </c>
      <c r="AA290">
        <v>0.99998860000000001</v>
      </c>
      <c r="AB290">
        <v>35</v>
      </c>
      <c r="AC290">
        <v>138.60219999999899</v>
      </c>
      <c r="AD290">
        <v>-1.0587837930070001</v>
      </c>
      <c r="AE290">
        <v>-2.9558</v>
      </c>
      <c r="AF290">
        <v>0.66527349240114297</v>
      </c>
      <c r="AG290">
        <v>-1.0587837930070001</v>
      </c>
      <c r="AH290">
        <v>138.624031681254</v>
      </c>
      <c r="AI290">
        <v>90.437600637436404</v>
      </c>
      <c r="AJ290">
        <v>89.725032736069394</v>
      </c>
      <c r="AK290">
        <v>138.62967132437899</v>
      </c>
      <c r="AL290">
        <v>90.990924898725595</v>
      </c>
      <c r="AM290">
        <v>90.018130964644797</v>
      </c>
      <c r="AN290">
        <v>1.0000000031535901</v>
      </c>
    </row>
    <row r="291" spans="1:40" x14ac:dyDescent="0.25">
      <c r="A291" t="str">
        <f>"20190312151507388"</f>
        <v>20190312151507388</v>
      </c>
      <c r="B291" t="str">
        <f>"1552374907377801"</f>
        <v>1552374907377801</v>
      </c>
      <c r="C291" t="s">
        <v>40</v>
      </c>
      <c r="D291">
        <v>3.7724150000000001</v>
      </c>
      <c r="E291">
        <v>0.50258630000000004</v>
      </c>
      <c r="F291" t="s">
        <v>42</v>
      </c>
      <c r="G291">
        <v>-277.68290000000002</v>
      </c>
      <c r="H291">
        <v>-0.05</v>
      </c>
      <c r="I291">
        <v>365.4726</v>
      </c>
      <c r="J291">
        <v>-416.0874</v>
      </c>
      <c r="K291">
        <v>1.058802</v>
      </c>
      <c r="L291">
        <v>368.55680000000001</v>
      </c>
      <c r="M291">
        <v>0.99983979999999995</v>
      </c>
      <c r="N291">
        <v>0</v>
      </c>
      <c r="O291">
        <v>-1.6552310000000001E-2</v>
      </c>
      <c r="P291">
        <v>0.99957600000000002</v>
      </c>
      <c r="Q291">
        <v>-2.411843E-2</v>
      </c>
      <c r="R291">
        <v>-1.63223999999999E-2</v>
      </c>
      <c r="S291">
        <v>2.9996640000000001</v>
      </c>
      <c r="T291">
        <v>-2.3971920000000001E-2</v>
      </c>
      <c r="U291">
        <v>-6.6802979999999998E-2</v>
      </c>
      <c r="V291">
        <v>-2.286728E-4</v>
      </c>
      <c r="W291">
        <v>-1.7297389999999999E-2</v>
      </c>
      <c r="X291">
        <v>0.99985040000000003</v>
      </c>
      <c r="Y291">
        <v>5.7133369999999998E-3</v>
      </c>
      <c r="Z291">
        <v>1.094263E-4</v>
      </c>
      <c r="AA291">
        <v>0.99998370000000003</v>
      </c>
      <c r="AB291">
        <v>35</v>
      </c>
      <c r="AC291">
        <v>138.40449999999899</v>
      </c>
      <c r="AD291">
        <v>-1.1088020000000001</v>
      </c>
      <c r="AE291">
        <v>-3.0842000000000001</v>
      </c>
      <c r="AF291">
        <v>0.79275925837988204</v>
      </c>
      <c r="AG291">
        <v>-1.1088020000000001</v>
      </c>
      <c r="AH291">
        <v>138.42770963748899</v>
      </c>
      <c r="AI291">
        <v>90.458920217268002</v>
      </c>
      <c r="AJ291">
        <v>89.671877377475994</v>
      </c>
      <c r="AK291">
        <v>138.434420230656</v>
      </c>
      <c r="AL291">
        <v>90.991116834568004</v>
      </c>
      <c r="AM291">
        <v>90.013103946451395</v>
      </c>
      <c r="AN291">
        <v>1.00000003718611</v>
      </c>
    </row>
    <row r="292" spans="1:40" x14ac:dyDescent="0.25">
      <c r="A292" t="str">
        <f>"20190312151507410"</f>
        <v>20190312151507410</v>
      </c>
      <c r="B292" t="str">
        <f>"1552374907408055"</f>
        <v>1552374907408055</v>
      </c>
      <c r="C292" t="s">
        <v>40</v>
      </c>
      <c r="D292">
        <v>3.779112</v>
      </c>
      <c r="E292">
        <v>0.50296030000000003</v>
      </c>
      <c r="F292" t="s">
        <v>42</v>
      </c>
      <c r="G292">
        <v>-290.49110000000002</v>
      </c>
      <c r="H292">
        <v>-0.05</v>
      </c>
      <c r="I292">
        <v>365.63310000000001</v>
      </c>
      <c r="J292">
        <v>-415.73239999999998</v>
      </c>
      <c r="K292">
        <v>1.0588139999999999</v>
      </c>
      <c r="L292">
        <v>368.55090000000001</v>
      </c>
      <c r="M292">
        <v>0.99983759999999999</v>
      </c>
      <c r="N292">
        <v>0</v>
      </c>
      <c r="O292">
        <v>-1.6571860000000001E-2</v>
      </c>
      <c r="P292">
        <v>0.99956789999999995</v>
      </c>
      <c r="Q292">
        <v>-2.4207920000000001E-2</v>
      </c>
      <c r="R292">
        <v>-1.6681649999999999E-2</v>
      </c>
      <c r="S292">
        <v>2.9994809999999998</v>
      </c>
      <c r="T292">
        <v>-2.6480320000000002E-2</v>
      </c>
      <c r="U292">
        <v>-6.9824220000000006E-2</v>
      </c>
      <c r="V292">
        <v>1.1181859999999999E-4</v>
      </c>
      <c r="W292">
        <v>-1.7117690000000001E-2</v>
      </c>
      <c r="X292">
        <v>0.99985349999999995</v>
      </c>
      <c r="Y292">
        <v>6.7018679999999997E-3</v>
      </c>
      <c r="Z292">
        <v>1.166918E-4</v>
      </c>
      <c r="AA292">
        <v>0.99997749999999996</v>
      </c>
      <c r="AB292">
        <v>35</v>
      </c>
      <c r="AC292">
        <v>125.241299999999</v>
      </c>
      <c r="AD292">
        <v>-1.108814</v>
      </c>
      <c r="AE292">
        <v>-2.9178000000000002</v>
      </c>
      <c r="AF292">
        <v>0.84180002121203801</v>
      </c>
      <c r="AG292">
        <v>-1.108814</v>
      </c>
      <c r="AH292">
        <v>125.262642105308</v>
      </c>
      <c r="AI292">
        <v>90.507152553354999</v>
      </c>
      <c r="AJ292">
        <v>89.614962118492898</v>
      </c>
      <c r="AK292">
        <v>125.270377994819</v>
      </c>
      <c r="AL292">
        <v>90.980819271000897</v>
      </c>
      <c r="AM292">
        <v>89.993592327451594</v>
      </c>
      <c r="AN292">
        <v>1.0000000246382901</v>
      </c>
    </row>
    <row r="293" spans="1:40" x14ac:dyDescent="0.25">
      <c r="A293" t="str">
        <f>"20190312151507432"</f>
        <v>20190312151507432</v>
      </c>
      <c r="B293" t="str">
        <f>"1552374907428551"</f>
        <v>1552374907428551</v>
      </c>
      <c r="C293" t="s">
        <v>40</v>
      </c>
      <c r="D293">
        <v>3.9187379999999998</v>
      </c>
      <c r="E293">
        <v>0.50317049999999997</v>
      </c>
      <c r="F293" t="s">
        <v>42</v>
      </c>
      <c r="G293">
        <v>-284.40910000000002</v>
      </c>
      <c r="H293">
        <v>-0.05</v>
      </c>
      <c r="I293">
        <v>365.32139999999998</v>
      </c>
      <c r="J293">
        <v>-415.37729999999999</v>
      </c>
      <c r="K293">
        <v>1.0588219999999999</v>
      </c>
      <c r="L293">
        <v>368.54500000000002</v>
      </c>
      <c r="M293">
        <v>0.99983580000000005</v>
      </c>
      <c r="N293">
        <v>0</v>
      </c>
      <c r="O293">
        <v>-1.6583710000000002E-2</v>
      </c>
      <c r="P293">
        <v>0.99955510000000003</v>
      </c>
      <c r="Q293">
        <v>-2.452302E-2</v>
      </c>
      <c r="R293">
        <v>-1.698682E-2</v>
      </c>
      <c r="S293">
        <v>2.9994200000000002</v>
      </c>
      <c r="T293">
        <v>-2.5325299999999999E-2</v>
      </c>
      <c r="U293">
        <v>-7.3760989999999999E-2</v>
      </c>
      <c r="V293">
        <v>4.0584360000000001E-4</v>
      </c>
      <c r="W293">
        <v>-1.719393E-2</v>
      </c>
      <c r="X293">
        <v>0.99985210000000002</v>
      </c>
      <c r="Y293">
        <v>8.0021009999999993E-3</v>
      </c>
      <c r="Z293">
        <v>1.062143E-4</v>
      </c>
      <c r="AA293">
        <v>0.99996799999999997</v>
      </c>
      <c r="AB293">
        <v>35</v>
      </c>
      <c r="AC293">
        <v>130.968199999999</v>
      </c>
      <c r="AD293">
        <v>-1.108822</v>
      </c>
      <c r="AE293">
        <v>-3.22360000000003</v>
      </c>
      <c r="AF293">
        <v>1.0510847837273101</v>
      </c>
      <c r="AG293">
        <v>-1.108822</v>
      </c>
      <c r="AH293">
        <v>130.99426522074</v>
      </c>
      <c r="AI293">
        <v>90.484962135904595</v>
      </c>
      <c r="AJ293">
        <v>89.540274304929</v>
      </c>
      <c r="AK293">
        <v>131.003174717912</v>
      </c>
      <c r="AL293">
        <v>90.985188159599701</v>
      </c>
      <c r="AM293">
        <v>89.976743436208807</v>
      </c>
      <c r="AN293">
        <v>1.00000000890614</v>
      </c>
    </row>
    <row r="294" spans="1:40" x14ac:dyDescent="0.25">
      <c r="A294" t="str">
        <f>"20190312151507455"</f>
        <v>20190312151507455</v>
      </c>
      <c r="B294" t="str">
        <f>"1552374907448071"</f>
        <v>1552374907448071</v>
      </c>
      <c r="C294" t="s">
        <v>40</v>
      </c>
      <c r="D294">
        <v>3.7529919999999999</v>
      </c>
      <c r="E294">
        <v>0.50323050000000003</v>
      </c>
      <c r="F294" t="s">
        <v>42</v>
      </c>
      <c r="G294">
        <v>-277.79259999999999</v>
      </c>
      <c r="H294">
        <v>-0.05</v>
      </c>
      <c r="I294">
        <v>365.0258</v>
      </c>
      <c r="J294">
        <v>-415.02030000000002</v>
      </c>
      <c r="K294">
        <v>1.0588280000000001</v>
      </c>
      <c r="L294">
        <v>368.53910000000002</v>
      </c>
      <c r="M294">
        <v>0.999834</v>
      </c>
      <c r="N294">
        <v>0</v>
      </c>
      <c r="O294">
        <v>-1.6588829999999999E-2</v>
      </c>
      <c r="P294">
        <v>0.99953069999999999</v>
      </c>
      <c r="Q294">
        <v>-2.5134960000000001E-2</v>
      </c>
      <c r="R294">
        <v>-1.7518249999999999E-2</v>
      </c>
      <c r="S294">
        <v>2.9994200000000002</v>
      </c>
      <c r="T294">
        <v>-2.4172900000000001E-2</v>
      </c>
      <c r="U294">
        <v>-7.6721189999999995E-2</v>
      </c>
      <c r="V294">
        <v>9.3262239999999995E-4</v>
      </c>
      <c r="W294">
        <v>-1.7596190000000001E-2</v>
      </c>
      <c r="X294">
        <v>0.99984470000000003</v>
      </c>
      <c r="Y294">
        <v>8.9831700000000004E-3</v>
      </c>
      <c r="Z294" s="1">
        <v>9.7468579999999996E-5</v>
      </c>
      <c r="AA294">
        <v>0.99995959999999995</v>
      </c>
      <c r="AB294">
        <v>35</v>
      </c>
      <c r="AC294">
        <v>137.2277</v>
      </c>
      <c r="AD294">
        <v>-1.1088279999999999</v>
      </c>
      <c r="AE294">
        <v>-3.5133000000000099</v>
      </c>
      <c r="AF294">
        <v>1.23622424689466</v>
      </c>
      <c r="AG294">
        <v>-1.1088279999999999</v>
      </c>
      <c r="AH294">
        <v>137.25814334809601</v>
      </c>
      <c r="AI294">
        <v>90.462830143538</v>
      </c>
      <c r="AJ294">
        <v>89.4839758499418</v>
      </c>
      <c r="AK294">
        <v>137.268188832259</v>
      </c>
      <c r="AL294">
        <v>91.008239497016007</v>
      </c>
      <c r="AM294">
        <v>89.946556388304899</v>
      </c>
      <c r="AN294">
        <v>0.99999995990257196</v>
      </c>
    </row>
    <row r="295" spans="1:40" x14ac:dyDescent="0.25">
      <c r="A295" t="str">
        <f>"20190312151507478"</f>
        <v>20190312151507478</v>
      </c>
      <c r="B295" t="str">
        <f>"1552374907468585"</f>
        <v>1552374907468585</v>
      </c>
      <c r="C295" t="s">
        <v>40</v>
      </c>
      <c r="D295">
        <v>3.7211080000000001</v>
      </c>
      <c r="E295">
        <v>0.48948979999999997</v>
      </c>
      <c r="F295" t="s">
        <v>42</v>
      </c>
      <c r="G295">
        <v>-289.7199</v>
      </c>
      <c r="H295">
        <v>-0.05</v>
      </c>
      <c r="I295">
        <v>365.24979999999999</v>
      </c>
      <c r="J295">
        <v>-414.66379999999998</v>
      </c>
      <c r="K295">
        <v>1.058829</v>
      </c>
      <c r="L295">
        <v>368.53309999999999</v>
      </c>
      <c r="M295">
        <v>0.99983259999999996</v>
      </c>
      <c r="N295">
        <v>0</v>
      </c>
      <c r="O295">
        <v>-1.6589949999999999E-2</v>
      </c>
      <c r="P295">
        <v>0.99951590000000001</v>
      </c>
      <c r="Q295">
        <v>-2.5821810000000001E-2</v>
      </c>
      <c r="R295">
        <v>-1.7360440000000001E-2</v>
      </c>
      <c r="S295">
        <v>2.99939</v>
      </c>
      <c r="T295">
        <v>-2.6542659999999999E-2</v>
      </c>
      <c r="U295">
        <v>-7.8735349999999996E-2</v>
      </c>
      <c r="V295">
        <v>7.7398720000000003E-4</v>
      </c>
      <c r="W295">
        <v>-1.8099110000000002E-2</v>
      </c>
      <c r="X295">
        <v>0.9998359</v>
      </c>
      <c r="Y295">
        <v>9.6533469999999996E-3</v>
      </c>
      <c r="Z295">
        <v>1.040688E-4</v>
      </c>
      <c r="AA295">
        <v>0.99995339999999999</v>
      </c>
      <c r="AB295">
        <v>35</v>
      </c>
      <c r="AC295">
        <v>124.9439</v>
      </c>
      <c r="AD295">
        <v>-1.1088290000000001</v>
      </c>
      <c r="AE295">
        <v>-3.2832999999999899</v>
      </c>
      <c r="AF295">
        <v>1.2098781237854199</v>
      </c>
      <c r="AG295">
        <v>-1.1088290000000001</v>
      </c>
      <c r="AH295">
        <v>124.971339465472</v>
      </c>
      <c r="AI295">
        <v>90.508329175856304</v>
      </c>
      <c r="AJ295">
        <v>89.445322864418699</v>
      </c>
      <c r="AK295">
        <v>124.982114698944</v>
      </c>
      <c r="AL295">
        <v>91.037059238839504</v>
      </c>
      <c r="AM295">
        <v>89.955646530496693</v>
      </c>
      <c r="AN295">
        <v>1.0000000018838899</v>
      </c>
    </row>
    <row r="296" spans="1:40" x14ac:dyDescent="0.25">
      <c r="A296" t="str">
        <f>"20190312151507501"</f>
        <v>20190312151507501</v>
      </c>
      <c r="B296" t="str">
        <f>"1552374907497847"</f>
        <v>1552374907497847</v>
      </c>
      <c r="C296" t="s">
        <v>40</v>
      </c>
      <c r="D296">
        <v>3.7861189999999998</v>
      </c>
      <c r="E296">
        <v>0.48829319999999998</v>
      </c>
      <c r="F296" t="s">
        <v>43</v>
      </c>
      <c r="G296">
        <v>-360.00099999999998</v>
      </c>
      <c r="H296" s="1">
        <v>-4.3621479999999998E-6</v>
      </c>
      <c r="I296">
        <v>369.10730000000001</v>
      </c>
      <c r="J296">
        <v>-414.29309999999998</v>
      </c>
      <c r="K296">
        <v>1.0588219999999999</v>
      </c>
      <c r="L296">
        <v>368.52699999999999</v>
      </c>
      <c r="M296">
        <v>0.99983129999999998</v>
      </c>
      <c r="N296">
        <v>0</v>
      </c>
      <c r="O296">
        <v>-1.65889E-2</v>
      </c>
      <c r="P296">
        <v>0.99951950000000001</v>
      </c>
      <c r="Q296">
        <v>-2.5538959999999999E-2</v>
      </c>
      <c r="R296">
        <v>-1.7568360000000002E-2</v>
      </c>
      <c r="S296">
        <v>3.0004879999999998</v>
      </c>
      <c r="T296">
        <v>-5.8120129999999999E-2</v>
      </c>
      <c r="U296">
        <v>3.1524660000000003E-2</v>
      </c>
      <c r="V296">
        <v>9.8333470000000001E-4</v>
      </c>
      <c r="W296">
        <v>-1.764835E-2</v>
      </c>
      <c r="X296">
        <v>0.99984379999999995</v>
      </c>
      <c r="Y296">
        <v>-2.7084790000000001E-2</v>
      </c>
      <c r="Z296">
        <v>5.8358499999999996E-4</v>
      </c>
      <c r="AA296">
        <v>0.99963299999999999</v>
      </c>
      <c r="AB296">
        <v>35</v>
      </c>
      <c r="AC296">
        <v>54.292099999999998</v>
      </c>
      <c r="AD296">
        <v>-1.0588263621480001</v>
      </c>
      <c r="AE296">
        <v>0.58030000000002202</v>
      </c>
      <c r="AF296">
        <v>-1.4803313923730099</v>
      </c>
      <c r="AG296">
        <v>-1.0588263621480001</v>
      </c>
      <c r="AH296">
        <v>54.2543688689588</v>
      </c>
      <c r="AI296">
        <v>91.117624659104493</v>
      </c>
      <c r="AJ296">
        <v>91.562928559066094</v>
      </c>
      <c r="AK296">
        <v>54.284887728220198</v>
      </c>
      <c r="AL296">
        <v>91.011228440473502</v>
      </c>
      <c r="AM296">
        <v>89.943650288181402</v>
      </c>
      <c r="AN296">
        <v>1.0000000278016401</v>
      </c>
    </row>
    <row r="297" spans="1:40" x14ac:dyDescent="0.25">
      <c r="A297" t="str">
        <f>"20190312151507523"</f>
        <v>20190312151507523</v>
      </c>
      <c r="B297" t="str">
        <f>"1552374907518343"</f>
        <v>1552374907518343</v>
      </c>
      <c r="C297" t="s">
        <v>40</v>
      </c>
      <c r="D297">
        <v>3.7525810000000002</v>
      </c>
      <c r="E297">
        <v>0.48805939999999998</v>
      </c>
      <c r="F297" t="s">
        <v>43</v>
      </c>
      <c r="G297">
        <v>-343.3064</v>
      </c>
      <c r="H297" s="1">
        <v>-3.1676520000000001E-6</v>
      </c>
      <c r="I297">
        <v>369.4864</v>
      </c>
      <c r="J297">
        <v>-413.95310000000001</v>
      </c>
      <c r="K297">
        <v>1.0588200000000001</v>
      </c>
      <c r="L297">
        <v>368.5213</v>
      </c>
      <c r="M297">
        <v>0.99983029999999995</v>
      </c>
      <c r="N297">
        <v>0</v>
      </c>
      <c r="O297">
        <v>-1.658714E-2</v>
      </c>
      <c r="P297">
        <v>0.99950530000000004</v>
      </c>
      <c r="Q297">
        <v>-2.6014280000000001E-2</v>
      </c>
      <c r="R297">
        <v>-1.767415E-2</v>
      </c>
      <c r="S297">
        <v>3.0009769999999998</v>
      </c>
      <c r="T297">
        <v>-4.476202E-2</v>
      </c>
      <c r="U297">
        <v>4.0557860000000001E-2</v>
      </c>
      <c r="V297">
        <v>1.0910570000000001E-3</v>
      </c>
      <c r="W297">
        <v>-1.7988230000000001E-2</v>
      </c>
      <c r="X297">
        <v>0.99983759999999999</v>
      </c>
      <c r="Y297">
        <v>-3.009276E-2</v>
      </c>
      <c r="Z297">
        <v>4.7179850000000001E-4</v>
      </c>
      <c r="AA297">
        <v>0.99954699999999996</v>
      </c>
      <c r="AB297">
        <v>35</v>
      </c>
      <c r="AC297">
        <v>70.646699999999996</v>
      </c>
      <c r="AD297">
        <v>-1.0588231676519999</v>
      </c>
      <c r="AE297">
        <v>0.96510000000000595</v>
      </c>
      <c r="AF297">
        <v>-2.1363517659280298</v>
      </c>
      <c r="AG297">
        <v>-1.0588231676519999</v>
      </c>
      <c r="AH297">
        <v>70.605114419274102</v>
      </c>
      <c r="AI297">
        <v>90.858773567959901</v>
      </c>
      <c r="AJ297">
        <v>91.733112485910297</v>
      </c>
      <c r="AK297">
        <v>70.645362816868101</v>
      </c>
      <c r="AL297">
        <v>91.030705253832394</v>
      </c>
      <c r="AM297">
        <v>89.937476909755205</v>
      </c>
      <c r="AN297">
        <v>0.99999999659883498</v>
      </c>
    </row>
    <row r="298" spans="1:40" x14ac:dyDescent="0.25">
      <c r="A298" t="str">
        <f>"20190312151507543"</f>
        <v>20190312151507543</v>
      </c>
      <c r="B298" t="str">
        <f>"1552374907537863"</f>
        <v>1552374907537863</v>
      </c>
      <c r="C298" t="s">
        <v>40</v>
      </c>
      <c r="D298">
        <v>3.7721490000000002</v>
      </c>
      <c r="E298">
        <v>0.48793599999999998</v>
      </c>
      <c r="F298" t="s">
        <v>43</v>
      </c>
      <c r="G298">
        <v>-341.87389999999999</v>
      </c>
      <c r="H298" s="1">
        <v>-3.837326E-6</v>
      </c>
      <c r="I298">
        <v>369.52839999999998</v>
      </c>
      <c r="J298">
        <v>-413.61099999999999</v>
      </c>
      <c r="K298">
        <v>1.058821</v>
      </c>
      <c r="L298">
        <v>368.51569999999998</v>
      </c>
      <c r="M298">
        <v>0.99982939999999998</v>
      </c>
      <c r="N298">
        <v>0</v>
      </c>
      <c r="O298">
        <v>-1.658366E-2</v>
      </c>
      <c r="P298">
        <v>0.99952110000000005</v>
      </c>
      <c r="Q298">
        <v>-2.54688E-2</v>
      </c>
      <c r="R298">
        <v>-1.7577990000000002E-2</v>
      </c>
      <c r="S298">
        <v>3.001099</v>
      </c>
      <c r="T298">
        <v>-4.408538E-2</v>
      </c>
      <c r="U298">
        <v>4.193115E-2</v>
      </c>
      <c r="V298">
        <v>9.9831279999999995E-4</v>
      </c>
      <c r="W298">
        <v>-1.7322460000000001E-2</v>
      </c>
      <c r="X298">
        <v>0.9998494</v>
      </c>
      <c r="Y298">
        <v>-3.0546159999999999E-2</v>
      </c>
      <c r="Z298">
        <v>4.6792619999999998E-4</v>
      </c>
      <c r="AA298">
        <v>0.99953320000000001</v>
      </c>
      <c r="AB298">
        <v>36</v>
      </c>
      <c r="AC298">
        <v>71.737099999999998</v>
      </c>
      <c r="AD298">
        <v>-1.0588248373260001</v>
      </c>
      <c r="AE298">
        <v>1.0126999999999899</v>
      </c>
      <c r="AF298">
        <v>-2.2017841871995998</v>
      </c>
      <c r="AG298">
        <v>-1.0588248373260001</v>
      </c>
      <c r="AH298">
        <v>71.694823637195995</v>
      </c>
      <c r="AI298">
        <v>90.845712417746398</v>
      </c>
      <c r="AJ298">
        <v>91.759029419424706</v>
      </c>
      <c r="AK298">
        <v>71.736439136688304</v>
      </c>
      <c r="AL298">
        <v>90.992553547985807</v>
      </c>
      <c r="AM298">
        <v>89.942792293453294</v>
      </c>
      <c r="AN298">
        <v>0.99999994346462695</v>
      </c>
    </row>
    <row r="299" spans="1:40" x14ac:dyDescent="0.25">
      <c r="A299" t="str">
        <f>"20190312151507567"</f>
        <v>20190312151507567</v>
      </c>
      <c r="B299" t="str">
        <f>"1552374907558360"</f>
        <v>1552374907558360</v>
      </c>
      <c r="C299" t="s">
        <v>40</v>
      </c>
      <c r="D299">
        <v>3.7935789999999998</v>
      </c>
      <c r="E299">
        <v>0.48793439999999999</v>
      </c>
      <c r="F299" t="s">
        <v>43</v>
      </c>
      <c r="G299">
        <v>-337.84379999999999</v>
      </c>
      <c r="H299" s="1">
        <v>-9.0960490000000003E-7</v>
      </c>
      <c r="I299">
        <v>369.60340000000002</v>
      </c>
      <c r="J299">
        <v>-413.24200000000002</v>
      </c>
      <c r="K299">
        <v>1.058827</v>
      </c>
      <c r="L299">
        <v>368.50959999999998</v>
      </c>
      <c r="M299">
        <v>0.99982859999999996</v>
      </c>
      <c r="N299">
        <v>0</v>
      </c>
      <c r="O299">
        <v>-1.657345E-2</v>
      </c>
      <c r="P299">
        <v>0.99953420000000004</v>
      </c>
      <c r="Q299">
        <v>-2.5431349999999998E-2</v>
      </c>
      <c r="R299">
        <v>-1.687758E-2</v>
      </c>
      <c r="S299">
        <v>3.00116</v>
      </c>
      <c r="T299">
        <v>-4.1940209999999999E-2</v>
      </c>
      <c r="U299">
        <v>4.3090820000000002E-2</v>
      </c>
      <c r="V299">
        <v>3.08275E-4</v>
      </c>
      <c r="W299">
        <v>-1.7171169999999999E-2</v>
      </c>
      <c r="X299">
        <v>0.99985250000000003</v>
      </c>
      <c r="Y299">
        <v>-3.092228E-2</v>
      </c>
      <c r="Z299">
        <v>4.476347E-4</v>
      </c>
      <c r="AA299">
        <v>0.99952169999999896</v>
      </c>
      <c r="AB299">
        <v>36</v>
      </c>
      <c r="AC299">
        <v>75.398199999999903</v>
      </c>
      <c r="AD299">
        <v>-1.0588279096049</v>
      </c>
      <c r="AE299">
        <v>1.0938000000000401</v>
      </c>
      <c r="AF299">
        <v>-2.3428386672487398</v>
      </c>
      <c r="AG299">
        <v>-1.0588279096049</v>
      </c>
      <c r="AH299">
        <v>75.354857166257304</v>
      </c>
      <c r="AI299">
        <v>90.804634054534404</v>
      </c>
      <c r="AJ299">
        <v>91.780794839835906</v>
      </c>
      <c r="AK299">
        <v>75.398703623536903</v>
      </c>
      <c r="AL299">
        <v>90.983883940678396</v>
      </c>
      <c r="AM299">
        <v>89.982334538474703</v>
      </c>
      <c r="AN299">
        <v>0.99999998293444703</v>
      </c>
    </row>
    <row r="300" spans="1:40" x14ac:dyDescent="0.25">
      <c r="A300" t="str">
        <f>"20190312151507588"</f>
        <v>20190312151507588</v>
      </c>
      <c r="B300" t="str">
        <f>"1552374907577879"</f>
        <v>1552374907577879</v>
      </c>
      <c r="C300" t="s">
        <v>40</v>
      </c>
      <c r="D300">
        <v>3.823998</v>
      </c>
      <c r="E300">
        <v>0.48801430000000001</v>
      </c>
      <c r="F300" t="s">
        <v>43</v>
      </c>
      <c r="G300">
        <v>-338.58789999999999</v>
      </c>
      <c r="H300" s="1">
        <v>-5.9454990000000005E-7</v>
      </c>
      <c r="I300">
        <v>369.64060000000001</v>
      </c>
      <c r="J300">
        <v>-412.90359999999998</v>
      </c>
      <c r="K300">
        <v>1.058837</v>
      </c>
      <c r="L300">
        <v>368.50389999999999</v>
      </c>
      <c r="M300">
        <v>0.9998281</v>
      </c>
      <c r="N300">
        <v>0</v>
      </c>
      <c r="O300">
        <v>-1.6551550000000002E-2</v>
      </c>
      <c r="P300">
        <v>0.99952909999999995</v>
      </c>
      <c r="Q300">
        <v>-2.5769859999999999E-2</v>
      </c>
      <c r="R300">
        <v>-1.6650370000000001E-2</v>
      </c>
      <c r="S300">
        <v>3.001099</v>
      </c>
      <c r="T300">
        <v>-4.2564869999999998E-2</v>
      </c>
      <c r="U300">
        <v>4.5471190000000002E-2</v>
      </c>
      <c r="V300">
        <v>1.035721E-4</v>
      </c>
      <c r="W300">
        <v>-1.741846E-2</v>
      </c>
      <c r="X300">
        <v>0.99984830000000002</v>
      </c>
      <c r="Y300">
        <v>-3.1693079999999998E-2</v>
      </c>
      <c r="Z300">
        <v>4.5946330000000001E-4</v>
      </c>
      <c r="AA300">
        <v>0.99949750000000004</v>
      </c>
      <c r="AB300">
        <v>36</v>
      </c>
      <c r="AC300">
        <v>74.315699999999893</v>
      </c>
      <c r="AD300">
        <v>-1.0588375945499</v>
      </c>
      <c r="AE300">
        <v>1.13670000000001</v>
      </c>
      <c r="AF300">
        <v>-2.3661470248512702</v>
      </c>
      <c r="AG300">
        <v>-1.0588375945499</v>
      </c>
      <c r="AH300">
        <v>74.271630586408904</v>
      </c>
      <c r="AI300">
        <v>90.816355566489605</v>
      </c>
      <c r="AJ300">
        <v>91.824712883654399</v>
      </c>
      <c r="AK300">
        <v>74.316854742103004</v>
      </c>
      <c r="AL300">
        <v>90.998054698503196</v>
      </c>
      <c r="AM300">
        <v>89.994064855454496</v>
      </c>
      <c r="AN300">
        <v>1.00000001824442</v>
      </c>
    </row>
    <row r="301" spans="1:40" x14ac:dyDescent="0.25">
      <c r="A301" t="str">
        <f>"20190312151507612"</f>
        <v>20190312151507612</v>
      </c>
      <c r="B301" t="str">
        <f>"1552374907608135"</f>
        <v>1552374907608135</v>
      </c>
      <c r="C301" t="s">
        <v>40</v>
      </c>
      <c r="D301">
        <v>3.8692139999999999</v>
      </c>
      <c r="E301">
        <v>0.488012</v>
      </c>
      <c r="F301" t="s">
        <v>43</v>
      </c>
      <c r="G301">
        <v>-338.69650000000001</v>
      </c>
      <c r="H301" s="1">
        <v>-5.4344369999999998E-7</v>
      </c>
      <c r="I301">
        <v>369.62369999999999</v>
      </c>
      <c r="J301">
        <v>-412.53840000000002</v>
      </c>
      <c r="K301">
        <v>1.0588500000000001</v>
      </c>
      <c r="L301">
        <v>368.49790000000002</v>
      </c>
      <c r="M301">
        <v>0.99982800000000005</v>
      </c>
      <c r="N301">
        <v>0</v>
      </c>
      <c r="O301">
        <v>-1.6509320000000001E-2</v>
      </c>
      <c r="P301">
        <v>0.9995212</v>
      </c>
      <c r="Q301">
        <v>-2.6002919999999999E-2</v>
      </c>
      <c r="R301">
        <v>-1.677176E-2</v>
      </c>
      <c r="S301">
        <v>3.0010680000000001</v>
      </c>
      <c r="T301">
        <v>-4.2821289999999998E-2</v>
      </c>
      <c r="U301">
        <v>4.5288090000000003E-2</v>
      </c>
      <c r="V301">
        <v>2.677841E-4</v>
      </c>
      <c r="W301">
        <v>-1.7564739999999999E-2</v>
      </c>
      <c r="X301">
        <v>0.99984569999999995</v>
      </c>
      <c r="Y301">
        <v>-3.1590020000000003E-2</v>
      </c>
      <c r="Z301">
        <v>4.608983E-4</v>
      </c>
      <c r="AA301">
        <v>0.99950079999999997</v>
      </c>
      <c r="AB301">
        <v>36</v>
      </c>
      <c r="AC301">
        <v>73.841899999999995</v>
      </c>
      <c r="AD301">
        <v>-1.0588505434436899</v>
      </c>
      <c r="AE301">
        <v>1.1257999999999599</v>
      </c>
      <c r="AF301">
        <v>-2.34428772517143</v>
      </c>
      <c r="AG301">
        <v>-1.0588505434436899</v>
      </c>
      <c r="AH301">
        <v>73.798077878854301</v>
      </c>
      <c r="AI301">
        <v>90.821605740806206</v>
      </c>
      <c r="AJ301">
        <v>91.819459856414795</v>
      </c>
      <c r="AK301">
        <v>73.842895040925796</v>
      </c>
      <c r="AL301">
        <v>91.006437217931406</v>
      </c>
      <c r="AM301">
        <v>89.984654733841495</v>
      </c>
      <c r="AN301">
        <v>1.0000000078040401</v>
      </c>
    </row>
    <row r="302" spans="1:40" x14ac:dyDescent="0.25">
      <c r="A302" t="str">
        <f>"20190312151507634"</f>
        <v>20190312151507634</v>
      </c>
      <c r="B302" t="str">
        <f>"1552374907627656"</f>
        <v>1552374907627656</v>
      </c>
      <c r="C302" t="s">
        <v>40</v>
      </c>
      <c r="D302">
        <v>3.7963019999999998</v>
      </c>
      <c r="E302">
        <v>0.48793160000000002</v>
      </c>
      <c r="F302" t="s">
        <v>43</v>
      </c>
      <c r="G302">
        <v>-343.80779999999999</v>
      </c>
      <c r="H302" s="1">
        <v>-2.9221069999999999E-6</v>
      </c>
      <c r="I302">
        <v>369.53440000000001</v>
      </c>
      <c r="J302">
        <v>-412.17689999999999</v>
      </c>
      <c r="K302">
        <v>1.0588709999999999</v>
      </c>
      <c r="L302">
        <v>368.49200000000002</v>
      </c>
      <c r="M302">
        <v>0.99982870000000001</v>
      </c>
      <c r="N302">
        <v>0</v>
      </c>
      <c r="O302">
        <v>-1.644398E-2</v>
      </c>
      <c r="P302">
        <v>0.99952010000000002</v>
      </c>
      <c r="Q302">
        <v>-2.6052039999999999E-2</v>
      </c>
      <c r="R302">
        <v>-1.6773260000000002E-2</v>
      </c>
      <c r="S302">
        <v>3.001007</v>
      </c>
      <c r="T302">
        <v>-4.6233059999999999E-2</v>
      </c>
      <c r="U302">
        <v>4.5257569999999997E-2</v>
      </c>
      <c r="V302">
        <v>3.354721E-4</v>
      </c>
      <c r="W302">
        <v>-1.7539079999999999E-2</v>
      </c>
      <c r="X302">
        <v>0.99984609999999996</v>
      </c>
      <c r="Y302">
        <v>-3.1514060000000003E-2</v>
      </c>
      <c r="Z302">
        <v>4.960349E-4</v>
      </c>
      <c r="AA302">
        <v>0.99950320000000004</v>
      </c>
      <c r="AB302">
        <v>36</v>
      </c>
      <c r="AC302">
        <v>68.369100000000003</v>
      </c>
      <c r="AD302">
        <v>-1.0588739221069901</v>
      </c>
      <c r="AE302">
        <v>1.04240000000004</v>
      </c>
      <c r="AF302">
        <v>-2.1660402887016601</v>
      </c>
      <c r="AG302">
        <v>-1.0588739221069901</v>
      </c>
      <c r="AH302">
        <v>68.326327871838899</v>
      </c>
      <c r="AI302">
        <v>90.887413347262594</v>
      </c>
      <c r="AJ302">
        <v>91.815748356835897</v>
      </c>
      <c r="AK302">
        <v>68.368852739864096</v>
      </c>
      <c r="AL302">
        <v>91.004966811904097</v>
      </c>
      <c r="AM302">
        <v>89.980775906658906</v>
      </c>
      <c r="AN302">
        <v>0.99999997777699201</v>
      </c>
    </row>
    <row r="303" spans="1:40" x14ac:dyDescent="0.25">
      <c r="A303" t="str">
        <f>"20190312151507654"</f>
        <v>20190312151507654</v>
      </c>
      <c r="B303" t="str">
        <f>"1552374907648151"</f>
        <v>1552374907648151</v>
      </c>
      <c r="C303" t="s">
        <v>40</v>
      </c>
      <c r="D303">
        <v>3.8993340000000001</v>
      </c>
      <c r="E303">
        <v>0.48780269999999998</v>
      </c>
      <c r="F303" t="s">
        <v>43</v>
      </c>
      <c r="G303">
        <v>-342.42039999999997</v>
      </c>
      <c r="H303" s="1">
        <v>-3.5737140000000002E-6</v>
      </c>
      <c r="I303">
        <v>369.5582</v>
      </c>
      <c r="J303">
        <v>-411.83240000000001</v>
      </c>
      <c r="K303">
        <v>1.0588900000000001</v>
      </c>
      <c r="L303">
        <v>368.4864</v>
      </c>
      <c r="M303">
        <v>0.99982950000000004</v>
      </c>
      <c r="N303">
        <v>0</v>
      </c>
      <c r="O303">
        <v>-1.6355580000000002E-2</v>
      </c>
      <c r="P303">
        <v>0.99951730000000005</v>
      </c>
      <c r="Q303">
        <v>-2.605785E-2</v>
      </c>
      <c r="R303">
        <v>-1.6919489999999999E-2</v>
      </c>
      <c r="S303">
        <v>3.0010379999999999</v>
      </c>
      <c r="T303">
        <v>-4.5554520000000001E-2</v>
      </c>
      <c r="U303">
        <v>4.586792E-2</v>
      </c>
      <c r="V303">
        <v>5.710073E-4</v>
      </c>
      <c r="W303">
        <v>-1.74822E-2</v>
      </c>
      <c r="X303">
        <v>0.99984700000000004</v>
      </c>
      <c r="Y303">
        <v>-3.162893E-2</v>
      </c>
      <c r="Z303">
        <v>4.8828000000000001E-4</v>
      </c>
      <c r="AA303">
        <v>0.99949960000000004</v>
      </c>
      <c r="AB303">
        <v>36</v>
      </c>
      <c r="AC303">
        <v>69.412000000000006</v>
      </c>
      <c r="AD303">
        <v>-1.0588935737139999</v>
      </c>
      <c r="AE303">
        <v>1.0717999999999901</v>
      </c>
      <c r="AF303">
        <v>-2.2064584804260599</v>
      </c>
      <c r="AG303">
        <v>-1.0588935737139999</v>
      </c>
      <c r="AH303">
        <v>69.369044331048599</v>
      </c>
      <c r="AI303">
        <v>90.874089611128099</v>
      </c>
      <c r="AJ303">
        <v>91.821823430989596</v>
      </c>
      <c r="AK303">
        <v>69.412203725492503</v>
      </c>
      <c r="AL303">
        <v>91.001707317508803</v>
      </c>
      <c r="AM303">
        <v>89.967278688834995</v>
      </c>
      <c r="AN303">
        <v>0.99999998838758797</v>
      </c>
    </row>
    <row r="304" spans="1:40" x14ac:dyDescent="0.25">
      <c r="A304" t="str">
        <f>"20190312151507678"</f>
        <v>20190312151507678</v>
      </c>
      <c r="B304" t="str">
        <f>"1552374907667675"</f>
        <v>1552374907667675</v>
      </c>
      <c r="C304" t="s">
        <v>40</v>
      </c>
      <c r="D304">
        <v>4.1948990000000004</v>
      </c>
      <c r="E304">
        <v>0.48781439999999998</v>
      </c>
      <c r="F304" t="s">
        <v>43</v>
      </c>
      <c r="G304">
        <v>-340.71679999999998</v>
      </c>
      <c r="H304" s="1">
        <v>-4.3746819999999997E-6</v>
      </c>
      <c r="I304">
        <v>369.58269999999999</v>
      </c>
      <c r="J304">
        <v>-411.46530000000001</v>
      </c>
      <c r="K304">
        <v>1.0589150000000001</v>
      </c>
      <c r="L304">
        <v>368.48050000000001</v>
      </c>
      <c r="M304">
        <v>0.99983100000000003</v>
      </c>
      <c r="N304">
        <v>0</v>
      </c>
      <c r="O304">
        <v>-1.623807E-2</v>
      </c>
      <c r="P304">
        <v>0.99950039999999996</v>
      </c>
      <c r="Q304">
        <v>-2.6295599999999902E-2</v>
      </c>
      <c r="R304">
        <v>-1.7538999999999999E-2</v>
      </c>
      <c r="S304">
        <v>3.0010379999999999</v>
      </c>
      <c r="T304">
        <v>-4.4684769999999999E-2</v>
      </c>
      <c r="U304">
        <v>4.6264649999999997E-2</v>
      </c>
      <c r="V304">
        <v>1.3091019999999999E-3</v>
      </c>
      <c r="W304">
        <v>-1.7661219999999998E-2</v>
      </c>
      <c r="X304">
        <v>0.99984320000000004</v>
      </c>
      <c r="Y304">
        <v>-3.1643789999999998E-2</v>
      </c>
      <c r="Z304">
        <v>4.773194E-4</v>
      </c>
      <c r="AA304">
        <v>0.99949909999999997</v>
      </c>
      <c r="AB304">
        <v>36</v>
      </c>
      <c r="AC304">
        <v>70.748500000000007</v>
      </c>
      <c r="AD304">
        <v>-1.058919374682</v>
      </c>
      <c r="AE304">
        <v>1.1021999999999801</v>
      </c>
      <c r="AF304">
        <v>-2.2504124224681101</v>
      </c>
      <c r="AG304">
        <v>-1.058919374682</v>
      </c>
      <c r="AH304">
        <v>70.705437370279199</v>
      </c>
      <c r="AI304">
        <v>90.857591398234007</v>
      </c>
      <c r="AJ304">
        <v>91.822994466109293</v>
      </c>
      <c r="AK304">
        <v>70.749166355765297</v>
      </c>
      <c r="AL304">
        <v>91.011965951362299</v>
      </c>
      <c r="AM304">
        <v>89.924982260526804</v>
      </c>
      <c r="AN304">
        <v>1.0000000285130799</v>
      </c>
    </row>
    <row r="305" spans="1:40" x14ac:dyDescent="0.25">
      <c r="A305" t="str">
        <f>"20190312151507702"</f>
        <v>20190312151507702</v>
      </c>
      <c r="B305" t="str">
        <f>"1552374907697927"</f>
        <v>1552374907697927</v>
      </c>
      <c r="C305" t="s">
        <v>40</v>
      </c>
      <c r="D305">
        <v>3.9488210000000001</v>
      </c>
      <c r="E305">
        <v>0.4878421</v>
      </c>
      <c r="F305" t="s">
        <v>43</v>
      </c>
      <c r="G305">
        <v>-340.65230000000003</v>
      </c>
      <c r="H305" s="1">
        <v>-4.4144340000000001E-6</v>
      </c>
      <c r="I305">
        <v>369.53039999999999</v>
      </c>
      <c r="J305">
        <v>-411.08</v>
      </c>
      <c r="K305">
        <v>1.058935</v>
      </c>
      <c r="L305">
        <v>368.4744</v>
      </c>
      <c r="M305">
        <v>0.99983290000000002</v>
      </c>
      <c r="N305">
        <v>0</v>
      </c>
      <c r="O305">
        <v>-1.6088470000000001E-2</v>
      </c>
      <c r="P305">
        <v>0.99950720000000004</v>
      </c>
      <c r="Q305">
        <v>-2.5953830000000001E-2</v>
      </c>
      <c r="R305">
        <v>-1.7659169999999998E-2</v>
      </c>
      <c r="S305">
        <v>3.001099</v>
      </c>
      <c r="T305">
        <v>-4.4877649999999998E-2</v>
      </c>
      <c r="U305">
        <v>4.449463E-2</v>
      </c>
      <c r="V305">
        <v>1.5793059999999999E-3</v>
      </c>
      <c r="W305">
        <v>-1.7265119999999998E-2</v>
      </c>
      <c r="X305">
        <v>0.99984969999999995</v>
      </c>
      <c r="Y305">
        <v>-3.0904629999999999E-2</v>
      </c>
      <c r="Z305">
        <v>4.7160909999999998E-4</v>
      </c>
      <c r="AA305">
        <v>0.99952220000000003</v>
      </c>
      <c r="AB305">
        <v>36</v>
      </c>
      <c r="AC305">
        <v>70.427699999999902</v>
      </c>
      <c r="AD305">
        <v>-1.0589394144340001</v>
      </c>
      <c r="AE305">
        <v>1.0559999999999801</v>
      </c>
      <c r="AF305">
        <v>-2.1884852803663501</v>
      </c>
      <c r="AG305">
        <v>-1.0589394144340001</v>
      </c>
      <c r="AH305">
        <v>70.385684980930606</v>
      </c>
      <c r="AI305">
        <v>90.861522936707999</v>
      </c>
      <c r="AJ305">
        <v>91.780910221997999</v>
      </c>
      <c r="AK305">
        <v>70.427661261329902</v>
      </c>
      <c r="AL305">
        <v>90.989267659899198</v>
      </c>
      <c r="AM305">
        <v>89.909498904579706</v>
      </c>
      <c r="AN305">
        <v>1.00000000058307</v>
      </c>
    </row>
    <row r="306" spans="1:40" x14ac:dyDescent="0.25">
      <c r="A306" t="str">
        <f>"20190312151507723"</f>
        <v>20190312151507723</v>
      </c>
      <c r="B306" t="str">
        <f>"1552374907718424"</f>
        <v>1552374907718424</v>
      </c>
      <c r="C306" t="s">
        <v>40</v>
      </c>
      <c r="D306">
        <v>4.0191670000000004</v>
      </c>
      <c r="E306">
        <v>0.48779289999999997</v>
      </c>
      <c r="F306" t="s">
        <v>43</v>
      </c>
      <c r="G306">
        <v>-338.07350000000002</v>
      </c>
      <c r="H306" s="1">
        <v>-8.2293499999999905E-7</v>
      </c>
      <c r="I306">
        <v>369.5367</v>
      </c>
      <c r="J306">
        <v>-410.73779999999999</v>
      </c>
      <c r="K306">
        <v>1.0589569999999999</v>
      </c>
      <c r="L306">
        <v>368.46899999999999</v>
      </c>
      <c r="M306">
        <v>0.99983500000000003</v>
      </c>
      <c r="N306">
        <v>0</v>
      </c>
      <c r="O306">
        <v>-1.5933019999999999E-2</v>
      </c>
      <c r="P306">
        <v>0.9994864</v>
      </c>
      <c r="Q306">
        <v>-2.649584E-2</v>
      </c>
      <c r="R306">
        <v>-1.803074E-2</v>
      </c>
      <c r="S306">
        <v>3.0011290000000002</v>
      </c>
      <c r="T306">
        <v>-4.3530340000000001E-2</v>
      </c>
      <c r="U306">
        <v>4.3670649999999998E-2</v>
      </c>
      <c r="V306">
        <v>2.1077100000000001E-3</v>
      </c>
      <c r="W306">
        <v>-1.776434E-2</v>
      </c>
      <c r="X306">
        <v>0.99983999999999995</v>
      </c>
      <c r="Y306">
        <v>-3.047509E-2</v>
      </c>
      <c r="Z306">
        <v>4.5207880000000002E-4</v>
      </c>
      <c r="AA306">
        <v>0.99953539999999996</v>
      </c>
      <c r="AB306">
        <v>36</v>
      </c>
      <c r="AC306">
        <v>72.664299999999898</v>
      </c>
      <c r="AD306">
        <v>-1.0589578229349901</v>
      </c>
      <c r="AE306">
        <v>1.0677000000000001</v>
      </c>
      <c r="AF306">
        <v>-2.2248978411359199</v>
      </c>
      <c r="AG306">
        <v>-1.0589578229349901</v>
      </c>
      <c r="AH306">
        <v>72.622642737403694</v>
      </c>
      <c r="AI306">
        <v>90.835015968874998</v>
      </c>
      <c r="AJ306">
        <v>91.754788738269497</v>
      </c>
      <c r="AK306">
        <v>72.664432841926299</v>
      </c>
      <c r="AL306">
        <v>91.017875227806201</v>
      </c>
      <c r="AM306">
        <v>89.879217966321207</v>
      </c>
      <c r="AN306">
        <v>1.0000000199085299</v>
      </c>
    </row>
    <row r="307" spans="1:40" x14ac:dyDescent="0.25">
      <c r="A307" t="str">
        <f>"20190312151507745"</f>
        <v>20190312151507745</v>
      </c>
      <c r="B307" t="str">
        <f>"1552374907737943"</f>
        <v>1552374907737943</v>
      </c>
      <c r="C307" t="s">
        <v>40</v>
      </c>
      <c r="D307">
        <v>3.6757339999999998</v>
      </c>
      <c r="E307">
        <v>0.48774519999999999</v>
      </c>
      <c r="F307" t="s">
        <v>43</v>
      </c>
      <c r="G307">
        <v>-341.4665</v>
      </c>
      <c r="H307" s="1">
        <v>-4.040774E-6</v>
      </c>
      <c r="I307">
        <v>369.46719999999999</v>
      </c>
      <c r="J307">
        <v>-410.38639999999998</v>
      </c>
      <c r="K307">
        <v>1.0589759999999999</v>
      </c>
      <c r="L307">
        <v>368.46350000000001</v>
      </c>
      <c r="M307">
        <v>0.99983759999999999</v>
      </c>
      <c r="N307">
        <v>0</v>
      </c>
      <c r="O307">
        <v>-1.5752390000000002E-2</v>
      </c>
      <c r="P307">
        <v>0.99949390000000005</v>
      </c>
      <c r="Q307">
        <v>-2.6346069999999999E-2</v>
      </c>
      <c r="R307">
        <v>-1.784092E-2</v>
      </c>
      <c r="S307">
        <v>3.0010680000000001</v>
      </c>
      <c r="T307">
        <v>-4.5877809999999998E-2</v>
      </c>
      <c r="U307">
        <v>4.3243410000000003E-2</v>
      </c>
      <c r="V307">
        <v>2.0990029999999999E-3</v>
      </c>
      <c r="W307">
        <v>-1.757543E-2</v>
      </c>
      <c r="X307">
        <v>0.99984340000000005</v>
      </c>
      <c r="Y307">
        <v>-3.0152060000000001E-2</v>
      </c>
      <c r="Z307">
        <v>4.7123569999999999E-4</v>
      </c>
      <c r="AA307">
        <v>0.99954520000000002</v>
      </c>
      <c r="AB307">
        <v>36</v>
      </c>
      <c r="AC307">
        <v>68.919899999999899</v>
      </c>
      <c r="AD307">
        <v>-1.058980040774</v>
      </c>
      <c r="AE307">
        <v>1.0036999999999801</v>
      </c>
      <c r="AF307">
        <v>-2.08877715601293</v>
      </c>
      <c r="AG307">
        <v>-1.058980040774</v>
      </c>
      <c r="AH307">
        <v>68.879278132962398</v>
      </c>
      <c r="AI307">
        <v>90.880416222106902</v>
      </c>
      <c r="AJ307">
        <v>91.736973046764106</v>
      </c>
      <c r="AK307">
        <v>68.919078525849699</v>
      </c>
      <c r="AL307">
        <v>91.007049748742602</v>
      </c>
      <c r="AM307">
        <v>89.879717327323306</v>
      </c>
      <c r="AN307">
        <v>1.00000006303841</v>
      </c>
    </row>
    <row r="308" spans="1:40" x14ac:dyDescent="0.25">
      <c r="A308" t="str">
        <f>"20190312151507903"</f>
        <v>20190312151507903</v>
      </c>
      <c r="B308" t="str">
        <f>"1552374907898007"</f>
        <v>1552374907898007</v>
      </c>
      <c r="C308" t="s">
        <v>40</v>
      </c>
      <c r="D308">
        <v>4.1874310000000001</v>
      </c>
      <c r="E308">
        <v>0.4885137</v>
      </c>
      <c r="F308" t="s">
        <v>43</v>
      </c>
      <c r="G308">
        <v>-344.16489999999999</v>
      </c>
      <c r="H308" s="1">
        <v>-2.7713719999999999E-6</v>
      </c>
      <c r="I308">
        <v>369.43259999999998</v>
      </c>
      <c r="J308">
        <v>-407.81700000000001</v>
      </c>
      <c r="K308">
        <v>1.0590999999999999</v>
      </c>
      <c r="L308">
        <v>368.42619999999999</v>
      </c>
      <c r="M308">
        <v>0.99986019999999998</v>
      </c>
      <c r="N308">
        <v>0</v>
      </c>
      <c r="O308">
        <v>-1.410464E-2</v>
      </c>
      <c r="P308">
        <v>0.99957220000000002</v>
      </c>
      <c r="Q308">
        <v>-2.3497239999999999E-2</v>
      </c>
      <c r="R308">
        <v>-1.7420020000000001E-2</v>
      </c>
      <c r="S308">
        <v>3.0010379999999999</v>
      </c>
      <c r="T308">
        <v>-4.7991039999999999E-2</v>
      </c>
      <c r="U308">
        <v>4.3914790000000002E-2</v>
      </c>
      <c r="V308">
        <v>3.3264499999999999E-3</v>
      </c>
      <c r="W308">
        <v>-1.4513949999999999E-2</v>
      </c>
      <c r="X308">
        <v>0.99988909999999998</v>
      </c>
      <c r="Y308">
        <v>-2.8728409999999999E-2</v>
      </c>
      <c r="Z308">
        <v>4.5521489999999999E-4</v>
      </c>
      <c r="AA308">
        <v>0.99958720000000001</v>
      </c>
      <c r="AB308">
        <v>36</v>
      </c>
      <c r="AC308">
        <v>63.652099999999898</v>
      </c>
      <c r="AD308">
        <v>-1.059102771372</v>
      </c>
      <c r="AE308">
        <v>1.00639999999998</v>
      </c>
      <c r="AF308">
        <v>-1.9035991492961</v>
      </c>
      <c r="AG308">
        <v>-1.059102771372</v>
      </c>
      <c r="AH308">
        <v>63.613964813960699</v>
      </c>
      <c r="AI308">
        <v>90.953397100637503</v>
      </c>
      <c r="AJ308">
        <v>91.714020805719699</v>
      </c>
      <c r="AK308">
        <v>63.651252208839999</v>
      </c>
      <c r="AL308">
        <v>90.831617306307805</v>
      </c>
      <c r="AM308">
        <v>89.809388018503498</v>
      </c>
      <c r="AN308">
        <v>0.99999996615650599</v>
      </c>
    </row>
    <row r="309" spans="1:40" x14ac:dyDescent="0.25">
      <c r="A309" t="str">
        <f>"20190312151507926"</f>
        <v>20190312151507926</v>
      </c>
      <c r="B309" t="str">
        <f>"1552374907918503"</f>
        <v>1552374907918503</v>
      </c>
      <c r="C309" t="s">
        <v>40</v>
      </c>
      <c r="D309">
        <v>4.0846910000000003</v>
      </c>
      <c r="E309">
        <v>0.48884119999999998</v>
      </c>
      <c r="F309" t="s">
        <v>43</v>
      </c>
      <c r="G309">
        <v>-321.0197</v>
      </c>
      <c r="H309" s="1">
        <v>-3.8463629999999998E-6</v>
      </c>
      <c r="I309">
        <v>369.55149999999998</v>
      </c>
      <c r="J309">
        <v>-407.45150000000001</v>
      </c>
      <c r="K309">
        <v>1.05911</v>
      </c>
      <c r="L309">
        <v>368.42129999999997</v>
      </c>
      <c r="M309">
        <v>0.99986359999999996</v>
      </c>
      <c r="N309">
        <v>0</v>
      </c>
      <c r="O309">
        <v>-1.3857349999999999E-2</v>
      </c>
      <c r="P309">
        <v>0.99958389999999997</v>
      </c>
      <c r="Q309">
        <v>-2.2847079999999999E-2</v>
      </c>
      <c r="R309">
        <v>-1.762006E-2</v>
      </c>
      <c r="S309">
        <v>3.0010379999999999</v>
      </c>
      <c r="T309">
        <v>-3.6618709999999999E-2</v>
      </c>
      <c r="U309">
        <v>3.8909909999999999E-2</v>
      </c>
      <c r="V309">
        <v>3.7731399999999999E-3</v>
      </c>
      <c r="W309">
        <v>-1.3836630000000001E-2</v>
      </c>
      <c r="X309">
        <v>0.99989709999999998</v>
      </c>
      <c r="Y309">
        <v>-2.681687E-2</v>
      </c>
      <c r="Z309">
        <v>3.3267779999999997E-4</v>
      </c>
      <c r="AA309">
        <v>0.99964030000000004</v>
      </c>
      <c r="AB309">
        <v>37</v>
      </c>
      <c r="AC309">
        <v>86.431799999999996</v>
      </c>
      <c r="AD309">
        <v>-1.0591138463629901</v>
      </c>
      <c r="AE309">
        <v>1.1302000000000001</v>
      </c>
      <c r="AF309">
        <v>-2.3275061139929099</v>
      </c>
      <c r="AG309">
        <v>-1.0591138463629901</v>
      </c>
      <c r="AH309">
        <v>86.394867783899002</v>
      </c>
      <c r="AI309">
        <v>90.702098509708094</v>
      </c>
      <c r="AJ309">
        <v>91.543193850367999</v>
      </c>
      <c r="AK309">
        <v>86.432703221914906</v>
      </c>
      <c r="AL309">
        <v>90.792805840315694</v>
      </c>
      <c r="AM309">
        <v>89.783793780982506</v>
      </c>
      <c r="AN309">
        <v>0.99999994975181195</v>
      </c>
    </row>
    <row r="310" spans="1:40" x14ac:dyDescent="0.25">
      <c r="A310" t="str">
        <f>"20190312151507947"</f>
        <v>20190312151507947</v>
      </c>
      <c r="B310" t="str">
        <f>"1552374907938023"</f>
        <v>1552374907938023</v>
      </c>
      <c r="C310" t="s">
        <v>40</v>
      </c>
      <c r="D310">
        <v>4.0889319999999998</v>
      </c>
      <c r="E310">
        <v>0.48933110000000002</v>
      </c>
      <c r="F310" t="s">
        <v>43</v>
      </c>
      <c r="G310">
        <v>-320.86239999999998</v>
      </c>
      <c r="H310" s="1">
        <v>-3.9298519999999998E-6</v>
      </c>
      <c r="I310">
        <v>369.46120000000002</v>
      </c>
      <c r="J310">
        <v>-407.0992</v>
      </c>
      <c r="K310">
        <v>1.0591219999999999</v>
      </c>
      <c r="L310">
        <v>368.41660000000002</v>
      </c>
      <c r="M310">
        <v>0.99986649999999999</v>
      </c>
      <c r="N310">
        <v>0</v>
      </c>
      <c r="O310">
        <v>-1.361911E-2</v>
      </c>
      <c r="P310">
        <v>0.999587</v>
      </c>
      <c r="Q310">
        <v>-2.2546480000000001E-2</v>
      </c>
      <c r="R310">
        <v>-1.7822649999999999E-2</v>
      </c>
      <c r="S310">
        <v>3.0010379999999999</v>
      </c>
      <c r="T310">
        <v>-3.6707160000000003E-2</v>
      </c>
      <c r="U310">
        <v>3.6041259999999999E-2</v>
      </c>
      <c r="V310">
        <v>4.214003E-3</v>
      </c>
      <c r="W310">
        <v>-1.351174E-2</v>
      </c>
      <c r="X310">
        <v>0.99989980000000001</v>
      </c>
      <c r="Y310">
        <v>-2.5623369999999999E-2</v>
      </c>
      <c r="Z310">
        <v>3.2327069999999998E-4</v>
      </c>
      <c r="AA310">
        <v>0.99967159999999999</v>
      </c>
      <c r="AB310">
        <v>37</v>
      </c>
      <c r="AC310">
        <v>86.236800000000002</v>
      </c>
      <c r="AD310">
        <v>-1.0591259298519999</v>
      </c>
      <c r="AE310">
        <v>1.0446</v>
      </c>
      <c r="AF310">
        <v>-2.2186848280288101</v>
      </c>
      <c r="AG310">
        <v>-1.0591259298519999</v>
      </c>
      <c r="AH310">
        <v>86.201573726889507</v>
      </c>
      <c r="AI310">
        <v>90.703702990283304</v>
      </c>
      <c r="AJ310">
        <v>91.474372350489503</v>
      </c>
      <c r="AK310">
        <v>86.236625763614995</v>
      </c>
      <c r="AL310">
        <v>90.774189259183601</v>
      </c>
      <c r="AM310">
        <v>89.7585326476636</v>
      </c>
      <c r="AN310">
        <v>0.99999996748957498</v>
      </c>
    </row>
    <row r="311" spans="1:40" x14ac:dyDescent="0.25">
      <c r="A311" t="str">
        <f>"20190312151507968"</f>
        <v>20190312151507968</v>
      </c>
      <c r="B311" t="str">
        <f>"1552374907958520"</f>
        <v>1552374907958520</v>
      </c>
      <c r="C311" t="s">
        <v>40</v>
      </c>
      <c r="D311">
        <v>4.2361570000000004</v>
      </c>
      <c r="E311">
        <v>0.4894424</v>
      </c>
      <c r="F311" t="s">
        <v>42</v>
      </c>
      <c r="G311">
        <v>-309.41140000000001</v>
      </c>
      <c r="H311">
        <v>-0.05</v>
      </c>
      <c r="I311">
        <v>369.43180000000001</v>
      </c>
      <c r="J311">
        <v>-406.75119999999998</v>
      </c>
      <c r="K311">
        <v>1.059129</v>
      </c>
      <c r="L311">
        <v>368.41210000000001</v>
      </c>
      <c r="M311">
        <v>0.99986949999999997</v>
      </c>
      <c r="N311">
        <v>0</v>
      </c>
      <c r="O311">
        <v>-1.338398E-2</v>
      </c>
      <c r="P311">
        <v>0.99958899999999995</v>
      </c>
      <c r="Q311">
        <v>-2.244761E-2</v>
      </c>
      <c r="R311">
        <v>-1.7832790000000001E-2</v>
      </c>
      <c r="S311">
        <v>3.0010379999999999</v>
      </c>
      <c r="T311">
        <v>-3.4072999999999999E-2</v>
      </c>
      <c r="U311">
        <v>3.1188960000000002E-2</v>
      </c>
      <c r="V311">
        <v>4.4592649999999996E-3</v>
      </c>
      <c r="W311">
        <v>-1.3390539999999999E-2</v>
      </c>
      <c r="X311">
        <v>0.99990040000000002</v>
      </c>
      <c r="Y311">
        <v>-2.3772649999999999E-2</v>
      </c>
      <c r="Z311">
        <v>2.8690090000000002E-4</v>
      </c>
      <c r="AA311">
        <v>0.99971739999999998</v>
      </c>
      <c r="AB311">
        <v>37</v>
      </c>
      <c r="AC311">
        <v>97.339799999999897</v>
      </c>
      <c r="AD311">
        <v>-1.109129</v>
      </c>
      <c r="AE311">
        <v>1.0197000000000001</v>
      </c>
      <c r="AF311">
        <v>-2.3221544584871201</v>
      </c>
      <c r="AG311">
        <v>-1.109129</v>
      </c>
      <c r="AH311">
        <v>97.304800475284694</v>
      </c>
      <c r="AI311">
        <v>90.652871925949398</v>
      </c>
      <c r="AJ311">
        <v>91.367089798326404</v>
      </c>
      <c r="AK311">
        <v>97.338824546029301</v>
      </c>
      <c r="AL311">
        <v>90.7672443566385</v>
      </c>
      <c r="AM311">
        <v>89.744479179736501</v>
      </c>
      <c r="AN311">
        <v>1.0000000007629899</v>
      </c>
    </row>
    <row r="312" spans="1:40" x14ac:dyDescent="0.25">
      <c r="A312" t="str">
        <f>"20190312151507992"</f>
        <v>20190312151507992</v>
      </c>
      <c r="B312" t="str">
        <f>"1552374907987800"</f>
        <v>1552374907987800</v>
      </c>
      <c r="C312" t="s">
        <v>40</v>
      </c>
      <c r="D312">
        <v>4.1181010000000002</v>
      </c>
      <c r="E312">
        <v>0.49000729999999998</v>
      </c>
      <c r="F312" t="s">
        <v>43</v>
      </c>
      <c r="G312">
        <v>-324.77350000000001</v>
      </c>
      <c r="H312" s="1">
        <v>-2.2900870000000002E-6</v>
      </c>
      <c r="I312">
        <v>369.24650000000003</v>
      </c>
      <c r="J312">
        <v>-406.35129999999998</v>
      </c>
      <c r="K312">
        <v>1.0591330000000001</v>
      </c>
      <c r="L312">
        <v>368.40699999999998</v>
      </c>
      <c r="M312">
        <v>0.99987289999999995</v>
      </c>
      <c r="N312">
        <v>0</v>
      </c>
      <c r="O312">
        <v>-1.311357E-2</v>
      </c>
      <c r="P312">
        <v>0.99958440000000004</v>
      </c>
      <c r="Q312">
        <v>-2.279496E-2</v>
      </c>
      <c r="R312">
        <v>-1.7653740000000001E-2</v>
      </c>
      <c r="S312">
        <v>3.0009160000000001</v>
      </c>
      <c r="T312">
        <v>-3.8771029999999998E-2</v>
      </c>
      <c r="U312">
        <v>3.0548100000000002E-2</v>
      </c>
      <c r="V312">
        <v>4.550938E-3</v>
      </c>
      <c r="W312">
        <v>-1.37143E-2</v>
      </c>
      <c r="X312">
        <v>0.9998956</v>
      </c>
      <c r="Y312">
        <v>-2.3288590000000001E-2</v>
      </c>
      <c r="Z312">
        <v>3.1984960000000002E-4</v>
      </c>
      <c r="AA312">
        <v>0.99972870000000003</v>
      </c>
      <c r="AB312">
        <v>37</v>
      </c>
      <c r="AC312">
        <v>81.577799999999897</v>
      </c>
      <c r="AD312">
        <v>-1.0591352900869999</v>
      </c>
      <c r="AE312">
        <v>0.83950000000004299</v>
      </c>
      <c r="AF312">
        <v>-1.9089262415281401</v>
      </c>
      <c r="AG312">
        <v>-1.0591352900869999</v>
      </c>
      <c r="AH312">
        <v>81.546031452441696</v>
      </c>
      <c r="AI312">
        <v>90.743922806827001</v>
      </c>
      <c r="AJ312">
        <v>91.341002660053604</v>
      </c>
      <c r="AK312">
        <v>81.575247548511399</v>
      </c>
      <c r="AL312">
        <v>90.785796141087701</v>
      </c>
      <c r="AM312">
        <v>89.739225035352604</v>
      </c>
      <c r="AN312">
        <v>1.00000000198026</v>
      </c>
    </row>
    <row r="313" spans="1:40" x14ac:dyDescent="0.25">
      <c r="A313" t="str">
        <f>"20190312151508014"</f>
        <v>20190312151508014</v>
      </c>
      <c r="B313" t="str">
        <f>"1552374908008296"</f>
        <v>1552374908008296</v>
      </c>
      <c r="C313" t="s">
        <v>40</v>
      </c>
      <c r="D313">
        <v>4.142747</v>
      </c>
      <c r="E313">
        <v>0.49039260000000001</v>
      </c>
      <c r="F313" t="s">
        <v>43</v>
      </c>
      <c r="G313">
        <v>-320.25720000000001</v>
      </c>
      <c r="H313" s="1">
        <v>-4.241546E-6</v>
      </c>
      <c r="I313">
        <v>369.1678</v>
      </c>
      <c r="J313">
        <v>-406.00920000000002</v>
      </c>
      <c r="K313">
        <v>1.0591379999999999</v>
      </c>
      <c r="L313">
        <v>368.40269999999998</v>
      </c>
      <c r="M313">
        <v>0.99987579999999998</v>
      </c>
      <c r="N313">
        <v>0</v>
      </c>
      <c r="O313">
        <v>-1.288249E-2</v>
      </c>
      <c r="P313">
        <v>0.99958320000000001</v>
      </c>
      <c r="Q313">
        <v>-2.2595830000000001E-2</v>
      </c>
      <c r="R313">
        <v>-1.7970409999999999E-2</v>
      </c>
      <c r="S313">
        <v>3.0008849999999998</v>
      </c>
      <c r="T313">
        <v>-3.691709E-2</v>
      </c>
      <c r="U313">
        <v>2.651978E-2</v>
      </c>
      <c r="V313">
        <v>5.0985919999999999E-3</v>
      </c>
      <c r="W313">
        <v>-1.349647E-2</v>
      </c>
      <c r="X313">
        <v>0.99989589999999995</v>
      </c>
      <c r="Y313">
        <v>-2.1716139999999998E-2</v>
      </c>
      <c r="Z313">
        <v>2.9204680000000002E-4</v>
      </c>
      <c r="AA313">
        <v>0.99976410000000004</v>
      </c>
      <c r="AB313">
        <v>37</v>
      </c>
      <c r="AC313">
        <v>85.751999999999995</v>
      </c>
      <c r="AD313">
        <v>-1.0591422415459999</v>
      </c>
      <c r="AE313">
        <v>0.76510000000001799</v>
      </c>
      <c r="AF313">
        <v>-1.8694961438790401</v>
      </c>
      <c r="AG313">
        <v>-1.0591422415459999</v>
      </c>
      <c r="AH313">
        <v>85.721950601057003</v>
      </c>
      <c r="AI313">
        <v>90.707716845127294</v>
      </c>
      <c r="AJ313">
        <v>91.249356330192995</v>
      </c>
      <c r="AK313">
        <v>85.748875286908898</v>
      </c>
      <c r="AL313">
        <v>90.773314262685503</v>
      </c>
      <c r="AM313">
        <v>89.707844315371403</v>
      </c>
      <c r="AN313">
        <v>0.99999998058982598</v>
      </c>
    </row>
    <row r="314" spans="1:40" x14ac:dyDescent="0.25">
      <c r="A314" t="str">
        <f>"20190312151508024"</f>
        <v>20190312151508024</v>
      </c>
      <c r="B314" t="str">
        <f>"1552374908018056"</f>
        <v>1552374908018056</v>
      </c>
      <c r="C314" t="s">
        <v>40</v>
      </c>
      <c r="D314">
        <v>4.15456</v>
      </c>
      <c r="E314">
        <v>0.4905659</v>
      </c>
      <c r="F314" t="s">
        <v>42</v>
      </c>
      <c r="G314">
        <v>-310.28280000000001</v>
      </c>
      <c r="H314">
        <v>-0.05</v>
      </c>
      <c r="I314">
        <v>369.11329999999998</v>
      </c>
      <c r="J314">
        <v>-405.81110000000001</v>
      </c>
      <c r="K314">
        <v>1.0591410000000001</v>
      </c>
      <c r="L314">
        <v>368.40019999999998</v>
      </c>
      <c r="M314">
        <v>0.99987729999999997</v>
      </c>
      <c r="N314">
        <v>0</v>
      </c>
      <c r="O314">
        <v>-1.274865E-2</v>
      </c>
      <c r="P314">
        <v>0.99958340000000001</v>
      </c>
      <c r="Q314">
        <v>-2.269233E-2</v>
      </c>
      <c r="R314">
        <v>-1.7837619999999998E-2</v>
      </c>
      <c r="S314">
        <v>3.0008849999999998</v>
      </c>
      <c r="T314">
        <v>-3.4769889999999998E-2</v>
      </c>
      <c r="U314">
        <v>2.2277829999999998E-2</v>
      </c>
      <c r="V314">
        <v>5.0997339999999999E-3</v>
      </c>
      <c r="W314">
        <v>-1.358295E-2</v>
      </c>
      <c r="X314">
        <v>0.99989470000000003</v>
      </c>
      <c r="Y314">
        <v>-2.016956E-2</v>
      </c>
      <c r="Z314">
        <v>2.6455290000000002E-4</v>
      </c>
      <c r="AA314">
        <v>0.99979649999999998</v>
      </c>
      <c r="AB314">
        <v>37</v>
      </c>
      <c r="AC314">
        <v>95.528300000000002</v>
      </c>
      <c r="AD314">
        <v>-1.1091409999999999</v>
      </c>
      <c r="AE314">
        <v>0.71309999999999696</v>
      </c>
      <c r="AF314">
        <v>-1.93068910819772</v>
      </c>
      <c r="AG314">
        <v>-1.1091409999999999</v>
      </c>
      <c r="AH314">
        <v>95.498571517836396</v>
      </c>
      <c r="AI314">
        <v>90.665279686519099</v>
      </c>
      <c r="AJ314">
        <v>91.158187691170994</v>
      </c>
      <c r="AK314">
        <v>95.524525207601599</v>
      </c>
      <c r="AL314">
        <v>90.778269674044907</v>
      </c>
      <c r="AM314">
        <v>89.707778527784697</v>
      </c>
      <c r="AN314">
        <v>0.99999995745282999</v>
      </c>
    </row>
    <row r="315" spans="1:40" x14ac:dyDescent="0.25">
      <c r="A315" t="str">
        <f>"20190312151508038"</f>
        <v>20190312151508038</v>
      </c>
      <c r="B315" t="str">
        <f>"1552374908027816"</f>
        <v>1552374908027816</v>
      </c>
      <c r="C315" t="s">
        <v>40</v>
      </c>
      <c r="D315">
        <v>4.1345029999999996</v>
      </c>
      <c r="E315">
        <v>0.49066569999999998</v>
      </c>
      <c r="F315" t="s">
        <v>42</v>
      </c>
      <c r="G315">
        <v>-308.78300000000002</v>
      </c>
      <c r="H315">
        <v>-0.05</v>
      </c>
      <c r="I315">
        <v>369.09199999999998</v>
      </c>
      <c r="J315">
        <v>-405.60309999999998</v>
      </c>
      <c r="K315">
        <v>1.0591429999999999</v>
      </c>
      <c r="L315">
        <v>368.39769999999999</v>
      </c>
      <c r="M315">
        <v>0.99987899999999996</v>
      </c>
      <c r="N315">
        <v>0</v>
      </c>
      <c r="O315">
        <v>-1.260814E-2</v>
      </c>
      <c r="P315">
        <v>0.99959240000000005</v>
      </c>
      <c r="Q315">
        <v>-2.2249399999999999E-2</v>
      </c>
      <c r="R315">
        <v>-1.789557E-2</v>
      </c>
      <c r="S315">
        <v>3.0008240000000002</v>
      </c>
      <c r="T315">
        <v>-3.4302829999999999E-2</v>
      </c>
      <c r="U315">
        <v>2.139282E-2</v>
      </c>
      <c r="V315">
        <v>5.2980129999999999E-3</v>
      </c>
      <c r="W315">
        <v>-1.312957E-2</v>
      </c>
      <c r="X315">
        <v>0.99989969999999995</v>
      </c>
      <c r="Y315">
        <v>-1.9734459999999999E-2</v>
      </c>
      <c r="Z315">
        <v>2.5691210000000002E-4</v>
      </c>
      <c r="AA315">
        <v>0.99980519999999995</v>
      </c>
      <c r="AB315">
        <v>37</v>
      </c>
      <c r="AC315">
        <v>96.820099999999897</v>
      </c>
      <c r="AD315">
        <v>-1.109143</v>
      </c>
      <c r="AE315">
        <v>0.69429999999999803</v>
      </c>
      <c r="AF315">
        <v>-1.9147655913958901</v>
      </c>
      <c r="AG315">
        <v>-1.109143</v>
      </c>
      <c r="AH315">
        <v>96.790947805362194</v>
      </c>
      <c r="AI315">
        <v>90.656404376941296</v>
      </c>
      <c r="AJ315">
        <v>91.1333051458017</v>
      </c>
      <c r="AK315">
        <v>96.816238836905796</v>
      </c>
      <c r="AL315">
        <v>90.752290613817493</v>
      </c>
      <c r="AM315">
        <v>89.696418606747201</v>
      </c>
      <c r="AN315">
        <v>0.99999993230510897</v>
      </c>
    </row>
    <row r="316" spans="1:40" x14ac:dyDescent="0.25">
      <c r="A316" t="str">
        <f>"20190312151508057"</f>
        <v>20190312151508057</v>
      </c>
      <c r="B316" t="str">
        <f>"1552374908048315"</f>
        <v>1552374908048315</v>
      </c>
      <c r="C316" t="s">
        <v>40</v>
      </c>
      <c r="D316">
        <v>4.1059859999999997</v>
      </c>
      <c r="E316">
        <v>0.4907687</v>
      </c>
      <c r="F316" t="s">
        <v>42</v>
      </c>
      <c r="G316">
        <v>-301.86860000000001</v>
      </c>
      <c r="H316">
        <v>-0.05</v>
      </c>
      <c r="I316">
        <v>369.10340000000002</v>
      </c>
      <c r="J316">
        <v>-405.28579999999999</v>
      </c>
      <c r="K316">
        <v>1.0591440000000001</v>
      </c>
      <c r="L316">
        <v>368.39389999999997</v>
      </c>
      <c r="M316">
        <v>0.99988160000000004</v>
      </c>
      <c r="N316">
        <v>0</v>
      </c>
      <c r="O316">
        <v>-1.239385E-2</v>
      </c>
      <c r="P316">
        <v>0.99957689999999999</v>
      </c>
      <c r="Q316">
        <v>-2.2686870000000001E-2</v>
      </c>
      <c r="R316">
        <v>-1.8213380000000001E-2</v>
      </c>
      <c r="S316">
        <v>3.0008849999999998</v>
      </c>
      <c r="T316">
        <v>-3.2085900000000001E-2</v>
      </c>
      <c r="U316">
        <v>2.0416259999999999E-2</v>
      </c>
      <c r="V316">
        <v>5.8302800000000002E-3</v>
      </c>
      <c r="W316">
        <v>-1.355196E-2</v>
      </c>
      <c r="X316">
        <v>0.99989119999999998</v>
      </c>
      <c r="Y316">
        <v>-1.9195009999999998E-2</v>
      </c>
      <c r="Z316">
        <v>2.3512979999999999E-4</v>
      </c>
      <c r="AA316">
        <v>0.99981569999999997</v>
      </c>
      <c r="AB316">
        <v>37</v>
      </c>
      <c r="AC316">
        <v>103.417199999999</v>
      </c>
      <c r="AD316">
        <v>-1.1091439999999999</v>
      </c>
      <c r="AE316">
        <v>0.70950000000004798</v>
      </c>
      <c r="AF316">
        <v>-1.99100707132563</v>
      </c>
      <c r="AG316">
        <v>-1.1091439999999999</v>
      </c>
      <c r="AH316">
        <v>103.38857074421099</v>
      </c>
      <c r="AI316">
        <v>90.614526855402801</v>
      </c>
      <c r="AJ316">
        <v>91.103238033740496</v>
      </c>
      <c r="AK316">
        <v>103.41368802098501</v>
      </c>
      <c r="AL316">
        <v>90.776493858128305</v>
      </c>
      <c r="AM316">
        <v>89.665917000169102</v>
      </c>
      <c r="AN316">
        <v>1.0000000298110701</v>
      </c>
    </row>
    <row r="317" spans="1:40" x14ac:dyDescent="0.25">
      <c r="A317" t="str">
        <f>"20190312151508069"</f>
        <v>20190312151508069</v>
      </c>
      <c r="B317" t="str">
        <f>"1552374908058072"</f>
        <v>1552374908058072</v>
      </c>
      <c r="C317" t="s">
        <v>40</v>
      </c>
      <c r="D317">
        <v>4.1435649999999997</v>
      </c>
      <c r="E317">
        <v>0.49087599999999998</v>
      </c>
      <c r="F317" t="s">
        <v>42</v>
      </c>
      <c r="G317">
        <v>-299.90899999999999</v>
      </c>
      <c r="H317">
        <v>-0.05</v>
      </c>
      <c r="I317">
        <v>369.04329999999999</v>
      </c>
      <c r="J317">
        <v>-405.08100000000002</v>
      </c>
      <c r="K317">
        <v>1.0591379999999999</v>
      </c>
      <c r="L317">
        <v>368.39139999999998</v>
      </c>
      <c r="M317">
        <v>0.99988319999999997</v>
      </c>
      <c r="N317">
        <v>0</v>
      </c>
      <c r="O317">
        <v>-1.2255490000000001E-2</v>
      </c>
      <c r="P317">
        <v>0.99958130000000001</v>
      </c>
      <c r="Q317">
        <v>-2.254917E-2</v>
      </c>
      <c r="R317">
        <v>-1.813969E-2</v>
      </c>
      <c r="S317">
        <v>3.0008849999999998</v>
      </c>
      <c r="T317">
        <v>-3.1585809999999999E-2</v>
      </c>
      <c r="U317">
        <v>1.849365E-2</v>
      </c>
      <c r="V317">
        <v>5.8947419999999997E-3</v>
      </c>
      <c r="W317">
        <v>-1.340505E-2</v>
      </c>
      <c r="X317">
        <v>0.99989280000000003</v>
      </c>
      <c r="Y317">
        <v>-1.8416220000000001E-2</v>
      </c>
      <c r="Z317">
        <v>2.2591089999999999E-4</v>
      </c>
      <c r="AA317">
        <v>0.99983040000000001</v>
      </c>
      <c r="AB317">
        <v>37</v>
      </c>
      <c r="AC317">
        <v>105.171999999999</v>
      </c>
      <c r="AD317">
        <v>-1.109138</v>
      </c>
      <c r="AE317">
        <v>0.65190000000001103</v>
      </c>
      <c r="AF317">
        <v>-1.94062335479867</v>
      </c>
      <c r="AG317">
        <v>-1.109138</v>
      </c>
      <c r="AH317">
        <v>105.144417706195</v>
      </c>
      <c r="AI317">
        <v>90.604271255242594</v>
      </c>
      <c r="AJ317">
        <v>91.057373346491204</v>
      </c>
      <c r="AK317">
        <v>105.16817380216899</v>
      </c>
      <c r="AL317">
        <v>90.768075772547704</v>
      </c>
      <c r="AM317">
        <v>89.662223865209498</v>
      </c>
      <c r="AN317">
        <v>1.00000002742029</v>
      </c>
    </row>
    <row r="318" spans="1:40" x14ac:dyDescent="0.25">
      <c r="A318" t="str">
        <f>"20190312151508082"</f>
        <v>20190312151508082</v>
      </c>
      <c r="B318" t="str">
        <f>"1552374908078568"</f>
        <v>1552374908078568</v>
      </c>
      <c r="C318" t="s">
        <v>40</v>
      </c>
      <c r="D318">
        <v>4.162757</v>
      </c>
      <c r="E318">
        <v>0.49111009999999999</v>
      </c>
      <c r="F318" t="s">
        <v>42</v>
      </c>
      <c r="G318">
        <v>-295.31659999999999</v>
      </c>
      <c r="H318">
        <v>-0.05</v>
      </c>
      <c r="I318">
        <v>369.04329999999999</v>
      </c>
      <c r="J318">
        <v>-404.86500000000001</v>
      </c>
      <c r="K318">
        <v>1.05914</v>
      </c>
      <c r="L318">
        <v>368.38889999999998</v>
      </c>
      <c r="M318">
        <v>0.99988480000000002</v>
      </c>
      <c r="N318">
        <v>0</v>
      </c>
      <c r="O318">
        <v>-1.2109730000000001E-2</v>
      </c>
      <c r="P318">
        <v>0.99957229999999997</v>
      </c>
      <c r="Q318">
        <v>-2.2940439999999999E-2</v>
      </c>
      <c r="R318">
        <v>-1.8132929999999998E-2</v>
      </c>
      <c r="S318">
        <v>3.0009160000000001</v>
      </c>
      <c r="T318">
        <v>-3.0323389999999999E-2</v>
      </c>
      <c r="U318">
        <v>1.7822270000000001E-2</v>
      </c>
      <c r="V318">
        <v>6.0343460000000003E-3</v>
      </c>
      <c r="W318">
        <v>-1.3787010000000001E-2</v>
      </c>
      <c r="X318">
        <v>0.99988679999999996</v>
      </c>
      <c r="Y318">
        <v>-1.8046889999999999E-2</v>
      </c>
      <c r="Z318">
        <v>2.135413E-4</v>
      </c>
      <c r="AA318">
        <v>0.99983710000000003</v>
      </c>
      <c r="AB318">
        <v>37</v>
      </c>
      <c r="AC318">
        <v>109.5484</v>
      </c>
      <c r="AD318">
        <v>-1.10914</v>
      </c>
      <c r="AE318">
        <v>0.65440000000000897</v>
      </c>
      <c r="AF318">
        <v>-1.98080606421954</v>
      </c>
      <c r="AG318">
        <v>-1.10914</v>
      </c>
      <c r="AH318">
        <v>109.521215225304</v>
      </c>
      <c r="AI318">
        <v>90.580129414889001</v>
      </c>
      <c r="AJ318">
        <v>91.036141309431102</v>
      </c>
      <c r="AK318">
        <v>109.54474140108699</v>
      </c>
      <c r="AL318">
        <v>90.789962470103504</v>
      </c>
      <c r="AM318">
        <v>89.654222497469704</v>
      </c>
      <c r="AN318">
        <v>1.00000005389531</v>
      </c>
    </row>
    <row r="319" spans="1:40" x14ac:dyDescent="0.25">
      <c r="A319" t="str">
        <f>"20190312151508103"</f>
        <v>20190312151508103</v>
      </c>
      <c r="B319" t="str">
        <f>"1552374908098087"</f>
        <v>1552374908098087</v>
      </c>
      <c r="C319" t="s">
        <v>40</v>
      </c>
      <c r="D319">
        <v>4.1821519999999897</v>
      </c>
      <c r="E319">
        <v>0.49129820000000002</v>
      </c>
      <c r="F319" t="s">
        <v>42</v>
      </c>
      <c r="G319">
        <v>-294.06959999999998</v>
      </c>
      <c r="H319">
        <v>-0.05</v>
      </c>
      <c r="I319">
        <v>368.98840000000001</v>
      </c>
      <c r="J319">
        <v>-404.51600000000002</v>
      </c>
      <c r="K319">
        <v>1.0591379999999999</v>
      </c>
      <c r="L319">
        <v>368.38490000000002</v>
      </c>
      <c r="M319">
        <v>0.99988759999999999</v>
      </c>
      <c r="N319">
        <v>0</v>
      </c>
      <c r="O319">
        <v>-1.1873989999999999E-2</v>
      </c>
      <c r="P319">
        <v>0.99956909999999999</v>
      </c>
      <c r="Q319">
        <v>-2.3044439999999999E-2</v>
      </c>
      <c r="R319">
        <v>-1.8193520000000001E-2</v>
      </c>
      <c r="S319">
        <v>3.0008849999999998</v>
      </c>
      <c r="T319">
        <v>-3.0040979999999998E-2</v>
      </c>
      <c r="U319">
        <v>1.6235349999999999E-2</v>
      </c>
      <c r="V319">
        <v>6.330553E-3</v>
      </c>
      <c r="W319">
        <v>-1.387652E-2</v>
      </c>
      <c r="X319">
        <v>0.99988370000000004</v>
      </c>
      <c r="Y319">
        <v>-1.7282579999999999E-2</v>
      </c>
      <c r="Z319">
        <v>2.053697E-4</v>
      </c>
      <c r="AA319">
        <v>0.99985060000000003</v>
      </c>
      <c r="AB319">
        <v>37</v>
      </c>
      <c r="AC319">
        <v>110.446399999999</v>
      </c>
      <c r="AD319">
        <v>-1.109138</v>
      </c>
      <c r="AE319">
        <v>0.60349999999999604</v>
      </c>
      <c r="AF319">
        <v>-1.91475875564927</v>
      </c>
      <c r="AG319">
        <v>-1.109138</v>
      </c>
      <c r="AH319">
        <v>110.420311455985</v>
      </c>
      <c r="AI319">
        <v>90.575412593236507</v>
      </c>
      <c r="AJ319">
        <v>90.993445859239301</v>
      </c>
      <c r="AK319">
        <v>110.44248127524099</v>
      </c>
      <c r="AL319">
        <v>90.795091529789701</v>
      </c>
      <c r="AM319">
        <v>89.637248689512404</v>
      </c>
      <c r="AN319">
        <v>1.00000002361714</v>
      </c>
    </row>
    <row r="320" spans="1:40" x14ac:dyDescent="0.25">
      <c r="A320" t="str">
        <f>"20190312151508126"</f>
        <v>20190312151508126</v>
      </c>
      <c r="B320" t="str">
        <f>"1552374908118584"</f>
        <v>1552374908118584</v>
      </c>
      <c r="C320" t="s">
        <v>40</v>
      </c>
      <c r="D320">
        <v>4.1599089999999999</v>
      </c>
      <c r="E320">
        <v>0.49152430000000003</v>
      </c>
      <c r="F320" t="s">
        <v>42</v>
      </c>
      <c r="G320">
        <v>-289.00220000000002</v>
      </c>
      <c r="H320">
        <v>-0.05</v>
      </c>
      <c r="I320">
        <v>368.94290000000001</v>
      </c>
      <c r="J320">
        <v>-404.14519999999999</v>
      </c>
      <c r="K320">
        <v>1.0591410000000001</v>
      </c>
      <c r="L320">
        <v>368.38080000000002</v>
      </c>
      <c r="M320">
        <v>0.99989039999999996</v>
      </c>
      <c r="N320">
        <v>0</v>
      </c>
      <c r="O320">
        <v>-1.162382E-2</v>
      </c>
      <c r="P320">
        <v>0.99957030000000002</v>
      </c>
      <c r="Q320">
        <v>-2.3265689999999999E-2</v>
      </c>
      <c r="R320">
        <v>-1.7840640000000001E-2</v>
      </c>
      <c r="S320">
        <v>3.0008849999999998</v>
      </c>
      <c r="T320">
        <v>-2.881384E-2</v>
      </c>
      <c r="U320">
        <v>1.4495849999999999E-2</v>
      </c>
      <c r="V320">
        <v>6.2281009999999998E-3</v>
      </c>
      <c r="W320">
        <v>-1.408361E-2</v>
      </c>
      <c r="X320">
        <v>0.99988140000000003</v>
      </c>
      <c r="Y320">
        <v>-1.6453019999999999E-2</v>
      </c>
      <c r="Z320">
        <v>1.9059670000000001E-4</v>
      </c>
      <c r="AA320">
        <v>0.99986459999999999</v>
      </c>
      <c r="AB320">
        <v>37</v>
      </c>
      <c r="AC320">
        <v>115.14299999999901</v>
      </c>
      <c r="AD320">
        <v>-1.1091409999999999</v>
      </c>
      <c r="AE320">
        <v>0.56209999999998606</v>
      </c>
      <c r="AF320">
        <v>-1.9003434671298201</v>
      </c>
      <c r="AG320">
        <v>-1.1091409999999999</v>
      </c>
      <c r="AH320">
        <v>115.118004912339</v>
      </c>
      <c r="AI320">
        <v>90.551942119853194</v>
      </c>
      <c r="AJ320">
        <v>90.945740604630302</v>
      </c>
      <c r="AK320">
        <v>115.13903141006701</v>
      </c>
      <c r="AL320">
        <v>90.806958110856598</v>
      </c>
      <c r="AM320">
        <v>89.643118387048105</v>
      </c>
      <c r="AN320">
        <v>0.99999997568932797</v>
      </c>
    </row>
    <row r="321" spans="1:40" x14ac:dyDescent="0.25">
      <c r="A321" t="str">
        <f>"20190312151508148"</f>
        <v>20190312151508148</v>
      </c>
      <c r="B321" t="str">
        <f>"1552374908138104"</f>
        <v>1552374908138104</v>
      </c>
      <c r="C321" t="s">
        <v>40</v>
      </c>
      <c r="D321">
        <v>4.1410780000000003</v>
      </c>
      <c r="E321">
        <v>0.4917163</v>
      </c>
      <c r="F321" t="s">
        <v>42</v>
      </c>
      <c r="G321">
        <v>-287.86950000000002</v>
      </c>
      <c r="H321">
        <v>-0.05</v>
      </c>
      <c r="I321">
        <v>368.9117</v>
      </c>
      <c r="J321">
        <v>-403.77879999999999</v>
      </c>
      <c r="K321">
        <v>1.0591349999999999</v>
      </c>
      <c r="L321">
        <v>368.37670000000003</v>
      </c>
      <c r="M321">
        <v>0.99989309999999998</v>
      </c>
      <c r="N321">
        <v>0</v>
      </c>
      <c r="O321">
        <v>-1.1376280000000001E-2</v>
      </c>
      <c r="P321">
        <v>0.99958159999999896</v>
      </c>
      <c r="Q321">
        <v>-2.328765E-2</v>
      </c>
      <c r="R321">
        <v>-1.7169920000000002E-2</v>
      </c>
      <c r="S321">
        <v>3.0008240000000002</v>
      </c>
      <c r="T321">
        <v>-2.8624529999999999E-2</v>
      </c>
      <c r="U321">
        <v>1.370239E-2</v>
      </c>
      <c r="V321">
        <v>5.8046080000000002E-3</v>
      </c>
      <c r="W321">
        <v>-1.4092500000000001E-2</v>
      </c>
      <c r="X321">
        <v>0.99988379999999999</v>
      </c>
      <c r="Y321">
        <v>-1.594127E-2</v>
      </c>
      <c r="Z321">
        <v>1.8454650000000001E-4</v>
      </c>
      <c r="AA321">
        <v>0.99987289999999995</v>
      </c>
      <c r="AB321">
        <v>37</v>
      </c>
      <c r="AC321">
        <v>115.90929999999901</v>
      </c>
      <c r="AD321">
        <v>-1.109135</v>
      </c>
      <c r="AE321">
        <v>0.53499999999996795</v>
      </c>
      <c r="AF321">
        <v>-1.85346794591626</v>
      </c>
      <c r="AG321">
        <v>-1.109135</v>
      </c>
      <c r="AH321">
        <v>115.88510122118799</v>
      </c>
      <c r="AI321">
        <v>90.548290397634901</v>
      </c>
      <c r="AJ321">
        <v>90.916311378808004</v>
      </c>
      <c r="AK321">
        <v>115.90522942870101</v>
      </c>
      <c r="AL321">
        <v>90.807467539414304</v>
      </c>
      <c r="AM321">
        <v>89.667385546118595</v>
      </c>
      <c r="AN321">
        <v>0.99999995276636</v>
      </c>
    </row>
    <row r="322" spans="1:40" x14ac:dyDescent="0.25">
      <c r="A322" t="str">
        <f>"20190312151508169"</f>
        <v>20190312151508169</v>
      </c>
      <c r="B322" t="str">
        <f>"1552374908158600"</f>
        <v>1552374908158600</v>
      </c>
      <c r="C322" t="s">
        <v>40</v>
      </c>
      <c r="D322">
        <v>4.1541480000000002</v>
      </c>
      <c r="E322">
        <v>0.4919538</v>
      </c>
      <c r="F322" t="s">
        <v>42</v>
      </c>
      <c r="G322">
        <v>-285.41739999999999</v>
      </c>
      <c r="H322">
        <v>-0.05</v>
      </c>
      <c r="I322">
        <v>368.93639999999999</v>
      </c>
      <c r="J322">
        <v>-403.42809999999997</v>
      </c>
      <c r="K322">
        <v>1.0591379999999999</v>
      </c>
      <c r="L322">
        <v>368.37290000000002</v>
      </c>
      <c r="M322">
        <v>0.9998958</v>
      </c>
      <c r="N322">
        <v>0</v>
      </c>
      <c r="O322">
        <v>-1.113946E-2</v>
      </c>
      <c r="P322">
        <v>0.99959249999999999</v>
      </c>
      <c r="Q322">
        <v>-2.3236380000000001E-2</v>
      </c>
      <c r="R322">
        <v>-1.658776E-2</v>
      </c>
      <c r="S322">
        <v>3.0008539999999999</v>
      </c>
      <c r="T322">
        <v>-2.8120280000000001E-2</v>
      </c>
      <c r="U322">
        <v>1.4190670000000001E-2</v>
      </c>
      <c r="V322">
        <v>5.459289E-3</v>
      </c>
      <c r="W322">
        <v>-1.402929E-2</v>
      </c>
      <c r="X322">
        <v>0.99988670000000002</v>
      </c>
      <c r="Y322">
        <v>-1.586715E-2</v>
      </c>
      <c r="Z322">
        <v>1.7872729999999999E-4</v>
      </c>
      <c r="AA322">
        <v>0.99987409999999999</v>
      </c>
      <c r="AB322">
        <v>37</v>
      </c>
      <c r="AC322">
        <v>118.0107</v>
      </c>
      <c r="AD322">
        <v>-1.109138</v>
      </c>
      <c r="AE322">
        <v>0.56349999999997602</v>
      </c>
      <c r="AF322">
        <v>-1.8779300389300599</v>
      </c>
      <c r="AG322">
        <v>-1.109138</v>
      </c>
      <c r="AH322">
        <v>117.986677965181</v>
      </c>
      <c r="AI322">
        <v>90.538526961273007</v>
      </c>
      <c r="AJ322">
        <v>90.911868887814194</v>
      </c>
      <c r="AK322">
        <v>118.006834486793</v>
      </c>
      <c r="AL322">
        <v>90.803845461844006</v>
      </c>
      <c r="AM322">
        <v>89.687173446047098</v>
      </c>
      <c r="AN322">
        <v>1.00000001882558</v>
      </c>
    </row>
    <row r="323" spans="1:40" x14ac:dyDescent="0.25">
      <c r="A323" t="str">
        <f>"20190312151508182"</f>
        <v>20190312151508182</v>
      </c>
      <c r="B323" t="str">
        <f>"1552374908178119"</f>
        <v>1552374908178119</v>
      </c>
      <c r="C323" t="s">
        <v>40</v>
      </c>
      <c r="D323">
        <v>4.2041930000000001</v>
      </c>
      <c r="E323">
        <v>0.49218339999999999</v>
      </c>
      <c r="F323" t="s">
        <v>42</v>
      </c>
      <c r="G323">
        <v>-283.26949999999999</v>
      </c>
      <c r="H323">
        <v>-0.05</v>
      </c>
      <c r="I323">
        <v>368.94479999999999</v>
      </c>
      <c r="J323">
        <v>-403.22710000000001</v>
      </c>
      <c r="K323">
        <v>1.059137</v>
      </c>
      <c r="L323">
        <v>368.37079999999997</v>
      </c>
      <c r="M323">
        <v>0.99989709999999998</v>
      </c>
      <c r="N323">
        <v>0</v>
      </c>
      <c r="O323">
        <v>-1.100371E-2</v>
      </c>
      <c r="P323">
        <v>0.99960629999999995</v>
      </c>
      <c r="Q323">
        <v>-2.2956379999999998E-2</v>
      </c>
      <c r="R323">
        <v>-1.6132959999999998E-2</v>
      </c>
      <c r="S323">
        <v>3.0008240000000002</v>
      </c>
      <c r="T323">
        <v>-2.769947E-2</v>
      </c>
      <c r="U323">
        <v>1.428223E-2</v>
      </c>
      <c r="V323">
        <v>5.13994E-3</v>
      </c>
      <c r="W323">
        <v>-1.3742839999999999E-2</v>
      </c>
      <c r="X323">
        <v>0.99989240000000001</v>
      </c>
      <c r="Y323">
        <v>-1.5762000000000002E-2</v>
      </c>
      <c r="Z323">
        <v>1.7431630000000001E-4</v>
      </c>
      <c r="AA323">
        <v>0.99987579999999998</v>
      </c>
      <c r="AB323">
        <v>37</v>
      </c>
      <c r="AC323">
        <v>119.9576</v>
      </c>
      <c r="AD323">
        <v>-1.109137</v>
      </c>
      <c r="AE323">
        <v>0.57400000000001195</v>
      </c>
      <c r="AF323">
        <v>-1.8938378977310499</v>
      </c>
      <c r="AG323">
        <v>-1.109137</v>
      </c>
      <c r="AH323">
        <v>119.933767544714</v>
      </c>
      <c r="AI323">
        <v>90.529785214562693</v>
      </c>
      <c r="AJ323">
        <v>90.904665161714505</v>
      </c>
      <c r="AK323">
        <v>119.95384697598099</v>
      </c>
      <c r="AL323">
        <v>90.787431480428495</v>
      </c>
      <c r="AM323">
        <v>89.705474034008603</v>
      </c>
      <c r="AN323">
        <v>1.00000004810611</v>
      </c>
    </row>
    <row r="324" spans="1:40" x14ac:dyDescent="0.25">
      <c r="A324" t="str">
        <f>"20190312151508204"</f>
        <v>20190312151508204</v>
      </c>
      <c r="B324" t="str">
        <f>"1552374908197640"</f>
        <v>1552374908197640</v>
      </c>
      <c r="C324" t="s">
        <v>40</v>
      </c>
      <c r="D324">
        <v>4.2357120000000004</v>
      </c>
      <c r="E324">
        <v>0.49238569999999998</v>
      </c>
      <c r="F324" t="s">
        <v>42</v>
      </c>
      <c r="G324">
        <v>-278.1508</v>
      </c>
      <c r="H324">
        <v>-0.05</v>
      </c>
      <c r="I324">
        <v>368.94069999999999</v>
      </c>
      <c r="J324">
        <v>-402.84879999999998</v>
      </c>
      <c r="K324">
        <v>1.059131</v>
      </c>
      <c r="L324">
        <v>368.36689999999999</v>
      </c>
      <c r="M324">
        <v>0.99989969999999995</v>
      </c>
      <c r="N324">
        <v>0</v>
      </c>
      <c r="O324">
        <v>-1.0749E-2</v>
      </c>
      <c r="P324">
        <v>0.99962359999999995</v>
      </c>
      <c r="Q324">
        <v>-2.2717910000000001E-2</v>
      </c>
      <c r="R324">
        <v>-1.53826E-2</v>
      </c>
      <c r="S324">
        <v>3.0008240000000002</v>
      </c>
      <c r="T324">
        <v>-2.6610370000000001E-2</v>
      </c>
      <c r="U324">
        <v>1.3671880000000001E-2</v>
      </c>
      <c r="V324">
        <v>4.644146E-3</v>
      </c>
      <c r="W324">
        <v>-1.349261E-2</v>
      </c>
      <c r="X324">
        <v>0.99989819999999996</v>
      </c>
      <c r="Y324">
        <v>-1.530405E-2</v>
      </c>
      <c r="Z324">
        <v>1.6317379999999999E-4</v>
      </c>
      <c r="AA324">
        <v>0.99988290000000002</v>
      </c>
      <c r="AB324">
        <v>37</v>
      </c>
      <c r="AC324">
        <v>124.697999999999</v>
      </c>
      <c r="AD324">
        <v>-1.1091309999999901</v>
      </c>
      <c r="AE324">
        <v>0.57380000000000497</v>
      </c>
      <c r="AF324">
        <v>-1.9140512293124099</v>
      </c>
      <c r="AG324">
        <v>-1.1091309999999901</v>
      </c>
      <c r="AH324">
        <v>124.674764114921</v>
      </c>
      <c r="AI324">
        <v>90.509640922016999</v>
      </c>
      <c r="AJ324">
        <v>90.879556045066806</v>
      </c>
      <c r="AK324">
        <v>124.694388690088</v>
      </c>
      <c r="AL324">
        <v>90.773093054622905</v>
      </c>
      <c r="AM324">
        <v>89.733884857618307</v>
      </c>
      <c r="AN324">
        <v>1.0000000144899599</v>
      </c>
    </row>
    <row r="325" spans="1:40" x14ac:dyDescent="0.25">
      <c r="A325" t="str">
        <f>"20190312151508226"</f>
        <v>20190312151508226</v>
      </c>
      <c r="B325" t="str">
        <f>"1552374908218135"</f>
        <v>1552374908218135</v>
      </c>
      <c r="C325" t="s">
        <v>40</v>
      </c>
      <c r="D325">
        <v>4.1843469999999998</v>
      </c>
      <c r="E325">
        <v>0.49261759999999899</v>
      </c>
      <c r="F325" t="s">
        <v>43</v>
      </c>
      <c r="G325">
        <v>-279.9348</v>
      </c>
      <c r="H325" s="1">
        <v>-1.8602730000000001E-7</v>
      </c>
      <c r="I325">
        <v>368.94810000000001</v>
      </c>
      <c r="J325">
        <v>-402.48480000000001</v>
      </c>
      <c r="K325">
        <v>1.0591330000000001</v>
      </c>
      <c r="L325">
        <v>368.36320000000001</v>
      </c>
      <c r="M325">
        <v>0.99990219999999996</v>
      </c>
      <c r="N325">
        <v>0</v>
      </c>
      <c r="O325">
        <v>-1.0503480000000001E-2</v>
      </c>
      <c r="P325">
        <v>0.99962490000000004</v>
      </c>
      <c r="Q325">
        <v>-2.3024960000000001E-2</v>
      </c>
      <c r="R325">
        <v>-1.483815E-2</v>
      </c>
      <c r="S325">
        <v>3.0007320000000002</v>
      </c>
      <c r="T325">
        <v>-2.5856850000000001E-2</v>
      </c>
      <c r="U325">
        <v>1.4190670000000001E-2</v>
      </c>
      <c r="V325">
        <v>4.3451779999999999E-3</v>
      </c>
      <c r="W325">
        <v>-1.3788760000000001E-2</v>
      </c>
      <c r="X325">
        <v>0.99989550000000005</v>
      </c>
      <c r="Y325">
        <v>-1.523161E-2</v>
      </c>
      <c r="Z325">
        <v>1.5613049999999999E-4</v>
      </c>
      <c r="AA325">
        <v>0.999884</v>
      </c>
      <c r="AB325">
        <v>37</v>
      </c>
      <c r="AC325">
        <v>122.55</v>
      </c>
      <c r="AD325">
        <v>-1.0591331860273001</v>
      </c>
      <c r="AE325">
        <v>0.58490000000000397</v>
      </c>
      <c r="AF325">
        <v>-1.8719842688016299</v>
      </c>
      <c r="AG325">
        <v>-1.0591331860273001</v>
      </c>
      <c r="AH325">
        <v>122.527943784369</v>
      </c>
      <c r="AI325">
        <v>90.495195362815593</v>
      </c>
      <c r="AJ325">
        <v>90.875297916178198</v>
      </c>
      <c r="AK325">
        <v>122.546820016816</v>
      </c>
      <c r="AL325">
        <v>90.790062781375696</v>
      </c>
      <c r="AM325">
        <v>89.751015187601695</v>
      </c>
      <c r="AN325">
        <v>1.00000001069721</v>
      </c>
    </row>
    <row r="326" spans="1:40" x14ac:dyDescent="0.25">
      <c r="A326" t="str">
        <f>"20190312151508247"</f>
        <v>20190312151508247</v>
      </c>
      <c r="B326" t="str">
        <f>"1552374908238163"</f>
        <v>1552374908238163</v>
      </c>
      <c r="C326" t="s">
        <v>40</v>
      </c>
      <c r="D326">
        <v>4.3446199999999999</v>
      </c>
      <c r="E326">
        <v>0.49283579999999999</v>
      </c>
      <c r="F326" t="s">
        <v>42</v>
      </c>
      <c r="G326">
        <v>-274.18560000000002</v>
      </c>
      <c r="H326">
        <v>-0.05</v>
      </c>
      <c r="I326">
        <v>368.96859999999998</v>
      </c>
      <c r="J326">
        <v>-402.12700000000001</v>
      </c>
      <c r="K326">
        <v>1.0591360000000001</v>
      </c>
      <c r="L326">
        <v>368.35969999999998</v>
      </c>
      <c r="M326">
        <v>0.99990460000000003</v>
      </c>
      <c r="N326">
        <v>0</v>
      </c>
      <c r="O326">
        <v>-1.0262240000000001E-2</v>
      </c>
      <c r="P326">
        <v>0.99962050000000002</v>
      </c>
      <c r="Q326">
        <v>-2.358855E-2</v>
      </c>
      <c r="R326">
        <v>-1.4237919999999999E-2</v>
      </c>
      <c r="S326">
        <v>3.0007320000000002</v>
      </c>
      <c r="T326">
        <v>-2.594101E-2</v>
      </c>
      <c r="U326">
        <v>1.416016E-2</v>
      </c>
      <c r="V326">
        <v>3.9866270000000004E-3</v>
      </c>
      <c r="W326">
        <v>-1.434212E-2</v>
      </c>
      <c r="X326">
        <v>0.99988920000000003</v>
      </c>
      <c r="Y326">
        <v>-1.4980220000000001E-2</v>
      </c>
      <c r="Z326">
        <v>1.5346660000000001E-4</v>
      </c>
      <c r="AA326">
        <v>0.99988779999999999</v>
      </c>
      <c r="AB326">
        <v>37</v>
      </c>
      <c r="AC326">
        <v>127.94139999999901</v>
      </c>
      <c r="AD326">
        <v>-1.1091359999999999</v>
      </c>
      <c r="AE326">
        <v>0.60890000000000499</v>
      </c>
      <c r="AF326">
        <v>-1.9217449824277</v>
      </c>
      <c r="AG326">
        <v>-1.1091359999999999</v>
      </c>
      <c r="AH326">
        <v>127.918800031042</v>
      </c>
      <c r="AI326">
        <v>90.496721745741496</v>
      </c>
      <c r="AJ326">
        <v>90.860699086245802</v>
      </c>
      <c r="AK326">
        <v>127.93804237921501</v>
      </c>
      <c r="AL326">
        <v>90.821771118701704</v>
      </c>
      <c r="AM326">
        <v>89.771558997492093</v>
      </c>
      <c r="AN326">
        <v>1.0000000009387799</v>
      </c>
    </row>
    <row r="327" spans="1:40" x14ac:dyDescent="0.25">
      <c r="A327" t="str">
        <f>"20190312151508259"</f>
        <v>20190312151508259</v>
      </c>
      <c r="B327" t="str">
        <f>"1552374908247922"</f>
        <v>1552374908247922</v>
      </c>
      <c r="C327" t="s">
        <v>40</v>
      </c>
      <c r="D327">
        <v>4.2852839999999999</v>
      </c>
      <c r="E327">
        <v>0.49293409999999899</v>
      </c>
      <c r="F327" t="s">
        <v>42</v>
      </c>
      <c r="G327">
        <v>-277.91849999999999</v>
      </c>
      <c r="H327">
        <v>-0.05</v>
      </c>
      <c r="I327">
        <v>368.9332</v>
      </c>
      <c r="J327">
        <v>-401.9271</v>
      </c>
      <c r="K327">
        <v>1.0591360000000001</v>
      </c>
      <c r="L327">
        <v>368.35770000000002</v>
      </c>
      <c r="M327">
        <v>0.99990610000000002</v>
      </c>
      <c r="N327">
        <v>0</v>
      </c>
      <c r="O327">
        <v>-1.012791E-2</v>
      </c>
      <c r="P327">
        <v>0.99961599999999995</v>
      </c>
      <c r="Q327">
        <v>-2.394843E-2</v>
      </c>
      <c r="R327">
        <v>-1.394693E-2</v>
      </c>
      <c r="S327">
        <v>3.000702</v>
      </c>
      <c r="T327">
        <v>-2.679515E-2</v>
      </c>
      <c r="U327">
        <v>1.3854979999999999E-2</v>
      </c>
      <c r="V327">
        <v>3.8302850000000001E-3</v>
      </c>
      <c r="W327">
        <v>-1.469642E-2</v>
      </c>
      <c r="X327">
        <v>0.99988469999999996</v>
      </c>
      <c r="Y327">
        <v>-1.4744210000000001E-2</v>
      </c>
      <c r="Z327">
        <v>1.5626790000000001E-4</v>
      </c>
      <c r="AA327">
        <v>0.99989130000000004</v>
      </c>
      <c r="AB327">
        <v>37</v>
      </c>
      <c r="AC327">
        <v>124.0086</v>
      </c>
      <c r="AD327">
        <v>-1.1091359999999999</v>
      </c>
      <c r="AE327">
        <v>0.57549999999997603</v>
      </c>
      <c r="AF327">
        <v>-1.83132544337741</v>
      </c>
      <c r="AG327">
        <v>-1.1091359999999999</v>
      </c>
      <c r="AH327">
        <v>123.986492212608</v>
      </c>
      <c r="AI327">
        <v>90.512476683364795</v>
      </c>
      <c r="AJ327">
        <v>90.846217902556404</v>
      </c>
      <c r="AK327">
        <v>124.004976459548</v>
      </c>
      <c r="AL327">
        <v>90.842073125189899</v>
      </c>
      <c r="AM327">
        <v>89.7805166022046</v>
      </c>
      <c r="AN327">
        <v>1.0000000345690401</v>
      </c>
    </row>
    <row r="328" spans="1:40" x14ac:dyDescent="0.25">
      <c r="A328" t="str">
        <f>"20190312151508281"</f>
        <v>20190312151508281</v>
      </c>
      <c r="B328" t="str">
        <f>"1552374908278179"</f>
        <v>1552374908278179</v>
      </c>
      <c r="C328" t="s">
        <v>40</v>
      </c>
      <c r="D328">
        <v>4.2237999999999998</v>
      </c>
      <c r="E328">
        <v>0.49327650000000001</v>
      </c>
      <c r="F328" t="s">
        <v>42</v>
      </c>
      <c r="G328">
        <v>-283.88470000000001</v>
      </c>
      <c r="H328">
        <v>-0.05</v>
      </c>
      <c r="I328">
        <v>368.91829999999999</v>
      </c>
      <c r="J328">
        <v>-401.5607</v>
      </c>
      <c r="K328">
        <v>1.0591330000000001</v>
      </c>
      <c r="L328">
        <v>368.35419999999999</v>
      </c>
      <c r="M328">
        <v>0.99990829999999997</v>
      </c>
      <c r="N328">
        <v>0</v>
      </c>
      <c r="O328">
        <v>-9.8811929999999999E-3</v>
      </c>
      <c r="P328">
        <v>0.99961820000000001</v>
      </c>
      <c r="Q328">
        <v>-2.411638E-2</v>
      </c>
      <c r="R328">
        <v>-1.3501320000000001E-2</v>
      </c>
      <c r="S328">
        <v>3.0006710000000001</v>
      </c>
      <c r="T328">
        <v>-2.8194549999999999E-2</v>
      </c>
      <c r="U328">
        <v>1.4251710000000001E-2</v>
      </c>
      <c r="V328">
        <v>3.6311849999999999E-3</v>
      </c>
      <c r="W328">
        <v>-1.4854259999999999E-2</v>
      </c>
      <c r="X328">
        <v>0.99988310000000002</v>
      </c>
      <c r="Y328">
        <v>-1.4629639999999999E-2</v>
      </c>
      <c r="Z328">
        <v>1.6157399999999999E-4</v>
      </c>
      <c r="AA328">
        <v>0.99989300000000003</v>
      </c>
      <c r="AB328">
        <v>37</v>
      </c>
      <c r="AC328">
        <v>117.676</v>
      </c>
      <c r="AD328">
        <v>-1.1091329999999999</v>
      </c>
      <c r="AE328">
        <v>0.56409999999999605</v>
      </c>
      <c r="AF328">
        <v>-1.72674819036569</v>
      </c>
      <c r="AG328">
        <v>-1.1091329999999999</v>
      </c>
      <c r="AH328">
        <v>117.65422857373601</v>
      </c>
      <c r="AI328">
        <v>90.540056364724805</v>
      </c>
      <c r="AJ328">
        <v>90.840839145278494</v>
      </c>
      <c r="AK328">
        <v>117.67212642170399</v>
      </c>
      <c r="AL328">
        <v>90.851117686946694</v>
      </c>
      <c r="AM328">
        <v>89.791925015531305</v>
      </c>
      <c r="AN328">
        <v>1.0000000241051299</v>
      </c>
    </row>
    <row r="329" spans="1:40" x14ac:dyDescent="0.25">
      <c r="A329" t="str">
        <f>"20190312151508304"</f>
        <v>20190312151508304</v>
      </c>
      <c r="B329" t="str">
        <f>"1552374908297698"</f>
        <v>1552374908297698</v>
      </c>
      <c r="C329" t="s">
        <v>40</v>
      </c>
      <c r="D329">
        <v>4.2686820000000001</v>
      </c>
      <c r="E329">
        <v>0.49337589999999998</v>
      </c>
      <c r="F329" t="s">
        <v>42</v>
      </c>
      <c r="G329">
        <v>-278.45760000000001</v>
      </c>
      <c r="H329">
        <v>-0.05</v>
      </c>
      <c r="I329">
        <v>368.87759999999997</v>
      </c>
      <c r="J329">
        <v>-401.1746</v>
      </c>
      <c r="K329">
        <v>1.0591699999999999</v>
      </c>
      <c r="L329">
        <v>368.35050000000001</v>
      </c>
      <c r="M329">
        <v>0.99991479999999999</v>
      </c>
      <c r="N329">
        <v>0</v>
      </c>
      <c r="O329">
        <v>-8.8693119999999903E-3</v>
      </c>
      <c r="P329">
        <v>0.99962410000000002</v>
      </c>
      <c r="Q329">
        <v>-2.440724E-2</v>
      </c>
      <c r="R329">
        <v>-1.248793E-2</v>
      </c>
      <c r="S329">
        <v>3.0006409999999999</v>
      </c>
      <c r="T329">
        <v>-2.7035119999999999E-2</v>
      </c>
      <c r="U329">
        <v>1.275635E-2</v>
      </c>
      <c r="V329">
        <v>3.6278069999999998E-3</v>
      </c>
      <c r="W329">
        <v>-1.481908E-2</v>
      </c>
      <c r="X329">
        <v>0.99988359999999998</v>
      </c>
      <c r="Y329">
        <v>-1.3119749999999999E-2</v>
      </c>
      <c r="Z329">
        <v>1.3901340000000001E-4</v>
      </c>
      <c r="AA329">
        <v>0.99991390000000002</v>
      </c>
      <c r="AB329">
        <v>37</v>
      </c>
      <c r="AC329">
        <v>122.716999999999</v>
      </c>
      <c r="AD329">
        <v>-1.10917</v>
      </c>
      <c r="AE329">
        <v>0.52709999999996104</v>
      </c>
      <c r="AF329">
        <v>-1.61541258280487</v>
      </c>
      <c r="AG329">
        <v>-1.10917</v>
      </c>
      <c r="AH329">
        <v>122.697474101518</v>
      </c>
      <c r="AI329">
        <v>90.517887776129996</v>
      </c>
      <c r="AJ329">
        <v>90.754302209844894</v>
      </c>
      <c r="AK329">
        <v>122.713120597572</v>
      </c>
      <c r="AL329">
        <v>90.849101828687495</v>
      </c>
      <c r="AM329">
        <v>89.792118684703993</v>
      </c>
      <c r="AN329">
        <v>0.99999998983231697</v>
      </c>
    </row>
    <row r="330" spans="1:40" x14ac:dyDescent="0.25">
      <c r="A330" t="str">
        <f>"20190312151508327"</f>
        <v>20190312151508327</v>
      </c>
      <c r="B330" t="str">
        <f>"1552374908318195"</f>
        <v>1552374908318195</v>
      </c>
      <c r="C330" t="s">
        <v>40</v>
      </c>
      <c r="D330">
        <v>4.265587</v>
      </c>
      <c r="E330">
        <v>0.4935331</v>
      </c>
      <c r="F330" t="s">
        <v>42</v>
      </c>
      <c r="G330">
        <v>-278.55070000000001</v>
      </c>
      <c r="H330">
        <v>-0.05</v>
      </c>
      <c r="I330">
        <v>368.96289999999999</v>
      </c>
      <c r="J330">
        <v>-400.79250000000002</v>
      </c>
      <c r="K330">
        <v>1.0597110000000001</v>
      </c>
      <c r="L330">
        <v>368.34660000000002</v>
      </c>
      <c r="M330">
        <v>0.99991580000000002</v>
      </c>
      <c r="N330">
        <v>0</v>
      </c>
      <c r="O330">
        <v>-7.2903689999999997E-3</v>
      </c>
      <c r="P330">
        <v>0.99961440000000001</v>
      </c>
      <c r="Q330">
        <v>-2.5464230000000001E-2</v>
      </c>
      <c r="R330">
        <v>-1.1098500000000001E-2</v>
      </c>
      <c r="S330">
        <v>3.0006409999999999</v>
      </c>
      <c r="T330">
        <v>-2.714169E-2</v>
      </c>
      <c r="U330">
        <v>1.498413E-2</v>
      </c>
      <c r="V330">
        <v>3.8212900000000002E-3</v>
      </c>
      <c r="W330">
        <v>-1.471576E-2</v>
      </c>
      <c r="X330">
        <v>0.99988440000000001</v>
      </c>
      <c r="Y330">
        <v>-1.228335E-2</v>
      </c>
      <c r="Z330">
        <v>1.214973E-4</v>
      </c>
      <c r="AA330">
        <v>0.99992449999999999</v>
      </c>
      <c r="AB330">
        <v>38</v>
      </c>
      <c r="AC330">
        <v>122.2418</v>
      </c>
      <c r="AD330">
        <v>-1.1097109999999999</v>
      </c>
      <c r="AE330">
        <v>0.61629999999996699</v>
      </c>
      <c r="AF330">
        <v>-1.5073985836437001</v>
      </c>
      <c r="AG330">
        <v>-1.1097109999999999</v>
      </c>
      <c r="AH330">
        <v>122.223985493214</v>
      </c>
      <c r="AI330">
        <v>90.520153019948097</v>
      </c>
      <c r="AJ330">
        <v>90.706597792237403</v>
      </c>
      <c r="AK330">
        <v>122.23831780108399</v>
      </c>
      <c r="AL330">
        <v>90.843181387501204</v>
      </c>
      <c r="AM330">
        <v>89.781031963927703</v>
      </c>
      <c r="AN330">
        <v>0.99999998460649997</v>
      </c>
    </row>
    <row r="331" spans="1:40" x14ac:dyDescent="0.25">
      <c r="A331" t="str">
        <f>"20190312151508347"</f>
        <v>20190312151508347</v>
      </c>
      <c r="B331" t="str">
        <f>"1552374908337715"</f>
        <v>1552374908337715</v>
      </c>
      <c r="C331" t="s">
        <v>40</v>
      </c>
      <c r="D331">
        <v>4.4428489999999998</v>
      </c>
      <c r="E331">
        <v>0.49361840000000001</v>
      </c>
      <c r="F331" t="s">
        <v>42</v>
      </c>
      <c r="G331">
        <v>-291.37150000000003</v>
      </c>
      <c r="H331">
        <v>-0.05</v>
      </c>
      <c r="I331">
        <v>369.00209999999998</v>
      </c>
      <c r="J331">
        <v>-400.45940000000002</v>
      </c>
      <c r="K331">
        <v>1.060794</v>
      </c>
      <c r="L331">
        <v>368.34350000000001</v>
      </c>
      <c r="M331">
        <v>0.99990579999999996</v>
      </c>
      <c r="N331">
        <v>0</v>
      </c>
      <c r="O331">
        <v>-7.32380599999999E-3</v>
      </c>
      <c r="P331">
        <v>0.99957430000000003</v>
      </c>
      <c r="Q331">
        <v>-2.6766890000000002E-2</v>
      </c>
      <c r="R331">
        <v>-1.1606160000000001E-2</v>
      </c>
      <c r="S331">
        <v>3.00061</v>
      </c>
      <c r="T331">
        <v>-3.0431150000000001E-2</v>
      </c>
      <c r="U331">
        <v>1.7974850000000001E-2</v>
      </c>
      <c r="V331">
        <v>4.3140210000000003E-3</v>
      </c>
      <c r="W331">
        <v>-1.51467999999999E-2</v>
      </c>
      <c r="X331">
        <v>0.99987599999999999</v>
      </c>
      <c r="Y331">
        <v>-1.331324E-2</v>
      </c>
      <c r="Z331">
        <v>1.4178469999999999E-4</v>
      </c>
      <c r="AA331">
        <v>0.99991140000000001</v>
      </c>
      <c r="AB331">
        <v>37</v>
      </c>
      <c r="AC331">
        <v>109.0879</v>
      </c>
      <c r="AD331">
        <v>-1.1107940000000001</v>
      </c>
      <c r="AE331">
        <v>0.65859999999997798</v>
      </c>
      <c r="AF331">
        <v>-1.45742367926268</v>
      </c>
      <c r="AG331">
        <v>-1.1107940000000001</v>
      </c>
      <c r="AH331">
        <v>109.068841809651</v>
      </c>
      <c r="AI331">
        <v>90.583447354974496</v>
      </c>
      <c r="AJ331">
        <v>90.765564710499703</v>
      </c>
      <c r="AK331">
        <v>109.08423442821601</v>
      </c>
      <c r="AL331">
        <v>90.867880878523806</v>
      </c>
      <c r="AM331">
        <v>89.752795684371407</v>
      </c>
      <c r="AN331">
        <v>1.0000000258517101</v>
      </c>
    </row>
    <row r="332" spans="1:40" x14ac:dyDescent="0.25">
      <c r="A332" t="str">
        <f>"20190312151508360"</f>
        <v>20190312151508360</v>
      </c>
      <c r="B332" t="str">
        <f>"1552374908348451"</f>
        <v>1552374908348451</v>
      </c>
      <c r="C332" t="s">
        <v>40</v>
      </c>
      <c r="D332">
        <v>4.3494519999999897</v>
      </c>
      <c r="E332">
        <v>0.4937204</v>
      </c>
      <c r="F332" t="s">
        <v>42</v>
      </c>
      <c r="G332">
        <v>-302.74959999999999</v>
      </c>
      <c r="H332">
        <v>-0.05</v>
      </c>
      <c r="I332">
        <v>368.85239999999999</v>
      </c>
      <c r="J332">
        <v>-400.25569999999999</v>
      </c>
      <c r="K332">
        <v>1.06145</v>
      </c>
      <c r="L332">
        <v>368.34190000000001</v>
      </c>
      <c r="M332">
        <v>0.99990299999999999</v>
      </c>
      <c r="N332">
        <v>0</v>
      </c>
      <c r="O332">
        <v>-7.8689620000000002E-3</v>
      </c>
      <c r="P332">
        <v>0.99955629999999995</v>
      </c>
      <c r="Q332">
        <v>-2.7101920000000002E-2</v>
      </c>
      <c r="R332">
        <v>-1.2371160000000001E-2</v>
      </c>
      <c r="S332">
        <v>3.0005190000000002</v>
      </c>
      <c r="T332">
        <v>-3.411078E-2</v>
      </c>
      <c r="U332">
        <v>1.5625E-2</v>
      </c>
      <c r="V332">
        <v>4.5455590000000002E-3</v>
      </c>
      <c r="W332">
        <v>-1.5590410000000001E-2</v>
      </c>
      <c r="X332">
        <v>0.99986819999999998</v>
      </c>
      <c r="Y332">
        <v>-1.307522E-2</v>
      </c>
      <c r="Z332">
        <v>1.637775E-4</v>
      </c>
      <c r="AA332">
        <v>0.99991450000000004</v>
      </c>
      <c r="AB332">
        <v>37</v>
      </c>
      <c r="AC332">
        <v>97.506100000000004</v>
      </c>
      <c r="AD332">
        <v>-1.11145</v>
      </c>
      <c r="AE332">
        <v>0.51049999999997897</v>
      </c>
      <c r="AF332">
        <v>-1.2776406580164501</v>
      </c>
      <c r="AG332">
        <v>-1.11145</v>
      </c>
      <c r="AH332">
        <v>97.486397107651797</v>
      </c>
      <c r="AI332">
        <v>90.653149253726895</v>
      </c>
      <c r="AJ332">
        <v>90.750866057536896</v>
      </c>
      <c r="AK332">
        <v>97.501104136231703</v>
      </c>
      <c r="AL332">
        <v>90.893300821423693</v>
      </c>
      <c r="AM332">
        <v>89.739526117520796</v>
      </c>
      <c r="AN332">
        <v>1.00000007018091</v>
      </c>
    </row>
    <row r="333" spans="1:40" x14ac:dyDescent="0.25">
      <c r="A333" t="str">
        <f>"20190312151508394"</f>
        <v>20190312151508394</v>
      </c>
      <c r="B333" t="str">
        <f>"1552374908387491"</f>
        <v>1552374908387491</v>
      </c>
      <c r="C333" t="s">
        <v>40</v>
      </c>
      <c r="D333">
        <v>4.6514540000000002</v>
      </c>
      <c r="E333">
        <v>0.49389329999999998</v>
      </c>
      <c r="F333" t="s">
        <v>42</v>
      </c>
      <c r="G333">
        <v>-305.81950000000001</v>
      </c>
      <c r="H333">
        <v>-0.05</v>
      </c>
      <c r="I333">
        <v>368.74239999999998</v>
      </c>
      <c r="J333">
        <v>-399.6832</v>
      </c>
      <c r="K333">
        <v>1.0626119999999999</v>
      </c>
      <c r="L333">
        <v>368.33749999999998</v>
      </c>
      <c r="M333">
        <v>0.99991920000000001</v>
      </c>
      <c r="N333">
        <v>0</v>
      </c>
      <c r="O333">
        <v>-8.9066040000000003E-3</v>
      </c>
      <c r="P333">
        <v>0.99958979999999997</v>
      </c>
      <c r="Q333">
        <v>-2.4858149999999999E-2</v>
      </c>
      <c r="R333">
        <v>-1.422209E-2</v>
      </c>
      <c r="S333">
        <v>3.0004879999999998</v>
      </c>
      <c r="T333">
        <v>-3.5313730000000002E-2</v>
      </c>
      <c r="U333">
        <v>1.272583E-2</v>
      </c>
      <c r="V333">
        <v>5.3594109999999997E-3</v>
      </c>
      <c r="W333">
        <v>-1.5776769999999999E-2</v>
      </c>
      <c r="X333">
        <v>0.99986120000000001</v>
      </c>
      <c r="Y333">
        <v>-1.3146410000000001E-2</v>
      </c>
      <c r="Z333">
        <v>1.821836E-4</v>
      </c>
      <c r="AA333">
        <v>0.99991359999999996</v>
      </c>
      <c r="AB333">
        <v>37</v>
      </c>
      <c r="AC333">
        <v>93.863699999999994</v>
      </c>
      <c r="AD333">
        <v>-1.1126119999999999</v>
      </c>
      <c r="AE333">
        <v>0.40489999999999698</v>
      </c>
      <c r="AF333">
        <v>-1.2407508053087</v>
      </c>
      <c r="AG333">
        <v>-1.1126119999999999</v>
      </c>
      <c r="AH333">
        <v>93.843184994450993</v>
      </c>
      <c r="AI333">
        <v>90.679211972637901</v>
      </c>
      <c r="AJ333">
        <v>90.757493925994794</v>
      </c>
      <c r="AK333">
        <v>93.857981748629996</v>
      </c>
      <c r="AL333">
        <v>90.903979816905704</v>
      </c>
      <c r="AM333">
        <v>89.692888682774196</v>
      </c>
      <c r="AN333">
        <v>1.00000002451166</v>
      </c>
    </row>
    <row r="334" spans="1:40" x14ac:dyDescent="0.25">
      <c r="A334" t="str">
        <f>"20190312151508517"</f>
        <v>20190312151508517</v>
      </c>
      <c r="B334" t="str">
        <f>"1552374908507539"</f>
        <v>1552374908507539</v>
      </c>
      <c r="C334" t="s">
        <v>40</v>
      </c>
      <c r="D334">
        <v>4.309844</v>
      </c>
      <c r="E334">
        <v>0.49394070000000001</v>
      </c>
      <c r="F334" t="s">
        <v>42</v>
      </c>
      <c r="G334">
        <v>-293.87970000000001</v>
      </c>
      <c r="H334">
        <v>-0.05</v>
      </c>
      <c r="I334">
        <v>368.55059999999997</v>
      </c>
      <c r="J334">
        <v>-397.6266</v>
      </c>
      <c r="K334">
        <v>1.072376</v>
      </c>
      <c r="L334">
        <v>368.32100000000003</v>
      </c>
      <c r="M334">
        <v>0.99997740000000002</v>
      </c>
      <c r="N334">
        <v>0</v>
      </c>
      <c r="O334">
        <v>-5.9714950000000003E-3</v>
      </c>
      <c r="P334">
        <v>0.99971659999999996</v>
      </c>
      <c r="Q334">
        <v>-1.9546040000000001E-2</v>
      </c>
      <c r="R334">
        <v>-1.360427E-2</v>
      </c>
      <c r="S334">
        <v>3.0005489999999999</v>
      </c>
      <c r="T334">
        <v>-3.1553270000000001E-2</v>
      </c>
      <c r="U334">
        <v>6.0424800000000002E-3</v>
      </c>
      <c r="V334">
        <v>7.6540769999999996E-3</v>
      </c>
      <c r="W334">
        <v>-1.641331E-2</v>
      </c>
      <c r="X334">
        <v>0.99983599999999995</v>
      </c>
      <c r="Y334">
        <v>-7.9844930000000005E-3</v>
      </c>
      <c r="Z334">
        <v>1.047741E-4</v>
      </c>
      <c r="AA334">
        <v>0.99996810000000003</v>
      </c>
      <c r="AB334">
        <v>37</v>
      </c>
      <c r="AC334">
        <v>103.746899999999</v>
      </c>
      <c r="AD334">
        <v>-1.122376</v>
      </c>
      <c r="AE334">
        <v>0.229600000000004</v>
      </c>
      <c r="AF334">
        <v>-0.84902358885124096</v>
      </c>
      <c r="AG334">
        <v>-1.122376</v>
      </c>
      <c r="AH334">
        <v>103.731538700538</v>
      </c>
      <c r="AI334">
        <v>90.619895796484997</v>
      </c>
      <c r="AJ334">
        <v>90.468944958574795</v>
      </c>
      <c r="AK334">
        <v>103.741084870561</v>
      </c>
      <c r="AL334">
        <v>90.940455615996299</v>
      </c>
      <c r="AM334">
        <v>89.561390326416898</v>
      </c>
      <c r="AN334">
        <v>1.00000000426793</v>
      </c>
    </row>
    <row r="335" spans="1:40" x14ac:dyDescent="0.25">
      <c r="A335" t="str">
        <f>"20190312151508537"</f>
        <v>20190312151508537</v>
      </c>
      <c r="B335" t="str">
        <f>"1552374908528034"</f>
        <v>1552374908528034</v>
      </c>
      <c r="C335" t="s">
        <v>40</v>
      </c>
      <c r="D335">
        <v>4.2391319999999997</v>
      </c>
      <c r="E335">
        <v>0.4939808</v>
      </c>
      <c r="F335" t="s">
        <v>45</v>
      </c>
      <c r="G335">
        <v>-208.25120000000001</v>
      </c>
      <c r="H335" s="1">
        <v>-4.6527959999999996E-6</v>
      </c>
      <c r="I335">
        <v>368.78910000000002</v>
      </c>
      <c r="J335">
        <v>-397.27480000000003</v>
      </c>
      <c r="K335">
        <v>1.0751930000000001</v>
      </c>
      <c r="L335">
        <v>368.31889999999999</v>
      </c>
      <c r="M335">
        <v>0.99997919999999996</v>
      </c>
      <c r="N335">
        <v>0</v>
      </c>
      <c r="O335">
        <v>-5.7347070000000003E-3</v>
      </c>
      <c r="P335">
        <v>0.9997104</v>
      </c>
      <c r="Q335">
        <v>-1.9673300000000001E-2</v>
      </c>
      <c r="R335">
        <v>-1.3881879999999999E-2</v>
      </c>
      <c r="S335">
        <v>3.00061</v>
      </c>
      <c r="T335">
        <v>-1.6991619999999999E-2</v>
      </c>
      <c r="U335">
        <v>7.4157709999999998E-3</v>
      </c>
      <c r="V335">
        <v>8.1711609999999997E-3</v>
      </c>
      <c r="W335">
        <v>-1.6710920000000001E-2</v>
      </c>
      <c r="X335">
        <v>0.99982700000000002</v>
      </c>
      <c r="Y335">
        <v>-8.2058659999999992E-3</v>
      </c>
      <c r="Z335" s="1">
        <v>5.5707339999999997E-5</v>
      </c>
      <c r="AA335">
        <v>0.99996629999999997</v>
      </c>
      <c r="AB335">
        <v>37</v>
      </c>
      <c r="AC335">
        <v>189.02359999999999</v>
      </c>
      <c r="AD335">
        <v>-1.0751976527959901</v>
      </c>
      <c r="AE335">
        <v>0.47020000000003298</v>
      </c>
      <c r="AF335">
        <v>-1.5541416682390701</v>
      </c>
      <c r="AG335">
        <v>-1.0751976527959901</v>
      </c>
      <c r="AH335">
        <v>189.01167980021</v>
      </c>
      <c r="AI335">
        <v>90.325913937743806</v>
      </c>
      <c r="AJ335">
        <v>90.471101848144301</v>
      </c>
      <c r="AK335">
        <v>189.02112714512799</v>
      </c>
      <c r="AL335">
        <v>90.957509730972802</v>
      </c>
      <c r="AM335">
        <v>89.531756377658994</v>
      </c>
      <c r="AN335">
        <v>1.00000002632416</v>
      </c>
    </row>
    <row r="336" spans="1:40" x14ac:dyDescent="0.25">
      <c r="A336" t="str">
        <f>"20190312151508559"</f>
        <v>20190312151508559</v>
      </c>
      <c r="B336" t="str">
        <f>"1552374908547555"</f>
        <v>1552374908547555</v>
      </c>
      <c r="C336" t="s">
        <v>40</v>
      </c>
      <c r="D336">
        <v>4.2513480000000001</v>
      </c>
      <c r="E336">
        <v>0.49399199999999999</v>
      </c>
      <c r="F336" t="s">
        <v>43</v>
      </c>
      <c r="G336">
        <v>-236.18020000000001</v>
      </c>
      <c r="H336" s="1">
        <v>-1.7909990000000001E-6</v>
      </c>
      <c r="I336">
        <v>368.65809999999999</v>
      </c>
      <c r="J336">
        <v>-396.90910000000002</v>
      </c>
      <c r="K336">
        <v>1.0781969999999901</v>
      </c>
      <c r="L336">
        <v>368.31689999999998</v>
      </c>
      <c r="M336">
        <v>0.9999808</v>
      </c>
      <c r="N336">
        <v>0</v>
      </c>
      <c r="O336">
        <v>-5.5404299999999998E-3</v>
      </c>
      <c r="P336">
        <v>0.99971200000000005</v>
      </c>
      <c r="Q336">
        <v>-1.9671270000000001E-2</v>
      </c>
      <c r="R336">
        <v>-1.3736699999999999E-2</v>
      </c>
      <c r="S336">
        <v>3.0005489999999999</v>
      </c>
      <c r="T336">
        <v>-2.0026559999999999E-2</v>
      </c>
      <c r="U336">
        <v>6.3171390000000003E-3</v>
      </c>
      <c r="V336">
        <v>8.2220439999999995E-3</v>
      </c>
      <c r="W336">
        <v>-1.6919469999999999E-2</v>
      </c>
      <c r="X336">
        <v>0.99982300000000002</v>
      </c>
      <c r="Y336">
        <v>-7.6454359999999898E-3</v>
      </c>
      <c r="Z336" s="1">
        <v>6.2491740000000006E-5</v>
      </c>
      <c r="AA336">
        <v>0.99997080000000005</v>
      </c>
      <c r="AB336">
        <v>38</v>
      </c>
      <c r="AC336">
        <v>160.72890000000001</v>
      </c>
      <c r="AD336">
        <v>-1.0781987909989901</v>
      </c>
      <c r="AE336">
        <v>0.34120000000001399</v>
      </c>
      <c r="AF336">
        <v>-1.2316499888285899</v>
      </c>
      <c r="AG336">
        <v>-1.0781987909989901</v>
      </c>
      <c r="AH336">
        <v>160.71731046348799</v>
      </c>
      <c r="AI336">
        <v>90.384361208029304</v>
      </c>
      <c r="AJ336">
        <v>90.439075072768603</v>
      </c>
      <c r="AK336">
        <v>160.725646232781</v>
      </c>
      <c r="AL336">
        <v>90.969460528281999</v>
      </c>
      <c r="AM336">
        <v>89.528838803132899</v>
      </c>
      <c r="AN336">
        <v>0.99999995090080795</v>
      </c>
    </row>
    <row r="337" spans="1:40" x14ac:dyDescent="0.25">
      <c r="A337" t="str">
        <f>"20190312151508570"</f>
        <v>20190312151508570</v>
      </c>
      <c r="B337" t="str">
        <f>"1552374908568051"</f>
        <v>1552374908568051</v>
      </c>
      <c r="C337" t="s">
        <v>40</v>
      </c>
      <c r="D337">
        <v>4.2842979999999997</v>
      </c>
      <c r="E337">
        <v>0.49403269999999999</v>
      </c>
      <c r="F337" t="s">
        <v>43</v>
      </c>
      <c r="G337">
        <v>-250.3809</v>
      </c>
      <c r="H337" s="1">
        <v>-4.2817640000000001E-6</v>
      </c>
      <c r="I337">
        <v>368.64179999999999</v>
      </c>
      <c r="J337">
        <v>-396.71089999999998</v>
      </c>
      <c r="K337">
        <v>1.079842</v>
      </c>
      <c r="L337">
        <v>368.31599999999997</v>
      </c>
      <c r="M337">
        <v>0.99998169999999997</v>
      </c>
      <c r="N337">
        <v>0</v>
      </c>
      <c r="O337">
        <v>-5.4377490000000004E-3</v>
      </c>
      <c r="P337">
        <v>0.99971940000000004</v>
      </c>
      <c r="Q337">
        <v>-1.9447030000000001E-2</v>
      </c>
      <c r="R337">
        <v>-1.353584E-2</v>
      </c>
      <c r="S337">
        <v>3.0005190000000002</v>
      </c>
      <c r="T337">
        <v>-2.2078750000000001E-2</v>
      </c>
      <c r="U337">
        <v>6.6528319999999896E-3</v>
      </c>
      <c r="V337">
        <v>8.1235370000000001E-3</v>
      </c>
      <c r="W337">
        <v>-1.6759309999999999E-2</v>
      </c>
      <c r="X337">
        <v>0.99982660000000001</v>
      </c>
      <c r="Y337">
        <v>-7.6545909999999997E-3</v>
      </c>
      <c r="Z337" s="1">
        <v>6.8174139999999998E-5</v>
      </c>
      <c r="AA337">
        <v>0.99997069999999999</v>
      </c>
      <c r="AB337">
        <v>38</v>
      </c>
      <c r="AC337">
        <v>146.32999999999899</v>
      </c>
      <c r="AD337">
        <v>-1.079846281764</v>
      </c>
      <c r="AE337">
        <v>0.32580000000001502</v>
      </c>
      <c r="AF337">
        <v>-1.12144272084775</v>
      </c>
      <c r="AG337">
        <v>-1.079846281764</v>
      </c>
      <c r="AH337">
        <v>146.31809685191899</v>
      </c>
      <c r="AI337">
        <v>90.422830090639593</v>
      </c>
      <c r="AJ337">
        <v>90.439130074371903</v>
      </c>
      <c r="AK337">
        <v>146.326378921014</v>
      </c>
      <c r="AL337">
        <v>90.960282640991593</v>
      </c>
      <c r="AM337">
        <v>89.534485136562793</v>
      </c>
      <c r="AN337">
        <v>1.0000000481963101</v>
      </c>
    </row>
    <row r="338" spans="1:40" x14ac:dyDescent="0.25">
      <c r="A338" t="str">
        <f>"20190312151508583"</f>
        <v>20190312151508583</v>
      </c>
      <c r="B338" t="str">
        <f>"1552374908577811"</f>
        <v>1552374908577811</v>
      </c>
      <c r="C338" t="s">
        <v>40</v>
      </c>
      <c r="D338">
        <v>4.2173400000000001</v>
      </c>
      <c r="E338">
        <v>0.4940155</v>
      </c>
      <c r="F338" t="s">
        <v>43</v>
      </c>
      <c r="G338">
        <v>-258.3116</v>
      </c>
      <c r="H338" s="1">
        <v>-8.8235879999999996E-7</v>
      </c>
      <c r="I338">
        <v>368.62569999999999</v>
      </c>
      <c r="J338">
        <v>-396.50420000000003</v>
      </c>
      <c r="K338">
        <v>1.081548</v>
      </c>
      <c r="L338">
        <v>368.315</v>
      </c>
      <c r="M338">
        <v>0.99998229999999999</v>
      </c>
      <c r="N338">
        <v>0</v>
      </c>
      <c r="O338">
        <v>-5.3189409999999998E-3</v>
      </c>
      <c r="P338">
        <v>0.99971770000000004</v>
      </c>
      <c r="Q338">
        <v>-1.9674179999999999E-2</v>
      </c>
      <c r="R338">
        <v>-1.3332480000000001E-2</v>
      </c>
      <c r="S338">
        <v>3.0004879999999998</v>
      </c>
      <c r="T338">
        <v>-2.3410920000000002E-2</v>
      </c>
      <c r="U338">
        <v>6.7138669999999897E-3</v>
      </c>
      <c r="V338">
        <v>8.0386090000000004E-3</v>
      </c>
      <c r="W338">
        <v>-1.695586E-2</v>
      </c>
      <c r="X338">
        <v>0.99982389999999999</v>
      </c>
      <c r="Y338">
        <v>-7.5561100000000004E-3</v>
      </c>
      <c r="Z338" s="1">
        <v>7.0977019999999996E-5</v>
      </c>
      <c r="AA338">
        <v>0.99997139999999995</v>
      </c>
      <c r="AB338">
        <v>38</v>
      </c>
      <c r="AC338">
        <v>138.1926</v>
      </c>
      <c r="AD338">
        <v>-1.0815488823588</v>
      </c>
      <c r="AE338">
        <v>0.31069999999999698</v>
      </c>
      <c r="AF338">
        <v>-1.04567245392244</v>
      </c>
      <c r="AG338">
        <v>-1.0815488823588</v>
      </c>
      <c r="AH338">
        <v>138.18052871996801</v>
      </c>
      <c r="AI338">
        <v>90.448436167599198</v>
      </c>
      <c r="AJ338">
        <v>90.433573928997404</v>
      </c>
      <c r="AK338">
        <v>138.18871768778999</v>
      </c>
      <c r="AL338">
        <v>90.971545796829005</v>
      </c>
      <c r="AM338">
        <v>89.539350434606305</v>
      </c>
      <c r="AN338">
        <v>0.99999997571710197</v>
      </c>
    </row>
    <row r="339" spans="1:40" x14ac:dyDescent="0.25">
      <c r="A339" t="str">
        <f>"20190312151508595"</f>
        <v>20190312151508595</v>
      </c>
      <c r="B339" t="str">
        <f>"1552374908587571"</f>
        <v>1552374908587571</v>
      </c>
      <c r="C339" t="s">
        <v>40</v>
      </c>
      <c r="D339">
        <v>4.2405229999999996</v>
      </c>
      <c r="E339">
        <v>0.49400840000000001</v>
      </c>
      <c r="F339" t="s">
        <v>43</v>
      </c>
      <c r="G339">
        <v>-267.70940000000002</v>
      </c>
      <c r="H339" s="1">
        <v>-1.137741E-6</v>
      </c>
      <c r="I339">
        <v>368.64249999999998</v>
      </c>
      <c r="J339">
        <v>-396.29790000000003</v>
      </c>
      <c r="K339">
        <v>1.083237</v>
      </c>
      <c r="L339">
        <v>368.3141</v>
      </c>
      <c r="M339">
        <v>0.99998279999999995</v>
      </c>
      <c r="N339">
        <v>0</v>
      </c>
      <c r="O339">
        <v>-5.1944469999999996E-3</v>
      </c>
      <c r="P339">
        <v>0.99972119999999998</v>
      </c>
      <c r="Q339">
        <v>-1.97173E-2</v>
      </c>
      <c r="R339">
        <v>-1.298917E-2</v>
      </c>
      <c r="S339">
        <v>3.0004580000000001</v>
      </c>
      <c r="T339">
        <v>-2.519619E-2</v>
      </c>
      <c r="U339">
        <v>7.6293949999999998E-3</v>
      </c>
      <c r="V339">
        <v>7.8188670000000002E-3</v>
      </c>
      <c r="W339">
        <v>-1.6933549999999999E-2</v>
      </c>
      <c r="X339">
        <v>0.99982610000000005</v>
      </c>
      <c r="Y339">
        <v>-7.73669599999999E-3</v>
      </c>
      <c r="Z339" s="1">
        <v>7.6103E-5</v>
      </c>
      <c r="AA339">
        <v>0.99997009999999997</v>
      </c>
      <c r="AB339">
        <v>38</v>
      </c>
      <c r="AC339">
        <v>128.58850000000001</v>
      </c>
      <c r="AD339">
        <v>-1.0832381377410001</v>
      </c>
      <c r="AE339">
        <v>0.32839999999998698</v>
      </c>
      <c r="AF339">
        <v>-0.99627349474788995</v>
      </c>
      <c r="AG339">
        <v>-1.0832381377410001</v>
      </c>
      <c r="AH339">
        <v>128.575934987827</v>
      </c>
      <c r="AI339">
        <v>90.482684743258901</v>
      </c>
      <c r="AJ339">
        <v>90.443948738444604</v>
      </c>
      <c r="AK339">
        <v>128.58435761683199</v>
      </c>
      <c r="AL339">
        <v>90.970267267455895</v>
      </c>
      <c r="AM339">
        <v>89.551943135280794</v>
      </c>
      <c r="AN339">
        <v>1.00000005501898</v>
      </c>
    </row>
    <row r="340" spans="1:40" x14ac:dyDescent="0.25">
      <c r="A340" t="str">
        <f>"20190312151508608"</f>
        <v>20190312151508608</v>
      </c>
      <c r="B340" t="str">
        <f>"1552374908598307"</f>
        <v>1552374908598307</v>
      </c>
      <c r="C340" t="s">
        <v>40</v>
      </c>
      <c r="D340">
        <v>4.2468279999999998</v>
      </c>
      <c r="E340">
        <v>0.49402770000000001</v>
      </c>
      <c r="F340" t="s">
        <v>43</v>
      </c>
      <c r="G340">
        <v>-272.80169999999998</v>
      </c>
      <c r="H340" s="1">
        <v>-3.2378799999999998E-6</v>
      </c>
      <c r="I340">
        <v>368.67200000000003</v>
      </c>
      <c r="J340">
        <v>-396.08580000000001</v>
      </c>
      <c r="K340">
        <v>1.0849249999999999</v>
      </c>
      <c r="L340">
        <v>368.31319999999999</v>
      </c>
      <c r="M340">
        <v>0.99998310000000001</v>
      </c>
      <c r="N340">
        <v>0</v>
      </c>
      <c r="O340">
        <v>-5.0518009999999999E-3</v>
      </c>
      <c r="P340">
        <v>0.99972459999999996</v>
      </c>
      <c r="Q340">
        <v>-1.9689060000000001E-2</v>
      </c>
      <c r="R340">
        <v>-1.277497E-2</v>
      </c>
      <c r="S340">
        <v>3.0004270000000002</v>
      </c>
      <c r="T340">
        <v>-2.6318069999999999E-2</v>
      </c>
      <c r="U340">
        <v>8.6975100000000003E-3</v>
      </c>
      <c r="V340">
        <v>7.7458769999999904E-3</v>
      </c>
      <c r="W340">
        <v>-1.676503E-2</v>
      </c>
      <c r="X340">
        <v>0.99982950000000004</v>
      </c>
      <c r="Y340">
        <v>-7.9500089999999992E-3</v>
      </c>
      <c r="Z340" s="1">
        <v>7.917655E-5</v>
      </c>
      <c r="AA340">
        <v>0.99996839999999998</v>
      </c>
      <c r="AB340">
        <v>38</v>
      </c>
      <c r="AC340">
        <v>123.2841</v>
      </c>
      <c r="AD340">
        <v>-1.08492823787999</v>
      </c>
      <c r="AE340">
        <v>0.35879999999997297</v>
      </c>
      <c r="AF340">
        <v>-0.98152872642928601</v>
      </c>
      <c r="AG340">
        <v>-1.08492823787999</v>
      </c>
      <c r="AH340">
        <v>123.271167701481</v>
      </c>
      <c r="AI340">
        <v>90.504239840187097</v>
      </c>
      <c r="AJ340">
        <v>90.456199662267196</v>
      </c>
      <c r="AK340">
        <v>123.279849344526</v>
      </c>
      <c r="AL340">
        <v>90.960610420077501</v>
      </c>
      <c r="AM340">
        <v>89.556127137572801</v>
      </c>
      <c r="AN340">
        <v>1.0000000469558199</v>
      </c>
    </row>
    <row r="341" spans="1:40" x14ac:dyDescent="0.25">
      <c r="A341" t="str">
        <f>"20190312151508626"</f>
        <v>20190312151508626</v>
      </c>
      <c r="B341" t="str">
        <f>"1552374908617827"</f>
        <v>1552374908617827</v>
      </c>
      <c r="C341" t="s">
        <v>40</v>
      </c>
      <c r="D341">
        <v>4.2194849999999997</v>
      </c>
      <c r="E341">
        <v>0.494031</v>
      </c>
      <c r="F341" t="s">
        <v>43</v>
      </c>
      <c r="G341">
        <v>-276.97559999999999</v>
      </c>
      <c r="H341" s="1">
        <v>-1.4482040000000001E-6</v>
      </c>
      <c r="I341">
        <v>368.6669</v>
      </c>
      <c r="J341">
        <v>-395.77</v>
      </c>
      <c r="K341">
        <v>1.08735</v>
      </c>
      <c r="L341">
        <v>368.31189999999998</v>
      </c>
      <c r="M341">
        <v>0.99998339999999997</v>
      </c>
      <c r="N341">
        <v>0</v>
      </c>
      <c r="O341">
        <v>-4.8236470000000004E-3</v>
      </c>
      <c r="P341">
        <v>0.99972890000000003</v>
      </c>
      <c r="Q341">
        <v>-1.9973910000000001E-2</v>
      </c>
      <c r="R341">
        <v>-1.1988520000000001E-2</v>
      </c>
      <c r="S341">
        <v>3.0003660000000001</v>
      </c>
      <c r="T341">
        <v>-2.732909E-2</v>
      </c>
      <c r="U341">
        <v>8.9111329999999999E-3</v>
      </c>
      <c r="V341">
        <v>7.1851110000000001E-3</v>
      </c>
      <c r="W341">
        <v>-1.6777219999999999E-2</v>
      </c>
      <c r="X341">
        <v>0.99983350000000004</v>
      </c>
      <c r="Y341">
        <v>-7.7930940000000004E-3</v>
      </c>
      <c r="Z341" s="1">
        <v>7.9426959999999994E-5</v>
      </c>
      <c r="AA341">
        <v>0.99996960000000001</v>
      </c>
      <c r="AB341">
        <v>38</v>
      </c>
      <c r="AC341">
        <v>118.7944</v>
      </c>
      <c r="AD341">
        <v>-1.0873514482040001</v>
      </c>
      <c r="AE341">
        <v>0.35500000000001802</v>
      </c>
      <c r="AF341">
        <v>-0.92794322306569998</v>
      </c>
      <c r="AG341">
        <v>-1.0873514482040001</v>
      </c>
      <c r="AH341">
        <v>118.781353959819</v>
      </c>
      <c r="AI341">
        <v>90.524467904326002</v>
      </c>
      <c r="AJ341">
        <v>90.447596756315093</v>
      </c>
      <c r="AK341">
        <v>118.78995521644499</v>
      </c>
      <c r="AL341">
        <v>90.961308937142206</v>
      </c>
      <c r="AM341">
        <v>89.588261996509104</v>
      </c>
      <c r="AN341">
        <v>1.00000006432662</v>
      </c>
    </row>
    <row r="342" spans="1:40" x14ac:dyDescent="0.25">
      <c r="A342" t="str">
        <f>"20190312151508638"</f>
        <v>20190312151508638</v>
      </c>
      <c r="B342" t="str">
        <f>"1552374908627587"</f>
        <v>1552374908627587</v>
      </c>
      <c r="C342" t="s">
        <v>40</v>
      </c>
      <c r="D342">
        <v>4.211811</v>
      </c>
      <c r="E342">
        <v>0.49402079999999998</v>
      </c>
      <c r="F342" t="s">
        <v>42</v>
      </c>
      <c r="G342">
        <v>-281.3021</v>
      </c>
      <c r="H342">
        <v>-0.05</v>
      </c>
      <c r="I342">
        <v>368.7473</v>
      </c>
      <c r="J342">
        <v>-395.57420000000002</v>
      </c>
      <c r="K342">
        <v>1.088786</v>
      </c>
      <c r="L342">
        <v>368.31110000000001</v>
      </c>
      <c r="M342">
        <v>0.99998339999999997</v>
      </c>
      <c r="N342">
        <v>0</v>
      </c>
      <c r="O342">
        <v>-4.6788690000000004E-3</v>
      </c>
      <c r="P342">
        <v>0.9997298</v>
      </c>
      <c r="Q342">
        <v>-2.0136459999999998E-2</v>
      </c>
      <c r="R342">
        <v>-1.1614360000000001E-2</v>
      </c>
      <c r="S342">
        <v>3.000397</v>
      </c>
      <c r="T342">
        <v>-2.9811859999999999E-2</v>
      </c>
      <c r="U342">
        <v>1.141357E-2</v>
      </c>
      <c r="V342">
        <v>6.954493E-3</v>
      </c>
      <c r="W342">
        <v>-1.674231E-2</v>
      </c>
      <c r="X342">
        <v>0.99983569999999999</v>
      </c>
      <c r="Y342">
        <v>-8.4821649999999998E-3</v>
      </c>
      <c r="Z342" s="1">
        <v>8.8626129999999997E-5</v>
      </c>
      <c r="AA342">
        <v>0.99996399999999996</v>
      </c>
      <c r="AB342">
        <v>38</v>
      </c>
      <c r="AC342">
        <v>114.27209999999999</v>
      </c>
      <c r="AD342">
        <v>-1.1387860000000001</v>
      </c>
      <c r="AE342">
        <v>0.43619999999998499</v>
      </c>
      <c r="AF342">
        <v>-0.97076602678694501</v>
      </c>
      <c r="AG342">
        <v>-1.1387860000000001</v>
      </c>
      <c r="AH342">
        <v>114.257461206619</v>
      </c>
      <c r="AI342">
        <v>90.5710184335218</v>
      </c>
      <c r="AJ342">
        <v>90.486790598451293</v>
      </c>
      <c r="AK342">
        <v>114.267259797435</v>
      </c>
      <c r="AL342">
        <v>90.959308475858094</v>
      </c>
      <c r="AM342">
        <v>89.601477851068097</v>
      </c>
      <c r="AN342">
        <v>1.0000000484557501</v>
      </c>
    </row>
    <row r="343" spans="1:40" x14ac:dyDescent="0.25">
      <c r="A343" t="str">
        <f>"20190312151508649"</f>
        <v>20190312151508649</v>
      </c>
      <c r="B343" t="str">
        <f>"1552374908638323"</f>
        <v>1552374908638323</v>
      </c>
      <c r="C343" t="s">
        <v>40</v>
      </c>
      <c r="D343">
        <v>4.2028429999999997</v>
      </c>
      <c r="E343">
        <v>0.49400959999999999</v>
      </c>
      <c r="F343" t="s">
        <v>42</v>
      </c>
      <c r="G343">
        <v>-284.72109999999998</v>
      </c>
      <c r="H343">
        <v>-0.05</v>
      </c>
      <c r="I343">
        <v>368.77449999999999</v>
      </c>
      <c r="J343">
        <v>-395.37150000000003</v>
      </c>
      <c r="K343">
        <v>1.0902210000000001</v>
      </c>
      <c r="L343">
        <v>368.31029999999998</v>
      </c>
      <c r="M343">
        <v>0.99998319999999996</v>
      </c>
      <c r="N343">
        <v>0</v>
      </c>
      <c r="O343">
        <v>-4.52915E-3</v>
      </c>
      <c r="P343">
        <v>0.99972179999999999</v>
      </c>
      <c r="Q343">
        <v>-2.066496E-2</v>
      </c>
      <c r="R343">
        <v>-1.1356929999999999E-2</v>
      </c>
      <c r="S343">
        <v>3.000305</v>
      </c>
      <c r="T343">
        <v>-3.0821919999999999E-2</v>
      </c>
      <c r="U343">
        <v>1.254272E-2</v>
      </c>
      <c r="V343">
        <v>6.8459319999999999E-3</v>
      </c>
      <c r="W343">
        <v>-1.7048089999999998E-2</v>
      </c>
      <c r="X343">
        <v>0.99983129999999998</v>
      </c>
      <c r="Y343">
        <v>-8.7088469999999901E-3</v>
      </c>
      <c r="Z343" s="1">
        <v>9.125782E-5</v>
      </c>
      <c r="AA343">
        <v>0.99996209999999996</v>
      </c>
      <c r="AB343">
        <v>38</v>
      </c>
      <c r="AC343">
        <v>110.6504</v>
      </c>
      <c r="AD343">
        <v>-1.1402209999999999</v>
      </c>
      <c r="AE343">
        <v>0.464200000000005</v>
      </c>
      <c r="AF343">
        <v>-0.96524828197006596</v>
      </c>
      <c r="AG343">
        <v>-1.1402209999999999</v>
      </c>
      <c r="AH343">
        <v>110.635414781134</v>
      </c>
      <c r="AI343">
        <v>90.590453357710004</v>
      </c>
      <c r="AJ343">
        <v>90.499869320130898</v>
      </c>
      <c r="AK343">
        <v>110.645500640416</v>
      </c>
      <c r="AL343">
        <v>90.976830862139906</v>
      </c>
      <c r="AM343">
        <v>89.607696937658304</v>
      </c>
      <c r="AN343">
        <v>1.0000000663086399</v>
      </c>
    </row>
    <row r="344" spans="1:40" x14ac:dyDescent="0.25">
      <c r="A344" t="str">
        <f>"20190312151508661"</f>
        <v>20190312151508661</v>
      </c>
      <c r="B344" t="str">
        <f>"1552374908657843"</f>
        <v>1552374908657843</v>
      </c>
      <c r="C344" t="s">
        <v>40</v>
      </c>
      <c r="D344">
        <v>4.2066400000000002</v>
      </c>
      <c r="E344">
        <v>0.49399009999999999</v>
      </c>
      <c r="F344" t="s">
        <v>42</v>
      </c>
      <c r="G344">
        <v>-291.37049999999999</v>
      </c>
      <c r="H344">
        <v>-0.05</v>
      </c>
      <c r="I344">
        <v>368.77690000000001</v>
      </c>
      <c r="J344">
        <v>-395.17219999999998</v>
      </c>
      <c r="K344">
        <v>1.091548</v>
      </c>
      <c r="L344">
        <v>368.30959999999999</v>
      </c>
      <c r="M344">
        <v>0.99998299999999996</v>
      </c>
      <c r="N344">
        <v>0</v>
      </c>
      <c r="O344">
        <v>-4.3835269999999999E-3</v>
      </c>
      <c r="P344">
        <v>0.99972519999999998</v>
      </c>
      <c r="Q344">
        <v>-2.0767399999999998E-2</v>
      </c>
      <c r="R344">
        <v>-1.0876479999999999E-2</v>
      </c>
      <c r="S344">
        <v>3.000305</v>
      </c>
      <c r="T344">
        <v>-3.2894020000000003E-2</v>
      </c>
      <c r="U344">
        <v>1.345825E-2</v>
      </c>
      <c r="V344">
        <v>6.5096869999999897E-3</v>
      </c>
      <c r="W344">
        <v>-1.691981E-2</v>
      </c>
      <c r="X344">
        <v>0.99983569999999999</v>
      </c>
      <c r="Y344">
        <v>-8.8682589999999999E-3</v>
      </c>
      <c r="Z344" s="1">
        <v>9.6669859999999903E-5</v>
      </c>
      <c r="AA344">
        <v>0.99996070000000004</v>
      </c>
      <c r="AB344">
        <v>38</v>
      </c>
      <c r="AC344">
        <v>103.801699999999</v>
      </c>
      <c r="AD344">
        <v>-1.141548</v>
      </c>
      <c r="AE344">
        <v>0.46730000000002198</v>
      </c>
      <c r="AF344">
        <v>-0.92220489684068097</v>
      </c>
      <c r="AG344">
        <v>-1.141548</v>
      </c>
      <c r="AH344">
        <v>103.786102342088</v>
      </c>
      <c r="AI344">
        <v>90.630148565862399</v>
      </c>
      <c r="AJ344">
        <v>90.509095694887094</v>
      </c>
      <c r="AK344">
        <v>103.796476978125</v>
      </c>
      <c r="AL344">
        <v>90.969479923799398</v>
      </c>
      <c r="AM344">
        <v>89.626966389560096</v>
      </c>
      <c r="AN344">
        <v>1.00000004149488</v>
      </c>
    </row>
    <row r="345" spans="1:40" x14ac:dyDescent="0.25">
      <c r="A345" t="str">
        <f>"20190312151508675"</f>
        <v>20190312151508675</v>
      </c>
      <c r="B345" t="str">
        <f>"1552374908667603"</f>
        <v>1552374908667603</v>
      </c>
      <c r="C345" t="s">
        <v>40</v>
      </c>
      <c r="D345">
        <v>4.1983249999999996</v>
      </c>
      <c r="E345">
        <v>0.49399749999999998</v>
      </c>
      <c r="F345" t="s">
        <v>42</v>
      </c>
      <c r="G345">
        <v>-293.19760000000002</v>
      </c>
      <c r="H345">
        <v>-0.05</v>
      </c>
      <c r="I345">
        <v>368.82510000000002</v>
      </c>
      <c r="J345">
        <v>-394.94130000000001</v>
      </c>
      <c r="K345">
        <v>1.093037</v>
      </c>
      <c r="L345">
        <v>368.30869999999999</v>
      </c>
      <c r="M345">
        <v>0.99998279999999995</v>
      </c>
      <c r="N345">
        <v>0</v>
      </c>
      <c r="O345">
        <v>-4.2154949999999997E-3</v>
      </c>
      <c r="P345">
        <v>0.99972879999999997</v>
      </c>
      <c r="Q345">
        <v>-2.0759159999999999E-2</v>
      </c>
      <c r="R345">
        <v>-1.0568589999999999E-2</v>
      </c>
      <c r="S345">
        <v>3.0002749999999998</v>
      </c>
      <c r="T345">
        <v>-3.3586379999999999E-2</v>
      </c>
      <c r="U345">
        <v>1.516724E-2</v>
      </c>
      <c r="V345">
        <v>6.3683580000000002E-3</v>
      </c>
      <c r="W345">
        <v>-1.6637860000000001E-2</v>
      </c>
      <c r="X345">
        <v>0.99984130000000004</v>
      </c>
      <c r="Y345">
        <v>-9.2698039999999995E-3</v>
      </c>
      <c r="Z345" s="1">
        <v>9.9071889999999995E-5</v>
      </c>
      <c r="AA345">
        <v>0.99995699999999998</v>
      </c>
      <c r="AB345">
        <v>38</v>
      </c>
      <c r="AC345">
        <v>101.7437</v>
      </c>
      <c r="AD345">
        <v>-1.1430370000000001</v>
      </c>
      <c r="AE345">
        <v>0.51640000000003194</v>
      </c>
      <c r="AF345">
        <v>-0.94517974512581204</v>
      </c>
      <c r="AG345">
        <v>-1.1430370000000001</v>
      </c>
      <c r="AH345">
        <v>101.727779988275</v>
      </c>
      <c r="AI345">
        <v>90.643733832418505</v>
      </c>
      <c r="AJ345">
        <v>90.532334943436993</v>
      </c>
      <c r="AK345">
        <v>101.738592086173</v>
      </c>
      <c r="AL345">
        <v>90.953323144687502</v>
      </c>
      <c r="AM345">
        <v>89.635066983437397</v>
      </c>
      <c r="AN345">
        <v>0.999999999777342</v>
      </c>
    </row>
    <row r="346" spans="1:40" x14ac:dyDescent="0.25">
      <c r="A346" t="str">
        <f>"20190312151508694"</f>
        <v>20190312151508694</v>
      </c>
      <c r="B346" t="str">
        <f>"1552374908688099"</f>
        <v>1552374908688099</v>
      </c>
      <c r="C346" t="s">
        <v>40</v>
      </c>
      <c r="D346">
        <v>4.2113589999999999</v>
      </c>
      <c r="E346">
        <v>0.49400280000000002</v>
      </c>
      <c r="F346" t="s">
        <v>42</v>
      </c>
      <c r="G346">
        <v>-293.97300000000001</v>
      </c>
      <c r="H346">
        <v>-0.05</v>
      </c>
      <c r="I346">
        <v>368.85</v>
      </c>
      <c r="J346">
        <v>-394.60640000000001</v>
      </c>
      <c r="K346">
        <v>1.095013</v>
      </c>
      <c r="L346">
        <v>368.30759999999998</v>
      </c>
      <c r="M346">
        <v>0.99998189999999998</v>
      </c>
      <c r="N346">
        <v>0</v>
      </c>
      <c r="O346">
        <v>-3.9757809999999899E-3</v>
      </c>
      <c r="P346">
        <v>0.99973789999999996</v>
      </c>
      <c r="Q346">
        <v>-2.0718629999999998E-2</v>
      </c>
      <c r="R346">
        <v>-9.7546190000000008E-3</v>
      </c>
      <c r="S346">
        <v>3.000305</v>
      </c>
      <c r="T346">
        <v>-3.3965710000000003E-2</v>
      </c>
      <c r="U346">
        <v>1.6082760000000001E-2</v>
      </c>
      <c r="V346">
        <v>5.7922520000000003E-3</v>
      </c>
      <c r="W346">
        <v>-1.6192930000000001E-2</v>
      </c>
      <c r="X346">
        <v>0.99985210000000002</v>
      </c>
      <c r="Y346">
        <v>-9.3351700000000003E-3</v>
      </c>
      <c r="Z346" s="1">
        <v>9.7846040000000001E-5</v>
      </c>
      <c r="AA346">
        <v>0.99995639999999997</v>
      </c>
      <c r="AB346">
        <v>38</v>
      </c>
      <c r="AC346">
        <v>100.63339999999999</v>
      </c>
      <c r="AD346">
        <v>-1.1450129999999901</v>
      </c>
      <c r="AE346">
        <v>0.54240000000004296</v>
      </c>
      <c r="AF346">
        <v>-0.94237415590173601</v>
      </c>
      <c r="AG346">
        <v>-1.1450129999999901</v>
      </c>
      <c r="AH346">
        <v>100.617422565954</v>
      </c>
      <c r="AI346">
        <v>90.651961679410505</v>
      </c>
      <c r="AJ346">
        <v>90.536611669916198</v>
      </c>
      <c r="AK346">
        <v>100.628350118819</v>
      </c>
      <c r="AL346">
        <v>90.927827105574806</v>
      </c>
      <c r="AM346">
        <v>89.668083028477895</v>
      </c>
      <c r="AN346">
        <v>0.999999991519813</v>
      </c>
    </row>
    <row r="347" spans="1:40" x14ac:dyDescent="0.25">
      <c r="A347" t="str">
        <f>"20190312151508705"</f>
        <v>20190312151508705</v>
      </c>
      <c r="B347" t="str">
        <f>"1552374908697859"</f>
        <v>1552374908697859</v>
      </c>
      <c r="C347" t="s">
        <v>40</v>
      </c>
      <c r="D347">
        <v>4.2454799999999997</v>
      </c>
      <c r="E347">
        <v>0.49402950000000001</v>
      </c>
      <c r="F347" t="s">
        <v>42</v>
      </c>
      <c r="G347">
        <v>-295.50080000000003</v>
      </c>
      <c r="H347">
        <v>-0.05</v>
      </c>
      <c r="I347">
        <v>368.91849999999999</v>
      </c>
      <c r="J347">
        <v>-394.40550000000002</v>
      </c>
      <c r="K347">
        <v>1.09609</v>
      </c>
      <c r="L347">
        <v>368.30689999999998</v>
      </c>
      <c r="M347">
        <v>0.99998129999999996</v>
      </c>
      <c r="N347">
        <v>0</v>
      </c>
      <c r="O347">
        <v>-3.8352939999999999E-3</v>
      </c>
      <c r="P347">
        <v>0.99974050000000003</v>
      </c>
      <c r="Q347">
        <v>-2.0628170000000001E-2</v>
      </c>
      <c r="R347">
        <v>-9.6583529999999997E-3</v>
      </c>
      <c r="S347">
        <v>3.0002439999999999</v>
      </c>
      <c r="T347">
        <v>-3.4663199999999998E-2</v>
      </c>
      <c r="U347">
        <v>1.849365E-2</v>
      </c>
      <c r="V347">
        <v>5.8357019999999999E-3</v>
      </c>
      <c r="W347">
        <v>-1.586191E-2</v>
      </c>
      <c r="X347">
        <v>0.9998572</v>
      </c>
      <c r="Y347">
        <v>-9.9982300000000003E-3</v>
      </c>
      <c r="Z347">
        <v>1.020642E-4</v>
      </c>
      <c r="AA347">
        <v>0.99995000000000001</v>
      </c>
      <c r="AB347">
        <v>38</v>
      </c>
      <c r="AC347">
        <v>98.904700000000005</v>
      </c>
      <c r="AD347">
        <v>-1.1460900000000001</v>
      </c>
      <c r="AE347">
        <v>0.61160000000000903</v>
      </c>
      <c r="AF347">
        <v>-0.99079537125036099</v>
      </c>
      <c r="AG347">
        <v>-1.1460900000000001</v>
      </c>
      <c r="AH347">
        <v>98.888348887121396</v>
      </c>
      <c r="AI347">
        <v>90.663979988134102</v>
      </c>
      <c r="AJ347">
        <v>90.574046328846407</v>
      </c>
      <c r="AK347">
        <v>98.899953202096199</v>
      </c>
      <c r="AL347">
        <v>90.908858577694403</v>
      </c>
      <c r="AM347">
        <v>89.665594948471494</v>
      </c>
      <c r="AN347">
        <v>1.00000003799925</v>
      </c>
    </row>
    <row r="348" spans="1:40" x14ac:dyDescent="0.25">
      <c r="A348" t="str">
        <f>"20190312151508720"</f>
        <v>20190312151508720</v>
      </c>
      <c r="B348" t="str">
        <f>"1552374908718355"</f>
        <v>1552374908718355</v>
      </c>
      <c r="C348" t="s">
        <v>40</v>
      </c>
      <c r="D348">
        <v>4.2002629999999996</v>
      </c>
      <c r="E348">
        <v>0.49412119999999998</v>
      </c>
      <c r="F348" t="s">
        <v>42</v>
      </c>
      <c r="G348">
        <v>-294.43380000000002</v>
      </c>
      <c r="H348">
        <v>-0.05</v>
      </c>
      <c r="I348">
        <v>368.92419999999998</v>
      </c>
      <c r="J348">
        <v>-394.16210000000001</v>
      </c>
      <c r="K348">
        <v>1.0973250000000001</v>
      </c>
      <c r="L348">
        <v>368.30619999999999</v>
      </c>
      <c r="M348">
        <v>0.99998050000000005</v>
      </c>
      <c r="N348">
        <v>0</v>
      </c>
      <c r="O348">
        <v>-3.6670489999999999E-3</v>
      </c>
      <c r="P348">
        <v>0.99973270000000003</v>
      </c>
      <c r="Q348">
        <v>-2.103097E-2</v>
      </c>
      <c r="R348">
        <v>-9.6121790000000002E-3</v>
      </c>
      <c r="S348">
        <v>3.0002439999999999</v>
      </c>
      <c r="T348">
        <v>-3.4395219999999997E-2</v>
      </c>
      <c r="U348">
        <v>1.852417E-2</v>
      </c>
      <c r="V348">
        <v>5.9570789999999997E-3</v>
      </c>
      <c r="W348">
        <v>-1.597838E-2</v>
      </c>
      <c r="X348">
        <v>0.99985460000000004</v>
      </c>
      <c r="Y348">
        <v>-9.8402030000000005E-3</v>
      </c>
      <c r="Z348" s="1">
        <v>9.8440729999999996E-5</v>
      </c>
      <c r="AA348">
        <v>0.99995160000000005</v>
      </c>
      <c r="AB348">
        <v>38</v>
      </c>
      <c r="AC348">
        <v>99.728300000000004</v>
      </c>
      <c r="AD348">
        <v>-1.1473249999999999</v>
      </c>
      <c r="AE348">
        <v>0.617999999999995</v>
      </c>
      <c r="AF348">
        <v>-0.98357890460988096</v>
      </c>
      <c r="AG348">
        <v>-1.1473249999999999</v>
      </c>
      <c r="AH348">
        <v>99.712166412520006</v>
      </c>
      <c r="AI348">
        <v>90.659205232447903</v>
      </c>
      <c r="AJ348">
        <v>90.565157636921697</v>
      </c>
      <c r="AK348">
        <v>99.723617627898506</v>
      </c>
      <c r="AL348">
        <v>90.915532689926707</v>
      </c>
      <c r="AM348">
        <v>89.658638919658202</v>
      </c>
      <c r="AN348">
        <v>1.0000000082793901</v>
      </c>
    </row>
    <row r="349" spans="1:40" x14ac:dyDescent="0.25">
      <c r="A349" t="str">
        <f>"20190312151508740"</f>
        <v>20190312151508740</v>
      </c>
      <c r="B349" t="str">
        <f>"1552374908728116"</f>
        <v>1552374908728116</v>
      </c>
      <c r="C349" t="s">
        <v>40</v>
      </c>
      <c r="D349">
        <v>4.3069449999999998</v>
      </c>
      <c r="E349">
        <v>0.49412119999999998</v>
      </c>
      <c r="F349" t="s">
        <v>42</v>
      </c>
      <c r="G349">
        <v>-299.87360000000001</v>
      </c>
      <c r="H349">
        <v>-0.05</v>
      </c>
      <c r="I349">
        <v>368.87110000000001</v>
      </c>
      <c r="J349">
        <v>-393.82159999999999</v>
      </c>
      <c r="K349">
        <v>1.0988990000000001</v>
      </c>
      <c r="L349">
        <v>368.30509999999998</v>
      </c>
      <c r="M349">
        <v>0.99997939999999996</v>
      </c>
      <c r="N349">
        <v>0</v>
      </c>
      <c r="O349">
        <v>-3.4357929999999999E-3</v>
      </c>
      <c r="P349">
        <v>0.99971359999999998</v>
      </c>
      <c r="Q349">
        <v>-2.1883369999999999E-2</v>
      </c>
      <c r="R349">
        <v>-9.7020490000000008E-3</v>
      </c>
      <c r="S349">
        <v>3.0001530000000001</v>
      </c>
      <c r="T349">
        <v>-3.6506530000000002E-2</v>
      </c>
      <c r="U349">
        <v>1.7974850000000001E-2</v>
      </c>
      <c r="V349">
        <v>6.2780839999999997E-3</v>
      </c>
      <c r="W349">
        <v>-1.6443780000000002E-2</v>
      </c>
      <c r="X349">
        <v>0.99984510000000004</v>
      </c>
      <c r="Y349">
        <v>-9.4260009999999998E-3</v>
      </c>
      <c r="Z349" s="1">
        <v>9.9152469999999994E-5</v>
      </c>
      <c r="AA349">
        <v>0.99995560000000006</v>
      </c>
      <c r="AB349">
        <v>38</v>
      </c>
      <c r="AC349">
        <v>93.947999999999894</v>
      </c>
      <c r="AD349">
        <v>-1.1488989999999999</v>
      </c>
      <c r="AE349">
        <v>0.56600000000003003</v>
      </c>
      <c r="AF349">
        <v>-0.88865439005166602</v>
      </c>
      <c r="AG349">
        <v>-1.1488989999999999</v>
      </c>
      <c r="AH349">
        <v>93.931453771450506</v>
      </c>
      <c r="AI349">
        <v>90.700732646241093</v>
      </c>
      <c r="AJ349">
        <v>90.5420402321311</v>
      </c>
      <c r="AK349">
        <v>93.9426829676229</v>
      </c>
      <c r="AL349">
        <v>90.942201640982404</v>
      </c>
      <c r="AM349">
        <v>89.640241283979407</v>
      </c>
      <c r="AN349">
        <v>1.0000000181166999</v>
      </c>
    </row>
    <row r="350" spans="1:40" x14ac:dyDescent="0.25">
      <c r="A350" t="str">
        <f>"20190312151508761"</f>
        <v>20190312151508761</v>
      </c>
      <c r="B350" t="str">
        <f>"1552374908758371"</f>
        <v>1552374908758371</v>
      </c>
      <c r="C350" t="s">
        <v>40</v>
      </c>
      <c r="D350">
        <v>4.1964739999999896</v>
      </c>
      <c r="E350">
        <v>0.51635620000000004</v>
      </c>
      <c r="F350" t="s">
        <v>42</v>
      </c>
      <c r="G350">
        <v>-305.49990000000003</v>
      </c>
      <c r="H350">
        <v>-0.05</v>
      </c>
      <c r="I350">
        <v>368.81990000000002</v>
      </c>
      <c r="J350">
        <v>-393.46199999999999</v>
      </c>
      <c r="K350">
        <v>1.100363</v>
      </c>
      <c r="L350">
        <v>368.30399999999997</v>
      </c>
      <c r="M350">
        <v>0.99997809999999998</v>
      </c>
      <c r="N350">
        <v>0</v>
      </c>
      <c r="O350">
        <v>-3.1949349999999999E-3</v>
      </c>
      <c r="P350">
        <v>0.99969220000000003</v>
      </c>
      <c r="Q350">
        <v>-2.279335E-2</v>
      </c>
      <c r="R350">
        <v>-9.8217240000000004E-3</v>
      </c>
      <c r="S350">
        <v>3.0001829999999998</v>
      </c>
      <c r="T350">
        <v>-3.9026739999999997E-2</v>
      </c>
      <c r="U350">
        <v>1.748657E-2</v>
      </c>
      <c r="V350">
        <v>6.6383889999999997E-3</v>
      </c>
      <c r="W350">
        <v>-1.696771E-2</v>
      </c>
      <c r="X350">
        <v>0.999834</v>
      </c>
      <c r="Y350">
        <v>-9.0222759999999992E-3</v>
      </c>
      <c r="Z350">
        <v>1.002372E-4</v>
      </c>
      <c r="AA350">
        <v>0.9999593</v>
      </c>
      <c r="AB350">
        <v>38</v>
      </c>
      <c r="AC350">
        <v>87.962099999999893</v>
      </c>
      <c r="AD350">
        <v>-1.150363</v>
      </c>
      <c r="AE350">
        <v>0.51589999999998704</v>
      </c>
      <c r="AF350">
        <v>-0.796799005321007</v>
      </c>
      <c r="AG350">
        <v>-1.150363</v>
      </c>
      <c r="AH350">
        <v>87.944961818874503</v>
      </c>
      <c r="AI350">
        <v>90.749383252138401</v>
      </c>
      <c r="AJ350">
        <v>90.519097058662993</v>
      </c>
      <c r="AK350">
        <v>87.956094348316398</v>
      </c>
      <c r="AL350">
        <v>90.9722248264233</v>
      </c>
      <c r="AM350">
        <v>89.619590768447907</v>
      </c>
      <c r="AN350">
        <v>0.99999999947357898</v>
      </c>
    </row>
    <row r="351" spans="1:40" x14ac:dyDescent="0.25">
      <c r="A351" t="str">
        <f>"20190312151508773"</f>
        <v>20190312151508773</v>
      </c>
      <c r="B351" t="str">
        <f>"1552374908768131"</f>
        <v>1552374908768131</v>
      </c>
      <c r="C351" t="s">
        <v>40</v>
      </c>
      <c r="D351">
        <v>4.1954929999999999</v>
      </c>
      <c r="E351">
        <v>0.51663009999999998</v>
      </c>
      <c r="F351" t="s">
        <v>41</v>
      </c>
      <c r="G351">
        <v>-392.56900000000002</v>
      </c>
      <c r="H351">
        <v>0.95033900000000004</v>
      </c>
      <c r="I351">
        <v>368.25670000000002</v>
      </c>
      <c r="J351">
        <v>-393.24549999999999</v>
      </c>
      <c r="K351">
        <v>1.10117</v>
      </c>
      <c r="L351">
        <v>368.30349999999999</v>
      </c>
      <c r="M351">
        <v>0.99997709999999995</v>
      </c>
      <c r="N351">
        <v>0</v>
      </c>
      <c r="O351">
        <v>-3.050592E-3</v>
      </c>
      <c r="P351">
        <v>0.99968029999999997</v>
      </c>
      <c r="Q351">
        <v>-2.3263389999999998E-2</v>
      </c>
      <c r="R351">
        <v>-9.9079430000000007E-3</v>
      </c>
      <c r="S351">
        <v>2.9878849999999999</v>
      </c>
      <c r="T351">
        <v>-0.50211600000000001</v>
      </c>
      <c r="U351">
        <v>-0.15771479999999999</v>
      </c>
      <c r="V351">
        <v>6.8692509999999998E-3</v>
      </c>
      <c r="W351">
        <v>-1.7215080000000001E-2</v>
      </c>
      <c r="X351">
        <v>0.99982819999999994</v>
      </c>
      <c r="Y351">
        <v>4.902194E-2</v>
      </c>
      <c r="Z351">
        <v>-3.578885E-3</v>
      </c>
      <c r="AA351">
        <v>0.99879130000000005</v>
      </c>
      <c r="AB351">
        <v>39</v>
      </c>
      <c r="AC351">
        <v>0.67649999999997501</v>
      </c>
      <c r="AD351">
        <v>-0.15083099999999999</v>
      </c>
      <c r="AE351">
        <v>-4.67999999999619E-2</v>
      </c>
      <c r="AF351">
        <v>4.26271092828664E-2</v>
      </c>
      <c r="AG351">
        <v>-0.15083099999999999</v>
      </c>
      <c r="AH351">
        <v>0.64474201594200098</v>
      </c>
      <c r="AI351">
        <v>103.139299456725</v>
      </c>
      <c r="AJ351">
        <v>86.217395432596007</v>
      </c>
      <c r="AK351">
        <v>0.66352040520828703</v>
      </c>
      <c r="AL351">
        <v>90.986400165775507</v>
      </c>
      <c r="AM351">
        <v>89.606359474348096</v>
      </c>
      <c r="AN351">
        <v>0.99999998755197295</v>
      </c>
    </row>
    <row r="352" spans="1:40" x14ac:dyDescent="0.25">
      <c r="A352" t="str">
        <f>"20190312151508785"</f>
        <v>20190312151508785</v>
      </c>
      <c r="B352" t="str">
        <f>"1552374908777891"</f>
        <v>1552374908777891</v>
      </c>
      <c r="C352" t="s">
        <v>40</v>
      </c>
      <c r="D352">
        <v>4.2025499999999996</v>
      </c>
      <c r="E352">
        <v>0.51669659999999995</v>
      </c>
      <c r="F352" t="s">
        <v>41</v>
      </c>
      <c r="G352">
        <v>-392.2389</v>
      </c>
      <c r="H352">
        <v>0.91968499999999997</v>
      </c>
      <c r="I352">
        <v>368.24939999999998</v>
      </c>
      <c r="J352">
        <v>-393.03280000000001</v>
      </c>
      <c r="K352">
        <v>1.1018709999999901</v>
      </c>
      <c r="L352">
        <v>368.30290000000002</v>
      </c>
      <c r="M352">
        <v>0.99997630000000004</v>
      </c>
      <c r="N352">
        <v>0</v>
      </c>
      <c r="O352">
        <v>-2.9100269999999999E-3</v>
      </c>
      <c r="P352">
        <v>0.99966690000000002</v>
      </c>
      <c r="Q352">
        <v>-2.3728880000000001E-2</v>
      </c>
      <c r="R352">
        <v>-1.0151530000000001E-2</v>
      </c>
      <c r="S352">
        <v>2.986847</v>
      </c>
      <c r="T352">
        <v>-0.53861179999999997</v>
      </c>
      <c r="U352">
        <v>-0.16009519999999999</v>
      </c>
      <c r="V352">
        <v>7.2533440000000001E-3</v>
      </c>
      <c r="W352">
        <v>-1.7476220000000001E-2</v>
      </c>
      <c r="X352">
        <v>0.99982090000000001</v>
      </c>
      <c r="Y352">
        <v>4.9861999999999997E-2</v>
      </c>
      <c r="Z352">
        <v>-3.9364700000000001E-3</v>
      </c>
      <c r="AA352">
        <v>0.99874839999999998</v>
      </c>
      <c r="AB352">
        <v>39</v>
      </c>
      <c r="AC352">
        <v>0.79390000000000704</v>
      </c>
      <c r="AD352">
        <v>-0.18218599999999899</v>
      </c>
      <c r="AE352">
        <v>-5.3500000000042201E-2</v>
      </c>
      <c r="AF352">
        <v>4.8639574284516901E-2</v>
      </c>
      <c r="AG352">
        <v>-0.18218599999999899</v>
      </c>
      <c r="AH352">
        <v>0.754498458325079</v>
      </c>
      <c r="AI352">
        <v>103.54806437683</v>
      </c>
      <c r="AJ352">
        <v>86.311468501171603</v>
      </c>
      <c r="AK352">
        <v>0.77770525933511603</v>
      </c>
      <c r="AL352">
        <v>91.001364694192404</v>
      </c>
      <c r="AM352">
        <v>89.584346848476599</v>
      </c>
      <c r="AN352">
        <v>0.999999930670738</v>
      </c>
    </row>
    <row r="353" spans="1:40" x14ac:dyDescent="0.25">
      <c r="A353" t="str">
        <f>"20190312151508797"</f>
        <v>20190312151508797</v>
      </c>
      <c r="B353" t="str">
        <f>"1552374908787652"</f>
        <v>1552374908787652</v>
      </c>
      <c r="C353" t="s">
        <v>40</v>
      </c>
      <c r="D353">
        <v>4.2190089999999998</v>
      </c>
      <c r="E353">
        <v>0.51669849999999995</v>
      </c>
      <c r="F353" t="s">
        <v>41</v>
      </c>
      <c r="G353">
        <v>-392.22410000000002</v>
      </c>
      <c r="H353">
        <v>0.95045880000000005</v>
      </c>
      <c r="I353">
        <v>368.25909999999999</v>
      </c>
      <c r="J353">
        <v>-392.83710000000002</v>
      </c>
      <c r="K353">
        <v>1.102487</v>
      </c>
      <c r="L353">
        <v>368.30250000000001</v>
      </c>
      <c r="M353">
        <v>0.99997539999999996</v>
      </c>
      <c r="N353">
        <v>0</v>
      </c>
      <c r="O353">
        <v>-2.7803839999999999E-3</v>
      </c>
      <c r="P353">
        <v>0.99965579999999998</v>
      </c>
      <c r="Q353">
        <v>-2.4193880000000001E-2</v>
      </c>
      <c r="R353">
        <v>-1.0145110000000001E-2</v>
      </c>
      <c r="S353">
        <v>2.986084</v>
      </c>
      <c r="T353">
        <v>-0.55914830000000004</v>
      </c>
      <c r="U353">
        <v>-0.16140750000000001</v>
      </c>
      <c r="V353">
        <v>7.3766589999999998E-3</v>
      </c>
      <c r="W353">
        <v>-1.7758679999999999E-2</v>
      </c>
      <c r="X353">
        <v>0.99981509999999996</v>
      </c>
      <c r="Y353">
        <v>5.0373080000000001E-2</v>
      </c>
      <c r="Z353">
        <v>-4.1564799999999997E-3</v>
      </c>
      <c r="AA353">
        <v>0.99872179999999999</v>
      </c>
      <c r="AB353">
        <v>39</v>
      </c>
      <c r="AC353">
        <v>0.61299999999999899</v>
      </c>
      <c r="AD353">
        <v>-0.1520282</v>
      </c>
      <c r="AE353">
        <v>-4.3400000000019603E-2</v>
      </c>
      <c r="AF353">
        <v>3.9290799904248198E-2</v>
      </c>
      <c r="AG353">
        <v>-0.1520282</v>
      </c>
      <c r="AH353">
        <v>0.57775908329644798</v>
      </c>
      <c r="AI353">
        <v>104.709798436098</v>
      </c>
      <c r="AJ353">
        <v>86.109561469071593</v>
      </c>
      <c r="AK353">
        <v>0.59871687706620302</v>
      </c>
      <c r="AL353">
        <v>91.017550892618601</v>
      </c>
      <c r="AM353">
        <v>89.577278079901305</v>
      </c>
      <c r="AN353">
        <v>1.0000000100006701</v>
      </c>
    </row>
    <row r="354" spans="1:40" x14ac:dyDescent="0.25">
      <c r="A354" t="str">
        <f>"20190312151508809"</f>
        <v>20190312151508809</v>
      </c>
      <c r="B354" t="str">
        <f>"1552374908798387"</f>
        <v>1552374908798387</v>
      </c>
      <c r="C354" t="s">
        <v>40</v>
      </c>
      <c r="D354">
        <v>4.2065359999999998</v>
      </c>
      <c r="E354">
        <v>0.5166404</v>
      </c>
      <c r="F354" t="s">
        <v>41</v>
      </c>
      <c r="G354">
        <v>-391.89280000000002</v>
      </c>
      <c r="H354">
        <v>0.92152290000000003</v>
      </c>
      <c r="I354">
        <v>368.2509</v>
      </c>
      <c r="J354">
        <v>-392.62099999999998</v>
      </c>
      <c r="K354">
        <v>1.10311</v>
      </c>
      <c r="L354">
        <v>368.30200000000002</v>
      </c>
      <c r="M354">
        <v>0.99997469999999999</v>
      </c>
      <c r="N354">
        <v>0</v>
      </c>
      <c r="O354">
        <v>-2.6373130000000001E-3</v>
      </c>
      <c r="P354">
        <v>0.99964249999999999</v>
      </c>
      <c r="Q354">
        <v>-2.460358E-2</v>
      </c>
      <c r="R354">
        <v>-1.0481259999999999E-2</v>
      </c>
      <c r="S354">
        <v>2.9855649999999998</v>
      </c>
      <c r="T354">
        <v>-0.57229160000000001</v>
      </c>
      <c r="U354">
        <v>-0.16146849999999999</v>
      </c>
      <c r="V354">
        <v>7.8557969999999994E-3</v>
      </c>
      <c r="W354">
        <v>-1.7976610000000001E-2</v>
      </c>
      <c r="X354">
        <v>0.99980749999999996</v>
      </c>
      <c r="Y354">
        <v>5.0501570000000003E-2</v>
      </c>
      <c r="Z354">
        <v>-4.2925330000000003E-3</v>
      </c>
      <c r="AA354">
        <v>0.99871469999999996</v>
      </c>
      <c r="AB354">
        <v>39</v>
      </c>
      <c r="AC354">
        <v>0.72819999999995799</v>
      </c>
      <c r="AD354">
        <v>-0.1815871</v>
      </c>
      <c r="AE354">
        <v>-5.1099999999962599E-2</v>
      </c>
      <c r="AF354">
        <v>4.6313508121398998E-2</v>
      </c>
      <c r="AG354">
        <v>-0.1815871</v>
      </c>
      <c r="AH354">
        <v>0.68589078108818602</v>
      </c>
      <c r="AI354">
        <v>104.796438292433</v>
      </c>
      <c r="AJ354">
        <v>86.137072042566899</v>
      </c>
      <c r="AK354">
        <v>0.71103092724767103</v>
      </c>
      <c r="AL354">
        <v>91.030039412512295</v>
      </c>
      <c r="AM354">
        <v>89.549818589661299</v>
      </c>
      <c r="AN354">
        <v>0.99999995455492197</v>
      </c>
    </row>
    <row r="355" spans="1:40" x14ac:dyDescent="0.25">
      <c r="A355" t="str">
        <f>"20190312151508828"</f>
        <v>20190312151508828</v>
      </c>
      <c r="B355" t="str">
        <f>"1552374908817907"</f>
        <v>1552374908817907</v>
      </c>
      <c r="C355" t="s">
        <v>40</v>
      </c>
      <c r="D355">
        <v>4.2288969999999999</v>
      </c>
      <c r="E355">
        <v>0.51655819999999997</v>
      </c>
      <c r="F355" t="s">
        <v>41</v>
      </c>
      <c r="G355">
        <v>-391.87520000000001</v>
      </c>
      <c r="H355">
        <v>0.95789489999999999</v>
      </c>
      <c r="I355">
        <v>368.26119999999997</v>
      </c>
      <c r="J355">
        <v>-392.30630000000002</v>
      </c>
      <c r="K355">
        <v>1.103912</v>
      </c>
      <c r="L355">
        <v>368.30130000000003</v>
      </c>
      <c r="M355">
        <v>0.99997340000000001</v>
      </c>
      <c r="N355">
        <v>0</v>
      </c>
      <c r="O355">
        <v>-2.4283170000000001E-3</v>
      </c>
      <c r="P355">
        <v>0.99961160000000004</v>
      </c>
      <c r="Q355">
        <v>-2.5650220000000001E-2</v>
      </c>
      <c r="R355">
        <v>-1.090168E-2</v>
      </c>
      <c r="S355">
        <v>2.985077</v>
      </c>
      <c r="T355">
        <v>-0.58150009999999996</v>
      </c>
      <c r="U355">
        <v>-0.16171259999999901</v>
      </c>
      <c r="V355">
        <v>8.4857749999999992E-3</v>
      </c>
      <c r="W355">
        <v>-1.876237E-2</v>
      </c>
      <c r="X355">
        <v>0.99978800000000001</v>
      </c>
      <c r="Y355">
        <v>5.0763500000000003E-2</v>
      </c>
      <c r="Z355">
        <v>-4.4265900000000002E-3</v>
      </c>
      <c r="AA355">
        <v>0.9987009</v>
      </c>
      <c r="AB355">
        <v>39</v>
      </c>
      <c r="AC355">
        <v>0.43110000000001403</v>
      </c>
      <c r="AD355">
        <v>-0.14601709999999901</v>
      </c>
      <c r="AE355">
        <v>-4.0100000000052198E-2</v>
      </c>
      <c r="AF355">
        <v>3.5064772819031698E-2</v>
      </c>
      <c r="AG355">
        <v>-0.14601709999999901</v>
      </c>
      <c r="AH355">
        <v>0.38716077705938801</v>
      </c>
      <c r="AI355">
        <v>110.586736192392</v>
      </c>
      <c r="AJ355">
        <v>84.824896505222995</v>
      </c>
      <c r="AK355">
        <v>0.41526377048628899</v>
      </c>
      <c r="AL355">
        <v>91.075067653419794</v>
      </c>
      <c r="AM355">
        <v>89.513709487594696</v>
      </c>
      <c r="AN355">
        <v>1.00000003992468</v>
      </c>
    </row>
    <row r="356" spans="1:40" x14ac:dyDescent="0.25">
      <c r="A356" t="str">
        <f>"20190312151508839"</f>
        <v>20190312151508839</v>
      </c>
      <c r="B356" t="str">
        <f>"1552374908827667"</f>
        <v>1552374908827667</v>
      </c>
      <c r="C356" t="s">
        <v>40</v>
      </c>
      <c r="D356">
        <v>4.238861</v>
      </c>
      <c r="E356">
        <v>0.51664120000000002</v>
      </c>
      <c r="F356" t="s">
        <v>41</v>
      </c>
      <c r="G356">
        <v>-391.53280000000001</v>
      </c>
      <c r="H356">
        <v>0.95119569999999998</v>
      </c>
      <c r="I356">
        <v>368.25920000000002</v>
      </c>
      <c r="J356">
        <v>-392.10680000000002</v>
      </c>
      <c r="K356">
        <v>1.1043670000000001</v>
      </c>
      <c r="L356">
        <v>368.30090000000001</v>
      </c>
      <c r="M356">
        <v>0.99997259999999999</v>
      </c>
      <c r="N356">
        <v>0</v>
      </c>
      <c r="O356">
        <v>-2.2955390000000001E-3</v>
      </c>
      <c r="P356">
        <v>0.99959219999999904</v>
      </c>
      <c r="Q356">
        <v>-2.6480900000000002E-2</v>
      </c>
      <c r="R356">
        <v>-1.0689479999999999E-2</v>
      </c>
      <c r="S356">
        <v>2.9843139999999999</v>
      </c>
      <c r="T356">
        <v>-0.58924969999999999</v>
      </c>
      <c r="U356">
        <v>-0.16226199999999999</v>
      </c>
      <c r="V356">
        <v>8.4066499999999999E-3</v>
      </c>
      <c r="W356">
        <v>-1.9438259999999999E-2</v>
      </c>
      <c r="X356">
        <v>0.99977570000000004</v>
      </c>
      <c r="Y356">
        <v>5.1060359999999999E-2</v>
      </c>
      <c r="Z356">
        <v>-4.5405310000000004E-3</v>
      </c>
      <c r="AA356">
        <v>0.99868520000000005</v>
      </c>
      <c r="AB356">
        <v>39</v>
      </c>
      <c r="AC356">
        <v>0.57400000000001195</v>
      </c>
      <c r="AD356">
        <v>-0.15317130000000001</v>
      </c>
      <c r="AE356">
        <v>-4.1699999999991598E-2</v>
      </c>
      <c r="AF356">
        <v>3.7710979074516801E-2</v>
      </c>
      <c r="AG356">
        <v>-0.15317130000000001</v>
      </c>
      <c r="AH356">
        <v>0.53611851708441005</v>
      </c>
      <c r="AI356">
        <v>105.907551032886</v>
      </c>
      <c r="AJ356">
        <v>85.976399130640999</v>
      </c>
      <c r="AK356">
        <v>0.55884401173067499</v>
      </c>
      <c r="AL356">
        <v>91.113800425225904</v>
      </c>
      <c r="AM356">
        <v>89.518237727207193</v>
      </c>
      <c r="AN356">
        <v>0.99999998401326995</v>
      </c>
    </row>
    <row r="357" spans="1:40" x14ac:dyDescent="0.25">
      <c r="A357" t="str">
        <f>"20190312151508851"</f>
        <v>20190312151508851</v>
      </c>
      <c r="B357" t="str">
        <f>"1552374908848163"</f>
        <v>1552374908848163</v>
      </c>
      <c r="C357" t="s">
        <v>40</v>
      </c>
      <c r="D357">
        <v>4.2497069999999999</v>
      </c>
      <c r="E357">
        <v>0.51646210000000004</v>
      </c>
      <c r="F357" t="s">
        <v>41</v>
      </c>
      <c r="G357">
        <v>-391.2004</v>
      </c>
      <c r="H357">
        <v>0.92255600000000004</v>
      </c>
      <c r="I357">
        <v>368.25119999999998</v>
      </c>
      <c r="J357">
        <v>-391.89589999999998</v>
      </c>
      <c r="K357">
        <v>1.104819</v>
      </c>
      <c r="L357">
        <v>368.30059999999997</v>
      </c>
      <c r="M357">
        <v>0.99997170000000002</v>
      </c>
      <c r="N357">
        <v>0</v>
      </c>
      <c r="O357">
        <v>-2.1551500000000002E-3</v>
      </c>
      <c r="P357">
        <v>0.99957969999999896</v>
      </c>
      <c r="Q357">
        <v>-2.699911E-2</v>
      </c>
      <c r="R357">
        <v>-1.0566570000000001E-2</v>
      </c>
      <c r="S357">
        <v>2.9836429999999998</v>
      </c>
      <c r="T357">
        <v>-0.59863290000000002</v>
      </c>
      <c r="U357">
        <v>-0.16226199999999999</v>
      </c>
      <c r="V357">
        <v>8.4243600000000005E-3</v>
      </c>
      <c r="W357">
        <v>-1.9799250000000001E-2</v>
      </c>
      <c r="X357">
        <v>0.99976849999999995</v>
      </c>
      <c r="Y357">
        <v>5.1177359999999998E-2</v>
      </c>
      <c r="Z357">
        <v>-4.6519339999999999E-3</v>
      </c>
      <c r="AA357">
        <v>0.99867870000000003</v>
      </c>
      <c r="AB357">
        <v>39</v>
      </c>
      <c r="AC357">
        <v>0.69549999999998102</v>
      </c>
      <c r="AD357">
        <v>-0.18226300000000001</v>
      </c>
      <c r="AE357">
        <v>-4.9399999999991402E-2</v>
      </c>
      <c r="AF357">
        <v>4.4837174196917198E-2</v>
      </c>
      <c r="AG357">
        <v>-0.18226300000000001</v>
      </c>
      <c r="AH357">
        <v>0.65111365744454597</v>
      </c>
      <c r="AI357">
        <v>105.603117051666</v>
      </c>
      <c r="AJ357">
        <v>86.060700589803901</v>
      </c>
      <c r="AK357">
        <v>0.67762760294263202</v>
      </c>
      <c r="AL357">
        <v>91.134487573424394</v>
      </c>
      <c r="AM357">
        <v>89.517219386571895</v>
      </c>
      <c r="AN357">
        <v>1.0000000168671099</v>
      </c>
    </row>
    <row r="358" spans="1:40" x14ac:dyDescent="0.25">
      <c r="A358" t="str">
        <f>"20190312151508863"</f>
        <v>20190312151508863</v>
      </c>
      <c r="B358" t="str">
        <f>"1552374908857923"</f>
        <v>1552374908857923</v>
      </c>
      <c r="C358" t="s">
        <v>40</v>
      </c>
      <c r="D358">
        <v>4.2600040000000003</v>
      </c>
      <c r="E358">
        <v>0.5164706</v>
      </c>
      <c r="F358" t="s">
        <v>41</v>
      </c>
      <c r="G358">
        <v>-391.18270000000001</v>
      </c>
      <c r="H358">
        <v>0.95932360000000005</v>
      </c>
      <c r="I358">
        <v>368.26170000000002</v>
      </c>
      <c r="J358">
        <v>-391.67329999999998</v>
      </c>
      <c r="K358">
        <v>1.10524</v>
      </c>
      <c r="L358">
        <v>368.30020000000002</v>
      </c>
      <c r="M358">
        <v>0.99997100000000005</v>
      </c>
      <c r="N358">
        <v>0</v>
      </c>
      <c r="O358">
        <v>-2.0066519999999998E-3</v>
      </c>
      <c r="P358">
        <v>0.99955769999999999</v>
      </c>
      <c r="Q358">
        <v>-2.773041E-2</v>
      </c>
      <c r="R358">
        <v>-1.073414E-2</v>
      </c>
      <c r="S358">
        <v>2.9831539999999999</v>
      </c>
      <c r="T358">
        <v>-0.60872630000000005</v>
      </c>
      <c r="U358">
        <v>-0.16043089999999999</v>
      </c>
      <c r="V358">
        <v>8.7407749999999992E-3</v>
      </c>
      <c r="W358">
        <v>-2.037719E-2</v>
      </c>
      <c r="X358">
        <v>0.99975409999999998</v>
      </c>
      <c r="Y358">
        <v>5.0696970000000001E-2</v>
      </c>
      <c r="Z358">
        <v>-4.7111260000000004E-3</v>
      </c>
      <c r="AA358">
        <v>0.99870289999999995</v>
      </c>
      <c r="AB358">
        <v>39</v>
      </c>
      <c r="AC358">
        <v>0.490599999999972</v>
      </c>
      <c r="AD358">
        <v>-0.1459164</v>
      </c>
      <c r="AE358">
        <v>-3.8499999999999E-2</v>
      </c>
      <c r="AF358">
        <v>3.4483637347648401E-2</v>
      </c>
      <c r="AG358">
        <v>-0.1459164</v>
      </c>
      <c r="AH358">
        <v>0.45102245826187798</v>
      </c>
      <c r="AI358">
        <v>107.87877253903</v>
      </c>
      <c r="AJ358">
        <v>85.627866331334104</v>
      </c>
      <c r="AK358">
        <v>0.47529146309424902</v>
      </c>
      <c r="AL358">
        <v>91.1676078624768</v>
      </c>
      <c r="AM358">
        <v>89.499080066445003</v>
      </c>
      <c r="AN358">
        <v>0.99999994574335105</v>
      </c>
    </row>
    <row r="359" spans="1:40" x14ac:dyDescent="0.25">
      <c r="A359" t="str">
        <f>"20190312151508876"</f>
        <v>20190312151508876</v>
      </c>
      <c r="B359" t="str">
        <f>"1552374908868659"</f>
        <v>1552374908868659</v>
      </c>
      <c r="C359" t="s">
        <v>40</v>
      </c>
      <c r="D359">
        <v>4.236764</v>
      </c>
      <c r="E359">
        <v>0.51647889999999996</v>
      </c>
      <c r="F359" t="s">
        <v>41</v>
      </c>
      <c r="G359">
        <v>-390.84769999999997</v>
      </c>
      <c r="H359">
        <v>0.9354209</v>
      </c>
      <c r="I359">
        <v>368.25529999999998</v>
      </c>
      <c r="J359">
        <v>-391.47190000000001</v>
      </c>
      <c r="K359">
        <v>1.1056029999999999</v>
      </c>
      <c r="L359">
        <v>368.29989999999998</v>
      </c>
      <c r="M359">
        <v>0.99997020000000003</v>
      </c>
      <c r="N359">
        <v>0</v>
      </c>
      <c r="O359">
        <v>-1.8725219999999999E-3</v>
      </c>
      <c r="P359">
        <v>0.99955079999999996</v>
      </c>
      <c r="Q359">
        <v>-2.809416E-2</v>
      </c>
      <c r="R359">
        <v>-1.0434010000000001E-2</v>
      </c>
      <c r="S359">
        <v>2.982513</v>
      </c>
      <c r="T359">
        <v>-0.61368040000000001</v>
      </c>
      <c r="U359">
        <v>-0.1608887</v>
      </c>
      <c r="V359">
        <v>8.5748200000000004E-3</v>
      </c>
      <c r="W359">
        <v>-2.06071E-2</v>
      </c>
      <c r="X359">
        <v>0.9997509</v>
      </c>
      <c r="Y359">
        <v>5.097016E-2</v>
      </c>
      <c r="Z359">
        <v>-4.8047519999999998E-3</v>
      </c>
      <c r="AA359">
        <v>0.99868860000000004</v>
      </c>
      <c r="AB359">
        <v>39</v>
      </c>
      <c r="AC359">
        <v>0.62420000000002995</v>
      </c>
      <c r="AD359">
        <v>-0.1701821</v>
      </c>
      <c r="AE359">
        <v>-4.4600000000002603E-2</v>
      </c>
      <c r="AF359">
        <v>4.0440291336859002E-2</v>
      </c>
      <c r="AG359">
        <v>-0.1701821</v>
      </c>
      <c r="AH359">
        <v>0.58129280245576698</v>
      </c>
      <c r="AI359">
        <v>106.280915578292</v>
      </c>
      <c r="AJ359">
        <v>86.020369261701703</v>
      </c>
      <c r="AK359">
        <v>0.60704092655330899</v>
      </c>
      <c r="AL359">
        <v>91.180783413621</v>
      </c>
      <c r="AM359">
        <v>89.508588640199605</v>
      </c>
      <c r="AN359">
        <v>1.00000002107962</v>
      </c>
    </row>
    <row r="360" spans="1:40" x14ac:dyDescent="0.25">
      <c r="A360" t="str">
        <f>"20190312151508888"</f>
        <v>20190312151508888</v>
      </c>
      <c r="B360" t="str">
        <f>"1552374908878420"</f>
        <v>1552374908878420</v>
      </c>
      <c r="C360" t="s">
        <v>40</v>
      </c>
      <c r="D360">
        <v>4.2508619999999997</v>
      </c>
      <c r="E360">
        <v>0.51645280000000005</v>
      </c>
      <c r="F360" t="s">
        <v>41</v>
      </c>
      <c r="G360">
        <v>-390.5138</v>
      </c>
      <c r="H360">
        <v>0.90723529999999997</v>
      </c>
      <c r="I360">
        <v>368.2482</v>
      </c>
      <c r="J360">
        <v>-391.25779999999997</v>
      </c>
      <c r="K360">
        <v>1.105944</v>
      </c>
      <c r="L360">
        <v>368.2996</v>
      </c>
      <c r="M360">
        <v>0.99996960000000001</v>
      </c>
      <c r="N360">
        <v>0</v>
      </c>
      <c r="O360">
        <v>-1.7298140000000001E-3</v>
      </c>
      <c r="P360">
        <v>0.99952949999999996</v>
      </c>
      <c r="Q360">
        <v>-2.8832469999999999E-2</v>
      </c>
      <c r="R360">
        <v>-1.04831E-2</v>
      </c>
      <c r="S360">
        <v>2.982361</v>
      </c>
      <c r="T360">
        <v>-0.61758179999999996</v>
      </c>
      <c r="U360">
        <v>-0.15988160000000001</v>
      </c>
      <c r="V360">
        <v>8.7668580000000006E-3</v>
      </c>
      <c r="W360">
        <v>-2.1212580000000002E-2</v>
      </c>
      <c r="X360">
        <v>0.99973650000000003</v>
      </c>
      <c r="Y360">
        <v>5.0767350000000003E-2</v>
      </c>
      <c r="Z360">
        <v>-4.8434100000000002E-3</v>
      </c>
      <c r="AA360">
        <v>0.9986988</v>
      </c>
      <c r="AB360">
        <v>39</v>
      </c>
      <c r="AC360">
        <v>0.74399999999997102</v>
      </c>
      <c r="AD360">
        <v>-0.19870869999999999</v>
      </c>
      <c r="AE360">
        <v>-5.1400000000000903E-2</v>
      </c>
      <c r="AF360">
        <v>4.6791034265113003E-2</v>
      </c>
      <c r="AG360">
        <v>-0.19870869999999999</v>
      </c>
      <c r="AH360">
        <v>0.69476392024274503</v>
      </c>
      <c r="AI360">
        <v>105.926760278874</v>
      </c>
      <c r="AJ360">
        <v>86.147056081320798</v>
      </c>
      <c r="AK360">
        <v>0.72413496892109597</v>
      </c>
      <c r="AL360">
        <v>91.215482534343394</v>
      </c>
      <c r="AM360">
        <v>89.497576523272798</v>
      </c>
      <c r="AN360">
        <v>0.99999995039084799</v>
      </c>
    </row>
    <row r="361" spans="1:40" x14ac:dyDescent="0.25">
      <c r="A361" t="str">
        <f>"20190312151508907"</f>
        <v>20190312151508907</v>
      </c>
      <c r="B361" t="str">
        <f>"1552374908897939"</f>
        <v>1552374908897939</v>
      </c>
      <c r="C361" t="s">
        <v>40</v>
      </c>
      <c r="D361">
        <v>4.2628300000000001</v>
      </c>
      <c r="E361">
        <v>0.51635450000000005</v>
      </c>
      <c r="F361" t="s">
        <v>41</v>
      </c>
      <c r="G361">
        <v>-390.49529999999999</v>
      </c>
      <c r="H361">
        <v>0.94670569999999998</v>
      </c>
      <c r="I361">
        <v>368.25850000000003</v>
      </c>
      <c r="J361">
        <v>-390.93119999999999</v>
      </c>
      <c r="K361">
        <v>1.1064039999999999</v>
      </c>
      <c r="L361">
        <v>368.29919999999998</v>
      </c>
      <c r="M361">
        <v>0.99996839999999998</v>
      </c>
      <c r="N361">
        <v>0</v>
      </c>
      <c r="O361">
        <v>-1.51149799999999E-3</v>
      </c>
      <c r="P361">
        <v>0.99950720000000004</v>
      </c>
      <c r="Q361">
        <v>-2.9709639999999999E-2</v>
      </c>
      <c r="R361">
        <v>-1.0134890000000001E-2</v>
      </c>
      <c r="S361">
        <v>2.9817499999999999</v>
      </c>
      <c r="T361">
        <v>-0.62283060000000001</v>
      </c>
      <c r="U361">
        <v>-0.1595154</v>
      </c>
      <c r="V361">
        <v>8.6374569999999994E-3</v>
      </c>
      <c r="W361">
        <v>-2.190129E-2</v>
      </c>
      <c r="X361">
        <v>0.99972280000000002</v>
      </c>
      <c r="Y361">
        <v>5.0849569999999997E-2</v>
      </c>
      <c r="Z361">
        <v>-4.9382749999999998E-3</v>
      </c>
      <c r="AA361">
        <v>0.99869410000000003</v>
      </c>
      <c r="AB361">
        <v>39</v>
      </c>
      <c r="AC361">
        <v>0.43590000000000301</v>
      </c>
      <c r="AD361">
        <v>-0.15969829999999999</v>
      </c>
      <c r="AE361">
        <v>-4.0699999999958401E-2</v>
      </c>
      <c r="AF361">
        <v>3.5338788590865998E-2</v>
      </c>
      <c r="AG361">
        <v>-0.15969829999999999</v>
      </c>
      <c r="AH361">
        <v>0.38476328990981601</v>
      </c>
      <c r="AI361">
        <v>112.456107598231</v>
      </c>
      <c r="AJ361">
        <v>84.752361334516394</v>
      </c>
      <c r="AK361">
        <v>0.41808511844382301</v>
      </c>
      <c r="AL361">
        <v>91.254951854924499</v>
      </c>
      <c r="AM361">
        <v>89.504985263558495</v>
      </c>
      <c r="AN361">
        <v>0.99999997450346501</v>
      </c>
    </row>
    <row r="362" spans="1:40" x14ac:dyDescent="0.25">
      <c r="A362" t="str">
        <f>"20190312151508930"</f>
        <v>20190312151508930</v>
      </c>
      <c r="B362" t="str">
        <f>"1552374908918435"</f>
        <v>1552374908918435</v>
      </c>
      <c r="C362" t="s">
        <v>40</v>
      </c>
      <c r="D362">
        <v>4.2805600000000004</v>
      </c>
      <c r="E362">
        <v>0.51639190000000001</v>
      </c>
      <c r="F362" t="s">
        <v>41</v>
      </c>
      <c r="G362">
        <v>-390.15019999999998</v>
      </c>
      <c r="H362">
        <v>0.94176329999999997</v>
      </c>
      <c r="I362">
        <v>368.2577</v>
      </c>
      <c r="J362">
        <v>-390.53410000000002</v>
      </c>
      <c r="K362">
        <v>1.1068910000000001</v>
      </c>
      <c r="L362">
        <v>368.29880000000003</v>
      </c>
      <c r="M362">
        <v>0.99996719999999895</v>
      </c>
      <c r="N362">
        <v>0</v>
      </c>
      <c r="O362">
        <v>-1.2468959999999999E-3</v>
      </c>
      <c r="P362">
        <v>0.99948389999999998</v>
      </c>
      <c r="Q362">
        <v>-3.0523270000000002E-2</v>
      </c>
      <c r="R362">
        <v>-1.0020390000000001E-2</v>
      </c>
      <c r="S362">
        <v>2.9811709999999998</v>
      </c>
      <c r="T362">
        <v>-0.62842940000000003</v>
      </c>
      <c r="U362">
        <v>-0.15805050000000001</v>
      </c>
      <c r="V362">
        <v>8.7878590000000003E-3</v>
      </c>
      <c r="W362">
        <v>-2.250651E-2</v>
      </c>
      <c r="X362">
        <v>0.99970809999999999</v>
      </c>
      <c r="Y362">
        <v>5.0614770000000003E-2</v>
      </c>
      <c r="Z362">
        <v>-5.0134000000000003E-3</v>
      </c>
      <c r="AA362">
        <v>0.99870570000000003</v>
      </c>
      <c r="AB362">
        <v>39</v>
      </c>
      <c r="AC362">
        <v>0.38390000000003899</v>
      </c>
      <c r="AD362">
        <v>-0.16512769999999999</v>
      </c>
      <c r="AE362">
        <v>-4.1100000000028503E-2</v>
      </c>
      <c r="AF362">
        <v>3.4339913317635702E-2</v>
      </c>
      <c r="AG362">
        <v>-0.16512769999999999</v>
      </c>
      <c r="AH362">
        <v>0.32457977249645498</v>
      </c>
      <c r="AI362">
        <v>116.83573728425399</v>
      </c>
      <c r="AJ362">
        <v>83.960683428319001</v>
      </c>
      <c r="AK362">
        <v>0.36578465750739603</v>
      </c>
      <c r="AL362">
        <v>91.289636891036096</v>
      </c>
      <c r="AM362">
        <v>89.496358723785605</v>
      </c>
      <c r="AN362">
        <v>1.0000000273318901</v>
      </c>
    </row>
    <row r="363" spans="1:40" x14ac:dyDescent="0.25">
      <c r="A363" t="str">
        <f>"20190312151508952"</f>
        <v>20190312151508952</v>
      </c>
      <c r="B363" t="str">
        <f>"1552374908948692"</f>
        <v>1552374908948692</v>
      </c>
      <c r="C363" t="s">
        <v>40</v>
      </c>
      <c r="D363">
        <v>4.3195350000000001</v>
      </c>
      <c r="E363">
        <v>0.51629639999999999</v>
      </c>
      <c r="F363" t="s">
        <v>41</v>
      </c>
      <c r="G363">
        <v>-389.79829999999998</v>
      </c>
      <c r="H363">
        <v>0.95025610000000005</v>
      </c>
      <c r="I363">
        <v>368.2595</v>
      </c>
      <c r="J363">
        <v>-390.1429</v>
      </c>
      <c r="K363">
        <v>1.1072869999999999</v>
      </c>
      <c r="L363">
        <v>368.29860000000002</v>
      </c>
      <c r="M363">
        <v>0.99996589999999996</v>
      </c>
      <c r="N363">
        <v>0</v>
      </c>
      <c r="O363">
        <v>-9.8651160000000002E-4</v>
      </c>
      <c r="P363">
        <v>0.99947209999999997</v>
      </c>
      <c r="Q363">
        <v>-3.0872159999999999E-2</v>
      </c>
      <c r="R363">
        <v>-1.0125159999999999E-2</v>
      </c>
      <c r="S363">
        <v>2.980591</v>
      </c>
      <c r="T363">
        <v>-0.63466809999999996</v>
      </c>
      <c r="U363">
        <v>-0.1574402</v>
      </c>
      <c r="V363">
        <v>9.1530650000000002E-3</v>
      </c>
      <c r="W363">
        <v>-2.2671819999999999E-2</v>
      </c>
      <c r="X363">
        <v>0.99970110000000001</v>
      </c>
      <c r="Y363">
        <v>5.0652679999999999E-2</v>
      </c>
      <c r="Z363">
        <v>-5.121858E-3</v>
      </c>
      <c r="AA363">
        <v>0.99870320000000001</v>
      </c>
      <c r="AB363">
        <v>39</v>
      </c>
      <c r="AC363">
        <v>0.34460000000001401</v>
      </c>
      <c r="AD363">
        <v>-0.1570309</v>
      </c>
      <c r="AE363">
        <v>-3.9100000000019002E-2</v>
      </c>
      <c r="AF363">
        <v>3.2165608092905598E-2</v>
      </c>
      <c r="AG363">
        <v>-0.1570309</v>
      </c>
      <c r="AH363">
        <v>0.28600358256995101</v>
      </c>
      <c r="AI363">
        <v>118.617432114935</v>
      </c>
      <c r="AJ363">
        <v>83.583150997781601</v>
      </c>
      <c r="AK363">
        <v>0.327858779265774</v>
      </c>
      <c r="AL363">
        <v>91.299110857508197</v>
      </c>
      <c r="AM363">
        <v>89.475425864096295</v>
      </c>
      <c r="AN363">
        <v>1.0000000396811</v>
      </c>
    </row>
    <row r="364" spans="1:40" x14ac:dyDescent="0.25">
      <c r="A364" t="str">
        <f>"20190312151508974"</f>
        <v>20190312151508974</v>
      </c>
      <c r="B364" t="str">
        <f>"1552374908968212"</f>
        <v>1552374908968212</v>
      </c>
      <c r="C364" t="s">
        <v>40</v>
      </c>
      <c r="D364">
        <v>4.3095169999999996</v>
      </c>
      <c r="E364">
        <v>0.51632670000000003</v>
      </c>
      <c r="F364" t="s">
        <v>41</v>
      </c>
      <c r="G364">
        <v>-389.44479999999999</v>
      </c>
      <c r="H364">
        <v>0.96090900000000001</v>
      </c>
      <c r="I364">
        <v>368.26159999999999</v>
      </c>
      <c r="J364">
        <v>-389.77440000000001</v>
      </c>
      <c r="K364">
        <v>1.1076010000000001</v>
      </c>
      <c r="L364">
        <v>368.29840000000002</v>
      </c>
      <c r="M364">
        <v>0.99996490000000005</v>
      </c>
      <c r="N364">
        <v>0</v>
      </c>
      <c r="O364">
        <v>-7.4128880000000005E-4</v>
      </c>
      <c r="P364">
        <v>0.99945969999999995</v>
      </c>
      <c r="Q364">
        <v>-3.1214740000000001E-2</v>
      </c>
      <c r="R364">
        <v>-1.030346E-2</v>
      </c>
      <c r="S364">
        <v>2.9806819999999998</v>
      </c>
      <c r="T364">
        <v>-0.62511539999999999</v>
      </c>
      <c r="U364">
        <v>-0.15701289999999901</v>
      </c>
      <c r="V364">
        <v>9.5765880000000005E-3</v>
      </c>
      <c r="W364">
        <v>-2.285999E-2</v>
      </c>
      <c r="X364">
        <v>0.99969280000000005</v>
      </c>
      <c r="Y364">
        <v>5.0778049999999998E-2</v>
      </c>
      <c r="Z364">
        <v>-5.1101209999999996E-3</v>
      </c>
      <c r="AA364">
        <v>0.9986969</v>
      </c>
      <c r="AB364">
        <v>39</v>
      </c>
      <c r="AC364">
        <v>0.32960000000002698</v>
      </c>
      <c r="AD364">
        <v>-0.14669199999999999</v>
      </c>
      <c r="AE364">
        <v>-3.6800000000027901E-2</v>
      </c>
      <c r="AF364">
        <v>3.0574124946606399E-2</v>
      </c>
      <c r="AG364">
        <v>-0.14669199999999999</v>
      </c>
      <c r="AH364">
        <v>0.27569095811109501</v>
      </c>
      <c r="AI364">
        <v>117.871963110853</v>
      </c>
      <c r="AJ364">
        <v>83.671757270806296</v>
      </c>
      <c r="AK364">
        <v>0.31378149143068301</v>
      </c>
      <c r="AL364">
        <v>91.309895061032606</v>
      </c>
      <c r="AM364">
        <v>89.451150102052196</v>
      </c>
      <c r="AN364">
        <v>0.99999999227617997</v>
      </c>
    </row>
    <row r="365" spans="1:40" x14ac:dyDescent="0.25">
      <c r="A365" t="str">
        <f>"20190312151508996"</f>
        <v>20190312151508996</v>
      </c>
      <c r="B365" t="str">
        <f>"1552374908987731"</f>
        <v>1552374908987731</v>
      </c>
      <c r="C365" t="s">
        <v>40</v>
      </c>
      <c r="D365">
        <v>4.1964290000000002</v>
      </c>
      <c r="E365">
        <v>0.51627769999999995</v>
      </c>
      <c r="F365" t="s">
        <v>41</v>
      </c>
      <c r="G365">
        <v>-388.77589999999998</v>
      </c>
      <c r="H365">
        <v>0.89962219999999904</v>
      </c>
      <c r="I365">
        <v>368.24509999999998</v>
      </c>
      <c r="J365">
        <v>-389.38279999999997</v>
      </c>
      <c r="K365">
        <v>1.1078790000000001</v>
      </c>
      <c r="L365">
        <v>368.29829999999998</v>
      </c>
      <c r="M365">
        <v>0.99996399999999996</v>
      </c>
      <c r="N365">
        <v>0</v>
      </c>
      <c r="O365">
        <v>-4.8162120000000002E-4</v>
      </c>
      <c r="P365">
        <v>0.99944869999999997</v>
      </c>
      <c r="Q365">
        <v>-3.1521859999999999E-2</v>
      </c>
      <c r="R365">
        <v>-1.046534E-2</v>
      </c>
      <c r="S365">
        <v>2.980591</v>
      </c>
      <c r="T365">
        <v>-0.62093209999999999</v>
      </c>
      <c r="U365">
        <v>-0.15820310000000001</v>
      </c>
      <c r="V365">
        <v>9.9980510000000009E-3</v>
      </c>
      <c r="W365">
        <v>-2.3020539999999999E-2</v>
      </c>
      <c r="X365">
        <v>0.99968500000000005</v>
      </c>
      <c r="Y365">
        <v>5.1431400000000002E-2</v>
      </c>
      <c r="Z365">
        <v>-5.1975149999999998E-3</v>
      </c>
      <c r="AA365">
        <v>0.99866299999999997</v>
      </c>
      <c r="AB365">
        <v>39</v>
      </c>
      <c r="AC365">
        <v>0.606899999999996</v>
      </c>
      <c r="AD365">
        <v>-0.20825679999999999</v>
      </c>
      <c r="AE365">
        <v>-5.3200000000003897E-2</v>
      </c>
      <c r="AF365">
        <v>4.7372115360812997E-2</v>
      </c>
      <c r="AG365">
        <v>-0.20825679999999999</v>
      </c>
      <c r="AH365">
        <v>0.54342475915793398</v>
      </c>
      <c r="AI365">
        <v>110.895974554628</v>
      </c>
      <c r="AJ365">
        <v>85.017933720652906</v>
      </c>
      <c r="AK365">
        <v>0.58388824352427005</v>
      </c>
      <c r="AL365">
        <v>91.319096306115298</v>
      </c>
      <c r="AM365">
        <v>89.426992475286099</v>
      </c>
      <c r="AN365">
        <v>1.00000000275534</v>
      </c>
    </row>
    <row r="366" spans="1:40" x14ac:dyDescent="0.25">
      <c r="A366" t="str">
        <f>"20190312151509007"</f>
        <v>20190312151509007</v>
      </c>
      <c r="B366" t="str">
        <f>"1552374908998468"</f>
        <v>1552374908998468</v>
      </c>
      <c r="C366" t="s">
        <v>40</v>
      </c>
      <c r="D366">
        <v>4.1867989999999997</v>
      </c>
      <c r="E366">
        <v>0.51594309999999999</v>
      </c>
      <c r="F366" t="s">
        <v>41</v>
      </c>
      <c r="G366">
        <v>-388.42270000000002</v>
      </c>
      <c r="H366">
        <v>0.90786029999999995</v>
      </c>
      <c r="I366">
        <v>368.24689999999998</v>
      </c>
      <c r="J366">
        <v>-389.18450000000001</v>
      </c>
      <c r="K366">
        <v>1.108004</v>
      </c>
      <c r="L366">
        <v>368.29829999999998</v>
      </c>
      <c r="M366">
        <v>0.99996320000000005</v>
      </c>
      <c r="N366">
        <v>0</v>
      </c>
      <c r="O366">
        <v>-3.4920980000000001E-4</v>
      </c>
      <c r="P366">
        <v>0.99945150000000005</v>
      </c>
      <c r="Q366">
        <v>-3.1347260000000002E-2</v>
      </c>
      <c r="R366">
        <v>-1.069121E-2</v>
      </c>
      <c r="S366">
        <v>2.9803769999999998</v>
      </c>
      <c r="T366">
        <v>-0.62109519999999996</v>
      </c>
      <c r="U366">
        <v>-0.15820310000000001</v>
      </c>
      <c r="V366">
        <v>1.035611E-2</v>
      </c>
      <c r="W366">
        <v>-2.2777869999999999E-2</v>
      </c>
      <c r="X366">
        <v>0.99968690000000004</v>
      </c>
      <c r="Y366">
        <v>5.1561080000000002E-2</v>
      </c>
      <c r="Z366">
        <v>-5.2398590000000004E-3</v>
      </c>
      <c r="AA366">
        <v>0.99865610000000005</v>
      </c>
      <c r="AB366">
        <v>39</v>
      </c>
      <c r="AC366">
        <v>0.76179999999999304</v>
      </c>
      <c r="AD366">
        <v>-0.20014369999999901</v>
      </c>
      <c r="AE366">
        <v>-5.1400000000000903E-2</v>
      </c>
      <c r="AF366">
        <v>4.7846364577396203E-2</v>
      </c>
      <c r="AG366">
        <v>-0.20014369999999901</v>
      </c>
      <c r="AH366">
        <v>0.71283776618248695</v>
      </c>
      <c r="AI366">
        <v>105.649684411255</v>
      </c>
      <c r="AJ366">
        <v>86.160011280008405</v>
      </c>
      <c r="AK366">
        <v>0.74194639708607002</v>
      </c>
      <c r="AL366">
        <v>91.305188710124597</v>
      </c>
      <c r="AM366">
        <v>89.406473996232805</v>
      </c>
      <c r="AN366">
        <v>0.99999998920383903</v>
      </c>
    </row>
    <row r="367" spans="1:40" x14ac:dyDescent="0.25">
      <c r="A367" t="str">
        <f>"20190312151509019"</f>
        <v>20190312151509019</v>
      </c>
      <c r="B367" t="str">
        <f>"1552374909008228"</f>
        <v>1552374909008228</v>
      </c>
      <c r="C367" t="s">
        <v>40</v>
      </c>
      <c r="D367">
        <v>4.3282439999999998</v>
      </c>
      <c r="E367">
        <v>0.51469739999999997</v>
      </c>
      <c r="F367" t="s">
        <v>41</v>
      </c>
      <c r="G367">
        <v>-388.35759999999999</v>
      </c>
      <c r="H367">
        <v>1.0432920000000001</v>
      </c>
      <c r="I367">
        <v>368.25409999999999</v>
      </c>
      <c r="J367">
        <v>-388.97179999999997</v>
      </c>
      <c r="K367">
        <v>1.1081190000000001</v>
      </c>
      <c r="L367">
        <v>368.29840000000002</v>
      </c>
      <c r="M367">
        <v>0.99996280000000004</v>
      </c>
      <c r="N367">
        <v>0</v>
      </c>
      <c r="O367">
        <v>-2.077445E-4</v>
      </c>
      <c r="P367">
        <v>0.99945119999999998</v>
      </c>
      <c r="Q367">
        <v>-3.1340079999999999E-2</v>
      </c>
      <c r="R367">
        <v>-1.0737979999999999E-2</v>
      </c>
      <c r="S367">
        <v>2.9925839999999999</v>
      </c>
      <c r="T367">
        <v>-0.23460400000000001</v>
      </c>
      <c r="U367">
        <v>-0.15841669999999999</v>
      </c>
      <c r="V367">
        <v>1.054448E-2</v>
      </c>
      <c r="W367">
        <v>-2.2701679999999998E-2</v>
      </c>
      <c r="X367">
        <v>0.99968670000000004</v>
      </c>
      <c r="Y367">
        <v>5.2494979999999997E-2</v>
      </c>
      <c r="Z367">
        <v>-2.0368420000000001E-3</v>
      </c>
      <c r="AA367">
        <v>0.99861909999999998</v>
      </c>
      <c r="AB367">
        <v>39</v>
      </c>
      <c r="AC367">
        <v>0.61419999999998198</v>
      </c>
      <c r="AD367">
        <v>-6.4826999999999899E-2</v>
      </c>
      <c r="AE367">
        <v>-4.43000000000211E-2</v>
      </c>
      <c r="AF367">
        <v>4.3688221740311201E-2</v>
      </c>
      <c r="AG367">
        <v>-6.4826999999999899E-2</v>
      </c>
      <c r="AH367">
        <v>0.607476812125049</v>
      </c>
      <c r="AI367">
        <v>96.075702652655593</v>
      </c>
      <c r="AJ367">
        <v>85.886512087269395</v>
      </c>
      <c r="AK367">
        <v>0.61248614508202703</v>
      </c>
      <c r="AL367">
        <v>91.300822168646505</v>
      </c>
      <c r="AM367">
        <v>89.395678868745605</v>
      </c>
      <c r="AN367">
        <v>1.00000002524509</v>
      </c>
    </row>
    <row r="368" spans="1:40" x14ac:dyDescent="0.25">
      <c r="A368" t="str">
        <f>"20190312151509040"</f>
        <v>20190312151509040</v>
      </c>
      <c r="B368" t="str">
        <f>"1552374909038484"</f>
        <v>1552374909038484</v>
      </c>
      <c r="C368" t="s">
        <v>40</v>
      </c>
      <c r="D368">
        <v>4.2694799999999997</v>
      </c>
      <c r="E368">
        <v>0.51173840000000004</v>
      </c>
      <c r="F368" t="s">
        <v>41</v>
      </c>
      <c r="G368">
        <v>-388.00490000000002</v>
      </c>
      <c r="H368">
        <v>1.0472509999999999</v>
      </c>
      <c r="I368">
        <v>368.25009999999997</v>
      </c>
      <c r="J368">
        <v>-388.60930000000002</v>
      </c>
      <c r="K368">
        <v>1.1082959999999999</v>
      </c>
      <c r="L368">
        <v>368.29849999999999</v>
      </c>
      <c r="M368">
        <v>0.99996189999999996</v>
      </c>
      <c r="N368">
        <v>0</v>
      </c>
      <c r="O368" s="1">
        <v>3.3101649999999998E-5</v>
      </c>
      <c r="P368">
        <v>0.99943939999999998</v>
      </c>
      <c r="Q368">
        <v>-3.1713659999999998E-2</v>
      </c>
      <c r="R368">
        <v>-1.074956E-2</v>
      </c>
      <c r="S368">
        <v>2.9941409999999999</v>
      </c>
      <c r="T368">
        <v>-0.1886275</v>
      </c>
      <c r="U368">
        <v>-0.148925799999999</v>
      </c>
      <c r="V368">
        <v>1.079691E-2</v>
      </c>
      <c r="W368">
        <v>-2.2967029999999999E-2</v>
      </c>
      <c r="X368">
        <v>0.99967790000000001</v>
      </c>
      <c r="Y368">
        <v>4.9612549999999998E-2</v>
      </c>
      <c r="Z368">
        <v>-1.56234E-3</v>
      </c>
      <c r="AA368">
        <v>0.99876730000000002</v>
      </c>
      <c r="AB368">
        <v>39</v>
      </c>
      <c r="AC368">
        <v>0.60439999999999805</v>
      </c>
      <c r="AD368">
        <v>-6.1045000000000002E-2</v>
      </c>
      <c r="AE368">
        <v>-4.8400000000015098E-2</v>
      </c>
      <c r="AF368">
        <v>4.7934137370401003E-2</v>
      </c>
      <c r="AG368">
        <v>-6.1045000000000002E-2</v>
      </c>
      <c r="AH368">
        <v>0.59833356877545296</v>
      </c>
      <c r="AI368">
        <v>95.806969674709407</v>
      </c>
      <c r="AJ368">
        <v>85.419660754690497</v>
      </c>
      <c r="AK368">
        <v>0.603346693928137</v>
      </c>
      <c r="AL368">
        <v>91.316029627125801</v>
      </c>
      <c r="AM368">
        <v>89.381207364001298</v>
      </c>
      <c r="AN368">
        <v>0.99999998074048901</v>
      </c>
    </row>
    <row r="369" spans="1:40" x14ac:dyDescent="0.25">
      <c r="A369" t="str">
        <f>"20190312151509052"</f>
        <v>20190312151509052</v>
      </c>
      <c r="B369" t="str">
        <f>"1552374909048243"</f>
        <v>1552374909048243</v>
      </c>
      <c r="C369" t="s">
        <v>40</v>
      </c>
      <c r="D369">
        <v>4.313345</v>
      </c>
      <c r="E369">
        <v>0.51114139999999997</v>
      </c>
      <c r="F369" t="s">
        <v>43</v>
      </c>
      <c r="G369">
        <v>-356.92720000000003</v>
      </c>
      <c r="H369" s="1">
        <v>-1.770392E-6</v>
      </c>
      <c r="I369">
        <v>366.96769999999998</v>
      </c>
      <c r="J369">
        <v>-388.40219999999999</v>
      </c>
      <c r="K369">
        <v>1.108382</v>
      </c>
      <c r="L369">
        <v>368.29860000000002</v>
      </c>
      <c r="M369">
        <v>0.99996130000000005</v>
      </c>
      <c r="N369">
        <v>0</v>
      </c>
      <c r="O369">
        <v>1.707937E-4</v>
      </c>
      <c r="P369">
        <v>0.99941279999999999</v>
      </c>
      <c r="Q369">
        <v>-3.2493090000000002E-2</v>
      </c>
      <c r="R369">
        <v>-1.0890810000000001E-2</v>
      </c>
      <c r="S369">
        <v>2.9969790000000001</v>
      </c>
      <c r="T369">
        <v>-0.1048393</v>
      </c>
      <c r="U369">
        <v>-0.125885</v>
      </c>
      <c r="V369">
        <v>1.107611E-2</v>
      </c>
      <c r="W369">
        <v>-2.3688669999999998E-2</v>
      </c>
      <c r="X369">
        <v>0.99965800000000005</v>
      </c>
      <c r="Y369">
        <v>4.2111799999999998E-2</v>
      </c>
      <c r="Z369">
        <v>-7.4199159999999999E-4</v>
      </c>
      <c r="AA369">
        <v>0.99911260000000002</v>
      </c>
      <c r="AB369">
        <v>39</v>
      </c>
      <c r="AC369">
        <v>31.474999999999898</v>
      </c>
      <c r="AD369">
        <v>-1.1083837703920001</v>
      </c>
      <c r="AE369">
        <v>-1.3309000000000399</v>
      </c>
      <c r="AF369">
        <v>1.33462383710239</v>
      </c>
      <c r="AG369">
        <v>-1.1083837703920001</v>
      </c>
      <c r="AH369">
        <v>31.435858896222399</v>
      </c>
      <c r="AI369">
        <v>92.017515429705597</v>
      </c>
      <c r="AJ369">
        <v>87.568941280300393</v>
      </c>
      <c r="AK369">
        <v>31.483693555747799</v>
      </c>
      <c r="AL369">
        <v>91.357387817621401</v>
      </c>
      <c r="AM369">
        <v>89.365194507487601</v>
      </c>
      <c r="AN369">
        <v>0.99999997513155003</v>
      </c>
    </row>
    <row r="370" spans="1:40" x14ac:dyDescent="0.25">
      <c r="A370" t="str">
        <f>"20190312151509063"</f>
        <v>20190312151509063</v>
      </c>
      <c r="B370" t="str">
        <f>"1552374909058004"</f>
        <v>1552374909058004</v>
      </c>
      <c r="C370" t="s">
        <v>40</v>
      </c>
      <c r="D370">
        <v>4.2782080000000002</v>
      </c>
      <c r="E370">
        <v>0.51102009999999998</v>
      </c>
      <c r="F370" t="s">
        <v>43</v>
      </c>
      <c r="G370">
        <v>-354.0061</v>
      </c>
      <c r="H370" s="1">
        <v>-3.0347459999999999E-6</v>
      </c>
      <c r="I370">
        <v>366.90429999999998</v>
      </c>
      <c r="J370">
        <v>-388.20229999999998</v>
      </c>
      <c r="K370">
        <v>1.1084529999999999</v>
      </c>
      <c r="L370">
        <v>368.2987</v>
      </c>
      <c r="M370">
        <v>0.99996079999999998</v>
      </c>
      <c r="N370">
        <v>0</v>
      </c>
      <c r="O370">
        <v>3.0374379999999998E-4</v>
      </c>
      <c r="P370">
        <v>0.99938349999999998</v>
      </c>
      <c r="Q370">
        <v>-3.3245190000000001E-2</v>
      </c>
      <c r="R370">
        <v>-1.128352E-2</v>
      </c>
      <c r="S370">
        <v>2.9973139999999998</v>
      </c>
      <c r="T370">
        <v>-9.6585749999999998E-2</v>
      </c>
      <c r="U370">
        <v>-0.1214905</v>
      </c>
      <c r="V370">
        <v>1.160244E-2</v>
      </c>
      <c r="W370">
        <v>-2.438999E-2</v>
      </c>
      <c r="X370">
        <v>0.99963519999999995</v>
      </c>
      <c r="Y370">
        <v>4.0782069999999997E-2</v>
      </c>
      <c r="Z370">
        <v>-6.6642440000000002E-4</v>
      </c>
      <c r="AA370">
        <v>0.9991679</v>
      </c>
      <c r="AB370">
        <v>39</v>
      </c>
      <c r="AC370">
        <v>34.196199999999898</v>
      </c>
      <c r="AD370">
        <v>-1.108456034746</v>
      </c>
      <c r="AE370">
        <v>-1.3944000000000101</v>
      </c>
      <c r="AF370">
        <v>1.4033152018492101</v>
      </c>
      <c r="AG370">
        <v>-1.108456034746</v>
      </c>
      <c r="AH370">
        <v>34.159942385504102</v>
      </c>
      <c r="AI370">
        <v>91.856973551919197</v>
      </c>
      <c r="AJ370">
        <v>87.647570578951502</v>
      </c>
      <c r="AK370">
        <v>34.206719107766901</v>
      </c>
      <c r="AL370">
        <v>91.397582061487498</v>
      </c>
      <c r="AM370">
        <v>89.3350164190323</v>
      </c>
      <c r="AN370">
        <v>1.0000000106525899</v>
      </c>
    </row>
    <row r="371" spans="1:40" x14ac:dyDescent="0.25">
      <c r="A371" t="str">
        <f>"20190312151509076"</f>
        <v>20190312151509076</v>
      </c>
      <c r="B371" t="str">
        <f>"1552374909067763"</f>
        <v>1552374909067763</v>
      </c>
      <c r="C371" t="s">
        <v>40</v>
      </c>
      <c r="D371">
        <v>4.3512829999999996</v>
      </c>
      <c r="E371">
        <v>0.51122570000000001</v>
      </c>
      <c r="F371" t="s">
        <v>43</v>
      </c>
      <c r="G371">
        <v>-352.61509999999998</v>
      </c>
      <c r="H371" s="1">
        <v>-3.6405079999999999E-6</v>
      </c>
      <c r="I371">
        <v>366.85329999999999</v>
      </c>
      <c r="J371">
        <v>-387.98809999999997</v>
      </c>
      <c r="K371">
        <v>1.1085199999999999</v>
      </c>
      <c r="L371">
        <v>368.2989</v>
      </c>
      <c r="M371">
        <v>0.99996019999999997</v>
      </c>
      <c r="N371">
        <v>0</v>
      </c>
      <c r="O371">
        <v>4.462806E-4</v>
      </c>
      <c r="P371">
        <v>0.99935010000000002</v>
      </c>
      <c r="Q371">
        <v>-3.4112480000000001E-2</v>
      </c>
      <c r="R371">
        <v>-1.1661059999999999E-2</v>
      </c>
      <c r="S371">
        <v>2.9973450000000001</v>
      </c>
      <c r="T371">
        <v>-9.3359949999999997E-2</v>
      </c>
      <c r="U371">
        <v>-0.1217346</v>
      </c>
      <c r="V371">
        <v>1.212271E-2</v>
      </c>
      <c r="W371">
        <v>-2.5204520000000001E-2</v>
      </c>
      <c r="X371">
        <v>0.99960879999999996</v>
      </c>
      <c r="Y371">
        <v>4.1006550000000003E-2</v>
      </c>
      <c r="Z371">
        <v>-6.5210120000000005E-4</v>
      </c>
      <c r="AA371">
        <v>0.99915869999999996</v>
      </c>
      <c r="AB371">
        <v>39</v>
      </c>
      <c r="AC371">
        <v>35.372999999999898</v>
      </c>
      <c r="AD371">
        <v>-1.1085236405079999</v>
      </c>
      <c r="AE371">
        <v>-1.44560000000001</v>
      </c>
      <c r="AF371">
        <v>1.45995536654199</v>
      </c>
      <c r="AG371">
        <v>-1.1085236405079999</v>
      </c>
      <c r="AH371">
        <v>35.337704778539198</v>
      </c>
      <c r="AI371">
        <v>91.795216265015796</v>
      </c>
      <c r="AJ371">
        <v>87.6342058165026</v>
      </c>
      <c r="AK371">
        <v>35.385218288842701</v>
      </c>
      <c r="AL371">
        <v>91.444265577843595</v>
      </c>
      <c r="AM371">
        <v>89.305182116802797</v>
      </c>
      <c r="AN371">
        <v>0.99999999048180699</v>
      </c>
    </row>
    <row r="372" spans="1:40" x14ac:dyDescent="0.25">
      <c r="A372" t="str">
        <f>"20190312151509087"</f>
        <v>20190312151509087</v>
      </c>
      <c r="B372" t="str">
        <f>"1552374909078500"</f>
        <v>1552374909078500</v>
      </c>
      <c r="C372" t="s">
        <v>40</v>
      </c>
      <c r="D372">
        <v>4.2641049999999998</v>
      </c>
      <c r="E372">
        <v>0.51125449999999995</v>
      </c>
      <c r="F372" t="s">
        <v>43</v>
      </c>
      <c r="G372">
        <v>-351.36610000000002</v>
      </c>
      <c r="H372" s="1">
        <v>-4.1897050000000002E-6</v>
      </c>
      <c r="I372">
        <v>366.77789999999999</v>
      </c>
      <c r="J372">
        <v>-387.77019999999999</v>
      </c>
      <c r="K372">
        <v>1.1085849999999999</v>
      </c>
      <c r="L372">
        <v>368.29910000000001</v>
      </c>
      <c r="M372">
        <v>0.99995979999999995</v>
      </c>
      <c r="N372">
        <v>0</v>
      </c>
      <c r="O372">
        <v>5.9103469999999996E-4</v>
      </c>
      <c r="P372">
        <v>0.99932489999999996</v>
      </c>
      <c r="Q372">
        <v>-3.4702169999999997E-2</v>
      </c>
      <c r="R372">
        <v>-1.2073250000000001E-2</v>
      </c>
      <c r="S372">
        <v>2.9973450000000001</v>
      </c>
      <c r="T372">
        <v>-9.072769E-2</v>
      </c>
      <c r="U372">
        <v>-0.1244812</v>
      </c>
      <c r="V372">
        <v>1.26801E-2</v>
      </c>
      <c r="W372">
        <v>-2.5744590000000001E-2</v>
      </c>
      <c r="X372">
        <v>0.99958809999999998</v>
      </c>
      <c r="Y372">
        <v>4.2065760000000001E-2</v>
      </c>
      <c r="Z372">
        <v>-6.5411099999999997E-4</v>
      </c>
      <c r="AA372">
        <v>0.99911459999999996</v>
      </c>
      <c r="AB372">
        <v>39</v>
      </c>
      <c r="AC372">
        <v>36.4040999999999</v>
      </c>
      <c r="AD372">
        <v>-1.108589189705</v>
      </c>
      <c r="AE372">
        <v>-1.5212000000000201</v>
      </c>
      <c r="AF372">
        <v>1.5412898679042799</v>
      </c>
      <c r="AG372">
        <v>-1.108589189705</v>
      </c>
      <c r="AH372">
        <v>36.369526264097999</v>
      </c>
      <c r="AI372">
        <v>91.744342593325797</v>
      </c>
      <c r="AJ372">
        <v>87.573336689268601</v>
      </c>
      <c r="AK372">
        <v>36.419047010092797</v>
      </c>
      <c r="AL372">
        <v>91.475219386879402</v>
      </c>
      <c r="AM372">
        <v>89.273223392867195</v>
      </c>
      <c r="AN372">
        <v>0.99999996925594303</v>
      </c>
    </row>
    <row r="373" spans="1:40" x14ac:dyDescent="0.25">
      <c r="A373" t="str">
        <f>"20190312151509106"</f>
        <v>20190312151509106</v>
      </c>
      <c r="B373" t="str">
        <f>"1552374909098019"</f>
        <v>1552374909098019</v>
      </c>
      <c r="C373" t="s">
        <v>40</v>
      </c>
      <c r="D373">
        <v>4.2652210000000004</v>
      </c>
      <c r="E373">
        <v>0.51105339999999999</v>
      </c>
      <c r="F373" t="s">
        <v>43</v>
      </c>
      <c r="G373">
        <v>-350.24979999999999</v>
      </c>
      <c r="H373" s="1">
        <v>-4.6789560000000001E-6</v>
      </c>
      <c r="I373">
        <v>366.71949999999998</v>
      </c>
      <c r="J373">
        <v>-387.43389999999999</v>
      </c>
      <c r="K373">
        <v>1.1086659999999999</v>
      </c>
      <c r="L373">
        <v>368.29939999999999</v>
      </c>
      <c r="M373">
        <v>0.99995900000000004</v>
      </c>
      <c r="N373">
        <v>0</v>
      </c>
      <c r="O373">
        <v>8.140205E-4</v>
      </c>
      <c r="P373">
        <v>0.99928930000000005</v>
      </c>
      <c r="Q373">
        <v>-3.5464759999999998E-2</v>
      </c>
      <c r="R373">
        <v>-1.27732E-2</v>
      </c>
      <c r="S373">
        <v>2.9974370000000001</v>
      </c>
      <c r="T373">
        <v>-8.8563199999999995E-2</v>
      </c>
      <c r="U373">
        <v>-0.1261902</v>
      </c>
      <c r="V373">
        <v>1.3603290000000001E-2</v>
      </c>
      <c r="W373">
        <v>-2.6436000000000001E-2</v>
      </c>
      <c r="X373">
        <v>0.99955799999999995</v>
      </c>
      <c r="Y373">
        <v>4.2856409999999998E-2</v>
      </c>
      <c r="Z373">
        <v>-6.5674289999999996E-4</v>
      </c>
      <c r="AA373">
        <v>0.999081</v>
      </c>
      <c r="AB373">
        <v>39</v>
      </c>
      <c r="AC373">
        <v>37.184100000000001</v>
      </c>
      <c r="AD373">
        <v>-1.1086706789559999</v>
      </c>
      <c r="AE373">
        <v>-1.5799000000000001</v>
      </c>
      <c r="AF373">
        <v>1.6087417697656301</v>
      </c>
      <c r="AG373">
        <v>-1.1086706789559999</v>
      </c>
      <c r="AH373">
        <v>37.149835715323199</v>
      </c>
      <c r="AI373">
        <v>91.707783580549005</v>
      </c>
      <c r="AJ373">
        <v>87.520404592986793</v>
      </c>
      <c r="AK373">
        <v>37.2011759818378</v>
      </c>
      <c r="AL373">
        <v>91.514847626066995</v>
      </c>
      <c r="AM373">
        <v>89.220292378464706</v>
      </c>
      <c r="AN373">
        <v>1.00000005347941</v>
      </c>
    </row>
    <row r="374" spans="1:40" x14ac:dyDescent="0.25">
      <c r="A374" t="str">
        <f>"20190312151509118"</f>
        <v>20190312151509118</v>
      </c>
      <c r="B374" t="str">
        <f>"1552374909107779"</f>
        <v>1552374909107779</v>
      </c>
      <c r="C374" t="s">
        <v>40</v>
      </c>
      <c r="D374">
        <v>4.260624</v>
      </c>
      <c r="E374">
        <v>0.5109224</v>
      </c>
      <c r="F374" t="s">
        <v>43</v>
      </c>
      <c r="G374">
        <v>-348.34829999999999</v>
      </c>
      <c r="H374" s="1">
        <v>-1.4077840000000001E-6</v>
      </c>
      <c r="I374">
        <v>366.65</v>
      </c>
      <c r="J374">
        <v>-387.23579999999998</v>
      </c>
      <c r="K374">
        <v>1.1087100000000001</v>
      </c>
      <c r="L374">
        <v>368.29969999999997</v>
      </c>
      <c r="M374">
        <v>0.99995849999999997</v>
      </c>
      <c r="N374">
        <v>0</v>
      </c>
      <c r="O374">
        <v>9.456442E-4</v>
      </c>
      <c r="P374">
        <v>0.99926139999999997</v>
      </c>
      <c r="Q374">
        <v>-3.608426E-2</v>
      </c>
      <c r="R374">
        <v>-1.322333E-2</v>
      </c>
      <c r="S374">
        <v>2.9974980000000002</v>
      </c>
      <c r="T374">
        <v>-8.5024359999999993E-2</v>
      </c>
      <c r="U374">
        <v>-0.12649540000000001</v>
      </c>
      <c r="V374">
        <v>1.418518E-2</v>
      </c>
      <c r="W374">
        <v>-2.701667E-2</v>
      </c>
      <c r="X374">
        <v>0.99953429999999999</v>
      </c>
      <c r="Y374">
        <v>4.3089929999999999E-2</v>
      </c>
      <c r="Z374">
        <v>-6.3753810000000003E-4</v>
      </c>
      <c r="AA374">
        <v>0.99907100000000004</v>
      </c>
      <c r="AB374">
        <v>39</v>
      </c>
      <c r="AC374">
        <v>38.887499999999903</v>
      </c>
      <c r="AD374">
        <v>-1.1087114077839999</v>
      </c>
      <c r="AE374">
        <v>-1.64969999999999</v>
      </c>
      <c r="AF374">
        <v>1.68510721141986</v>
      </c>
      <c r="AG374">
        <v>-1.1087114077839999</v>
      </c>
      <c r="AH374">
        <v>38.854395980977401</v>
      </c>
      <c r="AI374">
        <v>91.632959139189296</v>
      </c>
      <c r="AJ374">
        <v>87.516649984321504</v>
      </c>
      <c r="AK374">
        <v>38.906720683531297</v>
      </c>
      <c r="AL374">
        <v>91.548129585572696</v>
      </c>
      <c r="AM374">
        <v>89.186924963272702</v>
      </c>
      <c r="AN374">
        <v>0.99999996833300497</v>
      </c>
    </row>
    <row r="375" spans="1:40" x14ac:dyDescent="0.25">
      <c r="A375" t="str">
        <f>"20190312151509132"</f>
        <v>20190312151509132</v>
      </c>
      <c r="B375" t="str">
        <f>"1552374909128275"</f>
        <v>1552374909128275</v>
      </c>
      <c r="C375" t="s">
        <v>40</v>
      </c>
      <c r="D375">
        <v>4.2702039999999997</v>
      </c>
      <c r="E375">
        <v>0.5107119</v>
      </c>
      <c r="F375" t="s">
        <v>43</v>
      </c>
      <c r="G375">
        <v>-348.3175</v>
      </c>
      <c r="H375" s="1">
        <v>-1.41849799999999E-6</v>
      </c>
      <c r="I375">
        <v>366.65410000000003</v>
      </c>
      <c r="J375">
        <v>-386.9905</v>
      </c>
      <c r="K375">
        <v>1.1087579999999999</v>
      </c>
      <c r="L375">
        <v>368.3</v>
      </c>
      <c r="M375">
        <v>0.99995800000000001</v>
      </c>
      <c r="N375">
        <v>0</v>
      </c>
      <c r="O375">
        <v>1.108887E-3</v>
      </c>
      <c r="P375">
        <v>0.99924939999999995</v>
      </c>
      <c r="Q375">
        <v>-3.6312900000000002E-2</v>
      </c>
      <c r="R375">
        <v>-1.3490200000000001E-2</v>
      </c>
      <c r="S375">
        <v>2.9974370000000001</v>
      </c>
      <c r="T375">
        <v>-8.5391519999999999E-2</v>
      </c>
      <c r="U375">
        <v>-0.1267395</v>
      </c>
      <c r="V375">
        <v>1.461546E-2</v>
      </c>
      <c r="W375">
        <v>-2.719982E-2</v>
      </c>
      <c r="X375">
        <v>0.99952319999999995</v>
      </c>
      <c r="Y375">
        <v>4.33348E-2</v>
      </c>
      <c r="Z375">
        <v>-6.484355E-4</v>
      </c>
      <c r="AA375">
        <v>0.99906039999999996</v>
      </c>
      <c r="AB375">
        <v>39</v>
      </c>
      <c r="AC375">
        <v>38.673000000000002</v>
      </c>
      <c r="AD375">
        <v>-1.1087594184980001</v>
      </c>
      <c r="AE375">
        <v>-1.6458999999999799</v>
      </c>
      <c r="AF375">
        <v>1.68740025570344</v>
      </c>
      <c r="AG375">
        <v>-1.1087594184980001</v>
      </c>
      <c r="AH375">
        <v>38.639447770168502</v>
      </c>
      <c r="AI375">
        <v>91.642087839238101</v>
      </c>
      <c r="AJ375">
        <v>87.499459008361697</v>
      </c>
      <c r="AK375">
        <v>38.692164465879102</v>
      </c>
      <c r="AL375">
        <v>91.558627062432095</v>
      </c>
      <c r="AM375">
        <v>89.162256065729693</v>
      </c>
      <c r="AN375">
        <v>1.00000003460864</v>
      </c>
    </row>
    <row r="376" spans="1:40" x14ac:dyDescent="0.25">
      <c r="A376" t="str">
        <f>"20190312151509153"</f>
        <v>20190312151509153</v>
      </c>
      <c r="B376" t="str">
        <f>"1552374909147795"</f>
        <v>1552374909147795</v>
      </c>
      <c r="C376" t="s">
        <v>40</v>
      </c>
      <c r="D376">
        <v>4.6243919999999896</v>
      </c>
      <c r="E376">
        <v>0.51057010000000003</v>
      </c>
      <c r="F376" t="s">
        <v>43</v>
      </c>
      <c r="G376">
        <v>-346.21839999999997</v>
      </c>
      <c r="H376" s="1">
        <v>-2.3052719999999998E-6</v>
      </c>
      <c r="I376">
        <v>366.58780000000002</v>
      </c>
      <c r="J376">
        <v>-386.6216</v>
      </c>
      <c r="K376">
        <v>1.108827</v>
      </c>
      <c r="L376">
        <v>368.30070000000001</v>
      </c>
      <c r="M376">
        <v>0.99995710000000004</v>
      </c>
      <c r="N376">
        <v>0</v>
      </c>
      <c r="O376">
        <v>1.3541499999999999E-3</v>
      </c>
      <c r="P376">
        <v>0.99921490000000002</v>
      </c>
      <c r="Q376">
        <v>-3.711677E-2</v>
      </c>
      <c r="R376">
        <v>-1.385597E-2</v>
      </c>
      <c r="S376">
        <v>2.9975890000000001</v>
      </c>
      <c r="T376">
        <v>-8.1516740000000004E-2</v>
      </c>
      <c r="U376">
        <v>-0.125885</v>
      </c>
      <c r="V376">
        <v>1.522656E-2</v>
      </c>
      <c r="W376">
        <v>-2.7945230000000001E-2</v>
      </c>
      <c r="X376">
        <v>0.99949350000000003</v>
      </c>
      <c r="Y376">
        <v>4.3294939999999997E-2</v>
      </c>
      <c r="Z376">
        <v>-6.2511930000000004E-4</v>
      </c>
      <c r="AA376">
        <v>0.99906209999999995</v>
      </c>
      <c r="AB376">
        <v>39</v>
      </c>
      <c r="AC376">
        <v>40.403199999999998</v>
      </c>
      <c r="AD376">
        <v>-1.108829305272</v>
      </c>
      <c r="AE376">
        <v>-1.7128999999999901</v>
      </c>
      <c r="AF376">
        <v>1.76628477893813</v>
      </c>
      <c r="AG376">
        <v>-1.108829305272</v>
      </c>
      <c r="AH376">
        <v>40.370491701436599</v>
      </c>
      <c r="AI376">
        <v>91.571806392731901</v>
      </c>
      <c r="AJ376">
        <v>87.494799805959104</v>
      </c>
      <c r="AK376">
        <v>40.424322685288097</v>
      </c>
      <c r="AL376">
        <v>91.601352175747095</v>
      </c>
      <c r="AM376">
        <v>89.127207787994607</v>
      </c>
      <c r="AN376">
        <v>1.00000002027571</v>
      </c>
    </row>
    <row r="377" spans="1:40" x14ac:dyDescent="0.25">
      <c r="A377" t="str">
        <f>"20190312151509174"</f>
        <v>20190312151509174</v>
      </c>
      <c r="B377" t="str">
        <f>"1552374909168292"</f>
        <v>1552374909168292</v>
      </c>
      <c r="C377" t="s">
        <v>40</v>
      </c>
      <c r="D377">
        <v>4.2812260000000002</v>
      </c>
      <c r="E377">
        <v>0.51029399999999903</v>
      </c>
      <c r="F377" t="s">
        <v>43</v>
      </c>
      <c r="G377">
        <v>-344.34050000000002</v>
      </c>
      <c r="H377" s="1">
        <v>-3.2043209999999999E-6</v>
      </c>
      <c r="I377">
        <v>366.52379999999999</v>
      </c>
      <c r="J377">
        <v>-386.25599999999997</v>
      </c>
      <c r="K377">
        <v>1.108881</v>
      </c>
      <c r="L377">
        <v>368.30130000000003</v>
      </c>
      <c r="M377">
        <v>0.99995630000000002</v>
      </c>
      <c r="N377">
        <v>0</v>
      </c>
      <c r="O377">
        <v>1.596479E-3</v>
      </c>
      <c r="P377">
        <v>0.99920299999999995</v>
      </c>
      <c r="Q377">
        <v>-3.7370220000000003E-2</v>
      </c>
      <c r="R377">
        <v>-1.4033739999999999E-2</v>
      </c>
      <c r="S377">
        <v>2.997681</v>
      </c>
      <c r="T377">
        <v>-7.8614710000000004E-2</v>
      </c>
      <c r="U377">
        <v>-0.12597659999999999</v>
      </c>
      <c r="V377">
        <v>1.564695E-2</v>
      </c>
      <c r="W377">
        <v>-2.8150390000000001E-2</v>
      </c>
      <c r="X377">
        <v>0.99948119999999996</v>
      </c>
      <c r="Y377">
        <v>4.3567199999999903E-2</v>
      </c>
      <c r="Z377">
        <v>-6.1277320000000001E-4</v>
      </c>
      <c r="AA377">
        <v>0.99905029999999995</v>
      </c>
      <c r="AB377">
        <v>39</v>
      </c>
      <c r="AC377">
        <v>41.915499999999902</v>
      </c>
      <c r="AD377">
        <v>-1.1088842043209901</v>
      </c>
      <c r="AE377">
        <v>-1.7775000000000301</v>
      </c>
      <c r="AF377">
        <v>1.84313013642158</v>
      </c>
      <c r="AG377">
        <v>-1.1088842043209901</v>
      </c>
      <c r="AH377">
        <v>41.8833480535544</v>
      </c>
      <c r="AI377">
        <v>91.515116688021493</v>
      </c>
      <c r="AJ377">
        <v>87.480251867045197</v>
      </c>
      <c r="AK377">
        <v>41.938545480900501</v>
      </c>
      <c r="AL377">
        <v>91.613111684608995</v>
      </c>
      <c r="AM377">
        <v>89.103103720987505</v>
      </c>
      <c r="AN377">
        <v>0.99999997032744603</v>
      </c>
    </row>
    <row r="378" spans="1:40" x14ac:dyDescent="0.25">
      <c r="A378" t="str">
        <f>"20190312151509184"</f>
        <v>20190312151509184</v>
      </c>
      <c r="B378" t="str">
        <f>"1552374909178052"</f>
        <v>1552374909178052</v>
      </c>
      <c r="C378" t="s">
        <v>40</v>
      </c>
      <c r="D378">
        <v>4.2944599999999999</v>
      </c>
      <c r="E378">
        <v>0.51028479999999998</v>
      </c>
      <c r="F378" t="s">
        <v>43</v>
      </c>
      <c r="G378">
        <v>-340.65280000000001</v>
      </c>
      <c r="H378" s="1">
        <v>-4.9682790000000004E-6</v>
      </c>
      <c r="I378">
        <v>366.40690000000001</v>
      </c>
      <c r="J378">
        <v>-386.04939999999999</v>
      </c>
      <c r="K378">
        <v>1.1089059999999999</v>
      </c>
      <c r="L378">
        <v>368.30180000000001</v>
      </c>
      <c r="M378">
        <v>0.99995590000000001</v>
      </c>
      <c r="N378">
        <v>0</v>
      </c>
      <c r="O378">
        <v>1.7338259999999999E-3</v>
      </c>
      <c r="P378">
        <v>0.99918629999999997</v>
      </c>
      <c r="Q378">
        <v>-3.7721449999999997E-2</v>
      </c>
      <c r="R378">
        <v>-1.427669E-2</v>
      </c>
      <c r="S378">
        <v>2.9979550000000001</v>
      </c>
      <c r="T378">
        <v>-7.2898270000000001E-2</v>
      </c>
      <c r="U378">
        <v>-0.12454220000000001</v>
      </c>
      <c r="V378">
        <v>1.602727E-2</v>
      </c>
      <c r="W378">
        <v>-2.847794E-2</v>
      </c>
      <c r="X378">
        <v>0.99946590000000002</v>
      </c>
      <c r="Y378">
        <v>4.3225670000000001E-2</v>
      </c>
      <c r="Z378">
        <v>-5.67371E-4</v>
      </c>
      <c r="AA378">
        <v>0.99906519999999999</v>
      </c>
      <c r="AB378">
        <v>39</v>
      </c>
      <c r="AC378">
        <v>45.3965999999999</v>
      </c>
      <c r="AD378">
        <v>-1.1089109682789999</v>
      </c>
      <c r="AE378">
        <v>-1.8949</v>
      </c>
      <c r="AF378">
        <v>1.97243542998332</v>
      </c>
      <c r="AG378">
        <v>-1.1089109682789999</v>
      </c>
      <c r="AH378">
        <v>45.3662238301823</v>
      </c>
      <c r="AI378">
        <v>91.398911614054498</v>
      </c>
      <c r="AJ378">
        <v>87.510458529563095</v>
      </c>
      <c r="AK378">
        <v>45.422620462399898</v>
      </c>
      <c r="AL378">
        <v>91.6318864361008</v>
      </c>
      <c r="AM378">
        <v>89.081293090947696</v>
      </c>
      <c r="AN378">
        <v>0.99999997585655198</v>
      </c>
    </row>
    <row r="379" spans="1:40" x14ac:dyDescent="0.25">
      <c r="A379" t="str">
        <f>"20190312151509196"</f>
        <v>20190312151509196</v>
      </c>
      <c r="B379" t="str">
        <f>"1552374909187811"</f>
        <v>1552374909187811</v>
      </c>
      <c r="C379" t="s">
        <v>40</v>
      </c>
      <c r="D379">
        <v>4.5493110000000003</v>
      </c>
      <c r="E379">
        <v>0.51025869999999995</v>
      </c>
      <c r="F379" t="s">
        <v>43</v>
      </c>
      <c r="G379">
        <v>-339.2484</v>
      </c>
      <c r="H379" s="1">
        <v>-1.110361E-6</v>
      </c>
      <c r="I379">
        <v>366.35230000000001</v>
      </c>
      <c r="J379">
        <v>-385.85520000000002</v>
      </c>
      <c r="K379">
        <v>1.1089279999999999</v>
      </c>
      <c r="L379">
        <v>368.30220000000003</v>
      </c>
      <c r="M379">
        <v>0.9999555</v>
      </c>
      <c r="N379">
        <v>0</v>
      </c>
      <c r="O379">
        <v>1.862778E-3</v>
      </c>
      <c r="P379">
        <v>0.99917920000000005</v>
      </c>
      <c r="Q379">
        <v>-3.777076E-2</v>
      </c>
      <c r="R379">
        <v>-1.464829E-2</v>
      </c>
      <c r="S379">
        <v>2.997986</v>
      </c>
      <c r="T379">
        <v>-7.1034310000000003E-2</v>
      </c>
      <c r="U379">
        <v>-0.1248779</v>
      </c>
      <c r="V379">
        <v>1.65276E-2</v>
      </c>
      <c r="W379">
        <v>-2.850567E-2</v>
      </c>
      <c r="X379">
        <v>0.99945700000000004</v>
      </c>
      <c r="Y379">
        <v>4.3466320000000003E-2</v>
      </c>
      <c r="Z379">
        <v>-5.5876410000000004E-4</v>
      </c>
      <c r="AA379">
        <v>0.99905469999999996</v>
      </c>
      <c r="AB379">
        <v>39</v>
      </c>
      <c r="AC379">
        <v>46.6068</v>
      </c>
      <c r="AD379">
        <v>-1.1089291103609999</v>
      </c>
      <c r="AE379">
        <v>-1.94990000000001</v>
      </c>
      <c r="AF379">
        <v>2.0355680877234001</v>
      </c>
      <c r="AG379">
        <v>-1.1089291103609999</v>
      </c>
      <c r="AH379">
        <v>46.576764749857702</v>
      </c>
      <c r="AI379">
        <v>91.362576389326804</v>
      </c>
      <c r="AJ379">
        <v>87.497565750232198</v>
      </c>
      <c r="AK379">
        <v>46.634410854809197</v>
      </c>
      <c r="AL379">
        <v>91.633475829725896</v>
      </c>
      <c r="AM379">
        <v>89.052610145899607</v>
      </c>
      <c r="AN379">
        <v>1.0000000148164501</v>
      </c>
    </row>
    <row r="380" spans="1:40" x14ac:dyDescent="0.25">
      <c r="A380" t="str">
        <f>"20190312151509209"</f>
        <v>20190312151509209</v>
      </c>
      <c r="B380" t="str">
        <f>"1552374909198547"</f>
        <v>1552374909198547</v>
      </c>
      <c r="C380" t="s">
        <v>40</v>
      </c>
      <c r="D380">
        <v>4.7481390000000001</v>
      </c>
      <c r="E380">
        <v>0.51014689999999996</v>
      </c>
      <c r="F380" t="s">
        <v>43</v>
      </c>
      <c r="G380">
        <v>-337.12299999999999</v>
      </c>
      <c r="H380" s="1">
        <v>-1.8600410000000001E-6</v>
      </c>
      <c r="I380">
        <v>366.25290000000001</v>
      </c>
      <c r="J380">
        <v>-385.63240000000002</v>
      </c>
      <c r="K380">
        <v>1.1089439999999999</v>
      </c>
      <c r="L380">
        <v>368.30279999999999</v>
      </c>
      <c r="M380">
        <v>0.99995489999999998</v>
      </c>
      <c r="N380">
        <v>0</v>
      </c>
      <c r="O380">
        <v>2.010918E-3</v>
      </c>
      <c r="P380">
        <v>0.99918870000000004</v>
      </c>
      <c r="Q380">
        <v>-3.7474130000000001E-2</v>
      </c>
      <c r="R380">
        <v>-1.475866E-2</v>
      </c>
      <c r="S380">
        <v>2.9980159999999998</v>
      </c>
      <c r="T380">
        <v>-6.8221569999999995E-2</v>
      </c>
      <c r="U380">
        <v>-0.12606809999999999</v>
      </c>
      <c r="V380">
        <v>1.678584E-2</v>
      </c>
      <c r="W380">
        <v>-2.818617E-2</v>
      </c>
      <c r="X380">
        <v>0.99946179999999996</v>
      </c>
      <c r="Y380">
        <v>4.4010630000000002E-2</v>
      </c>
      <c r="Z380">
        <v>-5.4619360000000004E-4</v>
      </c>
      <c r="AA380">
        <v>0.99903090000000005</v>
      </c>
      <c r="AB380">
        <v>40</v>
      </c>
      <c r="AC380">
        <v>48.5093999999999</v>
      </c>
      <c r="AD380">
        <v>-1.108945860041</v>
      </c>
      <c r="AE380">
        <v>-2.0498999999999801</v>
      </c>
      <c r="AF380">
        <v>2.1463288122915798</v>
      </c>
      <c r="AG380">
        <v>-1.108945860041</v>
      </c>
      <c r="AH380">
        <v>48.479889154172099</v>
      </c>
      <c r="AI380">
        <v>91.309093216267399</v>
      </c>
      <c r="AJ380">
        <v>87.465024520389306</v>
      </c>
      <c r="AK380">
        <v>48.540046772657597</v>
      </c>
      <c r="AL380">
        <v>91.615162401210895</v>
      </c>
      <c r="AM380">
        <v>89.037814776049004</v>
      </c>
      <c r="AN380">
        <v>1.0000000571315</v>
      </c>
    </row>
    <row r="381" spans="1:40" x14ac:dyDescent="0.25">
      <c r="A381" t="str">
        <f>"20190312151509230"</f>
        <v>20190312151509230</v>
      </c>
      <c r="B381" t="str">
        <f>"1552374909227828"</f>
        <v>1552374909227828</v>
      </c>
      <c r="C381" t="s">
        <v>40</v>
      </c>
      <c r="D381">
        <v>4.2881220000000004</v>
      </c>
      <c r="E381">
        <v>0.50988559999999905</v>
      </c>
      <c r="F381" t="s">
        <v>43</v>
      </c>
      <c r="G381">
        <v>-334.26580000000001</v>
      </c>
      <c r="H381" s="1">
        <v>-3.057118E-6</v>
      </c>
      <c r="I381">
        <v>366.15010000000001</v>
      </c>
      <c r="J381">
        <v>-385.25529999999998</v>
      </c>
      <c r="K381">
        <v>1.1089739999999999</v>
      </c>
      <c r="L381">
        <v>368.30369999999999</v>
      </c>
      <c r="M381">
        <v>0.99995409999999996</v>
      </c>
      <c r="N381">
        <v>0</v>
      </c>
      <c r="O381">
        <v>2.260986E-3</v>
      </c>
      <c r="P381">
        <v>0.99917230000000001</v>
      </c>
      <c r="Q381">
        <v>-3.783545E-2</v>
      </c>
      <c r="R381">
        <v>-1.4949850000000001E-2</v>
      </c>
      <c r="S381">
        <v>2.9981080000000002</v>
      </c>
      <c r="T381">
        <v>-6.4725759999999993E-2</v>
      </c>
      <c r="U381">
        <v>-0.1256409</v>
      </c>
      <c r="V381">
        <v>1.7227240000000001E-2</v>
      </c>
      <c r="W381">
        <v>-2.8512269999999999E-2</v>
      </c>
      <c r="X381">
        <v>0.99944500000000003</v>
      </c>
      <c r="Y381">
        <v>4.4118169999999998E-2</v>
      </c>
      <c r="Z381">
        <v>-5.2475410000000003E-4</v>
      </c>
      <c r="AA381">
        <v>0.99902619999999998</v>
      </c>
      <c r="AB381">
        <v>40</v>
      </c>
      <c r="AC381">
        <v>50.9894999999999</v>
      </c>
      <c r="AD381">
        <v>-1.108977057118</v>
      </c>
      <c r="AE381">
        <v>-2.15359999999998</v>
      </c>
      <c r="AF381">
        <v>2.26781521579856</v>
      </c>
      <c r="AG381">
        <v>-1.108977057118</v>
      </c>
      <c r="AH381">
        <v>50.960437578045997</v>
      </c>
      <c r="AI381">
        <v>91.245414822203401</v>
      </c>
      <c r="AJ381">
        <v>87.451933812746205</v>
      </c>
      <c r="AK381">
        <v>51.022926357786801</v>
      </c>
      <c r="AL381">
        <v>91.6338541309498</v>
      </c>
      <c r="AM381">
        <v>89.012501529401803</v>
      </c>
      <c r="AN381">
        <v>1.00000001768178</v>
      </c>
    </row>
    <row r="382" spans="1:40" x14ac:dyDescent="0.25">
      <c r="A382" t="str">
        <f>"20190312151509243"</f>
        <v>20190312151509243</v>
      </c>
      <c r="B382" t="str">
        <f>"1552374909238563"</f>
        <v>1552374909238563</v>
      </c>
      <c r="C382" t="s">
        <v>40</v>
      </c>
      <c r="D382">
        <v>4.2979719999999997</v>
      </c>
      <c r="E382">
        <v>0.50980769999999997</v>
      </c>
      <c r="F382" t="s">
        <v>43</v>
      </c>
      <c r="G382">
        <v>-334.17959999999999</v>
      </c>
      <c r="H382" s="1">
        <v>-3.0869130000000002E-6</v>
      </c>
      <c r="I382">
        <v>366.19080000000002</v>
      </c>
      <c r="J382">
        <v>-385.02659999999997</v>
      </c>
      <c r="K382">
        <v>1.1089929999999999</v>
      </c>
      <c r="L382">
        <v>368.30430000000001</v>
      </c>
      <c r="M382">
        <v>0.9999536</v>
      </c>
      <c r="N382">
        <v>0</v>
      </c>
      <c r="O382">
        <v>2.4129540000000001E-3</v>
      </c>
      <c r="P382">
        <v>0.9991736</v>
      </c>
      <c r="Q382">
        <v>-3.7785480000000003E-2</v>
      </c>
      <c r="R382">
        <v>-1.497803E-2</v>
      </c>
      <c r="S382">
        <v>2.9981689999999999</v>
      </c>
      <c r="T382">
        <v>-6.5097329999999995E-2</v>
      </c>
      <c r="U382">
        <v>-0.12402340000000001</v>
      </c>
      <c r="V382">
        <v>1.7407280000000001E-2</v>
      </c>
      <c r="W382">
        <v>-2.8443019999999999E-2</v>
      </c>
      <c r="X382">
        <v>0.99944379999999999</v>
      </c>
      <c r="Y382">
        <v>4.3731069999999997E-2</v>
      </c>
      <c r="Z382">
        <v>-5.2685899999999996E-4</v>
      </c>
      <c r="AA382">
        <v>0.99904320000000002</v>
      </c>
      <c r="AB382">
        <v>40</v>
      </c>
      <c r="AC382">
        <v>50.846999999999902</v>
      </c>
      <c r="AD382">
        <v>-1.108996086913</v>
      </c>
      <c r="AE382">
        <v>-2.1134999999999802</v>
      </c>
      <c r="AF382">
        <v>2.2351292467731798</v>
      </c>
      <c r="AG382">
        <v>-1.108996086913</v>
      </c>
      <c r="AH382">
        <v>50.817619925161999</v>
      </c>
      <c r="AI382">
        <v>91.248963814066002</v>
      </c>
      <c r="AJ382">
        <v>87.4815627469996</v>
      </c>
      <c r="AK382">
        <v>50.878838134619301</v>
      </c>
      <c r="AL382">
        <v>91.629884875843004</v>
      </c>
      <c r="AM382">
        <v>89.002182168907893</v>
      </c>
      <c r="AN382">
        <v>0.99999996407107805</v>
      </c>
    </row>
    <row r="383" spans="1:40" x14ac:dyDescent="0.25">
      <c r="A383" t="str">
        <f>"20190312151509255"</f>
        <v>20190312151509255</v>
      </c>
      <c r="B383" t="str">
        <f>"1552374909248323"</f>
        <v>1552374909248323</v>
      </c>
      <c r="C383" t="s">
        <v>40</v>
      </c>
      <c r="D383">
        <v>4.3056809999999999</v>
      </c>
      <c r="E383">
        <v>0.50974579999999903</v>
      </c>
      <c r="F383" t="s">
        <v>43</v>
      </c>
      <c r="G383">
        <v>-333.4658</v>
      </c>
      <c r="H383" s="1">
        <v>-3.3948929999999999E-6</v>
      </c>
      <c r="I383">
        <v>366.18079999999998</v>
      </c>
      <c r="J383">
        <v>-384.82279999999997</v>
      </c>
      <c r="K383">
        <v>1.1090059999999999</v>
      </c>
      <c r="L383">
        <v>368.30489999999998</v>
      </c>
      <c r="M383">
        <v>0.99995319999999999</v>
      </c>
      <c r="N383">
        <v>0</v>
      </c>
      <c r="O383">
        <v>2.548125E-3</v>
      </c>
      <c r="P383">
        <v>0.99915419999999999</v>
      </c>
      <c r="Q383">
        <v>-3.8379900000000002E-2</v>
      </c>
      <c r="R383">
        <v>-1.4781860000000001E-2</v>
      </c>
      <c r="S383">
        <v>2.99823</v>
      </c>
      <c r="T383">
        <v>-6.4487459999999996E-2</v>
      </c>
      <c r="U383">
        <v>-0.1234741</v>
      </c>
      <c r="V383">
        <v>1.7346299999999999E-2</v>
      </c>
      <c r="W383">
        <v>-2.90212E-2</v>
      </c>
      <c r="X383">
        <v>0.99942830000000005</v>
      </c>
      <c r="Y383">
        <v>4.3682739999999998E-2</v>
      </c>
      <c r="Z383">
        <v>-5.2430199999999895E-4</v>
      </c>
      <c r="AA383">
        <v>0.99904530000000002</v>
      </c>
      <c r="AB383">
        <v>40</v>
      </c>
      <c r="AC383">
        <v>51.3569999999999</v>
      </c>
      <c r="AD383">
        <v>-1.109009394893</v>
      </c>
      <c r="AE383">
        <v>-2.1240999999999901</v>
      </c>
      <c r="AF383">
        <v>2.2539136399830402</v>
      </c>
      <c r="AG383">
        <v>-1.109009394893</v>
      </c>
      <c r="AH383">
        <v>51.327527078229799</v>
      </c>
      <c r="AI383">
        <v>91.236578687599007</v>
      </c>
      <c r="AJ383">
        <v>87.485621544015601</v>
      </c>
      <c r="AK383">
        <v>51.388958585486797</v>
      </c>
      <c r="AL383">
        <v>91.663025731418301</v>
      </c>
      <c r="AM383">
        <v>89.005661535766194</v>
      </c>
      <c r="AN383">
        <v>1.0000000255070001</v>
      </c>
    </row>
    <row r="384" spans="1:40" x14ac:dyDescent="0.25">
      <c r="A384" t="str">
        <f>"20190312151509266"</f>
        <v>20190312151509266</v>
      </c>
      <c r="B384" t="str">
        <f>"1552374909258084"</f>
        <v>1552374909258084</v>
      </c>
      <c r="C384" t="s">
        <v>40</v>
      </c>
      <c r="D384">
        <v>4.3288719999999996</v>
      </c>
      <c r="E384">
        <v>0.50974699999999995</v>
      </c>
      <c r="F384" t="s">
        <v>43</v>
      </c>
      <c r="G384">
        <v>-334.35019999999997</v>
      </c>
      <c r="H384" s="1">
        <v>-3.0041460000000002E-6</v>
      </c>
      <c r="I384">
        <v>366.24470000000002</v>
      </c>
      <c r="J384">
        <v>-384.60669999999999</v>
      </c>
      <c r="K384">
        <v>1.109016</v>
      </c>
      <c r="L384">
        <v>368.30560000000003</v>
      </c>
      <c r="M384">
        <v>0.99995250000000002</v>
      </c>
      <c r="N384">
        <v>0</v>
      </c>
      <c r="O384">
        <v>2.6916430000000001E-3</v>
      </c>
      <c r="P384">
        <v>0.99913580000000002</v>
      </c>
      <c r="Q384">
        <v>-3.8789089999999998E-2</v>
      </c>
      <c r="R384">
        <v>-1.4937509999999999E-2</v>
      </c>
      <c r="S384">
        <v>2.9981689999999999</v>
      </c>
      <c r="T384">
        <v>-6.5877199999999997E-2</v>
      </c>
      <c r="U384">
        <v>-0.1223755</v>
      </c>
      <c r="V384">
        <v>1.7645729999999998E-2</v>
      </c>
      <c r="W384">
        <v>-2.9414340000000001E-2</v>
      </c>
      <c r="X384">
        <v>0.99941150000000001</v>
      </c>
      <c r="Y384">
        <v>4.3461039999999999E-2</v>
      </c>
      <c r="Z384">
        <v>-5.3633089999999999E-4</v>
      </c>
      <c r="AA384">
        <v>0.99905500000000003</v>
      </c>
      <c r="AB384">
        <v>40</v>
      </c>
      <c r="AC384">
        <v>50.256500000000003</v>
      </c>
      <c r="AD384">
        <v>-1.109019004146</v>
      </c>
      <c r="AE384">
        <v>-2.0609000000000002</v>
      </c>
      <c r="AF384">
        <v>2.1951038920900201</v>
      </c>
      <c r="AG384">
        <v>-1.109019004146</v>
      </c>
      <c r="AH384">
        <v>50.226353304340101</v>
      </c>
      <c r="AI384">
        <v>91.263703461103901</v>
      </c>
      <c r="AJ384">
        <v>87.497524789077204</v>
      </c>
      <c r="AK384">
        <v>50.286528717948102</v>
      </c>
      <c r="AL384">
        <v>91.685560723737197</v>
      </c>
      <c r="AM384">
        <v>88.988483906298796</v>
      </c>
      <c r="AN384">
        <v>0.99999996075855802</v>
      </c>
    </row>
    <row r="385" spans="1:40" x14ac:dyDescent="0.25">
      <c r="A385" t="str">
        <f>"20190312151509285"</f>
        <v>20190312151509285</v>
      </c>
      <c r="B385" t="str">
        <f>"1552374909278579"</f>
        <v>1552374909278579</v>
      </c>
      <c r="C385" t="s">
        <v>40</v>
      </c>
      <c r="D385">
        <v>4.3059770000000004</v>
      </c>
      <c r="E385">
        <v>0.50968409999999997</v>
      </c>
      <c r="F385" t="s">
        <v>43</v>
      </c>
      <c r="G385">
        <v>-334.94819999999999</v>
      </c>
      <c r="H385" s="1">
        <v>-2.7431320000000001E-6</v>
      </c>
      <c r="I385">
        <v>366.27</v>
      </c>
      <c r="J385">
        <v>-384.28359999999998</v>
      </c>
      <c r="K385">
        <v>1.1090279999999999</v>
      </c>
      <c r="L385">
        <v>368.3066</v>
      </c>
      <c r="M385">
        <v>0.99995179999999995</v>
      </c>
      <c r="N385">
        <v>0</v>
      </c>
      <c r="O385">
        <v>2.9058840000000001E-3</v>
      </c>
      <c r="P385">
        <v>0.99908189999999997</v>
      </c>
      <c r="Q385">
        <v>-3.9991609999999997E-2</v>
      </c>
      <c r="R385">
        <v>-1.537118E-2</v>
      </c>
      <c r="S385">
        <v>2.9981689999999999</v>
      </c>
      <c r="T385">
        <v>-6.6957710000000004E-2</v>
      </c>
      <c r="U385">
        <v>-0.1228943</v>
      </c>
      <c r="V385">
        <v>1.8294020000000001E-2</v>
      </c>
      <c r="W385">
        <v>-3.0594509999999998E-2</v>
      </c>
      <c r="X385">
        <v>0.99936440000000004</v>
      </c>
      <c r="Y385">
        <v>4.3847150000000001E-2</v>
      </c>
      <c r="Z385">
        <v>-5.5421500000000005E-4</v>
      </c>
      <c r="AA385">
        <v>0.99903810000000004</v>
      </c>
      <c r="AB385">
        <v>40</v>
      </c>
      <c r="AC385">
        <v>49.3353999999999</v>
      </c>
      <c r="AD385">
        <v>-1.1090307431319999</v>
      </c>
      <c r="AE385">
        <v>-2.0366000000000199</v>
      </c>
      <c r="AF385">
        <v>2.1788614973037701</v>
      </c>
      <c r="AG385">
        <v>-1.1090307431319999</v>
      </c>
      <c r="AH385">
        <v>49.304400990805902</v>
      </c>
      <c r="AI385">
        <v>91.287311898693204</v>
      </c>
      <c r="AJ385">
        <v>87.469629634357403</v>
      </c>
      <c r="AK385">
        <v>49.364980944753</v>
      </c>
      <c r="AL385">
        <v>91.753209967999894</v>
      </c>
      <c r="AM385">
        <v>88.951280353489295</v>
      </c>
      <c r="AN385">
        <v>0.99999994959862903</v>
      </c>
    </row>
    <row r="386" spans="1:40" x14ac:dyDescent="0.25">
      <c r="A386" t="str">
        <f>"20190312151509308"</f>
        <v>20190312151509308</v>
      </c>
      <c r="B386" t="str">
        <f>"1552374909298100"</f>
        <v>1552374909298100</v>
      </c>
      <c r="C386" t="s">
        <v>40</v>
      </c>
      <c r="D386">
        <v>4.3041140000000002</v>
      </c>
      <c r="E386">
        <v>0.50966789999999995</v>
      </c>
      <c r="F386" t="s">
        <v>43</v>
      </c>
      <c r="G386">
        <v>-336.4171</v>
      </c>
      <c r="H386" s="1">
        <v>-2.1024509999999999E-6</v>
      </c>
      <c r="I386">
        <v>366.32929999999999</v>
      </c>
      <c r="J386">
        <v>-383.88060000000002</v>
      </c>
      <c r="K386">
        <v>1.10904</v>
      </c>
      <c r="L386">
        <v>368.30799999999999</v>
      </c>
      <c r="M386">
        <v>0.99995080000000003</v>
      </c>
      <c r="N386">
        <v>0</v>
      </c>
      <c r="O386">
        <v>3.1732179999999998E-3</v>
      </c>
      <c r="P386">
        <v>0.99903229999999998</v>
      </c>
      <c r="Q386">
        <v>-4.1108930000000002E-2</v>
      </c>
      <c r="R386">
        <v>-1.5651390000000001E-2</v>
      </c>
      <c r="S386">
        <v>2.9980769999999999</v>
      </c>
      <c r="T386">
        <v>-6.9463010000000006E-2</v>
      </c>
      <c r="U386">
        <v>-0.1238403</v>
      </c>
      <c r="V386">
        <v>1.8841839999999999E-2</v>
      </c>
      <c r="W386">
        <v>-3.1686220000000001E-2</v>
      </c>
      <c r="X386">
        <v>0.99932030000000005</v>
      </c>
      <c r="Y386">
        <v>4.4429089999999997E-2</v>
      </c>
      <c r="Z386">
        <v>-5.8788860000000005E-4</v>
      </c>
      <c r="AA386">
        <v>0.99901240000000002</v>
      </c>
      <c r="AB386">
        <v>40</v>
      </c>
      <c r="AC386">
        <v>47.463500000000003</v>
      </c>
      <c r="AD386">
        <v>-1.109042102451</v>
      </c>
      <c r="AE386">
        <v>-1.9787000000000601</v>
      </c>
      <c r="AF386">
        <v>2.1281488113490798</v>
      </c>
      <c r="AG386">
        <v>-1.109042102451</v>
      </c>
      <c r="AH386">
        <v>47.431130383687098</v>
      </c>
      <c r="AI386">
        <v>91.338109058378393</v>
      </c>
      <c r="AJ386">
        <v>87.430965300014293</v>
      </c>
      <c r="AK386">
        <v>47.491800568335798</v>
      </c>
      <c r="AL386">
        <v>91.8157905236191</v>
      </c>
      <c r="AM386">
        <v>88.919835801758893</v>
      </c>
      <c r="AN386">
        <v>1.00000004673228</v>
      </c>
    </row>
    <row r="387" spans="1:40" x14ac:dyDescent="0.25">
      <c r="A387" t="str">
        <f>"20190312151509332"</f>
        <v>20190312151509332</v>
      </c>
      <c r="B387" t="str">
        <f>"1552374909328356"</f>
        <v>1552374909328356</v>
      </c>
      <c r="C387" t="s">
        <v>40</v>
      </c>
      <c r="D387">
        <v>4.3344940000000003</v>
      </c>
      <c r="E387">
        <v>0.50938050000000001</v>
      </c>
      <c r="F387" t="s">
        <v>43</v>
      </c>
      <c r="G387">
        <v>-338.15480000000002</v>
      </c>
      <c r="H387" s="1">
        <v>-1.467581E-6</v>
      </c>
      <c r="I387">
        <v>366.4083</v>
      </c>
      <c r="J387">
        <v>-383.45819999999998</v>
      </c>
      <c r="K387">
        <v>1.109048</v>
      </c>
      <c r="L387">
        <v>368.30950000000001</v>
      </c>
      <c r="M387">
        <v>0.99994950000000005</v>
      </c>
      <c r="N387">
        <v>0</v>
      </c>
      <c r="O387">
        <v>3.4530329999999999E-3</v>
      </c>
      <c r="P387">
        <v>0.99899979999999999</v>
      </c>
      <c r="Q387">
        <v>-4.184351E-2</v>
      </c>
      <c r="R387">
        <v>-1.5772649999999999E-2</v>
      </c>
      <c r="S387">
        <v>2.9979550000000001</v>
      </c>
      <c r="T387">
        <v>-7.2712780000000005E-2</v>
      </c>
      <c r="U387">
        <v>-0.12454220000000001</v>
      </c>
      <c r="V387">
        <v>1.9243199999999999E-2</v>
      </c>
      <c r="W387">
        <v>-3.2399709999999998E-2</v>
      </c>
      <c r="X387">
        <v>0.99928980000000001</v>
      </c>
      <c r="Y387">
        <v>4.4942349999999999E-2</v>
      </c>
      <c r="Z387">
        <v>-6.2841060000000002E-4</v>
      </c>
      <c r="AA387">
        <v>0.99898940000000003</v>
      </c>
      <c r="AB387">
        <v>40</v>
      </c>
      <c r="AC387">
        <v>45.303399999999897</v>
      </c>
      <c r="AD387">
        <v>-1.1090494675810001</v>
      </c>
      <c r="AE387">
        <v>-1.90120000000001</v>
      </c>
      <c r="AF387">
        <v>2.0563995451230301</v>
      </c>
      <c r="AG387">
        <v>-1.1090494675810001</v>
      </c>
      <c r="AH387">
        <v>45.269482636764103</v>
      </c>
      <c r="AI387">
        <v>91.401953833212005</v>
      </c>
      <c r="AJ387">
        <v>87.399085084161001</v>
      </c>
      <c r="AK387">
        <v>45.329734479820303</v>
      </c>
      <c r="AL387">
        <v>91.856691442159502</v>
      </c>
      <c r="AM387">
        <v>88.8967986174559</v>
      </c>
      <c r="AN387">
        <v>1.0000000731691701</v>
      </c>
    </row>
    <row r="388" spans="1:40" x14ac:dyDescent="0.25">
      <c r="A388" t="str">
        <f>"20190312151509354"</f>
        <v>20190312151509354</v>
      </c>
      <c r="B388" t="str">
        <f>"1552374909347875"</f>
        <v>1552374909347875</v>
      </c>
      <c r="C388" t="s">
        <v>40</v>
      </c>
      <c r="D388">
        <v>4.3662789999999996</v>
      </c>
      <c r="E388">
        <v>0.49958279999999999</v>
      </c>
      <c r="F388" t="s">
        <v>43</v>
      </c>
      <c r="G388">
        <v>-339.33629999999999</v>
      </c>
      <c r="H388" s="1">
        <v>-1.0396200000000001E-6</v>
      </c>
      <c r="I388">
        <v>366.50560000000002</v>
      </c>
      <c r="J388">
        <v>-383.06400000000002</v>
      </c>
      <c r="K388">
        <v>1.109056</v>
      </c>
      <c r="L388">
        <v>368.31110000000001</v>
      </c>
      <c r="M388">
        <v>0.99994850000000002</v>
      </c>
      <c r="N388">
        <v>0</v>
      </c>
      <c r="O388">
        <v>3.7141610000000001E-3</v>
      </c>
      <c r="P388">
        <v>0.99895469999999997</v>
      </c>
      <c r="Q388">
        <v>-4.2779940000000002E-2</v>
      </c>
      <c r="R388">
        <v>-1.6105890000000001E-2</v>
      </c>
      <c r="S388">
        <v>2.997925</v>
      </c>
      <c r="T388">
        <v>-7.5355770000000002E-2</v>
      </c>
      <c r="U388">
        <v>-0.1225586</v>
      </c>
      <c r="V388">
        <v>1.9837859999999999E-2</v>
      </c>
      <c r="W388">
        <v>-3.3322480000000002E-2</v>
      </c>
      <c r="X388">
        <v>0.99924769999999896</v>
      </c>
      <c r="Y388">
        <v>4.4542760000000001E-2</v>
      </c>
      <c r="Z388">
        <v>-6.5280199999999996E-4</v>
      </c>
      <c r="AA388">
        <v>0.99900730000000004</v>
      </c>
      <c r="AB388">
        <v>40</v>
      </c>
      <c r="AC388">
        <v>43.727699999999999</v>
      </c>
      <c r="AD388">
        <v>-1.1090570396199999</v>
      </c>
      <c r="AE388">
        <v>-1.8054999999999899</v>
      </c>
      <c r="AF388">
        <v>1.9666435744026201</v>
      </c>
      <c r="AG388">
        <v>-1.1090570396199999</v>
      </c>
      <c r="AH388">
        <v>43.692633740450503</v>
      </c>
      <c r="AI388">
        <v>91.452565557521595</v>
      </c>
      <c r="AJ388">
        <v>87.422806470225694</v>
      </c>
      <c r="AK388">
        <v>43.750930706020696</v>
      </c>
      <c r="AL388">
        <v>91.9095910768105</v>
      </c>
      <c r="AM388">
        <v>88.862668024688304</v>
      </c>
      <c r="AN388">
        <v>0.99999994715900797</v>
      </c>
    </row>
    <row r="389" spans="1:40" x14ac:dyDescent="0.25">
      <c r="A389" t="str">
        <f>"20190312151509375"</f>
        <v>20190312151509375</v>
      </c>
      <c r="B389" t="str">
        <f>"1552374909368375"</f>
        <v>1552374909368375</v>
      </c>
      <c r="C389" t="s">
        <v>40</v>
      </c>
      <c r="D389">
        <v>4.7868870000000001</v>
      </c>
      <c r="E389">
        <v>0.4996871</v>
      </c>
      <c r="F389" t="s">
        <v>43</v>
      </c>
      <c r="G389">
        <v>-359.22719999999998</v>
      </c>
      <c r="H389" s="1">
        <v>-6.9092149999999998E-7</v>
      </c>
      <c r="I389">
        <v>367.9556</v>
      </c>
      <c r="J389">
        <v>-382.69009999999997</v>
      </c>
      <c r="K389">
        <v>1.109056</v>
      </c>
      <c r="L389">
        <v>368.31270000000001</v>
      </c>
      <c r="M389">
        <v>0.99994740000000004</v>
      </c>
      <c r="N389">
        <v>0</v>
      </c>
      <c r="O389">
        <v>3.9619529999999998E-3</v>
      </c>
      <c r="P389">
        <v>0.9989209</v>
      </c>
      <c r="Q389">
        <v>-4.3475130000000001E-2</v>
      </c>
      <c r="R389">
        <v>-1.6342010000000001E-2</v>
      </c>
      <c r="S389">
        <v>2.9964599999999999</v>
      </c>
      <c r="T389">
        <v>-0.13941619999999999</v>
      </c>
      <c r="U389">
        <v>-4.4677729999999999E-2</v>
      </c>
      <c r="V389">
        <v>2.0321599999999999E-2</v>
      </c>
      <c r="W389">
        <v>-3.4007679999999998E-2</v>
      </c>
      <c r="X389">
        <v>0.99921490000000002</v>
      </c>
      <c r="Y389">
        <v>1.8845420000000002E-2</v>
      </c>
      <c r="Z389">
        <v>-6.2238609999999998E-4</v>
      </c>
      <c r="AA389">
        <v>0.99982219999999999</v>
      </c>
      <c r="AB389">
        <v>40</v>
      </c>
      <c r="AC389">
        <v>23.462899999999902</v>
      </c>
      <c r="AD389">
        <v>-1.1090566909215001</v>
      </c>
      <c r="AE389">
        <v>-0.35710000000000203</v>
      </c>
      <c r="AF389">
        <v>0.44905716213948199</v>
      </c>
      <c r="AG389">
        <v>-1.1090566909215001</v>
      </c>
      <c r="AH389">
        <v>23.409010001892302</v>
      </c>
      <c r="AI389">
        <v>92.711995296090095</v>
      </c>
      <c r="AJ389">
        <v>88.901024655795297</v>
      </c>
      <c r="AK389">
        <v>23.439569286726201</v>
      </c>
      <c r="AL389">
        <v>91.948872402107199</v>
      </c>
      <c r="AM389">
        <v>88.834903860634498</v>
      </c>
      <c r="AN389">
        <v>0.99999995305377498</v>
      </c>
    </row>
    <row r="390" spans="1:40" x14ac:dyDescent="0.25">
      <c r="A390" t="str">
        <f>"20190312151509386"</f>
        <v>20190312151509386</v>
      </c>
      <c r="B390" t="str">
        <f>"1552374909378131"</f>
        <v>1552374909378131</v>
      </c>
      <c r="C390" t="s">
        <v>40</v>
      </c>
      <c r="D390">
        <v>4.3576519999999999</v>
      </c>
      <c r="E390">
        <v>0.49962859999999998</v>
      </c>
      <c r="F390" t="s">
        <v>43</v>
      </c>
      <c r="G390">
        <v>-356.9794</v>
      </c>
      <c r="H390" s="1">
        <v>-1.5798910000000001E-6</v>
      </c>
      <c r="I390">
        <v>367.91520000000003</v>
      </c>
      <c r="J390">
        <v>-382.47719999999998</v>
      </c>
      <c r="K390">
        <v>1.1090580000000001</v>
      </c>
      <c r="L390">
        <v>368.31369999999998</v>
      </c>
      <c r="M390">
        <v>0.99994680000000002</v>
      </c>
      <c r="N390">
        <v>0</v>
      </c>
      <c r="O390">
        <v>4.102896E-3</v>
      </c>
      <c r="P390">
        <v>0.99890330000000005</v>
      </c>
      <c r="Q390">
        <v>-4.3876869999999998E-2</v>
      </c>
      <c r="R390">
        <v>-1.635257E-2</v>
      </c>
      <c r="S390">
        <v>2.9968569999999999</v>
      </c>
      <c r="T390">
        <v>-0.129272</v>
      </c>
      <c r="U390">
        <v>-4.6325680000000001E-2</v>
      </c>
      <c r="V390">
        <v>2.0473229999999999E-2</v>
      </c>
      <c r="W390">
        <v>-3.4404369999999997E-2</v>
      </c>
      <c r="X390">
        <v>0.99919829999999998</v>
      </c>
      <c r="Y390">
        <v>1.9536729999999999E-2</v>
      </c>
      <c r="Z390">
        <v>-5.9804390000000002E-4</v>
      </c>
      <c r="AA390">
        <v>0.99980899999999995</v>
      </c>
      <c r="AB390">
        <v>40</v>
      </c>
      <c r="AC390">
        <v>25.497799999999899</v>
      </c>
      <c r="AD390">
        <v>-1.1090595798909999</v>
      </c>
      <c r="AE390">
        <v>-0.398499999999955</v>
      </c>
      <c r="AF390">
        <v>0.50216632240321801</v>
      </c>
      <c r="AG390">
        <v>-1.1090595798909999</v>
      </c>
      <c r="AH390">
        <v>25.447816640928</v>
      </c>
      <c r="AI390">
        <v>92.494984283419996</v>
      </c>
      <c r="AJ390">
        <v>88.869518844217694</v>
      </c>
      <c r="AK390">
        <v>25.476922026755801</v>
      </c>
      <c r="AL390">
        <v>91.971614226280707</v>
      </c>
      <c r="AM390">
        <v>88.826193402040403</v>
      </c>
      <c r="AN390">
        <v>1.0000000282723001</v>
      </c>
    </row>
    <row r="391" spans="1:40" x14ac:dyDescent="0.25">
      <c r="A391" t="str">
        <f>"20190312151509398"</f>
        <v>20190312151509398</v>
      </c>
      <c r="B391" t="str">
        <f>"1552374909387892"</f>
        <v>1552374909387892</v>
      </c>
      <c r="C391" t="s">
        <v>40</v>
      </c>
      <c r="D391">
        <v>4.3552339999999896</v>
      </c>
      <c r="E391">
        <v>0.49977939999999998</v>
      </c>
      <c r="F391" t="s">
        <v>43</v>
      </c>
      <c r="G391">
        <v>-355.44040000000001</v>
      </c>
      <c r="H391" s="1">
        <v>-2.2430369999999999E-6</v>
      </c>
      <c r="I391">
        <v>367.89870000000002</v>
      </c>
      <c r="J391">
        <v>-382.26760000000002</v>
      </c>
      <c r="K391">
        <v>1.1090580000000001</v>
      </c>
      <c r="L391">
        <v>368.31459999999998</v>
      </c>
      <c r="M391">
        <v>0.99994620000000001</v>
      </c>
      <c r="N391">
        <v>0</v>
      </c>
      <c r="O391">
        <v>4.2420499999999998E-3</v>
      </c>
      <c r="P391">
        <v>0.99889930000000005</v>
      </c>
      <c r="Q391">
        <v>-4.3920939999999999E-2</v>
      </c>
      <c r="R391">
        <v>-1.6467320000000001E-2</v>
      </c>
      <c r="S391">
        <v>2.997131</v>
      </c>
      <c r="T391">
        <v>-0.1229432</v>
      </c>
      <c r="U391">
        <v>-4.5989990000000001E-2</v>
      </c>
      <c r="V391">
        <v>2.0726979999999999E-2</v>
      </c>
      <c r="W391">
        <v>-3.4443559999999998E-2</v>
      </c>
      <c r="X391">
        <v>0.99919170000000002</v>
      </c>
      <c r="Y391">
        <v>1.9564450000000001E-2</v>
      </c>
      <c r="Z391">
        <v>-5.7501290000000005E-4</v>
      </c>
      <c r="AA391">
        <v>0.99980840000000004</v>
      </c>
      <c r="AB391">
        <v>40</v>
      </c>
      <c r="AC391">
        <v>26.827200000000001</v>
      </c>
      <c r="AD391">
        <v>-1.109060243037</v>
      </c>
      <c r="AE391">
        <v>-0.41589999999996502</v>
      </c>
      <c r="AF391">
        <v>0.52880014141932596</v>
      </c>
      <c r="AG391">
        <v>-1.109060243037</v>
      </c>
      <c r="AH391">
        <v>26.7794373448267</v>
      </c>
      <c r="AI391">
        <v>92.371066048204497</v>
      </c>
      <c r="AJ391">
        <v>88.868755946464901</v>
      </c>
      <c r="AK391">
        <v>26.807609157061101</v>
      </c>
      <c r="AL391">
        <v>91.973861015628202</v>
      </c>
      <c r="AM391">
        <v>88.811641267731005</v>
      </c>
      <c r="AN391">
        <v>1.00000000993714</v>
      </c>
    </row>
    <row r="392" spans="1:40" x14ac:dyDescent="0.25">
      <c r="A392" t="str">
        <f>"20190312151509410"</f>
        <v>20190312151509410</v>
      </c>
      <c r="B392" t="str">
        <f>"1552374909408387"</f>
        <v>1552374909408387</v>
      </c>
      <c r="C392" t="s">
        <v>40</v>
      </c>
      <c r="D392">
        <v>4.5012480000000004</v>
      </c>
      <c r="E392">
        <v>0.49977969999999999</v>
      </c>
      <c r="F392" t="s">
        <v>43</v>
      </c>
      <c r="G392">
        <v>-353.82679999999999</v>
      </c>
      <c r="H392" s="1">
        <v>-2.942041E-6</v>
      </c>
      <c r="I392">
        <v>367.8605</v>
      </c>
      <c r="J392">
        <v>-382.05290000000002</v>
      </c>
      <c r="K392">
        <v>1.1090549999999999</v>
      </c>
      <c r="L392">
        <v>368.31560000000002</v>
      </c>
      <c r="M392">
        <v>0.99994559999999999</v>
      </c>
      <c r="N392">
        <v>0</v>
      </c>
      <c r="O392">
        <v>4.3846620000000001E-3</v>
      </c>
      <c r="P392">
        <v>0.99887840000000006</v>
      </c>
      <c r="Q392">
        <v>-4.4330990000000001E-2</v>
      </c>
      <c r="R392">
        <v>-1.6635770000000001E-2</v>
      </c>
      <c r="S392">
        <v>2.9973749999999999</v>
      </c>
      <c r="T392">
        <v>-0.1168838</v>
      </c>
      <c r="U392">
        <v>-4.7851560000000001E-2</v>
      </c>
      <c r="V392">
        <v>2.103822E-2</v>
      </c>
      <c r="W392">
        <v>-3.4848940000000002E-2</v>
      </c>
      <c r="X392">
        <v>0.99917109999999998</v>
      </c>
      <c r="Y392">
        <v>2.032782E-2</v>
      </c>
      <c r="Z392">
        <v>-5.6708409999999996E-4</v>
      </c>
      <c r="AA392">
        <v>0.99979320000000005</v>
      </c>
      <c r="AB392">
        <v>40</v>
      </c>
      <c r="AC392">
        <v>28.226099999999999</v>
      </c>
      <c r="AD392">
        <v>-1.1090579420409901</v>
      </c>
      <c r="AE392">
        <v>-0.45510000000001499</v>
      </c>
      <c r="AF392">
        <v>0.57797100416233704</v>
      </c>
      <c r="AG392">
        <v>-1.1090579420409901</v>
      </c>
      <c r="AH392">
        <v>28.180338028380099</v>
      </c>
      <c r="AI392">
        <v>92.253281073524406</v>
      </c>
      <c r="AJ392">
        <v>88.825044005735904</v>
      </c>
      <c r="AK392">
        <v>28.2080752869497</v>
      </c>
      <c r="AL392">
        <v>91.997101608765902</v>
      </c>
      <c r="AM392">
        <v>88.793777034687494</v>
      </c>
      <c r="AN392">
        <v>0.99999997119755002</v>
      </c>
    </row>
    <row r="393" spans="1:40" x14ac:dyDescent="0.25">
      <c r="A393" t="str">
        <f>"20190312151509422"</f>
        <v>20190312151509422</v>
      </c>
      <c r="B393" t="str">
        <f>"1552374909418148"</f>
        <v>1552374909418148</v>
      </c>
      <c r="C393" t="s">
        <v>40</v>
      </c>
      <c r="D393">
        <v>4.3793160000000002</v>
      </c>
      <c r="E393">
        <v>0.50000299999999998</v>
      </c>
      <c r="F393" t="s">
        <v>43</v>
      </c>
      <c r="G393">
        <v>-352.00549999999998</v>
      </c>
      <c r="H393" s="1">
        <v>-3.7286830000000001E-6</v>
      </c>
      <c r="I393">
        <v>367.83069999999998</v>
      </c>
      <c r="J393">
        <v>-381.85719999999998</v>
      </c>
      <c r="K393">
        <v>1.109057</v>
      </c>
      <c r="L393">
        <v>368.31659999999999</v>
      </c>
      <c r="M393">
        <v>0.99994490000000003</v>
      </c>
      <c r="N393">
        <v>0</v>
      </c>
      <c r="O393">
        <v>4.514344E-3</v>
      </c>
      <c r="P393">
        <v>0.9988707</v>
      </c>
      <c r="Q393">
        <v>-4.4549520000000002E-2</v>
      </c>
      <c r="R393">
        <v>-1.6515640000000002E-2</v>
      </c>
      <c r="S393">
        <v>2.9976500000000001</v>
      </c>
      <c r="T393">
        <v>-0.1106439</v>
      </c>
      <c r="U393">
        <v>-4.8370360000000001E-2</v>
      </c>
      <c r="V393">
        <v>2.104781E-2</v>
      </c>
      <c r="W393">
        <v>-3.5063469999999999E-2</v>
      </c>
      <c r="X393">
        <v>0.99916340000000003</v>
      </c>
      <c r="Y393">
        <v>2.063067E-2</v>
      </c>
      <c r="Z393">
        <v>-5.4715310000000002E-4</v>
      </c>
      <c r="AA393">
        <v>0.99978699999999998</v>
      </c>
      <c r="AB393">
        <v>40</v>
      </c>
      <c r="AC393">
        <v>29.851699999999902</v>
      </c>
      <c r="AD393">
        <v>-1.1090607286830001</v>
      </c>
      <c r="AE393">
        <v>-0.48590000000001499</v>
      </c>
      <c r="AF393">
        <v>0.61980665291600201</v>
      </c>
      <c r="AG393">
        <v>-1.1090607286830001</v>
      </c>
      <c r="AH393">
        <v>29.808069086608299</v>
      </c>
      <c r="AI393">
        <v>92.130345549042403</v>
      </c>
      <c r="AJ393">
        <v>88.808806148245097</v>
      </c>
      <c r="AK393">
        <v>29.835132958626499</v>
      </c>
      <c r="AL393">
        <v>92.009400774613397</v>
      </c>
      <c r="AM393">
        <v>88.793218058958203</v>
      </c>
      <c r="AN393">
        <v>0.99999997856689804</v>
      </c>
    </row>
    <row r="394" spans="1:40" x14ac:dyDescent="0.25">
      <c r="A394" t="str">
        <f>"20190312151509432"</f>
        <v>20190312151509432</v>
      </c>
      <c r="B394" t="str">
        <f>"1552374909427908"</f>
        <v>1552374909427908</v>
      </c>
      <c r="C394" t="s">
        <v>40</v>
      </c>
      <c r="D394">
        <v>4.378152</v>
      </c>
      <c r="E394">
        <v>0.50018499999999999</v>
      </c>
      <c r="F394" t="s">
        <v>43</v>
      </c>
      <c r="G394">
        <v>-352.08519999999999</v>
      </c>
      <c r="H394" s="1">
        <v>-3.6960770000000001E-6</v>
      </c>
      <c r="I394">
        <v>367.8218</v>
      </c>
      <c r="J394">
        <v>-381.64589999999998</v>
      </c>
      <c r="K394">
        <v>1.109059</v>
      </c>
      <c r="L394">
        <v>368.31760000000003</v>
      </c>
      <c r="M394">
        <v>0.99994430000000001</v>
      </c>
      <c r="N394">
        <v>0</v>
      </c>
      <c r="O394">
        <v>4.6541000000000004E-3</v>
      </c>
      <c r="P394">
        <v>0.99886580000000003</v>
      </c>
      <c r="Q394">
        <v>-4.4581330000000002E-2</v>
      </c>
      <c r="R394">
        <v>-1.6723709999999999E-2</v>
      </c>
      <c r="S394">
        <v>2.9975890000000001</v>
      </c>
      <c r="T394">
        <v>-0.111665</v>
      </c>
      <c r="U394">
        <v>-4.9804689999999999E-2</v>
      </c>
      <c r="V394">
        <v>2.1395339999999999E-2</v>
      </c>
      <c r="W394">
        <v>-3.5090759999999999E-2</v>
      </c>
      <c r="X394">
        <v>0.99915509999999996</v>
      </c>
      <c r="Y394">
        <v>2.124815E-2</v>
      </c>
      <c r="Z394">
        <v>-5.689089E-4</v>
      </c>
      <c r="AA394">
        <v>0.9997741</v>
      </c>
      <c r="AB394">
        <v>40</v>
      </c>
      <c r="AC394">
        <v>29.560700000000001</v>
      </c>
      <c r="AD394">
        <v>-1.109062696077</v>
      </c>
      <c r="AE394">
        <v>-0.49580000000003099</v>
      </c>
      <c r="AF394">
        <v>0.63248920836208</v>
      </c>
      <c r="AG394">
        <v>-1.109062696077</v>
      </c>
      <c r="AH394">
        <v>29.516536083823901</v>
      </c>
      <c r="AI394">
        <v>92.1513421760733</v>
      </c>
      <c r="AJ394">
        <v>88.772436677132404</v>
      </c>
      <c r="AK394">
        <v>29.5441358826114</v>
      </c>
      <c r="AL394">
        <v>92.010965260091993</v>
      </c>
      <c r="AM394">
        <v>88.773288183421101</v>
      </c>
      <c r="AN394">
        <v>1.00000001793355</v>
      </c>
    </row>
    <row r="395" spans="1:40" x14ac:dyDescent="0.25">
      <c r="A395" t="str">
        <f>"20190312151509444"</f>
        <v>20190312151509444</v>
      </c>
      <c r="B395" t="str">
        <f>"1552374909438644"</f>
        <v>1552374909438644</v>
      </c>
      <c r="C395" t="s">
        <v>40</v>
      </c>
      <c r="D395">
        <v>4.2969879999999998</v>
      </c>
      <c r="E395">
        <v>0.50048530000000002</v>
      </c>
      <c r="F395" t="s">
        <v>43</v>
      </c>
      <c r="G395">
        <v>-352.30619999999999</v>
      </c>
      <c r="H395" s="1">
        <v>-3.602899E-6</v>
      </c>
      <c r="I395">
        <v>367.8125</v>
      </c>
      <c r="J395">
        <v>-381.4409</v>
      </c>
      <c r="K395">
        <v>1.109067</v>
      </c>
      <c r="L395">
        <v>368.3186</v>
      </c>
      <c r="M395">
        <v>0.99994360000000004</v>
      </c>
      <c r="N395">
        <v>0</v>
      </c>
      <c r="O395">
        <v>4.7896249999999996E-3</v>
      </c>
      <c r="P395">
        <v>0.99886169999999996</v>
      </c>
      <c r="Q395">
        <v>-4.463628E-2</v>
      </c>
      <c r="R395">
        <v>-1.6820160000000001E-2</v>
      </c>
      <c r="S395">
        <v>2.9974980000000002</v>
      </c>
      <c r="T395">
        <v>-0.11330750000000001</v>
      </c>
      <c r="U395">
        <v>-5.160522E-2</v>
      </c>
      <c r="V395">
        <v>2.162733E-2</v>
      </c>
      <c r="W395">
        <v>-3.5141560000000002E-2</v>
      </c>
      <c r="X395">
        <v>0.99914829999999999</v>
      </c>
      <c r="Y395">
        <v>2.1983369999999999E-2</v>
      </c>
      <c r="Z395">
        <v>-5.9629669999999998E-4</v>
      </c>
      <c r="AA395">
        <v>0.99975820000000004</v>
      </c>
      <c r="AB395">
        <v>40</v>
      </c>
      <c r="AC395">
        <v>29.134699999999999</v>
      </c>
      <c r="AD395">
        <v>-1.1090706028990001</v>
      </c>
      <c r="AE395">
        <v>-0.50610000000000299</v>
      </c>
      <c r="AF395">
        <v>0.64471078545564597</v>
      </c>
      <c r="AG395">
        <v>-1.1090706028990001</v>
      </c>
      <c r="AH395">
        <v>29.089800437749101</v>
      </c>
      <c r="AI395">
        <v>92.182851842863499</v>
      </c>
      <c r="AJ395">
        <v>88.730374213691107</v>
      </c>
      <c r="AK395">
        <v>29.1180730665195</v>
      </c>
      <c r="AL395">
        <v>92.013877722036895</v>
      </c>
      <c r="AM395">
        <v>88.759982622519203</v>
      </c>
      <c r="AN395">
        <v>0.99999999801752604</v>
      </c>
    </row>
    <row r="396" spans="1:40" x14ac:dyDescent="0.25">
      <c r="A396" t="str">
        <f>"20190312151509464"</f>
        <v>20190312151509464</v>
      </c>
      <c r="B396" t="str">
        <f>"1552374909458165"</f>
        <v>1552374909458165</v>
      </c>
      <c r="C396" t="s">
        <v>40</v>
      </c>
      <c r="D396">
        <v>4.574065</v>
      </c>
      <c r="E396">
        <v>0.50027840000000001</v>
      </c>
      <c r="F396" t="s">
        <v>43</v>
      </c>
      <c r="G396">
        <v>-349.74979999999999</v>
      </c>
      <c r="H396" s="1">
        <v>-5.7861890000000001E-7</v>
      </c>
      <c r="I396">
        <v>367.74340000000001</v>
      </c>
      <c r="J396">
        <v>-381.08359999999999</v>
      </c>
      <c r="K396">
        <v>1.1090719999999901</v>
      </c>
      <c r="L396">
        <v>368.32060000000001</v>
      </c>
      <c r="M396">
        <v>0.99994229999999995</v>
      </c>
      <c r="N396">
        <v>0</v>
      </c>
      <c r="O396">
        <v>5.0258689999999996E-3</v>
      </c>
      <c r="P396">
        <v>0.99886799999999998</v>
      </c>
      <c r="Q396">
        <v>-4.4379729999999999E-2</v>
      </c>
      <c r="R396">
        <v>-1.7124380000000002E-2</v>
      </c>
      <c r="S396">
        <v>2.9978030000000002</v>
      </c>
      <c r="T396">
        <v>-0.1049118</v>
      </c>
      <c r="U396">
        <v>-5.4412839999999997E-2</v>
      </c>
      <c r="V396">
        <v>2.21674E-2</v>
      </c>
      <c r="W396">
        <v>-3.4877579999999998E-2</v>
      </c>
      <c r="X396">
        <v>0.99914570000000003</v>
      </c>
      <c r="Y396">
        <v>2.3155709999999999E-2</v>
      </c>
      <c r="Z396">
        <v>-5.8085159999999995E-4</v>
      </c>
      <c r="AA396">
        <v>0.9997317</v>
      </c>
      <c r="AB396">
        <v>40</v>
      </c>
      <c r="AC396">
        <v>31.3338</v>
      </c>
      <c r="AD396">
        <v>-1.10907257861889</v>
      </c>
      <c r="AE396">
        <v>-0.57720000000000404</v>
      </c>
      <c r="AF396">
        <v>0.73376041266227998</v>
      </c>
      <c r="AG396">
        <v>-1.10907257861889</v>
      </c>
      <c r="AH396">
        <v>31.291313615954799</v>
      </c>
      <c r="AI396">
        <v>92.029353823469293</v>
      </c>
      <c r="AJ396">
        <v>88.656698402109399</v>
      </c>
      <c r="AK396">
        <v>31.319558651741499</v>
      </c>
      <c r="AL396">
        <v>91.998743531456199</v>
      </c>
      <c r="AM396">
        <v>88.729024076304498</v>
      </c>
      <c r="AN396">
        <v>0.999999984518953</v>
      </c>
    </row>
    <row r="397" spans="1:40" x14ac:dyDescent="0.25">
      <c r="A397" t="str">
        <f>"20190312151509476"</f>
        <v>20190312151509476</v>
      </c>
      <c r="B397" t="str">
        <f>"1552374909467923"</f>
        <v>1552374909467923</v>
      </c>
      <c r="C397" t="s">
        <v>40</v>
      </c>
      <c r="D397">
        <v>4.5037880000000001</v>
      </c>
      <c r="E397">
        <v>0.50008209999999997</v>
      </c>
      <c r="F397" t="s">
        <v>43</v>
      </c>
      <c r="G397">
        <v>-348.6173</v>
      </c>
      <c r="H397" s="1">
        <v>-1.015436E-6</v>
      </c>
      <c r="I397">
        <v>367.7362</v>
      </c>
      <c r="J397">
        <v>-380.87139999999999</v>
      </c>
      <c r="K397">
        <v>1.1090770000000001</v>
      </c>
      <c r="L397">
        <v>368.32170000000002</v>
      </c>
      <c r="M397">
        <v>0.99994150000000004</v>
      </c>
      <c r="N397">
        <v>0</v>
      </c>
      <c r="O397">
        <v>5.1662799999999997E-3</v>
      </c>
      <c r="P397">
        <v>0.99887999999999999</v>
      </c>
      <c r="Q397">
        <v>-4.4058220000000002E-2</v>
      </c>
      <c r="R397">
        <v>-1.7256380000000002E-2</v>
      </c>
      <c r="S397">
        <v>2.997925</v>
      </c>
      <c r="T397">
        <v>-0.1024114</v>
      </c>
      <c r="U397">
        <v>-5.3955080000000002E-2</v>
      </c>
      <c r="V397">
        <v>2.2439339999999999E-2</v>
      </c>
      <c r="W397">
        <v>-3.4551640000000002E-2</v>
      </c>
      <c r="X397">
        <v>0.99915100000000001</v>
      </c>
      <c r="Y397">
        <v>2.3143489999999999E-2</v>
      </c>
      <c r="Z397">
        <v>-5.7158000000000003E-4</v>
      </c>
      <c r="AA397">
        <v>0.99973199999999995</v>
      </c>
      <c r="AB397">
        <v>40</v>
      </c>
      <c r="AC397">
        <v>32.254099999999902</v>
      </c>
      <c r="AD397">
        <v>-1.1090780154359901</v>
      </c>
      <c r="AE397">
        <v>-0.585500000000024</v>
      </c>
      <c r="AF397">
        <v>0.75124546248534796</v>
      </c>
      <c r="AG397">
        <v>-1.1090780154359901</v>
      </c>
      <c r="AH397">
        <v>32.212569814774902</v>
      </c>
      <c r="AI397">
        <v>91.971377780467904</v>
      </c>
      <c r="AJ397">
        <v>88.664018625339395</v>
      </c>
      <c r="AK397">
        <v>32.240410634186702</v>
      </c>
      <c r="AL397">
        <v>91.980057191184002</v>
      </c>
      <c r="AM397">
        <v>88.713444328812201</v>
      </c>
      <c r="AN397">
        <v>1.00000003030366</v>
      </c>
    </row>
    <row r="398" spans="1:40" x14ac:dyDescent="0.25">
      <c r="A398" t="str">
        <f>"20190312151509488"</f>
        <v>20190312151509488</v>
      </c>
      <c r="B398" t="str">
        <f>"1552374909478659"</f>
        <v>1552374909478659</v>
      </c>
      <c r="C398" t="s">
        <v>40</v>
      </c>
      <c r="D398">
        <v>4.3323850000000004</v>
      </c>
      <c r="E398">
        <v>0.49994480000000002</v>
      </c>
      <c r="F398" t="s">
        <v>43</v>
      </c>
      <c r="G398">
        <v>-348.84989999999999</v>
      </c>
      <c r="H398" s="1">
        <v>-9.1978650000000002E-7</v>
      </c>
      <c r="I398">
        <v>367.76010000000002</v>
      </c>
      <c r="J398">
        <v>-380.65010000000001</v>
      </c>
      <c r="K398">
        <v>1.109078</v>
      </c>
      <c r="L398">
        <v>368.32299999999998</v>
      </c>
      <c r="M398">
        <v>0.99994090000000002</v>
      </c>
      <c r="N398">
        <v>0</v>
      </c>
      <c r="O398">
        <v>5.3125319999999896E-3</v>
      </c>
      <c r="P398">
        <v>0.99889380000000005</v>
      </c>
      <c r="Q398">
        <v>-4.369936E-2</v>
      </c>
      <c r="R398">
        <v>-1.7379740000000001E-2</v>
      </c>
      <c r="S398">
        <v>2.9978639999999999</v>
      </c>
      <c r="T398">
        <v>-0.10383239999999901</v>
      </c>
      <c r="U398">
        <v>-5.2581790000000003E-2</v>
      </c>
      <c r="V398">
        <v>2.2708809999999999E-2</v>
      </c>
      <c r="W398">
        <v>-3.4188259999999998E-2</v>
      </c>
      <c r="X398">
        <v>0.99915739999999997</v>
      </c>
      <c r="Y398">
        <v>2.2831890000000001E-2</v>
      </c>
      <c r="Z398">
        <v>-5.7919000000000004E-4</v>
      </c>
      <c r="AA398">
        <v>0.99973920000000005</v>
      </c>
      <c r="AB398">
        <v>40</v>
      </c>
      <c r="AC398">
        <v>31.8002</v>
      </c>
      <c r="AD398">
        <v>-1.1090789197865001</v>
      </c>
      <c r="AE398">
        <v>-0.56290000000001295</v>
      </c>
      <c r="AF398">
        <v>0.73095040990319904</v>
      </c>
      <c r="AG398">
        <v>-1.1090789197865001</v>
      </c>
      <c r="AH398">
        <v>31.7581431412823</v>
      </c>
      <c r="AI398">
        <v>91.999579206859295</v>
      </c>
      <c r="AJ398">
        <v>88.681504129533096</v>
      </c>
      <c r="AK398">
        <v>31.785908832912501</v>
      </c>
      <c r="AL398">
        <v>91.959224766077597</v>
      </c>
      <c r="AM398">
        <v>88.698007936733703</v>
      </c>
      <c r="AN398">
        <v>1.0000000185741</v>
      </c>
    </row>
    <row r="399" spans="1:40" x14ac:dyDescent="0.25">
      <c r="A399" t="str">
        <f>"20190312151509622"</f>
        <v>20190312151509622</v>
      </c>
      <c r="B399" t="str">
        <f>"1552374909618228"</f>
        <v>1552374909618228</v>
      </c>
      <c r="C399" t="s">
        <v>40</v>
      </c>
      <c r="D399">
        <v>4.4300730000000001</v>
      </c>
      <c r="E399">
        <v>0.50151679999999998</v>
      </c>
      <c r="F399" t="s">
        <v>43</v>
      </c>
      <c r="G399">
        <v>-346.96010000000001</v>
      </c>
      <c r="H399" s="1">
        <v>-1.750532E-6</v>
      </c>
      <c r="I399">
        <v>367.73860000000002</v>
      </c>
      <c r="J399">
        <v>-378.2543</v>
      </c>
      <c r="K399">
        <v>1.1091150000000001</v>
      </c>
      <c r="L399">
        <v>368.33850000000001</v>
      </c>
      <c r="M399">
        <v>0.99993069999999895</v>
      </c>
      <c r="N399">
        <v>0</v>
      </c>
      <c r="O399">
        <v>6.8948990000000003E-3</v>
      </c>
      <c r="P399">
        <v>0.99899210000000005</v>
      </c>
      <c r="Q399">
        <v>-3.9078849999999998E-2</v>
      </c>
      <c r="R399">
        <v>-2.2084960000000001E-2</v>
      </c>
      <c r="S399">
        <v>2.9981080000000002</v>
      </c>
      <c r="T399">
        <v>-9.8698380000000002E-2</v>
      </c>
      <c r="U399">
        <v>-5.2001949999999998E-2</v>
      </c>
      <c r="V399">
        <v>2.899239E-2</v>
      </c>
      <c r="W399">
        <v>-2.9518059999999999E-2</v>
      </c>
      <c r="X399">
        <v>0.99914369999999997</v>
      </c>
      <c r="Y399">
        <v>2.4219230000000001E-2</v>
      </c>
      <c r="Z399">
        <v>-6.2542870000000005E-4</v>
      </c>
      <c r="AA399">
        <v>0.9997064</v>
      </c>
      <c r="AB399">
        <v>40</v>
      </c>
      <c r="AC399">
        <v>31.294199999999901</v>
      </c>
      <c r="AD399">
        <v>-1.1091167505320001</v>
      </c>
      <c r="AE399">
        <v>-0.599899999999991</v>
      </c>
      <c r="AF399">
        <v>0.81464300819338897</v>
      </c>
      <c r="AG399">
        <v>-1.1091167505320001</v>
      </c>
      <c r="AH399">
        <v>31.250080585530601</v>
      </c>
      <c r="AI399">
        <v>92.031978499117997</v>
      </c>
      <c r="AJ399">
        <v>88.5067226533764</v>
      </c>
      <c r="AK399">
        <v>31.280366362932298</v>
      </c>
      <c r="AL399">
        <v>91.691505950819007</v>
      </c>
      <c r="AM399">
        <v>88.337901151472494</v>
      </c>
      <c r="AN399">
        <v>1.0000000038968799</v>
      </c>
    </row>
    <row r="400" spans="1:40" x14ac:dyDescent="0.25">
      <c r="A400" t="str">
        <f>"20190312151509633"</f>
        <v>20190312151509633</v>
      </c>
      <c r="B400" t="str">
        <f>"1552374909627988"</f>
        <v>1552374909627988</v>
      </c>
      <c r="C400" t="s">
        <v>40</v>
      </c>
      <c r="D400">
        <v>4.4885950000000001</v>
      </c>
      <c r="E400">
        <v>0.50177929999999904</v>
      </c>
      <c r="F400" t="s">
        <v>43</v>
      </c>
      <c r="G400">
        <v>-339.2672</v>
      </c>
      <c r="H400" s="1">
        <v>-8.4706279999999996E-7</v>
      </c>
      <c r="I400">
        <v>367.3177</v>
      </c>
      <c r="J400">
        <v>-378.03449999999998</v>
      </c>
      <c r="K400">
        <v>1.109121</v>
      </c>
      <c r="L400">
        <v>368.34010000000001</v>
      </c>
      <c r="M400">
        <v>0.99992950000000003</v>
      </c>
      <c r="N400">
        <v>0</v>
      </c>
      <c r="O400">
        <v>7.0401959999999899E-3</v>
      </c>
      <c r="P400">
        <v>0.99900829999999996</v>
      </c>
      <c r="Q400">
        <v>-3.798642E-2</v>
      </c>
      <c r="R400">
        <v>-2.3223210000000001E-2</v>
      </c>
      <c r="S400">
        <v>2.9979550000000001</v>
      </c>
      <c r="T400">
        <v>-8.5286500000000001E-2</v>
      </c>
      <c r="U400">
        <v>-7.8491210000000006E-2</v>
      </c>
      <c r="V400">
        <v>3.0275130000000001E-2</v>
      </c>
      <c r="W400">
        <v>-2.842041E-2</v>
      </c>
      <c r="X400">
        <v>0.99913750000000001</v>
      </c>
      <c r="Y400">
        <v>3.3193800000000002E-2</v>
      </c>
      <c r="Z400">
        <v>-6.7219479999999895E-4</v>
      </c>
      <c r="AA400">
        <v>0.99944869999999997</v>
      </c>
      <c r="AB400">
        <v>40</v>
      </c>
      <c r="AC400">
        <v>38.767299999999899</v>
      </c>
      <c r="AD400">
        <v>-1.1091218470627999</v>
      </c>
      <c r="AE400">
        <v>-1.0224</v>
      </c>
      <c r="AF400">
        <v>1.29425789330606</v>
      </c>
      <c r="AG400">
        <v>-1.1091218470627999</v>
      </c>
      <c r="AH400">
        <v>38.727463902523702</v>
      </c>
      <c r="AI400">
        <v>91.639539493158296</v>
      </c>
      <c r="AJ400">
        <v>88.085908074278393</v>
      </c>
      <c r="AK400">
        <v>38.764954728301902</v>
      </c>
      <c r="AL400">
        <v>91.628588797405598</v>
      </c>
      <c r="AM400">
        <v>88.264396471803096</v>
      </c>
      <c r="AN400">
        <v>1.0000000235536599</v>
      </c>
    </row>
    <row r="401" spans="1:40" x14ac:dyDescent="0.25">
      <c r="A401" t="str">
        <f>"20190312151509645"</f>
        <v>20190312151509645</v>
      </c>
      <c r="B401" t="str">
        <f>"1552374909638724"</f>
        <v>1552374909638724</v>
      </c>
      <c r="C401" t="s">
        <v>40</v>
      </c>
      <c r="D401">
        <v>4.4903659999999999</v>
      </c>
      <c r="E401">
        <v>0.50229499999999905</v>
      </c>
      <c r="F401" t="s">
        <v>43</v>
      </c>
      <c r="G401">
        <v>-339.26150000000001</v>
      </c>
      <c r="H401" s="1">
        <v>-8.6684239999999997E-7</v>
      </c>
      <c r="I401">
        <v>367.25060000000002</v>
      </c>
      <c r="J401">
        <v>-377.80329999999998</v>
      </c>
      <c r="K401">
        <v>1.1091200000000001</v>
      </c>
      <c r="L401">
        <v>368.34179999999998</v>
      </c>
      <c r="M401">
        <v>0.9999285</v>
      </c>
      <c r="N401">
        <v>0</v>
      </c>
      <c r="O401">
        <v>7.1925260000000003E-3</v>
      </c>
      <c r="P401">
        <v>0.99902219999999997</v>
      </c>
      <c r="Q401">
        <v>-3.6831559999999999E-2</v>
      </c>
      <c r="R401">
        <v>-2.4455020000000001E-2</v>
      </c>
      <c r="S401">
        <v>2.9978030000000002</v>
      </c>
      <c r="T401">
        <v>-8.5753560000000006E-2</v>
      </c>
      <c r="U401">
        <v>-8.4228520000000001E-2</v>
      </c>
      <c r="V401">
        <v>3.1658390000000002E-2</v>
      </c>
      <c r="W401">
        <v>-2.7260079999999999E-2</v>
      </c>
      <c r="X401">
        <v>0.99912690000000004</v>
      </c>
      <c r="Y401">
        <v>3.5257620000000003E-2</v>
      </c>
      <c r="Z401">
        <v>-7.0975420000000001E-4</v>
      </c>
      <c r="AA401">
        <v>0.99937799999999999</v>
      </c>
      <c r="AB401">
        <v>41</v>
      </c>
      <c r="AC401">
        <v>38.541799999999903</v>
      </c>
      <c r="AD401">
        <v>-1.1091208668424</v>
      </c>
      <c r="AE401">
        <v>-1.09119999999995</v>
      </c>
      <c r="AF401">
        <v>1.3672659661551201</v>
      </c>
      <c r="AG401">
        <v>-1.1091208668424</v>
      </c>
      <c r="AH401">
        <v>38.501096095911102</v>
      </c>
      <c r="AI401">
        <v>91.649053685477995</v>
      </c>
      <c r="AJ401">
        <v>87.966144591573595</v>
      </c>
      <c r="AK401">
        <v>38.541328024680901</v>
      </c>
      <c r="AL401">
        <v>91.562081097098996</v>
      </c>
      <c r="AM401">
        <v>88.185129991301906</v>
      </c>
      <c r="AN401">
        <v>0.99999996396130297</v>
      </c>
    </row>
    <row r="402" spans="1:40" x14ac:dyDescent="0.25">
      <c r="A402" t="str">
        <f>"20190312151509657"</f>
        <v>20190312151509657</v>
      </c>
      <c r="B402" t="str">
        <f>"1552374909648484"</f>
        <v>1552374909648484</v>
      </c>
      <c r="C402" t="s">
        <v>40</v>
      </c>
      <c r="D402">
        <v>4.485163</v>
      </c>
      <c r="E402">
        <v>0.50254469999999996</v>
      </c>
      <c r="F402" t="s">
        <v>43</v>
      </c>
      <c r="G402">
        <v>-337.74430000000001</v>
      </c>
      <c r="H402" s="1">
        <v>-1.419135E-6</v>
      </c>
      <c r="I402">
        <v>367.11540000000002</v>
      </c>
      <c r="J402">
        <v>-377.60559999999998</v>
      </c>
      <c r="K402">
        <v>1.1091249999999999</v>
      </c>
      <c r="L402">
        <v>368.34339999999997</v>
      </c>
      <c r="M402">
        <v>0.99992760000000003</v>
      </c>
      <c r="N402">
        <v>0</v>
      </c>
      <c r="O402">
        <v>7.3228640000000001E-3</v>
      </c>
      <c r="P402">
        <v>0.99904079999999995</v>
      </c>
      <c r="Q402">
        <v>-3.5446129999999999E-2</v>
      </c>
      <c r="R402">
        <v>-2.5726019999999999E-2</v>
      </c>
      <c r="S402">
        <v>2.9975890000000001</v>
      </c>
      <c r="T402">
        <v>-8.2994700000000005E-2</v>
      </c>
      <c r="U402">
        <v>-9.1766360000000005E-2</v>
      </c>
      <c r="V402">
        <v>3.3058619999999997E-2</v>
      </c>
      <c r="W402">
        <v>-2.586977E-2</v>
      </c>
      <c r="X402">
        <v>0.99911859999999997</v>
      </c>
      <c r="Y402">
        <v>3.7900679999999999E-2</v>
      </c>
      <c r="Z402">
        <v>-7.2713420000000001E-4</v>
      </c>
      <c r="AA402">
        <v>0.99928119999999998</v>
      </c>
      <c r="AB402">
        <v>41</v>
      </c>
      <c r="AC402">
        <v>39.8612999999999</v>
      </c>
      <c r="AD402">
        <v>-1.1091264191350001</v>
      </c>
      <c r="AE402">
        <v>-1.22799999999995</v>
      </c>
      <c r="AF402">
        <v>1.5187045746313801</v>
      </c>
      <c r="AG402">
        <v>-1.1091264191350001</v>
      </c>
      <c r="AH402">
        <v>39.820438054347399</v>
      </c>
      <c r="AI402">
        <v>91.594299519365507</v>
      </c>
      <c r="AJ402">
        <v>87.8158650804437</v>
      </c>
      <c r="AK402">
        <v>39.864820479198798</v>
      </c>
      <c r="AL402">
        <v>91.482393946949202</v>
      </c>
      <c r="AM402">
        <v>88.104901031747701</v>
      </c>
      <c r="AN402">
        <v>1.00000004711105</v>
      </c>
    </row>
    <row r="403" spans="1:40" x14ac:dyDescent="0.25">
      <c r="A403" t="str">
        <f>"20190312151509668"</f>
        <v>20190312151509668</v>
      </c>
      <c r="B403" t="str">
        <f>"1552374909658244"</f>
        <v>1552374909658244</v>
      </c>
      <c r="C403" t="s">
        <v>40</v>
      </c>
      <c r="D403">
        <v>4.4607970000000003</v>
      </c>
      <c r="E403">
        <v>0.5027874</v>
      </c>
      <c r="F403" t="s">
        <v>43</v>
      </c>
      <c r="G403">
        <v>-336.37020000000001</v>
      </c>
      <c r="H403" s="1">
        <v>-2.0034589999999999E-6</v>
      </c>
      <c r="I403">
        <v>367.00069999999999</v>
      </c>
      <c r="J403">
        <v>-377.38720000000001</v>
      </c>
      <c r="K403">
        <v>1.109132</v>
      </c>
      <c r="L403">
        <v>368.34500000000003</v>
      </c>
      <c r="M403">
        <v>0.99992639999999999</v>
      </c>
      <c r="N403">
        <v>0</v>
      </c>
      <c r="O403">
        <v>7.46714699999999E-3</v>
      </c>
      <c r="P403">
        <v>0.99903640000000005</v>
      </c>
      <c r="Q403">
        <v>-3.4199E-2</v>
      </c>
      <c r="R403">
        <v>-2.751137E-2</v>
      </c>
      <c r="S403">
        <v>2.997528</v>
      </c>
      <c r="T403">
        <v>-8.0625769999999999E-2</v>
      </c>
      <c r="U403">
        <v>-9.7595210000000002E-2</v>
      </c>
      <c r="V403">
        <v>3.4987450000000003E-2</v>
      </c>
      <c r="W403">
        <v>-2.461725E-2</v>
      </c>
      <c r="X403">
        <v>0.99908450000000004</v>
      </c>
      <c r="Y403">
        <v>3.9986809999999998E-2</v>
      </c>
      <c r="Z403">
        <v>-7.3830289999999904E-4</v>
      </c>
      <c r="AA403">
        <v>0.99919990000000003</v>
      </c>
      <c r="AB403">
        <v>41</v>
      </c>
      <c r="AC403">
        <v>41.017000000000003</v>
      </c>
      <c r="AD403">
        <v>-1.109134003459</v>
      </c>
      <c r="AE403">
        <v>-1.34430000000003</v>
      </c>
      <c r="AF403">
        <v>1.64935176686582</v>
      </c>
      <c r="AG403">
        <v>-1.109134003459</v>
      </c>
      <c r="AH403">
        <v>40.975888114716199</v>
      </c>
      <c r="AI403">
        <v>91.5492477654726</v>
      </c>
      <c r="AJ403">
        <v>87.694988146649294</v>
      </c>
      <c r="AK403">
        <v>41.024065452831898</v>
      </c>
      <c r="AL403">
        <v>91.410607048127204</v>
      </c>
      <c r="AM403">
        <v>87.994349474976204</v>
      </c>
      <c r="AN403">
        <v>0.99999998439765703</v>
      </c>
    </row>
    <row r="404" spans="1:40" x14ac:dyDescent="0.25">
      <c r="A404" t="str">
        <f>"20190312151509687"</f>
        <v>20190312151509687</v>
      </c>
      <c r="B404" t="str">
        <f>"1552374909678740"</f>
        <v>1552374909678740</v>
      </c>
      <c r="C404" t="s">
        <v>40</v>
      </c>
      <c r="D404">
        <v>4.4740769999999896</v>
      </c>
      <c r="E404">
        <v>0.50317879999999904</v>
      </c>
      <c r="F404" t="s">
        <v>43</v>
      </c>
      <c r="G404">
        <v>-334.96190000000001</v>
      </c>
      <c r="H404" s="1">
        <v>-2.6327440000000002E-6</v>
      </c>
      <c r="I404">
        <v>366.85899999999998</v>
      </c>
      <c r="J404">
        <v>-377.06319999999999</v>
      </c>
      <c r="K404">
        <v>1.109145</v>
      </c>
      <c r="L404">
        <v>368.3476</v>
      </c>
      <c r="M404">
        <v>0.9999247</v>
      </c>
      <c r="N404">
        <v>0</v>
      </c>
      <c r="O404">
        <v>7.6807409999999996E-3</v>
      </c>
      <c r="P404">
        <v>0.99904610000000005</v>
      </c>
      <c r="Q404">
        <v>-3.1161790000000002E-2</v>
      </c>
      <c r="R404">
        <v>-3.0592370000000001E-2</v>
      </c>
      <c r="S404">
        <v>2.9973139999999998</v>
      </c>
      <c r="T404">
        <v>-7.8359479999999995E-2</v>
      </c>
      <c r="U404">
        <v>-0.1049805</v>
      </c>
      <c r="V404">
        <v>3.8279630000000002E-2</v>
      </c>
      <c r="W404">
        <v>-2.1571630000000001E-2</v>
      </c>
      <c r="X404">
        <v>0.99903419999999998</v>
      </c>
      <c r="Y404">
        <v>4.2661560000000001E-2</v>
      </c>
      <c r="Z404">
        <v>-7.5810750000000001E-4</v>
      </c>
      <c r="AA404">
        <v>0.99908929999999996</v>
      </c>
      <c r="AB404">
        <v>41</v>
      </c>
      <c r="AC404">
        <v>42.101299999999902</v>
      </c>
      <c r="AD404">
        <v>-1.109147632744</v>
      </c>
      <c r="AE404">
        <v>-1.48859999999996</v>
      </c>
      <c r="AF404">
        <v>1.81068495080167</v>
      </c>
      <c r="AG404">
        <v>-1.109147632744</v>
      </c>
      <c r="AH404">
        <v>42.0594692146299</v>
      </c>
      <c r="AI404">
        <v>91.509196073093094</v>
      </c>
      <c r="AJ404">
        <v>87.534905051823003</v>
      </c>
      <c r="AK404">
        <v>42.1130352631899</v>
      </c>
      <c r="AL404">
        <v>91.2360592337063</v>
      </c>
      <c r="AM404">
        <v>87.805691908573195</v>
      </c>
      <c r="AN404">
        <v>0.99999999903171599</v>
      </c>
    </row>
    <row r="405" spans="1:40" x14ac:dyDescent="0.25">
      <c r="A405" t="str">
        <f>"20190312151509699"</f>
        <v>20190312151509699</v>
      </c>
      <c r="B405" t="str">
        <f>"1552374909688500"</f>
        <v>1552374909688500</v>
      </c>
      <c r="C405" t="s">
        <v>40</v>
      </c>
      <c r="D405">
        <v>4.5605789999999997</v>
      </c>
      <c r="E405">
        <v>0.5034613</v>
      </c>
      <c r="F405" t="s">
        <v>43</v>
      </c>
      <c r="G405">
        <v>-330.22160000000002</v>
      </c>
      <c r="H405" s="1">
        <v>-4.727659E-6</v>
      </c>
      <c r="I405">
        <v>366.51319999999998</v>
      </c>
      <c r="J405">
        <v>-376.84</v>
      </c>
      <c r="K405">
        <v>1.109151</v>
      </c>
      <c r="L405">
        <v>368.3494</v>
      </c>
      <c r="M405">
        <v>0.99992349999999997</v>
      </c>
      <c r="N405">
        <v>0</v>
      </c>
      <c r="O405">
        <v>7.8278250000000001E-3</v>
      </c>
      <c r="P405">
        <v>0.99904289999999996</v>
      </c>
      <c r="Q405">
        <v>-2.9938159999999998E-2</v>
      </c>
      <c r="R405">
        <v>-3.1891290000000003E-2</v>
      </c>
      <c r="S405">
        <v>2.9971009999999998</v>
      </c>
      <c r="T405">
        <v>-7.0967440000000007E-2</v>
      </c>
      <c r="U405">
        <v>-0.11737060000000001</v>
      </c>
      <c r="V405">
        <v>3.9724530000000001E-2</v>
      </c>
      <c r="W405">
        <v>-2.034273E-2</v>
      </c>
      <c r="X405">
        <v>0.99900359999999999</v>
      </c>
      <c r="Y405">
        <v>4.6937039999999999E-2</v>
      </c>
      <c r="Z405">
        <v>-7.406833E-4</v>
      </c>
      <c r="AA405">
        <v>0.99889760000000005</v>
      </c>
      <c r="AB405">
        <v>41</v>
      </c>
      <c r="AC405">
        <v>46.618399999999902</v>
      </c>
      <c r="AD405">
        <v>-1.1091557276590001</v>
      </c>
      <c r="AE405">
        <v>-1.83620000000002</v>
      </c>
      <c r="AF405">
        <v>2.1998378169995498</v>
      </c>
      <c r="AG405">
        <v>-1.1091557276590001</v>
      </c>
      <c r="AH405">
        <v>46.576272866119403</v>
      </c>
      <c r="AI405">
        <v>91.362651099206005</v>
      </c>
      <c r="AJ405">
        <v>87.2958801228136</v>
      </c>
      <c r="AK405">
        <v>46.641384059100503</v>
      </c>
      <c r="AL405">
        <v>91.165632943535101</v>
      </c>
      <c r="AM405">
        <v>87.722881649982696</v>
      </c>
      <c r="AN405">
        <v>1.00000002888026</v>
      </c>
    </row>
    <row r="406" spans="1:40" x14ac:dyDescent="0.25">
      <c r="A406" t="str">
        <f>"20190312151509711"</f>
        <v>20190312151509711</v>
      </c>
      <c r="B406" t="str">
        <f>"1552374909708020"</f>
        <v>1552374909708020</v>
      </c>
      <c r="C406" t="s">
        <v>40</v>
      </c>
      <c r="D406">
        <v>4.6935159999999998</v>
      </c>
      <c r="E406">
        <v>0.50370369999999998</v>
      </c>
      <c r="F406" t="s">
        <v>43</v>
      </c>
      <c r="G406">
        <v>-327.76679999999999</v>
      </c>
      <c r="H406" s="1">
        <v>-1.619803E-6</v>
      </c>
      <c r="I406">
        <v>366.33249999999998</v>
      </c>
      <c r="J406">
        <v>-376.61399999999998</v>
      </c>
      <c r="K406">
        <v>1.109159</v>
      </c>
      <c r="L406">
        <v>368.35129999999998</v>
      </c>
      <c r="M406">
        <v>0.99992230000000004</v>
      </c>
      <c r="N406">
        <v>0</v>
      </c>
      <c r="O406">
        <v>7.9767559999999998E-3</v>
      </c>
      <c r="P406">
        <v>0.9990327</v>
      </c>
      <c r="Q406">
        <v>-2.8520750000000001E-2</v>
      </c>
      <c r="R406">
        <v>-3.3472420000000003E-2</v>
      </c>
      <c r="S406">
        <v>2.996918</v>
      </c>
      <c r="T406">
        <v>-6.7736149999999995E-2</v>
      </c>
      <c r="U406">
        <v>-0.123168899999999</v>
      </c>
      <c r="V406">
        <v>4.1453410000000003E-2</v>
      </c>
      <c r="W406">
        <v>-1.8919890000000002E-2</v>
      </c>
      <c r="X406">
        <v>0.99896130000000005</v>
      </c>
      <c r="Y406">
        <v>4.9018430000000002E-2</v>
      </c>
      <c r="Z406">
        <v>-7.3385679999999904E-4</v>
      </c>
      <c r="AA406">
        <v>0.99879759999999995</v>
      </c>
      <c r="AB406">
        <v>41</v>
      </c>
      <c r="AC406">
        <v>48.847200000000001</v>
      </c>
      <c r="AD406">
        <v>-1.109160619803</v>
      </c>
      <c r="AE406">
        <v>-2.0188000000000001</v>
      </c>
      <c r="AF406">
        <v>2.4071568369634999</v>
      </c>
      <c r="AG406">
        <v>-1.109160619803</v>
      </c>
      <c r="AH406">
        <v>48.804421121961802</v>
      </c>
      <c r="AI406">
        <v>91.300336401844604</v>
      </c>
      <c r="AJ406">
        <v>87.1763162553341</v>
      </c>
      <c r="AK406">
        <v>48.876335402401601</v>
      </c>
      <c r="AL406">
        <v>91.084094515619597</v>
      </c>
      <c r="AM406">
        <v>87.623788261949002</v>
      </c>
      <c r="AN406">
        <v>1.0000000131679601</v>
      </c>
    </row>
    <row r="407" spans="1:40" x14ac:dyDescent="0.25">
      <c r="A407" t="str">
        <f>"20190312151509723"</f>
        <v>20190312151509723</v>
      </c>
      <c r="B407" t="str">
        <f>"1552374909717780"</f>
        <v>1552374909717780</v>
      </c>
      <c r="C407" t="s">
        <v>40</v>
      </c>
      <c r="D407">
        <v>4.5150560000000004</v>
      </c>
      <c r="E407">
        <v>0.50385079999999904</v>
      </c>
      <c r="F407" t="s">
        <v>43</v>
      </c>
      <c r="G407">
        <v>-323.51299999999998</v>
      </c>
      <c r="H407" s="1">
        <v>-3.3983659999999998E-6</v>
      </c>
      <c r="I407">
        <v>366.0471</v>
      </c>
      <c r="J407">
        <v>-376.40089999999998</v>
      </c>
      <c r="K407">
        <v>1.1091660000000001</v>
      </c>
      <c r="L407">
        <v>368.35309999999998</v>
      </c>
      <c r="M407">
        <v>0.99992110000000001</v>
      </c>
      <c r="N407">
        <v>0</v>
      </c>
      <c r="O407">
        <v>8.1172250000000005E-3</v>
      </c>
      <c r="P407">
        <v>0.99902950000000001</v>
      </c>
      <c r="Q407">
        <v>-2.6982909999999999E-2</v>
      </c>
      <c r="R407">
        <v>-3.4818439999999999E-2</v>
      </c>
      <c r="S407">
        <v>2.996826</v>
      </c>
      <c r="T407">
        <v>-6.259692E-2</v>
      </c>
      <c r="U407">
        <v>-0.1300354</v>
      </c>
      <c r="V407">
        <v>4.2938619999999997E-2</v>
      </c>
      <c r="W407">
        <v>-1.7376909999999999E-2</v>
      </c>
      <c r="X407">
        <v>0.9989266</v>
      </c>
      <c r="Y407">
        <v>5.1445820000000003E-2</v>
      </c>
      <c r="Z407">
        <v>-7.0644849999999999E-4</v>
      </c>
      <c r="AA407">
        <v>0.99867550000000005</v>
      </c>
      <c r="AB407">
        <v>41</v>
      </c>
      <c r="AC407">
        <v>52.887900000000002</v>
      </c>
      <c r="AD407">
        <v>-1.109169398366</v>
      </c>
      <c r="AE407">
        <v>-2.3059999999999801</v>
      </c>
      <c r="AF407">
        <v>2.7340465051101002</v>
      </c>
      <c r="AG407">
        <v>-1.109169398366</v>
      </c>
      <c r="AH407">
        <v>52.844239968858297</v>
      </c>
      <c r="AI407">
        <v>91.200822389879093</v>
      </c>
      <c r="AJ407">
        <v>87.038281244376606</v>
      </c>
      <c r="AK407">
        <v>52.926543103934698</v>
      </c>
      <c r="AL407">
        <v>90.995673699642197</v>
      </c>
      <c r="AM407">
        <v>87.538669856200201</v>
      </c>
      <c r="AN407">
        <v>1.0000000171381001</v>
      </c>
    </row>
    <row r="408" spans="1:40" x14ac:dyDescent="0.25">
      <c r="A408" t="str">
        <f>"20190312151509737"</f>
        <v>20190312151509737</v>
      </c>
      <c r="B408" t="str">
        <f>"1552374909728516"</f>
        <v>1552374909728516</v>
      </c>
      <c r="C408" t="s">
        <v>40</v>
      </c>
      <c r="D408">
        <v>4.5108370000000004</v>
      </c>
      <c r="E408">
        <v>0.50393849999999996</v>
      </c>
      <c r="F408" t="s">
        <v>42</v>
      </c>
      <c r="G408">
        <v>-316.17849999999999</v>
      </c>
      <c r="H408">
        <v>-0.05</v>
      </c>
      <c r="I408">
        <v>365.6386</v>
      </c>
      <c r="J408">
        <v>-376.15390000000002</v>
      </c>
      <c r="K408">
        <v>1.109175</v>
      </c>
      <c r="L408">
        <v>368.35520000000002</v>
      </c>
      <c r="M408">
        <v>0.99991980000000003</v>
      </c>
      <c r="N408">
        <v>0</v>
      </c>
      <c r="O408">
        <v>8.2801009999999998E-3</v>
      </c>
      <c r="P408">
        <v>0.99903200000000003</v>
      </c>
      <c r="Q408">
        <v>-2.5178280000000001E-2</v>
      </c>
      <c r="R408">
        <v>-3.60749E-2</v>
      </c>
      <c r="S408">
        <v>2.9966740000000001</v>
      </c>
      <c r="T408">
        <v>-5.7680250000000002E-2</v>
      </c>
      <c r="U408">
        <v>-0.13507079999999999</v>
      </c>
      <c r="V408">
        <v>4.4356630000000001E-2</v>
      </c>
      <c r="W408">
        <v>-1.5566419999999999E-2</v>
      </c>
      <c r="X408">
        <v>0.99889450000000002</v>
      </c>
      <c r="Y408">
        <v>5.3287029999999999E-2</v>
      </c>
      <c r="Z408">
        <v>-6.7182310000000003E-4</v>
      </c>
      <c r="AA408">
        <v>0.99857899999999999</v>
      </c>
      <c r="AB408">
        <v>41</v>
      </c>
      <c r="AC408">
        <v>59.9754</v>
      </c>
      <c r="AD408">
        <v>-1.1591750000000001</v>
      </c>
      <c r="AE408">
        <v>-2.7166000000000201</v>
      </c>
      <c r="AF408">
        <v>3.2119346683625598</v>
      </c>
      <c r="AG408">
        <v>-1.1591750000000001</v>
      </c>
      <c r="AH408">
        <v>59.928508449885598</v>
      </c>
      <c r="AI408">
        <v>91.106525180129097</v>
      </c>
      <c r="AJ408">
        <v>86.932104656267796</v>
      </c>
      <c r="AK408">
        <v>60.025713956790803</v>
      </c>
      <c r="AL408">
        <v>90.891926170951393</v>
      </c>
      <c r="AM408">
        <v>87.457409967183494</v>
      </c>
      <c r="AN408">
        <v>1.0000000230934101</v>
      </c>
    </row>
    <row r="409" spans="1:40" x14ac:dyDescent="0.25">
      <c r="A409" t="str">
        <f>"20190312151509756"</f>
        <v>20190312151509756</v>
      </c>
      <c r="B409" t="str">
        <f>"1552374909748036"</f>
        <v>1552374909748036</v>
      </c>
      <c r="C409" t="s">
        <v>40</v>
      </c>
      <c r="D409">
        <v>4.5066319999999997</v>
      </c>
      <c r="E409">
        <v>0.50395319999999999</v>
      </c>
      <c r="F409" t="s">
        <v>42</v>
      </c>
      <c r="G409">
        <v>-309.0086</v>
      </c>
      <c r="H409">
        <v>-0.05</v>
      </c>
      <c r="I409">
        <v>365.22120000000001</v>
      </c>
      <c r="J409">
        <v>-375.80599999999998</v>
      </c>
      <c r="K409">
        <v>1.109194</v>
      </c>
      <c r="L409">
        <v>368.35820000000001</v>
      </c>
      <c r="M409">
        <v>0.99991770000000002</v>
      </c>
      <c r="N409">
        <v>0</v>
      </c>
      <c r="O409">
        <v>8.5097260000000004E-3</v>
      </c>
      <c r="P409">
        <v>0.99902610000000003</v>
      </c>
      <c r="Q409">
        <v>-2.1479979999999999E-2</v>
      </c>
      <c r="R409">
        <v>-3.8541499999999999E-2</v>
      </c>
      <c r="S409">
        <v>2.9965519999999999</v>
      </c>
      <c r="T409">
        <v>-5.1731470000000002E-2</v>
      </c>
      <c r="U409">
        <v>-0.13986209999999999</v>
      </c>
      <c r="V409">
        <v>4.7049830000000001E-2</v>
      </c>
      <c r="W409">
        <v>-1.185959E-2</v>
      </c>
      <c r="X409">
        <v>0.99882219999999999</v>
      </c>
      <c r="Y409">
        <v>5.5113299999999997E-2</v>
      </c>
      <c r="Z409">
        <v>-6.2226570000000001E-4</v>
      </c>
      <c r="AA409">
        <v>0.99847989999999998</v>
      </c>
      <c r="AB409">
        <v>41</v>
      </c>
      <c r="AC409">
        <v>66.797399999999897</v>
      </c>
      <c r="AD409">
        <v>-1.1591940000000001</v>
      </c>
      <c r="AE409">
        <v>-3.137</v>
      </c>
      <c r="AF409">
        <v>3.7042270759893099</v>
      </c>
      <c r="AG409">
        <v>-1.1591940000000001</v>
      </c>
      <c r="AH409">
        <v>66.748227444147403</v>
      </c>
      <c r="AI409">
        <v>90.9934082592317</v>
      </c>
      <c r="AJ409">
        <v>86.823599532336303</v>
      </c>
      <c r="AK409">
        <v>66.860981864580495</v>
      </c>
      <c r="AL409">
        <v>90.679520341473307</v>
      </c>
      <c r="AM409">
        <v>87.303058086410502</v>
      </c>
      <c r="AN409">
        <v>1.0000000617954099</v>
      </c>
    </row>
    <row r="410" spans="1:40" x14ac:dyDescent="0.25">
      <c r="A410" t="str">
        <f>"20190312151509778"</f>
        <v>20190312151509778</v>
      </c>
      <c r="B410" t="str">
        <f>"1552374909768535"</f>
        <v>1552374909768535</v>
      </c>
      <c r="C410" t="s">
        <v>40</v>
      </c>
      <c r="D410">
        <v>4.466882</v>
      </c>
      <c r="E410">
        <v>0.50411539999999999</v>
      </c>
      <c r="F410" t="s">
        <v>42</v>
      </c>
      <c r="G410">
        <v>-299.83139999999997</v>
      </c>
      <c r="H410">
        <v>-0.05</v>
      </c>
      <c r="I410">
        <v>364.6223</v>
      </c>
      <c r="J410">
        <v>-375.41590000000002</v>
      </c>
      <c r="K410">
        <v>1.1092029999999999</v>
      </c>
      <c r="L410">
        <v>368.36180000000002</v>
      </c>
      <c r="M410">
        <v>0.99991549999999996</v>
      </c>
      <c r="N410">
        <v>0</v>
      </c>
      <c r="O410">
        <v>8.766467E-3</v>
      </c>
      <c r="P410">
        <v>0.9990135</v>
      </c>
      <c r="Q410">
        <v>-1.846708E-2</v>
      </c>
      <c r="R410">
        <v>-4.0389229999999998E-2</v>
      </c>
      <c r="S410">
        <v>2.9962770000000001</v>
      </c>
      <c r="T410">
        <v>-4.571617E-2</v>
      </c>
      <c r="U410">
        <v>-0.14733889999999999</v>
      </c>
      <c r="V410">
        <v>4.9151979999999998E-2</v>
      </c>
      <c r="W410">
        <v>-8.8376619999999996E-3</v>
      </c>
      <c r="X410">
        <v>0.99875219999999998</v>
      </c>
      <c r="Y410">
        <v>5.7861320000000001E-2</v>
      </c>
      <c r="Z410">
        <v>-5.7480119999999996E-4</v>
      </c>
      <c r="AA410">
        <v>0.99832449999999995</v>
      </c>
      <c r="AB410">
        <v>41</v>
      </c>
      <c r="AC410">
        <v>75.584500000000006</v>
      </c>
      <c r="AD410">
        <v>-1.159203</v>
      </c>
      <c r="AE410">
        <v>-3.73950000000002</v>
      </c>
      <c r="AF410">
        <v>4.4009632284761198</v>
      </c>
      <c r="AG410">
        <v>-1.159203</v>
      </c>
      <c r="AH410">
        <v>75.531089397324294</v>
      </c>
      <c r="AI410">
        <v>90.877781508093307</v>
      </c>
      <c r="AJ410">
        <v>86.665322310730105</v>
      </c>
      <c r="AK410">
        <v>75.668075794751104</v>
      </c>
      <c r="AL410">
        <v>90.506367330549807</v>
      </c>
      <c r="AM410">
        <v>87.182553656696996</v>
      </c>
      <c r="AN410">
        <v>0.99999998920619304</v>
      </c>
    </row>
    <row r="411" spans="1:40" x14ac:dyDescent="0.25">
      <c r="A411" t="str">
        <f>"20190312151509790"</f>
        <v>20190312151509790</v>
      </c>
      <c r="B411" t="str">
        <f>"1552374909778292"</f>
        <v>1552374909778292</v>
      </c>
      <c r="C411" t="s">
        <v>40</v>
      </c>
      <c r="D411">
        <v>4.7032749999999997</v>
      </c>
      <c r="E411">
        <v>0.50413009999999903</v>
      </c>
      <c r="F411" t="s">
        <v>42</v>
      </c>
      <c r="G411">
        <v>-281.46589999999998</v>
      </c>
      <c r="H411">
        <v>-0.05</v>
      </c>
      <c r="I411">
        <v>363.53</v>
      </c>
      <c r="J411">
        <v>-375.18329999999997</v>
      </c>
      <c r="K411">
        <v>1.1092070000000001</v>
      </c>
      <c r="L411">
        <v>368.3639</v>
      </c>
      <c r="M411">
        <v>0.99991399999999997</v>
      </c>
      <c r="N411">
        <v>0</v>
      </c>
      <c r="O411">
        <v>8.9196889999999997E-3</v>
      </c>
      <c r="P411">
        <v>0.99899859999999896</v>
      </c>
      <c r="Q411">
        <v>-1.7193699999999999E-2</v>
      </c>
      <c r="R411">
        <v>-4.13064E-2</v>
      </c>
      <c r="S411">
        <v>2.9960629999999999</v>
      </c>
      <c r="T411">
        <v>-3.696692E-2</v>
      </c>
      <c r="U411">
        <v>-0.15408329999999901</v>
      </c>
      <c r="V411">
        <v>5.0221000000000002E-2</v>
      </c>
      <c r="W411">
        <v>-7.5590479999999996E-3</v>
      </c>
      <c r="X411">
        <v>0.99870950000000003</v>
      </c>
      <c r="Y411">
        <v>6.0261729999999999E-2</v>
      </c>
      <c r="Z411">
        <v>-4.8149899999999998E-4</v>
      </c>
      <c r="AA411">
        <v>0.99818249999999997</v>
      </c>
      <c r="AB411">
        <v>41</v>
      </c>
      <c r="AC411">
        <v>93.717399999999998</v>
      </c>
      <c r="AD411">
        <v>-1.1592069999999901</v>
      </c>
      <c r="AE411">
        <v>-4.8339000000000203</v>
      </c>
      <c r="AF411">
        <v>5.6688113745498203</v>
      </c>
      <c r="AG411">
        <v>-1.1592069999999901</v>
      </c>
      <c r="AH411">
        <v>93.656261525018095</v>
      </c>
      <c r="AI411">
        <v>90.707832701863794</v>
      </c>
      <c r="AJ411">
        <v>86.536235972537099</v>
      </c>
      <c r="AK411">
        <v>93.834825657170896</v>
      </c>
      <c r="AL411">
        <v>90.433105682239301</v>
      </c>
      <c r="AM411">
        <v>87.121255339982298</v>
      </c>
      <c r="AN411">
        <v>0.99999997671895702</v>
      </c>
    </row>
    <row r="412" spans="1:40" x14ac:dyDescent="0.25">
      <c r="A412" t="str">
        <f>"20190312151509803"</f>
        <v>20190312151509803</v>
      </c>
      <c r="B412" t="str">
        <f>"1552374909797812"</f>
        <v>1552374909797812</v>
      </c>
      <c r="C412" t="s">
        <v>40</v>
      </c>
      <c r="D412">
        <v>4.4200780000000002</v>
      </c>
      <c r="E412">
        <v>0.50415069999999995</v>
      </c>
      <c r="F412" t="s">
        <v>43</v>
      </c>
      <c r="G412">
        <v>-276.82</v>
      </c>
      <c r="H412" s="1">
        <v>-2.7715020000000001E-6</v>
      </c>
      <c r="I412">
        <v>363.21480000000003</v>
      </c>
      <c r="J412">
        <v>-374.94810000000001</v>
      </c>
      <c r="K412">
        <v>1.1092109999999999</v>
      </c>
      <c r="L412">
        <v>368.36610000000002</v>
      </c>
      <c r="M412">
        <v>0.99991269999999999</v>
      </c>
      <c r="N412">
        <v>0</v>
      </c>
      <c r="O412">
        <v>9.0744020000000005E-3</v>
      </c>
      <c r="P412">
        <v>0.99899320000000003</v>
      </c>
      <c r="Q412">
        <v>-1.5830500000000001E-2</v>
      </c>
      <c r="R412">
        <v>-4.1980620000000003E-2</v>
      </c>
      <c r="S412">
        <v>2.9959720000000001</v>
      </c>
      <c r="T412">
        <v>-3.3784509999999997E-2</v>
      </c>
      <c r="U412">
        <v>-0.15682979999999899</v>
      </c>
      <c r="V412">
        <v>5.1048820000000002E-2</v>
      </c>
      <c r="W412">
        <v>-6.1906549999999998E-3</v>
      </c>
      <c r="X412">
        <v>0.99867700000000004</v>
      </c>
      <c r="Y412">
        <v>6.1331120000000003E-2</v>
      </c>
      <c r="Z412">
        <v>-4.4782239999999998E-4</v>
      </c>
      <c r="AA412">
        <v>0.99811740000000004</v>
      </c>
      <c r="AB412">
        <v>41</v>
      </c>
      <c r="AC412">
        <v>98.128100000000003</v>
      </c>
      <c r="AD412">
        <v>-1.1092137715019901</v>
      </c>
      <c r="AE412">
        <v>-5.1512999999999902</v>
      </c>
      <c r="AF412">
        <v>6.0408130458137599</v>
      </c>
      <c r="AG412">
        <v>-1.1092137715019901</v>
      </c>
      <c r="AH412">
        <v>98.064816519031297</v>
      </c>
      <c r="AI412">
        <v>90.646820522375194</v>
      </c>
      <c r="AJ412">
        <v>86.475022200523199</v>
      </c>
      <c r="AK412">
        <v>98.256959124311607</v>
      </c>
      <c r="AL412">
        <v>90.3547006595185</v>
      </c>
      <c r="AM412">
        <v>87.073790169009001</v>
      </c>
      <c r="AN412">
        <v>1.0000000282808601</v>
      </c>
    </row>
    <row r="413" spans="1:40" x14ac:dyDescent="0.25">
      <c r="A413" t="str">
        <f>"20190312151509815"</f>
        <v>20190312151509815</v>
      </c>
      <c r="B413" t="str">
        <f>"1552374909808548"</f>
        <v>1552374909808548</v>
      </c>
      <c r="C413" t="s">
        <v>40</v>
      </c>
      <c r="D413">
        <v>4.4910489999999896</v>
      </c>
      <c r="E413">
        <v>0.5042025</v>
      </c>
      <c r="F413" t="s">
        <v>43</v>
      </c>
      <c r="G413">
        <v>-262.77100000000002</v>
      </c>
      <c r="H413" s="1">
        <v>-4.365019E-6</v>
      </c>
      <c r="I413">
        <v>362.40440000000001</v>
      </c>
      <c r="J413">
        <v>-374.72190000000001</v>
      </c>
      <c r="K413">
        <v>1.10921</v>
      </c>
      <c r="L413">
        <v>368.36829999999998</v>
      </c>
      <c r="M413">
        <v>0.99991110000000005</v>
      </c>
      <c r="N413">
        <v>0</v>
      </c>
      <c r="O413">
        <v>9.2233929999999999E-3</v>
      </c>
      <c r="P413">
        <v>0.99899210000000005</v>
      </c>
      <c r="Q413">
        <v>-1.478119E-2</v>
      </c>
      <c r="R413">
        <v>-4.2379750000000001E-2</v>
      </c>
      <c r="S413">
        <v>2.9957889999999998</v>
      </c>
      <c r="T413">
        <v>-2.9622550000000001E-2</v>
      </c>
      <c r="U413">
        <v>-0.1592102</v>
      </c>
      <c r="V413">
        <v>5.1596110000000001E-2</v>
      </c>
      <c r="W413">
        <v>-5.1364649999999998E-3</v>
      </c>
      <c r="X413">
        <v>0.99865479999999995</v>
      </c>
      <c r="Y413">
        <v>6.2274870000000003E-2</v>
      </c>
      <c r="Z413">
        <v>-3.9880820000000002E-4</v>
      </c>
      <c r="AA413">
        <v>0.99805900000000003</v>
      </c>
      <c r="AB413">
        <v>41</v>
      </c>
      <c r="AC413">
        <v>111.9509</v>
      </c>
      <c r="AD413">
        <v>-1.1092143650190001</v>
      </c>
      <c r="AE413">
        <v>-5.9638999999999598</v>
      </c>
      <c r="AF413">
        <v>6.9955765072489902</v>
      </c>
      <c r="AG413">
        <v>-1.1092143650190001</v>
      </c>
      <c r="AH413">
        <v>111.880175507608</v>
      </c>
      <c r="AI413">
        <v>90.566922228120106</v>
      </c>
      <c r="AJ413">
        <v>86.422101821067201</v>
      </c>
      <c r="AK413">
        <v>112.10415745541999</v>
      </c>
      <c r="AL413">
        <v>90.294299067372805</v>
      </c>
      <c r="AM413">
        <v>87.042408298544501</v>
      </c>
      <c r="AN413">
        <v>0.99999997570143295</v>
      </c>
    </row>
    <row r="414" spans="1:40" x14ac:dyDescent="0.25">
      <c r="A414" t="str">
        <f>"20190312151509832"</f>
        <v>20190312151509832</v>
      </c>
      <c r="B414" t="str">
        <f>"1552374909828069"</f>
        <v>1552374909828069</v>
      </c>
      <c r="C414" t="s">
        <v>40</v>
      </c>
      <c r="D414">
        <v>4.5339749999999999</v>
      </c>
      <c r="E414">
        <v>0.50428170000000005</v>
      </c>
      <c r="F414" t="s">
        <v>43</v>
      </c>
      <c r="G414">
        <v>-244.47649999999999</v>
      </c>
      <c r="H414" s="1">
        <v>-4.2942950000000002E-6</v>
      </c>
      <c r="I414">
        <v>361.3895</v>
      </c>
      <c r="J414">
        <v>-374.3965</v>
      </c>
      <c r="K414">
        <v>1.109218</v>
      </c>
      <c r="L414">
        <v>368.37150000000003</v>
      </c>
      <c r="M414">
        <v>0.99990900000000005</v>
      </c>
      <c r="N414">
        <v>0</v>
      </c>
      <c r="O414">
        <v>9.4378210000000008E-3</v>
      </c>
      <c r="P414">
        <v>0.99897930000000001</v>
      </c>
      <c r="Q414">
        <v>-1.302033E-2</v>
      </c>
      <c r="R414">
        <v>-4.3252119999999998E-2</v>
      </c>
      <c r="S414">
        <v>2.9958499999999999</v>
      </c>
      <c r="T414">
        <v>-2.5513649999999999E-2</v>
      </c>
      <c r="U414">
        <v>-0.16052249999999901</v>
      </c>
      <c r="V414">
        <v>5.268105E-2</v>
      </c>
      <c r="W414">
        <v>-3.3685540000000002E-3</v>
      </c>
      <c r="X414">
        <v>0.99860570000000004</v>
      </c>
      <c r="Y414">
        <v>6.2924599999999997E-2</v>
      </c>
      <c r="Z414">
        <v>-3.4807099999999998E-4</v>
      </c>
      <c r="AA414">
        <v>0.99801819999999997</v>
      </c>
      <c r="AB414">
        <v>41</v>
      </c>
      <c r="AC414">
        <v>129.91999999999999</v>
      </c>
      <c r="AD414">
        <v>-1.1092222942950001</v>
      </c>
      <c r="AE414">
        <v>-6.9820000000000197</v>
      </c>
      <c r="AF414">
        <v>8.2073111557216798</v>
      </c>
      <c r="AG414">
        <v>-1.1092222942950001</v>
      </c>
      <c r="AH414">
        <v>129.83887818235499</v>
      </c>
      <c r="AI414">
        <v>90.488494883689796</v>
      </c>
      <c r="AJ414">
        <v>86.383059706820305</v>
      </c>
      <c r="AK414">
        <v>130.10274638975699</v>
      </c>
      <c r="AL414">
        <v>90.193004293790494</v>
      </c>
      <c r="AM414">
        <v>86.980183097012798</v>
      </c>
      <c r="AN414">
        <v>0.99999999212882096</v>
      </c>
    </row>
    <row r="415" spans="1:40" x14ac:dyDescent="0.25">
      <c r="A415" t="str">
        <f>"20190312151509844"</f>
        <v>20190312151509844</v>
      </c>
      <c r="B415" t="str">
        <f>"1552374909837828"</f>
        <v>1552374909837828</v>
      </c>
      <c r="C415" t="s">
        <v>40</v>
      </c>
      <c r="D415">
        <v>4.4661210000000002</v>
      </c>
      <c r="E415">
        <v>0.50434709999999905</v>
      </c>
      <c r="F415" t="s">
        <v>43</v>
      </c>
      <c r="G415">
        <v>-214.53649999999999</v>
      </c>
      <c r="H415">
        <v>3.8877479999999999E-2</v>
      </c>
      <c r="I415">
        <v>359.61649999999997</v>
      </c>
      <c r="J415">
        <v>-374.18040000000002</v>
      </c>
      <c r="K415">
        <v>1.109221</v>
      </c>
      <c r="L415">
        <v>368.37360000000001</v>
      </c>
      <c r="M415">
        <v>0.99990780000000001</v>
      </c>
      <c r="N415">
        <v>0</v>
      </c>
      <c r="O415">
        <v>9.5797799999999995E-3</v>
      </c>
      <c r="P415">
        <v>0.99898799999999999</v>
      </c>
      <c r="Q415">
        <v>-1.162552E-2</v>
      </c>
      <c r="R415">
        <v>-4.3448540000000001E-2</v>
      </c>
      <c r="S415">
        <v>2.9956670000000001</v>
      </c>
      <c r="T415">
        <v>-2.0057439999999999E-2</v>
      </c>
      <c r="U415">
        <v>-0.1640625</v>
      </c>
      <c r="V415">
        <v>5.3018540000000003E-2</v>
      </c>
      <c r="W415">
        <v>-1.9691510000000001E-3</v>
      </c>
      <c r="X415">
        <v>0.99859160000000002</v>
      </c>
      <c r="Y415">
        <v>6.4246380000000006E-2</v>
      </c>
      <c r="Z415">
        <v>-2.7901580000000003E-4</v>
      </c>
      <c r="AA415">
        <v>0.99793399999999999</v>
      </c>
      <c r="AB415">
        <v>41</v>
      </c>
      <c r="AC415">
        <v>159.6439</v>
      </c>
      <c r="AD415">
        <v>-1.07034352</v>
      </c>
      <c r="AE415">
        <v>-8.7571000000000296</v>
      </c>
      <c r="AF415">
        <v>10.2856614273094</v>
      </c>
      <c r="AG415">
        <v>-1.07034352</v>
      </c>
      <c r="AH415">
        <v>159.545528486829</v>
      </c>
      <c r="AI415">
        <v>90.383578323714701</v>
      </c>
      <c r="AJ415">
        <v>86.311331465295197</v>
      </c>
      <c r="AK415">
        <v>159.880318133251</v>
      </c>
      <c r="AL415">
        <v>90.112824112929701</v>
      </c>
      <c r="AM415">
        <v>86.960830598573494</v>
      </c>
      <c r="AN415">
        <v>1.00000001336497</v>
      </c>
    </row>
    <row r="416" spans="1:40" x14ac:dyDescent="0.25">
      <c r="A416" t="str">
        <f>"20190312151509856"</f>
        <v>20190312151509856</v>
      </c>
      <c r="B416" t="str">
        <f>"1552374909848565"</f>
        <v>1552374909848565</v>
      </c>
      <c r="C416" t="s">
        <v>40</v>
      </c>
      <c r="D416">
        <v>4.4664760000000001</v>
      </c>
      <c r="E416">
        <v>0.50436599999999998</v>
      </c>
      <c r="F416" t="s">
        <v>45</v>
      </c>
      <c r="G416">
        <v>-180</v>
      </c>
      <c r="H416">
        <v>4.3187999999999997E-2</v>
      </c>
      <c r="I416">
        <v>357.67970000000003</v>
      </c>
      <c r="J416">
        <v>-373.97449999999998</v>
      </c>
      <c r="K416">
        <v>1.109224</v>
      </c>
      <c r="L416">
        <v>368.37560000000002</v>
      </c>
      <c r="M416">
        <v>0.99990650000000003</v>
      </c>
      <c r="N416">
        <v>0</v>
      </c>
      <c r="O416">
        <v>9.7153020000000003E-3</v>
      </c>
      <c r="P416">
        <v>0.99899230000000006</v>
      </c>
      <c r="Q416">
        <v>-1.069704E-2</v>
      </c>
      <c r="R416">
        <v>-4.3591949999999997E-2</v>
      </c>
      <c r="S416">
        <v>2.9956969999999998</v>
      </c>
      <c r="T416">
        <v>-1.644611E-2</v>
      </c>
      <c r="U416">
        <v>-0.16497800000000001</v>
      </c>
      <c r="V416">
        <v>5.3296570000000001E-2</v>
      </c>
      <c r="W416">
        <v>-1.03633E-3</v>
      </c>
      <c r="X416">
        <v>0.99857819999999997</v>
      </c>
      <c r="Y416">
        <v>6.4685670000000001E-2</v>
      </c>
      <c r="Z416">
        <v>-2.3072429999999999E-4</v>
      </c>
      <c r="AA416">
        <v>0.99790570000000001</v>
      </c>
      <c r="AB416">
        <v>41</v>
      </c>
      <c r="AC416">
        <v>193.97450000000001</v>
      </c>
      <c r="AD416">
        <v>-1.066036</v>
      </c>
      <c r="AE416">
        <v>-10.6958999999999</v>
      </c>
      <c r="AF416">
        <v>12.579624480480801</v>
      </c>
      <c r="AG416">
        <v>-1.066036</v>
      </c>
      <c r="AH416">
        <v>193.85558855018601</v>
      </c>
      <c r="AI416">
        <v>90.314412167944099</v>
      </c>
      <c r="AJ416">
        <v>86.287183394039204</v>
      </c>
      <c r="AK416">
        <v>194.26624152683399</v>
      </c>
      <c r="AL416">
        <v>90.059377345221193</v>
      </c>
      <c r="AM416">
        <v>86.944882343715406</v>
      </c>
      <c r="AN416">
        <v>1.0000000099344299</v>
      </c>
    </row>
    <row r="417" spans="1:40" x14ac:dyDescent="0.25">
      <c r="A417" t="str">
        <f>"20190312151509868"</f>
        <v>20190312151509868</v>
      </c>
      <c r="B417" t="str">
        <f>"1552374909858323"</f>
        <v>1552374909858323</v>
      </c>
      <c r="C417" t="s">
        <v>40</v>
      </c>
      <c r="D417">
        <v>4.5184170000000003</v>
      </c>
      <c r="E417">
        <v>0.5043858</v>
      </c>
      <c r="F417" t="s">
        <v>44</v>
      </c>
      <c r="G417">
        <v>-158.19499999999999</v>
      </c>
      <c r="H417">
        <v>0.12187000000000001</v>
      </c>
      <c r="I417">
        <v>356.45479999999998</v>
      </c>
      <c r="J417">
        <v>-373.75670000000002</v>
      </c>
      <c r="K417">
        <v>1.1092229999999901</v>
      </c>
      <c r="L417">
        <v>368.37790000000001</v>
      </c>
      <c r="M417">
        <v>0.99990489999999999</v>
      </c>
      <c r="N417">
        <v>0</v>
      </c>
      <c r="O417">
        <v>9.8586909999999993E-3</v>
      </c>
      <c r="P417">
        <v>0.99900270000000002</v>
      </c>
      <c r="Q417">
        <v>-9.9995659999999997E-3</v>
      </c>
      <c r="R417">
        <v>-4.351849E-2</v>
      </c>
      <c r="S417">
        <v>2.9956670000000001</v>
      </c>
      <c r="T417">
        <v>-1.370621E-2</v>
      </c>
      <c r="U417">
        <v>-0.165496799999999</v>
      </c>
      <c r="V417">
        <v>5.3365740000000002E-2</v>
      </c>
      <c r="W417">
        <v>-3.3432600000000002E-4</v>
      </c>
      <c r="X417">
        <v>0.99857499999999999</v>
      </c>
      <c r="Y417">
        <v>6.5001970000000006E-2</v>
      </c>
      <c r="Z417">
        <v>-1.9366610000000001E-4</v>
      </c>
      <c r="AA417">
        <v>0.99788509999999997</v>
      </c>
      <c r="AB417">
        <v>41</v>
      </c>
      <c r="AC417">
        <v>215.5617</v>
      </c>
      <c r="AD417">
        <v>-0.98735299999999904</v>
      </c>
      <c r="AE417">
        <v>-11.9231</v>
      </c>
      <c r="AF417">
        <v>14.0474817070761</v>
      </c>
      <c r="AG417">
        <v>-0.98735299999999904</v>
      </c>
      <c r="AH417">
        <v>215.42916563795299</v>
      </c>
      <c r="AI417">
        <v>90.262039169105407</v>
      </c>
      <c r="AJ417">
        <v>86.269197948838894</v>
      </c>
      <c r="AK417">
        <v>215.888934444825</v>
      </c>
      <c r="AL417">
        <v>90.019155468711105</v>
      </c>
      <c r="AM417">
        <v>86.940915055485107</v>
      </c>
      <c r="AN417">
        <v>1.00000002230231</v>
      </c>
    </row>
    <row r="418" spans="1:40" x14ac:dyDescent="0.25">
      <c r="A418" t="str">
        <f>"20190312151509879"</f>
        <v>20190312151509879</v>
      </c>
      <c r="B418" t="str">
        <f>"1552374909868085"</f>
        <v>1552374909868085</v>
      </c>
      <c r="C418" t="s">
        <v>40</v>
      </c>
      <c r="D418">
        <v>4.526694</v>
      </c>
      <c r="E418">
        <v>0.50434469999999998</v>
      </c>
      <c r="F418" t="s">
        <v>44</v>
      </c>
      <c r="G418">
        <v>-158.19499999999999</v>
      </c>
      <c r="H418">
        <v>0.19596769999999999</v>
      </c>
      <c r="I418">
        <v>356.45359999999999</v>
      </c>
      <c r="J418">
        <v>-373.54860000000002</v>
      </c>
      <c r="K418">
        <v>1.109226</v>
      </c>
      <c r="L418">
        <v>368.38</v>
      </c>
      <c r="M418">
        <v>0.9999036</v>
      </c>
      <c r="N418">
        <v>0</v>
      </c>
      <c r="O418">
        <v>9.9955830000000006E-3</v>
      </c>
      <c r="P418">
        <v>0.99900639999999996</v>
      </c>
      <c r="Q418">
        <v>-9.4823149999999998E-3</v>
      </c>
      <c r="R418">
        <v>-4.354765E-2</v>
      </c>
      <c r="S418">
        <v>2.9956360000000002</v>
      </c>
      <c r="T418">
        <v>-1.269019E-2</v>
      </c>
      <c r="U418">
        <v>-0.16571040000000001</v>
      </c>
      <c r="V418">
        <v>5.3531540000000002E-2</v>
      </c>
      <c r="W418">
        <v>1.8769899999999999E-4</v>
      </c>
      <c r="X418">
        <v>0.99856619999999996</v>
      </c>
      <c r="Y418">
        <v>6.5210219999999999E-2</v>
      </c>
      <c r="Z418">
        <v>-1.8033179999999999E-4</v>
      </c>
      <c r="AA418">
        <v>0.99787150000000002</v>
      </c>
      <c r="AB418">
        <v>41</v>
      </c>
      <c r="AC418">
        <v>215.3536</v>
      </c>
      <c r="AD418">
        <v>-0.91325829999999997</v>
      </c>
      <c r="AE418">
        <v>-11.926399999999999</v>
      </c>
      <c r="AF418">
        <v>14.0782364846074</v>
      </c>
      <c r="AG418">
        <v>-0.91325829999999997</v>
      </c>
      <c r="AH418">
        <v>215.21976505613401</v>
      </c>
      <c r="AI418">
        <v>90.242607567027804</v>
      </c>
      <c r="AJ418">
        <v>86.257425563539101</v>
      </c>
      <c r="AK418">
        <v>215.681659058105</v>
      </c>
      <c r="AL418">
        <v>89.989245640045993</v>
      </c>
      <c r="AM418">
        <v>86.931402045095197</v>
      </c>
      <c r="AN418">
        <v>1.00000005839406</v>
      </c>
    </row>
    <row r="419" spans="1:40" x14ac:dyDescent="0.25">
      <c r="A419" t="str">
        <f>"20190312151509892"</f>
        <v>20190312151509892</v>
      </c>
      <c r="B419" t="str">
        <f>"1552374909888580"</f>
        <v>1552374909888580</v>
      </c>
      <c r="C419" t="s">
        <v>40</v>
      </c>
      <c r="D419">
        <v>4.5252369999999997</v>
      </c>
      <c r="E419">
        <v>0.50431720000000002</v>
      </c>
      <c r="F419" t="s">
        <v>44</v>
      </c>
      <c r="G419">
        <v>-158.19499999999999</v>
      </c>
      <c r="H419">
        <v>0.30937290000000001</v>
      </c>
      <c r="I419">
        <v>356.49599999999998</v>
      </c>
      <c r="J419">
        <v>-373.31639999999999</v>
      </c>
      <c r="K419">
        <v>1.109226</v>
      </c>
      <c r="L419">
        <v>368.38240000000002</v>
      </c>
      <c r="M419">
        <v>0.99990199999999996</v>
      </c>
      <c r="N419">
        <v>0</v>
      </c>
      <c r="O419">
        <v>1.014821E-2</v>
      </c>
      <c r="P419">
        <v>0.99902990000000003</v>
      </c>
      <c r="Q419">
        <v>-8.8629009999999994E-3</v>
      </c>
      <c r="R419">
        <v>-4.3136729999999998E-2</v>
      </c>
      <c r="S419">
        <v>2.9956969999999998</v>
      </c>
      <c r="T419">
        <v>-1.112521E-2</v>
      </c>
      <c r="U419">
        <v>-0.16531370000000001</v>
      </c>
      <c r="V419">
        <v>5.3272729999999997E-2</v>
      </c>
      <c r="W419">
        <v>8.1140189999999999E-4</v>
      </c>
      <c r="X419">
        <v>0.99857969999999896</v>
      </c>
      <c r="Y419">
        <v>6.5229800000000004E-2</v>
      </c>
      <c r="Z419">
        <v>-1.5869319999999999E-4</v>
      </c>
      <c r="AA419">
        <v>0.99787029999999999</v>
      </c>
      <c r="AB419">
        <v>41</v>
      </c>
      <c r="AC419">
        <v>215.12139999999999</v>
      </c>
      <c r="AD419">
        <v>-0.79985309999999998</v>
      </c>
      <c r="AE419">
        <v>-11.8864</v>
      </c>
      <c r="AF419">
        <v>14.0687926246059</v>
      </c>
      <c r="AG419">
        <v>-0.79985309999999998</v>
      </c>
      <c r="AH419">
        <v>214.98672706354401</v>
      </c>
      <c r="AI419">
        <v>90.212711656078</v>
      </c>
      <c r="AJ419">
        <v>86.255886422883705</v>
      </c>
      <c r="AK419">
        <v>215.4480529139</v>
      </c>
      <c r="AL419">
        <v>89.953510091920194</v>
      </c>
      <c r="AM419">
        <v>86.946250914651799</v>
      </c>
      <c r="AN419">
        <v>1.00000002969339</v>
      </c>
    </row>
    <row r="420" spans="1:40" x14ac:dyDescent="0.25">
      <c r="A420" t="str">
        <f>"20190312151509912"</f>
        <v>20190312151509912</v>
      </c>
      <c r="B420" t="str">
        <f>"1552374909908100"</f>
        <v>1552374909908100</v>
      </c>
      <c r="C420" t="s">
        <v>40</v>
      </c>
      <c r="D420">
        <v>4.5333230000000002</v>
      </c>
      <c r="E420">
        <v>0.50431199999999998</v>
      </c>
      <c r="F420" t="s">
        <v>44</v>
      </c>
      <c r="G420">
        <v>-158.19499999999999</v>
      </c>
      <c r="H420">
        <v>0.28607850000000001</v>
      </c>
      <c r="I420">
        <v>356.60989999999998</v>
      </c>
      <c r="J420">
        <v>-372.94319999999999</v>
      </c>
      <c r="K420">
        <v>1.1092329999999999</v>
      </c>
      <c r="L420">
        <v>368.38639999999998</v>
      </c>
      <c r="M420">
        <v>0.99989930000000005</v>
      </c>
      <c r="N420">
        <v>0</v>
      </c>
      <c r="O420">
        <v>1.039351E-2</v>
      </c>
      <c r="P420">
        <v>0.99907020000000002</v>
      </c>
      <c r="Q420">
        <v>-8.2730300000000007E-3</v>
      </c>
      <c r="R420">
        <v>-4.2314490000000003E-2</v>
      </c>
      <c r="S420">
        <v>2.9956969999999998</v>
      </c>
      <c r="T420">
        <v>-1.146162E-2</v>
      </c>
      <c r="U420">
        <v>-0.16394039999999999</v>
      </c>
      <c r="V420">
        <v>5.2695449999999998E-2</v>
      </c>
      <c r="W420">
        <v>1.4088779999999999E-3</v>
      </c>
      <c r="X420">
        <v>0.99860970000000004</v>
      </c>
      <c r="Y420">
        <v>6.5018499999999896E-2</v>
      </c>
      <c r="Z420">
        <v>-1.640279E-4</v>
      </c>
      <c r="AA420">
        <v>0.99788399999999999</v>
      </c>
      <c r="AB420">
        <v>41</v>
      </c>
      <c r="AC420">
        <v>214.7482</v>
      </c>
      <c r="AD420">
        <v>-0.82315450000000001</v>
      </c>
      <c r="AE420">
        <v>-11.7765</v>
      </c>
      <c r="AF420">
        <v>14.0077504153885</v>
      </c>
      <c r="AG420">
        <v>-0.82315450000000001</v>
      </c>
      <c r="AH420">
        <v>214.61105084991499</v>
      </c>
      <c r="AI420">
        <v>90.219293952906199</v>
      </c>
      <c r="AJ420">
        <v>86.265578359233999</v>
      </c>
      <c r="AK420">
        <v>215.06928604971799</v>
      </c>
      <c r="AL420">
        <v>89.919277215225407</v>
      </c>
      <c r="AM420">
        <v>86.979371256409095</v>
      </c>
      <c r="AN420">
        <v>1.0000000641610001</v>
      </c>
    </row>
    <row r="421" spans="1:40" x14ac:dyDescent="0.25">
      <c r="A421" t="str">
        <f>"20190312151509935"</f>
        <v>20190312151509935</v>
      </c>
      <c r="B421" t="str">
        <f>"1552374909928597"</f>
        <v>1552374909928597</v>
      </c>
      <c r="C421" t="s">
        <v>40</v>
      </c>
      <c r="D421">
        <v>4.5611119999999996</v>
      </c>
      <c r="E421">
        <v>0.50424230000000003</v>
      </c>
      <c r="F421" t="s">
        <v>44</v>
      </c>
      <c r="G421">
        <v>-158.19499999999999</v>
      </c>
      <c r="H421">
        <v>0.34866049999999998</v>
      </c>
      <c r="I421">
        <v>356.8383</v>
      </c>
      <c r="J421">
        <v>-372.53059999999999</v>
      </c>
      <c r="K421">
        <v>1.1092340000000001</v>
      </c>
      <c r="L421">
        <v>368.39089999999999</v>
      </c>
      <c r="M421">
        <v>0.99989649999999997</v>
      </c>
      <c r="N421">
        <v>0</v>
      </c>
      <c r="O421">
        <v>1.0664669999999999E-2</v>
      </c>
      <c r="P421">
        <v>0.999112</v>
      </c>
      <c r="Q421">
        <v>-8.0321750000000008E-3</v>
      </c>
      <c r="R421">
        <v>-4.1362589999999998E-2</v>
      </c>
      <c r="S421">
        <v>2.9958499999999999</v>
      </c>
      <c r="T421">
        <v>-1.0609149999999999E-2</v>
      </c>
      <c r="U421">
        <v>-0.1611023</v>
      </c>
      <c r="V421">
        <v>5.2014690000000002E-2</v>
      </c>
      <c r="W421">
        <v>1.658264E-3</v>
      </c>
      <c r="X421">
        <v>0.99864489999999995</v>
      </c>
      <c r="Y421">
        <v>6.4343830000000005E-2</v>
      </c>
      <c r="Z421">
        <v>-1.515904E-4</v>
      </c>
      <c r="AA421">
        <v>0.99792780000000003</v>
      </c>
      <c r="AB421">
        <v>41</v>
      </c>
      <c r="AC421">
        <v>214.3356</v>
      </c>
      <c r="AD421">
        <v>-0.76057350000000001</v>
      </c>
      <c r="AE421">
        <v>-11.552599999999901</v>
      </c>
      <c r="AF421">
        <v>13.837694244047199</v>
      </c>
      <c r="AG421">
        <v>-0.76057350000000001</v>
      </c>
      <c r="AH421">
        <v>214.19750999911</v>
      </c>
      <c r="AI421">
        <v>90.2030220515568</v>
      </c>
      <c r="AJ421">
        <v>86.303685967094907</v>
      </c>
      <c r="AK421">
        <v>214.645366928475</v>
      </c>
      <c r="AL421">
        <v>89.904988423856807</v>
      </c>
      <c r="AM421">
        <v>87.018428074516095</v>
      </c>
      <c r="AN421">
        <v>0.99999995705564904</v>
      </c>
    </row>
    <row r="422" spans="1:40" x14ac:dyDescent="0.25">
      <c r="A422" t="str">
        <f>"20190312151509958"</f>
        <v>20190312151509958</v>
      </c>
      <c r="B422" t="str">
        <f>"1552374909948117"</f>
        <v>1552374909948117</v>
      </c>
      <c r="C422" t="s">
        <v>40</v>
      </c>
      <c r="D422">
        <v>4.567825</v>
      </c>
      <c r="E422">
        <v>0.50425039999999999</v>
      </c>
      <c r="F422" t="s">
        <v>44</v>
      </c>
      <c r="G422">
        <v>-158.19499999999999</v>
      </c>
      <c r="H422">
        <v>0.2429857</v>
      </c>
      <c r="I422">
        <v>357.08839999999998</v>
      </c>
      <c r="J422">
        <v>-372.1028</v>
      </c>
      <c r="K422">
        <v>1.109232</v>
      </c>
      <c r="L422">
        <v>368.39569999999998</v>
      </c>
      <c r="M422">
        <v>0.99989329999999998</v>
      </c>
      <c r="N422">
        <v>0</v>
      </c>
      <c r="O422">
        <v>1.094614E-2</v>
      </c>
      <c r="P422">
        <v>0.99915980000000004</v>
      </c>
      <c r="Q422">
        <v>-7.8923829999999993E-3</v>
      </c>
      <c r="R422">
        <v>-4.0214930000000003E-2</v>
      </c>
      <c r="S422">
        <v>2.9960330000000002</v>
      </c>
      <c r="T422">
        <v>-1.2107369999999999E-2</v>
      </c>
      <c r="U422">
        <v>-0.1579895</v>
      </c>
      <c r="V422">
        <v>5.1148850000000003E-2</v>
      </c>
      <c r="W422">
        <v>1.80656E-3</v>
      </c>
      <c r="X422">
        <v>0.99868939999999995</v>
      </c>
      <c r="Y422">
        <v>6.3587450000000004E-2</v>
      </c>
      <c r="Z422">
        <v>-1.726016E-4</v>
      </c>
      <c r="AA422">
        <v>0.99797619999999998</v>
      </c>
      <c r="AB422">
        <v>41</v>
      </c>
      <c r="AC422">
        <v>213.90780000000001</v>
      </c>
      <c r="AD422">
        <v>-0.86624630000000002</v>
      </c>
      <c r="AE422">
        <v>-11.3072999999999</v>
      </c>
      <c r="AF422">
        <v>13.647973591403501</v>
      </c>
      <c r="AG422">
        <v>-0.86624630000000002</v>
      </c>
      <c r="AH422">
        <v>213.76771043000801</v>
      </c>
      <c r="AI422">
        <v>90.231705435623695</v>
      </c>
      <c r="AJ422">
        <v>86.346916038737106</v>
      </c>
      <c r="AK422">
        <v>214.20469553278099</v>
      </c>
      <c r="AL422">
        <v>89.896491679545306</v>
      </c>
      <c r="AM422">
        <v>87.068102605070493</v>
      </c>
      <c r="AN422">
        <v>0.99999999309385701</v>
      </c>
    </row>
    <row r="423" spans="1:40" x14ac:dyDescent="0.25">
      <c r="A423" t="str">
        <f>"20190312151509979"</f>
        <v>20190312151509979</v>
      </c>
      <c r="B423" t="str">
        <f>"1552374909968612"</f>
        <v>1552374909968612</v>
      </c>
      <c r="C423" t="s">
        <v>40</v>
      </c>
      <c r="D423">
        <v>4.5834320000000002</v>
      </c>
      <c r="E423">
        <v>0.50420600000000004</v>
      </c>
      <c r="F423" t="s">
        <v>44</v>
      </c>
      <c r="G423">
        <v>-158.19499999999999</v>
      </c>
      <c r="H423">
        <v>0.41545769999999999</v>
      </c>
      <c r="I423">
        <v>357.36689999999999</v>
      </c>
      <c r="J423">
        <v>-371.71519999999998</v>
      </c>
      <c r="K423">
        <v>1.109232</v>
      </c>
      <c r="L423">
        <v>368.40019999999998</v>
      </c>
      <c r="M423">
        <v>0.99989039999999996</v>
      </c>
      <c r="N423">
        <v>0</v>
      </c>
      <c r="O423">
        <v>1.120056E-2</v>
      </c>
      <c r="P423">
        <v>0.99920770000000003</v>
      </c>
      <c r="Q423">
        <v>-7.2927219999999997E-3</v>
      </c>
      <c r="R423">
        <v>-3.9128330000000003E-2</v>
      </c>
      <c r="S423">
        <v>2.9961850000000001</v>
      </c>
      <c r="T423">
        <v>-9.7163920000000008E-3</v>
      </c>
      <c r="U423">
        <v>-0.15448000000000001</v>
      </c>
      <c r="V423">
        <v>5.0316329999999999E-2</v>
      </c>
      <c r="W423">
        <v>2.4140490000000001E-3</v>
      </c>
      <c r="X423">
        <v>0.99873040000000002</v>
      </c>
      <c r="Y423">
        <v>6.2673110000000004E-2</v>
      </c>
      <c r="Z423">
        <v>-1.378563E-4</v>
      </c>
      <c r="AA423">
        <v>0.99803410000000004</v>
      </c>
      <c r="AB423">
        <v>41</v>
      </c>
      <c r="AC423">
        <v>213.52019999999999</v>
      </c>
      <c r="AD423">
        <v>-0.69377429999999995</v>
      </c>
      <c r="AE423">
        <v>-11.033299999999899</v>
      </c>
      <c r="AF423">
        <v>13.424124394201399</v>
      </c>
      <c r="AG423">
        <v>-0.69377429999999995</v>
      </c>
      <c r="AH423">
        <v>213.38097331023701</v>
      </c>
      <c r="AI423">
        <v>90.185919902051893</v>
      </c>
      <c r="AJ423">
        <v>86.400178804598795</v>
      </c>
      <c r="AK423">
        <v>213.80394806774299</v>
      </c>
      <c r="AL423">
        <v>89.861685044524293</v>
      </c>
      <c r="AM423">
        <v>87.115860350711898</v>
      </c>
      <c r="AN423">
        <v>0.99999998629070097</v>
      </c>
    </row>
    <row r="424" spans="1:40" x14ac:dyDescent="0.25">
      <c r="A424" t="str">
        <f>"20190312151510000"</f>
        <v>20190312151510000</v>
      </c>
      <c r="B424" t="str">
        <f>"1552374909997892"</f>
        <v>1552374909997892</v>
      </c>
      <c r="C424" t="s">
        <v>40</v>
      </c>
      <c r="D424">
        <v>4.6660180000000002</v>
      </c>
      <c r="E424">
        <v>0.50419360000000002</v>
      </c>
      <c r="F424" t="s">
        <v>44</v>
      </c>
      <c r="G424">
        <v>-158.19499999999999</v>
      </c>
      <c r="H424">
        <v>0.60672859999999995</v>
      </c>
      <c r="I424">
        <v>357.64010000000002</v>
      </c>
      <c r="J424">
        <v>-371.31290000000001</v>
      </c>
      <c r="K424">
        <v>1.109235</v>
      </c>
      <c r="L424">
        <v>368.4049</v>
      </c>
      <c r="M424">
        <v>0.99988739999999998</v>
      </c>
      <c r="N424">
        <v>0</v>
      </c>
      <c r="O424">
        <v>1.146493E-2</v>
      </c>
      <c r="P424">
        <v>0.99924539999999995</v>
      </c>
      <c r="Q424">
        <v>-7.3517369999999997E-3</v>
      </c>
      <c r="R424">
        <v>-3.8144629999999999E-2</v>
      </c>
      <c r="S424">
        <v>2.996429</v>
      </c>
      <c r="T424">
        <v>-7.0506329999999997E-3</v>
      </c>
      <c r="U424">
        <v>-0.151001</v>
      </c>
      <c r="V424">
        <v>4.9597179999999998E-2</v>
      </c>
      <c r="W424">
        <v>2.3635050000000001E-3</v>
      </c>
      <c r="X424">
        <v>0.9987665</v>
      </c>
      <c r="Y424">
        <v>6.1777190000000003E-2</v>
      </c>
      <c r="Z424" s="1">
        <v>-9.9597770000000002E-5</v>
      </c>
      <c r="AA424">
        <v>0.99809000000000003</v>
      </c>
      <c r="AB424">
        <v>41</v>
      </c>
      <c r="AC424">
        <v>213.11789999999999</v>
      </c>
      <c r="AD424">
        <v>-0.50250640000000002</v>
      </c>
      <c r="AE424">
        <v>-10.7647999999999</v>
      </c>
      <c r="AF424">
        <v>13.207515519197599</v>
      </c>
      <c r="AG424">
        <v>-0.50250640000000002</v>
      </c>
      <c r="AH424">
        <v>212.979287096414</v>
      </c>
      <c r="AI424">
        <v>90.134925051212704</v>
      </c>
      <c r="AJ424">
        <v>86.451452633415002</v>
      </c>
      <c r="AK424">
        <v>213.38900560002801</v>
      </c>
      <c r="AL424">
        <v>89.864581011746694</v>
      </c>
      <c r="AM424">
        <v>87.157116610616896</v>
      </c>
      <c r="AN424">
        <v>0.999999993971043</v>
      </c>
    </row>
    <row r="425" spans="1:40" x14ac:dyDescent="0.25">
      <c r="A425" t="str">
        <f>"20190312151510012"</f>
        <v>20190312151510012</v>
      </c>
      <c r="B425" t="str">
        <f>"1552374910008628"</f>
        <v>1552374910008628</v>
      </c>
      <c r="C425" t="s">
        <v>40</v>
      </c>
      <c r="D425">
        <v>4.6087319999999998</v>
      </c>
      <c r="E425">
        <v>0.50417829999999997</v>
      </c>
      <c r="F425" t="s">
        <v>44</v>
      </c>
      <c r="G425">
        <v>-158.19499999999999</v>
      </c>
      <c r="H425">
        <v>0.64880850000000001</v>
      </c>
      <c r="I425">
        <v>357.86720000000003</v>
      </c>
      <c r="J425">
        <v>-371.0915</v>
      </c>
      <c r="K425">
        <v>1.1092329999999999</v>
      </c>
      <c r="L425">
        <v>368.40750000000003</v>
      </c>
      <c r="M425">
        <v>0.99988560000000004</v>
      </c>
      <c r="N425">
        <v>0</v>
      </c>
      <c r="O425">
        <v>1.1610219999999999E-2</v>
      </c>
      <c r="P425">
        <v>0.9992588</v>
      </c>
      <c r="Q425">
        <v>-7.312753E-3</v>
      </c>
      <c r="R425">
        <v>-3.7798230000000002E-2</v>
      </c>
      <c r="S425">
        <v>2.9964900000000001</v>
      </c>
      <c r="T425">
        <v>-6.4724680000000003E-3</v>
      </c>
      <c r="U425">
        <v>-0.14816279999999901</v>
      </c>
      <c r="V425">
        <v>4.9396080000000002E-2</v>
      </c>
      <c r="W425">
        <v>2.4068969999999999E-3</v>
      </c>
      <c r="X425">
        <v>0.99877640000000001</v>
      </c>
      <c r="Y425">
        <v>6.097822E-2</v>
      </c>
      <c r="Z425" s="1">
        <v>-9.0882180000000001E-5</v>
      </c>
      <c r="AA425">
        <v>0.99813909999999995</v>
      </c>
      <c r="AB425">
        <v>41</v>
      </c>
      <c r="AC425">
        <v>212.8965</v>
      </c>
      <c r="AD425">
        <v>-0.46042449999999902</v>
      </c>
      <c r="AE425">
        <v>-10.5403</v>
      </c>
      <c r="AF425">
        <v>13.0114201715457</v>
      </c>
      <c r="AG425">
        <v>-0.46042449999999902</v>
      </c>
      <c r="AH425">
        <v>212.758775619212</v>
      </c>
      <c r="AI425">
        <v>90.123760563665201</v>
      </c>
      <c r="AJ425">
        <v>86.500392786348201</v>
      </c>
      <c r="AK425">
        <v>213.15676308432401</v>
      </c>
      <c r="AL425">
        <v>89.862094831374904</v>
      </c>
      <c r="AM425">
        <v>87.168652777606894</v>
      </c>
      <c r="AN425">
        <v>1.0000000315347399</v>
      </c>
    </row>
    <row r="426" spans="1:40" x14ac:dyDescent="0.25">
      <c r="A426" t="str">
        <f>"20190312151510024"</f>
        <v>20190312151510024</v>
      </c>
      <c r="B426" t="str">
        <f>"1552374910018389"</f>
        <v>1552374910018389</v>
      </c>
      <c r="C426" t="s">
        <v>40</v>
      </c>
      <c r="D426">
        <v>4.620126</v>
      </c>
      <c r="E426">
        <v>0.50414859999999995</v>
      </c>
      <c r="F426" t="s">
        <v>44</v>
      </c>
      <c r="G426">
        <v>-158.19499999999999</v>
      </c>
      <c r="H426">
        <v>0.67271709999999996</v>
      </c>
      <c r="I426">
        <v>357.97859999999997</v>
      </c>
      <c r="J426">
        <v>-370.88440000000003</v>
      </c>
      <c r="K426">
        <v>1.109232</v>
      </c>
      <c r="L426">
        <v>368.41</v>
      </c>
      <c r="M426">
        <v>0.99988410000000005</v>
      </c>
      <c r="N426">
        <v>0</v>
      </c>
      <c r="O426">
        <v>1.1746100000000001E-2</v>
      </c>
      <c r="P426">
        <v>0.99926110000000001</v>
      </c>
      <c r="Q426">
        <v>-7.2845729999999999E-3</v>
      </c>
      <c r="R426">
        <v>-3.7740349999999999E-2</v>
      </c>
      <c r="S426">
        <v>2.9965820000000001</v>
      </c>
      <c r="T426">
        <v>-6.142855E-3</v>
      </c>
      <c r="U426">
        <v>-0.14678959999999999</v>
      </c>
      <c r="V426">
        <v>4.9473929999999999E-2</v>
      </c>
      <c r="W426">
        <v>2.4393209999999999E-3</v>
      </c>
      <c r="X426">
        <v>0.9987724</v>
      </c>
      <c r="Y426">
        <v>6.0656050000000003E-2</v>
      </c>
      <c r="Z426" s="1">
        <v>-8.6200689999999894E-5</v>
      </c>
      <c r="AA426">
        <v>0.99815880000000001</v>
      </c>
      <c r="AB426">
        <v>41</v>
      </c>
      <c r="AC426">
        <v>212.68940000000001</v>
      </c>
      <c r="AD426">
        <v>-0.43651489999999998</v>
      </c>
      <c r="AE426">
        <v>-10.4314</v>
      </c>
      <c r="AF426">
        <v>12.9290141225292</v>
      </c>
      <c r="AG426">
        <v>-0.43651489999999998</v>
      </c>
      <c r="AH426">
        <v>212.551298476451</v>
      </c>
      <c r="AI426">
        <v>90.117450635017306</v>
      </c>
      <c r="AJ426">
        <v>86.519116367317594</v>
      </c>
      <c r="AK426">
        <v>212.944604147332</v>
      </c>
      <c r="AL426">
        <v>89.8602370581185</v>
      </c>
      <c r="AM426">
        <v>87.164186412011304</v>
      </c>
      <c r="AN426">
        <v>0.99999996351917197</v>
      </c>
    </row>
    <row r="427" spans="1:40" x14ac:dyDescent="0.25">
      <c r="A427" t="str">
        <f>"20190312151510035"</f>
        <v>20190312151510035</v>
      </c>
      <c r="B427" t="str">
        <f>"1552374910028148"</f>
        <v>1552374910028148</v>
      </c>
      <c r="C427" t="s">
        <v>40</v>
      </c>
      <c r="D427">
        <v>4.6259959999999998</v>
      </c>
      <c r="E427">
        <v>0.50411700000000004</v>
      </c>
      <c r="F427" t="s">
        <v>44</v>
      </c>
      <c r="G427">
        <v>-158.19499999999999</v>
      </c>
      <c r="H427">
        <v>0.60464949999999995</v>
      </c>
      <c r="I427">
        <v>358.01749999999998</v>
      </c>
      <c r="J427">
        <v>-370.66309999999999</v>
      </c>
      <c r="K427">
        <v>1.109232</v>
      </c>
      <c r="L427">
        <v>368.41269999999997</v>
      </c>
      <c r="M427">
        <v>0.99988220000000005</v>
      </c>
      <c r="N427">
        <v>0</v>
      </c>
      <c r="O427">
        <v>1.1891219999999999E-2</v>
      </c>
      <c r="P427">
        <v>0.99927200000000005</v>
      </c>
      <c r="Q427">
        <v>-7.0411509999999998E-3</v>
      </c>
      <c r="R427">
        <v>-3.7497950000000002E-2</v>
      </c>
      <c r="S427">
        <v>2.9966430000000002</v>
      </c>
      <c r="T427">
        <v>-7.1079730000000001E-3</v>
      </c>
      <c r="U427">
        <v>-0.14642330000000001</v>
      </c>
      <c r="V427">
        <v>4.9376509999999998E-2</v>
      </c>
      <c r="W427">
        <v>2.6877530000000002E-3</v>
      </c>
      <c r="X427">
        <v>0.99877660000000001</v>
      </c>
      <c r="Y427">
        <v>6.0678179999999998E-2</v>
      </c>
      <c r="Z427">
        <v>-1.0011239999999999E-4</v>
      </c>
      <c r="AA427">
        <v>0.99815739999999997</v>
      </c>
      <c r="AB427">
        <v>41</v>
      </c>
      <c r="AC427">
        <v>212.46809999999999</v>
      </c>
      <c r="AD427">
        <v>-0.50458249999999905</v>
      </c>
      <c r="AE427">
        <v>-10.3951999999999</v>
      </c>
      <c r="AF427">
        <v>12.9210161661571</v>
      </c>
      <c r="AG427">
        <v>-0.50458249999999905</v>
      </c>
      <c r="AH427">
        <v>212.32826434364</v>
      </c>
      <c r="AI427">
        <v>90.135907535435095</v>
      </c>
      <c r="AJ427">
        <v>86.517619220468902</v>
      </c>
      <c r="AK427">
        <v>212.72164699778</v>
      </c>
      <c r="AL427">
        <v>89.846002908268801</v>
      </c>
      <c r="AM427">
        <v>87.169773257332693</v>
      </c>
      <c r="AN427">
        <v>0.99999998023176395</v>
      </c>
    </row>
    <row r="428" spans="1:40" x14ac:dyDescent="0.25">
      <c r="A428" t="str">
        <f>"20190312151510047"</f>
        <v>20190312151510047</v>
      </c>
      <c r="B428" t="str">
        <f>"1552374910037908"</f>
        <v>1552374910037908</v>
      </c>
      <c r="C428" t="s">
        <v>40</v>
      </c>
      <c r="D428">
        <v>4.6846730000000001</v>
      </c>
      <c r="E428">
        <v>0.50413359999999996</v>
      </c>
      <c r="F428" t="s">
        <v>44</v>
      </c>
      <c r="G428">
        <v>-158.19499999999999</v>
      </c>
      <c r="H428">
        <v>0.58325479999999996</v>
      </c>
      <c r="I428">
        <v>358.12189999999998</v>
      </c>
      <c r="J428">
        <v>-370.44819999999999</v>
      </c>
      <c r="K428">
        <v>1.1092340000000001</v>
      </c>
      <c r="L428">
        <v>368.4153</v>
      </c>
      <c r="M428">
        <v>0.99988060000000001</v>
      </c>
      <c r="N428">
        <v>0</v>
      </c>
      <c r="O428">
        <v>1.203192E-2</v>
      </c>
      <c r="P428">
        <v>0.99927500000000002</v>
      </c>
      <c r="Q428">
        <v>-7.0154459999999998E-3</v>
      </c>
      <c r="R428">
        <v>-3.7426290000000001E-2</v>
      </c>
      <c r="S428">
        <v>2.9966740000000001</v>
      </c>
      <c r="T428">
        <v>-7.4172019999999899E-3</v>
      </c>
      <c r="U428">
        <v>-0.14514160000000001</v>
      </c>
      <c r="V428">
        <v>4.9445379999999997E-2</v>
      </c>
      <c r="W428">
        <v>2.7197010000000001E-3</v>
      </c>
      <c r="X428">
        <v>0.99877309999999997</v>
      </c>
      <c r="Y428">
        <v>6.03922E-2</v>
      </c>
      <c r="Z428">
        <v>-1.044621E-4</v>
      </c>
      <c r="AA428">
        <v>0.99817469999999997</v>
      </c>
      <c r="AB428">
        <v>41</v>
      </c>
      <c r="AC428">
        <v>212.25319999999999</v>
      </c>
      <c r="AD428">
        <v>-0.52597919999999998</v>
      </c>
      <c r="AE428">
        <v>-10.2934</v>
      </c>
      <c r="AF428">
        <v>12.8465097103761</v>
      </c>
      <c r="AG428">
        <v>-0.52597919999999998</v>
      </c>
      <c r="AH428">
        <v>212.112679674997</v>
      </c>
      <c r="AI428">
        <v>90.141817110413399</v>
      </c>
      <c r="AJ428">
        <v>86.534140232649406</v>
      </c>
      <c r="AK428">
        <v>212.501996095956</v>
      </c>
      <c r="AL428">
        <v>89.844172414980505</v>
      </c>
      <c r="AM428">
        <v>87.165822193687404</v>
      </c>
      <c r="AN428">
        <v>0.99999997383024097</v>
      </c>
    </row>
    <row r="429" spans="1:40" x14ac:dyDescent="0.25">
      <c r="A429" t="str">
        <f>"20190312151510060"</f>
        <v>20190312151510060</v>
      </c>
      <c r="B429" t="str">
        <f>"1552374910048647"</f>
        <v>1552374910048647</v>
      </c>
      <c r="C429" t="s">
        <v>40</v>
      </c>
      <c r="D429">
        <v>4.6310000000000002</v>
      </c>
      <c r="E429">
        <v>0.50410410000000005</v>
      </c>
      <c r="F429" t="s">
        <v>44</v>
      </c>
      <c r="G429">
        <v>-158.19499999999999</v>
      </c>
      <c r="H429">
        <v>0.53766059999999904</v>
      </c>
      <c r="I429">
        <v>358.13499999999999</v>
      </c>
      <c r="J429">
        <v>-370.2149</v>
      </c>
      <c r="K429">
        <v>1.1092340000000001</v>
      </c>
      <c r="L429">
        <v>368.41829999999999</v>
      </c>
      <c r="M429">
        <v>0.9998785</v>
      </c>
      <c r="N429">
        <v>0</v>
      </c>
      <c r="O429">
        <v>1.2185059999999999E-2</v>
      </c>
      <c r="P429">
        <v>0.9992818</v>
      </c>
      <c r="Q429">
        <v>-6.9316710000000004E-3</v>
      </c>
      <c r="R429">
        <v>-3.7252929999999997E-2</v>
      </c>
      <c r="S429">
        <v>2.9966740000000001</v>
      </c>
      <c r="T429">
        <v>-8.0684420000000003E-3</v>
      </c>
      <c r="U429">
        <v>-0.14514160000000001</v>
      </c>
      <c r="V429">
        <v>4.9425160000000003E-2</v>
      </c>
      <c r="W429">
        <v>2.811254E-3</v>
      </c>
      <c r="X429">
        <v>0.99877389999999999</v>
      </c>
      <c r="Y429">
        <v>6.0545050000000003E-2</v>
      </c>
      <c r="Z429">
        <v>-1.142518E-4</v>
      </c>
      <c r="AA429">
        <v>0.99816550000000004</v>
      </c>
      <c r="AB429">
        <v>41</v>
      </c>
      <c r="AC429">
        <v>212.01990000000001</v>
      </c>
      <c r="AD429">
        <v>-0.57157340000000001</v>
      </c>
      <c r="AE429">
        <v>-10.283299999999899</v>
      </c>
      <c r="AF429">
        <v>12.8660404966335</v>
      </c>
      <c r="AG429">
        <v>-0.57157340000000001</v>
      </c>
      <c r="AH429">
        <v>211.877313253783</v>
      </c>
      <c r="AI429">
        <v>90.154280095000701</v>
      </c>
      <c r="AJ429">
        <v>86.525037408658307</v>
      </c>
      <c r="AK429">
        <v>212.26836214060299</v>
      </c>
      <c r="AL429">
        <v>89.8389268027573</v>
      </c>
      <c r="AM429">
        <v>87.166981568238299</v>
      </c>
      <c r="AN429">
        <v>1.0000000264556399</v>
      </c>
    </row>
    <row r="430" spans="1:40" x14ac:dyDescent="0.25">
      <c r="A430" t="str">
        <f>"20190312151510072"</f>
        <v>20190312151510072</v>
      </c>
      <c r="B430" t="str">
        <f>"1552374910068164"</f>
        <v>1552374910068164</v>
      </c>
      <c r="C430" t="s">
        <v>40</v>
      </c>
      <c r="D430">
        <v>4.6538629999999896</v>
      </c>
      <c r="E430">
        <v>0.50407460000000004</v>
      </c>
      <c r="F430" t="s">
        <v>44</v>
      </c>
      <c r="G430">
        <v>-158.19499999999999</v>
      </c>
      <c r="H430">
        <v>0.52606869999999994</v>
      </c>
      <c r="I430">
        <v>358.19889999999998</v>
      </c>
      <c r="J430">
        <v>-369.98750000000001</v>
      </c>
      <c r="K430">
        <v>1.109235</v>
      </c>
      <c r="L430">
        <v>368.4212</v>
      </c>
      <c r="M430">
        <v>0.9998766</v>
      </c>
      <c r="N430">
        <v>0</v>
      </c>
      <c r="O430">
        <v>1.233398E-2</v>
      </c>
      <c r="P430">
        <v>0.99927900000000003</v>
      </c>
      <c r="Q430">
        <v>-6.9703609999999996E-3</v>
      </c>
      <c r="R430">
        <v>-3.7324639999999999E-2</v>
      </c>
      <c r="S430">
        <v>2.9966740000000001</v>
      </c>
      <c r="T430">
        <v>-8.2411769999999902E-3</v>
      </c>
      <c r="U430">
        <v>-0.1444397</v>
      </c>
      <c r="V430">
        <v>4.9645500000000002E-2</v>
      </c>
      <c r="W430">
        <v>2.7812129999999998E-3</v>
      </c>
      <c r="X430">
        <v>0.99876299999999996</v>
      </c>
      <c r="Y430">
        <v>6.0460439999999997E-2</v>
      </c>
      <c r="Z430">
        <v>-1.169915E-4</v>
      </c>
      <c r="AA430">
        <v>0.99817060000000002</v>
      </c>
      <c r="AB430">
        <v>41</v>
      </c>
      <c r="AC430">
        <v>211.79249999999999</v>
      </c>
      <c r="AD430">
        <v>-0.58316630000000003</v>
      </c>
      <c r="AE430">
        <v>-10.222300000000001</v>
      </c>
      <c r="AF430">
        <v>12.833793379868499</v>
      </c>
      <c r="AG430">
        <v>-0.58316630000000003</v>
      </c>
      <c r="AH430">
        <v>211.64869964843399</v>
      </c>
      <c r="AI430">
        <v>90.157580107660394</v>
      </c>
      <c r="AJ430">
        <v>86.529990731067201</v>
      </c>
      <c r="AK430">
        <v>212.03824748927599</v>
      </c>
      <c r="AL430">
        <v>89.840648023035399</v>
      </c>
      <c r="AM430">
        <v>87.154341528969795</v>
      </c>
      <c r="AN430">
        <v>0.9999999704925</v>
      </c>
    </row>
    <row r="431" spans="1:40" x14ac:dyDescent="0.25">
      <c r="A431" t="str">
        <f>"20190312151510089"</f>
        <v>20190312151510089</v>
      </c>
      <c r="B431" t="str">
        <f>"1552374910077925"</f>
        <v>1552374910077925</v>
      </c>
      <c r="C431" t="s">
        <v>40</v>
      </c>
      <c r="D431">
        <v>4.6211710000000004</v>
      </c>
      <c r="E431">
        <v>0.50406430000000002</v>
      </c>
      <c r="F431" t="s">
        <v>44</v>
      </c>
      <c r="G431">
        <v>-158.19499999999999</v>
      </c>
      <c r="H431">
        <v>0.39697929999999998</v>
      </c>
      <c r="I431">
        <v>358.22789999999998</v>
      </c>
      <c r="J431">
        <v>-369.66039999999998</v>
      </c>
      <c r="K431">
        <v>1.1092390000000001</v>
      </c>
      <c r="L431">
        <v>368.42540000000002</v>
      </c>
      <c r="M431">
        <v>0.99987389999999998</v>
      </c>
      <c r="N431">
        <v>0</v>
      </c>
      <c r="O431">
        <v>1.254838E-2</v>
      </c>
      <c r="P431">
        <v>0.99927189999999999</v>
      </c>
      <c r="Q431">
        <v>-7.344461E-3</v>
      </c>
      <c r="R431">
        <v>-3.7442259999999998E-2</v>
      </c>
      <c r="S431">
        <v>2.9966740000000001</v>
      </c>
      <c r="T431">
        <v>-1.007652E-2</v>
      </c>
      <c r="U431">
        <v>-0.1442261</v>
      </c>
      <c r="V431">
        <v>4.9977460000000001E-2</v>
      </c>
      <c r="W431">
        <v>2.4202479999999998E-3</v>
      </c>
      <c r="X431">
        <v>0.99874739999999995</v>
      </c>
      <c r="Y431">
        <v>6.0603339999999999E-2</v>
      </c>
      <c r="Z431">
        <v>-1.4400679999999999E-4</v>
      </c>
      <c r="AA431">
        <v>0.99816190000000005</v>
      </c>
      <c r="AB431">
        <v>41</v>
      </c>
      <c r="AC431">
        <v>211.46539999999999</v>
      </c>
      <c r="AD431">
        <v>-0.71225969999999905</v>
      </c>
      <c r="AE431">
        <v>-10.1975</v>
      </c>
      <c r="AF431">
        <v>12.8502254683556</v>
      </c>
      <c r="AG431">
        <v>-0.71225969999999905</v>
      </c>
      <c r="AH431">
        <v>211.31838892601701</v>
      </c>
      <c r="AI431">
        <v>90.1927616267579</v>
      </c>
      <c r="AJ431">
        <v>86.5201411426346</v>
      </c>
      <c r="AK431">
        <v>211.70993624947201</v>
      </c>
      <c r="AL431">
        <v>89.861329866981606</v>
      </c>
      <c r="AM431">
        <v>87.135300645199393</v>
      </c>
      <c r="AN431">
        <v>0.99999998655759603</v>
      </c>
    </row>
    <row r="432" spans="1:40" x14ac:dyDescent="0.25">
      <c r="A432" t="str">
        <f>"20190312151510102"</f>
        <v>20190312151510102</v>
      </c>
      <c r="B432" t="str">
        <f>"1552374910098421"</f>
        <v>1552374910098421</v>
      </c>
      <c r="C432" t="s">
        <v>40</v>
      </c>
      <c r="D432">
        <v>4.6550729999999998</v>
      </c>
      <c r="E432">
        <v>0.50398549999999998</v>
      </c>
      <c r="F432" t="s">
        <v>44</v>
      </c>
      <c r="G432">
        <v>-158.19499999999999</v>
      </c>
      <c r="H432">
        <v>0.2455378</v>
      </c>
      <c r="I432">
        <v>358.21339999999998</v>
      </c>
      <c r="J432">
        <v>-369.44130000000001</v>
      </c>
      <c r="K432">
        <v>1.109237</v>
      </c>
      <c r="L432">
        <v>368.4282</v>
      </c>
      <c r="M432">
        <v>0.99987190000000004</v>
      </c>
      <c r="N432">
        <v>0</v>
      </c>
      <c r="O432">
        <v>1.269204E-2</v>
      </c>
      <c r="P432">
        <v>0.99927359999999998</v>
      </c>
      <c r="Q432">
        <v>-7.5888429999999996E-3</v>
      </c>
      <c r="R432">
        <v>-3.7344950000000002E-2</v>
      </c>
      <c r="S432">
        <v>2.9966740000000001</v>
      </c>
      <c r="T432">
        <v>-1.2238260000000001E-2</v>
      </c>
      <c r="U432">
        <v>-0.14471439999999999</v>
      </c>
      <c r="V432">
        <v>5.0023789999999999E-2</v>
      </c>
      <c r="W432">
        <v>2.1846909999999999E-3</v>
      </c>
      <c r="X432">
        <v>0.99874560000000001</v>
      </c>
      <c r="Y432">
        <v>6.0908829999999997E-2</v>
      </c>
      <c r="Z432">
        <v>-1.7610999999999999E-4</v>
      </c>
      <c r="AA432">
        <v>0.99814329999999996</v>
      </c>
      <c r="AB432">
        <v>42</v>
      </c>
      <c r="AC432">
        <v>211.24629999999999</v>
      </c>
      <c r="AD432">
        <v>-0.8636992</v>
      </c>
      <c r="AE432">
        <v>-10.2148</v>
      </c>
      <c r="AF432">
        <v>12.8950360719397</v>
      </c>
      <c r="AG432">
        <v>-0.8636992</v>
      </c>
      <c r="AH432">
        <v>211.09610970394399</v>
      </c>
      <c r="AI432">
        <v>90.233988076031295</v>
      </c>
      <c r="AJ432">
        <v>86.504368501626303</v>
      </c>
      <c r="AK432">
        <v>211.49136025791699</v>
      </c>
      <c r="AL432">
        <v>89.874826321952597</v>
      </c>
      <c r="AM432">
        <v>87.132644288228406</v>
      </c>
      <c r="AN432">
        <v>0.99999996298004401</v>
      </c>
    </row>
    <row r="433" spans="1:40" x14ac:dyDescent="0.25">
      <c r="A433" t="str">
        <f>"20190312151510115"</f>
        <v>20190312151510115</v>
      </c>
      <c r="B433" t="str">
        <f>"1552374910108181"</f>
        <v>1552374910108181</v>
      </c>
      <c r="C433" t="s">
        <v>40</v>
      </c>
      <c r="D433">
        <v>4.6526379999999996</v>
      </c>
      <c r="E433">
        <v>0.50398980000000004</v>
      </c>
      <c r="F433" t="s">
        <v>42</v>
      </c>
      <c r="G433">
        <v>-143.0318</v>
      </c>
      <c r="H433">
        <v>-0.05</v>
      </c>
      <c r="I433">
        <v>357.56389999999999</v>
      </c>
      <c r="J433">
        <v>-369.20170000000002</v>
      </c>
      <c r="K433">
        <v>1.1092340000000001</v>
      </c>
      <c r="L433">
        <v>368.43130000000002</v>
      </c>
      <c r="M433">
        <v>0.99986980000000003</v>
      </c>
      <c r="N433">
        <v>0</v>
      </c>
      <c r="O433">
        <v>1.284894E-2</v>
      </c>
      <c r="P433">
        <v>0.99927200000000005</v>
      </c>
      <c r="Q433">
        <v>-7.6073729999999997E-3</v>
      </c>
      <c r="R433">
        <v>-3.7385660000000001E-2</v>
      </c>
      <c r="S433">
        <v>2.9967350000000001</v>
      </c>
      <c r="T433">
        <v>-1.5343549999999999E-2</v>
      </c>
      <c r="U433">
        <v>-0.14379879999999901</v>
      </c>
      <c r="V433">
        <v>5.0221179999999997E-2</v>
      </c>
      <c r="W433">
        <v>2.1756309999999999E-3</v>
      </c>
      <c r="X433">
        <v>0.9987357</v>
      </c>
      <c r="Y433">
        <v>6.0759889999999997E-2</v>
      </c>
      <c r="Z433">
        <v>-2.212138E-4</v>
      </c>
      <c r="AA433">
        <v>0.99815240000000005</v>
      </c>
      <c r="AB433">
        <v>42</v>
      </c>
      <c r="AC433">
        <v>226.16990000000001</v>
      </c>
      <c r="AD433">
        <v>-1.1592340000000001</v>
      </c>
      <c r="AE433">
        <v>-10.8674</v>
      </c>
      <c r="AF433">
        <v>13.7723237634196</v>
      </c>
      <c r="AG433">
        <v>-1.1592340000000001</v>
      </c>
      <c r="AH433">
        <v>226.00566277342199</v>
      </c>
      <c r="AI433">
        <v>90.293336265589801</v>
      </c>
      <c r="AJ433">
        <v>86.512824349849495</v>
      </c>
      <c r="AK433">
        <v>226.427870040252</v>
      </c>
      <c r="AL433">
        <v>89.875345421271703</v>
      </c>
      <c r="AM433">
        <v>87.121320431294905</v>
      </c>
      <c r="AN433">
        <v>0.99999994937266401</v>
      </c>
    </row>
    <row r="434" spans="1:40" x14ac:dyDescent="0.25">
      <c r="A434" t="str">
        <f>"20190312151510134"</f>
        <v>20190312151510134</v>
      </c>
      <c r="B434" t="str">
        <f>"1552374910128676"</f>
        <v>1552374910128676</v>
      </c>
      <c r="C434" t="s">
        <v>40</v>
      </c>
      <c r="D434">
        <v>4.7006259999999997</v>
      </c>
      <c r="E434">
        <v>0.50400780000000001</v>
      </c>
      <c r="F434" t="s">
        <v>45</v>
      </c>
      <c r="G434">
        <v>-179.9813</v>
      </c>
      <c r="H434">
        <v>6.8724999999999994E-2</v>
      </c>
      <c r="I434">
        <v>359.3245</v>
      </c>
      <c r="J434">
        <v>-368.8338</v>
      </c>
      <c r="K434">
        <v>1.1092340000000001</v>
      </c>
      <c r="L434">
        <v>368.43630000000002</v>
      </c>
      <c r="M434">
        <v>0.9998667</v>
      </c>
      <c r="N434">
        <v>0</v>
      </c>
      <c r="O434">
        <v>1.308956E-2</v>
      </c>
      <c r="P434">
        <v>0.99927440000000001</v>
      </c>
      <c r="Q434">
        <v>-8.1973040000000007E-3</v>
      </c>
      <c r="R434">
        <v>-3.7197050000000002E-2</v>
      </c>
      <c r="S434">
        <v>2.9967039999999998</v>
      </c>
      <c r="T434">
        <v>-1.6478659999999999E-2</v>
      </c>
      <c r="U434">
        <v>-0.1442261</v>
      </c>
      <c r="V434">
        <v>5.0273430000000001E-2</v>
      </c>
      <c r="W434">
        <v>1.600567E-3</v>
      </c>
      <c r="X434">
        <v>0.99873420000000002</v>
      </c>
      <c r="Y434">
        <v>6.11424E-2</v>
      </c>
      <c r="Z434">
        <v>-2.399542E-4</v>
      </c>
      <c r="AA434">
        <v>0.99812900000000004</v>
      </c>
      <c r="AB434">
        <v>42</v>
      </c>
      <c r="AC434">
        <v>188.85249999999999</v>
      </c>
      <c r="AD434">
        <v>-1.0405089999999999</v>
      </c>
      <c r="AE434">
        <v>-9.1118000000000094</v>
      </c>
      <c r="AF434">
        <v>11.5827823699383</v>
      </c>
      <c r="AG434">
        <v>-1.0405089999999999</v>
      </c>
      <c r="AH434">
        <v>188.71132872317301</v>
      </c>
      <c r="AI434">
        <v>90.315318604158705</v>
      </c>
      <c r="AJ434">
        <v>86.487688121356697</v>
      </c>
      <c r="AK434">
        <v>189.069323516201</v>
      </c>
      <c r="AL434">
        <v>89.908294226083299</v>
      </c>
      <c r="AM434">
        <v>87.118326184461495</v>
      </c>
      <c r="AN434">
        <v>0.99999999091416303</v>
      </c>
    </row>
    <row r="435" spans="1:40" x14ac:dyDescent="0.25">
      <c r="A435" t="str">
        <f>"20190312151510157"</f>
        <v>20190312151510157</v>
      </c>
      <c r="B435" t="str">
        <f>"1552374910148196"</f>
        <v>1552374910148196</v>
      </c>
      <c r="C435" t="s">
        <v>40</v>
      </c>
      <c r="D435">
        <v>4.7313839999999896</v>
      </c>
      <c r="E435">
        <v>0.50412520000000005</v>
      </c>
      <c r="F435" t="s">
        <v>45</v>
      </c>
      <c r="G435">
        <v>-208.46950000000001</v>
      </c>
      <c r="H435" s="1">
        <v>-6.156414E-6</v>
      </c>
      <c r="I435">
        <v>360.75740000000002</v>
      </c>
      <c r="J435">
        <v>-368.39960000000002</v>
      </c>
      <c r="K435">
        <v>1.1092340000000001</v>
      </c>
      <c r="L435">
        <v>368.44220000000001</v>
      </c>
      <c r="M435">
        <v>0.99986269999999999</v>
      </c>
      <c r="N435">
        <v>0</v>
      </c>
      <c r="O435">
        <v>1.337383E-2</v>
      </c>
      <c r="P435">
        <v>0.99928159999999999</v>
      </c>
      <c r="Q435">
        <v>-8.8073219999999994E-3</v>
      </c>
      <c r="R435">
        <v>-3.6860499999999997E-2</v>
      </c>
      <c r="S435">
        <v>2.9966740000000001</v>
      </c>
      <c r="T435">
        <v>-2.0727990000000002E-2</v>
      </c>
      <c r="U435">
        <v>-0.1434937</v>
      </c>
      <c r="V435">
        <v>5.0221500000000002E-2</v>
      </c>
      <c r="W435">
        <v>1.011673E-3</v>
      </c>
      <c r="X435">
        <v>0.9987376</v>
      </c>
      <c r="Y435">
        <v>6.1182609999999998E-2</v>
      </c>
      <c r="Z435">
        <v>-3.039389E-4</v>
      </c>
      <c r="AA435">
        <v>0.99812659999999997</v>
      </c>
      <c r="AB435">
        <v>42</v>
      </c>
      <c r="AC435">
        <v>159.93010000000001</v>
      </c>
      <c r="AD435">
        <v>-1.109240156414</v>
      </c>
      <c r="AE435">
        <v>-7.6847999999999903</v>
      </c>
      <c r="AF435">
        <v>9.8226215703580202</v>
      </c>
      <c r="AG435">
        <v>-1.109240156414</v>
      </c>
      <c r="AH435">
        <v>159.80534563096799</v>
      </c>
      <c r="AI435">
        <v>90.396945706534694</v>
      </c>
      <c r="AJ435">
        <v>86.482673361767496</v>
      </c>
      <c r="AK435">
        <v>160.11078289881701</v>
      </c>
      <c r="AL435">
        <v>89.942035397434495</v>
      </c>
      <c r="AM435">
        <v>87.1213075869656</v>
      </c>
      <c r="AN435">
        <v>1.00000000809913</v>
      </c>
    </row>
    <row r="436" spans="1:40" x14ac:dyDescent="0.25">
      <c r="A436" t="str">
        <f>"20190312151510180"</f>
        <v>20190312151510180</v>
      </c>
      <c r="B436" t="str">
        <f>"1552374910167716"</f>
        <v>1552374910167716</v>
      </c>
      <c r="C436" t="s">
        <v>40</v>
      </c>
      <c r="D436">
        <v>4.7102360000000001</v>
      </c>
      <c r="E436">
        <v>0.50424190000000002</v>
      </c>
      <c r="F436" t="s">
        <v>43</v>
      </c>
      <c r="G436">
        <v>-235.72919999999999</v>
      </c>
      <c r="H436" s="1">
        <v>-3.4429519999999998E-6</v>
      </c>
      <c r="I436">
        <v>362.0865</v>
      </c>
      <c r="J436">
        <v>-367.98540000000003</v>
      </c>
      <c r="K436">
        <v>1.1092360000000001</v>
      </c>
      <c r="L436">
        <v>368.44799999999998</v>
      </c>
      <c r="M436">
        <v>0.99985869999999999</v>
      </c>
      <c r="N436">
        <v>0</v>
      </c>
      <c r="O436">
        <v>1.364481E-2</v>
      </c>
      <c r="P436">
        <v>0.99929990000000002</v>
      </c>
      <c r="Q436">
        <v>-8.7157420000000003E-3</v>
      </c>
      <c r="R436">
        <v>-3.6384970000000003E-2</v>
      </c>
      <c r="S436">
        <v>2.9966430000000002</v>
      </c>
      <c r="T436">
        <v>-2.5054449999999999E-2</v>
      </c>
      <c r="U436">
        <v>-0.14355470000000001</v>
      </c>
      <c r="V436">
        <v>5.0016680000000001E-2</v>
      </c>
      <c r="W436">
        <v>1.125638E-3</v>
      </c>
      <c r="X436">
        <v>0.99874779999999996</v>
      </c>
      <c r="Y436">
        <v>6.1473050000000001E-2</v>
      </c>
      <c r="Z436">
        <v>-3.708583E-4</v>
      </c>
      <c r="AA436">
        <v>0.99810869999999996</v>
      </c>
      <c r="AB436">
        <v>42</v>
      </c>
      <c r="AC436">
        <v>132.25620000000001</v>
      </c>
      <c r="AD436">
        <v>-1.1092394429520001</v>
      </c>
      <c r="AE436">
        <v>-6.3615000000000297</v>
      </c>
      <c r="AF436">
        <v>8.1650324047395699</v>
      </c>
      <c r="AG436">
        <v>-1.1092394429520001</v>
      </c>
      <c r="AH436">
        <v>132.147806645678</v>
      </c>
      <c r="AI436">
        <v>90.480010130450296</v>
      </c>
      <c r="AJ436">
        <v>86.464353501554498</v>
      </c>
      <c r="AK436">
        <v>132.40445977222899</v>
      </c>
      <c r="AL436">
        <v>89.935505683053293</v>
      </c>
      <c r="AM436">
        <v>87.133057456988297</v>
      </c>
      <c r="AN436">
        <v>1.00000005167198</v>
      </c>
    </row>
    <row r="437" spans="1:40" x14ac:dyDescent="0.25">
      <c r="A437" t="str">
        <f>"20190312151510194"</f>
        <v>20190312151510194</v>
      </c>
      <c r="B437" t="str">
        <f>"1552374910188212"</f>
        <v>1552374910188212</v>
      </c>
      <c r="C437" t="s">
        <v>40</v>
      </c>
      <c r="D437">
        <v>4.7681480000000001</v>
      </c>
      <c r="E437">
        <v>0.50435439999999998</v>
      </c>
      <c r="F437" t="s">
        <v>43</v>
      </c>
      <c r="G437">
        <v>-246.5138</v>
      </c>
      <c r="H437" s="1">
        <v>-3.1779000000000001E-6</v>
      </c>
      <c r="I437">
        <v>362.64490000000001</v>
      </c>
      <c r="J437">
        <v>-367.73259999999999</v>
      </c>
      <c r="K437">
        <v>1.109237</v>
      </c>
      <c r="L437">
        <v>368.45150000000001</v>
      </c>
      <c r="M437">
        <v>0.99985630000000003</v>
      </c>
      <c r="N437">
        <v>0</v>
      </c>
      <c r="O437">
        <v>1.381015E-2</v>
      </c>
      <c r="P437">
        <v>0.99931199999999998</v>
      </c>
      <c r="Q437">
        <v>-8.9100020000000002E-3</v>
      </c>
      <c r="R437">
        <v>-3.6003920000000002E-2</v>
      </c>
      <c r="S437">
        <v>2.9966430000000002</v>
      </c>
      <c r="T437">
        <v>-2.7364369999999999E-2</v>
      </c>
      <c r="U437">
        <v>-0.14315799999999901</v>
      </c>
      <c r="V437">
        <v>4.9801039999999998E-2</v>
      </c>
      <c r="W437">
        <v>9.4539310000000003E-4</v>
      </c>
      <c r="X437">
        <v>0.9987587</v>
      </c>
      <c r="Y437">
        <v>6.1505749999999998E-2</v>
      </c>
      <c r="Z437">
        <v>-4.067082E-4</v>
      </c>
      <c r="AA437">
        <v>0.99810670000000001</v>
      </c>
      <c r="AB437">
        <v>42</v>
      </c>
      <c r="AC437">
        <v>121.2188</v>
      </c>
      <c r="AD437">
        <v>-1.1092401779000001</v>
      </c>
      <c r="AE437">
        <v>-5.8066000000000004</v>
      </c>
      <c r="AF437">
        <v>7.4795520522251202</v>
      </c>
      <c r="AG437">
        <v>-1.1092401779000001</v>
      </c>
      <c r="AH437">
        <v>121.116926393054</v>
      </c>
      <c r="AI437">
        <v>90.523726726985302</v>
      </c>
      <c r="AJ437">
        <v>86.466198040734596</v>
      </c>
      <c r="AK437">
        <v>121.35272543941799</v>
      </c>
      <c r="AL437">
        <v>89.945832956729404</v>
      </c>
      <c r="AM437">
        <v>87.145428497198097</v>
      </c>
      <c r="AN437">
        <v>0.99999998908944199</v>
      </c>
    </row>
    <row r="438" spans="1:40" x14ac:dyDescent="0.25">
      <c r="A438" t="str">
        <f>"20190312151510204"</f>
        <v>20190312151510204</v>
      </c>
      <c r="B438" t="str">
        <f>"1552374910197973"</f>
        <v>1552374910197973</v>
      </c>
      <c r="C438" t="s">
        <v>40</v>
      </c>
      <c r="D438">
        <v>4.7125399999999997</v>
      </c>
      <c r="E438">
        <v>0.50442149999999997</v>
      </c>
      <c r="F438" t="s">
        <v>43</v>
      </c>
      <c r="G438">
        <v>-257.05919999999998</v>
      </c>
      <c r="H438" s="1">
        <v>-2.7014429999999998E-6</v>
      </c>
      <c r="I438">
        <v>363.17230000000001</v>
      </c>
      <c r="J438">
        <v>-367.50749999999999</v>
      </c>
      <c r="K438">
        <v>1.1092340000000001</v>
      </c>
      <c r="L438">
        <v>368.45479999999998</v>
      </c>
      <c r="M438">
        <v>0.99985420000000003</v>
      </c>
      <c r="N438">
        <v>0</v>
      </c>
      <c r="O438">
        <v>1.3957260000000001E-2</v>
      </c>
      <c r="P438">
        <v>0.9993204</v>
      </c>
      <c r="Q438">
        <v>-9.2644170000000005E-3</v>
      </c>
      <c r="R438">
        <v>-3.5681850000000001E-2</v>
      </c>
      <c r="S438">
        <v>2.9966740000000001</v>
      </c>
      <c r="T438">
        <v>-3.0034539999999998E-2</v>
      </c>
      <c r="U438">
        <v>-0.1429443</v>
      </c>
      <c r="V438">
        <v>4.9626360000000001E-2</v>
      </c>
      <c r="W438">
        <v>6.030241E-4</v>
      </c>
      <c r="X438">
        <v>0.99876770000000004</v>
      </c>
      <c r="Y438">
        <v>6.1580469999999998E-2</v>
      </c>
      <c r="Z438">
        <v>-4.4823630000000002E-4</v>
      </c>
      <c r="AA438">
        <v>0.99810200000000004</v>
      </c>
      <c r="AB438">
        <v>42</v>
      </c>
      <c r="AC438">
        <v>110.4483</v>
      </c>
      <c r="AD438">
        <v>-1.109236701443</v>
      </c>
      <c r="AE438">
        <v>-5.2824999999999598</v>
      </c>
      <c r="AF438">
        <v>6.8229290240813496</v>
      </c>
      <c r="AG438">
        <v>-1.109236701443</v>
      </c>
      <c r="AH438">
        <v>110.35270263096901</v>
      </c>
      <c r="AI438">
        <v>90.574805350622995</v>
      </c>
      <c r="AJ438">
        <v>86.4619983828469</v>
      </c>
      <c r="AK438">
        <v>110.568990881199</v>
      </c>
      <c r="AL438">
        <v>89.965449263029996</v>
      </c>
      <c r="AM438">
        <v>87.155450187179397</v>
      </c>
      <c r="AN438">
        <v>1.0000000289041</v>
      </c>
    </row>
    <row r="439" spans="1:40" x14ac:dyDescent="0.25">
      <c r="A439" t="str">
        <f>"20190312151510225"</f>
        <v>20190312151510225</v>
      </c>
      <c r="B439" t="str">
        <f>"1552374910218469"</f>
        <v>1552374910218469</v>
      </c>
      <c r="C439" t="s">
        <v>40</v>
      </c>
      <c r="D439">
        <v>4.7330709999999998</v>
      </c>
      <c r="E439">
        <v>0.50448700000000002</v>
      </c>
      <c r="F439" t="s">
        <v>43</v>
      </c>
      <c r="G439">
        <v>-261.7466</v>
      </c>
      <c r="H439" s="1">
        <v>-4.62085E-6</v>
      </c>
      <c r="I439">
        <v>363.4271</v>
      </c>
      <c r="J439">
        <v>-367.14479999999998</v>
      </c>
      <c r="K439">
        <v>1.109232</v>
      </c>
      <c r="L439">
        <v>368.46</v>
      </c>
      <c r="M439">
        <v>0.99985069999999998</v>
      </c>
      <c r="N439">
        <v>0</v>
      </c>
      <c r="O439">
        <v>1.4194389999999999E-2</v>
      </c>
      <c r="P439">
        <v>0.99932860000000001</v>
      </c>
      <c r="Q439">
        <v>-9.5966369999999999E-3</v>
      </c>
      <c r="R439">
        <v>-3.5363459999999999E-2</v>
      </c>
      <c r="S439">
        <v>2.9967350000000001</v>
      </c>
      <c r="T439">
        <v>-3.1430239999999998E-2</v>
      </c>
      <c r="U439">
        <v>-0.1424561</v>
      </c>
      <c r="V439">
        <v>4.9545029999999997E-2</v>
      </c>
      <c r="W439">
        <v>2.9021899999999998E-4</v>
      </c>
      <c r="X439">
        <v>0.99877179999999999</v>
      </c>
      <c r="Y439">
        <v>6.1653609999999998E-2</v>
      </c>
      <c r="Z439">
        <v>-4.7192639999999998E-4</v>
      </c>
      <c r="AA439">
        <v>0.99809749999999997</v>
      </c>
      <c r="AB439">
        <v>42</v>
      </c>
      <c r="AC439">
        <v>105.39819999999899</v>
      </c>
      <c r="AD439">
        <v>-1.10923662085</v>
      </c>
      <c r="AE439">
        <v>-5.0328999999999802</v>
      </c>
      <c r="AF439">
        <v>6.5278073285899199</v>
      </c>
      <c r="AG439">
        <v>-1.10923662085</v>
      </c>
      <c r="AH439">
        <v>105.304501201121</v>
      </c>
      <c r="AI439">
        <v>90.602352968558705</v>
      </c>
      <c r="AJ439">
        <v>86.452783830584295</v>
      </c>
      <c r="AK439">
        <v>105.51246678766</v>
      </c>
      <c r="AL439">
        <v>89.983371675123095</v>
      </c>
      <c r="AM439">
        <v>87.160115969578797</v>
      </c>
      <c r="AN439">
        <v>0.99999995135000297</v>
      </c>
    </row>
    <row r="440" spans="1:40" x14ac:dyDescent="0.25">
      <c r="A440" t="str">
        <f>"20190312151510246"</f>
        <v>20190312151510246</v>
      </c>
      <c r="B440" t="str">
        <f>"1552374910237989"</f>
        <v>1552374910237989</v>
      </c>
      <c r="C440" t="s">
        <v>40</v>
      </c>
      <c r="D440">
        <v>4.7125750000000002</v>
      </c>
      <c r="E440">
        <v>0.50977380000000005</v>
      </c>
      <c r="F440" t="s">
        <v>43</v>
      </c>
      <c r="G440">
        <v>-265.56549999999999</v>
      </c>
      <c r="H440" s="1">
        <v>-3.0812849999999998E-6</v>
      </c>
      <c r="I440">
        <v>363.65499999999997</v>
      </c>
      <c r="J440">
        <v>-366.73770000000002</v>
      </c>
      <c r="K440">
        <v>1.109235</v>
      </c>
      <c r="L440">
        <v>368.46600000000001</v>
      </c>
      <c r="M440">
        <v>0.99984660000000003</v>
      </c>
      <c r="N440">
        <v>0</v>
      </c>
      <c r="O440">
        <v>1.446043E-2</v>
      </c>
      <c r="P440">
        <v>0.9993495</v>
      </c>
      <c r="Q440">
        <v>-9.5843730000000002E-3</v>
      </c>
      <c r="R440">
        <v>-3.4765339999999999E-2</v>
      </c>
      <c r="S440">
        <v>2.9967350000000001</v>
      </c>
      <c r="T440">
        <v>-3.2724019999999999E-2</v>
      </c>
      <c r="U440">
        <v>-0.1417542</v>
      </c>
      <c r="V440">
        <v>4.9213119999999999E-2</v>
      </c>
      <c r="W440">
        <v>3.2264389999999999E-4</v>
      </c>
      <c r="X440">
        <v>0.99878820000000001</v>
      </c>
      <c r="Y440">
        <v>6.168556E-2</v>
      </c>
      <c r="Z440">
        <v>-4.9443230000000005E-4</v>
      </c>
      <c r="AA440">
        <v>0.99809550000000002</v>
      </c>
      <c r="AB440">
        <v>42</v>
      </c>
      <c r="AC440">
        <v>101.1722</v>
      </c>
      <c r="AD440">
        <v>-1.109238081285</v>
      </c>
      <c r="AE440">
        <v>-4.8110000000000301</v>
      </c>
      <c r="AF440">
        <v>6.2728095632610996</v>
      </c>
      <c r="AG440">
        <v>-1.109238081285</v>
      </c>
      <c r="AH440">
        <v>101.079925100971</v>
      </c>
      <c r="AI440">
        <v>90.627524170447401</v>
      </c>
      <c r="AJ440">
        <v>86.448897271614499</v>
      </c>
      <c r="AK440">
        <v>101.280451259637</v>
      </c>
      <c r="AL440">
        <v>89.981513865033804</v>
      </c>
      <c r="AM440">
        <v>87.179156214038102</v>
      </c>
      <c r="AN440">
        <v>0.99999995186922896</v>
      </c>
    </row>
    <row r="441" spans="1:40" x14ac:dyDescent="0.25">
      <c r="A441" t="str">
        <f>"20190312151510259"</f>
        <v>20190312151510259</v>
      </c>
      <c r="B441" t="str">
        <f>"1552374910248724"</f>
        <v>1552374910248724</v>
      </c>
      <c r="C441" t="s">
        <v>40</v>
      </c>
      <c r="D441">
        <v>4.6821859999999997</v>
      </c>
      <c r="E441">
        <v>0.50985970000000003</v>
      </c>
      <c r="F441" t="s">
        <v>43</v>
      </c>
      <c r="G441">
        <v>-341.90839999999997</v>
      </c>
      <c r="H441" s="1">
        <v>-4.2776310000000001E-6</v>
      </c>
      <c r="I441">
        <v>366.95429999999999</v>
      </c>
      <c r="J441">
        <v>-366.51139999999998</v>
      </c>
      <c r="K441">
        <v>1.109237</v>
      </c>
      <c r="L441">
        <v>368.46940000000001</v>
      </c>
      <c r="M441">
        <v>0.99984439999999997</v>
      </c>
      <c r="N441">
        <v>0</v>
      </c>
      <c r="O441">
        <v>1.460814E-2</v>
      </c>
      <c r="P441">
        <v>0.99936000000000003</v>
      </c>
      <c r="Q441">
        <v>-9.4867649999999994E-3</v>
      </c>
      <c r="R441">
        <v>-3.4495919999999999E-2</v>
      </c>
      <c r="S441">
        <v>2.9942929999999999</v>
      </c>
      <c r="T441">
        <v>-0.133769</v>
      </c>
      <c r="U441">
        <v>-0.182312</v>
      </c>
      <c r="V441">
        <v>4.909144E-2</v>
      </c>
      <c r="W441">
        <v>4.3136269999999999E-4</v>
      </c>
      <c r="X441">
        <v>0.99879419999999997</v>
      </c>
      <c r="Y441">
        <v>7.5259999999999994E-2</v>
      </c>
      <c r="Z441">
        <v>-2.3304900000000002E-3</v>
      </c>
      <c r="AA441">
        <v>0.99716119999999997</v>
      </c>
      <c r="AB441">
        <v>42</v>
      </c>
      <c r="AC441">
        <v>24.603000000000002</v>
      </c>
      <c r="AD441">
        <v>-1.1092412776309899</v>
      </c>
      <c r="AE441">
        <v>-1.5151000000000101</v>
      </c>
      <c r="AF441">
        <v>1.87057198730218</v>
      </c>
      <c r="AG441">
        <v>-1.1092412776309899</v>
      </c>
      <c r="AH441">
        <v>24.528569460811699</v>
      </c>
      <c r="AI441">
        <v>92.581803227336394</v>
      </c>
      <c r="AJ441">
        <v>85.639010519049194</v>
      </c>
      <c r="AK441">
        <v>24.624787827828001</v>
      </c>
      <c r="AL441">
        <v>89.975284737201605</v>
      </c>
      <c r="AM441">
        <v>87.186136435679302</v>
      </c>
      <c r="AN441">
        <v>1.00000000475434</v>
      </c>
    </row>
    <row r="442" spans="1:40" x14ac:dyDescent="0.25">
      <c r="A442" t="str">
        <f>"20190312151510271"</f>
        <v>20190312151510271</v>
      </c>
      <c r="B442" t="str">
        <f>"1552374910268246"</f>
        <v>1552374910268246</v>
      </c>
      <c r="C442" t="s">
        <v>40</v>
      </c>
      <c r="D442">
        <v>4.6789129999999997</v>
      </c>
      <c r="E442">
        <v>0.50979160000000001</v>
      </c>
      <c r="F442" t="s">
        <v>43</v>
      </c>
      <c r="G442">
        <v>-342.02120000000002</v>
      </c>
      <c r="H442" s="1">
        <v>-4.2201840000000003E-6</v>
      </c>
      <c r="I442">
        <v>366.9776</v>
      </c>
      <c r="J442">
        <v>-366.26920000000001</v>
      </c>
      <c r="K442">
        <v>1.1092409999999999</v>
      </c>
      <c r="L442">
        <v>368.47300000000001</v>
      </c>
      <c r="M442">
        <v>0.99984189999999995</v>
      </c>
      <c r="N442">
        <v>0</v>
      </c>
      <c r="O442">
        <v>1.4766400000000001E-2</v>
      </c>
      <c r="P442">
        <v>0.99936849999999999</v>
      </c>
      <c r="Q442">
        <v>-9.6543419999999998E-3</v>
      </c>
      <c r="R442">
        <v>-3.4196160000000003E-2</v>
      </c>
      <c r="S442">
        <v>2.994354</v>
      </c>
      <c r="T442">
        <v>-0.13562389999999999</v>
      </c>
      <c r="U442">
        <v>-0.1824036</v>
      </c>
      <c r="V442">
        <v>4.8950019999999997E-2</v>
      </c>
      <c r="W442">
        <v>2.7543700000000001E-4</v>
      </c>
      <c r="X442">
        <v>0.99880119999999895</v>
      </c>
      <c r="Y442">
        <v>7.5444120000000003E-2</v>
      </c>
      <c r="Z442">
        <v>-2.3740459999999999E-3</v>
      </c>
      <c r="AA442">
        <v>0.99714720000000001</v>
      </c>
      <c r="AB442">
        <v>42</v>
      </c>
      <c r="AC442">
        <v>24.247999999999902</v>
      </c>
      <c r="AD442">
        <v>-1.109245220184</v>
      </c>
      <c r="AE442">
        <v>-1.4954000000000101</v>
      </c>
      <c r="AF442">
        <v>1.8494545215996601</v>
      </c>
      <c r="AG442">
        <v>-1.109245220184</v>
      </c>
      <c r="AH442">
        <v>24.172878754457798</v>
      </c>
      <c r="AI442">
        <v>92.619700430285306</v>
      </c>
      <c r="AJ442">
        <v>85.624853025504606</v>
      </c>
      <c r="AK442">
        <v>24.268889019971301</v>
      </c>
      <c r="AL442">
        <v>89.984218622316305</v>
      </c>
      <c r="AM442">
        <v>87.194249124605605</v>
      </c>
      <c r="AN442">
        <v>1.0000000087224901</v>
      </c>
    </row>
    <row r="443" spans="1:40" x14ac:dyDescent="0.25">
      <c r="A443" t="str">
        <f>"20190312151510283"</f>
        <v>20190312151510283</v>
      </c>
      <c r="B443" t="str">
        <f>"1552374910278004"</f>
        <v>1552374910278004</v>
      </c>
      <c r="C443" t="s">
        <v>40</v>
      </c>
      <c r="D443">
        <v>4.7141380000000002</v>
      </c>
      <c r="E443">
        <v>0.50976179999999904</v>
      </c>
      <c r="F443" t="s">
        <v>43</v>
      </c>
      <c r="G443">
        <v>-341.28019999999998</v>
      </c>
      <c r="H443" s="1">
        <v>-4.5731210000000003E-6</v>
      </c>
      <c r="I443">
        <v>366.96280000000002</v>
      </c>
      <c r="J443">
        <v>-366.05169999999998</v>
      </c>
      <c r="K443">
        <v>1.1092420000000001</v>
      </c>
      <c r="L443">
        <v>368.47629999999998</v>
      </c>
      <c r="M443">
        <v>0.99983979999999995</v>
      </c>
      <c r="N443">
        <v>0</v>
      </c>
      <c r="O443">
        <v>1.4908390000000001E-2</v>
      </c>
      <c r="P443">
        <v>0.99938009999999999</v>
      </c>
      <c r="Q443">
        <v>-9.5313169999999992E-3</v>
      </c>
      <c r="R443">
        <v>-3.3896019999999999E-2</v>
      </c>
      <c r="S443">
        <v>2.9943849999999999</v>
      </c>
      <c r="T443">
        <v>-0.13291839999999999</v>
      </c>
      <c r="U443">
        <v>-0.1809692</v>
      </c>
      <c r="V443">
        <v>4.8791790000000002E-2</v>
      </c>
      <c r="W443">
        <v>4.0799770000000003E-4</v>
      </c>
      <c r="X443">
        <v>0.9988089</v>
      </c>
      <c r="Y443">
        <v>7.5113070000000004E-2</v>
      </c>
      <c r="Z443">
        <v>-2.3257E-3</v>
      </c>
      <c r="AA443">
        <v>0.99717230000000001</v>
      </c>
      <c r="AB443">
        <v>42</v>
      </c>
      <c r="AC443">
        <v>24.7715</v>
      </c>
      <c r="AD443">
        <v>-1.1092465731209999</v>
      </c>
      <c r="AE443">
        <v>-1.5134999999999601</v>
      </c>
      <c r="AF443">
        <v>1.87889957551936</v>
      </c>
      <c r="AG443">
        <v>-1.1092465731209999</v>
      </c>
      <c r="AH443">
        <v>24.696844525215099</v>
      </c>
      <c r="AI443">
        <v>92.564282949162603</v>
      </c>
      <c r="AJ443">
        <v>85.649402192905598</v>
      </c>
      <c r="AK443">
        <v>24.793039770821</v>
      </c>
      <c r="AL443">
        <v>89.976623453370294</v>
      </c>
      <c r="AM443">
        <v>87.203325764181002</v>
      </c>
      <c r="AN443">
        <v>1.0000000119763599</v>
      </c>
    </row>
    <row r="444" spans="1:40" x14ac:dyDescent="0.25">
      <c r="A444" t="str">
        <f>"20190312151510302"</f>
        <v>20190312151510302</v>
      </c>
      <c r="B444" t="str">
        <f>"1552374910298501"</f>
        <v>1552374910298501</v>
      </c>
      <c r="C444" t="s">
        <v>40</v>
      </c>
      <c r="D444">
        <v>4.7825550000000003</v>
      </c>
      <c r="E444">
        <v>0.50986149999999997</v>
      </c>
      <c r="F444" t="s">
        <v>43</v>
      </c>
      <c r="G444">
        <v>-341.31450000000001</v>
      </c>
      <c r="H444" s="1">
        <v>-4.5516349999999997E-6</v>
      </c>
      <c r="I444">
        <v>366.99220000000003</v>
      </c>
      <c r="J444">
        <v>-365.69779999999997</v>
      </c>
      <c r="K444">
        <v>1.1092439999999999</v>
      </c>
      <c r="L444">
        <v>368.48180000000002</v>
      </c>
      <c r="M444">
        <v>0.99983610000000001</v>
      </c>
      <c r="N444">
        <v>0</v>
      </c>
      <c r="O444">
        <v>1.5139700000000001E-2</v>
      </c>
      <c r="P444">
        <v>0.99940689999999999</v>
      </c>
      <c r="Q444">
        <v>-9.0083739999999995E-3</v>
      </c>
      <c r="R444">
        <v>-3.3239890000000001E-2</v>
      </c>
      <c r="S444">
        <v>2.9944760000000001</v>
      </c>
      <c r="T444">
        <v>-0.13427620000000001</v>
      </c>
      <c r="U444">
        <v>-0.17965699999999901</v>
      </c>
      <c r="V444">
        <v>4.836683E-2</v>
      </c>
      <c r="W444">
        <v>9.4586989999999999E-4</v>
      </c>
      <c r="X444">
        <v>0.99882919999999997</v>
      </c>
      <c r="Y444">
        <v>7.4904689999999996E-2</v>
      </c>
      <c r="Z444">
        <v>-2.3550870000000001E-3</v>
      </c>
      <c r="AA444">
        <v>0.99718790000000002</v>
      </c>
      <c r="AB444">
        <v>42</v>
      </c>
      <c r="AC444">
        <v>24.383299999999899</v>
      </c>
      <c r="AD444">
        <v>-1.1092485516349999</v>
      </c>
      <c r="AE444">
        <v>-1.48959999999999</v>
      </c>
      <c r="AF444">
        <v>1.8547790406301601</v>
      </c>
      <c r="AG444">
        <v>-1.1092485516349999</v>
      </c>
      <c r="AH444">
        <v>24.307833039090902</v>
      </c>
      <c r="AI444">
        <v>92.605224719897805</v>
      </c>
      <c r="AJ444">
        <v>85.636571867762896</v>
      </c>
      <c r="AK444">
        <v>24.4037166164333</v>
      </c>
      <c r="AL444">
        <v>89.9458056391056</v>
      </c>
      <c r="AM444">
        <v>87.227701940373706</v>
      </c>
      <c r="AN444">
        <v>1.00000000784337</v>
      </c>
    </row>
    <row r="445" spans="1:40" x14ac:dyDescent="0.25">
      <c r="A445" t="str">
        <f>"20190312151510315"</f>
        <v>20190312151510315</v>
      </c>
      <c r="B445" t="str">
        <f>"1552374910308260"</f>
        <v>1552374910308260</v>
      </c>
      <c r="C445" t="s">
        <v>40</v>
      </c>
      <c r="D445">
        <v>4.7628629999999896</v>
      </c>
      <c r="E445">
        <v>0.50985979999999997</v>
      </c>
      <c r="F445" t="s">
        <v>43</v>
      </c>
      <c r="G445">
        <v>-341.41399999999999</v>
      </c>
      <c r="H445" s="1">
        <v>-4.497013E-6</v>
      </c>
      <c r="I445">
        <v>367.0351</v>
      </c>
      <c r="J445">
        <v>-365.46480000000003</v>
      </c>
      <c r="K445">
        <v>1.1092439999999999</v>
      </c>
      <c r="L445">
        <v>368.48540000000003</v>
      </c>
      <c r="M445">
        <v>0.99983370000000005</v>
      </c>
      <c r="N445">
        <v>0</v>
      </c>
      <c r="O445">
        <v>1.529207E-2</v>
      </c>
      <c r="P445">
        <v>0.99941679999999999</v>
      </c>
      <c r="Q445">
        <v>-9.0250609999999992E-3</v>
      </c>
      <c r="R445">
        <v>-3.2939969999999999E-2</v>
      </c>
      <c r="S445">
        <v>2.9946290000000002</v>
      </c>
      <c r="T445">
        <v>-0.13679040000000001</v>
      </c>
      <c r="U445">
        <v>-0.1784058</v>
      </c>
      <c r="V445">
        <v>4.8219089999999999E-2</v>
      </c>
      <c r="W445">
        <v>9.3919429999999996E-4</v>
      </c>
      <c r="X445">
        <v>0.99883630000000001</v>
      </c>
      <c r="Y445">
        <v>7.4635160000000006E-2</v>
      </c>
      <c r="Z445">
        <v>-2.3998510000000002E-3</v>
      </c>
      <c r="AA445">
        <v>0.99720799999999998</v>
      </c>
      <c r="AB445">
        <v>42</v>
      </c>
      <c r="AC445">
        <v>24.050799999999999</v>
      </c>
      <c r="AD445">
        <v>-1.1092484970129901</v>
      </c>
      <c r="AE445">
        <v>-1.4503000000000199</v>
      </c>
      <c r="AF445">
        <v>1.81409020655724</v>
      </c>
      <c r="AG445">
        <v>-1.1092484970129901</v>
      </c>
      <c r="AH445">
        <v>23.974994566190801</v>
      </c>
      <c r="AI445">
        <v>92.641468462681104</v>
      </c>
      <c r="AJ445">
        <v>85.672907132229398</v>
      </c>
      <c r="AK445">
        <v>24.069103015163101</v>
      </c>
      <c r="AL445">
        <v>89.946188120320897</v>
      </c>
      <c r="AM445">
        <v>87.236176591632599</v>
      </c>
      <c r="AN445">
        <v>0.99999995846202405</v>
      </c>
    </row>
    <row r="446" spans="1:40" x14ac:dyDescent="0.25">
      <c r="A446" t="str">
        <f>"20190312151510325"</f>
        <v>20190312151510325</v>
      </c>
      <c r="B446" t="str">
        <f>"1552374910318021"</f>
        <v>1552374910318021</v>
      </c>
      <c r="C446" t="s">
        <v>40</v>
      </c>
      <c r="D446">
        <v>4.7180660000000003</v>
      </c>
      <c r="E446">
        <v>0.50986339999999997</v>
      </c>
      <c r="F446" t="s">
        <v>43</v>
      </c>
      <c r="G446">
        <v>-341.70979999999997</v>
      </c>
      <c r="H446" s="1">
        <v>-4.3496520000000004E-6</v>
      </c>
      <c r="I446">
        <v>367.07749999999999</v>
      </c>
      <c r="J446">
        <v>-365.24919999999997</v>
      </c>
      <c r="K446">
        <v>1.1092470000000001</v>
      </c>
      <c r="L446">
        <v>368.48880000000003</v>
      </c>
      <c r="M446">
        <v>0.99983160000000004</v>
      </c>
      <c r="N446">
        <v>0</v>
      </c>
      <c r="O446">
        <v>1.543257E-2</v>
      </c>
      <c r="P446">
        <v>0.99943070000000001</v>
      </c>
      <c r="Q446">
        <v>-9.1138480000000008E-3</v>
      </c>
      <c r="R446">
        <v>-3.2492279999999998E-2</v>
      </c>
      <c r="S446">
        <v>2.9946290000000002</v>
      </c>
      <c r="T446">
        <v>-0.13983570000000001</v>
      </c>
      <c r="U446">
        <v>-0.17749019999999999</v>
      </c>
      <c r="V446">
        <v>4.7912299999999998E-2</v>
      </c>
      <c r="W446">
        <v>8.5860880000000002E-4</v>
      </c>
      <c r="X446">
        <v>0.99885119999999905</v>
      </c>
      <c r="Y446">
        <v>7.4467309999999995E-2</v>
      </c>
      <c r="Z446">
        <v>-2.4558819999999999E-3</v>
      </c>
      <c r="AA446">
        <v>0.99722049999999995</v>
      </c>
      <c r="AB446">
        <v>42</v>
      </c>
      <c r="AC446">
        <v>23.539400000000001</v>
      </c>
      <c r="AD446">
        <v>-1.10925134965199</v>
      </c>
      <c r="AE446">
        <v>-1.41130000000003</v>
      </c>
      <c r="AF446">
        <v>1.7705057704641201</v>
      </c>
      <c r="AG446">
        <v>-1.10925134965199</v>
      </c>
      <c r="AH446">
        <v>23.4629004127444</v>
      </c>
      <c r="AI446">
        <v>92.699084679612199</v>
      </c>
      <c r="AJ446">
        <v>85.684650336491401</v>
      </c>
      <c r="AK446">
        <v>23.5557386854735</v>
      </c>
      <c r="AL446">
        <v>89.950805334580494</v>
      </c>
      <c r="AM446">
        <v>87.253775088412496</v>
      </c>
      <c r="AN446">
        <v>1.0000000227209001</v>
      </c>
    </row>
    <row r="447" spans="1:40" x14ac:dyDescent="0.25">
      <c r="A447" t="str">
        <f>"20190312151510338"</f>
        <v>20190312151510338</v>
      </c>
      <c r="B447" t="str">
        <f>"1552374910327781"</f>
        <v>1552374910327781</v>
      </c>
      <c r="C447" t="s">
        <v>40</v>
      </c>
      <c r="D447">
        <v>4.6990639999999999</v>
      </c>
      <c r="E447">
        <v>0.50989129999999905</v>
      </c>
      <c r="F447" t="s">
        <v>43</v>
      </c>
      <c r="G447">
        <v>-341.6266</v>
      </c>
      <c r="H447" s="1">
        <v>-4.3856330000000003E-6</v>
      </c>
      <c r="I447">
        <v>367.09649999999999</v>
      </c>
      <c r="J447">
        <v>-365.02600000000001</v>
      </c>
      <c r="K447">
        <v>1.109248</v>
      </c>
      <c r="L447">
        <v>368.49239999999998</v>
      </c>
      <c r="M447">
        <v>0.99982910000000003</v>
      </c>
      <c r="N447">
        <v>0</v>
      </c>
      <c r="O447">
        <v>1.5578379999999999E-2</v>
      </c>
      <c r="P447">
        <v>0.99944259999999996</v>
      </c>
      <c r="Q447">
        <v>-8.9996759999999999E-3</v>
      </c>
      <c r="R447">
        <v>-3.2148179999999998E-2</v>
      </c>
      <c r="S447">
        <v>2.994659</v>
      </c>
      <c r="T447">
        <v>-0.14062089999999999</v>
      </c>
      <c r="U447">
        <v>-0.1765137</v>
      </c>
      <c r="V447">
        <v>4.7714039999999999E-2</v>
      </c>
      <c r="W447">
        <v>9.8115599999999996E-4</v>
      </c>
      <c r="X447">
        <v>0.99886050000000004</v>
      </c>
      <c r="Y447">
        <v>7.4287010000000001E-2</v>
      </c>
      <c r="Z447">
        <v>-2.4722670000000002E-3</v>
      </c>
      <c r="AA447">
        <v>0.99723390000000001</v>
      </c>
      <c r="AB447">
        <v>42</v>
      </c>
      <c r="AC447">
        <v>23.3994</v>
      </c>
      <c r="AD447">
        <v>-1.1092523856329899</v>
      </c>
      <c r="AE447">
        <v>-1.3958999999999799</v>
      </c>
      <c r="AF447">
        <v>1.75634045717235</v>
      </c>
      <c r="AG447">
        <v>-1.1092523856329899</v>
      </c>
      <c r="AH447">
        <v>23.322587441239701</v>
      </c>
      <c r="AI447">
        <v>92.715332343684693</v>
      </c>
      <c r="AJ447">
        <v>85.6933889654822</v>
      </c>
      <c r="AK447">
        <v>23.414915280880301</v>
      </c>
      <c r="AL447">
        <v>89.943783890065404</v>
      </c>
      <c r="AM447">
        <v>87.265147040117697</v>
      </c>
      <c r="AN447">
        <v>0.99999994537023196</v>
      </c>
    </row>
    <row r="448" spans="1:40" x14ac:dyDescent="0.25">
      <c r="A448" t="str">
        <f>"20190312151510359"</f>
        <v>20190312151510359</v>
      </c>
      <c r="B448" t="str">
        <f>"1552374910348278"</f>
        <v>1552374910348278</v>
      </c>
      <c r="C448" t="s">
        <v>40</v>
      </c>
      <c r="D448">
        <v>4.7061729999999997</v>
      </c>
      <c r="E448">
        <v>0.51029440000000004</v>
      </c>
      <c r="F448" t="s">
        <v>43</v>
      </c>
      <c r="G448">
        <v>-341.40730000000002</v>
      </c>
      <c r="H448" s="1">
        <v>-4.4870859999999998E-6</v>
      </c>
      <c r="I448">
        <v>367.10890000000001</v>
      </c>
      <c r="J448">
        <v>-364.6429</v>
      </c>
      <c r="K448">
        <v>1.109243</v>
      </c>
      <c r="L448">
        <v>368.49849999999998</v>
      </c>
      <c r="M448">
        <v>0.99982499999999996</v>
      </c>
      <c r="N448">
        <v>0</v>
      </c>
      <c r="O448">
        <v>1.582836E-2</v>
      </c>
      <c r="P448">
        <v>0.99946639999999998</v>
      </c>
      <c r="Q448">
        <v>-9.5473269999999995E-3</v>
      </c>
      <c r="R448">
        <v>-3.12389E-2</v>
      </c>
      <c r="S448">
        <v>2.9947509999999999</v>
      </c>
      <c r="T448">
        <v>-0.1406482</v>
      </c>
      <c r="U448">
        <v>-0.17541499999999999</v>
      </c>
      <c r="V448">
        <v>4.7055340000000001E-2</v>
      </c>
      <c r="W448">
        <v>4.4757519999999998E-4</v>
      </c>
      <c r="X448">
        <v>0.99889220000000001</v>
      </c>
      <c r="Y448">
        <v>7.4169789999999999E-2</v>
      </c>
      <c r="Z448">
        <v>-2.4816740000000001E-3</v>
      </c>
      <c r="AA448">
        <v>0.99724250000000003</v>
      </c>
      <c r="AB448">
        <v>42</v>
      </c>
      <c r="AC448">
        <v>23.235599999999899</v>
      </c>
      <c r="AD448">
        <v>-1.1092474870860001</v>
      </c>
      <c r="AE448">
        <v>-1.38959999999997</v>
      </c>
      <c r="AF448">
        <v>1.7532441788219399</v>
      </c>
      <c r="AG448">
        <v>-1.1092474870860001</v>
      </c>
      <c r="AH448">
        <v>23.158102850759601</v>
      </c>
      <c r="AI448">
        <v>92.734495011490594</v>
      </c>
      <c r="AJ448">
        <v>85.670533600703095</v>
      </c>
      <c r="AK448">
        <v>23.250849936820401</v>
      </c>
      <c r="AL448">
        <v>89.974355829586599</v>
      </c>
      <c r="AM448">
        <v>87.302931452555896</v>
      </c>
      <c r="AN448">
        <v>1.0000000162834499</v>
      </c>
    </row>
    <row r="449" spans="1:40" x14ac:dyDescent="0.25">
      <c r="A449" t="str">
        <f>"20190312151510381"</f>
        <v>20190312151510381</v>
      </c>
      <c r="B449" t="str">
        <f>"1552374910378532"</f>
        <v>1552374910378532</v>
      </c>
      <c r="C449" t="s">
        <v>40</v>
      </c>
      <c r="D449">
        <v>4.7670500000000002</v>
      </c>
      <c r="E449">
        <v>0.51037809999999995</v>
      </c>
      <c r="F449" t="s">
        <v>43</v>
      </c>
      <c r="G449">
        <v>-341.07409999999999</v>
      </c>
      <c r="H449" s="1">
        <v>-4.643696E-6</v>
      </c>
      <c r="I449">
        <v>367.11399999999998</v>
      </c>
      <c r="J449">
        <v>-364.21730000000002</v>
      </c>
      <c r="K449">
        <v>1.109237</v>
      </c>
      <c r="L449">
        <v>368.50549999999998</v>
      </c>
      <c r="M449">
        <v>0.99982040000000005</v>
      </c>
      <c r="N449">
        <v>0</v>
      </c>
      <c r="O449">
        <v>1.610557E-2</v>
      </c>
      <c r="P449">
        <v>0.99947759999999997</v>
      </c>
      <c r="Q449">
        <v>-9.6742430000000008E-3</v>
      </c>
      <c r="R449">
        <v>-3.0837839999999998E-2</v>
      </c>
      <c r="S449">
        <v>2.9947810000000001</v>
      </c>
      <c r="T449">
        <v>-0.1409475</v>
      </c>
      <c r="U449">
        <v>-0.1759338</v>
      </c>
      <c r="V449">
        <v>4.6931550000000002E-2</v>
      </c>
      <c r="W449">
        <v>3.3504169999999997E-4</v>
      </c>
      <c r="X449">
        <v>0.99889799999999995</v>
      </c>
      <c r="Y449">
        <v>7.4616639999999998E-2</v>
      </c>
      <c r="Z449">
        <v>-2.5104419999999999E-3</v>
      </c>
      <c r="AA449">
        <v>0.99720909999999996</v>
      </c>
      <c r="AB449">
        <v>42</v>
      </c>
      <c r="AC449">
        <v>23.1432</v>
      </c>
      <c r="AD449">
        <v>-1.109241643696</v>
      </c>
      <c r="AE449">
        <v>-1.39149999999995</v>
      </c>
      <c r="AF449">
        <v>1.76004385339559</v>
      </c>
      <c r="AG449">
        <v>-1.109241643696</v>
      </c>
      <c r="AH449">
        <v>23.064991079376199</v>
      </c>
      <c r="AI449">
        <v>92.745378296300601</v>
      </c>
      <c r="AJ449">
        <v>85.636329028774995</v>
      </c>
      <c r="AK449">
        <v>23.158626575893699</v>
      </c>
      <c r="AL449">
        <v>89.980803523281693</v>
      </c>
      <c r="AM449">
        <v>87.310031878467797</v>
      </c>
      <c r="AN449">
        <v>0.99999994852117002</v>
      </c>
    </row>
    <row r="450" spans="1:40" x14ac:dyDescent="0.25">
      <c r="A450" t="str">
        <f>"20190312151510402"</f>
        <v>20190312151510402</v>
      </c>
      <c r="B450" t="str">
        <f>"1552374910398053"</f>
        <v>1552374910398053</v>
      </c>
      <c r="C450" t="s">
        <v>40</v>
      </c>
      <c r="D450">
        <v>4.8432539999999999</v>
      </c>
      <c r="E450">
        <v>0.51039420000000002</v>
      </c>
      <c r="F450" t="s">
        <v>43</v>
      </c>
      <c r="G450">
        <v>-341.15699999999998</v>
      </c>
      <c r="H450" s="1">
        <v>-4.5970990000000002E-6</v>
      </c>
      <c r="I450">
        <v>367.15589999999997</v>
      </c>
      <c r="J450">
        <v>-363.80160000000001</v>
      </c>
      <c r="K450">
        <v>1.1092280000000001</v>
      </c>
      <c r="L450">
        <v>368.51240000000001</v>
      </c>
      <c r="M450">
        <v>0.99981609999999999</v>
      </c>
      <c r="N450">
        <v>0</v>
      </c>
      <c r="O450">
        <v>1.6376229999999999E-2</v>
      </c>
      <c r="P450">
        <v>0.99948040000000005</v>
      </c>
      <c r="Q450">
        <v>-9.9969929999999992E-3</v>
      </c>
      <c r="R450">
        <v>-3.0643960000000001E-2</v>
      </c>
      <c r="S450">
        <v>2.9947509999999999</v>
      </c>
      <c r="T450">
        <v>-0.1440526</v>
      </c>
      <c r="U450">
        <v>-0.17526249999999999</v>
      </c>
      <c r="V450">
        <v>4.7008510000000003E-2</v>
      </c>
      <c r="W450" s="1">
        <v>2.5612670000000001E-5</v>
      </c>
      <c r="X450">
        <v>0.99889450000000002</v>
      </c>
      <c r="Y450">
        <v>7.4659569999999995E-2</v>
      </c>
      <c r="Z450">
        <v>-2.5797630000000001E-3</v>
      </c>
      <c r="AA450">
        <v>0.99720569999999997</v>
      </c>
      <c r="AB450">
        <v>42</v>
      </c>
      <c r="AC450">
        <v>22.644600000000001</v>
      </c>
      <c r="AD450">
        <v>-1.109232597099</v>
      </c>
      <c r="AE450">
        <v>-1.35650000000003</v>
      </c>
      <c r="AF450">
        <v>1.7230500903196</v>
      </c>
      <c r="AG450">
        <v>-1.109232597099</v>
      </c>
      <c r="AH450">
        <v>22.565396142825101</v>
      </c>
      <c r="AI450">
        <v>92.806031028268507</v>
      </c>
      <c r="AJ450">
        <v>85.633478137721696</v>
      </c>
      <c r="AK450">
        <v>22.658252396220799</v>
      </c>
      <c r="AL450">
        <v>89.998532502123496</v>
      </c>
      <c r="AM450">
        <v>87.305617842667402</v>
      </c>
      <c r="AN450">
        <v>1.0000000113993299</v>
      </c>
    </row>
    <row r="451" spans="1:40" x14ac:dyDescent="0.25">
      <c r="A451" t="str">
        <f>"20190312151510414"</f>
        <v>20190312151510414</v>
      </c>
      <c r="B451" t="str">
        <f>"1552374910407812"</f>
        <v>1552374910407812</v>
      </c>
      <c r="C451" t="s">
        <v>40</v>
      </c>
      <c r="D451">
        <v>4.6997629999999999</v>
      </c>
      <c r="E451">
        <v>0.51020319999999997</v>
      </c>
      <c r="F451" t="s">
        <v>43</v>
      </c>
      <c r="G451">
        <v>-340.99340000000001</v>
      </c>
      <c r="H451" s="1">
        <v>-4.6705350000000003E-6</v>
      </c>
      <c r="I451">
        <v>367.17779999999999</v>
      </c>
      <c r="J451">
        <v>-363.58030000000002</v>
      </c>
      <c r="K451">
        <v>1.1092249999999999</v>
      </c>
      <c r="L451">
        <v>368.51609999999999</v>
      </c>
      <c r="M451">
        <v>0.99981359999999997</v>
      </c>
      <c r="N451">
        <v>0</v>
      </c>
      <c r="O451">
        <v>1.652033E-2</v>
      </c>
      <c r="P451">
        <v>0.99947359999999996</v>
      </c>
      <c r="Q451">
        <v>-1.058723E-2</v>
      </c>
      <c r="R451">
        <v>-3.0672970000000001E-2</v>
      </c>
      <c r="S451">
        <v>2.9946899999999999</v>
      </c>
      <c r="T451">
        <v>-0.14564089999999999</v>
      </c>
      <c r="U451">
        <v>-0.1752319</v>
      </c>
      <c r="V451">
        <v>4.7181599999999997E-2</v>
      </c>
      <c r="W451">
        <v>-5.5777159999999997E-4</v>
      </c>
      <c r="X451">
        <v>0.99888619999999995</v>
      </c>
      <c r="Y451">
        <v>7.4791670000000005E-2</v>
      </c>
      <c r="Z451">
        <v>-2.618432E-3</v>
      </c>
      <c r="AA451">
        <v>0.99719570000000002</v>
      </c>
      <c r="AB451">
        <v>42</v>
      </c>
      <c r="AC451">
        <v>22.5869</v>
      </c>
      <c r="AD451">
        <v>-1.109229670535</v>
      </c>
      <c r="AE451">
        <v>-1.3383</v>
      </c>
      <c r="AF451">
        <v>1.70717616144957</v>
      </c>
      <c r="AG451">
        <v>-1.109229670535</v>
      </c>
      <c r="AH451">
        <v>22.507614484323</v>
      </c>
      <c r="AI451">
        <v>92.813323943703296</v>
      </c>
      <c r="AJ451">
        <v>85.662487565891993</v>
      </c>
      <c r="AK451">
        <v>22.599503328239901</v>
      </c>
      <c r="AL451">
        <v>90.0319579593898</v>
      </c>
      <c r="AM451">
        <v>87.295689123454395</v>
      </c>
      <c r="AN451">
        <v>1.0000000275190699</v>
      </c>
    </row>
    <row r="452" spans="1:40" x14ac:dyDescent="0.25">
      <c r="A452" t="str">
        <f>"20190312151510426"</f>
        <v>20190312151510426</v>
      </c>
      <c r="B452" t="str">
        <f>"1552374910418549"</f>
        <v>1552374910418549</v>
      </c>
      <c r="C452" t="s">
        <v>40</v>
      </c>
      <c r="D452">
        <v>4.7165759999999999</v>
      </c>
      <c r="E452">
        <v>0.51006629999999997</v>
      </c>
      <c r="F452" t="s">
        <v>43</v>
      </c>
      <c r="G452">
        <v>-340.76659999999998</v>
      </c>
      <c r="H452" s="1">
        <v>-4.7749599999999998E-6</v>
      </c>
      <c r="I452">
        <v>367.19349999999997</v>
      </c>
      <c r="J452">
        <v>-363.34559999999999</v>
      </c>
      <c r="K452">
        <v>1.1092229999999901</v>
      </c>
      <c r="L452">
        <v>368.52010000000001</v>
      </c>
      <c r="M452">
        <v>0.99981089999999995</v>
      </c>
      <c r="N452">
        <v>0</v>
      </c>
      <c r="O452">
        <v>1.6673420000000001E-2</v>
      </c>
      <c r="P452">
        <v>0.9994653</v>
      </c>
      <c r="Q452">
        <v>-1.119209E-2</v>
      </c>
      <c r="R452">
        <v>-3.071658E-2</v>
      </c>
      <c r="S452">
        <v>2.9947509999999999</v>
      </c>
      <c r="T452">
        <v>-0.1456083</v>
      </c>
      <c r="U452">
        <v>-0.1736145</v>
      </c>
      <c r="V452">
        <v>4.7378580000000003E-2</v>
      </c>
      <c r="W452">
        <v>-1.1556649999999999E-3</v>
      </c>
      <c r="X452">
        <v>0.99887630000000005</v>
      </c>
      <c r="Y452">
        <v>7.4406760000000002E-2</v>
      </c>
      <c r="Z452">
        <v>-2.6159239999999999E-3</v>
      </c>
      <c r="AA452">
        <v>0.99722460000000002</v>
      </c>
      <c r="AB452">
        <v>42</v>
      </c>
      <c r="AC452">
        <v>22.579000000000001</v>
      </c>
      <c r="AD452">
        <v>-1.1092277749599999</v>
      </c>
      <c r="AE452">
        <v>-1.32660000000004</v>
      </c>
      <c r="AF452">
        <v>1.69881772640295</v>
      </c>
      <c r="AG452">
        <v>-1.1092277749599999</v>
      </c>
      <c r="AH452">
        <v>22.4996267446543</v>
      </c>
      <c r="AI452">
        <v>92.814389163449505</v>
      </c>
      <c r="AJ452">
        <v>85.682117243729493</v>
      </c>
      <c r="AK452">
        <v>22.590917900188298</v>
      </c>
      <c r="AL452">
        <v>90.066214744150102</v>
      </c>
      <c r="AM452">
        <v>87.284388799081995</v>
      </c>
      <c r="AN452">
        <v>0.99999996405304803</v>
      </c>
    </row>
    <row r="453" spans="1:40" x14ac:dyDescent="0.25">
      <c r="A453" t="str">
        <f>"20190312151510438"</f>
        <v>20190312151510438</v>
      </c>
      <c r="B453" t="str">
        <f>"1552374910428308"</f>
        <v>1552374910428308</v>
      </c>
      <c r="C453" t="s">
        <v>40</v>
      </c>
      <c r="D453">
        <v>4.680021</v>
      </c>
      <c r="E453">
        <v>0.50996350000000001</v>
      </c>
      <c r="F453" t="s">
        <v>43</v>
      </c>
      <c r="G453">
        <v>-340.5111</v>
      </c>
      <c r="H453" s="1">
        <v>-4.8938219999999998E-6</v>
      </c>
      <c r="I453">
        <v>367.20420000000001</v>
      </c>
      <c r="J453">
        <v>-363.13819999999998</v>
      </c>
      <c r="K453">
        <v>1.109226</v>
      </c>
      <c r="L453">
        <v>368.52359999999999</v>
      </c>
      <c r="M453">
        <v>0.99980849999999999</v>
      </c>
      <c r="N453">
        <v>0</v>
      </c>
      <c r="O453">
        <v>1.6808630000000001E-2</v>
      </c>
      <c r="P453">
        <v>0.99945519999999999</v>
      </c>
      <c r="Q453">
        <v>-1.1569909999999999E-2</v>
      </c>
      <c r="R453">
        <v>-3.091091E-2</v>
      </c>
      <c r="S453">
        <v>2.99472</v>
      </c>
      <c r="T453">
        <v>-0.1454741</v>
      </c>
      <c r="U453">
        <v>-0.17257690000000001</v>
      </c>
      <c r="V453">
        <v>4.7707899999999998E-2</v>
      </c>
      <c r="W453">
        <v>-1.5274290000000001E-3</v>
      </c>
      <c r="X453">
        <v>0.99886019999999998</v>
      </c>
      <c r="Y453">
        <v>7.4198130000000001E-2</v>
      </c>
      <c r="Z453">
        <v>-2.6150679999999999E-3</v>
      </c>
      <c r="AA453">
        <v>0.99724009999999996</v>
      </c>
      <c r="AB453">
        <v>42</v>
      </c>
      <c r="AC453">
        <v>22.627099999999899</v>
      </c>
      <c r="AD453">
        <v>-1.1092308938219999</v>
      </c>
      <c r="AE453">
        <v>-1.3193999999999699</v>
      </c>
      <c r="AF453">
        <v>1.6955024465902799</v>
      </c>
      <c r="AG453">
        <v>-1.1092308938219999</v>
      </c>
      <c r="AH453">
        <v>22.547722018675401</v>
      </c>
      <c r="AI453">
        <v>92.808468177986299</v>
      </c>
      <c r="AJ453">
        <v>85.699669717206504</v>
      </c>
      <c r="AK453">
        <v>22.638570846095</v>
      </c>
      <c r="AL453">
        <v>90.087515265913794</v>
      </c>
      <c r="AM453">
        <v>87.265497615771807</v>
      </c>
      <c r="AN453">
        <v>1.0000000379528899</v>
      </c>
    </row>
    <row r="454" spans="1:40" x14ac:dyDescent="0.25">
      <c r="A454" t="str">
        <f>"20190312151510458"</f>
        <v>20190312151510458</v>
      </c>
      <c r="B454" t="str">
        <f>"1552374910448258"</f>
        <v>1552374910448258</v>
      </c>
      <c r="C454" t="s">
        <v>40</v>
      </c>
      <c r="D454">
        <v>4.8299289999999999</v>
      </c>
      <c r="E454">
        <v>0.50944239999999996</v>
      </c>
      <c r="F454" t="s">
        <v>43</v>
      </c>
      <c r="G454">
        <v>-340.30349999999999</v>
      </c>
      <c r="H454" s="1">
        <v>-4.9910850000000002E-6</v>
      </c>
      <c r="I454">
        <v>367.20909999999998</v>
      </c>
      <c r="J454">
        <v>-362.76920000000001</v>
      </c>
      <c r="K454">
        <v>1.109218</v>
      </c>
      <c r="L454">
        <v>368.53</v>
      </c>
      <c r="M454">
        <v>0.99980440000000004</v>
      </c>
      <c r="N454">
        <v>0</v>
      </c>
      <c r="O454">
        <v>1.7048959999999998E-2</v>
      </c>
      <c r="P454">
        <v>0.99944149999999998</v>
      </c>
      <c r="Q454">
        <v>-1.272469E-2</v>
      </c>
      <c r="R454">
        <v>-3.0904379999999999E-2</v>
      </c>
      <c r="S454">
        <v>2.994659</v>
      </c>
      <c r="T454">
        <v>-0.14547060000000001</v>
      </c>
      <c r="U454">
        <v>-0.17239380000000001</v>
      </c>
      <c r="V454">
        <v>4.794197E-2</v>
      </c>
      <c r="W454">
        <v>-2.6719650000000001E-3</v>
      </c>
      <c r="X454">
        <v>0.99884649999999997</v>
      </c>
      <c r="Y454">
        <v>7.4377739999999998E-2</v>
      </c>
      <c r="Z454">
        <v>-2.6310800000000001E-3</v>
      </c>
      <c r="AA454">
        <v>0.99722670000000002</v>
      </c>
      <c r="AB454">
        <v>42</v>
      </c>
      <c r="AC454">
        <v>22.465699999999998</v>
      </c>
      <c r="AD454">
        <v>-1.109222991085</v>
      </c>
      <c r="AE454">
        <v>-1.32089999999999</v>
      </c>
      <c r="AF454">
        <v>1.6996150185033501</v>
      </c>
      <c r="AG454">
        <v>-1.109222991085</v>
      </c>
      <c r="AH454">
        <v>22.385529903633099</v>
      </c>
      <c r="AI454">
        <v>92.828609018847402</v>
      </c>
      <c r="AJ454">
        <v>85.658164307851806</v>
      </c>
      <c r="AK454">
        <v>22.477344503333299</v>
      </c>
      <c r="AL454">
        <v>90.153092507138993</v>
      </c>
      <c r="AM454">
        <v>87.252064166460997</v>
      </c>
      <c r="AN454">
        <v>0.99999995122334395</v>
      </c>
    </row>
    <row r="455" spans="1:40" x14ac:dyDescent="0.25">
      <c r="A455" t="str">
        <f>"20190312151510469"</f>
        <v>20190312151510469</v>
      </c>
      <c r="B455" t="str">
        <f>"1552374910458019"</f>
        <v>1552374910458019</v>
      </c>
      <c r="C455" t="s">
        <v>40</v>
      </c>
      <c r="D455">
        <v>4.8230320000000004</v>
      </c>
      <c r="E455">
        <v>0.5091966</v>
      </c>
      <c r="F455" t="s">
        <v>43</v>
      </c>
      <c r="G455">
        <v>-340.3981</v>
      </c>
      <c r="H455" s="1">
        <v>-4.9348279999999997E-6</v>
      </c>
      <c r="I455">
        <v>367.27429999999998</v>
      </c>
      <c r="J455">
        <v>-362.53230000000002</v>
      </c>
      <c r="K455">
        <v>1.1092200000000001</v>
      </c>
      <c r="L455">
        <v>368.5342</v>
      </c>
      <c r="M455">
        <v>0.99980170000000002</v>
      </c>
      <c r="N455">
        <v>0</v>
      </c>
      <c r="O455">
        <v>1.7203010000000001E-2</v>
      </c>
      <c r="P455">
        <v>0.99942430000000004</v>
      </c>
      <c r="Q455">
        <v>-1.3365989999999999E-2</v>
      </c>
      <c r="R455">
        <v>-3.1190249999999999E-2</v>
      </c>
      <c r="S455">
        <v>2.9945680000000001</v>
      </c>
      <c r="T455">
        <v>-0.14847920000000001</v>
      </c>
      <c r="U455">
        <v>-0.16809079999999901</v>
      </c>
      <c r="V455">
        <v>4.8381899999999999E-2</v>
      </c>
      <c r="W455">
        <v>-3.3068440000000002E-3</v>
      </c>
      <c r="X455">
        <v>0.99882349999999998</v>
      </c>
      <c r="Y455">
        <v>7.3101620000000006E-2</v>
      </c>
      <c r="Z455">
        <v>-2.6616550000000002E-3</v>
      </c>
      <c r="AA455">
        <v>0.99732100000000001</v>
      </c>
      <c r="AB455">
        <v>42</v>
      </c>
      <c r="AC455">
        <v>22.1342</v>
      </c>
      <c r="AD455">
        <v>-1.1092249348280001</v>
      </c>
      <c r="AE455">
        <v>-1.25990000000001</v>
      </c>
      <c r="AF455">
        <v>1.63641118929695</v>
      </c>
      <c r="AG455">
        <v>-1.1092249348280001</v>
      </c>
      <c r="AH455">
        <v>22.054041926898101</v>
      </c>
      <c r="AI455">
        <v>92.871428444158397</v>
      </c>
      <c r="AJ455">
        <v>85.756426313174899</v>
      </c>
      <c r="AK455">
        <v>22.142470206593501</v>
      </c>
      <c r="AL455">
        <v>90.189468537932697</v>
      </c>
      <c r="AM455">
        <v>87.226823702842097</v>
      </c>
      <c r="AN455">
        <v>1.00000006380854</v>
      </c>
    </row>
    <row r="456" spans="1:40" x14ac:dyDescent="0.25">
      <c r="A456" t="str">
        <f>"20190312151510483"</f>
        <v>20190312151510483</v>
      </c>
      <c r="B456" t="str">
        <f>"1552374910478515"</f>
        <v>1552374910478515</v>
      </c>
      <c r="C456" t="s">
        <v>40</v>
      </c>
      <c r="D456">
        <v>4.7834640000000004</v>
      </c>
      <c r="E456">
        <v>0.50920739999999998</v>
      </c>
      <c r="F456" t="s">
        <v>43</v>
      </c>
      <c r="G456">
        <v>-340.5086</v>
      </c>
      <c r="H456" s="1">
        <v>-4.8770250000000001E-6</v>
      </c>
      <c r="I456">
        <v>367.30549999999999</v>
      </c>
      <c r="J456">
        <v>-362.29629999999997</v>
      </c>
      <c r="K456">
        <v>1.1092169999999999</v>
      </c>
      <c r="L456">
        <v>368.53829999999999</v>
      </c>
      <c r="M456">
        <v>0.99979910000000005</v>
      </c>
      <c r="N456">
        <v>0</v>
      </c>
      <c r="O456">
        <v>1.7355559999999999E-2</v>
      </c>
      <c r="P456">
        <v>0.99941329999999995</v>
      </c>
      <c r="Q456">
        <v>-1.406984E-2</v>
      </c>
      <c r="R456">
        <v>-3.12324E-2</v>
      </c>
      <c r="S456">
        <v>2.994507</v>
      </c>
      <c r="T456">
        <v>-0.15081829999999999</v>
      </c>
      <c r="U456">
        <v>-0.16705320000000001</v>
      </c>
      <c r="V456">
        <v>4.8576729999999999E-2</v>
      </c>
      <c r="W456">
        <v>-4.0045879999999999E-3</v>
      </c>
      <c r="X456">
        <v>0.99881140000000002</v>
      </c>
      <c r="Y456">
        <v>7.2906970000000001E-2</v>
      </c>
      <c r="Z456">
        <v>-2.7063930000000001E-3</v>
      </c>
      <c r="AA456">
        <v>0.99733510000000003</v>
      </c>
      <c r="AB456">
        <v>42</v>
      </c>
      <c r="AC456">
        <v>21.787699999999901</v>
      </c>
      <c r="AD456">
        <v>-1.109221877025</v>
      </c>
      <c r="AE456">
        <v>-1.2327999999999899</v>
      </c>
      <c r="AF456">
        <v>1.6066201743133399</v>
      </c>
      <c r="AG456">
        <v>-1.109221877025</v>
      </c>
      <c r="AH456">
        <v>21.706938891629001</v>
      </c>
      <c r="AI456">
        <v>92.917296974640806</v>
      </c>
      <c r="AJ456">
        <v>85.767021075712293</v>
      </c>
      <c r="AK456">
        <v>21.794558898998101</v>
      </c>
      <c r="AL456">
        <v>90.229446610297103</v>
      </c>
      <c r="AM456">
        <v>87.215640206695198</v>
      </c>
      <c r="AN456">
        <v>0.99999997409625097</v>
      </c>
    </row>
    <row r="457" spans="1:40" x14ac:dyDescent="0.25">
      <c r="A457" t="str">
        <f>"20190312151510495"</f>
        <v>20190312151510495</v>
      </c>
      <c r="B457" t="str">
        <f>"1552374910488274"</f>
        <v>1552374910488274</v>
      </c>
      <c r="C457" t="s">
        <v>40</v>
      </c>
      <c r="D457">
        <v>4.7005140000000001</v>
      </c>
      <c r="E457">
        <v>0.50864370000000003</v>
      </c>
      <c r="F457" t="s">
        <v>43</v>
      </c>
      <c r="G457">
        <v>-340.39139999999998</v>
      </c>
      <c r="H457" s="1">
        <v>-4.9309109999999998E-6</v>
      </c>
      <c r="I457">
        <v>367.3141</v>
      </c>
      <c r="J457">
        <v>-362.0573</v>
      </c>
      <c r="K457">
        <v>1.1092120000000001</v>
      </c>
      <c r="L457">
        <v>368.54250000000002</v>
      </c>
      <c r="M457">
        <v>0.99979640000000003</v>
      </c>
      <c r="N457">
        <v>0</v>
      </c>
      <c r="O457">
        <v>1.7508940000000001E-2</v>
      </c>
      <c r="P457">
        <v>0.999413</v>
      </c>
      <c r="Q457">
        <v>-1.442708E-2</v>
      </c>
      <c r="R457">
        <v>-3.1078359999999999E-2</v>
      </c>
      <c r="S457">
        <v>2.9943849999999999</v>
      </c>
      <c r="T457">
        <v>-0.15163019999999999</v>
      </c>
      <c r="U457">
        <v>-0.16735839999999999</v>
      </c>
      <c r="V457">
        <v>4.8576210000000002E-2</v>
      </c>
      <c r="W457">
        <v>-4.3558159999999898E-3</v>
      </c>
      <c r="X457">
        <v>0.99880999999999998</v>
      </c>
      <c r="Y457">
        <v>7.3161799999999999E-2</v>
      </c>
      <c r="Z457">
        <v>-2.7352460000000002E-3</v>
      </c>
      <c r="AA457">
        <v>0.99731639999999999</v>
      </c>
      <c r="AB457">
        <v>42</v>
      </c>
      <c r="AC457">
        <v>21.665900000000001</v>
      </c>
      <c r="AD457">
        <v>-1.109216930911</v>
      </c>
      <c r="AE457">
        <v>-1.2284000000000199</v>
      </c>
      <c r="AF457">
        <v>1.60338856461318</v>
      </c>
      <c r="AG457">
        <v>-1.109216930911</v>
      </c>
      <c r="AH457">
        <v>21.5846755873769</v>
      </c>
      <c r="AI457">
        <v>92.933721530516195</v>
      </c>
      <c r="AJ457">
        <v>85.751662890720795</v>
      </c>
      <c r="AK457">
        <v>21.672550318346399</v>
      </c>
      <c r="AL457">
        <v>90.249570657660897</v>
      </c>
      <c r="AM457">
        <v>87.215666069002197</v>
      </c>
      <c r="AN457">
        <v>1.00000001870549</v>
      </c>
    </row>
    <row r="458" spans="1:40" x14ac:dyDescent="0.25">
      <c r="A458" t="str">
        <f>"20190312151510514"</f>
        <v>20190312151510514</v>
      </c>
      <c r="B458" t="str">
        <f>"1552374910507796"</f>
        <v>1552374910507796</v>
      </c>
      <c r="C458" t="s">
        <v>40</v>
      </c>
      <c r="D458">
        <v>4.666334</v>
      </c>
      <c r="E458">
        <v>0.4960889</v>
      </c>
      <c r="F458" t="s">
        <v>42</v>
      </c>
      <c r="G458">
        <v>-290.53609999999998</v>
      </c>
      <c r="H458">
        <v>-0.05</v>
      </c>
      <c r="I458">
        <v>364.67270000000002</v>
      </c>
      <c r="J458">
        <v>-361.69290000000001</v>
      </c>
      <c r="K458">
        <v>1.1092029999999999</v>
      </c>
      <c r="L458">
        <v>368.54910000000001</v>
      </c>
      <c r="M458">
        <v>0.99979220000000002</v>
      </c>
      <c r="N458">
        <v>0</v>
      </c>
      <c r="O458">
        <v>1.773709E-2</v>
      </c>
      <c r="P458">
        <v>0.99939750000000005</v>
      </c>
      <c r="Q458">
        <v>-1.5387410000000001E-2</v>
      </c>
      <c r="R458">
        <v>-3.1113539999999999E-2</v>
      </c>
      <c r="S458">
        <v>2.9960330000000002</v>
      </c>
      <c r="T458">
        <v>-4.855955E-2</v>
      </c>
      <c r="U458">
        <v>-0.16210939999999999</v>
      </c>
      <c r="V458">
        <v>4.8839649999999998E-2</v>
      </c>
      <c r="W458">
        <v>-5.3074970000000004E-3</v>
      </c>
      <c r="X458">
        <v>0.99879249999999997</v>
      </c>
      <c r="Y458">
        <v>7.1720850000000003E-2</v>
      </c>
      <c r="Z458">
        <v>-8.6805170000000002E-4</v>
      </c>
      <c r="AA458">
        <v>0.99742439999999999</v>
      </c>
      <c r="AB458">
        <v>42</v>
      </c>
      <c r="AC458">
        <v>71.156800000000004</v>
      </c>
      <c r="AD458">
        <v>-1.159203</v>
      </c>
      <c r="AE458">
        <v>-3.8763999999999799</v>
      </c>
      <c r="AF458">
        <v>5.1366092254658904</v>
      </c>
      <c r="AG458">
        <v>-1.159203</v>
      </c>
      <c r="AH458">
        <v>71.058042978900502</v>
      </c>
      <c r="AI458">
        <v>90.932177937201601</v>
      </c>
      <c r="AJ458">
        <v>85.865422293631994</v>
      </c>
      <c r="AK458">
        <v>71.252887505852101</v>
      </c>
      <c r="AL458">
        <v>90.304098614884694</v>
      </c>
      <c r="AM458">
        <v>87.200540967627703</v>
      </c>
      <c r="AN458">
        <v>0.99999996949638803</v>
      </c>
    </row>
    <row r="459" spans="1:40" x14ac:dyDescent="0.25">
      <c r="A459" t="str">
        <f>"20190312151510526"</f>
        <v>20190312151510526</v>
      </c>
      <c r="B459" t="str">
        <f>"1552374910518531"</f>
        <v>1552374910518531</v>
      </c>
      <c r="C459" t="s">
        <v>40</v>
      </c>
      <c r="D459">
        <v>4.9945170000000001</v>
      </c>
      <c r="E459">
        <v>0.49487500000000001</v>
      </c>
      <c r="F459" t="s">
        <v>42</v>
      </c>
      <c r="G459">
        <v>-307.3965</v>
      </c>
      <c r="H459">
        <v>-0.05</v>
      </c>
      <c r="I459">
        <v>367.42410000000001</v>
      </c>
      <c r="J459">
        <v>-361.46719999999999</v>
      </c>
      <c r="K459">
        <v>1.1091949999999999</v>
      </c>
      <c r="L459">
        <v>368.5532</v>
      </c>
      <c r="M459">
        <v>0.9997897</v>
      </c>
      <c r="N459">
        <v>0</v>
      </c>
      <c r="O459">
        <v>1.787333E-2</v>
      </c>
      <c r="P459">
        <v>0.99940479999999998</v>
      </c>
      <c r="Q459">
        <v>-1.5686060000000002E-2</v>
      </c>
      <c r="R459">
        <v>-3.072395E-2</v>
      </c>
      <c r="S459">
        <v>2.998901</v>
      </c>
      <c r="T459">
        <v>-6.4025159999999998E-2</v>
      </c>
      <c r="U459">
        <v>-6.2133790000000001E-2</v>
      </c>
      <c r="V459">
        <v>4.8586600000000001E-2</v>
      </c>
      <c r="W459">
        <v>-5.601244E-3</v>
      </c>
      <c r="X459">
        <v>0.99880329999999995</v>
      </c>
      <c r="Y459">
        <v>3.8568640000000001E-2</v>
      </c>
      <c r="Z459">
        <v>-7.9314499999999998E-4</v>
      </c>
      <c r="AA459">
        <v>0.99925569999999997</v>
      </c>
      <c r="AB459">
        <v>42</v>
      </c>
      <c r="AC459">
        <v>54.070699999999903</v>
      </c>
      <c r="AD459">
        <v>-1.159195</v>
      </c>
      <c r="AE459">
        <v>-1.12909999999999</v>
      </c>
      <c r="AF459">
        <v>2.0944297390099602</v>
      </c>
      <c r="AG459">
        <v>-1.159195</v>
      </c>
      <c r="AH459">
        <v>54.017064101156699</v>
      </c>
      <c r="AI459">
        <v>91.228444078237402</v>
      </c>
      <c r="AJ459">
        <v>87.779555323873794</v>
      </c>
      <c r="AK459">
        <v>54.070080294818702</v>
      </c>
      <c r="AL459">
        <v>90.320929309148099</v>
      </c>
      <c r="AM459">
        <v>87.215052811337799</v>
      </c>
      <c r="AN459">
        <v>1.0000000318623901</v>
      </c>
    </row>
    <row r="460" spans="1:40" x14ac:dyDescent="0.25">
      <c r="A460" t="str">
        <f>"20190312151510539"</f>
        <v>20190312151510539</v>
      </c>
      <c r="B460" t="str">
        <f>"1552374910528290"</f>
        <v>1552374910528290</v>
      </c>
      <c r="C460" t="s">
        <v>40</v>
      </c>
      <c r="D460">
        <v>4.8120659999999997</v>
      </c>
      <c r="E460">
        <v>0.4944365</v>
      </c>
      <c r="F460" t="s">
        <v>42</v>
      </c>
      <c r="G460">
        <v>-311.44369999999998</v>
      </c>
      <c r="H460">
        <v>-0.05</v>
      </c>
      <c r="I460">
        <v>367.69810000000001</v>
      </c>
      <c r="J460">
        <v>-361.2414</v>
      </c>
      <c r="K460">
        <v>1.1091879999999901</v>
      </c>
      <c r="L460">
        <v>368.5573</v>
      </c>
      <c r="M460">
        <v>0.99978719999999999</v>
      </c>
      <c r="N460">
        <v>0</v>
      </c>
      <c r="O460">
        <v>1.8006230000000002E-2</v>
      </c>
      <c r="P460">
        <v>0.99940309999999999</v>
      </c>
      <c r="Q460">
        <v>-1.628479E-2</v>
      </c>
      <c r="R460">
        <v>-3.046484E-2</v>
      </c>
      <c r="S460">
        <v>2.9991150000000002</v>
      </c>
      <c r="T460">
        <v>-6.9498660000000004E-2</v>
      </c>
      <c r="U460">
        <v>-5.1269530000000001E-2</v>
      </c>
      <c r="V460">
        <v>4.8460679999999999E-2</v>
      </c>
      <c r="W460">
        <v>-6.195201E-3</v>
      </c>
      <c r="X460">
        <v>0.99880590000000002</v>
      </c>
      <c r="Y460">
        <v>3.5079880000000001E-2</v>
      </c>
      <c r="Z460">
        <v>-8.2356289999999902E-4</v>
      </c>
      <c r="AA460">
        <v>0.99938419999999895</v>
      </c>
      <c r="AB460">
        <v>42</v>
      </c>
      <c r="AC460">
        <v>49.797699999999999</v>
      </c>
      <c r="AD460">
        <v>-1.1591880000000001</v>
      </c>
      <c r="AE460">
        <v>-0.85919999999998697</v>
      </c>
      <c r="AF460">
        <v>1.7548243701242801</v>
      </c>
      <c r="AG460">
        <v>-1.1591880000000001</v>
      </c>
      <c r="AH460">
        <v>49.747205849422599</v>
      </c>
      <c r="AI460">
        <v>91.3340106571885</v>
      </c>
      <c r="AJ460">
        <v>87.979738624308197</v>
      </c>
      <c r="AK460">
        <v>49.791642021670199</v>
      </c>
      <c r="AL460">
        <v>90.354961133367595</v>
      </c>
      <c r="AM460">
        <v>87.222266351198797</v>
      </c>
      <c r="AN460">
        <v>1.00000002194815</v>
      </c>
    </row>
    <row r="461" spans="1:40" x14ac:dyDescent="0.25">
      <c r="A461" t="str">
        <f>"20190312151510550"</f>
        <v>20190312151510550</v>
      </c>
      <c r="B461" t="str">
        <f>"1552374910538051"</f>
        <v>1552374910538051</v>
      </c>
      <c r="C461" t="s">
        <v>40</v>
      </c>
      <c r="D461">
        <v>4.6480430000000004</v>
      </c>
      <c r="E461">
        <v>0.49417230000000001</v>
      </c>
      <c r="F461" t="s">
        <v>42</v>
      </c>
      <c r="G461">
        <v>-312.03800000000001</v>
      </c>
      <c r="H461">
        <v>-0.05</v>
      </c>
      <c r="I461">
        <v>367.78530000000001</v>
      </c>
      <c r="J461">
        <v>-361.00599999999997</v>
      </c>
      <c r="K461">
        <v>1.1091770000000001</v>
      </c>
      <c r="L461">
        <v>368.56169999999997</v>
      </c>
      <c r="M461">
        <v>0.99978480000000003</v>
      </c>
      <c r="N461">
        <v>0</v>
      </c>
      <c r="O461">
        <v>1.8140300000000002E-2</v>
      </c>
      <c r="P461">
        <v>0.99940910000000005</v>
      </c>
      <c r="Q461">
        <v>-1.683378E-2</v>
      </c>
      <c r="R461">
        <v>-2.9979619999999998E-2</v>
      </c>
      <c r="S461">
        <v>2.9992070000000002</v>
      </c>
      <c r="T461">
        <v>-7.0658559999999995E-2</v>
      </c>
      <c r="U461">
        <v>-4.705811E-2</v>
      </c>
      <c r="V461">
        <v>4.8109590000000001E-2</v>
      </c>
      <c r="W461">
        <v>-6.7394200000000003E-3</v>
      </c>
      <c r="X461">
        <v>0.99881940000000002</v>
      </c>
      <c r="Y461">
        <v>3.3810239999999998E-2</v>
      </c>
      <c r="Z461">
        <v>-8.2549190000000001E-4</v>
      </c>
      <c r="AA461">
        <v>0.99942790000000004</v>
      </c>
      <c r="AB461">
        <v>42</v>
      </c>
      <c r="AC461">
        <v>48.967999999999897</v>
      </c>
      <c r="AD461">
        <v>-1.1591769999999999</v>
      </c>
      <c r="AE461">
        <v>-0.77639999999996601</v>
      </c>
      <c r="AF461">
        <v>1.6636793883434</v>
      </c>
      <c r="AG461">
        <v>-1.1591769999999999</v>
      </c>
      <c r="AH461">
        <v>48.918451180071997</v>
      </c>
      <c r="AI461">
        <v>91.356649013597007</v>
      </c>
      <c r="AJ461">
        <v>88.052164777074793</v>
      </c>
      <c r="AK461">
        <v>48.960457374105701</v>
      </c>
      <c r="AL461">
        <v>90.3861432172571</v>
      </c>
      <c r="AM461">
        <v>87.242396631901997</v>
      </c>
      <c r="AN461">
        <v>1.0000000731241201</v>
      </c>
    </row>
    <row r="462" spans="1:40" x14ac:dyDescent="0.25">
      <c r="A462" t="str">
        <f>"20190312151510565"</f>
        <v>20190312151510565</v>
      </c>
      <c r="B462" t="str">
        <f>"1552374910558546"</f>
        <v>1552374910558546</v>
      </c>
      <c r="C462" t="s">
        <v>40</v>
      </c>
      <c r="D462">
        <v>4.6119599999999998</v>
      </c>
      <c r="E462">
        <v>0.49380239999999997</v>
      </c>
      <c r="F462" t="s">
        <v>42</v>
      </c>
      <c r="G462">
        <v>-315.33109999999999</v>
      </c>
      <c r="H462">
        <v>-0.05</v>
      </c>
      <c r="I462">
        <v>367.90410000000003</v>
      </c>
      <c r="J462">
        <v>-360.73599999999999</v>
      </c>
      <c r="K462">
        <v>1.109164</v>
      </c>
      <c r="L462">
        <v>368.56670000000003</v>
      </c>
      <c r="M462">
        <v>0.99978219999999995</v>
      </c>
      <c r="N462">
        <v>0</v>
      </c>
      <c r="O462">
        <v>1.8281289999999999E-2</v>
      </c>
      <c r="P462">
        <v>0.99940450000000003</v>
      </c>
      <c r="Q462">
        <v>-1.7693440000000001E-2</v>
      </c>
      <c r="R462">
        <v>-2.962594E-2</v>
      </c>
      <c r="S462">
        <v>2.9992070000000002</v>
      </c>
      <c r="T462">
        <v>-7.6116320000000001E-2</v>
      </c>
      <c r="U462">
        <v>-4.3182369999999998E-2</v>
      </c>
      <c r="V462">
        <v>4.7897269999999999E-2</v>
      </c>
      <c r="W462">
        <v>-7.5942519999999897E-3</v>
      </c>
      <c r="X462">
        <v>0.99882340000000003</v>
      </c>
      <c r="Y462">
        <v>3.2657949999999998E-2</v>
      </c>
      <c r="Z462">
        <v>-8.7820029999999998E-4</v>
      </c>
      <c r="AA462">
        <v>0.99946619999999997</v>
      </c>
      <c r="AB462">
        <v>42</v>
      </c>
      <c r="AC462">
        <v>45.404899999999998</v>
      </c>
      <c r="AD462">
        <v>-1.1591639999999901</v>
      </c>
      <c r="AE462">
        <v>-0.66259999999999697</v>
      </c>
      <c r="AF462">
        <v>1.4916195034195501</v>
      </c>
      <c r="AG462">
        <v>-1.1591639999999901</v>
      </c>
      <c r="AH462">
        <v>45.355643045193297</v>
      </c>
      <c r="AI462">
        <v>91.463211240647595</v>
      </c>
      <c r="AJ462">
        <v>88.116381889308101</v>
      </c>
      <c r="AK462">
        <v>45.394966086173802</v>
      </c>
      <c r="AL462">
        <v>90.435122769473296</v>
      </c>
      <c r="AM462">
        <v>87.254558961758804</v>
      </c>
      <c r="AN462">
        <v>1.00000000276222</v>
      </c>
    </row>
    <row r="463" spans="1:40" x14ac:dyDescent="0.25">
      <c r="A463" t="str">
        <f>"20190312151510582"</f>
        <v>20190312151510582</v>
      </c>
      <c r="B463" t="str">
        <f>"1552374910578066"</f>
        <v>1552374910578066</v>
      </c>
      <c r="C463" t="s">
        <v>40</v>
      </c>
      <c r="D463">
        <v>4.5964159999999996</v>
      </c>
      <c r="E463">
        <v>0.49364419999999998</v>
      </c>
      <c r="F463" t="s">
        <v>42</v>
      </c>
      <c r="G463">
        <v>-314.87049999999999</v>
      </c>
      <c r="H463">
        <v>-0.05</v>
      </c>
      <c r="I463">
        <v>367.96510000000001</v>
      </c>
      <c r="J463">
        <v>-360.40390000000002</v>
      </c>
      <c r="K463">
        <v>1.109137</v>
      </c>
      <c r="L463">
        <v>368.5729</v>
      </c>
      <c r="M463">
        <v>0.99977930000000004</v>
      </c>
      <c r="N463">
        <v>0</v>
      </c>
      <c r="O463">
        <v>1.843674E-2</v>
      </c>
      <c r="P463">
        <v>0.99939560000000005</v>
      </c>
      <c r="Q463">
        <v>-1.9291450000000002E-2</v>
      </c>
      <c r="R463">
        <v>-2.892134E-2</v>
      </c>
      <c r="S463">
        <v>2.9992679999999998</v>
      </c>
      <c r="T463">
        <v>-7.5800899999999893E-2</v>
      </c>
      <c r="U463">
        <v>-3.9337160000000003E-2</v>
      </c>
      <c r="V463">
        <v>4.734853E-2</v>
      </c>
      <c r="W463">
        <v>-9.1872029999999997E-3</v>
      </c>
      <c r="X463">
        <v>0.99883619999999995</v>
      </c>
      <c r="Y463">
        <v>3.1532369999999997E-2</v>
      </c>
      <c r="Z463">
        <v>-8.6425789999999998E-4</v>
      </c>
      <c r="AA463">
        <v>0.99950240000000001</v>
      </c>
      <c r="AB463">
        <v>42</v>
      </c>
      <c r="AC463">
        <v>45.5334</v>
      </c>
      <c r="AD463">
        <v>-1.1591370000000001</v>
      </c>
      <c r="AE463">
        <v>-0.60779999999999701</v>
      </c>
      <c r="AF463">
        <v>1.4462896164721899</v>
      </c>
      <c r="AG463">
        <v>-1.1591370000000001</v>
      </c>
      <c r="AH463">
        <v>45.484982082202798</v>
      </c>
      <c r="AI463">
        <v>91.459069714584302</v>
      </c>
      <c r="AJ463">
        <v>88.178775132476105</v>
      </c>
      <c r="AK463">
        <v>45.522730006643798</v>
      </c>
      <c r="AL463">
        <v>90.526395351481497</v>
      </c>
      <c r="AM463">
        <v>87.285999816462805</v>
      </c>
      <c r="AN463">
        <v>1.0000000212112801</v>
      </c>
    </row>
    <row r="464" spans="1:40" x14ac:dyDescent="0.25">
      <c r="A464" t="str">
        <f>"20190312151510603"</f>
        <v>20190312151510603</v>
      </c>
      <c r="B464" t="str">
        <f>"1552374910598563"</f>
        <v>1552374910598563</v>
      </c>
      <c r="C464" t="s">
        <v>40</v>
      </c>
      <c r="D464">
        <v>4.9600609999999996</v>
      </c>
      <c r="E464">
        <v>0.49350129999999998</v>
      </c>
      <c r="F464" t="s">
        <v>42</v>
      </c>
      <c r="G464">
        <v>-316.6121</v>
      </c>
      <c r="H464">
        <v>-0.05</v>
      </c>
      <c r="I464">
        <v>368.048</v>
      </c>
      <c r="J464">
        <v>-360.00420000000003</v>
      </c>
      <c r="K464">
        <v>1.109105</v>
      </c>
      <c r="L464">
        <v>368.5804</v>
      </c>
      <c r="M464">
        <v>0.99977640000000001</v>
      </c>
      <c r="N464">
        <v>0</v>
      </c>
      <c r="O464">
        <v>1.859135E-2</v>
      </c>
      <c r="P464">
        <v>0.99939500000000003</v>
      </c>
      <c r="Q464">
        <v>-2.0380909999999999E-2</v>
      </c>
      <c r="R464">
        <v>-2.8192289999999998E-2</v>
      </c>
      <c r="S464">
        <v>2.9992369999999999</v>
      </c>
      <c r="T464">
        <v>-7.9387550000000001E-2</v>
      </c>
      <c r="U464">
        <v>-3.5949710000000003E-2</v>
      </c>
      <c r="V464">
        <v>4.6774000000000003E-2</v>
      </c>
      <c r="W464">
        <v>-1.0271560000000001E-2</v>
      </c>
      <c r="X464">
        <v>0.99885270000000004</v>
      </c>
      <c r="Y464">
        <v>3.05571E-2</v>
      </c>
      <c r="Z464">
        <v>-8.9633910000000005E-4</v>
      </c>
      <c r="AA464">
        <v>0.99953259999999999</v>
      </c>
      <c r="AB464">
        <v>42</v>
      </c>
      <c r="AC464">
        <v>43.392099999999999</v>
      </c>
      <c r="AD464">
        <v>-1.1591049999999901</v>
      </c>
      <c r="AE464">
        <v>-0.53239999999999499</v>
      </c>
      <c r="AF464">
        <v>1.33811197522382</v>
      </c>
      <c r="AG464">
        <v>-1.1591049999999901</v>
      </c>
      <c r="AH464">
        <v>43.343777783646097</v>
      </c>
      <c r="AI464">
        <v>91.531117049887101</v>
      </c>
      <c r="AJ464">
        <v>88.231722534254502</v>
      </c>
      <c r="AK464">
        <v>43.379916327920199</v>
      </c>
      <c r="AL464">
        <v>90.588527377749699</v>
      </c>
      <c r="AM464">
        <v>87.318927540196398</v>
      </c>
      <c r="AN464">
        <v>1.0000000141590599</v>
      </c>
    </row>
    <row r="465" spans="1:40" x14ac:dyDescent="0.25">
      <c r="A465" t="str">
        <f>"20190312151510616"</f>
        <v>20190312151510616</v>
      </c>
      <c r="B465" t="str">
        <f>"1552374910608322"</f>
        <v>1552374910608322</v>
      </c>
      <c r="C465" t="s">
        <v>40</v>
      </c>
      <c r="D465">
        <v>4.6169729999999998</v>
      </c>
      <c r="E465">
        <v>0.49359999999999998</v>
      </c>
      <c r="F465" t="s">
        <v>42</v>
      </c>
      <c r="G465">
        <v>-317.12009999999998</v>
      </c>
      <c r="H465">
        <v>-0.05</v>
      </c>
      <c r="I465">
        <v>368.11349999999999</v>
      </c>
      <c r="J465">
        <v>-359.7688</v>
      </c>
      <c r="K465">
        <v>1.109084</v>
      </c>
      <c r="L465">
        <v>368.58479999999997</v>
      </c>
      <c r="M465">
        <v>0.99977479999999996</v>
      </c>
      <c r="N465">
        <v>0</v>
      </c>
      <c r="O465">
        <v>1.8667469999999999E-2</v>
      </c>
      <c r="P465">
        <v>0.99939659999999997</v>
      </c>
      <c r="Q465">
        <v>-2.0789809999999999E-2</v>
      </c>
      <c r="R465">
        <v>-2.783509E-2</v>
      </c>
      <c r="S465">
        <v>2.9992369999999999</v>
      </c>
      <c r="T465">
        <v>-8.1065540000000005E-2</v>
      </c>
      <c r="U465">
        <v>-3.2653809999999998E-2</v>
      </c>
      <c r="V465">
        <v>4.6492510000000001E-2</v>
      </c>
      <c r="W465">
        <v>-1.067777E-2</v>
      </c>
      <c r="X465">
        <v>0.99886160000000002</v>
      </c>
      <c r="Y465">
        <v>2.9534540000000001E-2</v>
      </c>
      <c r="Z465">
        <v>-9.0352279999999997E-4</v>
      </c>
      <c r="AA465">
        <v>0.99956330000000004</v>
      </c>
      <c r="AB465">
        <v>43</v>
      </c>
      <c r="AC465">
        <v>42.648699999999998</v>
      </c>
      <c r="AD465">
        <v>-1.159084</v>
      </c>
      <c r="AE465">
        <v>-0.47129999999998501</v>
      </c>
      <c r="AF465">
        <v>1.2664664337470599</v>
      </c>
      <c r="AG465">
        <v>-1.159084</v>
      </c>
      <c r="AH465">
        <v>42.601007269276103</v>
      </c>
      <c r="AI465">
        <v>91.557825513226803</v>
      </c>
      <c r="AJ465">
        <v>88.297180730526804</v>
      </c>
      <c r="AK465">
        <v>42.635586466047201</v>
      </c>
      <c r="AL465">
        <v>90.611802762102499</v>
      </c>
      <c r="AM465">
        <v>87.335062847355999</v>
      </c>
      <c r="AN465">
        <v>1.00000003210641</v>
      </c>
    </row>
    <row r="466" spans="1:40" x14ac:dyDescent="0.25">
      <c r="A466" t="str">
        <f>"20190312151510628"</f>
        <v>20190312151510628</v>
      </c>
      <c r="B466" t="str">
        <f>"1552374910618083"</f>
        <v>1552374910618083</v>
      </c>
      <c r="C466" t="s">
        <v>40</v>
      </c>
      <c r="D466">
        <v>4.5806570000000004</v>
      </c>
      <c r="E466">
        <v>0.4934849</v>
      </c>
      <c r="F466" t="s">
        <v>42</v>
      </c>
      <c r="G466">
        <v>-317.71190000000001</v>
      </c>
      <c r="H466">
        <v>-0.05</v>
      </c>
      <c r="I466">
        <v>368.12819999999999</v>
      </c>
      <c r="J466">
        <v>-359.52969999999999</v>
      </c>
      <c r="K466">
        <v>1.109062</v>
      </c>
      <c r="L466">
        <v>368.58929999999998</v>
      </c>
      <c r="M466">
        <v>0.99977360000000004</v>
      </c>
      <c r="N466">
        <v>0</v>
      </c>
      <c r="O466">
        <v>1.8729490000000001E-2</v>
      </c>
      <c r="P466">
        <v>0.99940090000000004</v>
      </c>
      <c r="Q466">
        <v>-2.1084909999999998E-2</v>
      </c>
      <c r="R466">
        <v>-2.745363E-2</v>
      </c>
      <c r="S466">
        <v>2.9992070000000002</v>
      </c>
      <c r="T466">
        <v>-8.2657809999999998E-2</v>
      </c>
      <c r="U466">
        <v>-3.2562260000000003E-2</v>
      </c>
      <c r="V466">
        <v>4.6172789999999998E-2</v>
      </c>
      <c r="W466">
        <v>-1.097034E-2</v>
      </c>
      <c r="X466">
        <v>0.99887320000000002</v>
      </c>
      <c r="Y466">
        <v>2.956541E-2</v>
      </c>
      <c r="Z466">
        <v>-9.2340670000000001E-4</v>
      </c>
      <c r="AA466">
        <v>0.99956239999999996</v>
      </c>
      <c r="AB466">
        <v>43</v>
      </c>
      <c r="AC466">
        <v>41.817799999999899</v>
      </c>
      <c r="AD466">
        <v>-1.159062</v>
      </c>
      <c r="AE466">
        <v>-0.46109999999998702</v>
      </c>
      <c r="AF466">
        <v>1.2433300593121099</v>
      </c>
      <c r="AG466">
        <v>-1.159062</v>
      </c>
      <c r="AH466">
        <v>41.769742441214099</v>
      </c>
      <c r="AI466">
        <v>91.588780334815297</v>
      </c>
      <c r="AJ466">
        <v>88.295020932013401</v>
      </c>
      <c r="AK466">
        <v>41.804314107058303</v>
      </c>
      <c r="AL466">
        <v>90.628566807503901</v>
      </c>
      <c r="AM466">
        <v>87.353393648709798</v>
      </c>
      <c r="AN466">
        <v>0.99999997228716897</v>
      </c>
    </row>
    <row r="467" spans="1:40" x14ac:dyDescent="0.25">
      <c r="A467" t="str">
        <f>"20190312151510640"</f>
        <v>20190312151510640</v>
      </c>
      <c r="B467" t="str">
        <f>"1552374910638579"</f>
        <v>1552374910638579</v>
      </c>
      <c r="C467" t="s">
        <v>40</v>
      </c>
      <c r="D467">
        <v>4.5654539999999999</v>
      </c>
      <c r="E467">
        <v>0.49347609999999997</v>
      </c>
      <c r="F467" t="s">
        <v>42</v>
      </c>
      <c r="G467">
        <v>-317.43869999999998</v>
      </c>
      <c r="H467">
        <v>-0.05</v>
      </c>
      <c r="I467">
        <v>368.16219999999998</v>
      </c>
      <c r="J467">
        <v>-359.2989</v>
      </c>
      <c r="K467">
        <v>1.109043</v>
      </c>
      <c r="L467">
        <v>368.59359999999998</v>
      </c>
      <c r="M467">
        <v>0.99977260000000001</v>
      </c>
      <c r="N467">
        <v>0</v>
      </c>
      <c r="O467">
        <v>1.8778650000000001E-2</v>
      </c>
      <c r="P467">
        <v>0.99939880000000003</v>
      </c>
      <c r="Q467">
        <v>-2.1494249999999999E-2</v>
      </c>
      <c r="R467">
        <v>-2.720877E-2</v>
      </c>
      <c r="S467">
        <v>2.9991759999999998</v>
      </c>
      <c r="T467">
        <v>-8.2588430000000004E-2</v>
      </c>
      <c r="U467">
        <v>-3.042603E-2</v>
      </c>
      <c r="V467">
        <v>4.5976910000000003E-2</v>
      </c>
      <c r="W467">
        <v>-1.1377200000000001E-2</v>
      </c>
      <c r="X467">
        <v>0.99887769999999998</v>
      </c>
      <c r="Y467">
        <v>2.8903060000000001E-2</v>
      </c>
      <c r="Z467">
        <v>-9.1487980000000001E-4</v>
      </c>
      <c r="AA467">
        <v>0.99958179999999996</v>
      </c>
      <c r="AB467">
        <v>43</v>
      </c>
      <c r="AC467">
        <v>41.860199999999999</v>
      </c>
      <c r="AD467">
        <v>-1.159043</v>
      </c>
      <c r="AE467">
        <v>-0.43139999999999601</v>
      </c>
      <c r="AF467">
        <v>1.2165095661855201</v>
      </c>
      <c r="AG467">
        <v>-1.159043</v>
      </c>
      <c r="AH467">
        <v>41.812664102455699</v>
      </c>
      <c r="AI467">
        <v>91.587155591626598</v>
      </c>
      <c r="AJ467">
        <v>88.333490376130896</v>
      </c>
      <c r="AK467">
        <v>41.846411501409001</v>
      </c>
      <c r="AL467">
        <v>90.651879614145003</v>
      </c>
      <c r="AM467">
        <v>87.364617406892506</v>
      </c>
      <c r="AN467">
        <v>0.99999998824513903</v>
      </c>
    </row>
    <row r="468" spans="1:40" x14ac:dyDescent="0.25">
      <c r="A468" t="str">
        <f>"20190312151510652"</f>
        <v>20190312151510652</v>
      </c>
      <c r="B468" t="str">
        <f>"1552374910648339"</f>
        <v>1552374910648339</v>
      </c>
      <c r="C468" t="s">
        <v>40</v>
      </c>
      <c r="D468">
        <v>4.5391969999999997</v>
      </c>
      <c r="E468">
        <v>0.49346570000000001</v>
      </c>
      <c r="F468" t="s">
        <v>43</v>
      </c>
      <c r="G468">
        <v>-323.90910000000002</v>
      </c>
      <c r="H468" s="1">
        <v>-2.8392159999999999E-6</v>
      </c>
      <c r="I468">
        <v>368.24130000000002</v>
      </c>
      <c r="J468">
        <v>-359.06959999999998</v>
      </c>
      <c r="K468">
        <v>1.109022</v>
      </c>
      <c r="L468">
        <v>368.59800000000001</v>
      </c>
      <c r="M468">
        <v>0.99977169999999904</v>
      </c>
      <c r="N468">
        <v>0</v>
      </c>
      <c r="O468">
        <v>1.882168E-2</v>
      </c>
      <c r="P468">
        <v>0.99940289999999998</v>
      </c>
      <c r="Q468">
        <v>-2.1734509999999999E-2</v>
      </c>
      <c r="R468">
        <v>-2.6858469999999999E-2</v>
      </c>
      <c r="S468">
        <v>2.9989620000000001</v>
      </c>
      <c r="T468">
        <v>-9.3981270000000006E-2</v>
      </c>
      <c r="U468">
        <v>-2.9846190000000002E-2</v>
      </c>
      <c r="V468">
        <v>4.5669189999999998E-2</v>
      </c>
      <c r="W468">
        <v>-1.1614960000000001E-2</v>
      </c>
      <c r="X468">
        <v>0.99888909999999997</v>
      </c>
      <c r="Y468">
        <v>2.8748280000000001E-2</v>
      </c>
      <c r="Z468">
        <v>-1.040025E-3</v>
      </c>
      <c r="AA468">
        <v>0.99958619999999998</v>
      </c>
      <c r="AB468">
        <v>43</v>
      </c>
      <c r="AC468">
        <v>35.1604999999999</v>
      </c>
      <c r="AD468">
        <v>-1.109024839216</v>
      </c>
      <c r="AE468">
        <v>-0.35669999999998903</v>
      </c>
      <c r="AF468">
        <v>1.01743820728378</v>
      </c>
      <c r="AG468">
        <v>-1.109024839216</v>
      </c>
      <c r="AH468">
        <v>35.112627474136097</v>
      </c>
      <c r="AI468">
        <v>91.808315044987197</v>
      </c>
      <c r="AJ468">
        <v>88.340237909909206</v>
      </c>
      <c r="AK468">
        <v>35.144867687005103</v>
      </c>
      <c r="AL468">
        <v>90.665503145896295</v>
      </c>
      <c r="AM468">
        <v>87.382261040025497</v>
      </c>
      <c r="AN468">
        <v>1.0000000081549301</v>
      </c>
    </row>
    <row r="469" spans="1:40" x14ac:dyDescent="0.25">
      <c r="A469" t="str">
        <f>"20190312151510670"</f>
        <v>20190312151510670</v>
      </c>
      <c r="B469" t="str">
        <f>"1552374910667858"</f>
        <v>1552374910667858</v>
      </c>
      <c r="C469" t="s">
        <v>40</v>
      </c>
      <c r="D469">
        <v>4.5187160000000004</v>
      </c>
      <c r="E469">
        <v>0.49338979999999999</v>
      </c>
      <c r="F469" t="s">
        <v>43</v>
      </c>
      <c r="G469">
        <v>-325.20409999999998</v>
      </c>
      <c r="H469" s="1">
        <v>-2.2777549999999998E-6</v>
      </c>
      <c r="I469">
        <v>368.27460000000002</v>
      </c>
      <c r="J469">
        <v>-358.72919999999999</v>
      </c>
      <c r="K469">
        <v>1.108994</v>
      </c>
      <c r="L469">
        <v>368.6044</v>
      </c>
      <c r="M469">
        <v>0.99977079999999996</v>
      </c>
      <c r="N469">
        <v>0</v>
      </c>
      <c r="O469">
        <v>1.8865409999999999E-2</v>
      </c>
      <c r="P469">
        <v>0.99939279999999997</v>
      </c>
      <c r="Q469">
        <v>-2.2609279999999999E-2</v>
      </c>
      <c r="R469">
        <v>-2.6517519999999999E-2</v>
      </c>
      <c r="S469">
        <v>2.9989319999999999</v>
      </c>
      <c r="T469">
        <v>-9.8208550000000006E-2</v>
      </c>
      <c r="U469">
        <v>-2.862549E-2</v>
      </c>
      <c r="V469">
        <v>4.5371429999999997E-2</v>
      </c>
      <c r="W469">
        <v>-1.248573E-2</v>
      </c>
      <c r="X469">
        <v>0.99889209999999995</v>
      </c>
      <c r="Y469">
        <v>2.838328E-2</v>
      </c>
      <c r="Z469">
        <v>-1.0822500000000001E-3</v>
      </c>
      <c r="AA469">
        <v>0.9995965</v>
      </c>
      <c r="AB469">
        <v>43</v>
      </c>
      <c r="AC469">
        <v>33.525100000000002</v>
      </c>
      <c r="AD469">
        <v>-1.108996277755</v>
      </c>
      <c r="AE469">
        <v>-0.329799999999977</v>
      </c>
      <c r="AF469">
        <v>0.96118677034107902</v>
      </c>
      <c r="AG469">
        <v>-1.108996277755</v>
      </c>
      <c r="AH469">
        <v>33.476282704015397</v>
      </c>
      <c r="AI469">
        <v>91.8966093363764</v>
      </c>
      <c r="AJ469">
        <v>88.355348490962996</v>
      </c>
      <c r="AK469">
        <v>33.508435601064903</v>
      </c>
      <c r="AL469">
        <v>90.715398261833997</v>
      </c>
      <c r="AM469">
        <v>87.399312809305997</v>
      </c>
      <c r="AN469">
        <v>0.99999994377814205</v>
      </c>
    </row>
    <row r="470" spans="1:40" x14ac:dyDescent="0.25">
      <c r="A470" t="str">
        <f>"20190312151510682"</f>
        <v>20190312151510682</v>
      </c>
      <c r="B470" t="str">
        <f>"1552374910678594"</f>
        <v>1552374910678594</v>
      </c>
      <c r="C470" t="s">
        <v>40</v>
      </c>
      <c r="D470">
        <v>4.5622490000000004</v>
      </c>
      <c r="E470">
        <v>0.49340970000000001</v>
      </c>
      <c r="F470" t="s">
        <v>43</v>
      </c>
      <c r="G470">
        <v>-327.88409999999999</v>
      </c>
      <c r="H470" s="1">
        <v>-1.1186120000000001E-6</v>
      </c>
      <c r="I470">
        <v>368.32780000000002</v>
      </c>
      <c r="J470">
        <v>-358.49340000000001</v>
      </c>
      <c r="K470">
        <v>1.1089770000000001</v>
      </c>
      <c r="L470">
        <v>368.60890000000001</v>
      </c>
      <c r="M470">
        <v>0.99977050000000001</v>
      </c>
      <c r="N470">
        <v>0</v>
      </c>
      <c r="O470">
        <v>1.8884580000000002E-2</v>
      </c>
      <c r="P470">
        <v>0.99939920000000004</v>
      </c>
      <c r="Q470">
        <v>-2.2710350000000001E-2</v>
      </c>
      <c r="R470">
        <v>-2.618699E-2</v>
      </c>
      <c r="S470">
        <v>2.9986570000000001</v>
      </c>
      <c r="T470">
        <v>-0.1078124</v>
      </c>
      <c r="U470">
        <v>-2.6885989999999999E-2</v>
      </c>
      <c r="V470">
        <v>4.5059769999999999E-2</v>
      </c>
      <c r="W470">
        <v>-1.258373E-2</v>
      </c>
      <c r="X470">
        <v>0.99890509999999999</v>
      </c>
      <c r="Y470">
        <v>2.7818659999999999E-2</v>
      </c>
      <c r="Z470">
        <v>-1.178672E-3</v>
      </c>
      <c r="AA470">
        <v>0.99961230000000001</v>
      </c>
      <c r="AB470">
        <v>43</v>
      </c>
      <c r="AC470">
        <v>30.609300000000001</v>
      </c>
      <c r="AD470">
        <v>-1.108978118612</v>
      </c>
      <c r="AE470">
        <v>-0.28109999999997998</v>
      </c>
      <c r="AF470">
        <v>0.85799708647002304</v>
      </c>
      <c r="AG470">
        <v>-1.108978118612</v>
      </c>
      <c r="AH470">
        <v>30.558423941773999</v>
      </c>
      <c r="AI470">
        <v>92.077557943537499</v>
      </c>
      <c r="AJ470">
        <v>88.391713524195296</v>
      </c>
      <c r="AK470">
        <v>30.5905747784042</v>
      </c>
      <c r="AL470">
        <v>90.721013601601697</v>
      </c>
      <c r="AM470">
        <v>87.417186431538596</v>
      </c>
      <c r="AN470">
        <v>1.00000006596958</v>
      </c>
    </row>
    <row r="471" spans="1:40" x14ac:dyDescent="0.25">
      <c r="A471" t="str">
        <f>"20190312151510695"</f>
        <v>20190312151510695</v>
      </c>
      <c r="B471" t="str">
        <f>"1552374910688354"</f>
        <v>1552374910688354</v>
      </c>
      <c r="C471" t="s">
        <v>40</v>
      </c>
      <c r="D471">
        <v>4.5167320000000002</v>
      </c>
      <c r="E471">
        <v>0.49340850000000003</v>
      </c>
      <c r="F471" t="s">
        <v>43</v>
      </c>
      <c r="G471">
        <v>-328.47840000000002</v>
      </c>
      <c r="H471" s="1">
        <v>-8.5960819999999999E-7</v>
      </c>
      <c r="I471">
        <v>368.35059999999999</v>
      </c>
      <c r="J471">
        <v>-358.26220000000001</v>
      </c>
      <c r="K471">
        <v>1.108957</v>
      </c>
      <c r="L471">
        <v>368.61320000000001</v>
      </c>
      <c r="M471">
        <v>0.99977020000000005</v>
      </c>
      <c r="N471">
        <v>0</v>
      </c>
      <c r="O471">
        <v>1.889863E-2</v>
      </c>
      <c r="P471">
        <v>0.9994016</v>
      </c>
      <c r="Q471">
        <v>-2.289863E-2</v>
      </c>
      <c r="R471">
        <v>-2.5932050000000002E-2</v>
      </c>
      <c r="S471">
        <v>2.998596</v>
      </c>
      <c r="T471">
        <v>-0.1107901</v>
      </c>
      <c r="U471">
        <v>-2.5787350000000001E-2</v>
      </c>
      <c r="V471">
        <v>4.4818629999999998E-2</v>
      </c>
      <c r="W471">
        <v>-1.2768969999999999E-2</v>
      </c>
      <c r="X471">
        <v>0.99891350000000001</v>
      </c>
      <c r="Y471">
        <v>2.7465219999999999E-2</v>
      </c>
      <c r="Z471">
        <v>-1.2052230000000001E-3</v>
      </c>
      <c r="AA471">
        <v>0.99962200000000001</v>
      </c>
      <c r="AB471">
        <v>43</v>
      </c>
      <c r="AC471">
        <v>29.7837999999999</v>
      </c>
      <c r="AD471">
        <v>-1.1089578596081999</v>
      </c>
      <c r="AE471">
        <v>-0.26260000000001998</v>
      </c>
      <c r="AF471">
        <v>0.82431224202203901</v>
      </c>
      <c r="AG471">
        <v>-1.1089578596081999</v>
      </c>
      <c r="AH471">
        <v>29.7323012956812</v>
      </c>
      <c r="AI471">
        <v>92.1352129359652</v>
      </c>
      <c r="AJ471">
        <v>88.411911791692603</v>
      </c>
      <c r="AK471">
        <v>29.764391788576798</v>
      </c>
      <c r="AL471">
        <v>90.731627995390099</v>
      </c>
      <c r="AM471">
        <v>87.431011516239195</v>
      </c>
      <c r="AN471">
        <v>0.99999996833609295</v>
      </c>
    </row>
    <row r="472" spans="1:40" x14ac:dyDescent="0.25">
      <c r="A472" t="str">
        <f>"20190312151510705"</f>
        <v>20190312151510705</v>
      </c>
      <c r="B472" t="str">
        <f>"1552374910698115"</f>
        <v>1552374910698115</v>
      </c>
      <c r="C472" t="s">
        <v>40</v>
      </c>
      <c r="D472">
        <v>4.5789019999999896</v>
      </c>
      <c r="E472">
        <v>0.49342219999999998</v>
      </c>
      <c r="F472" t="s">
        <v>43</v>
      </c>
      <c r="G472">
        <v>-329.09809999999999</v>
      </c>
      <c r="H472" s="1">
        <v>-6.2539949999999996E-7</v>
      </c>
      <c r="I472">
        <v>368.36700000000002</v>
      </c>
      <c r="J472">
        <v>-358.03379999999999</v>
      </c>
      <c r="K472">
        <v>1.1089359999999999</v>
      </c>
      <c r="L472">
        <v>368.61750000000001</v>
      </c>
      <c r="M472">
        <v>0.99977000000000005</v>
      </c>
      <c r="N472">
        <v>0</v>
      </c>
      <c r="O472">
        <v>1.8900759999999999E-2</v>
      </c>
      <c r="P472">
        <v>0.99939979999999995</v>
      </c>
      <c r="Q472">
        <v>-2.3178649999999999E-2</v>
      </c>
      <c r="R472">
        <v>-2.5755170000000001E-2</v>
      </c>
      <c r="S472">
        <v>2.998535</v>
      </c>
      <c r="T472">
        <v>-0.1140183</v>
      </c>
      <c r="U472">
        <v>-2.529907E-2</v>
      </c>
      <c r="V472">
        <v>4.4643200000000001E-2</v>
      </c>
      <c r="W472">
        <v>-1.304597E-2</v>
      </c>
      <c r="X472">
        <v>0.99891779999999997</v>
      </c>
      <c r="Y472">
        <v>2.7303009999999999E-2</v>
      </c>
      <c r="Z472">
        <v>-1.2373389999999901E-3</v>
      </c>
      <c r="AA472">
        <v>0.99962649999999997</v>
      </c>
      <c r="AB472">
        <v>43</v>
      </c>
      <c r="AC472">
        <v>28.935700000000001</v>
      </c>
      <c r="AD472">
        <v>-1.1089366253994899</v>
      </c>
      <c r="AE472">
        <v>-0.25050000000004502</v>
      </c>
      <c r="AF472">
        <v>0.79622070147597002</v>
      </c>
      <c r="AG472">
        <v>-1.1089366253994899</v>
      </c>
      <c r="AH472">
        <v>28.883376602705798</v>
      </c>
      <c r="AI472">
        <v>92.197876819335704</v>
      </c>
      <c r="AJ472">
        <v>88.420941716964407</v>
      </c>
      <c r="AK472">
        <v>28.915621242130399</v>
      </c>
      <c r="AL472">
        <v>90.747500231490804</v>
      </c>
      <c r="AM472">
        <v>87.441064711577994</v>
      </c>
      <c r="AN472">
        <v>0.99999999189816002</v>
      </c>
    </row>
    <row r="473" spans="1:40" x14ac:dyDescent="0.25">
      <c r="A473" t="str">
        <f>"20190312151510718"</f>
        <v>20190312151510718</v>
      </c>
      <c r="B473" t="str">
        <f>"1552374910707875"</f>
        <v>1552374910707875</v>
      </c>
      <c r="C473" t="s">
        <v>40</v>
      </c>
      <c r="D473">
        <v>4.5590190000000002</v>
      </c>
      <c r="E473">
        <v>0.49333300000000002</v>
      </c>
      <c r="F473" t="s">
        <v>43</v>
      </c>
      <c r="G473">
        <v>-329.58730000000003</v>
      </c>
      <c r="H473" s="1">
        <v>-4.5470589999999998E-7</v>
      </c>
      <c r="I473">
        <v>368.38290000000001</v>
      </c>
      <c r="J473">
        <v>-357.8211</v>
      </c>
      <c r="K473">
        <v>1.1089199999999999</v>
      </c>
      <c r="L473">
        <v>368.6216</v>
      </c>
      <c r="M473">
        <v>0.99977020000000005</v>
      </c>
      <c r="N473">
        <v>0</v>
      </c>
      <c r="O473">
        <v>1.8896710000000001E-2</v>
      </c>
      <c r="P473">
        <v>0.99939359999999999</v>
      </c>
      <c r="Q473">
        <v>-2.3717240000000001E-2</v>
      </c>
      <c r="R473">
        <v>-2.5500720000000001E-2</v>
      </c>
      <c r="S473">
        <v>2.9984130000000002</v>
      </c>
      <c r="T473">
        <v>-0.1168873</v>
      </c>
      <c r="U473">
        <v>-2.471924E-2</v>
      </c>
      <c r="V473">
        <v>4.4384359999999998E-2</v>
      </c>
      <c r="W473">
        <v>-1.358184E-2</v>
      </c>
      <c r="X473">
        <v>0.99892219999999998</v>
      </c>
      <c r="Y473">
        <v>2.7104449999999999E-2</v>
      </c>
      <c r="Z473">
        <v>-1.264477E-3</v>
      </c>
      <c r="AA473">
        <v>0.99963179999999996</v>
      </c>
      <c r="AB473">
        <v>43</v>
      </c>
      <c r="AC473">
        <v>28.233799999999899</v>
      </c>
      <c r="AD473">
        <v>-1.1089204547058999</v>
      </c>
      <c r="AE473">
        <v>-0.238699999999994</v>
      </c>
      <c r="AF473">
        <v>0.77102132293104497</v>
      </c>
      <c r="AG473">
        <v>-1.1089204547058999</v>
      </c>
      <c r="AH473">
        <v>28.180777774114102</v>
      </c>
      <c r="AI473">
        <v>92.252598146201905</v>
      </c>
      <c r="AJ473">
        <v>88.432788117027499</v>
      </c>
      <c r="AK473">
        <v>28.213124860767898</v>
      </c>
      <c r="AL473">
        <v>90.778206036963994</v>
      </c>
      <c r="AM473">
        <v>87.455892986075597</v>
      </c>
      <c r="AN473">
        <v>0.99999999972161702</v>
      </c>
    </row>
    <row r="474" spans="1:40" x14ac:dyDescent="0.25">
      <c r="A474" t="str">
        <f>"20190312151510729"</f>
        <v>20190312151510729</v>
      </c>
      <c r="B474" t="str">
        <f>"1552374910717635"</f>
        <v>1552374910717635</v>
      </c>
      <c r="C474" t="s">
        <v>40</v>
      </c>
      <c r="D474">
        <v>4.6578339999999896</v>
      </c>
      <c r="E474">
        <v>0.49315439999999999</v>
      </c>
      <c r="F474" t="s">
        <v>43</v>
      </c>
      <c r="G474">
        <v>-330.13830000000002</v>
      </c>
      <c r="H474" s="1">
        <v>-4.4277129999999997E-6</v>
      </c>
      <c r="I474">
        <v>368.40559999999999</v>
      </c>
      <c r="J474">
        <v>-357.58569999999997</v>
      </c>
      <c r="K474">
        <v>1.1089039999999999</v>
      </c>
      <c r="L474">
        <v>368.62599999999998</v>
      </c>
      <c r="M474">
        <v>0.9997703</v>
      </c>
      <c r="N474">
        <v>0</v>
      </c>
      <c r="O474">
        <v>1.8885010000000001E-2</v>
      </c>
      <c r="P474">
        <v>0.99937989999999999</v>
      </c>
      <c r="Q474">
        <v>-2.4422590000000001E-2</v>
      </c>
      <c r="R474">
        <v>-2.537122E-2</v>
      </c>
      <c r="S474">
        <v>2.9984130000000002</v>
      </c>
      <c r="T474">
        <v>-0.1201108</v>
      </c>
      <c r="U474">
        <v>-2.3376460000000002E-2</v>
      </c>
      <c r="V474">
        <v>4.4242740000000003E-2</v>
      </c>
      <c r="W474">
        <v>-1.428434E-2</v>
      </c>
      <c r="X474">
        <v>0.99891870000000005</v>
      </c>
      <c r="Y474">
        <v>2.664354E-2</v>
      </c>
      <c r="Z474">
        <v>-1.289625E-3</v>
      </c>
      <c r="AA474">
        <v>0.99964419999999998</v>
      </c>
      <c r="AB474">
        <v>43</v>
      </c>
      <c r="AC474">
        <v>27.447399999999899</v>
      </c>
      <c r="AD474">
        <v>-1.1089084277129999</v>
      </c>
      <c r="AE474">
        <v>-0.220399999999983</v>
      </c>
      <c r="AF474">
        <v>0.73752797507877599</v>
      </c>
      <c r="AG474">
        <v>-1.1089084277129999</v>
      </c>
      <c r="AH474">
        <v>27.393631515298299</v>
      </c>
      <c r="AI474">
        <v>92.317258474271199</v>
      </c>
      <c r="AJ474">
        <v>88.457778977585207</v>
      </c>
      <c r="AK474">
        <v>27.425985360803701</v>
      </c>
      <c r="AL474">
        <v>90.818460217225095</v>
      </c>
      <c r="AM474">
        <v>87.463991141230807</v>
      </c>
      <c r="AN474">
        <v>1.00000001581081</v>
      </c>
    </row>
    <row r="475" spans="1:40" x14ac:dyDescent="0.25">
      <c r="A475" t="str">
        <f>"20190312151510743"</f>
        <v>20190312151510743</v>
      </c>
      <c r="B475" t="str">
        <f>"1552374910738131"</f>
        <v>1552374910738131</v>
      </c>
      <c r="C475" t="s">
        <v>40</v>
      </c>
      <c r="D475">
        <v>4.5605690000000001</v>
      </c>
      <c r="E475">
        <v>0.49331170000000002</v>
      </c>
      <c r="F475" t="s">
        <v>43</v>
      </c>
      <c r="G475">
        <v>-331.01659999999998</v>
      </c>
      <c r="H475" s="1">
        <v>-4.045926E-6</v>
      </c>
      <c r="I475">
        <v>368.43389999999999</v>
      </c>
      <c r="J475">
        <v>-357.35180000000003</v>
      </c>
      <c r="K475">
        <v>1.108887</v>
      </c>
      <c r="L475">
        <v>368.63040000000001</v>
      </c>
      <c r="M475">
        <v>0.99977059999999995</v>
      </c>
      <c r="N475">
        <v>0</v>
      </c>
      <c r="O475">
        <v>1.886328E-2</v>
      </c>
      <c r="P475">
        <v>0.99935790000000002</v>
      </c>
      <c r="Q475">
        <v>-2.5338429999999999E-2</v>
      </c>
      <c r="R475">
        <v>-2.5333129999999999E-2</v>
      </c>
      <c r="S475">
        <v>2.99823</v>
      </c>
      <c r="T475">
        <v>-0.12513589999999999</v>
      </c>
      <c r="U475">
        <v>-2.1667479999999999E-2</v>
      </c>
      <c r="V475">
        <v>4.4181970000000001E-2</v>
      </c>
      <c r="W475">
        <v>-1.519758E-2</v>
      </c>
      <c r="X475">
        <v>0.99890789999999996</v>
      </c>
      <c r="Y475">
        <v>2.6049940000000001E-2</v>
      </c>
      <c r="Z475">
        <v>-1.3303290000000001E-3</v>
      </c>
      <c r="AA475">
        <v>0.99965979999999999</v>
      </c>
      <c r="AB475">
        <v>43</v>
      </c>
      <c r="AC475">
        <v>26.3352</v>
      </c>
      <c r="AD475">
        <v>-1.108891045926</v>
      </c>
      <c r="AE475">
        <v>-0.196500000000014</v>
      </c>
      <c r="AF475">
        <v>0.69203195935206696</v>
      </c>
      <c r="AG475">
        <v>-1.108891045926</v>
      </c>
      <c r="AH475">
        <v>26.280215161834899</v>
      </c>
      <c r="AI475">
        <v>92.415320165834402</v>
      </c>
      <c r="AJ475">
        <v>88.491589610396801</v>
      </c>
      <c r="AK475">
        <v>26.3127014298577</v>
      </c>
      <c r="AL475">
        <v>90.870790713142398</v>
      </c>
      <c r="AM475">
        <v>87.467442614299898</v>
      </c>
      <c r="AN475">
        <v>1.00000000279667</v>
      </c>
    </row>
    <row r="476" spans="1:40" x14ac:dyDescent="0.25">
      <c r="A476" t="str">
        <f>"20190312151510759"</f>
        <v>20190312151510759</v>
      </c>
      <c r="B476" t="str">
        <f>"1552374910747891"</f>
        <v>1552374910747891</v>
      </c>
      <c r="C476" t="s">
        <v>40</v>
      </c>
      <c r="D476">
        <v>4.5820740000000004</v>
      </c>
      <c r="E476">
        <v>0.4934211</v>
      </c>
      <c r="F476" t="s">
        <v>43</v>
      </c>
      <c r="G476">
        <v>-332.32659999999998</v>
      </c>
      <c r="H476" s="1">
        <v>-3.4823870000000002E-6</v>
      </c>
      <c r="I476">
        <v>368.44260000000003</v>
      </c>
      <c r="J476">
        <v>-357.02530000000002</v>
      </c>
      <c r="K476">
        <v>1.1088559999999901</v>
      </c>
      <c r="L476">
        <v>368.63659999999999</v>
      </c>
      <c r="M476">
        <v>0.99977130000000003</v>
      </c>
      <c r="N476">
        <v>0</v>
      </c>
      <c r="O476">
        <v>1.8822680000000001E-2</v>
      </c>
      <c r="P476">
        <v>0.99931420000000004</v>
      </c>
      <c r="Q476">
        <v>-2.7331769999999998E-2</v>
      </c>
      <c r="R476">
        <v>-2.4978529999999999E-2</v>
      </c>
      <c r="S476">
        <v>2.997986</v>
      </c>
      <c r="T476">
        <v>-0.1328434</v>
      </c>
      <c r="U476">
        <v>-2.2491460000000001E-2</v>
      </c>
      <c r="V476">
        <v>4.3785520000000001E-2</v>
      </c>
      <c r="W476">
        <v>-1.718745E-2</v>
      </c>
      <c r="X476">
        <v>0.99889309999999998</v>
      </c>
      <c r="Y476">
        <v>2.6279520000000001E-2</v>
      </c>
      <c r="Z476">
        <v>-1.41559E-3</v>
      </c>
      <c r="AA476">
        <v>0.99965360000000003</v>
      </c>
      <c r="AB476">
        <v>43</v>
      </c>
      <c r="AC476">
        <v>24.698699999999999</v>
      </c>
      <c r="AD476">
        <v>-1.1088594823869999</v>
      </c>
      <c r="AE476">
        <v>-0.19399999999996001</v>
      </c>
      <c r="AF476">
        <v>0.65756001242052398</v>
      </c>
      <c r="AG476">
        <v>-1.1088594823869999</v>
      </c>
      <c r="AH476">
        <v>24.641008672491299</v>
      </c>
      <c r="AI476">
        <v>92.575688828946198</v>
      </c>
      <c r="AJ476">
        <v>88.471390734998593</v>
      </c>
      <c r="AK476">
        <v>24.674708973347698</v>
      </c>
      <c r="AL476">
        <v>90.984816834179099</v>
      </c>
      <c r="AM476">
        <v>87.4901012177518</v>
      </c>
      <c r="AN476">
        <v>1.00000000271339</v>
      </c>
    </row>
    <row r="477" spans="1:40" x14ac:dyDescent="0.25">
      <c r="A477" t="str">
        <f>"20190312151510773"</f>
        <v>20190312151510773</v>
      </c>
      <c r="B477" t="str">
        <f>"1552374910768387"</f>
        <v>1552374910768387</v>
      </c>
      <c r="C477" t="s">
        <v>40</v>
      </c>
      <c r="D477">
        <v>4.5686359999999997</v>
      </c>
      <c r="E477">
        <v>0.4936005</v>
      </c>
      <c r="F477" t="s">
        <v>43</v>
      </c>
      <c r="G477">
        <v>-333.54820000000001</v>
      </c>
      <c r="H477" s="1">
        <v>-2.9550020000000001E-6</v>
      </c>
      <c r="I477">
        <v>368.46129999999999</v>
      </c>
      <c r="J477">
        <v>-356.77210000000002</v>
      </c>
      <c r="K477">
        <v>1.10883</v>
      </c>
      <c r="L477">
        <v>368.6413</v>
      </c>
      <c r="M477">
        <v>0.99977210000000005</v>
      </c>
      <c r="N477">
        <v>0</v>
      </c>
      <c r="O477">
        <v>1.8783569999999999E-2</v>
      </c>
      <c r="P477">
        <v>0.99929619999999997</v>
      </c>
      <c r="Q477">
        <v>-2.8131550000000002E-2</v>
      </c>
      <c r="R477">
        <v>-2.4815759999999999E-2</v>
      </c>
      <c r="S477">
        <v>2.9976500000000001</v>
      </c>
      <c r="T477">
        <v>-0.141583399999999</v>
      </c>
      <c r="U477">
        <v>-2.2369380000000001E-2</v>
      </c>
      <c r="V477">
        <v>4.3582450000000002E-2</v>
      </c>
      <c r="W477">
        <v>-1.79845E-2</v>
      </c>
      <c r="X477">
        <v>0.998888</v>
      </c>
      <c r="Y477">
        <v>2.6194660000000002E-2</v>
      </c>
      <c r="Z477">
        <v>-1.5049449999999999E-3</v>
      </c>
      <c r="AA477">
        <v>0.99965570000000004</v>
      </c>
      <c r="AB477">
        <v>43</v>
      </c>
      <c r="AC477">
        <v>23.2239</v>
      </c>
      <c r="AD477">
        <v>-1.108832955002</v>
      </c>
      <c r="AE477">
        <v>-0.18000000000000599</v>
      </c>
      <c r="AF477">
        <v>0.61481697922011302</v>
      </c>
      <c r="AG477">
        <v>-1.108832955002</v>
      </c>
      <c r="AH477">
        <v>23.1636200258394</v>
      </c>
      <c r="AI477">
        <v>92.739669868389399</v>
      </c>
      <c r="AJ477">
        <v>88.479592169020805</v>
      </c>
      <c r="AK477">
        <v>23.198293108362599</v>
      </c>
      <c r="AL477">
        <v>91.030491446461397</v>
      </c>
      <c r="AM477">
        <v>87.501714191122204</v>
      </c>
      <c r="AN477">
        <v>1.0000000543661201</v>
      </c>
    </row>
    <row r="478" spans="1:40" x14ac:dyDescent="0.25">
      <c r="A478" t="str">
        <f>"20190312151510786"</f>
        <v>20190312151510786</v>
      </c>
      <c r="B478" t="str">
        <f>"1552374910778147"</f>
        <v>1552374910778147</v>
      </c>
      <c r="C478" t="s">
        <v>40</v>
      </c>
      <c r="D478">
        <v>4.7192239999999996</v>
      </c>
      <c r="E478">
        <v>0.4937416</v>
      </c>
      <c r="F478" t="s">
        <v>43</v>
      </c>
      <c r="G478">
        <v>-334.29910000000001</v>
      </c>
      <c r="H478" s="1">
        <v>-2.6320879999999998E-6</v>
      </c>
      <c r="I478">
        <v>368.46570000000003</v>
      </c>
      <c r="J478">
        <v>-356.5086</v>
      </c>
      <c r="K478">
        <v>1.1088070000000001</v>
      </c>
      <c r="L478">
        <v>368.64620000000002</v>
      </c>
      <c r="M478">
        <v>0.99977300000000002</v>
      </c>
      <c r="N478">
        <v>0</v>
      </c>
      <c r="O478">
        <v>1.8731879999999999E-2</v>
      </c>
      <c r="P478">
        <v>0.99927370000000004</v>
      </c>
      <c r="Q478">
        <v>-2.8946079999999999E-2</v>
      </c>
      <c r="R478">
        <v>-2.4789329999999998E-2</v>
      </c>
      <c r="S478">
        <v>2.9973749999999999</v>
      </c>
      <c r="T478">
        <v>-0.1478921</v>
      </c>
      <c r="U478">
        <v>-2.3406980000000001E-2</v>
      </c>
      <c r="V478">
        <v>4.3503119999999999E-2</v>
      </c>
      <c r="W478">
        <v>-1.8796230000000001E-2</v>
      </c>
      <c r="X478">
        <v>0.99887649999999994</v>
      </c>
      <c r="Y478">
        <v>2.6484819999999999E-2</v>
      </c>
      <c r="Z478">
        <v>-1.5766700000000001E-3</v>
      </c>
      <c r="AA478">
        <v>0.99964799999999998</v>
      </c>
      <c r="AB478">
        <v>43</v>
      </c>
      <c r="AC478">
        <v>22.209499999999899</v>
      </c>
      <c r="AD478">
        <v>-1.1088096320880001</v>
      </c>
      <c r="AE478">
        <v>-0.180499999999995</v>
      </c>
      <c r="AF478">
        <v>0.595032431477726</v>
      </c>
      <c r="AG478">
        <v>-1.1088096320880001</v>
      </c>
      <c r="AH478">
        <v>22.147023537011499</v>
      </c>
      <c r="AI478">
        <v>92.865136724565502</v>
      </c>
      <c r="AJ478">
        <v>88.460982934502198</v>
      </c>
      <c r="AK478">
        <v>22.1827449596226</v>
      </c>
      <c r="AL478">
        <v>91.077008029476701</v>
      </c>
      <c r="AM478">
        <v>87.506227221075903</v>
      </c>
      <c r="AN478">
        <v>1.0000000409820899</v>
      </c>
    </row>
    <row r="479" spans="1:40" x14ac:dyDescent="0.25">
      <c r="A479" t="str">
        <f>"20190312151510805"</f>
        <v>20190312151510805</v>
      </c>
      <c r="B479" t="str">
        <f>"1552374910797666"</f>
        <v>1552374910797666</v>
      </c>
      <c r="C479" t="s">
        <v>40</v>
      </c>
      <c r="D479">
        <v>4.5725540000000002</v>
      </c>
      <c r="E479">
        <v>0.49399609999999999</v>
      </c>
      <c r="F479" t="s">
        <v>43</v>
      </c>
      <c r="G479">
        <v>-334.28719999999998</v>
      </c>
      <c r="H479" s="1">
        <v>-2.637395E-6</v>
      </c>
      <c r="I479">
        <v>368.46469999999999</v>
      </c>
      <c r="J479">
        <v>-356.14620000000002</v>
      </c>
      <c r="K479">
        <v>1.108773</v>
      </c>
      <c r="L479">
        <v>368.65300000000002</v>
      </c>
      <c r="M479">
        <v>0.9997743</v>
      </c>
      <c r="N479">
        <v>0</v>
      </c>
      <c r="O479">
        <v>1.8652220000000001E-2</v>
      </c>
      <c r="P479">
        <v>0.99922560000000005</v>
      </c>
      <c r="Q479">
        <v>-3.0636690000000001E-2</v>
      </c>
      <c r="R479">
        <v>-2.4698999999999999E-2</v>
      </c>
      <c r="S479">
        <v>2.9972530000000002</v>
      </c>
      <c r="T479">
        <v>-0.14955689999999999</v>
      </c>
      <c r="U479">
        <v>-2.44751E-2</v>
      </c>
      <c r="V479">
        <v>4.3331050000000003E-2</v>
      </c>
      <c r="W479">
        <v>-2.0483009999999999E-2</v>
      </c>
      <c r="X479">
        <v>0.99885080000000004</v>
      </c>
      <c r="Y479">
        <v>2.6760220000000001E-2</v>
      </c>
      <c r="Z479">
        <v>-1.597354E-3</v>
      </c>
      <c r="AA479">
        <v>0.99964059999999999</v>
      </c>
      <c r="AB479">
        <v>43</v>
      </c>
      <c r="AC479">
        <v>21.859000000000002</v>
      </c>
      <c r="AD479">
        <v>-1.108775637395</v>
      </c>
      <c r="AE479">
        <v>-0.188300000000026</v>
      </c>
      <c r="AF479">
        <v>0.59447777310446104</v>
      </c>
      <c r="AG479">
        <v>-1.108775637395</v>
      </c>
      <c r="AH479">
        <v>21.7956101868382</v>
      </c>
      <c r="AI479">
        <v>92.911131686808801</v>
      </c>
      <c r="AJ479">
        <v>88.4376383814012</v>
      </c>
      <c r="AK479">
        <v>21.831889763678301</v>
      </c>
      <c r="AL479">
        <v>91.173672072385301</v>
      </c>
      <c r="AM479">
        <v>87.516014752531603</v>
      </c>
      <c r="AN479">
        <v>1.0000000271267</v>
      </c>
    </row>
    <row r="480" spans="1:40" x14ac:dyDescent="0.25">
      <c r="A480" t="str">
        <f>"20190312151510818"</f>
        <v>20190312151510818</v>
      </c>
      <c r="B480" t="str">
        <f>"1552374910808403"</f>
        <v>1552374910808403</v>
      </c>
      <c r="C480" t="s">
        <v>40</v>
      </c>
      <c r="D480">
        <v>4.6867029999999996</v>
      </c>
      <c r="E480">
        <v>0.49391839999999998</v>
      </c>
      <c r="F480" t="s">
        <v>43</v>
      </c>
      <c r="G480">
        <v>-334.45580000000001</v>
      </c>
      <c r="H480" s="1">
        <v>-2.5652189999999999E-6</v>
      </c>
      <c r="I480">
        <v>368.46379999999999</v>
      </c>
      <c r="J480">
        <v>-355.91109999999998</v>
      </c>
      <c r="K480">
        <v>1.1087560000000001</v>
      </c>
      <c r="L480">
        <v>368.65730000000002</v>
      </c>
      <c r="M480">
        <v>0.99977550000000004</v>
      </c>
      <c r="N480">
        <v>0</v>
      </c>
      <c r="O480">
        <v>1.8594920000000001E-2</v>
      </c>
      <c r="P480">
        <v>0.99919860000000005</v>
      </c>
      <c r="Q480">
        <v>-3.1593030000000001E-2</v>
      </c>
      <c r="R480">
        <v>-2.458542E-2</v>
      </c>
      <c r="S480">
        <v>2.9969480000000002</v>
      </c>
      <c r="T480">
        <v>-0.1531981</v>
      </c>
      <c r="U480">
        <v>-2.6123049999999998E-2</v>
      </c>
      <c r="V480">
        <v>4.315898E-2</v>
      </c>
      <c r="W480">
        <v>-2.1436690000000001E-2</v>
      </c>
      <c r="X480">
        <v>0.99883820000000001</v>
      </c>
      <c r="Y480">
        <v>2.7250030000000001E-2</v>
      </c>
      <c r="Z480">
        <v>-1.6459420000000001E-3</v>
      </c>
      <c r="AA480">
        <v>0.9996273</v>
      </c>
      <c r="AB480">
        <v>43</v>
      </c>
      <c r="AC480">
        <v>21.455299999999902</v>
      </c>
      <c r="AD480">
        <v>-1.108758565219</v>
      </c>
      <c r="AE480">
        <v>-0.19350000000002801</v>
      </c>
      <c r="AF480">
        <v>0.59086887964068702</v>
      </c>
      <c r="AG480">
        <v>-1.108758565219</v>
      </c>
      <c r="AH480">
        <v>21.390870403625598</v>
      </c>
      <c r="AI480">
        <v>92.966042388328404</v>
      </c>
      <c r="AJ480">
        <v>88.417750841394593</v>
      </c>
      <c r="AK480">
        <v>21.427734556261001</v>
      </c>
      <c r="AL480">
        <v>91.2283259646549</v>
      </c>
      <c r="AM480">
        <v>87.525835342089806</v>
      </c>
      <c r="AN480">
        <v>0.99999998950601798</v>
      </c>
    </row>
    <row r="481" spans="1:40" x14ac:dyDescent="0.25">
      <c r="A481" t="str">
        <f>"20190312151510828"</f>
        <v>20190312151510828</v>
      </c>
      <c r="B481" t="str">
        <f>"1552374910818162"</f>
        <v>1552374910818162</v>
      </c>
      <c r="C481" t="s">
        <v>40</v>
      </c>
      <c r="D481">
        <v>4.5933219999999997</v>
      </c>
      <c r="E481">
        <v>0.49396699999999999</v>
      </c>
      <c r="F481" t="s">
        <v>43</v>
      </c>
      <c r="G481">
        <v>-334.91109999999998</v>
      </c>
      <c r="H481" s="1">
        <v>-2.3669740000000001E-6</v>
      </c>
      <c r="I481">
        <v>368.4803</v>
      </c>
      <c r="J481">
        <v>-355.6816</v>
      </c>
      <c r="K481">
        <v>1.108738</v>
      </c>
      <c r="L481">
        <v>368.66149999999999</v>
      </c>
      <c r="M481">
        <v>0.99977640000000001</v>
      </c>
      <c r="N481">
        <v>0</v>
      </c>
      <c r="O481">
        <v>1.8535079999999999E-2</v>
      </c>
      <c r="P481">
        <v>0.99917999999999996</v>
      </c>
      <c r="Q481">
        <v>-3.2221159999999999E-2</v>
      </c>
      <c r="R481">
        <v>-2.451708E-2</v>
      </c>
      <c r="S481">
        <v>2.9967959999999998</v>
      </c>
      <c r="T481">
        <v>-0.158224</v>
      </c>
      <c r="U481">
        <v>-2.523804E-2</v>
      </c>
      <c r="V481">
        <v>4.3029890000000001E-2</v>
      </c>
      <c r="W481">
        <v>-2.2062060000000001E-2</v>
      </c>
      <c r="X481">
        <v>0.99883010000000005</v>
      </c>
      <c r="Y481">
        <v>2.6892030000000001E-2</v>
      </c>
      <c r="Z481">
        <v>-1.687352E-3</v>
      </c>
      <c r="AA481">
        <v>0.99963690000000005</v>
      </c>
      <c r="AB481">
        <v>43</v>
      </c>
      <c r="AC481">
        <v>20.770499999999998</v>
      </c>
      <c r="AD481">
        <v>-1.1087403669739999</v>
      </c>
      <c r="AE481">
        <v>-0.18119999999998901</v>
      </c>
      <c r="AF481">
        <v>0.56456310190584302</v>
      </c>
      <c r="AG481">
        <v>-1.1087403669739999</v>
      </c>
      <c r="AH481">
        <v>20.704579924750799</v>
      </c>
      <c r="AI481">
        <v>93.064152404709901</v>
      </c>
      <c r="AJ481">
        <v>88.438071682272806</v>
      </c>
      <c r="AK481">
        <v>20.7419301550696</v>
      </c>
      <c r="AL481">
        <v>91.264165570950396</v>
      </c>
      <c r="AM481">
        <v>87.533206519438096</v>
      </c>
      <c r="AN481">
        <v>0.99999993729543102</v>
      </c>
    </row>
    <row r="482" spans="1:40" x14ac:dyDescent="0.25">
      <c r="A482" t="str">
        <f>"20190312151510840"</f>
        <v>20190312151510840</v>
      </c>
      <c r="B482" t="str">
        <f>"1552374910837683"</f>
        <v>1552374910837683</v>
      </c>
      <c r="C482" t="s">
        <v>40</v>
      </c>
      <c r="D482">
        <v>4.56372</v>
      </c>
      <c r="E482">
        <v>0.49407200000000001</v>
      </c>
      <c r="F482" t="s">
        <v>43</v>
      </c>
      <c r="G482">
        <v>-335.18130000000002</v>
      </c>
      <c r="H482" s="1">
        <v>-2.249715E-6</v>
      </c>
      <c r="I482">
        <v>368.48779999999999</v>
      </c>
      <c r="J482">
        <v>-355.4658</v>
      </c>
      <c r="K482">
        <v>1.108724</v>
      </c>
      <c r="L482">
        <v>368.66550000000001</v>
      </c>
      <c r="M482">
        <v>0.99977760000000004</v>
      </c>
      <c r="N482">
        <v>0</v>
      </c>
      <c r="O482">
        <v>1.847532E-2</v>
      </c>
      <c r="P482">
        <v>0.99915259999999995</v>
      </c>
      <c r="Q482">
        <v>-3.3079949999999997E-2</v>
      </c>
      <c r="R482">
        <v>-2.4495320000000001E-2</v>
      </c>
      <c r="S482">
        <v>2.996613</v>
      </c>
      <c r="T482">
        <v>-0.16206860000000001</v>
      </c>
      <c r="U482">
        <v>-2.5390630000000001E-2</v>
      </c>
      <c r="V482">
        <v>4.2946949999999998E-2</v>
      </c>
      <c r="W482">
        <v>-2.291822E-2</v>
      </c>
      <c r="X482">
        <v>0.99881450000000005</v>
      </c>
      <c r="Y482">
        <v>2.6880689999999999E-2</v>
      </c>
      <c r="Z482">
        <v>-1.724862E-3</v>
      </c>
      <c r="AA482">
        <v>0.9996372</v>
      </c>
      <c r="AB482">
        <v>43</v>
      </c>
      <c r="AC482">
        <v>20.284499999999898</v>
      </c>
      <c r="AD482">
        <v>-1.1087262497149999</v>
      </c>
      <c r="AE482">
        <v>-0.17770000000001501</v>
      </c>
      <c r="AF482">
        <v>0.550806220893301</v>
      </c>
      <c r="AG482">
        <v>-1.1087262497149999</v>
      </c>
      <c r="AH482">
        <v>20.217357774068901</v>
      </c>
      <c r="AI482">
        <v>93.137812309258194</v>
      </c>
      <c r="AJ482">
        <v>88.439406996313707</v>
      </c>
      <c r="AK482">
        <v>20.255226899605098</v>
      </c>
      <c r="AL482">
        <v>91.313232198882801</v>
      </c>
      <c r="AM482">
        <v>87.537916994709704</v>
      </c>
      <c r="AN482">
        <v>1.0000000453662501</v>
      </c>
    </row>
    <row r="483" spans="1:40" x14ac:dyDescent="0.25">
      <c r="A483" t="str">
        <f>"20190312151510852"</f>
        <v>20190312151510852</v>
      </c>
      <c r="B483" t="str">
        <f>"1552374910848421"</f>
        <v>1552374910848421</v>
      </c>
      <c r="C483" t="s">
        <v>40</v>
      </c>
      <c r="D483">
        <v>4.5233949999999998</v>
      </c>
      <c r="E483">
        <v>0.49398419999999998</v>
      </c>
      <c r="F483" t="s">
        <v>43</v>
      </c>
      <c r="G483">
        <v>-335.39699999999999</v>
      </c>
      <c r="H483" s="1">
        <v>-2.1568790000000001E-6</v>
      </c>
      <c r="I483">
        <v>368.48939999999999</v>
      </c>
      <c r="J483">
        <v>-355.23849999999999</v>
      </c>
      <c r="K483">
        <v>1.1087100000000001</v>
      </c>
      <c r="L483">
        <v>368.6696</v>
      </c>
      <c r="M483">
        <v>0.99977859999999996</v>
      </c>
      <c r="N483">
        <v>0</v>
      </c>
      <c r="O483">
        <v>1.8410670000000001E-2</v>
      </c>
      <c r="P483">
        <v>0.9991295</v>
      </c>
      <c r="Q483">
        <v>-3.3904780000000002E-2</v>
      </c>
      <c r="R483">
        <v>-2.4308799999999998E-2</v>
      </c>
      <c r="S483">
        <v>2.996429</v>
      </c>
      <c r="T483">
        <v>-0.165541299999999</v>
      </c>
      <c r="U483">
        <v>-2.6275630000000001E-2</v>
      </c>
      <c r="V483">
        <v>4.2694780000000002E-2</v>
      </c>
      <c r="W483">
        <v>-2.3740089999999998E-2</v>
      </c>
      <c r="X483">
        <v>0.99880610000000003</v>
      </c>
      <c r="Y483">
        <v>2.7108670000000001E-2</v>
      </c>
      <c r="Z483">
        <v>-1.764596E-3</v>
      </c>
      <c r="AA483">
        <v>0.99963089999999999</v>
      </c>
      <c r="AB483">
        <v>43</v>
      </c>
      <c r="AC483">
        <v>19.8415</v>
      </c>
      <c r="AD483">
        <v>-1.1087121568789999</v>
      </c>
      <c r="AE483">
        <v>-0.18020000000001299</v>
      </c>
      <c r="AF483">
        <v>0.54378594587106699</v>
      </c>
      <c r="AG483">
        <v>-1.1087121568789999</v>
      </c>
      <c r="AH483">
        <v>19.773084527012799</v>
      </c>
      <c r="AI483">
        <v>93.208105653022898</v>
      </c>
      <c r="AJ483">
        <v>88.424687440508293</v>
      </c>
      <c r="AK483">
        <v>19.811608150630601</v>
      </c>
      <c r="AL483">
        <v>91.360334719762307</v>
      </c>
      <c r="AM483">
        <v>87.552335321953095</v>
      </c>
      <c r="AN483">
        <v>1.00000003075483</v>
      </c>
    </row>
    <row r="484" spans="1:40" x14ac:dyDescent="0.25">
      <c r="A484" t="str">
        <f>"20190312151510864"</f>
        <v>20190312151510864</v>
      </c>
      <c r="B484" t="str">
        <f>"1552374910858179"</f>
        <v>1552374910858179</v>
      </c>
      <c r="C484" t="s">
        <v>40</v>
      </c>
      <c r="D484">
        <v>4.4941009999999997</v>
      </c>
      <c r="E484">
        <v>0.49392380000000002</v>
      </c>
      <c r="F484" t="s">
        <v>43</v>
      </c>
      <c r="G484">
        <v>-335.37639999999999</v>
      </c>
      <c r="H484" s="1">
        <v>-2.1630619999999999E-6</v>
      </c>
      <c r="I484">
        <v>368.50450000000001</v>
      </c>
      <c r="J484">
        <v>-355.0147</v>
      </c>
      <c r="K484">
        <v>1.1086990000000001</v>
      </c>
      <c r="L484">
        <v>368.6737</v>
      </c>
      <c r="M484">
        <v>0.99977990000000005</v>
      </c>
      <c r="N484">
        <v>0</v>
      </c>
      <c r="O484">
        <v>1.8342600000000001E-2</v>
      </c>
      <c r="P484">
        <v>0.99910739999999998</v>
      </c>
      <c r="Q484">
        <v>-3.4705029999999998E-2</v>
      </c>
      <c r="R484">
        <v>-2.4087549999999999E-2</v>
      </c>
      <c r="S484">
        <v>2.9963069999999998</v>
      </c>
      <c r="T484">
        <v>-0.16725489999999901</v>
      </c>
      <c r="U484">
        <v>-2.4902339999999999E-2</v>
      </c>
      <c r="V484">
        <v>4.2404379999999998E-2</v>
      </c>
      <c r="W484">
        <v>-2.4537219999999998E-2</v>
      </c>
      <c r="X484">
        <v>0.9987992</v>
      </c>
      <c r="Y484">
        <v>2.6582310000000001E-2</v>
      </c>
      <c r="Z484">
        <v>-1.7644329999999999E-3</v>
      </c>
      <c r="AA484">
        <v>0.99964509999999995</v>
      </c>
      <c r="AB484">
        <v>43</v>
      </c>
      <c r="AC484">
        <v>19.638300000000001</v>
      </c>
      <c r="AD484">
        <v>-1.1087011630619901</v>
      </c>
      <c r="AE484">
        <v>-0.169199999999989</v>
      </c>
      <c r="AF484">
        <v>0.52772580236403299</v>
      </c>
      <c r="AG484">
        <v>-1.1087011630619901</v>
      </c>
      <c r="AH484">
        <v>19.569522923896699</v>
      </c>
      <c r="AI484">
        <v>93.241420466605504</v>
      </c>
      <c r="AJ484">
        <v>88.455295248010103</v>
      </c>
      <c r="AK484">
        <v>19.608007044581999</v>
      </c>
      <c r="AL484">
        <v>91.406020225249407</v>
      </c>
      <c r="AM484">
        <v>87.568946953532006</v>
      </c>
      <c r="AN484">
        <v>1.0000000242645699</v>
      </c>
    </row>
    <row r="485" spans="1:40" x14ac:dyDescent="0.25">
      <c r="A485" t="str">
        <f>"20190312151510882"</f>
        <v>20190312151510882</v>
      </c>
      <c r="B485" t="str">
        <f>"1552374910877699"</f>
        <v>1552374910877699</v>
      </c>
      <c r="C485" t="s">
        <v>40</v>
      </c>
      <c r="D485">
        <v>4.4640879999999896</v>
      </c>
      <c r="E485">
        <v>0.49386750000000001</v>
      </c>
      <c r="F485" t="s">
        <v>43</v>
      </c>
      <c r="G485">
        <v>-335.34039999999999</v>
      </c>
      <c r="H485" s="1">
        <v>-2.1763659999999999E-6</v>
      </c>
      <c r="I485">
        <v>368.51659999999998</v>
      </c>
      <c r="J485">
        <v>-354.65519999999998</v>
      </c>
      <c r="K485">
        <v>1.108681</v>
      </c>
      <c r="L485">
        <v>368.68020000000001</v>
      </c>
      <c r="M485">
        <v>0.99978180000000005</v>
      </c>
      <c r="N485">
        <v>0</v>
      </c>
      <c r="O485">
        <v>1.823112E-2</v>
      </c>
      <c r="P485">
        <v>0.99907659999999998</v>
      </c>
      <c r="Q485">
        <v>-3.6085850000000003E-2</v>
      </c>
      <c r="R485">
        <v>-2.3319340000000001E-2</v>
      </c>
      <c r="S485">
        <v>2.9962460000000002</v>
      </c>
      <c r="T485">
        <v>-0.1688462</v>
      </c>
      <c r="U485">
        <v>-2.3925780000000001E-2</v>
      </c>
      <c r="V485">
        <v>4.1523360000000002E-2</v>
      </c>
      <c r="W485">
        <v>-2.591274E-2</v>
      </c>
      <c r="X485">
        <v>0.99880150000000001</v>
      </c>
      <c r="Y485">
        <v>2.614476E-2</v>
      </c>
      <c r="Z485">
        <v>-1.7626370000000001E-3</v>
      </c>
      <c r="AA485">
        <v>0.99965660000000001</v>
      </c>
      <c r="AB485">
        <v>43</v>
      </c>
      <c r="AC485">
        <v>19.314799999999899</v>
      </c>
      <c r="AD485">
        <v>-1.1086831763659999</v>
      </c>
      <c r="AE485">
        <v>-0.16360000000003</v>
      </c>
      <c r="AF485">
        <v>0.51402803254541696</v>
      </c>
      <c r="AG485">
        <v>-1.1086831763659999</v>
      </c>
      <c r="AH485">
        <v>19.2452014339292</v>
      </c>
      <c r="AI485">
        <v>93.295895022028603</v>
      </c>
      <c r="AJ485">
        <v>88.470027118935704</v>
      </c>
      <c r="AK485">
        <v>19.283961767134599</v>
      </c>
      <c r="AL485">
        <v>91.484856770841006</v>
      </c>
      <c r="AM485">
        <v>87.619402786200695</v>
      </c>
      <c r="AN485">
        <v>1.00000004796112</v>
      </c>
    </row>
    <row r="486" spans="1:40" x14ac:dyDescent="0.25">
      <c r="A486" t="str">
        <f>"20190312151510895"</f>
        <v>20190312151510895</v>
      </c>
      <c r="B486" t="str">
        <f>"1552374910888435"</f>
        <v>1552374910888435</v>
      </c>
      <c r="C486" t="s">
        <v>40</v>
      </c>
      <c r="D486">
        <v>4.4332789999999997</v>
      </c>
      <c r="E486">
        <v>0.49384800000000001</v>
      </c>
      <c r="F486" t="s">
        <v>43</v>
      </c>
      <c r="G486">
        <v>-335.34390000000002</v>
      </c>
      <c r="H486" s="1">
        <v>-2.1698489999999998E-6</v>
      </c>
      <c r="I486">
        <v>368.54480000000001</v>
      </c>
      <c r="J486">
        <v>-354.4316</v>
      </c>
      <c r="K486">
        <v>1.1086720000000001</v>
      </c>
      <c r="L486">
        <v>368.68430000000001</v>
      </c>
      <c r="M486">
        <v>0.99978299999999998</v>
      </c>
      <c r="N486">
        <v>0</v>
      </c>
      <c r="O486">
        <v>1.815984E-2</v>
      </c>
      <c r="P486">
        <v>0.99907670000000004</v>
      </c>
      <c r="Q486">
        <v>-3.6437329999999997E-2</v>
      </c>
      <c r="R486">
        <v>-2.276744E-2</v>
      </c>
      <c r="S486">
        <v>2.9960629999999999</v>
      </c>
      <c r="T486">
        <v>-0.1720062</v>
      </c>
      <c r="U486">
        <v>-2.0996089999999999E-2</v>
      </c>
      <c r="V486">
        <v>4.0899850000000001E-2</v>
      </c>
      <c r="W486">
        <v>-2.6260680000000002E-2</v>
      </c>
      <c r="X486">
        <v>0.99881810000000004</v>
      </c>
      <c r="Y486">
        <v>2.509569E-2</v>
      </c>
      <c r="Z486">
        <v>-1.761508E-3</v>
      </c>
      <c r="AA486">
        <v>0.99968349999999995</v>
      </c>
      <c r="AB486">
        <v>43</v>
      </c>
      <c r="AC486">
        <v>19.087699999999899</v>
      </c>
      <c r="AD486">
        <v>-1.1086741698489999</v>
      </c>
      <c r="AE486">
        <v>-0.13949999999999799</v>
      </c>
      <c r="AF486">
        <v>0.48449021219920502</v>
      </c>
      <c r="AG486">
        <v>-1.1086741698489999</v>
      </c>
      <c r="AH486">
        <v>19.017862336002199</v>
      </c>
      <c r="AI486">
        <v>93.335285689168899</v>
      </c>
      <c r="AJ486">
        <v>88.540675027243196</v>
      </c>
      <c r="AK486">
        <v>19.056310687321901</v>
      </c>
      <c r="AL486">
        <v>91.504799108881699</v>
      </c>
      <c r="AM486">
        <v>87.655148281925406</v>
      </c>
      <c r="AN486">
        <v>1.0000000089658401</v>
      </c>
    </row>
    <row r="487" spans="1:40" x14ac:dyDescent="0.25">
      <c r="A487" t="str">
        <f>"20190312151510907"</f>
        <v>20190312151510907</v>
      </c>
      <c r="B487" t="str">
        <f>"1552374910898194"</f>
        <v>1552374910898194</v>
      </c>
      <c r="C487" t="s">
        <v>40</v>
      </c>
      <c r="D487">
        <v>4.446421</v>
      </c>
      <c r="E487">
        <v>0.4937937</v>
      </c>
      <c r="F487" t="s">
        <v>41</v>
      </c>
      <c r="G487">
        <v>-353.34480000000002</v>
      </c>
      <c r="H487">
        <v>1.0462940000000001</v>
      </c>
      <c r="I487">
        <v>368.67739999999998</v>
      </c>
      <c r="J487">
        <v>-354.1771</v>
      </c>
      <c r="K487">
        <v>1.1086640000000001</v>
      </c>
      <c r="L487">
        <v>368.68889999999999</v>
      </c>
      <c r="M487">
        <v>0.99978449999999996</v>
      </c>
      <c r="N487">
        <v>0</v>
      </c>
      <c r="O487">
        <v>1.8076399999999999E-2</v>
      </c>
      <c r="P487">
        <v>0.9990909</v>
      </c>
      <c r="Q487">
        <v>-3.6372519999999998E-2</v>
      </c>
      <c r="R487">
        <v>-2.2242640000000001E-2</v>
      </c>
      <c r="S487">
        <v>2.9960629999999999</v>
      </c>
      <c r="T487">
        <v>-0.17210610000000001</v>
      </c>
      <c r="U487">
        <v>-1.8890379999999998E-2</v>
      </c>
      <c r="V487">
        <v>4.0291449999999999E-2</v>
      </c>
      <c r="W487">
        <v>-2.619163E-2</v>
      </c>
      <c r="X487">
        <v>0.99884459999999997</v>
      </c>
      <c r="Y487">
        <v>2.4311019999999999E-2</v>
      </c>
      <c r="Z487">
        <v>-1.7352229999999999E-3</v>
      </c>
      <c r="AA487">
        <v>0.99970289999999995</v>
      </c>
      <c r="AB487">
        <v>43</v>
      </c>
      <c r="AC487">
        <v>0.83229999999997495</v>
      </c>
      <c r="AD487">
        <v>-6.2369999999999801E-2</v>
      </c>
      <c r="AE487">
        <v>-1.15000000000122E-2</v>
      </c>
      <c r="AF487">
        <v>2.6395694562285198E-2</v>
      </c>
      <c r="AG487">
        <v>-6.2369999999999801E-2</v>
      </c>
      <c r="AH487">
        <v>0.82731119150709398</v>
      </c>
      <c r="AI487">
        <v>94.309120399129597</v>
      </c>
      <c r="AJ487">
        <v>88.172575141535802</v>
      </c>
      <c r="AK487">
        <v>0.83007864518026997</v>
      </c>
      <c r="AL487">
        <v>91.500841534519793</v>
      </c>
      <c r="AM487">
        <v>87.690051944534105</v>
      </c>
      <c r="AN487">
        <v>0.99999996868715901</v>
      </c>
    </row>
    <row r="488" spans="1:40" x14ac:dyDescent="0.25">
      <c r="A488" t="str">
        <f>"20190312151510920"</f>
        <v>20190312151510920</v>
      </c>
      <c r="B488" t="str">
        <f>"1552374910907955"</f>
        <v>1552374910907955</v>
      </c>
      <c r="C488" t="s">
        <v>40</v>
      </c>
      <c r="D488">
        <v>4.4639709999999999</v>
      </c>
      <c r="E488">
        <v>0.4938167</v>
      </c>
      <c r="F488" t="s">
        <v>43</v>
      </c>
      <c r="G488">
        <v>-334.88709999999998</v>
      </c>
      <c r="H488" s="1">
        <v>-2.3598369999999998E-6</v>
      </c>
      <c r="I488">
        <v>368.57859999999999</v>
      </c>
      <c r="J488">
        <v>-353.94170000000003</v>
      </c>
      <c r="K488">
        <v>1.1086579999999999</v>
      </c>
      <c r="L488">
        <v>368.69310000000002</v>
      </c>
      <c r="M488">
        <v>0.99978590000000001</v>
      </c>
      <c r="N488">
        <v>0</v>
      </c>
      <c r="O488">
        <v>1.7997249999999999E-2</v>
      </c>
      <c r="P488">
        <v>0.99910200000000005</v>
      </c>
      <c r="Q488">
        <v>-3.639133E-2</v>
      </c>
      <c r="R488">
        <v>-2.1704029999999999E-2</v>
      </c>
      <c r="S488">
        <v>2.9960939999999998</v>
      </c>
      <c r="T488">
        <v>-0.17219519999999999</v>
      </c>
      <c r="U488">
        <v>-1.7120360000000001E-2</v>
      </c>
      <c r="V488">
        <v>3.9673659999999999E-2</v>
      </c>
      <c r="W488">
        <v>-2.6206489999999999E-2</v>
      </c>
      <c r="X488">
        <v>0.99886889999999995</v>
      </c>
      <c r="Y488">
        <v>2.3642389999999999E-2</v>
      </c>
      <c r="Z488">
        <v>-1.7123609999999999E-3</v>
      </c>
      <c r="AA488">
        <v>0.99971900000000002</v>
      </c>
      <c r="AB488">
        <v>43</v>
      </c>
      <c r="AC488">
        <v>19.054600000000001</v>
      </c>
      <c r="AD488">
        <v>-1.108660359837</v>
      </c>
      <c r="AE488">
        <v>-0.11450000000002</v>
      </c>
      <c r="AF488">
        <v>0.45588647278670702</v>
      </c>
      <c r="AG488">
        <v>-1.108660359837</v>
      </c>
      <c r="AH488">
        <v>18.985184478906</v>
      </c>
      <c r="AI488">
        <v>93.341092546976398</v>
      </c>
      <c r="AJ488">
        <v>88.624435166686297</v>
      </c>
      <c r="AK488">
        <v>19.022991088880701</v>
      </c>
      <c r="AL488">
        <v>91.501693301190798</v>
      </c>
      <c r="AM488">
        <v>87.725488233034596</v>
      </c>
      <c r="AN488">
        <v>0.99999992940156002</v>
      </c>
    </row>
    <row r="489" spans="1:40" x14ac:dyDescent="0.25">
      <c r="A489" t="str">
        <f>"20190312151510938"</f>
        <v>20190312151510938</v>
      </c>
      <c r="B489" t="str">
        <f>"1552374910928451"</f>
        <v>1552374910928451</v>
      </c>
      <c r="C489" t="s">
        <v>40</v>
      </c>
      <c r="D489">
        <v>4.5065660000000003</v>
      </c>
      <c r="E489">
        <v>0.4937783</v>
      </c>
      <c r="F489" t="s">
        <v>43</v>
      </c>
      <c r="G489">
        <v>-334.63130000000001</v>
      </c>
      <c r="H489" s="1">
        <v>-2.4671230000000001E-6</v>
      </c>
      <c r="I489">
        <v>368.59249999999997</v>
      </c>
      <c r="J489">
        <v>-353.59289999999999</v>
      </c>
      <c r="K489">
        <v>1.108644</v>
      </c>
      <c r="L489">
        <v>368.69929999999999</v>
      </c>
      <c r="M489">
        <v>0.99978800000000001</v>
      </c>
      <c r="N489">
        <v>0</v>
      </c>
      <c r="O489">
        <v>1.787561E-2</v>
      </c>
      <c r="P489">
        <v>0.99911479999999997</v>
      </c>
      <c r="Q489">
        <v>-3.658757E-2</v>
      </c>
      <c r="R489">
        <v>-2.0762010000000001E-2</v>
      </c>
      <c r="S489">
        <v>2.9960939999999998</v>
      </c>
      <c r="T489">
        <v>-0.1720122</v>
      </c>
      <c r="U489">
        <v>-1.5594480000000001E-2</v>
      </c>
      <c r="V489">
        <v>3.8609749999999998E-2</v>
      </c>
      <c r="W489">
        <v>-2.6396780000000002E-2</v>
      </c>
      <c r="X489">
        <v>0.99890570000000001</v>
      </c>
      <c r="Y489">
        <v>2.301301E-2</v>
      </c>
      <c r="Z489">
        <v>-1.685516E-3</v>
      </c>
      <c r="AA489">
        <v>0.99973369999999995</v>
      </c>
      <c r="AB489">
        <v>43</v>
      </c>
      <c r="AC489">
        <v>18.961599999999901</v>
      </c>
      <c r="AD489">
        <v>-1.1086464671230001</v>
      </c>
      <c r="AE489">
        <v>-0.106800000000021</v>
      </c>
      <c r="AF489">
        <v>0.44423223585062399</v>
      </c>
      <c r="AG489">
        <v>-1.1086464671230001</v>
      </c>
      <c r="AH489">
        <v>18.8920801384821</v>
      </c>
      <c r="AI489">
        <v>93.357518297996606</v>
      </c>
      <c r="AJ489">
        <v>88.652983549944693</v>
      </c>
      <c r="AK489">
        <v>18.929794801509701</v>
      </c>
      <c r="AL489">
        <v>91.512599706298801</v>
      </c>
      <c r="AM489">
        <v>87.786502709709097</v>
      </c>
      <c r="AN489">
        <v>1.0000000501409501</v>
      </c>
    </row>
    <row r="490" spans="1:40" x14ac:dyDescent="0.25">
      <c r="A490" t="str">
        <f>"20190312151510951"</f>
        <v>20190312151510951</v>
      </c>
      <c r="B490" t="str">
        <f>"1552374910947970"</f>
        <v>1552374910947970</v>
      </c>
      <c r="C490" t="s">
        <v>40</v>
      </c>
      <c r="D490">
        <v>4.4737689999999999</v>
      </c>
      <c r="E490">
        <v>0.49373410000000001</v>
      </c>
      <c r="F490" t="s">
        <v>41</v>
      </c>
      <c r="G490">
        <v>-352.56670000000003</v>
      </c>
      <c r="H490">
        <v>1.049388</v>
      </c>
      <c r="I490">
        <v>368.69490000000002</v>
      </c>
      <c r="J490">
        <v>-353.31849999999997</v>
      </c>
      <c r="K490">
        <v>1.108636</v>
      </c>
      <c r="L490">
        <v>368.70409999999998</v>
      </c>
      <c r="M490">
        <v>0.99978990000000001</v>
      </c>
      <c r="N490">
        <v>0</v>
      </c>
      <c r="O490">
        <v>1.7775570000000001E-2</v>
      </c>
      <c r="P490">
        <v>0.99913129999999994</v>
      </c>
      <c r="Q490">
        <v>-3.6383680000000002E-2</v>
      </c>
      <c r="R490">
        <v>-2.0328840000000001E-2</v>
      </c>
      <c r="S490">
        <v>2.9960330000000002</v>
      </c>
      <c r="T490">
        <v>-0.17309859999999999</v>
      </c>
      <c r="U490">
        <v>-1.242065E-2</v>
      </c>
      <c r="V490">
        <v>3.8076739999999998E-2</v>
      </c>
      <c r="W490">
        <v>-2.6188280000000001E-2</v>
      </c>
      <c r="X490">
        <v>0.99893160000000003</v>
      </c>
      <c r="Y490">
        <v>2.1855260000000001E-2</v>
      </c>
      <c r="Z490">
        <v>-1.6569880000000001E-3</v>
      </c>
      <c r="AA490">
        <v>0.99975979999999998</v>
      </c>
      <c r="AB490">
        <v>43</v>
      </c>
      <c r="AC490">
        <v>0.75179999999994596</v>
      </c>
      <c r="AD490">
        <v>-5.9247999999999898E-2</v>
      </c>
      <c r="AE490">
        <v>-9.1999999999643391E-3</v>
      </c>
      <c r="AF490">
        <v>2.2423669459526101E-2</v>
      </c>
      <c r="AG490">
        <v>-5.9247999999999898E-2</v>
      </c>
      <c r="AH490">
        <v>0.74687968644856195</v>
      </c>
      <c r="AI490">
        <v>94.533591062239495</v>
      </c>
      <c r="AJ490">
        <v>88.280317668297599</v>
      </c>
      <c r="AK490">
        <v>0.749561480123901</v>
      </c>
      <c r="AL490">
        <v>91.500649476575305</v>
      </c>
      <c r="AM490">
        <v>87.817086952390497</v>
      </c>
      <c r="AN490">
        <v>1.0000000028084699</v>
      </c>
    </row>
    <row r="491" spans="1:40" x14ac:dyDescent="0.25">
      <c r="A491" t="str">
        <f>"20190312151510975"</f>
        <v>20190312151510975</v>
      </c>
      <c r="B491" t="str">
        <f>"1552374910968468"</f>
        <v>1552374910968468</v>
      </c>
      <c r="C491" t="s">
        <v>40</v>
      </c>
      <c r="D491">
        <v>4.5052629999999896</v>
      </c>
      <c r="E491">
        <v>0.49367339999999998</v>
      </c>
      <c r="F491" t="s">
        <v>43</v>
      </c>
      <c r="G491">
        <v>-334.26749999999998</v>
      </c>
      <c r="H491" s="1">
        <v>-2.615837E-6</v>
      </c>
      <c r="I491">
        <v>368.63380000000001</v>
      </c>
      <c r="J491">
        <v>-352.9117</v>
      </c>
      <c r="K491">
        <v>1.1086180000000001</v>
      </c>
      <c r="L491">
        <v>368.71129999999999</v>
      </c>
      <c r="M491">
        <v>0.99979249999999997</v>
      </c>
      <c r="N491">
        <v>0</v>
      </c>
      <c r="O491">
        <v>1.761662E-2</v>
      </c>
      <c r="P491">
        <v>0.99916499999999997</v>
      </c>
      <c r="Q491">
        <v>-3.586814E-2</v>
      </c>
      <c r="R491">
        <v>-1.9573139999999999E-2</v>
      </c>
      <c r="S491">
        <v>2.9960330000000002</v>
      </c>
      <c r="T491">
        <v>-0.17434749999999999</v>
      </c>
      <c r="U491">
        <v>-1.1047360000000001E-2</v>
      </c>
      <c r="V491">
        <v>3.7162029999999999E-2</v>
      </c>
      <c r="W491">
        <v>-2.5666040000000001E-2</v>
      </c>
      <c r="X491">
        <v>0.99897959999999997</v>
      </c>
      <c r="Y491">
        <v>2.1238420000000001E-2</v>
      </c>
      <c r="Z491">
        <v>-1.6417490000000001E-3</v>
      </c>
      <c r="AA491">
        <v>0.99977309999999997</v>
      </c>
      <c r="AB491">
        <v>43</v>
      </c>
      <c r="AC491">
        <v>18.644200000000001</v>
      </c>
      <c r="AD491">
        <v>-1.108620615837</v>
      </c>
      <c r="AE491">
        <v>-7.7499999999986302E-2</v>
      </c>
      <c r="AF491">
        <v>0.40452268363738397</v>
      </c>
      <c r="AG491">
        <v>-1.108620615837</v>
      </c>
      <c r="AH491">
        <v>18.5742686847627</v>
      </c>
      <c r="AI491">
        <v>93.414886052711793</v>
      </c>
      <c r="AJ491">
        <v>88.752371924066594</v>
      </c>
      <c r="AK491">
        <v>18.6117203784388</v>
      </c>
      <c r="AL491">
        <v>91.470717267959301</v>
      </c>
      <c r="AM491">
        <v>87.869579997059702</v>
      </c>
      <c r="AN491">
        <v>1.00000000164958</v>
      </c>
    </row>
    <row r="492" spans="1:40" x14ac:dyDescent="0.25">
      <c r="A492" t="str">
        <f>"20190312151510989"</f>
        <v>20190312151510989</v>
      </c>
      <c r="B492" t="str">
        <f>"1552374910978227"</f>
        <v>1552374910978227</v>
      </c>
      <c r="C492" t="s">
        <v>40</v>
      </c>
      <c r="D492">
        <v>4.4982490000000004</v>
      </c>
      <c r="E492">
        <v>0.4936931</v>
      </c>
      <c r="F492" t="s">
        <v>41</v>
      </c>
      <c r="G492">
        <v>-351.80009999999999</v>
      </c>
      <c r="H492">
        <v>1.0447709999999999</v>
      </c>
      <c r="I492">
        <v>368.7081</v>
      </c>
      <c r="J492">
        <v>-352.58370000000002</v>
      </c>
      <c r="K492">
        <v>1.1086049999999901</v>
      </c>
      <c r="L492">
        <v>368.71699999999998</v>
      </c>
      <c r="M492">
        <v>0.99979499999999999</v>
      </c>
      <c r="N492">
        <v>0</v>
      </c>
      <c r="O492">
        <v>1.7472379999999999E-2</v>
      </c>
      <c r="P492">
        <v>0.99918099999999999</v>
      </c>
      <c r="Q492">
        <v>-3.5710359999999997E-2</v>
      </c>
      <c r="R492">
        <v>-1.9030709999999999E-2</v>
      </c>
      <c r="S492">
        <v>2.9961549999999999</v>
      </c>
      <c r="T492">
        <v>-0.1722332</v>
      </c>
      <c r="U492">
        <v>-8.1481929999999998E-3</v>
      </c>
      <c r="V492">
        <v>3.6475170000000001E-2</v>
      </c>
      <c r="W492">
        <v>-2.5503310000000001E-2</v>
      </c>
      <c r="X492">
        <v>0.99900909999999998</v>
      </c>
      <c r="Y492">
        <v>2.013028E-2</v>
      </c>
      <c r="Z492">
        <v>-1.581699E-3</v>
      </c>
      <c r="AA492">
        <v>0.99979609999999997</v>
      </c>
      <c r="AB492">
        <v>43</v>
      </c>
      <c r="AC492">
        <v>0.78360000000003505</v>
      </c>
      <c r="AD492">
        <v>-6.3833999999999905E-2</v>
      </c>
      <c r="AE492">
        <v>-8.8999999999828001E-3</v>
      </c>
      <c r="AF492">
        <v>2.2441807157713E-2</v>
      </c>
      <c r="AG492">
        <v>-6.3833999999999905E-2</v>
      </c>
      <c r="AH492">
        <v>0.77816153618123496</v>
      </c>
      <c r="AI492">
        <v>94.687636001176699</v>
      </c>
      <c r="AJ492">
        <v>88.348074952735402</v>
      </c>
      <c r="AK492">
        <v>0.78109781119680699</v>
      </c>
      <c r="AL492">
        <v>91.461390446823302</v>
      </c>
      <c r="AM492">
        <v>87.908982625918497</v>
      </c>
      <c r="AN492">
        <v>1.0000000193651399</v>
      </c>
    </row>
    <row r="493" spans="1:40" x14ac:dyDescent="0.25">
      <c r="A493" t="str">
        <f>"20190312151511028"</f>
        <v>20190312151511028</v>
      </c>
      <c r="B493" t="str">
        <f>"1552374911018243"</f>
        <v>1552374911018243</v>
      </c>
      <c r="C493" t="s">
        <v>40</v>
      </c>
      <c r="D493">
        <v>4.4500279999999997</v>
      </c>
      <c r="E493">
        <v>0.49518000000000001</v>
      </c>
      <c r="F493" t="s">
        <v>43</v>
      </c>
      <c r="G493">
        <v>-333.12520000000001</v>
      </c>
      <c r="H493" s="1">
        <v>-3.0985710000000001E-6</v>
      </c>
      <c r="I493">
        <v>368.67489999999998</v>
      </c>
      <c r="J493">
        <v>-351.85930000000002</v>
      </c>
      <c r="K493">
        <v>1.108565</v>
      </c>
      <c r="L493">
        <v>368.72930000000002</v>
      </c>
      <c r="M493">
        <v>0.99980139999999995</v>
      </c>
      <c r="N493">
        <v>0</v>
      </c>
      <c r="O493">
        <v>1.7102559999999999E-2</v>
      </c>
      <c r="P493">
        <v>0.99925070000000005</v>
      </c>
      <c r="Q493">
        <v>-3.4612700000000003E-2</v>
      </c>
      <c r="R493">
        <v>-1.7329230000000001E-2</v>
      </c>
      <c r="S493">
        <v>2.9962460000000002</v>
      </c>
      <c r="T493">
        <v>-0.17070460000000001</v>
      </c>
      <c r="U493">
        <v>-6.4697269999999998E-3</v>
      </c>
      <c r="V493">
        <v>3.4403690000000001E-2</v>
      </c>
      <c r="W493">
        <v>-2.4394530000000001E-2</v>
      </c>
      <c r="X493">
        <v>0.99911019999999995</v>
      </c>
      <c r="Y493">
        <v>1.9203499999999998E-2</v>
      </c>
      <c r="Z493">
        <v>-1.520205E-3</v>
      </c>
      <c r="AA493">
        <v>0.99981450000000005</v>
      </c>
      <c r="AB493">
        <v>43</v>
      </c>
      <c r="AC493">
        <v>18.734100000000002</v>
      </c>
      <c r="AD493">
        <v>-1.108568098571</v>
      </c>
      <c r="AE493">
        <v>-5.4400000000043698E-2</v>
      </c>
      <c r="AF493">
        <v>0.37350205898074201</v>
      </c>
      <c r="AG493">
        <v>-1.108568098571</v>
      </c>
      <c r="AH493">
        <v>18.6650732969239</v>
      </c>
      <c r="AI493">
        <v>93.398276413653505</v>
      </c>
      <c r="AJ493">
        <v>88.853621651954995</v>
      </c>
      <c r="AK493">
        <v>18.701694794771299</v>
      </c>
      <c r="AL493">
        <v>91.397842347434405</v>
      </c>
      <c r="AM493">
        <v>88.027837472960897</v>
      </c>
      <c r="AN493">
        <v>0.99999994936178704</v>
      </c>
    </row>
    <row r="494" spans="1:40" x14ac:dyDescent="0.25">
      <c r="A494" t="str">
        <f>"20190312151511039"</f>
        <v>20190312151511039</v>
      </c>
      <c r="B494" t="str">
        <f>"1552374911028004"</f>
        <v>1552374911028004</v>
      </c>
      <c r="C494" t="s">
        <v>40</v>
      </c>
      <c r="D494">
        <v>4.4420289999999998</v>
      </c>
      <c r="E494">
        <v>0.49538569999999998</v>
      </c>
      <c r="F494" t="s">
        <v>42</v>
      </c>
      <c r="G494">
        <v>-296.36630000000002</v>
      </c>
      <c r="H494">
        <v>-0.05</v>
      </c>
      <c r="I494">
        <v>368.4742</v>
      </c>
      <c r="J494">
        <v>-351.63699999999898</v>
      </c>
      <c r="K494">
        <v>1.1085529999999999</v>
      </c>
      <c r="L494">
        <v>368.733</v>
      </c>
      <c r="M494">
        <v>0.99980349999999996</v>
      </c>
      <c r="N494">
        <v>0</v>
      </c>
      <c r="O494">
        <v>1.6969950000000001E-2</v>
      </c>
      <c r="P494">
        <v>0.99926820000000005</v>
      </c>
      <c r="Q494">
        <v>-3.4236469999999998E-2</v>
      </c>
      <c r="R494">
        <v>-1.7070289999999998E-2</v>
      </c>
      <c r="S494">
        <v>2.9998469999999999</v>
      </c>
      <c r="T494">
        <v>-6.2629820000000003E-2</v>
      </c>
      <c r="U494">
        <v>-1.3793949999999999E-2</v>
      </c>
      <c r="V494">
        <v>3.4011680000000002E-2</v>
      </c>
      <c r="W494">
        <v>-2.401532E-2</v>
      </c>
      <c r="X494">
        <v>0.99913289999999999</v>
      </c>
      <c r="Y494">
        <v>2.1559769999999999E-2</v>
      </c>
      <c r="Z494">
        <v>-5.7929489999999895E-4</v>
      </c>
      <c r="AA494">
        <v>0.99976739999999997</v>
      </c>
      <c r="AB494">
        <v>43</v>
      </c>
      <c r="AC494">
        <v>55.270699999999898</v>
      </c>
      <c r="AD494">
        <v>-1.1585529999999999</v>
      </c>
      <c r="AE494">
        <v>-0.25880000000000702</v>
      </c>
      <c r="AF494">
        <v>1.1962273929828899</v>
      </c>
      <c r="AG494">
        <v>-1.1585529999999999</v>
      </c>
      <c r="AH494">
        <v>55.234079824374398</v>
      </c>
      <c r="AI494">
        <v>91.201340001665699</v>
      </c>
      <c r="AJ494">
        <v>88.759315475234501</v>
      </c>
      <c r="AK494">
        <v>55.2591782338001</v>
      </c>
      <c r="AL494">
        <v>91.376108720112896</v>
      </c>
      <c r="AM494">
        <v>88.050335935015198</v>
      </c>
      <c r="AN494">
        <v>1.00000004091676</v>
      </c>
    </row>
    <row r="495" spans="1:40" x14ac:dyDescent="0.25">
      <c r="A495" t="str">
        <f>"20190312151511051"</f>
        <v>20190312151511051</v>
      </c>
      <c r="B495" t="str">
        <f>"1552374911048499"</f>
        <v>1552374911048499</v>
      </c>
      <c r="C495" t="s">
        <v>40</v>
      </c>
      <c r="D495">
        <v>4.3988180000000003</v>
      </c>
      <c r="E495">
        <v>0.49400630000000001</v>
      </c>
      <c r="F495" t="s">
        <v>42</v>
      </c>
      <c r="G495">
        <v>-294.57960000000003</v>
      </c>
      <c r="H495">
        <v>-0.05</v>
      </c>
      <c r="I495">
        <v>368.45260000000002</v>
      </c>
      <c r="J495">
        <v>-351.38380000000001</v>
      </c>
      <c r="K495">
        <v>1.1085320000000001</v>
      </c>
      <c r="L495">
        <v>368.73719999999997</v>
      </c>
      <c r="M495">
        <v>0.99980619999999998</v>
      </c>
      <c r="N495">
        <v>0</v>
      </c>
      <c r="O495">
        <v>1.6810350000000002E-2</v>
      </c>
      <c r="P495">
        <v>0.99928490000000003</v>
      </c>
      <c r="Q495">
        <v>-3.3959299999999998E-2</v>
      </c>
      <c r="R495">
        <v>-1.663709E-2</v>
      </c>
      <c r="S495">
        <v>2.9998469999999999</v>
      </c>
      <c r="T495">
        <v>-6.0912010000000003E-2</v>
      </c>
      <c r="U495">
        <v>-1.473999E-2</v>
      </c>
      <c r="V495">
        <v>3.3418469999999999E-2</v>
      </c>
      <c r="W495">
        <v>-2.3734700000000001E-2</v>
      </c>
      <c r="X495">
        <v>0.99915960000000004</v>
      </c>
      <c r="Y495">
        <v>2.171592E-2</v>
      </c>
      <c r="Z495">
        <v>-5.6175409999999996E-4</v>
      </c>
      <c r="AA495">
        <v>0.99976399999999999</v>
      </c>
      <c r="AB495">
        <v>43</v>
      </c>
      <c r="AC495">
        <v>56.804199999999902</v>
      </c>
      <c r="AD495">
        <v>-1.1585319999999999</v>
      </c>
      <c r="AE495">
        <v>-0.284599999999954</v>
      </c>
      <c r="AF495">
        <v>1.23899302525266</v>
      </c>
      <c r="AG495">
        <v>-1.1585319999999999</v>
      </c>
      <c r="AH495">
        <v>56.767775297582297</v>
      </c>
      <c r="AI495">
        <v>91.168867064962896</v>
      </c>
      <c r="AJ495">
        <v>88.749681452940806</v>
      </c>
      <c r="AK495">
        <v>56.793112367156397</v>
      </c>
      <c r="AL495">
        <v>91.360025825560299</v>
      </c>
      <c r="AM495">
        <v>88.084366322517297</v>
      </c>
      <c r="AN495">
        <v>1.0000000181966899</v>
      </c>
    </row>
    <row r="496" spans="1:40" x14ac:dyDescent="0.25">
      <c r="A496" t="str">
        <f>"20190312151511063"</f>
        <v>20190312151511063</v>
      </c>
      <c r="B496" t="str">
        <f>"1552374911058258"</f>
        <v>1552374911058258</v>
      </c>
      <c r="C496" t="s">
        <v>40</v>
      </c>
      <c r="D496">
        <v>4.8842689999999997</v>
      </c>
      <c r="E496">
        <v>0.4931355</v>
      </c>
      <c r="F496" t="s">
        <v>42</v>
      </c>
      <c r="G496">
        <v>-297.40390000000002</v>
      </c>
      <c r="H496">
        <v>-0.05</v>
      </c>
      <c r="I496">
        <v>368.69319999999999</v>
      </c>
      <c r="J496">
        <v>-351.17290000000003</v>
      </c>
      <c r="K496">
        <v>1.1085160000000001</v>
      </c>
      <c r="L496">
        <v>368.74059999999997</v>
      </c>
      <c r="M496">
        <v>0.99980869999999999</v>
      </c>
      <c r="N496">
        <v>0</v>
      </c>
      <c r="O496">
        <v>1.6662050000000001E-2</v>
      </c>
      <c r="P496">
        <v>0.99929380000000001</v>
      </c>
      <c r="Q496">
        <v>-3.3902160000000001E-2</v>
      </c>
      <c r="R496">
        <v>-1.6210459999999999E-2</v>
      </c>
      <c r="S496">
        <v>2.9998779999999998</v>
      </c>
      <c r="T496">
        <v>-6.4384220000000006E-2</v>
      </c>
      <c r="U496">
        <v>-2.4414060000000001E-3</v>
      </c>
      <c r="V496">
        <v>3.2842910000000003E-2</v>
      </c>
      <c r="W496">
        <v>-2.3674669999999998E-2</v>
      </c>
      <c r="X496">
        <v>0.99918010000000002</v>
      </c>
      <c r="Y496">
        <v>1.746878E-2</v>
      </c>
      <c r="Z496">
        <v>-5.4500969999999997E-4</v>
      </c>
      <c r="AA496">
        <v>0.99984720000000005</v>
      </c>
      <c r="AB496">
        <v>43</v>
      </c>
      <c r="AC496">
        <v>53.768999999999998</v>
      </c>
      <c r="AD496">
        <v>-1.1585159999999901</v>
      </c>
      <c r="AE496">
        <v>-4.7399999999981901E-2</v>
      </c>
      <c r="AF496">
        <v>0.94290446584940002</v>
      </c>
      <c r="AG496">
        <v>-1.1585159999999901</v>
      </c>
      <c r="AH496">
        <v>53.735798946026101</v>
      </c>
      <c r="AI496">
        <v>91.234885965809198</v>
      </c>
      <c r="AJ496">
        <v>88.9947315611969</v>
      </c>
      <c r="AK496">
        <v>53.756556032931599</v>
      </c>
      <c r="AL496">
        <v>91.356585405050595</v>
      </c>
      <c r="AM496">
        <v>88.117373567594697</v>
      </c>
      <c r="AN496">
        <v>1.0000000094864401</v>
      </c>
    </row>
    <row r="497" spans="1:40" x14ac:dyDescent="0.25">
      <c r="A497" t="str">
        <f>"20190312151511073"</f>
        <v>20190312151511073</v>
      </c>
      <c r="B497" t="str">
        <f>"1552374911068019"</f>
        <v>1552374911068019</v>
      </c>
      <c r="C497" t="s">
        <v>40</v>
      </c>
      <c r="D497">
        <v>4.4646150000000002</v>
      </c>
      <c r="E497">
        <v>0.49196590000000001</v>
      </c>
      <c r="F497" t="s">
        <v>42</v>
      </c>
      <c r="G497">
        <v>-299.21559999999999</v>
      </c>
      <c r="H497">
        <v>-0.05</v>
      </c>
      <c r="I497">
        <v>368.8458</v>
      </c>
      <c r="J497">
        <v>-350.95490000000001</v>
      </c>
      <c r="K497">
        <v>1.1084969999999901</v>
      </c>
      <c r="L497">
        <v>368.74419999999998</v>
      </c>
      <c r="M497">
        <v>0.99981109999999895</v>
      </c>
      <c r="N497">
        <v>0</v>
      </c>
      <c r="O497">
        <v>1.650563E-2</v>
      </c>
      <c r="P497">
        <v>0.99930859999999999</v>
      </c>
      <c r="Q497">
        <v>-3.3675799999999999E-2</v>
      </c>
      <c r="R497">
        <v>-1.5755640000000001E-2</v>
      </c>
      <c r="S497">
        <v>2.9999389999999999</v>
      </c>
      <c r="T497">
        <v>-6.6891069999999997E-2</v>
      </c>
      <c r="U497">
        <v>6.0729979999999996E-3</v>
      </c>
      <c r="V497">
        <v>3.223144E-2</v>
      </c>
      <c r="W497">
        <v>-2.3445210000000001E-2</v>
      </c>
      <c r="X497">
        <v>0.99920540000000002</v>
      </c>
      <c r="Y497">
        <v>1.447467E-2</v>
      </c>
      <c r="Z497">
        <v>-5.2934719999999996E-4</v>
      </c>
      <c r="AA497">
        <v>0.99989510000000004</v>
      </c>
      <c r="AB497">
        <v>43</v>
      </c>
      <c r="AC497">
        <v>51.7393</v>
      </c>
      <c r="AD497">
        <v>-1.1584970000000001</v>
      </c>
      <c r="AE497">
        <v>0.10160000000001899</v>
      </c>
      <c r="AF497">
        <v>0.75207150638999698</v>
      </c>
      <c r="AG497">
        <v>-1.1584970000000001</v>
      </c>
      <c r="AH497">
        <v>51.708003850364001</v>
      </c>
      <c r="AI497">
        <v>91.283338449116599</v>
      </c>
      <c r="AJ497">
        <v>89.166715365951205</v>
      </c>
      <c r="AK497">
        <v>51.726447674656697</v>
      </c>
      <c r="AL497">
        <v>91.343434694829597</v>
      </c>
      <c r="AM497">
        <v>88.152446572272197</v>
      </c>
      <c r="AN497">
        <v>0.99999998749278796</v>
      </c>
    </row>
    <row r="498" spans="1:40" x14ac:dyDescent="0.25">
      <c r="A498" t="str">
        <f>"20190312151511084"</f>
        <v>20190312151511084</v>
      </c>
      <c r="B498" t="str">
        <f>"1552374911077779"</f>
        <v>1552374911077779</v>
      </c>
      <c r="C498" t="s">
        <v>40</v>
      </c>
      <c r="D498">
        <v>4.5675189999999999</v>
      </c>
      <c r="E498">
        <v>0.49173640000000002</v>
      </c>
      <c r="F498" t="s">
        <v>42</v>
      </c>
      <c r="G498">
        <v>-309.45159999999998</v>
      </c>
      <c r="H498">
        <v>-0.05</v>
      </c>
      <c r="I498">
        <v>368.97770000000003</v>
      </c>
      <c r="J498">
        <v>-350.74040000000002</v>
      </c>
      <c r="K498">
        <v>1.1084780000000001</v>
      </c>
      <c r="L498">
        <v>368.74759999999998</v>
      </c>
      <c r="M498">
        <v>0.99981390000000003</v>
      </c>
      <c r="N498">
        <v>0</v>
      </c>
      <c r="O498">
        <v>1.6337649999999999E-2</v>
      </c>
      <c r="P498">
        <v>0.99931720000000002</v>
      </c>
      <c r="Q498">
        <v>-3.3609479999999997E-2</v>
      </c>
      <c r="R498">
        <v>-1.5358210000000001E-2</v>
      </c>
      <c r="S498">
        <v>2.9995120000000002</v>
      </c>
      <c r="T498">
        <v>-8.3726529999999993E-2</v>
      </c>
      <c r="U498">
        <v>1.6876220000000001E-2</v>
      </c>
      <c r="V498">
        <v>3.1665350000000002E-2</v>
      </c>
      <c r="W498">
        <v>-2.337585E-2</v>
      </c>
      <c r="X498">
        <v>0.99922509999999998</v>
      </c>
      <c r="Y498">
        <v>1.070224E-2</v>
      </c>
      <c r="Z498">
        <v>-6.0528790000000002E-4</v>
      </c>
      <c r="AA498">
        <v>0.99994249999999996</v>
      </c>
      <c r="AB498">
        <v>43</v>
      </c>
      <c r="AC498">
        <v>41.288800000000002</v>
      </c>
      <c r="AD498">
        <v>-1.1584779999999999</v>
      </c>
      <c r="AE498">
        <v>0.23010000000004999</v>
      </c>
      <c r="AF498">
        <v>0.44417851069939401</v>
      </c>
      <c r="AG498">
        <v>-1.1584779999999999</v>
      </c>
      <c r="AH498">
        <v>41.254571632132603</v>
      </c>
      <c r="AI498">
        <v>91.608418529093299</v>
      </c>
      <c r="AJ498">
        <v>89.383133318905493</v>
      </c>
      <c r="AK498">
        <v>41.273224327360303</v>
      </c>
      <c r="AL498">
        <v>91.339459603406397</v>
      </c>
      <c r="AM498">
        <v>88.184909542901593</v>
      </c>
      <c r="AN498">
        <v>0.99999996261192603</v>
      </c>
    </row>
    <row r="499" spans="1:40" x14ac:dyDescent="0.25">
      <c r="A499" t="str">
        <f>"20190312151511096"</f>
        <v>20190312151511096</v>
      </c>
      <c r="B499" t="str">
        <f>"1552374911088516"</f>
        <v>1552374911088516</v>
      </c>
      <c r="C499" t="s">
        <v>40</v>
      </c>
      <c r="D499">
        <v>4.4145820000000002</v>
      </c>
      <c r="E499">
        <v>0.4914462</v>
      </c>
      <c r="F499" t="s">
        <v>42</v>
      </c>
      <c r="G499">
        <v>-309.89789999999999</v>
      </c>
      <c r="H499">
        <v>-0.05</v>
      </c>
      <c r="I499">
        <v>369.01769999999999</v>
      </c>
      <c r="J499">
        <v>-350.5317</v>
      </c>
      <c r="K499">
        <v>1.10846</v>
      </c>
      <c r="L499">
        <v>368.7509</v>
      </c>
      <c r="M499">
        <v>0.9998167</v>
      </c>
      <c r="N499">
        <v>0</v>
      </c>
      <c r="O499">
        <v>1.617039E-2</v>
      </c>
      <c r="P499">
        <v>0.99932339999999997</v>
      </c>
      <c r="Q499">
        <v>-3.3484010000000002E-2</v>
      </c>
      <c r="R499">
        <v>-1.522044E-2</v>
      </c>
      <c r="S499">
        <v>2.9994809999999998</v>
      </c>
      <c r="T499">
        <v>-8.507895E-2</v>
      </c>
      <c r="U499">
        <v>1.9836429999999999E-2</v>
      </c>
      <c r="V499">
        <v>3.1359850000000002E-2</v>
      </c>
      <c r="W499">
        <v>-2.3247650000000002E-2</v>
      </c>
      <c r="X499">
        <v>0.99923779999999995</v>
      </c>
      <c r="Y499">
        <v>9.5482699999999993E-3</v>
      </c>
      <c r="Z499">
        <v>-5.9395940000000005E-4</v>
      </c>
      <c r="AA499">
        <v>0.99995420000000002</v>
      </c>
      <c r="AB499">
        <v>43</v>
      </c>
      <c r="AC499">
        <v>40.633800000000001</v>
      </c>
      <c r="AD499">
        <v>-1.15846</v>
      </c>
      <c r="AE499">
        <v>0.26679999999998899</v>
      </c>
      <c r="AF499">
        <v>0.39001681268947702</v>
      </c>
      <c r="AG499">
        <v>-1.15846</v>
      </c>
      <c r="AH499">
        <v>40.5998027232936</v>
      </c>
      <c r="AI499">
        <v>91.634338093435005</v>
      </c>
      <c r="AJ499">
        <v>89.449612351416604</v>
      </c>
      <c r="AK499">
        <v>40.618199416716401</v>
      </c>
      <c r="AL499">
        <v>91.332112188159002</v>
      </c>
      <c r="AM499">
        <v>88.202432404227693</v>
      </c>
      <c r="AN499">
        <v>1.0000000371856901</v>
      </c>
    </row>
    <row r="500" spans="1:40" x14ac:dyDescent="0.25">
      <c r="A500" t="str">
        <f>"20190312151511106"</f>
        <v>20190312151511106</v>
      </c>
      <c r="B500" t="str">
        <f>"1552374911098275"</f>
        <v>1552374911098275</v>
      </c>
      <c r="C500" t="s">
        <v>40</v>
      </c>
      <c r="D500">
        <v>4.422091</v>
      </c>
      <c r="E500">
        <v>0.49135800000000002</v>
      </c>
      <c r="F500" t="s">
        <v>42</v>
      </c>
      <c r="G500">
        <v>-310.04419999999999</v>
      </c>
      <c r="H500">
        <v>-0.05</v>
      </c>
      <c r="I500">
        <v>369.05450000000002</v>
      </c>
      <c r="J500">
        <v>-350.32560000000001</v>
      </c>
      <c r="K500">
        <v>1.1084430000000001</v>
      </c>
      <c r="L500">
        <v>368.75409999999999</v>
      </c>
      <c r="M500">
        <v>0.99981929999999997</v>
      </c>
      <c r="N500">
        <v>0</v>
      </c>
      <c r="O500">
        <v>1.5995760000000001E-2</v>
      </c>
      <c r="P500">
        <v>0.99932679999999996</v>
      </c>
      <c r="Q500">
        <v>-3.355549E-2</v>
      </c>
      <c r="R500">
        <v>-1.483391E-2</v>
      </c>
      <c r="S500">
        <v>2.9995120000000002</v>
      </c>
      <c r="T500">
        <v>-8.5824369999999997E-2</v>
      </c>
      <c r="U500">
        <v>2.2491460000000001E-2</v>
      </c>
      <c r="V500">
        <v>3.0797850000000002E-2</v>
      </c>
      <c r="W500">
        <v>-2.3316179999999999E-2</v>
      </c>
      <c r="X500">
        <v>0.99925359999999996</v>
      </c>
      <c r="Y500">
        <v>8.4889319999999994E-3</v>
      </c>
      <c r="Z500">
        <v>-5.7900509999999998E-4</v>
      </c>
      <c r="AA500">
        <v>0.99996379999999996</v>
      </c>
      <c r="AB500">
        <v>43</v>
      </c>
      <c r="AC500">
        <v>40.281399999999998</v>
      </c>
      <c r="AD500">
        <v>-1.1584429999999999</v>
      </c>
      <c r="AE500">
        <v>0.30040000000002398</v>
      </c>
      <c r="AF500">
        <v>0.34371977318587299</v>
      </c>
      <c r="AG500">
        <v>-1.1584429999999999</v>
      </c>
      <c r="AH500">
        <v>40.247765507664802</v>
      </c>
      <c r="AI500">
        <v>91.648617148053205</v>
      </c>
      <c r="AJ500">
        <v>89.5107004491705</v>
      </c>
      <c r="AK500">
        <v>40.265900732837203</v>
      </c>
      <c r="AL500">
        <v>91.3360398429258</v>
      </c>
      <c r="AM500">
        <v>88.234653946148399</v>
      </c>
      <c r="AN500">
        <v>0.99999995446368595</v>
      </c>
    </row>
    <row r="501" spans="1:40" x14ac:dyDescent="0.25">
      <c r="A501" t="str">
        <f>"20190312151511117"</f>
        <v>20190312151511117</v>
      </c>
      <c r="B501" t="str">
        <f>"1552374911108035"</f>
        <v>1552374911108035</v>
      </c>
      <c r="C501" t="s">
        <v>40</v>
      </c>
      <c r="D501">
        <v>4.6146739999999999</v>
      </c>
      <c r="E501">
        <v>0.49120530000000001</v>
      </c>
      <c r="F501" t="s">
        <v>42</v>
      </c>
      <c r="G501">
        <v>-310.03890000000001</v>
      </c>
      <c r="H501">
        <v>-0.05</v>
      </c>
      <c r="I501">
        <v>369.08</v>
      </c>
      <c r="J501">
        <v>-350.11500000000001</v>
      </c>
      <c r="K501">
        <v>1.1084270000000001</v>
      </c>
      <c r="L501">
        <v>368.75729999999999</v>
      </c>
      <c r="M501">
        <v>0.99982230000000005</v>
      </c>
      <c r="N501">
        <v>0</v>
      </c>
      <c r="O501">
        <v>1.581254E-2</v>
      </c>
      <c r="P501">
        <v>0.99932209999999999</v>
      </c>
      <c r="Q501">
        <v>-3.367597E-2</v>
      </c>
      <c r="R501">
        <v>-1.4885610000000001E-2</v>
      </c>
      <c r="S501">
        <v>2.9994809999999998</v>
      </c>
      <c r="T501">
        <v>-8.6250069999999998E-2</v>
      </c>
      <c r="U501">
        <v>2.426147E-2</v>
      </c>
      <c r="V501">
        <v>3.066545E-2</v>
      </c>
      <c r="W501">
        <v>-2.3434199999999999E-2</v>
      </c>
      <c r="X501">
        <v>0.99925489999999995</v>
      </c>
      <c r="Y501">
        <v>7.7158549999999998E-3</v>
      </c>
      <c r="Z501">
        <v>-5.6550060000000002E-4</v>
      </c>
      <c r="AA501">
        <v>0.99997009999999997</v>
      </c>
      <c r="AB501">
        <v>43</v>
      </c>
      <c r="AC501">
        <v>40.076099999999997</v>
      </c>
      <c r="AD501">
        <v>-1.1584270000000001</v>
      </c>
      <c r="AE501">
        <v>0.32269999999999699</v>
      </c>
      <c r="AF501">
        <v>0.310818977415658</v>
      </c>
      <c r="AG501">
        <v>-1.1584270000000001</v>
      </c>
      <c r="AH501">
        <v>40.042736814980501</v>
      </c>
      <c r="AI501">
        <v>91.6570414070151</v>
      </c>
      <c r="AJ501">
        <v>89.555268711309694</v>
      </c>
      <c r="AK501">
        <v>40.060695615339</v>
      </c>
      <c r="AL501">
        <v>91.342803754191095</v>
      </c>
      <c r="AM501">
        <v>88.242240685371698</v>
      </c>
      <c r="AN501">
        <v>0.99999994336367404</v>
      </c>
    </row>
    <row r="502" spans="1:40" x14ac:dyDescent="0.25">
      <c r="A502" t="str">
        <f>"20190312151511129"</f>
        <v>20190312151511129</v>
      </c>
      <c r="B502" t="str">
        <f>"1552374911117795"</f>
        <v>1552374911117795</v>
      </c>
      <c r="C502" t="s">
        <v>40</v>
      </c>
      <c r="D502">
        <v>4.4179919999999999</v>
      </c>
      <c r="E502">
        <v>0.4910794</v>
      </c>
      <c r="F502" t="s">
        <v>42</v>
      </c>
      <c r="G502">
        <v>-309.50889999999998</v>
      </c>
      <c r="H502">
        <v>-0.05</v>
      </c>
      <c r="I502">
        <v>369.0994</v>
      </c>
      <c r="J502">
        <v>-349.8768</v>
      </c>
      <c r="K502">
        <v>1.1084080000000001</v>
      </c>
      <c r="L502">
        <v>368.76100000000002</v>
      </c>
      <c r="M502">
        <v>0.99982559999999998</v>
      </c>
      <c r="N502">
        <v>0</v>
      </c>
      <c r="O502">
        <v>1.55982E-2</v>
      </c>
      <c r="P502">
        <v>0.99932860000000001</v>
      </c>
      <c r="Q502">
        <v>-3.3478540000000001E-2</v>
      </c>
      <c r="R502">
        <v>-1.4888999999999999E-2</v>
      </c>
      <c r="S502">
        <v>2.9995419999999999</v>
      </c>
      <c r="T502">
        <v>-8.5572120000000002E-2</v>
      </c>
      <c r="U502">
        <v>2.5268550000000001E-2</v>
      </c>
      <c r="V502">
        <v>3.0454209999999999E-2</v>
      </c>
      <c r="W502">
        <v>-2.3233810000000001E-2</v>
      </c>
      <c r="X502">
        <v>0.99926610000000005</v>
      </c>
      <c r="Y502">
        <v>7.166398E-3</v>
      </c>
      <c r="Z502">
        <v>-5.4709620000000002E-4</v>
      </c>
      <c r="AA502">
        <v>0.99997420000000004</v>
      </c>
      <c r="AB502">
        <v>43</v>
      </c>
      <c r="AC502">
        <v>40.367899999999999</v>
      </c>
      <c r="AD502">
        <v>-1.1584079999999899</v>
      </c>
      <c r="AE502">
        <v>0.33840000000003501</v>
      </c>
      <c r="AF502">
        <v>0.291101260423834</v>
      </c>
      <c r="AG502">
        <v>-1.1584079999999899</v>
      </c>
      <c r="AH502">
        <v>40.335054457100199</v>
      </c>
      <c r="AI502">
        <v>91.645018805727602</v>
      </c>
      <c r="AJ502">
        <v>89.586499031998002</v>
      </c>
      <c r="AK502">
        <v>40.352735559011698</v>
      </c>
      <c r="AL502">
        <v>91.331319044917706</v>
      </c>
      <c r="AM502">
        <v>88.2543611063101</v>
      </c>
      <c r="AN502">
        <v>1.00000000372152</v>
      </c>
    </row>
    <row r="503" spans="1:40" x14ac:dyDescent="0.25">
      <c r="A503" t="str">
        <f>"20190312151511142"</f>
        <v>20190312151511142</v>
      </c>
      <c r="B503" t="str">
        <f>"1552374911138292"</f>
        <v>1552374911138292</v>
      </c>
      <c r="C503" t="s">
        <v>40</v>
      </c>
      <c r="D503">
        <v>4.4227129999999999</v>
      </c>
      <c r="E503">
        <v>0.49109350000000002</v>
      </c>
      <c r="F503" t="s">
        <v>42</v>
      </c>
      <c r="G503">
        <v>-308.97359999999998</v>
      </c>
      <c r="H503">
        <v>-0.05</v>
      </c>
      <c r="I503">
        <v>369.12009999999998</v>
      </c>
      <c r="J503">
        <v>-349.64729999999997</v>
      </c>
      <c r="K503">
        <v>1.1083940000000001</v>
      </c>
      <c r="L503">
        <v>368.76440000000002</v>
      </c>
      <c r="M503">
        <v>0.99982879999999996</v>
      </c>
      <c r="N503">
        <v>0</v>
      </c>
      <c r="O503">
        <v>1.5385380000000001E-2</v>
      </c>
      <c r="P503">
        <v>0.99932860000000001</v>
      </c>
      <c r="Q503">
        <v>-3.3440600000000001E-2</v>
      </c>
      <c r="R503">
        <v>-1.497862E-2</v>
      </c>
      <c r="S503">
        <v>2.9995729999999998</v>
      </c>
      <c r="T503">
        <v>-8.4950090000000006E-2</v>
      </c>
      <c r="U503">
        <v>2.633667E-2</v>
      </c>
      <c r="V503">
        <v>3.0330329999999999E-2</v>
      </c>
      <c r="W503">
        <v>-2.3193040000000002E-2</v>
      </c>
      <c r="X503">
        <v>0.99927080000000001</v>
      </c>
      <c r="Y503">
        <v>6.5980259999999999E-3</v>
      </c>
      <c r="Z503">
        <v>-5.2904220000000004E-4</v>
      </c>
      <c r="AA503">
        <v>0.99997809999999998</v>
      </c>
      <c r="AB503">
        <v>43</v>
      </c>
      <c r="AC503">
        <v>40.673699999999997</v>
      </c>
      <c r="AD503">
        <v>-1.1583939999999999</v>
      </c>
      <c r="AE503">
        <v>0.355699999999956</v>
      </c>
      <c r="AF503">
        <v>0.26993656487593398</v>
      </c>
      <c r="AG503">
        <v>-1.1583939999999999</v>
      </c>
      <c r="AH503">
        <v>40.641395603564703</v>
      </c>
      <c r="AI503">
        <v>91.632612727106903</v>
      </c>
      <c r="AJ503">
        <v>89.619452082066204</v>
      </c>
      <c r="AK503">
        <v>40.658797067962297</v>
      </c>
      <c r="AL503">
        <v>91.328982486093693</v>
      </c>
      <c r="AM503">
        <v>88.2614657279113</v>
      </c>
      <c r="AN503">
        <v>0.99999998887749497</v>
      </c>
    </row>
    <row r="504" spans="1:40" x14ac:dyDescent="0.25">
      <c r="A504" t="str">
        <f>"20190312151511152"</f>
        <v>20190312151511152</v>
      </c>
      <c r="B504" t="str">
        <f>"1552374911148051"</f>
        <v>1552374911148051</v>
      </c>
      <c r="C504" t="s">
        <v>40</v>
      </c>
      <c r="D504">
        <v>4.4218840000000004</v>
      </c>
      <c r="E504">
        <v>0.49127769999999998</v>
      </c>
      <c r="F504" t="s">
        <v>42</v>
      </c>
      <c r="G504">
        <v>-310.08659999999998</v>
      </c>
      <c r="H504">
        <v>-0.05</v>
      </c>
      <c r="I504">
        <v>369.11020000000002</v>
      </c>
      <c r="J504">
        <v>-349.42509999999999</v>
      </c>
      <c r="K504">
        <v>1.1083799999999999</v>
      </c>
      <c r="L504">
        <v>368.76769999999999</v>
      </c>
      <c r="M504">
        <v>0.9998319</v>
      </c>
      <c r="N504">
        <v>0</v>
      </c>
      <c r="O504">
        <v>1.517729E-2</v>
      </c>
      <c r="P504">
        <v>0.99931020000000004</v>
      </c>
      <c r="Q504">
        <v>-3.3820900000000001E-2</v>
      </c>
      <c r="R504">
        <v>-1.534579E-2</v>
      </c>
      <c r="S504">
        <v>2.9994809999999998</v>
      </c>
      <c r="T504">
        <v>-8.7829110000000002E-2</v>
      </c>
      <c r="U504">
        <v>2.62145999999999E-2</v>
      </c>
      <c r="V504">
        <v>3.048797E-2</v>
      </c>
      <c r="W504">
        <v>-2.357103E-2</v>
      </c>
      <c r="X504">
        <v>0.99925710000000001</v>
      </c>
      <c r="Y504">
        <v>6.4298799999999998E-3</v>
      </c>
      <c r="Z504">
        <v>-5.3842850000000004E-4</v>
      </c>
      <c r="AA504">
        <v>0.99997919999999996</v>
      </c>
      <c r="AB504">
        <v>44</v>
      </c>
      <c r="AC504">
        <v>39.338500000000003</v>
      </c>
      <c r="AD504">
        <v>-1.15838</v>
      </c>
      <c r="AE504">
        <v>0.342500000000029</v>
      </c>
      <c r="AF504">
        <v>0.25440229542200499</v>
      </c>
      <c r="AG504">
        <v>-1.15838</v>
      </c>
      <c r="AH504">
        <v>39.305088293324999</v>
      </c>
      <c r="AI504">
        <v>91.688068727040005</v>
      </c>
      <c r="AJ504">
        <v>89.629158083186795</v>
      </c>
      <c r="AK504">
        <v>39.322977131677</v>
      </c>
      <c r="AL504">
        <v>91.350645719216004</v>
      </c>
      <c r="AM504">
        <v>88.252411448342201</v>
      </c>
      <c r="AN504">
        <v>0.99999993083519301</v>
      </c>
    </row>
    <row r="505" spans="1:40" x14ac:dyDescent="0.25">
      <c r="A505" t="str">
        <f>"20190312151511163"</f>
        <v>20190312151511163</v>
      </c>
      <c r="B505" t="str">
        <f>"1552374911157811"</f>
        <v>1552374911157811</v>
      </c>
      <c r="C505" t="s">
        <v>40</v>
      </c>
      <c r="D505">
        <v>4.4283970000000004</v>
      </c>
      <c r="E505">
        <v>0.49145030000000001</v>
      </c>
      <c r="F505" t="s">
        <v>42</v>
      </c>
      <c r="G505">
        <v>-311.2559</v>
      </c>
      <c r="H505">
        <v>-0.05</v>
      </c>
      <c r="I505">
        <v>369.06909999999999</v>
      </c>
      <c r="J505">
        <v>-349.19920000000002</v>
      </c>
      <c r="K505">
        <v>1.1083670000000001</v>
      </c>
      <c r="L505">
        <v>368.77100000000002</v>
      </c>
      <c r="M505">
        <v>0.99983529999999998</v>
      </c>
      <c r="N505">
        <v>0</v>
      </c>
      <c r="O505">
        <v>1.4958249999999999E-2</v>
      </c>
      <c r="P505">
        <v>0.99931099999999995</v>
      </c>
      <c r="Q505">
        <v>-3.3797899999999999E-2</v>
      </c>
      <c r="R505">
        <v>-1.5360469999999999E-2</v>
      </c>
      <c r="S505">
        <v>2.9993289999999999</v>
      </c>
      <c r="T505">
        <v>-9.1025110000000006E-2</v>
      </c>
      <c r="U505">
        <v>2.368164E-2</v>
      </c>
      <c r="V505">
        <v>3.028316E-2</v>
      </c>
      <c r="W505">
        <v>-2.3544889999999999E-2</v>
      </c>
      <c r="X505">
        <v>0.99926400000000004</v>
      </c>
      <c r="Y505">
        <v>7.053925E-3</v>
      </c>
      <c r="Z505">
        <v>-5.6086530000000001E-4</v>
      </c>
      <c r="AA505">
        <v>0.99997499999999995</v>
      </c>
      <c r="AB505">
        <v>44</v>
      </c>
      <c r="AC505">
        <v>37.943300000000001</v>
      </c>
      <c r="AD505">
        <v>-1.1583669999999999</v>
      </c>
      <c r="AE505">
        <v>0.29810000000003301</v>
      </c>
      <c r="AF505">
        <v>0.26927774399629001</v>
      </c>
      <c r="AG505">
        <v>-1.1583669999999999</v>
      </c>
      <c r="AH505">
        <v>37.908184956042803</v>
      </c>
      <c r="AI505">
        <v>91.750208344749495</v>
      </c>
      <c r="AJ505">
        <v>89.593010882111898</v>
      </c>
      <c r="AK505">
        <v>37.926834975669301</v>
      </c>
      <c r="AL505">
        <v>91.349147516334298</v>
      </c>
      <c r="AM505">
        <v>88.264156051383793</v>
      </c>
      <c r="AN505">
        <v>0.99999998666034795</v>
      </c>
    </row>
    <row r="506" spans="1:40" x14ac:dyDescent="0.25">
      <c r="A506" t="str">
        <f>"20190312151511177"</f>
        <v>20190312151511177</v>
      </c>
      <c r="B506" t="str">
        <f>"1552374911168547"</f>
        <v>1552374911168547</v>
      </c>
      <c r="C506" t="s">
        <v>40</v>
      </c>
      <c r="D506">
        <v>4.4455080000000002</v>
      </c>
      <c r="E506">
        <v>0.49163839999999998</v>
      </c>
      <c r="F506" t="s">
        <v>42</v>
      </c>
      <c r="G506">
        <v>-311.666</v>
      </c>
      <c r="H506">
        <v>-0.05</v>
      </c>
      <c r="I506">
        <v>369.04599999999999</v>
      </c>
      <c r="J506">
        <v>-348.95479999999998</v>
      </c>
      <c r="K506">
        <v>1.108357</v>
      </c>
      <c r="L506">
        <v>368.77449999999999</v>
      </c>
      <c r="M506">
        <v>0.99983860000000002</v>
      </c>
      <c r="N506">
        <v>0</v>
      </c>
      <c r="O506">
        <v>1.472014E-2</v>
      </c>
      <c r="P506">
        <v>0.99930580000000002</v>
      </c>
      <c r="Q506">
        <v>-3.3841830000000003E-2</v>
      </c>
      <c r="R506">
        <v>-1.5569370000000001E-2</v>
      </c>
      <c r="S506">
        <v>2.9992679999999998</v>
      </c>
      <c r="T506">
        <v>-9.2564579999999994E-2</v>
      </c>
      <c r="U506">
        <v>2.1972660000000001E-2</v>
      </c>
      <c r="V506">
        <v>3.0253579999999999E-2</v>
      </c>
      <c r="W506">
        <v>-2.3585660000000001E-2</v>
      </c>
      <c r="X506">
        <v>0.99926389999999998</v>
      </c>
      <c r="Y506">
        <v>7.3849839999999998E-3</v>
      </c>
      <c r="Z506">
        <v>-5.681207E-4</v>
      </c>
      <c r="AA506">
        <v>0.99997259999999999</v>
      </c>
      <c r="AB506">
        <v>44</v>
      </c>
      <c r="AC506">
        <v>37.288799999999902</v>
      </c>
      <c r="AD506">
        <v>-1.1583570000000001</v>
      </c>
      <c r="AE506">
        <v>0.27150000000000302</v>
      </c>
      <c r="AF506">
        <v>0.27718742258456602</v>
      </c>
      <c r="AG506">
        <v>-1.1583570000000001</v>
      </c>
      <c r="AH506">
        <v>37.252809051636703</v>
      </c>
      <c r="AI506">
        <v>91.780959771516507</v>
      </c>
      <c r="AJ506">
        <v>89.573686474381503</v>
      </c>
      <c r="AK506">
        <v>37.271844682607203</v>
      </c>
      <c r="AL506">
        <v>91.351484160815204</v>
      </c>
      <c r="AM506">
        <v>88.265850380655806</v>
      </c>
      <c r="AN506">
        <v>0.99999995215182902</v>
      </c>
    </row>
    <row r="507" spans="1:40" x14ac:dyDescent="0.25">
      <c r="A507" t="str">
        <f>"20190312151511196"</f>
        <v>20190312151511196</v>
      </c>
      <c r="B507" t="str">
        <f>"1552374911188067"</f>
        <v>1552374911188067</v>
      </c>
      <c r="C507" t="s">
        <v>40</v>
      </c>
      <c r="D507">
        <v>4.4436289999999996</v>
      </c>
      <c r="E507">
        <v>0.49193049999999999</v>
      </c>
      <c r="F507" t="s">
        <v>42</v>
      </c>
      <c r="G507">
        <v>-312.20729999999998</v>
      </c>
      <c r="H507">
        <v>-0.05</v>
      </c>
      <c r="I507">
        <v>369.0172</v>
      </c>
      <c r="J507">
        <v>-348.58370000000002</v>
      </c>
      <c r="K507">
        <v>1.1083400000000001</v>
      </c>
      <c r="L507">
        <v>368.77969999999999</v>
      </c>
      <c r="M507">
        <v>0.99984399999999996</v>
      </c>
      <c r="N507">
        <v>0</v>
      </c>
      <c r="O507">
        <v>1.4352739999999999E-2</v>
      </c>
      <c r="P507">
        <v>0.99930719999999995</v>
      </c>
      <c r="Q507">
        <v>-3.3686029999999999E-2</v>
      </c>
      <c r="R507">
        <v>-1.5838189999999999E-2</v>
      </c>
      <c r="S507">
        <v>2.9991460000000001</v>
      </c>
      <c r="T507">
        <v>-9.4539280000000003E-2</v>
      </c>
      <c r="U507">
        <v>1.9805909999999999E-2</v>
      </c>
      <c r="V507">
        <v>3.015433E-2</v>
      </c>
      <c r="W507">
        <v>-2.3424730000000001E-2</v>
      </c>
      <c r="X507">
        <v>0.99927069999999996</v>
      </c>
      <c r="Y507">
        <v>7.7391939999999996E-3</v>
      </c>
      <c r="Z507">
        <v>-5.7426410000000004E-4</v>
      </c>
      <c r="AA507">
        <v>0.99996989999999997</v>
      </c>
      <c r="AB507">
        <v>44</v>
      </c>
      <c r="AC507">
        <v>36.376399999999997</v>
      </c>
      <c r="AD507">
        <v>-1.1583399999999999</v>
      </c>
      <c r="AE507">
        <v>0.23750000000001101</v>
      </c>
      <c r="AF507">
        <v>0.28436481460063301</v>
      </c>
      <c r="AG507">
        <v>-1.1583399999999999</v>
      </c>
      <c r="AH507">
        <v>36.3392156302925</v>
      </c>
      <c r="AI507">
        <v>91.825672290209098</v>
      </c>
      <c r="AJ507">
        <v>89.551653196629005</v>
      </c>
      <c r="AK507">
        <v>36.3587844616439</v>
      </c>
      <c r="AL507">
        <v>91.342260982764799</v>
      </c>
      <c r="AM507">
        <v>88.271547736262704</v>
      </c>
      <c r="AN507">
        <v>0.99999996673590497</v>
      </c>
    </row>
    <row r="508" spans="1:40" x14ac:dyDescent="0.25">
      <c r="A508" t="str">
        <f>"20190312151511218"</f>
        <v>20190312151511218</v>
      </c>
      <c r="B508" t="str">
        <f>"1552374911208563"</f>
        <v>1552374911208563</v>
      </c>
      <c r="C508" t="s">
        <v>40</v>
      </c>
      <c r="D508">
        <v>4.4128730000000003</v>
      </c>
      <c r="E508">
        <v>0.49222379999999999</v>
      </c>
      <c r="F508" t="s">
        <v>42</v>
      </c>
      <c r="G508">
        <v>-312.36009999999999</v>
      </c>
      <c r="H508">
        <v>-0.05</v>
      </c>
      <c r="I508">
        <v>368.98320000000001</v>
      </c>
      <c r="J508">
        <v>-348.16430000000003</v>
      </c>
      <c r="K508">
        <v>1.1083240000000001</v>
      </c>
      <c r="L508">
        <v>368.78539999999998</v>
      </c>
      <c r="M508">
        <v>0.99984980000000001</v>
      </c>
      <c r="N508">
        <v>0</v>
      </c>
      <c r="O508">
        <v>1.39332E-2</v>
      </c>
      <c r="P508">
        <v>0.99929710000000005</v>
      </c>
      <c r="Q508">
        <v>-3.378391E-2</v>
      </c>
      <c r="R508">
        <v>-1.6249710000000001E-2</v>
      </c>
      <c r="S508">
        <v>2.9990839999999999</v>
      </c>
      <c r="T508">
        <v>-9.5903279999999994E-2</v>
      </c>
      <c r="U508">
        <v>1.6845699999999901E-2</v>
      </c>
      <c r="V508">
        <v>3.014565E-2</v>
      </c>
      <c r="W508">
        <v>-2.3516680000000002E-2</v>
      </c>
      <c r="X508">
        <v>0.99926879999999996</v>
      </c>
      <c r="Y508">
        <v>8.3060349999999998E-3</v>
      </c>
      <c r="Z508">
        <v>-5.7820840000000001E-4</v>
      </c>
      <c r="AA508">
        <v>0.99996529999999995</v>
      </c>
      <c r="AB508">
        <v>44</v>
      </c>
      <c r="AC508">
        <v>35.804200000000002</v>
      </c>
      <c r="AD508">
        <v>-1.1583239999999999</v>
      </c>
      <c r="AE508">
        <v>0.19780000000002901</v>
      </c>
      <c r="AF508">
        <v>0.30079797121005403</v>
      </c>
      <c r="AG508">
        <v>-1.1583239999999999</v>
      </c>
      <c r="AH508">
        <v>35.766047599770502</v>
      </c>
      <c r="AI508">
        <v>91.854874881264706</v>
      </c>
      <c r="AJ508">
        <v>89.5181450264906</v>
      </c>
      <c r="AK508">
        <v>35.786063695487798</v>
      </c>
      <c r="AL508">
        <v>91.347530784507995</v>
      </c>
      <c r="AM508">
        <v>88.272041690409395</v>
      </c>
      <c r="AN508">
        <v>0.99999996455279105</v>
      </c>
    </row>
    <row r="509" spans="1:40" x14ac:dyDescent="0.25">
      <c r="A509" t="str">
        <f>"20190312151511228"</f>
        <v>20190312151511228</v>
      </c>
      <c r="B509" t="str">
        <f>"1552374911218323"</f>
        <v>1552374911218323</v>
      </c>
      <c r="C509" t="s">
        <v>40</v>
      </c>
      <c r="D509">
        <v>4.4343250000000003</v>
      </c>
      <c r="E509">
        <v>0.49235570000000001</v>
      </c>
      <c r="F509" t="s">
        <v>42</v>
      </c>
      <c r="G509">
        <v>-312.61829999999998</v>
      </c>
      <c r="H509">
        <v>-0.05</v>
      </c>
      <c r="I509">
        <v>368.94420000000002</v>
      </c>
      <c r="J509">
        <v>-347.94209999999998</v>
      </c>
      <c r="K509">
        <v>1.108317</v>
      </c>
      <c r="L509">
        <v>368.78829999999999</v>
      </c>
      <c r="M509">
        <v>0.99985279999999999</v>
      </c>
      <c r="N509">
        <v>0</v>
      </c>
      <c r="O509">
        <v>1.370975E-2</v>
      </c>
      <c r="P509">
        <v>0.9992917</v>
      </c>
      <c r="Q509">
        <v>-3.382566E-2</v>
      </c>
      <c r="R509">
        <v>-1.6487399999999999E-2</v>
      </c>
      <c r="S509">
        <v>2.9990540000000001</v>
      </c>
      <c r="T509">
        <v>-9.7728850000000006E-2</v>
      </c>
      <c r="U509">
        <v>1.339722E-2</v>
      </c>
      <c r="V509">
        <v>3.0159780000000001E-2</v>
      </c>
      <c r="W509">
        <v>-2.3555280000000001E-2</v>
      </c>
      <c r="X509">
        <v>0.99926749999999998</v>
      </c>
      <c r="Y509">
        <v>9.2314800000000002E-3</v>
      </c>
      <c r="Z509">
        <v>-5.9701290000000005E-4</v>
      </c>
      <c r="AA509">
        <v>0.99995719999999999</v>
      </c>
      <c r="AB509">
        <v>44</v>
      </c>
      <c r="AC509">
        <v>35.323799999999999</v>
      </c>
      <c r="AD509">
        <v>-1.158317</v>
      </c>
      <c r="AE509">
        <v>0.15590000000003101</v>
      </c>
      <c r="AF509">
        <v>0.32806813446902999</v>
      </c>
      <c r="AG509">
        <v>-1.158317</v>
      </c>
      <c r="AH509">
        <v>35.284677238311701</v>
      </c>
      <c r="AI509">
        <v>91.880135809301294</v>
      </c>
      <c r="AJ509">
        <v>89.467293472861996</v>
      </c>
      <c r="AK509">
        <v>35.305208890263998</v>
      </c>
      <c r="AL509">
        <v>91.349742966562502</v>
      </c>
      <c r="AM509">
        <v>88.271229997972696</v>
      </c>
      <c r="AN509">
        <v>1.00000000005088</v>
      </c>
    </row>
    <row r="510" spans="1:40" x14ac:dyDescent="0.25">
      <c r="A510" t="str">
        <f>"20190312151511241"</f>
        <v>20190312151511241</v>
      </c>
      <c r="B510" t="str">
        <f>"1552374911228083"</f>
        <v>1552374911228083</v>
      </c>
      <c r="C510" t="s">
        <v>40</v>
      </c>
      <c r="D510">
        <v>4.4324349999999999</v>
      </c>
      <c r="E510">
        <v>0.49247220000000003</v>
      </c>
      <c r="F510" t="s">
        <v>42</v>
      </c>
      <c r="G510">
        <v>-312.62860000000001</v>
      </c>
      <c r="H510">
        <v>-0.05</v>
      </c>
      <c r="I510">
        <v>368.92450000000002</v>
      </c>
      <c r="J510">
        <v>-347.6986</v>
      </c>
      <c r="K510">
        <v>1.1083069999999999</v>
      </c>
      <c r="L510">
        <v>368.79149999999998</v>
      </c>
      <c r="M510">
        <v>0.99985619999999997</v>
      </c>
      <c r="N510">
        <v>0</v>
      </c>
      <c r="O510">
        <v>1.3464540000000001E-2</v>
      </c>
      <c r="P510">
        <v>0.99928689999999998</v>
      </c>
      <c r="Q510">
        <v>-3.3959839999999998E-2</v>
      </c>
      <c r="R510">
        <v>-1.6502650000000001E-2</v>
      </c>
      <c r="S510">
        <v>2.9989620000000001</v>
      </c>
      <c r="T510">
        <v>-9.8368999999999998E-2</v>
      </c>
      <c r="U510">
        <v>1.1566160000000001E-2</v>
      </c>
      <c r="V510">
        <v>2.992939E-2</v>
      </c>
      <c r="W510">
        <v>-2.3685620000000001E-2</v>
      </c>
      <c r="X510">
        <v>0.99927129999999997</v>
      </c>
      <c r="Y510">
        <v>9.5964099999999997E-3</v>
      </c>
      <c r="Z510">
        <v>-5.9888379999999998E-4</v>
      </c>
      <c r="AA510">
        <v>0.99995369999999995</v>
      </c>
      <c r="AB510">
        <v>44</v>
      </c>
      <c r="AC510">
        <v>35.069999999999901</v>
      </c>
      <c r="AD510">
        <v>-1.158307</v>
      </c>
      <c r="AE510">
        <v>0.133000000000038</v>
      </c>
      <c r="AF510">
        <v>0.33886891272241998</v>
      </c>
      <c r="AG510">
        <v>-1.158307</v>
      </c>
      <c r="AH510">
        <v>35.030398099575997</v>
      </c>
      <c r="AI510">
        <v>91.893750380449603</v>
      </c>
      <c r="AJ510">
        <v>89.445762709937398</v>
      </c>
      <c r="AK510">
        <v>35.051181125049602</v>
      </c>
      <c r="AL510">
        <v>91.3572130451399</v>
      </c>
      <c r="AM510">
        <v>88.284434637834295</v>
      </c>
      <c r="AN510">
        <v>0.99999995399212205</v>
      </c>
    </row>
    <row r="511" spans="1:40" x14ac:dyDescent="0.25">
      <c r="A511" t="str">
        <f>"20190312151511254"</f>
        <v>20190312151511254</v>
      </c>
      <c r="B511" t="str">
        <f>"1552374911248579"</f>
        <v>1552374911248579</v>
      </c>
      <c r="C511" t="s">
        <v>40</v>
      </c>
      <c r="D511">
        <v>4.4714369999999999</v>
      </c>
      <c r="E511">
        <v>0.49266919999999997</v>
      </c>
      <c r="F511" t="s">
        <v>42</v>
      </c>
      <c r="G511">
        <v>-312.56270000000001</v>
      </c>
      <c r="H511">
        <v>-0.05</v>
      </c>
      <c r="I511">
        <v>368.91550000000001</v>
      </c>
      <c r="J511">
        <v>-347.45260000000002</v>
      </c>
      <c r="K511">
        <v>1.1083000000000001</v>
      </c>
      <c r="L511">
        <v>368.79469999999998</v>
      </c>
      <c r="M511">
        <v>0.99985950000000001</v>
      </c>
      <c r="N511">
        <v>0</v>
      </c>
      <c r="O511">
        <v>1.321659E-2</v>
      </c>
      <c r="P511">
        <v>0.99927440000000001</v>
      </c>
      <c r="Q511">
        <v>-3.4296119999999999E-2</v>
      </c>
      <c r="R511">
        <v>-1.6572940000000001E-2</v>
      </c>
      <c r="S511">
        <v>2.998993</v>
      </c>
      <c r="T511">
        <v>-9.8866339999999997E-2</v>
      </c>
      <c r="U511">
        <v>1.0589599999999999E-2</v>
      </c>
      <c r="V511">
        <v>2.9751039999999999E-2</v>
      </c>
      <c r="W511">
        <v>-2.4018149999999999E-2</v>
      </c>
      <c r="X511">
        <v>0.99926870000000001</v>
      </c>
      <c r="Y511">
        <v>9.6740560000000003E-3</v>
      </c>
      <c r="Z511">
        <v>-5.950126E-4</v>
      </c>
      <c r="AA511">
        <v>0.99995299999999998</v>
      </c>
      <c r="AB511">
        <v>44</v>
      </c>
      <c r="AC511">
        <v>34.889899999999997</v>
      </c>
      <c r="AD511">
        <v>-1.1583000000000001</v>
      </c>
      <c r="AE511">
        <v>0.12080000000003099</v>
      </c>
      <c r="AF511">
        <v>0.33998585422072902</v>
      </c>
      <c r="AG511">
        <v>-1.1583000000000001</v>
      </c>
      <c r="AH511">
        <v>34.850039254982498</v>
      </c>
      <c r="AI511">
        <v>91.903530872042296</v>
      </c>
      <c r="AJ511">
        <v>89.441058403132402</v>
      </c>
      <c r="AK511">
        <v>34.870940413830098</v>
      </c>
      <c r="AL511">
        <v>91.376271017959297</v>
      </c>
      <c r="AM511">
        <v>88.294647246430202</v>
      </c>
      <c r="AN511">
        <v>0.99999996535509605</v>
      </c>
    </row>
    <row r="512" spans="1:40" x14ac:dyDescent="0.25">
      <c r="A512" t="str">
        <f>"20190312151511265"</f>
        <v>20190312151511265</v>
      </c>
      <c r="B512" t="str">
        <f>"1552374911258340"</f>
        <v>1552374911258340</v>
      </c>
      <c r="C512" t="s">
        <v>40</v>
      </c>
      <c r="D512">
        <v>5.5337959999999997</v>
      </c>
      <c r="E512">
        <v>0.4938979</v>
      </c>
      <c r="F512" t="s">
        <v>42</v>
      </c>
      <c r="G512">
        <v>-312.41669999999999</v>
      </c>
      <c r="H512">
        <v>-0.05</v>
      </c>
      <c r="I512">
        <v>368.8981</v>
      </c>
      <c r="J512">
        <v>-347.22070000000002</v>
      </c>
      <c r="K512">
        <v>1.1082890000000001</v>
      </c>
      <c r="L512">
        <v>368.79759999999999</v>
      </c>
      <c r="M512">
        <v>0.99986240000000004</v>
      </c>
      <c r="N512">
        <v>0</v>
      </c>
      <c r="O512">
        <v>1.298302E-2</v>
      </c>
      <c r="P512">
        <v>0.99925549999999996</v>
      </c>
      <c r="Q512">
        <v>-3.4796399999999998E-2</v>
      </c>
      <c r="R512">
        <v>-1.6664200000000001E-2</v>
      </c>
      <c r="S512">
        <v>2.998993</v>
      </c>
      <c r="T512">
        <v>-9.914792E-2</v>
      </c>
      <c r="U512">
        <v>8.8500980000000007E-3</v>
      </c>
      <c r="V512">
        <v>2.9607809999999998E-2</v>
      </c>
      <c r="W512">
        <v>-2.4514979999999999E-2</v>
      </c>
      <c r="X512">
        <v>0.99926090000000001</v>
      </c>
      <c r="Y512">
        <v>1.0020329999999999E-2</v>
      </c>
      <c r="Z512">
        <v>-5.9471009999999996E-4</v>
      </c>
      <c r="AA512">
        <v>0.99994959999999999</v>
      </c>
      <c r="AB512">
        <v>44</v>
      </c>
      <c r="AC512">
        <v>34.804000000000002</v>
      </c>
      <c r="AD512">
        <v>-1.1582889999999999</v>
      </c>
      <c r="AE512">
        <v>0.10050000000001</v>
      </c>
      <c r="AF512">
        <v>0.35100482749012202</v>
      </c>
      <c r="AG512">
        <v>-1.1582889999999999</v>
      </c>
      <c r="AH512">
        <v>34.763867683821601</v>
      </c>
      <c r="AI512">
        <v>91.908221234729595</v>
      </c>
      <c r="AJ512">
        <v>89.421513969226197</v>
      </c>
      <c r="AK512">
        <v>34.7849296985734</v>
      </c>
      <c r="AL512">
        <v>91.404745650881296</v>
      </c>
      <c r="AM512">
        <v>88.302839248588299</v>
      </c>
      <c r="AN512">
        <v>0.99999997646310301</v>
      </c>
    </row>
    <row r="513" spans="1:40" x14ac:dyDescent="0.25">
      <c r="A513" t="str">
        <f>"20190312151511276"</f>
        <v>20190312151511276</v>
      </c>
      <c r="B513" t="str">
        <f>"1552374911268099"</f>
        <v>1552374911268099</v>
      </c>
      <c r="C513" t="s">
        <v>40</v>
      </c>
      <c r="D513">
        <v>4.4718739999999997</v>
      </c>
      <c r="E513">
        <v>0.49467119999999998</v>
      </c>
      <c r="F513" t="s">
        <v>42</v>
      </c>
      <c r="G513">
        <v>-311.85890000000001</v>
      </c>
      <c r="H513">
        <v>-0.05</v>
      </c>
      <c r="I513">
        <v>368.78059999999999</v>
      </c>
      <c r="J513">
        <v>-347.00729999999999</v>
      </c>
      <c r="K513">
        <v>1.108271</v>
      </c>
      <c r="L513">
        <v>368.80029999999999</v>
      </c>
      <c r="M513">
        <v>0.99986509999999995</v>
      </c>
      <c r="N513">
        <v>0</v>
      </c>
      <c r="O513">
        <v>1.2768180000000001E-2</v>
      </c>
      <c r="P513">
        <v>0.99919970000000002</v>
      </c>
      <c r="Q513">
        <v>-3.625809E-2</v>
      </c>
      <c r="R513">
        <v>-1.6888099999999899E-2</v>
      </c>
      <c r="S513">
        <v>2.9987789999999999</v>
      </c>
      <c r="T513">
        <v>-9.8226069999999999E-2</v>
      </c>
      <c r="U513">
        <v>-1.4343260000000001E-3</v>
      </c>
      <c r="V513">
        <v>2.9614129999999999E-2</v>
      </c>
      <c r="W513">
        <v>-2.597402E-2</v>
      </c>
      <c r="X513">
        <v>0.99922390000000005</v>
      </c>
      <c r="Y513">
        <v>1.3233180000000001E-2</v>
      </c>
      <c r="Z513">
        <v>-6.3479889999999998E-4</v>
      </c>
      <c r="AA513">
        <v>0.99991229999999998</v>
      </c>
      <c r="AB513">
        <v>44</v>
      </c>
      <c r="AC513">
        <v>35.148399999999903</v>
      </c>
      <c r="AD513">
        <v>-1.1582709999999901</v>
      </c>
      <c r="AE513">
        <v>-1.97000000000002E-2</v>
      </c>
      <c r="AF513">
        <v>0.46799523010477101</v>
      </c>
      <c r="AG513">
        <v>-1.1582709999999901</v>
      </c>
      <c r="AH513">
        <v>35.1071584163846</v>
      </c>
      <c r="AI513">
        <v>91.889474685971805</v>
      </c>
      <c r="AJ513">
        <v>89.2362650641751</v>
      </c>
      <c r="AK513">
        <v>35.129377781537301</v>
      </c>
      <c r="AL513">
        <v>91.488369073340905</v>
      </c>
      <c r="AM513">
        <v>88.302414369006897</v>
      </c>
      <c r="AN513">
        <v>1.00000002437091</v>
      </c>
    </row>
    <row r="514" spans="1:40" x14ac:dyDescent="0.25">
      <c r="A514" t="str">
        <f>"20190312151511287"</f>
        <v>20190312151511287</v>
      </c>
      <c r="B514" t="str">
        <f>"1552374911278835"</f>
        <v>1552374911278835</v>
      </c>
      <c r="C514" t="s">
        <v>40</v>
      </c>
      <c r="D514">
        <v>4.4588710000000003</v>
      </c>
      <c r="E514">
        <v>0.4955949</v>
      </c>
      <c r="F514" t="s">
        <v>42</v>
      </c>
      <c r="G514">
        <v>-313.36759999999998</v>
      </c>
      <c r="H514">
        <v>-0.05</v>
      </c>
      <c r="I514">
        <v>368.70679999999999</v>
      </c>
      <c r="J514">
        <v>-346.78289999999998</v>
      </c>
      <c r="K514">
        <v>1.108257</v>
      </c>
      <c r="L514">
        <v>368.803</v>
      </c>
      <c r="M514">
        <v>0.99986799999999998</v>
      </c>
      <c r="N514">
        <v>0</v>
      </c>
      <c r="O514">
        <v>1.254213E-2</v>
      </c>
      <c r="P514">
        <v>0.99915109999999996</v>
      </c>
      <c r="Q514">
        <v>-3.7456089999999997E-2</v>
      </c>
      <c r="R514">
        <v>-1.715042E-2</v>
      </c>
      <c r="S514">
        <v>2.998535</v>
      </c>
      <c r="T514">
        <v>-0.10324469999999999</v>
      </c>
      <c r="U514">
        <v>-8.3312990000000003E-3</v>
      </c>
      <c r="V514">
        <v>2.9648239999999999E-2</v>
      </c>
      <c r="W514">
        <v>-2.716915E-2</v>
      </c>
      <c r="X514">
        <v>0.9991911</v>
      </c>
      <c r="Y514">
        <v>1.5304480000000001E-2</v>
      </c>
      <c r="Z514">
        <v>-6.9513569999999996E-4</v>
      </c>
      <c r="AA514">
        <v>0.99988259999999995</v>
      </c>
      <c r="AB514">
        <v>44</v>
      </c>
      <c r="AC514">
        <v>33.415300000000002</v>
      </c>
      <c r="AD514">
        <v>-1.1582569999999901</v>
      </c>
      <c r="AE514">
        <v>-9.6200000000067107E-2</v>
      </c>
      <c r="AF514">
        <v>0.51469543029931897</v>
      </c>
      <c r="AG514">
        <v>-1.1582569999999901</v>
      </c>
      <c r="AH514">
        <v>33.371369861182401</v>
      </c>
      <c r="AI514">
        <v>91.987593759385007</v>
      </c>
      <c r="AJ514">
        <v>89.116382155555996</v>
      </c>
      <c r="AK514">
        <v>33.395430781408599</v>
      </c>
      <c r="AL514">
        <v>91.556869177783497</v>
      </c>
      <c r="AM514">
        <v>88.300404453130696</v>
      </c>
      <c r="AN514">
        <v>1.0000000175830099</v>
      </c>
    </row>
    <row r="515" spans="1:40" x14ac:dyDescent="0.25">
      <c r="A515" t="str">
        <f>"20190312151511299"</f>
        <v>20190312151511299</v>
      </c>
      <c r="B515" t="str">
        <f>"1552374911288595"</f>
        <v>1552374911288595</v>
      </c>
      <c r="C515" t="s">
        <v>40</v>
      </c>
      <c r="D515">
        <v>4.4396399999999998</v>
      </c>
      <c r="E515">
        <v>0.49649900000000002</v>
      </c>
      <c r="F515" t="s">
        <v>42</v>
      </c>
      <c r="G515">
        <v>-314.8818</v>
      </c>
      <c r="H515">
        <v>-0.05</v>
      </c>
      <c r="I515">
        <v>368.62889999999999</v>
      </c>
      <c r="J515">
        <v>-346.56130000000002</v>
      </c>
      <c r="K515">
        <v>1.1082419999999999</v>
      </c>
      <c r="L515">
        <v>368.80560000000003</v>
      </c>
      <c r="M515">
        <v>0.99987079999999995</v>
      </c>
      <c r="N515">
        <v>0</v>
      </c>
      <c r="O515">
        <v>1.2319429999999999E-2</v>
      </c>
      <c r="P515">
        <v>0.9990677</v>
      </c>
      <c r="Q515">
        <v>-3.953835E-2</v>
      </c>
      <c r="R515">
        <v>-1.734146E-2</v>
      </c>
      <c r="S515">
        <v>2.9981689999999999</v>
      </c>
      <c r="T515">
        <v>-0.1088568</v>
      </c>
      <c r="U515">
        <v>-1.6357420000000001E-2</v>
      </c>
      <c r="V515">
        <v>2.9612869999999999E-2</v>
      </c>
      <c r="W515">
        <v>-2.9248819999999998E-2</v>
      </c>
      <c r="X515">
        <v>0.99913339999999995</v>
      </c>
      <c r="Y515">
        <v>1.7755400000000001E-2</v>
      </c>
      <c r="Z515">
        <v>-7.6938029999999995E-4</v>
      </c>
      <c r="AA515">
        <v>0.99984200000000001</v>
      </c>
      <c r="AB515">
        <v>44</v>
      </c>
      <c r="AC515">
        <v>31.679500000000001</v>
      </c>
      <c r="AD515">
        <v>-1.158242</v>
      </c>
      <c r="AE515">
        <v>-0.17670000000003899</v>
      </c>
      <c r="AF515">
        <v>0.56622391620246604</v>
      </c>
      <c r="AG515">
        <v>-1.158242</v>
      </c>
      <c r="AH515">
        <v>31.632635909192398</v>
      </c>
      <c r="AI515">
        <v>92.096636220793997</v>
      </c>
      <c r="AJ515">
        <v>88.9745155452527</v>
      </c>
      <c r="AK515">
        <v>31.658897463704701</v>
      </c>
      <c r="AL515">
        <v>91.676073005989096</v>
      </c>
      <c r="AM515">
        <v>88.302332886118407</v>
      </c>
      <c r="AN515">
        <v>0.99999998326829398</v>
      </c>
    </row>
    <row r="516" spans="1:40" x14ac:dyDescent="0.25">
      <c r="A516" t="str">
        <f>"20190312151511311"</f>
        <v>20190312151511311</v>
      </c>
      <c r="B516" t="str">
        <f>"1552374911308116"</f>
        <v>1552374911308116</v>
      </c>
      <c r="C516" t="s">
        <v>40</v>
      </c>
      <c r="D516">
        <v>4.3773559999999998</v>
      </c>
      <c r="E516">
        <v>0.49806699999999998</v>
      </c>
      <c r="F516" t="s">
        <v>42</v>
      </c>
      <c r="G516">
        <v>-316.76670000000001</v>
      </c>
      <c r="H516">
        <v>-0.05</v>
      </c>
      <c r="I516">
        <v>368.56420000000003</v>
      </c>
      <c r="J516">
        <v>-346.32</v>
      </c>
      <c r="K516">
        <v>1.108223</v>
      </c>
      <c r="L516">
        <v>368.80849999999998</v>
      </c>
      <c r="M516">
        <v>0.99987369999999998</v>
      </c>
      <c r="N516">
        <v>0</v>
      </c>
      <c r="O516">
        <v>1.207652E-2</v>
      </c>
      <c r="P516">
        <v>0.99895970000000001</v>
      </c>
      <c r="Q516">
        <v>-4.2028620000000003E-2</v>
      </c>
      <c r="R516">
        <v>-1.7696139999999999E-2</v>
      </c>
      <c r="S516">
        <v>2.9978030000000002</v>
      </c>
      <c r="T516">
        <v>-0.11653719999999999</v>
      </c>
      <c r="U516">
        <v>-2.4291989999999999E-2</v>
      </c>
      <c r="V516">
        <v>2.9720259999999998E-2</v>
      </c>
      <c r="W516">
        <v>-3.1736649999999998E-2</v>
      </c>
      <c r="X516">
        <v>0.99905429999999995</v>
      </c>
      <c r="Y516">
        <v>2.0154829999999999E-2</v>
      </c>
      <c r="Z516">
        <v>-8.6089979999999999E-4</v>
      </c>
      <c r="AA516">
        <v>0.99979649999999998</v>
      </c>
      <c r="AB516">
        <v>44</v>
      </c>
      <c r="AC516">
        <v>29.553299999999901</v>
      </c>
      <c r="AD516">
        <v>-1.158223</v>
      </c>
      <c r="AE516">
        <v>-0.244299999999952</v>
      </c>
      <c r="AF516">
        <v>0.600280323318656</v>
      </c>
      <c r="AG516">
        <v>-1.158223</v>
      </c>
      <c r="AH516">
        <v>29.5028828099456</v>
      </c>
      <c r="AI516">
        <v>92.247696236736601</v>
      </c>
      <c r="AJ516">
        <v>88.834392409249702</v>
      </c>
      <c r="AK516">
        <v>29.531710263404602</v>
      </c>
      <c r="AL516">
        <v>91.818681485715601</v>
      </c>
      <c r="AM516">
        <v>88.296045159940206</v>
      </c>
      <c r="AN516">
        <v>1.0000000015780799</v>
      </c>
    </row>
    <row r="517" spans="1:40" x14ac:dyDescent="0.25">
      <c r="A517" t="str">
        <f>"20190312151511328"</f>
        <v>20190312151511328</v>
      </c>
      <c r="B517" t="str">
        <f>"1552374911317876"</f>
        <v>1552374911317876</v>
      </c>
      <c r="C517" t="s">
        <v>40</v>
      </c>
      <c r="D517">
        <v>4.6049389999999999</v>
      </c>
      <c r="E517">
        <v>0.49861739999999999</v>
      </c>
      <c r="F517" t="s">
        <v>42</v>
      </c>
      <c r="G517">
        <v>-318.23610000000002</v>
      </c>
      <c r="H517">
        <v>-0.05</v>
      </c>
      <c r="I517">
        <v>368.45530000000002</v>
      </c>
      <c r="J517">
        <v>-345.98739999999998</v>
      </c>
      <c r="K517">
        <v>1.1081970000000001</v>
      </c>
      <c r="L517">
        <v>368.81229999999999</v>
      </c>
      <c r="M517">
        <v>0.99987760000000003</v>
      </c>
      <c r="N517">
        <v>0</v>
      </c>
      <c r="O517">
        <v>1.1742270000000001E-2</v>
      </c>
      <c r="P517">
        <v>0.998776</v>
      </c>
      <c r="Q517">
        <v>-4.6050840000000003E-2</v>
      </c>
      <c r="R517">
        <v>-1.805238E-2</v>
      </c>
      <c r="S517">
        <v>2.997223</v>
      </c>
      <c r="T517">
        <v>-0.12360980000000001</v>
      </c>
      <c r="U517">
        <v>-3.7689210000000001E-2</v>
      </c>
      <c r="V517">
        <v>2.9735000000000001E-2</v>
      </c>
      <c r="W517">
        <v>-3.5755370000000002E-2</v>
      </c>
      <c r="X517">
        <v>0.99891810000000003</v>
      </c>
      <c r="Y517">
        <v>2.4284199999999999E-2</v>
      </c>
      <c r="Z517">
        <v>-9.84595E-4</v>
      </c>
      <c r="AA517">
        <v>0.99970460000000005</v>
      </c>
      <c r="AB517">
        <v>44</v>
      </c>
      <c r="AC517">
        <v>27.751299999999901</v>
      </c>
      <c r="AD517">
        <v>-1.1581969999999999</v>
      </c>
      <c r="AE517">
        <v>-0.35699999999997001</v>
      </c>
      <c r="AF517">
        <v>0.681668927424945</v>
      </c>
      <c r="AG517">
        <v>-1.1581969999999999</v>
      </c>
      <c r="AH517">
        <v>27.6969597544613</v>
      </c>
      <c r="AI517">
        <v>92.393804489398605</v>
      </c>
      <c r="AJ517">
        <v>88.590138781968307</v>
      </c>
      <c r="AK517">
        <v>27.7295451181168</v>
      </c>
      <c r="AL517">
        <v>92.049068571367201</v>
      </c>
      <c r="AM517">
        <v>88.294968260550405</v>
      </c>
      <c r="AN517">
        <v>0.999999993608223</v>
      </c>
    </row>
    <row r="518" spans="1:40" x14ac:dyDescent="0.25">
      <c r="A518" t="str">
        <f>"20190312151511339"</f>
        <v>20190312151511339</v>
      </c>
      <c r="B518" t="str">
        <f>"1552374911328612"</f>
        <v>1552374911328612</v>
      </c>
      <c r="C518" t="s">
        <v>40</v>
      </c>
      <c r="D518">
        <v>4.4364229999999996</v>
      </c>
      <c r="E518">
        <v>0.49924160000000001</v>
      </c>
      <c r="F518" t="s">
        <v>43</v>
      </c>
      <c r="G518">
        <v>-322.11</v>
      </c>
      <c r="H518" s="1">
        <v>-3.5710460000000002E-6</v>
      </c>
      <c r="I518">
        <v>368.46660000000003</v>
      </c>
      <c r="J518">
        <v>-345.77719999999999</v>
      </c>
      <c r="K518">
        <v>1.1081920000000001</v>
      </c>
      <c r="L518">
        <v>368.81459999999998</v>
      </c>
      <c r="M518">
        <v>0.99988010000000005</v>
      </c>
      <c r="N518">
        <v>0</v>
      </c>
      <c r="O518">
        <v>1.153056E-2</v>
      </c>
      <c r="P518">
        <v>0.9987106</v>
      </c>
      <c r="Q518">
        <v>-4.7270630000000001E-2</v>
      </c>
      <c r="R518">
        <v>-1.8514160000000002E-2</v>
      </c>
      <c r="S518">
        <v>2.9964599999999999</v>
      </c>
      <c r="T518">
        <v>-0.13907169999999999</v>
      </c>
      <c r="U518">
        <v>-4.3365479999999998E-2</v>
      </c>
      <c r="V518">
        <v>2.9982709999999999E-2</v>
      </c>
      <c r="W518">
        <v>-3.6972789999999998E-2</v>
      </c>
      <c r="X518">
        <v>0.99886640000000004</v>
      </c>
      <c r="Y518">
        <v>2.5959380000000001E-2</v>
      </c>
      <c r="Z518">
        <v>-1.1369289999999901E-3</v>
      </c>
      <c r="AA518">
        <v>0.9996623</v>
      </c>
      <c r="AB518">
        <v>44</v>
      </c>
      <c r="AC518">
        <v>23.667199999999902</v>
      </c>
      <c r="AD518">
        <v>-1.1081955710460001</v>
      </c>
      <c r="AE518">
        <v>-0.34799999999995601</v>
      </c>
      <c r="AF518">
        <v>0.61952948749486603</v>
      </c>
      <c r="AG518">
        <v>-1.1081955710460001</v>
      </c>
      <c r="AH518">
        <v>23.6098602435933</v>
      </c>
      <c r="AI518">
        <v>92.686443700074307</v>
      </c>
      <c r="AJ518">
        <v>88.496887280852107</v>
      </c>
      <c r="AK518">
        <v>23.6439720633308</v>
      </c>
      <c r="AL518">
        <v>92.118867717857199</v>
      </c>
      <c r="AM518">
        <v>88.280683903194699</v>
      </c>
      <c r="AN518">
        <v>1.0000000175741399</v>
      </c>
    </row>
    <row r="519" spans="1:40" x14ac:dyDescent="0.25">
      <c r="A519" t="str">
        <f>"20190312151511351"</f>
        <v>20190312151511351</v>
      </c>
      <c r="B519" t="str">
        <f>"1552374911348131"</f>
        <v>1552374911348131</v>
      </c>
      <c r="C519" t="s">
        <v>40</v>
      </c>
      <c r="D519">
        <v>4.6199700000000004</v>
      </c>
      <c r="E519">
        <v>0.50042819999999999</v>
      </c>
      <c r="F519" t="s">
        <v>43</v>
      </c>
      <c r="G519">
        <v>-322.73439999999999</v>
      </c>
      <c r="H519" s="1">
        <v>-3.3092349999999999E-6</v>
      </c>
      <c r="I519">
        <v>368.43259999999998</v>
      </c>
      <c r="J519">
        <v>-345.5419</v>
      </c>
      <c r="K519">
        <v>1.1081810000000001</v>
      </c>
      <c r="L519">
        <v>368.81720000000001</v>
      </c>
      <c r="M519">
        <v>0.99988270000000001</v>
      </c>
      <c r="N519">
        <v>0</v>
      </c>
      <c r="O519">
        <v>1.1293630000000001E-2</v>
      </c>
      <c r="P519">
        <v>0.99865910000000002</v>
      </c>
      <c r="Q519">
        <v>-4.820907E-2</v>
      </c>
      <c r="R519">
        <v>-1.8864909999999999E-2</v>
      </c>
      <c r="S519">
        <v>2.996124</v>
      </c>
      <c r="T519">
        <v>-0.14409179999999999</v>
      </c>
      <c r="U519">
        <v>-4.9652099999999998E-2</v>
      </c>
      <c r="V519">
        <v>3.0094920000000001E-2</v>
      </c>
      <c r="W519">
        <v>-3.7908150000000002E-2</v>
      </c>
      <c r="X519">
        <v>0.99882789999999999</v>
      </c>
      <c r="Y519">
        <v>2.7816270000000001E-2</v>
      </c>
      <c r="Z519">
        <v>-1.211272E-3</v>
      </c>
      <c r="AA519">
        <v>0.99961230000000001</v>
      </c>
      <c r="AB519">
        <v>44</v>
      </c>
      <c r="AC519">
        <v>22.807500000000001</v>
      </c>
      <c r="AD519">
        <v>-1.1081843092350001</v>
      </c>
      <c r="AE519">
        <v>-0.38460000000003403</v>
      </c>
      <c r="AF519">
        <v>0.64065665737528799</v>
      </c>
      <c r="AG519">
        <v>-1.1081843092350001</v>
      </c>
      <c r="AH519">
        <v>22.748012125554901</v>
      </c>
      <c r="AI519">
        <v>92.787892856539401</v>
      </c>
      <c r="AJ519">
        <v>88.386794322491198</v>
      </c>
      <c r="AK519">
        <v>22.7839980925269</v>
      </c>
      <c r="AL519">
        <v>92.172497641702407</v>
      </c>
      <c r="AM519">
        <v>88.274186784165906</v>
      </c>
      <c r="AN519">
        <v>0.99999995293231803</v>
      </c>
    </row>
    <row r="520" spans="1:40" x14ac:dyDescent="0.25">
      <c r="A520" t="str">
        <f>"20190312151511362"</f>
        <v>20190312151511362</v>
      </c>
      <c r="B520" t="str">
        <f>"1552374911358867"</f>
        <v>1552374911358867</v>
      </c>
      <c r="C520" t="s">
        <v>40</v>
      </c>
      <c r="D520">
        <v>4.4668519999999896</v>
      </c>
      <c r="E520">
        <v>0.50100480000000003</v>
      </c>
      <c r="F520" t="s">
        <v>43</v>
      </c>
      <c r="G520">
        <v>-322.91410000000002</v>
      </c>
      <c r="H520" s="1">
        <v>-3.2443259999999999E-6</v>
      </c>
      <c r="I520">
        <v>368.36399999999998</v>
      </c>
      <c r="J520">
        <v>-345.31939999999997</v>
      </c>
      <c r="K520">
        <v>1.1081730000000001</v>
      </c>
      <c r="L520">
        <v>368.81950000000001</v>
      </c>
      <c r="M520">
        <v>0.99988509999999997</v>
      </c>
      <c r="N520">
        <v>0</v>
      </c>
      <c r="O520">
        <v>1.106946E-2</v>
      </c>
      <c r="P520">
        <v>0.99859200000000004</v>
      </c>
      <c r="Q520">
        <v>-4.9461610000000003E-2</v>
      </c>
      <c r="R520">
        <v>-1.9178649999999998E-2</v>
      </c>
      <c r="S520">
        <v>2.9958499999999999</v>
      </c>
      <c r="T520">
        <v>-0.14671960000000001</v>
      </c>
      <c r="U520">
        <v>-5.9997559999999998E-2</v>
      </c>
      <c r="V520">
        <v>3.0182150000000001E-2</v>
      </c>
      <c r="W520">
        <v>-3.9157919999999999E-2</v>
      </c>
      <c r="X520">
        <v>0.99877709999999997</v>
      </c>
      <c r="Y520">
        <v>3.1039029999999999E-2</v>
      </c>
      <c r="Z520">
        <v>-1.3013020000000001E-3</v>
      </c>
      <c r="AA520">
        <v>0.99951730000000005</v>
      </c>
      <c r="AB520">
        <v>44</v>
      </c>
      <c r="AC520">
        <v>22.405299999999901</v>
      </c>
      <c r="AD520">
        <v>-1.1081762443259999</v>
      </c>
      <c r="AE520">
        <v>-0.45549999999997198</v>
      </c>
      <c r="AF520">
        <v>0.70178387271021403</v>
      </c>
      <c r="AG520">
        <v>-1.1081762443259999</v>
      </c>
      <c r="AH520">
        <v>22.3442457526568</v>
      </c>
      <c r="AI520">
        <v>92.837894964571007</v>
      </c>
      <c r="AJ520">
        <v>88.201056288955499</v>
      </c>
      <c r="AK520">
        <v>22.3827137194668</v>
      </c>
      <c r="AL520">
        <v>92.244157309832303</v>
      </c>
      <c r="AM520">
        <v>88.269099580634801</v>
      </c>
      <c r="AN520">
        <v>1.00000000018087</v>
      </c>
    </row>
    <row r="521" spans="1:40" x14ac:dyDescent="0.25">
      <c r="A521" t="str">
        <f>"20190312151511373"</f>
        <v>20190312151511373</v>
      </c>
      <c r="B521" t="str">
        <f>"1552374911368628"</f>
        <v>1552374911368628</v>
      </c>
      <c r="C521" t="s">
        <v>40</v>
      </c>
      <c r="D521">
        <v>4.4459669999999996</v>
      </c>
      <c r="E521">
        <v>0.50160720000000003</v>
      </c>
      <c r="F521" t="s">
        <v>43</v>
      </c>
      <c r="G521">
        <v>-323.31349999999998</v>
      </c>
      <c r="H521" s="1">
        <v>-3.0776200000000001E-6</v>
      </c>
      <c r="I521">
        <v>368.33769999999998</v>
      </c>
      <c r="J521">
        <v>-345.1035</v>
      </c>
      <c r="K521">
        <v>1.1081620000000001</v>
      </c>
      <c r="L521">
        <v>368.8218</v>
      </c>
      <c r="M521">
        <v>0.99988750000000004</v>
      </c>
      <c r="N521">
        <v>0</v>
      </c>
      <c r="O521">
        <v>1.08521E-2</v>
      </c>
      <c r="P521">
        <v>0.99853499999999995</v>
      </c>
      <c r="Q521">
        <v>-5.0487440000000001E-2</v>
      </c>
      <c r="R521">
        <v>-1.9463270000000001E-2</v>
      </c>
      <c r="S521">
        <v>2.9955440000000002</v>
      </c>
      <c r="T521">
        <v>-0.15084979999999901</v>
      </c>
      <c r="U521">
        <v>-6.5582280000000007E-2</v>
      </c>
      <c r="V521">
        <v>3.02475E-2</v>
      </c>
      <c r="W521">
        <v>-4.0180920000000002E-2</v>
      </c>
      <c r="X521">
        <v>0.99873449999999997</v>
      </c>
      <c r="Y521">
        <v>3.2681679999999998E-2</v>
      </c>
      <c r="Z521">
        <v>-1.3683899999999999E-3</v>
      </c>
      <c r="AA521">
        <v>0.99946489999999999</v>
      </c>
      <c r="AB521">
        <v>44</v>
      </c>
      <c r="AC521">
        <v>21.79</v>
      </c>
      <c r="AD521">
        <v>-1.10816507762</v>
      </c>
      <c r="AE521">
        <v>-0.48410000000001202</v>
      </c>
      <c r="AF521">
        <v>0.71869352065918202</v>
      </c>
      <c r="AG521">
        <v>-1.10816507762</v>
      </c>
      <c r="AH521">
        <v>21.727295364013798</v>
      </c>
      <c r="AI521">
        <v>92.918154046532507</v>
      </c>
      <c r="AJ521">
        <v>88.105466127123506</v>
      </c>
      <c r="AK521">
        <v>21.767404853380899</v>
      </c>
      <c r="AL521">
        <v>92.302817046788206</v>
      </c>
      <c r="AM521">
        <v>88.265280200339603</v>
      </c>
      <c r="AN521">
        <v>1.00000000953927</v>
      </c>
    </row>
    <row r="522" spans="1:40" x14ac:dyDescent="0.25">
      <c r="A522" t="str">
        <f>"20190312151511387"</f>
        <v>20190312151511387</v>
      </c>
      <c r="B522" t="str">
        <f>"1552374911378387"</f>
        <v>1552374911378387</v>
      </c>
      <c r="C522" t="s">
        <v>40</v>
      </c>
      <c r="D522">
        <v>4.4332909999999996</v>
      </c>
      <c r="E522">
        <v>0.50215880000000002</v>
      </c>
      <c r="F522" t="s">
        <v>41</v>
      </c>
      <c r="G522">
        <v>-343.99020000000002</v>
      </c>
      <c r="H522">
        <v>1.050848</v>
      </c>
      <c r="I522">
        <v>368.79520000000002</v>
      </c>
      <c r="J522">
        <v>-344.84199999999998</v>
      </c>
      <c r="K522">
        <v>1.108155</v>
      </c>
      <c r="L522">
        <v>368.8245</v>
      </c>
      <c r="M522">
        <v>0.99989030000000001</v>
      </c>
      <c r="N522">
        <v>0</v>
      </c>
      <c r="O522">
        <v>1.0588119999999999E-2</v>
      </c>
      <c r="P522">
        <v>0.99846029999999997</v>
      </c>
      <c r="Q522">
        <v>-5.1892109999999998E-2</v>
      </c>
      <c r="R522">
        <v>-1.961719E-2</v>
      </c>
      <c r="S522">
        <v>2.995209</v>
      </c>
      <c r="T522">
        <v>-0.15428140000000001</v>
      </c>
      <c r="U522">
        <v>-7.1228029999999998E-2</v>
      </c>
      <c r="V522">
        <v>3.0134939999999999E-2</v>
      </c>
      <c r="W522">
        <v>-4.1581920000000001E-2</v>
      </c>
      <c r="X522">
        <v>0.99868049999999997</v>
      </c>
      <c r="Y522">
        <v>3.4298809999999999E-2</v>
      </c>
      <c r="Z522">
        <v>-1.4276340000000001E-3</v>
      </c>
      <c r="AA522">
        <v>0.99941060000000004</v>
      </c>
      <c r="AB522">
        <v>44</v>
      </c>
      <c r="AC522">
        <v>0.85179999999996803</v>
      </c>
      <c r="AD522">
        <v>-5.7306999999999997E-2</v>
      </c>
      <c r="AE522">
        <v>-2.9299999999977899E-2</v>
      </c>
      <c r="AF522">
        <v>3.8145349866412603E-2</v>
      </c>
      <c r="AG522">
        <v>-5.7306999999999997E-2</v>
      </c>
      <c r="AH522">
        <v>0.84761002361258397</v>
      </c>
      <c r="AI522">
        <v>93.863988082381894</v>
      </c>
      <c r="AJ522">
        <v>87.423232615708699</v>
      </c>
      <c r="AK522">
        <v>0.85040103015809898</v>
      </c>
      <c r="AL522">
        <v>92.383155730286305</v>
      </c>
      <c r="AM522">
        <v>88.271638296470599</v>
      </c>
      <c r="AN522">
        <v>0.99999995587996804</v>
      </c>
    </row>
    <row r="523" spans="1:40" x14ac:dyDescent="0.25">
      <c r="A523" t="str">
        <f>"20190312151511399"</f>
        <v>20190312151511399</v>
      </c>
      <c r="B523" t="str">
        <f>"1552374911388148"</f>
        <v>1552374911388148</v>
      </c>
      <c r="C523" t="s">
        <v>40</v>
      </c>
      <c r="D523">
        <v>4.4665189999999999</v>
      </c>
      <c r="E523">
        <v>0.50267090000000003</v>
      </c>
      <c r="F523" t="s">
        <v>43</v>
      </c>
      <c r="G523">
        <v>-323.93049999999999</v>
      </c>
      <c r="H523" s="1">
        <v>-2.8208639999999998E-6</v>
      </c>
      <c r="I523">
        <v>368.29289999999997</v>
      </c>
      <c r="J523">
        <v>-344.60809999999998</v>
      </c>
      <c r="K523">
        <v>1.1081479999999999</v>
      </c>
      <c r="L523">
        <v>368.82679999999999</v>
      </c>
      <c r="M523">
        <v>0.99989280000000003</v>
      </c>
      <c r="N523">
        <v>0</v>
      </c>
      <c r="O523">
        <v>1.035198E-2</v>
      </c>
      <c r="P523">
        <v>0.99841590000000002</v>
      </c>
      <c r="Q523">
        <v>-5.2747250000000002E-2</v>
      </c>
      <c r="R523">
        <v>-1.9581669999999999E-2</v>
      </c>
      <c r="S523">
        <v>2.9948429999999999</v>
      </c>
      <c r="T523">
        <v>-0.15870429999999999</v>
      </c>
      <c r="U523">
        <v>-7.6110839999999999E-2</v>
      </c>
      <c r="V523">
        <v>2.986223E-2</v>
      </c>
      <c r="W523">
        <v>-4.243334E-2</v>
      </c>
      <c r="X523">
        <v>0.99865289999999995</v>
      </c>
      <c r="Y523">
        <v>3.5689039999999998E-2</v>
      </c>
      <c r="Z523">
        <v>-1.4929559999999999E-3</v>
      </c>
      <c r="AA523">
        <v>0.99936179999999997</v>
      </c>
      <c r="AB523">
        <v>44</v>
      </c>
      <c r="AC523">
        <v>20.677599999999899</v>
      </c>
      <c r="AD523">
        <v>-1.1081508208640001</v>
      </c>
      <c r="AE523">
        <v>-0.53390000000001603</v>
      </c>
      <c r="AF523">
        <v>0.74579640286794202</v>
      </c>
      <c r="AG523">
        <v>-1.1081508208640001</v>
      </c>
      <c r="AH523">
        <v>20.611805248293599</v>
      </c>
      <c r="AI523">
        <v>93.075416944700294</v>
      </c>
      <c r="AJ523">
        <v>87.927772338699995</v>
      </c>
      <c r="AK523">
        <v>20.6550411790898</v>
      </c>
      <c r="AL523">
        <v>92.431981552023998</v>
      </c>
      <c r="AM523">
        <v>88.287222661712903</v>
      </c>
      <c r="AN523">
        <v>0.99999997790126804</v>
      </c>
    </row>
    <row r="524" spans="1:40" x14ac:dyDescent="0.25">
      <c r="A524" t="str">
        <f>"20190312151511418"</f>
        <v>20190312151511418</v>
      </c>
      <c r="B524" t="str">
        <f>"1552374911408643"</f>
        <v>1552374911408643</v>
      </c>
      <c r="C524" t="s">
        <v>40</v>
      </c>
      <c r="D524">
        <v>4.4212309999999997</v>
      </c>
      <c r="E524">
        <v>0.50362309999999999</v>
      </c>
      <c r="F524" t="s">
        <v>43</v>
      </c>
      <c r="G524">
        <v>-324.04570000000001</v>
      </c>
      <c r="H524" s="1">
        <v>-2.774435E-6</v>
      </c>
      <c r="I524">
        <v>368.27620000000002</v>
      </c>
      <c r="J524">
        <v>-344.22660000000002</v>
      </c>
      <c r="K524">
        <v>1.108139</v>
      </c>
      <c r="L524">
        <v>368.83049999999997</v>
      </c>
      <c r="M524">
        <v>0.99989669999999997</v>
      </c>
      <c r="N524">
        <v>0</v>
      </c>
      <c r="O524">
        <v>9.9665090000000001E-3</v>
      </c>
      <c r="P524">
        <v>0.99834579999999995</v>
      </c>
      <c r="Q524">
        <v>-5.4193360000000003E-2</v>
      </c>
      <c r="R524">
        <v>-1.9219590000000002E-2</v>
      </c>
      <c r="S524">
        <v>2.994659</v>
      </c>
      <c r="T524">
        <v>-0.16138729999999901</v>
      </c>
      <c r="U524">
        <v>-8.0169679999999993E-2</v>
      </c>
      <c r="V524">
        <v>2.9112099999999998E-2</v>
      </c>
      <c r="W524">
        <v>-4.3872849999999998E-2</v>
      </c>
      <c r="X524">
        <v>0.99861290000000003</v>
      </c>
      <c r="Y524">
        <v>3.6655840000000002E-2</v>
      </c>
      <c r="Z524">
        <v>-1.523497E-3</v>
      </c>
      <c r="AA524">
        <v>0.99932679999999996</v>
      </c>
      <c r="AB524">
        <v>44</v>
      </c>
      <c r="AC524">
        <v>20.180900000000001</v>
      </c>
      <c r="AD524">
        <v>-1.1081417744349999</v>
      </c>
      <c r="AE524">
        <v>-0.55429999999995505</v>
      </c>
      <c r="AF524">
        <v>0.75314723209490197</v>
      </c>
      <c r="AG524">
        <v>-1.1081417744349999</v>
      </c>
      <c r="AH524">
        <v>20.113772420931198</v>
      </c>
      <c r="AI524">
        <v>93.151243528972998</v>
      </c>
      <c r="AJ524">
        <v>87.855598332872006</v>
      </c>
      <c r="AK524">
        <v>20.158349385464899</v>
      </c>
      <c r="AL524">
        <v>92.514536172859806</v>
      </c>
      <c r="AM524">
        <v>88.330155583337103</v>
      </c>
      <c r="AN524">
        <v>1.0000000326899701</v>
      </c>
    </row>
    <row r="525" spans="1:40" x14ac:dyDescent="0.25">
      <c r="A525" t="str">
        <f>"20190312151511430"</f>
        <v>20190312151511430</v>
      </c>
      <c r="B525" t="str">
        <f>"1552374911418404"</f>
        <v>1552374911418404</v>
      </c>
      <c r="C525" t="s">
        <v>40</v>
      </c>
      <c r="D525">
        <v>4.5916439999999996</v>
      </c>
      <c r="E525">
        <v>0.50410319999999997</v>
      </c>
      <c r="F525" t="s">
        <v>41</v>
      </c>
      <c r="G525">
        <v>-343.20240000000001</v>
      </c>
      <c r="H525">
        <v>1.0511809999999999</v>
      </c>
      <c r="I525">
        <v>368.80090000000001</v>
      </c>
      <c r="J525">
        <v>-343.98309999999998</v>
      </c>
      <c r="K525">
        <v>1.1081369999999999</v>
      </c>
      <c r="L525">
        <v>368.83280000000002</v>
      </c>
      <c r="M525">
        <v>0.99989890000000003</v>
      </c>
      <c r="N525">
        <v>0</v>
      </c>
      <c r="O525">
        <v>9.7205429999999999E-3</v>
      </c>
      <c r="P525">
        <v>0.9983339</v>
      </c>
      <c r="Q525">
        <v>-5.444222E-2</v>
      </c>
      <c r="R525">
        <v>-1.9121119999999998E-2</v>
      </c>
      <c r="S525">
        <v>2.9942929999999999</v>
      </c>
      <c r="T525">
        <v>-0.16654360000000001</v>
      </c>
      <c r="U525">
        <v>-8.64563E-2</v>
      </c>
      <c r="V525">
        <v>2.8767620000000001E-2</v>
      </c>
      <c r="W525">
        <v>-4.411735E-2</v>
      </c>
      <c r="X525">
        <v>0.9986121</v>
      </c>
      <c r="Y525">
        <v>3.8502849999999998E-2</v>
      </c>
      <c r="Z525">
        <v>-1.609894E-3</v>
      </c>
      <c r="AA525">
        <v>0.99925719999999996</v>
      </c>
      <c r="AB525">
        <v>44</v>
      </c>
      <c r="AC525">
        <v>0.78069999999996698</v>
      </c>
      <c r="AD525">
        <v>-5.6956000000000201E-2</v>
      </c>
      <c r="AE525">
        <v>-3.1900000000007298E-2</v>
      </c>
      <c r="AF525">
        <v>3.9279017650588298E-2</v>
      </c>
      <c r="AG525">
        <v>-5.6956000000000201E-2</v>
      </c>
      <c r="AH525">
        <v>0.776228467887766</v>
      </c>
      <c r="AI525">
        <v>94.191231213773193</v>
      </c>
      <c r="AJ525">
        <v>87.103167332121501</v>
      </c>
      <c r="AK525">
        <v>0.77930575612078201</v>
      </c>
      <c r="AL525">
        <v>92.528558596324004</v>
      </c>
      <c r="AM525">
        <v>88.349902342353204</v>
      </c>
      <c r="AN525">
        <v>1.00000002139894</v>
      </c>
    </row>
    <row r="526" spans="1:40" x14ac:dyDescent="0.25">
      <c r="A526" t="str">
        <f>"20190312151511441"</f>
        <v>20190312151511441</v>
      </c>
      <c r="B526" t="str">
        <f>"1552374911438191"</f>
        <v>1552374911438191</v>
      </c>
      <c r="C526" t="s">
        <v>40</v>
      </c>
      <c r="D526">
        <v>4.4212339999999903</v>
      </c>
      <c r="E526">
        <v>0.50490329999999894</v>
      </c>
      <c r="F526" t="s">
        <v>43</v>
      </c>
      <c r="G526">
        <v>-323.92380000000003</v>
      </c>
      <c r="H526" s="1">
        <v>-2.8351089999999998E-6</v>
      </c>
      <c r="I526">
        <v>368.22899999999998</v>
      </c>
      <c r="J526">
        <v>-343.77749999999997</v>
      </c>
      <c r="K526">
        <v>1.1081350000000001</v>
      </c>
      <c r="L526">
        <v>368.83460000000002</v>
      </c>
      <c r="M526">
        <v>0.99990089999999998</v>
      </c>
      <c r="N526">
        <v>0</v>
      </c>
      <c r="O526">
        <v>9.5129680000000001E-3</v>
      </c>
      <c r="P526">
        <v>0.99833099999999997</v>
      </c>
      <c r="Q526">
        <v>-5.4520350000000002E-2</v>
      </c>
      <c r="R526">
        <v>-1.9060560000000001E-2</v>
      </c>
      <c r="S526">
        <v>2.9942630000000001</v>
      </c>
      <c r="T526">
        <v>-0.16541210000000001</v>
      </c>
      <c r="U526">
        <v>-9.0118409999999996E-2</v>
      </c>
      <c r="V526">
        <v>2.849962E-2</v>
      </c>
      <c r="W526">
        <v>-4.4191759999999997E-2</v>
      </c>
      <c r="X526">
        <v>0.99861650000000002</v>
      </c>
      <c r="Y526">
        <v>3.9516530000000001E-2</v>
      </c>
      <c r="Z526">
        <v>-1.6154749999999999E-3</v>
      </c>
      <c r="AA526">
        <v>0.99921760000000004</v>
      </c>
      <c r="AB526">
        <v>44</v>
      </c>
      <c r="AC526">
        <v>19.8536999999999</v>
      </c>
      <c r="AD526">
        <v>-1.1081378351090001</v>
      </c>
      <c r="AE526">
        <v>-0.60559999999998104</v>
      </c>
      <c r="AF526">
        <v>0.79198537194292395</v>
      </c>
      <c r="AG526">
        <v>-1.1081378351090001</v>
      </c>
      <c r="AH526">
        <v>19.785459151531299</v>
      </c>
      <c r="AI526">
        <v>93.203095303828604</v>
      </c>
      <c r="AJ526">
        <v>87.707750616552403</v>
      </c>
      <c r="AK526">
        <v>19.832286911193201</v>
      </c>
      <c r="AL526">
        <v>92.532826122991196</v>
      </c>
      <c r="AM526">
        <v>88.3652735195312</v>
      </c>
      <c r="AN526">
        <v>1.0000000270321401</v>
      </c>
    </row>
    <row r="527" spans="1:40" x14ac:dyDescent="0.25">
      <c r="A527" t="str">
        <f>"20190312151511451"</f>
        <v>20190312151511451</v>
      </c>
      <c r="B527" t="str">
        <f>"1552374911447929"</f>
        <v>1552374911447929</v>
      </c>
      <c r="C527" t="s">
        <v>40</v>
      </c>
      <c r="D527">
        <v>4.4454140000000004</v>
      </c>
      <c r="E527">
        <v>0.50527409999999995</v>
      </c>
      <c r="F527" t="s">
        <v>43</v>
      </c>
      <c r="G527">
        <v>-323.35449999999997</v>
      </c>
      <c r="H527" s="1">
        <v>-3.0883819999999999E-6</v>
      </c>
      <c r="I527">
        <v>368.178</v>
      </c>
      <c r="J527">
        <v>-343.56900000000002</v>
      </c>
      <c r="K527">
        <v>1.108134</v>
      </c>
      <c r="L527">
        <v>368.8365</v>
      </c>
      <c r="M527">
        <v>0.99990299999999999</v>
      </c>
      <c r="N527">
        <v>0</v>
      </c>
      <c r="O527">
        <v>9.3023529999999993E-3</v>
      </c>
      <c r="P527">
        <v>0.99829749999999995</v>
      </c>
      <c r="Q527">
        <v>-5.5127870000000002E-2</v>
      </c>
      <c r="R527">
        <v>-1.906211E-2</v>
      </c>
      <c r="S527">
        <v>2.9943240000000002</v>
      </c>
      <c r="T527">
        <v>-0.16246869999999999</v>
      </c>
      <c r="U527">
        <v>-9.6252439999999995E-2</v>
      </c>
      <c r="V527">
        <v>2.828994E-2</v>
      </c>
      <c r="W527">
        <v>-4.4795889999999998E-2</v>
      </c>
      <c r="X527">
        <v>0.99859549999999997</v>
      </c>
      <c r="Y527">
        <v>4.1350600000000001E-2</v>
      </c>
      <c r="Z527">
        <v>-1.62498E-3</v>
      </c>
      <c r="AA527">
        <v>0.99914340000000001</v>
      </c>
      <c r="AB527">
        <v>44</v>
      </c>
      <c r="AC527">
        <v>20.214500000000001</v>
      </c>
      <c r="AD527">
        <v>-1.1081370883820001</v>
      </c>
      <c r="AE527">
        <v>-0.65849999999994602</v>
      </c>
      <c r="AF527">
        <v>0.84399042484231002</v>
      </c>
      <c r="AG527">
        <v>-1.1081370883820001</v>
      </c>
      <c r="AH527">
        <v>20.147019426364</v>
      </c>
      <c r="AI527">
        <v>93.145487498956598</v>
      </c>
      <c r="AJ527">
        <v>87.601191984591097</v>
      </c>
      <c r="AK527">
        <v>20.195115236367499</v>
      </c>
      <c r="AL527">
        <v>92.567474649892603</v>
      </c>
      <c r="AM527">
        <v>88.377260117393305</v>
      </c>
      <c r="AN527">
        <v>0.99999998254317202</v>
      </c>
    </row>
    <row r="528" spans="1:40" x14ac:dyDescent="0.25">
      <c r="A528" t="str">
        <f>"20190312151511463"</f>
        <v>20190312151511463</v>
      </c>
      <c r="B528" t="str">
        <f>"1552374911458664"</f>
        <v>1552374911458664</v>
      </c>
      <c r="C528" t="s">
        <v>40</v>
      </c>
      <c r="D528">
        <v>4.4366649999999996</v>
      </c>
      <c r="E528">
        <v>0.50565479999999996</v>
      </c>
      <c r="F528" t="s">
        <v>43</v>
      </c>
      <c r="G528">
        <v>-323.35169999999999</v>
      </c>
      <c r="H528" s="1">
        <v>-3.091946E-6</v>
      </c>
      <c r="I528">
        <v>368.16449999999998</v>
      </c>
      <c r="J528">
        <v>-343.33240000000001</v>
      </c>
      <c r="K528">
        <v>1.1081299999999901</v>
      </c>
      <c r="L528">
        <v>368.83859999999999</v>
      </c>
      <c r="M528">
        <v>0.99990500000000004</v>
      </c>
      <c r="N528">
        <v>0</v>
      </c>
      <c r="O528">
        <v>9.0631870000000003E-3</v>
      </c>
      <c r="P528">
        <v>0.99825739999999996</v>
      </c>
      <c r="Q528">
        <v>-5.5866579999999999E-2</v>
      </c>
      <c r="R528">
        <v>-1.9013349999999998E-2</v>
      </c>
      <c r="S528">
        <v>2.9941409999999999</v>
      </c>
      <c r="T528">
        <v>-0.16411229999999999</v>
      </c>
      <c r="U528">
        <v>-9.9517820000000007E-2</v>
      </c>
      <c r="V528">
        <v>2.8000879999999999E-2</v>
      </c>
      <c r="W528">
        <v>-4.5530630000000002E-2</v>
      </c>
      <c r="X528">
        <v>0.99857039999999997</v>
      </c>
      <c r="Y528">
        <v>4.2199630000000002E-2</v>
      </c>
      <c r="Z528">
        <v>-1.6516149999999999E-3</v>
      </c>
      <c r="AA528">
        <v>0.99910779999999999</v>
      </c>
      <c r="AB528">
        <v>44</v>
      </c>
      <c r="AC528">
        <v>19.980699999999999</v>
      </c>
      <c r="AD528">
        <v>-1.10813309194599</v>
      </c>
      <c r="AE528">
        <v>-0.67410000000000903</v>
      </c>
      <c r="AF528">
        <v>0.85255157409019</v>
      </c>
      <c r="AG528">
        <v>-1.10813309194599</v>
      </c>
      <c r="AH528">
        <v>19.912591321261999</v>
      </c>
      <c r="AI528">
        <v>93.182307802538404</v>
      </c>
      <c r="AJ528">
        <v>87.548395810406006</v>
      </c>
      <c r="AK528">
        <v>19.961615572481801</v>
      </c>
      <c r="AL528">
        <v>92.609615196083098</v>
      </c>
      <c r="AM528">
        <v>88.393791813118796</v>
      </c>
      <c r="AN528">
        <v>0.99999996565256499</v>
      </c>
    </row>
    <row r="529" spans="1:40" x14ac:dyDescent="0.25">
      <c r="A529" t="str">
        <f>"20190312151511475"</f>
        <v>20190312151511475</v>
      </c>
      <c r="B529" t="str">
        <f>"1552374911468425"</f>
        <v>1552374911468425</v>
      </c>
      <c r="C529" t="s">
        <v>40</v>
      </c>
      <c r="D529">
        <v>4.43771</v>
      </c>
      <c r="E529">
        <v>0.50601430000000003</v>
      </c>
      <c r="F529" t="s">
        <v>43</v>
      </c>
      <c r="G529">
        <v>-323.32659999999998</v>
      </c>
      <c r="H529" s="1">
        <v>-3.1040919999999998E-6</v>
      </c>
      <c r="I529">
        <v>368.15679999999998</v>
      </c>
      <c r="J529">
        <v>-343.1105</v>
      </c>
      <c r="K529">
        <v>1.1081240000000001</v>
      </c>
      <c r="L529">
        <v>368.84039999999999</v>
      </c>
      <c r="M529">
        <v>0.99990699999999999</v>
      </c>
      <c r="N529">
        <v>0</v>
      </c>
      <c r="O529">
        <v>8.8389249999999992E-3</v>
      </c>
      <c r="P529">
        <v>0.99821870000000001</v>
      </c>
      <c r="Q529">
        <v>-5.6614930000000001E-2</v>
      </c>
      <c r="R529">
        <v>-1.8826499999999999E-2</v>
      </c>
      <c r="S529">
        <v>2.9940190000000002</v>
      </c>
      <c r="T529">
        <v>-0.16584009999999999</v>
      </c>
      <c r="U529">
        <v>-0.10202029999999999</v>
      </c>
      <c r="V529">
        <v>2.7588830000000002E-2</v>
      </c>
      <c r="W529">
        <v>-4.6275089999999998E-2</v>
      </c>
      <c r="X529">
        <v>0.99854770000000004</v>
      </c>
      <c r="Y529">
        <v>4.2808800000000001E-2</v>
      </c>
      <c r="Z529">
        <v>-1.6734650000000001E-3</v>
      </c>
      <c r="AA529">
        <v>0.99908189999999997</v>
      </c>
      <c r="AB529">
        <v>44</v>
      </c>
      <c r="AC529">
        <v>19.783899999999999</v>
      </c>
      <c r="AD529">
        <v>-1.108127104092</v>
      </c>
      <c r="AE529">
        <v>-0.68360000000001198</v>
      </c>
      <c r="AF529">
        <v>0.85576953335627204</v>
      </c>
      <c r="AG529">
        <v>-1.108127104092</v>
      </c>
      <c r="AH529">
        <v>19.7153054954167</v>
      </c>
      <c r="AI529">
        <v>93.213986891116704</v>
      </c>
      <c r="AJ529">
        <v>87.514559266425806</v>
      </c>
      <c r="AK529">
        <v>19.7649578282033</v>
      </c>
      <c r="AL529">
        <v>92.652314483847704</v>
      </c>
      <c r="AM529">
        <v>88.417380076197006</v>
      </c>
      <c r="AN529">
        <v>1.00000001833528</v>
      </c>
    </row>
    <row r="530" spans="1:40" x14ac:dyDescent="0.25">
      <c r="A530" t="str">
        <f>"20190312151511485"</f>
        <v>20190312151511485</v>
      </c>
      <c r="B530" t="str">
        <f>"1552374911478185"</f>
        <v>1552374911478185</v>
      </c>
      <c r="C530" t="s">
        <v>40</v>
      </c>
      <c r="D530">
        <v>4.4707670000000004</v>
      </c>
      <c r="E530">
        <v>0.5063607</v>
      </c>
      <c r="F530" t="s">
        <v>41</v>
      </c>
      <c r="G530">
        <v>-342.02260000000001</v>
      </c>
      <c r="H530">
        <v>1.047231</v>
      </c>
      <c r="I530">
        <v>368.80220000000003</v>
      </c>
      <c r="J530">
        <v>-342.89</v>
      </c>
      <c r="K530">
        <v>1.1081190000000001</v>
      </c>
      <c r="L530">
        <v>368.84219999999999</v>
      </c>
      <c r="M530">
        <v>0.99990900000000005</v>
      </c>
      <c r="N530">
        <v>0</v>
      </c>
      <c r="O530">
        <v>8.6163309999999996E-3</v>
      </c>
      <c r="P530">
        <v>0.99816910000000003</v>
      </c>
      <c r="Q530">
        <v>-5.7529740000000003E-2</v>
      </c>
      <c r="R530">
        <v>-1.8690390000000001E-2</v>
      </c>
      <c r="S530">
        <v>2.9938660000000001</v>
      </c>
      <c r="T530">
        <v>-0.16786300000000001</v>
      </c>
      <c r="U530">
        <v>-0.1043091</v>
      </c>
      <c r="V530">
        <v>2.7228829999999999E-2</v>
      </c>
      <c r="W530">
        <v>-4.7186249999999999E-2</v>
      </c>
      <c r="X530">
        <v>0.99851500000000004</v>
      </c>
      <c r="Y530">
        <v>4.3348560000000001E-2</v>
      </c>
      <c r="Z530">
        <v>-1.696557E-3</v>
      </c>
      <c r="AA530">
        <v>0.99905849999999996</v>
      </c>
      <c r="AB530">
        <v>44</v>
      </c>
      <c r="AC530">
        <v>0.86739999999997497</v>
      </c>
      <c r="AD530">
        <v>-6.0887999999999998E-2</v>
      </c>
      <c r="AE530">
        <v>-3.9999999999963599E-2</v>
      </c>
      <c r="AF530">
        <v>4.7240440976778701E-2</v>
      </c>
      <c r="AG530">
        <v>-6.0887999999999998E-2</v>
      </c>
      <c r="AH530">
        <v>0.86278081494181202</v>
      </c>
      <c r="AI530">
        <v>94.030756366856494</v>
      </c>
      <c r="AJ530">
        <v>86.865973542355704</v>
      </c>
      <c r="AK530">
        <v>0.86621575975003895</v>
      </c>
      <c r="AL530">
        <v>92.704577040563606</v>
      </c>
      <c r="AM530">
        <v>88.437969877160896</v>
      </c>
      <c r="AN530">
        <v>1.00000007829861</v>
      </c>
    </row>
    <row r="531" spans="1:40" x14ac:dyDescent="0.25">
      <c r="A531" t="str">
        <f>"20190312151511497"</f>
        <v>20190312151511497</v>
      </c>
      <c r="B531" t="str">
        <f>"1552374911487945"</f>
        <v>1552374911487945</v>
      </c>
      <c r="C531" t="s">
        <v>40</v>
      </c>
      <c r="D531">
        <v>4.438294</v>
      </c>
      <c r="E531">
        <v>0.50665969999999905</v>
      </c>
      <c r="F531" t="s">
        <v>43</v>
      </c>
      <c r="G531">
        <v>-323.20729999999998</v>
      </c>
      <c r="H531" s="1">
        <v>-3.1584729999999998E-6</v>
      </c>
      <c r="I531">
        <v>368.13889999999998</v>
      </c>
      <c r="J531">
        <v>-342.67469999999997</v>
      </c>
      <c r="K531">
        <v>1.108114</v>
      </c>
      <c r="L531">
        <v>368.84390000000002</v>
      </c>
      <c r="M531">
        <v>0.99991070000000004</v>
      </c>
      <c r="N531">
        <v>0</v>
      </c>
      <c r="O531">
        <v>8.3987430000000002E-3</v>
      </c>
      <c r="P531">
        <v>0.99811530000000004</v>
      </c>
      <c r="Q531">
        <v>-5.8487589999999999E-2</v>
      </c>
      <c r="R531">
        <v>-1.8583249999999999E-2</v>
      </c>
      <c r="S531">
        <v>2.9937740000000002</v>
      </c>
      <c r="T531">
        <v>-0.1685461</v>
      </c>
      <c r="U531">
        <v>-0.10696410000000001</v>
      </c>
      <c r="V531">
        <v>2.6902639999999998E-2</v>
      </c>
      <c r="W531">
        <v>-4.8140080000000002E-2</v>
      </c>
      <c r="X531">
        <v>0.99847819999999998</v>
      </c>
      <c r="Y531">
        <v>4.4015739999999998E-2</v>
      </c>
      <c r="Z531">
        <v>-1.7099979999999999E-3</v>
      </c>
      <c r="AA531">
        <v>0.99902939999999996</v>
      </c>
      <c r="AB531">
        <v>44</v>
      </c>
      <c r="AC531">
        <v>19.467400000000001</v>
      </c>
      <c r="AD531">
        <v>-1.1081171584729901</v>
      </c>
      <c r="AE531">
        <v>-0.70500000000004004</v>
      </c>
      <c r="AF531">
        <v>0.86568444423348101</v>
      </c>
      <c r="AG531">
        <v>-1.1081171584729901</v>
      </c>
      <c r="AH531">
        <v>19.398023089473401</v>
      </c>
      <c r="AI531">
        <v>93.266239226724693</v>
      </c>
      <c r="AJ531">
        <v>87.444730521560402</v>
      </c>
      <c r="AK531">
        <v>19.448923697049</v>
      </c>
      <c r="AL531">
        <v>92.759289960174897</v>
      </c>
      <c r="AM531">
        <v>88.456616386733401</v>
      </c>
      <c r="AN531">
        <v>0.99999996760830701</v>
      </c>
    </row>
    <row r="532" spans="1:40" x14ac:dyDescent="0.25">
      <c r="A532" t="str">
        <f>"20190312151511508"</f>
        <v>20190312151511508</v>
      </c>
      <c r="B532" t="str">
        <f>"1552374911498681"</f>
        <v>1552374911498681</v>
      </c>
      <c r="C532" t="s">
        <v>40</v>
      </c>
      <c r="D532">
        <v>4.4627480000000004</v>
      </c>
      <c r="E532">
        <v>0.50696739999999996</v>
      </c>
      <c r="F532" t="s">
        <v>41</v>
      </c>
      <c r="G532">
        <v>-341.62619999999998</v>
      </c>
      <c r="H532">
        <v>1.048635</v>
      </c>
      <c r="I532">
        <v>368.8057</v>
      </c>
      <c r="J532">
        <v>-342.4452</v>
      </c>
      <c r="K532">
        <v>1.108114</v>
      </c>
      <c r="L532">
        <v>368.8458</v>
      </c>
      <c r="M532">
        <v>0.99991249999999998</v>
      </c>
      <c r="N532">
        <v>0</v>
      </c>
      <c r="O532">
        <v>8.1667279999999998E-3</v>
      </c>
      <c r="P532">
        <v>0.99807800000000002</v>
      </c>
      <c r="Q532">
        <v>-5.9194030000000002E-2</v>
      </c>
      <c r="R532">
        <v>-1.8334940000000001E-2</v>
      </c>
      <c r="S532">
        <v>2.9936829999999999</v>
      </c>
      <c r="T532">
        <v>-0.17000419999999999</v>
      </c>
      <c r="U532">
        <v>-0.1088562</v>
      </c>
      <c r="V532">
        <v>2.6421549999999999E-2</v>
      </c>
      <c r="W532">
        <v>-4.8840849999999998E-2</v>
      </c>
      <c r="X532">
        <v>0.99845709999999999</v>
      </c>
      <c r="Y532">
        <v>4.4413910000000001E-2</v>
      </c>
      <c r="Z532">
        <v>-1.7229319999999999E-3</v>
      </c>
      <c r="AA532">
        <v>0.99901180000000001</v>
      </c>
      <c r="AB532">
        <v>44</v>
      </c>
      <c r="AC532">
        <v>0.81900000000001605</v>
      </c>
      <c r="AD532">
        <v>-5.9478999999999997E-2</v>
      </c>
      <c r="AE532">
        <v>-4.0099999999995299E-2</v>
      </c>
      <c r="AF532">
        <v>4.65426850190497E-2</v>
      </c>
      <c r="AG532">
        <v>-5.9478999999999997E-2</v>
      </c>
      <c r="AH532">
        <v>0.81436032523337598</v>
      </c>
      <c r="AI532">
        <v>94.170552404233803</v>
      </c>
      <c r="AJ532">
        <v>86.728964428667496</v>
      </c>
      <c r="AK532">
        <v>0.817854945747712</v>
      </c>
      <c r="AL532">
        <v>92.799488172040995</v>
      </c>
      <c r="AM532">
        <v>88.484171136098595</v>
      </c>
      <c r="AN532">
        <v>1.0000000537367599</v>
      </c>
    </row>
    <row r="533" spans="1:40" x14ac:dyDescent="0.25">
      <c r="A533" t="str">
        <f>"20190312151511519"</f>
        <v>20190312151511519</v>
      </c>
      <c r="B533" t="str">
        <f>"1552374911508441"</f>
        <v>1552374911508441</v>
      </c>
      <c r="C533" t="s">
        <v>40</v>
      </c>
      <c r="D533">
        <v>4.428553</v>
      </c>
      <c r="E533">
        <v>0.50729380000000002</v>
      </c>
      <c r="F533" t="s">
        <v>43</v>
      </c>
      <c r="G533">
        <v>-323.02820000000003</v>
      </c>
      <c r="H533" s="1">
        <v>-3.237157E-6</v>
      </c>
      <c r="I533">
        <v>368.1284</v>
      </c>
      <c r="J533">
        <v>-342.23700000000002</v>
      </c>
      <c r="K533">
        <v>1.1081099999999999</v>
      </c>
      <c r="L533">
        <v>368.84730000000002</v>
      </c>
      <c r="M533">
        <v>0.99991419999999998</v>
      </c>
      <c r="N533">
        <v>0</v>
      </c>
      <c r="O533">
        <v>7.9562850000000004E-3</v>
      </c>
      <c r="P533">
        <v>0.99804130000000002</v>
      </c>
      <c r="Q533">
        <v>-5.9744560000000002E-2</v>
      </c>
      <c r="R533">
        <v>-1.855716E-2</v>
      </c>
      <c r="S533">
        <v>2.9936219999999998</v>
      </c>
      <c r="T533">
        <v>-0.1708432</v>
      </c>
      <c r="U533">
        <v>-0.11059570000000001</v>
      </c>
      <c r="V533">
        <v>2.6432589999999999E-2</v>
      </c>
      <c r="W533">
        <v>-4.9386020000000003E-2</v>
      </c>
      <c r="X533">
        <v>0.99843000000000004</v>
      </c>
      <c r="Y533">
        <v>4.4783009999999998E-2</v>
      </c>
      <c r="Z533">
        <v>-1.729962E-3</v>
      </c>
      <c r="AA533">
        <v>0.99899519999999997</v>
      </c>
      <c r="AB533">
        <v>44</v>
      </c>
      <c r="AC533">
        <v>19.208799999999901</v>
      </c>
      <c r="AD533">
        <v>-1.1081132371569999</v>
      </c>
      <c r="AE533">
        <v>-0.71890000000001897</v>
      </c>
      <c r="AF533">
        <v>0.86882889094970495</v>
      </c>
      <c r="AG533">
        <v>-1.1081132371569999</v>
      </c>
      <c r="AH533">
        <v>19.138869063106501</v>
      </c>
      <c r="AI533">
        <v>93.3102430223434</v>
      </c>
      <c r="AJ533">
        <v>87.400782934517807</v>
      </c>
      <c r="AK533">
        <v>19.190598938095899</v>
      </c>
      <c r="AL533">
        <v>92.830761825923503</v>
      </c>
      <c r="AM533">
        <v>88.483496915213806</v>
      </c>
      <c r="AN533">
        <v>1.0000000628427701</v>
      </c>
    </row>
    <row r="534" spans="1:40" x14ac:dyDescent="0.25">
      <c r="A534" t="str">
        <f>"20190312151511530"</f>
        <v>20190312151511530</v>
      </c>
      <c r="B534" t="str">
        <f>"1552374911527961"</f>
        <v>1552374911527961</v>
      </c>
      <c r="C534" t="s">
        <v>40</v>
      </c>
      <c r="D534">
        <v>4.5641319999999999</v>
      </c>
      <c r="E534">
        <v>0.50786239999999905</v>
      </c>
      <c r="F534" t="s">
        <v>41</v>
      </c>
      <c r="G534">
        <v>-341.22930000000002</v>
      </c>
      <c r="H534">
        <v>1.0502609999999999</v>
      </c>
      <c r="I534">
        <v>368.80860000000001</v>
      </c>
      <c r="J534">
        <v>-342.00470000000001</v>
      </c>
      <c r="K534">
        <v>1.108107</v>
      </c>
      <c r="L534">
        <v>368.84899999999999</v>
      </c>
      <c r="M534">
        <v>0.99991600000000003</v>
      </c>
      <c r="N534">
        <v>0</v>
      </c>
      <c r="O534">
        <v>7.7216330000000003E-3</v>
      </c>
      <c r="P534">
        <v>0.99800630000000001</v>
      </c>
      <c r="Q534">
        <v>-6.0295370000000001E-2</v>
      </c>
      <c r="R534">
        <v>-1.865267E-2</v>
      </c>
      <c r="S534">
        <v>2.9934080000000001</v>
      </c>
      <c r="T534">
        <v>-0.17209140000000001</v>
      </c>
      <c r="U534">
        <v>-0.1138</v>
      </c>
      <c r="V534">
        <v>2.6292989999999999E-2</v>
      </c>
      <c r="W534">
        <v>-4.9929880000000003E-2</v>
      </c>
      <c r="X534">
        <v>0.99840660000000003</v>
      </c>
      <c r="Y534">
        <v>4.5616829999999997E-2</v>
      </c>
      <c r="Z534">
        <v>-1.7531329999999901E-3</v>
      </c>
      <c r="AA534">
        <v>0.99895750000000005</v>
      </c>
      <c r="AB534">
        <v>44</v>
      </c>
      <c r="AC534">
        <v>0.77539999999998999</v>
      </c>
      <c r="AD534">
        <v>-5.78459999999998E-2</v>
      </c>
      <c r="AE534">
        <v>-4.0399999999976899E-2</v>
      </c>
      <c r="AF534">
        <v>4.6130435630638199E-2</v>
      </c>
      <c r="AG534">
        <v>-5.78459999999998E-2</v>
      </c>
      <c r="AH534">
        <v>0.77078679978560305</v>
      </c>
      <c r="AI534">
        <v>94.284250280865095</v>
      </c>
      <c r="AJ534">
        <v>86.5750187528363</v>
      </c>
      <c r="AK534">
        <v>0.77432968917070699</v>
      </c>
      <c r="AL534">
        <v>92.861961302055093</v>
      </c>
      <c r="AM534">
        <v>88.491467063257204</v>
      </c>
      <c r="AN534">
        <v>1.0000000265817499</v>
      </c>
    </row>
    <row r="535" spans="1:40" x14ac:dyDescent="0.25">
      <c r="A535" t="str">
        <f>"20190312151511543"</f>
        <v>20190312151511543</v>
      </c>
      <c r="B535" t="str">
        <f>"1552374911538697"</f>
        <v>1552374911538697</v>
      </c>
      <c r="C535" t="s">
        <v>40</v>
      </c>
      <c r="D535">
        <v>4.4261010000000001</v>
      </c>
      <c r="E535">
        <v>0.50816139999999999</v>
      </c>
      <c r="F535" t="s">
        <v>43</v>
      </c>
      <c r="G535">
        <v>-322.66649999999998</v>
      </c>
      <c r="H535" s="1">
        <v>-3.400596E-6</v>
      </c>
      <c r="I535">
        <v>368.08159999999998</v>
      </c>
      <c r="J535">
        <v>-341.75630000000001</v>
      </c>
      <c r="K535">
        <v>1.1081049999999999</v>
      </c>
      <c r="L535">
        <v>368.85070000000002</v>
      </c>
      <c r="M535">
        <v>0.99991779999999997</v>
      </c>
      <c r="N535">
        <v>0</v>
      </c>
      <c r="O535">
        <v>7.4703479999999999E-3</v>
      </c>
      <c r="P535">
        <v>0.99796549999999995</v>
      </c>
      <c r="Q535">
        <v>-6.0951230000000002E-2</v>
      </c>
      <c r="R535">
        <v>-1.871919E-2</v>
      </c>
      <c r="S535">
        <v>2.9934080000000001</v>
      </c>
      <c r="T535">
        <v>-0.17152679999999901</v>
      </c>
      <c r="U535">
        <v>-0.1187744</v>
      </c>
      <c r="V535">
        <v>2.610728E-2</v>
      </c>
      <c r="W535">
        <v>-5.0577539999999997E-2</v>
      </c>
      <c r="X535">
        <v>0.99837889999999996</v>
      </c>
      <c r="Y535">
        <v>4.7021970000000003E-2</v>
      </c>
      <c r="Z535">
        <v>-1.773162E-3</v>
      </c>
      <c r="AA535">
        <v>0.99889229999999996</v>
      </c>
      <c r="AB535">
        <v>44</v>
      </c>
      <c r="AC535">
        <v>19.0898</v>
      </c>
      <c r="AD535">
        <v>-1.10810840059599</v>
      </c>
      <c r="AE535">
        <v>-0.76910000000003698</v>
      </c>
      <c r="AF535">
        <v>0.90863706481271</v>
      </c>
      <c r="AG535">
        <v>-1.10810840059599</v>
      </c>
      <c r="AH535">
        <v>19.019539578517001</v>
      </c>
      <c r="AI535">
        <v>93.330583192660896</v>
      </c>
      <c r="AJ535">
        <v>87.264838310764503</v>
      </c>
      <c r="AK535">
        <v>19.073447808977701</v>
      </c>
      <c r="AL535">
        <v>92.8991163563242</v>
      </c>
      <c r="AM535">
        <v>88.502075570070502</v>
      </c>
      <c r="AN535">
        <v>1.0000000527933199</v>
      </c>
    </row>
    <row r="536" spans="1:40" x14ac:dyDescent="0.25">
      <c r="A536" t="str">
        <f>"20190312151511554"</f>
        <v>20190312151511554</v>
      </c>
      <c r="B536" t="str">
        <f>"1552374911548457"</f>
        <v>1552374911548457</v>
      </c>
      <c r="C536" t="s">
        <v>40</v>
      </c>
      <c r="D536">
        <v>4.4054769999999897</v>
      </c>
      <c r="E536">
        <v>0.50843729999999998</v>
      </c>
      <c r="F536" t="s">
        <v>43</v>
      </c>
      <c r="G536">
        <v>-322.49639999999999</v>
      </c>
      <c r="H536" s="1">
        <v>-3.475537E-6</v>
      </c>
      <c r="I536">
        <v>368.07069999999999</v>
      </c>
      <c r="J536">
        <v>-341.54910000000001</v>
      </c>
      <c r="K536">
        <v>1.108101</v>
      </c>
      <c r="L536">
        <v>368.85210000000001</v>
      </c>
      <c r="M536">
        <v>0.99991909999999895</v>
      </c>
      <c r="N536">
        <v>0</v>
      </c>
      <c r="O536">
        <v>7.2608550000000001E-3</v>
      </c>
      <c r="P536">
        <v>0.99793710000000002</v>
      </c>
      <c r="Q536">
        <v>-6.1367999999999902E-2</v>
      </c>
      <c r="R536">
        <v>-1.8853780000000001E-2</v>
      </c>
      <c r="S536">
        <v>2.9933169999999998</v>
      </c>
      <c r="T536">
        <v>-0.17221800000000001</v>
      </c>
      <c r="U536">
        <v>-0.1212158</v>
      </c>
      <c r="V536">
        <v>2.603215E-2</v>
      </c>
      <c r="W536">
        <v>-5.0987400000000002E-2</v>
      </c>
      <c r="X536">
        <v>0.99836000000000003</v>
      </c>
      <c r="Y536">
        <v>4.7625939999999999E-2</v>
      </c>
      <c r="Z536">
        <v>-1.785635E-3</v>
      </c>
      <c r="AA536">
        <v>0.99886359999999996</v>
      </c>
      <c r="AB536">
        <v>44</v>
      </c>
      <c r="AC536">
        <v>19.052700000000002</v>
      </c>
      <c r="AD536">
        <v>-1.108104475537</v>
      </c>
      <c r="AE536">
        <v>-0.78140000000001897</v>
      </c>
      <c r="AF536">
        <v>0.91663046560507699</v>
      </c>
      <c r="AG536">
        <v>-1.108104475537</v>
      </c>
      <c r="AH536">
        <v>18.982421986081501</v>
      </c>
      <c r="AI536">
        <v>93.336987115535393</v>
      </c>
      <c r="AJ536">
        <v>87.235426893613806</v>
      </c>
      <c r="AK536">
        <v>19.036818310758999</v>
      </c>
      <c r="AL536">
        <v>92.922629983361702</v>
      </c>
      <c r="AM536">
        <v>88.506355990823707</v>
      </c>
      <c r="AN536">
        <v>1.00000003869619</v>
      </c>
    </row>
    <row r="537" spans="1:40" x14ac:dyDescent="0.25">
      <c r="A537" t="str">
        <f>"20190312151511565"</f>
        <v>20190312151511565</v>
      </c>
      <c r="B537" t="str">
        <f>"1552374911558216"</f>
        <v>1552374911558216</v>
      </c>
      <c r="C537" t="s">
        <v>40</v>
      </c>
      <c r="D537">
        <v>4.3991030000000002</v>
      </c>
      <c r="E537">
        <v>0.50868649999999904</v>
      </c>
      <c r="F537" t="s">
        <v>41</v>
      </c>
      <c r="G537">
        <v>-340.44299999999998</v>
      </c>
      <c r="H537">
        <v>1.044594</v>
      </c>
      <c r="I537">
        <v>368.80599999999998</v>
      </c>
      <c r="J537">
        <v>-341.32229999999998</v>
      </c>
      <c r="K537">
        <v>1.1081000000000001</v>
      </c>
      <c r="L537">
        <v>368.8537</v>
      </c>
      <c r="M537">
        <v>0.99992080000000005</v>
      </c>
      <c r="N537">
        <v>0</v>
      </c>
      <c r="O537">
        <v>7.0320449999999998E-3</v>
      </c>
      <c r="P537">
        <v>0.99792329999999996</v>
      </c>
      <c r="Q537">
        <v>-6.1488300000000003E-2</v>
      </c>
      <c r="R537">
        <v>-1.9197220000000001E-2</v>
      </c>
      <c r="S537">
        <v>2.9932859999999999</v>
      </c>
      <c r="T537">
        <v>-0.17208470000000001</v>
      </c>
      <c r="U537">
        <v>-0.1239929</v>
      </c>
      <c r="V537">
        <v>2.6146849999999999E-2</v>
      </c>
      <c r="W537">
        <v>-5.1100119999999999E-2</v>
      </c>
      <c r="X537">
        <v>0.99835119999999999</v>
      </c>
      <c r="Y537">
        <v>4.8322320000000002E-2</v>
      </c>
      <c r="Z537">
        <v>-1.7910929999999999E-3</v>
      </c>
      <c r="AA537">
        <v>0.9988302</v>
      </c>
      <c r="AB537">
        <v>44</v>
      </c>
      <c r="AC537">
        <v>0.87929999999994302</v>
      </c>
      <c r="AD537">
        <v>-6.3506000000000007E-2</v>
      </c>
      <c r="AE537">
        <v>-4.7700000000020198E-2</v>
      </c>
      <c r="AF537">
        <v>5.3603646839506698E-2</v>
      </c>
      <c r="AG537">
        <v>-6.3506000000000007E-2</v>
      </c>
      <c r="AH537">
        <v>0.87439516090133995</v>
      </c>
      <c r="AI537">
        <v>94.146255606187097</v>
      </c>
      <c r="AJ537">
        <v>86.491947684492203</v>
      </c>
      <c r="AK537">
        <v>0.87833550560032303</v>
      </c>
      <c r="AL537">
        <v>92.929096908940195</v>
      </c>
      <c r="AM537">
        <v>88.499764643911902</v>
      </c>
      <c r="AN537">
        <v>0.99999999928518801</v>
      </c>
    </row>
    <row r="538" spans="1:40" x14ac:dyDescent="0.25">
      <c r="A538" t="str">
        <f>"20190312151511575"</f>
        <v>20190312151511575</v>
      </c>
      <c r="B538" t="str">
        <f>"1552374911567977"</f>
        <v>1552374911567977</v>
      </c>
      <c r="C538" t="s">
        <v>40</v>
      </c>
      <c r="D538">
        <v>4.4446879999999904</v>
      </c>
      <c r="E538">
        <v>0.50895859999999904</v>
      </c>
      <c r="F538" t="s">
        <v>43</v>
      </c>
      <c r="G538">
        <v>-321.92869999999999</v>
      </c>
      <c r="H538" s="1">
        <v>-3.7260439999999999E-6</v>
      </c>
      <c r="I538">
        <v>368.03129999999999</v>
      </c>
      <c r="J538">
        <v>-341.10829999999999</v>
      </c>
      <c r="K538">
        <v>1.1080970000000001</v>
      </c>
      <c r="L538">
        <v>368.85500000000002</v>
      </c>
      <c r="M538">
        <v>0.99992230000000004</v>
      </c>
      <c r="N538">
        <v>0</v>
      </c>
      <c r="O538">
        <v>6.8164130000000003E-3</v>
      </c>
      <c r="P538">
        <v>0.99791019999999997</v>
      </c>
      <c r="Q538">
        <v>-6.1673260000000001E-2</v>
      </c>
      <c r="R538">
        <v>-1.9284490000000001E-2</v>
      </c>
      <c r="S538">
        <v>2.9932560000000001</v>
      </c>
      <c r="T538">
        <v>-0.1710267</v>
      </c>
      <c r="U538">
        <v>-0.1269226</v>
      </c>
      <c r="V538">
        <v>2.6018820000000002E-2</v>
      </c>
      <c r="W538">
        <v>-5.1277599999999902E-2</v>
      </c>
      <c r="X538">
        <v>0.99834540000000005</v>
      </c>
      <c r="Y538">
        <v>4.9083460000000002E-2</v>
      </c>
      <c r="Z538">
        <v>-1.7894919999999999E-3</v>
      </c>
      <c r="AA538">
        <v>0.99879309999999999</v>
      </c>
      <c r="AB538">
        <v>44</v>
      </c>
      <c r="AC538">
        <v>19.179599999999901</v>
      </c>
      <c r="AD538">
        <v>-1.1081007260439999</v>
      </c>
      <c r="AE538">
        <v>-0.82370000000002996</v>
      </c>
      <c r="AF538">
        <v>0.95125466601117004</v>
      </c>
      <c r="AG538">
        <v>-1.1081007260439999</v>
      </c>
      <c r="AH538">
        <v>19.109869097010399</v>
      </c>
      <c r="AI538">
        <v>93.314529740732297</v>
      </c>
      <c r="AJ538">
        <v>87.150272084131601</v>
      </c>
      <c r="AK538">
        <v>19.1655907700112</v>
      </c>
      <c r="AL538">
        <v>92.939279244685494</v>
      </c>
      <c r="AM538">
        <v>88.507098656382297</v>
      </c>
      <c r="AN538">
        <v>0.99999995447855505</v>
      </c>
    </row>
    <row r="539" spans="1:40" x14ac:dyDescent="0.25">
      <c r="A539" t="str">
        <f>"20190312151511586"</f>
        <v>20190312151511586</v>
      </c>
      <c r="B539" t="str">
        <f>"1552374911578713"</f>
        <v>1552374911578713</v>
      </c>
      <c r="C539" t="s">
        <v>40</v>
      </c>
      <c r="D539">
        <v>4.3538050000000004</v>
      </c>
      <c r="E539">
        <v>0.50926269999999996</v>
      </c>
      <c r="F539" t="s">
        <v>41</v>
      </c>
      <c r="G539">
        <v>-340.04419999999999</v>
      </c>
      <c r="H539">
        <v>1.047329</v>
      </c>
      <c r="I539">
        <v>368.80900000000003</v>
      </c>
      <c r="J539">
        <v>-340.89060000000001</v>
      </c>
      <c r="K539">
        <v>1.1080970000000001</v>
      </c>
      <c r="L539">
        <v>368.85640000000001</v>
      </c>
      <c r="M539">
        <v>0.99992349999999997</v>
      </c>
      <c r="N539">
        <v>0</v>
      </c>
      <c r="O539">
        <v>6.5978060000000003E-3</v>
      </c>
      <c r="P539">
        <v>0.99790889999999999</v>
      </c>
      <c r="Q539">
        <v>-6.1582669999999999E-2</v>
      </c>
      <c r="R539">
        <v>-1.9625670000000001E-2</v>
      </c>
      <c r="S539">
        <v>2.9932560000000001</v>
      </c>
      <c r="T539">
        <v>-0.17094489999999901</v>
      </c>
      <c r="U539">
        <v>-0.12927249999999901</v>
      </c>
      <c r="V539">
        <v>2.6141830000000001E-2</v>
      </c>
      <c r="W539">
        <v>-5.1179679999999998E-2</v>
      </c>
      <c r="X539">
        <v>0.99834730000000005</v>
      </c>
      <c r="Y539">
        <v>4.9647280000000002E-2</v>
      </c>
      <c r="Z539">
        <v>-1.7922179999999999E-3</v>
      </c>
      <c r="AA539">
        <v>0.99876520000000002</v>
      </c>
      <c r="AB539">
        <v>44</v>
      </c>
      <c r="AC539">
        <v>0.84640000000001603</v>
      </c>
      <c r="AD539">
        <v>-6.0767999999999697E-2</v>
      </c>
      <c r="AE539">
        <v>-4.7399999999981901E-2</v>
      </c>
      <c r="AF539">
        <v>5.2712790740938403E-2</v>
      </c>
      <c r="AG539">
        <v>-6.0767999999999697E-2</v>
      </c>
      <c r="AH539">
        <v>0.84174350036174395</v>
      </c>
      <c r="AI539">
        <v>94.121146274604996</v>
      </c>
      <c r="AJ539">
        <v>86.416626225323995</v>
      </c>
      <c r="AK539">
        <v>0.84557880090086202</v>
      </c>
      <c r="AL539">
        <v>92.933661204863299</v>
      </c>
      <c r="AM539">
        <v>88.500046689502298</v>
      </c>
      <c r="AN539">
        <v>1.00000004316896</v>
      </c>
    </row>
    <row r="540" spans="1:40" x14ac:dyDescent="0.25">
      <c r="A540" t="str">
        <f>"20190312151511600"</f>
        <v>20190312151511600</v>
      </c>
      <c r="B540" t="str">
        <f>"1552374911588473"</f>
        <v>1552374911588473</v>
      </c>
      <c r="C540" t="s">
        <v>40</v>
      </c>
      <c r="D540">
        <v>4.392404</v>
      </c>
      <c r="E540">
        <v>0.50955740000000005</v>
      </c>
      <c r="F540" t="s">
        <v>43</v>
      </c>
      <c r="G540">
        <v>-321.33249999999998</v>
      </c>
      <c r="H540" s="1">
        <v>-3.9895230000000001E-6</v>
      </c>
      <c r="I540">
        <v>367.98790000000002</v>
      </c>
      <c r="J540">
        <v>-340.63650000000001</v>
      </c>
      <c r="K540">
        <v>1.108098</v>
      </c>
      <c r="L540">
        <v>368.8578</v>
      </c>
      <c r="M540">
        <v>0.99992510000000001</v>
      </c>
      <c r="N540">
        <v>0</v>
      </c>
      <c r="O540">
        <v>6.3431939999999999E-3</v>
      </c>
      <c r="P540">
        <v>0.99790559999999995</v>
      </c>
      <c r="Q540">
        <v>-6.1520949999999998E-2</v>
      </c>
      <c r="R540">
        <v>-1.9994419999999999E-2</v>
      </c>
      <c r="S540">
        <v>2.9931950000000001</v>
      </c>
      <c r="T540">
        <v>-0.16958419999999999</v>
      </c>
      <c r="U540">
        <v>-0.1329041</v>
      </c>
      <c r="V540">
        <v>2.6256740000000001E-2</v>
      </c>
      <c r="W540">
        <v>-5.1109590000000003E-2</v>
      </c>
      <c r="X540">
        <v>0.99834780000000001</v>
      </c>
      <c r="Y540">
        <v>5.0603620000000002E-2</v>
      </c>
      <c r="Z540">
        <v>-1.7906109999999999E-3</v>
      </c>
      <c r="AA540">
        <v>0.99871719999999997</v>
      </c>
      <c r="AB540">
        <v>44</v>
      </c>
      <c r="AC540">
        <v>19.303999999999998</v>
      </c>
      <c r="AD540">
        <v>-1.108101989523</v>
      </c>
      <c r="AE540">
        <v>-0.86989999999997203</v>
      </c>
      <c r="AF540">
        <v>0.98908571899324904</v>
      </c>
      <c r="AG540">
        <v>-1.108101989523</v>
      </c>
      <c r="AH540">
        <v>19.2348416129744</v>
      </c>
      <c r="AI540">
        <v>93.292773368496</v>
      </c>
      <c r="AJ540">
        <v>87.056353849565596</v>
      </c>
      <c r="AK540">
        <v>19.292104925458801</v>
      </c>
      <c r="AL540">
        <v>92.929640301128501</v>
      </c>
      <c r="AM540">
        <v>88.493457225033296</v>
      </c>
      <c r="AN540">
        <v>0.99999996817511705</v>
      </c>
    </row>
    <row r="541" spans="1:40" x14ac:dyDescent="0.25">
      <c r="A541" t="str">
        <f>"20190312151511613"</f>
        <v>20190312151511613</v>
      </c>
      <c r="B541" t="str">
        <f>"1552374911607993"</f>
        <v>1552374911607993</v>
      </c>
      <c r="C541" t="s">
        <v>40</v>
      </c>
      <c r="D541">
        <v>4.4327079999999999</v>
      </c>
      <c r="E541">
        <v>0.51003959999999904</v>
      </c>
      <c r="F541" t="s">
        <v>41</v>
      </c>
      <c r="G541">
        <v>-339.64299999999997</v>
      </c>
      <c r="H541">
        <v>1.0524150000000001</v>
      </c>
      <c r="I541">
        <v>368.81220000000002</v>
      </c>
      <c r="J541">
        <v>-340.37040000000002</v>
      </c>
      <c r="K541">
        <v>1.1080939999999999</v>
      </c>
      <c r="L541">
        <v>368.85939999999999</v>
      </c>
      <c r="M541">
        <v>0.99992669999999995</v>
      </c>
      <c r="N541">
        <v>0</v>
      </c>
      <c r="O541">
        <v>6.0774369999999998E-3</v>
      </c>
      <c r="P541">
        <v>0.99789399999999995</v>
      </c>
      <c r="Q541">
        <v>-6.1579920000000003E-2</v>
      </c>
      <c r="R541">
        <v>-2.0384820000000001E-2</v>
      </c>
      <c r="S541">
        <v>2.9931950000000001</v>
      </c>
      <c r="T541">
        <v>-0.1681269</v>
      </c>
      <c r="U541">
        <v>-0.1361694</v>
      </c>
      <c r="V541">
        <v>2.6381769999999999E-2</v>
      </c>
      <c r="W541">
        <v>-5.1160070000000002E-2</v>
      </c>
      <c r="X541">
        <v>0.99834199999999995</v>
      </c>
      <c r="Y541">
        <v>5.1426199999999901E-2</v>
      </c>
      <c r="Z541">
        <v>-1.7833689999999999E-3</v>
      </c>
      <c r="AA541">
        <v>0.99867519999999999</v>
      </c>
      <c r="AB541">
        <v>44</v>
      </c>
      <c r="AC541">
        <v>0.72739999999998795</v>
      </c>
      <c r="AD541">
        <v>-5.5679000000000201E-2</v>
      </c>
      <c r="AE541">
        <v>-4.7199999999975199E-2</v>
      </c>
      <c r="AF541">
        <v>5.13206624933134E-2</v>
      </c>
      <c r="AG541">
        <v>-5.5679000000000201E-2</v>
      </c>
      <c r="AH541">
        <v>0.72288196332541399</v>
      </c>
      <c r="AI541">
        <v>94.393418718439705</v>
      </c>
      <c r="AJ541">
        <v>85.939126702391206</v>
      </c>
      <c r="AK541">
        <v>0.72683718557938304</v>
      </c>
      <c r="AL541">
        <v>92.932536141489706</v>
      </c>
      <c r="AM541">
        <v>88.486277871791202</v>
      </c>
      <c r="AN541">
        <v>1.00000004975736</v>
      </c>
    </row>
    <row r="542" spans="1:40" x14ac:dyDescent="0.25">
      <c r="A542" t="str">
        <f>"20190312151511631"</f>
        <v>20190312151511631</v>
      </c>
      <c r="B542" t="str">
        <f>"1552374911628489"</f>
        <v>1552374911628489</v>
      </c>
      <c r="C542" t="s">
        <v>40</v>
      </c>
      <c r="D542">
        <v>4.4027880000000001</v>
      </c>
      <c r="E542">
        <v>0.51057140000000001</v>
      </c>
      <c r="F542" t="s">
        <v>41</v>
      </c>
      <c r="G542">
        <v>-339.25209999999998</v>
      </c>
      <c r="H542">
        <v>1.046149</v>
      </c>
      <c r="I542">
        <v>368.8064</v>
      </c>
      <c r="J542">
        <v>-340.00699999999898</v>
      </c>
      <c r="K542">
        <v>1.1080939999999999</v>
      </c>
      <c r="L542">
        <v>368.86130000000003</v>
      </c>
      <c r="M542">
        <v>0.9999287</v>
      </c>
      <c r="N542">
        <v>0</v>
      </c>
      <c r="O542">
        <v>5.7158360000000002E-3</v>
      </c>
      <c r="P542">
        <v>0.99787329999999996</v>
      </c>
      <c r="Q542">
        <v>-6.171861E-2</v>
      </c>
      <c r="R542">
        <v>-2.0972790000000002E-2</v>
      </c>
      <c r="S542">
        <v>2.9932249999999998</v>
      </c>
      <c r="T542">
        <v>-0.16586419999999999</v>
      </c>
      <c r="U542">
        <v>-0.14151</v>
      </c>
      <c r="V542">
        <v>2.6608739999999999E-2</v>
      </c>
      <c r="W542">
        <v>-5.1287899999999997E-2</v>
      </c>
      <c r="X542">
        <v>0.99832929999999998</v>
      </c>
      <c r="Y542">
        <v>5.2843380000000002E-2</v>
      </c>
      <c r="Z542">
        <v>-1.778515E-3</v>
      </c>
      <c r="AA542">
        <v>0.99860130000000003</v>
      </c>
      <c r="AB542">
        <v>44</v>
      </c>
      <c r="AC542">
        <v>0.75489999999996305</v>
      </c>
      <c r="AD542">
        <v>-6.1945000000000097E-2</v>
      </c>
      <c r="AE542">
        <v>-5.4900000000031902E-2</v>
      </c>
      <c r="AF542">
        <v>5.8820248973729797E-2</v>
      </c>
      <c r="AG542">
        <v>-6.1945000000000097E-2</v>
      </c>
      <c r="AH542">
        <v>0.74955336923336202</v>
      </c>
      <c r="AI542">
        <v>94.709918864762002</v>
      </c>
      <c r="AJ542">
        <v>85.512981913578599</v>
      </c>
      <c r="AK542">
        <v>0.75440523463415599</v>
      </c>
      <c r="AL542">
        <v>92.939870233510803</v>
      </c>
      <c r="AM542">
        <v>88.473241606976103</v>
      </c>
      <c r="AN542">
        <v>0.99999993248464103</v>
      </c>
    </row>
    <row r="543" spans="1:40" x14ac:dyDescent="0.25">
      <c r="A543" t="str">
        <f>"20190312151511643"</f>
        <v>20190312151511643</v>
      </c>
      <c r="B543" t="str">
        <f>"1552374911638774"</f>
        <v>1552374911638774</v>
      </c>
      <c r="C543" t="s">
        <v>40</v>
      </c>
      <c r="D543">
        <v>4.4339250000000003</v>
      </c>
      <c r="E543">
        <v>0.51076319999999997</v>
      </c>
      <c r="F543" t="s">
        <v>42</v>
      </c>
      <c r="G543">
        <v>-318.69450000000001</v>
      </c>
      <c r="H543">
        <v>-0.05</v>
      </c>
      <c r="I543">
        <v>367.81220000000002</v>
      </c>
      <c r="J543">
        <v>-339.76490000000001</v>
      </c>
      <c r="K543">
        <v>1.1080989999999999</v>
      </c>
      <c r="L543">
        <v>368.86250000000001</v>
      </c>
      <c r="M543">
        <v>0.99992999999999999</v>
      </c>
      <c r="N543">
        <v>0</v>
      </c>
      <c r="O543">
        <v>5.4764409999999899E-3</v>
      </c>
      <c r="P543">
        <v>0.99786509999999995</v>
      </c>
      <c r="Q543">
        <v>-6.1729289999999999E-2</v>
      </c>
      <c r="R543">
        <v>-2.1328099999999999E-2</v>
      </c>
      <c r="S543">
        <v>2.9932249999999998</v>
      </c>
      <c r="T543">
        <v>-0.1626486</v>
      </c>
      <c r="U543">
        <v>-0.14733889999999999</v>
      </c>
      <c r="V543">
        <v>2.6725329999999999E-2</v>
      </c>
      <c r="W543">
        <v>-5.1291589999999998E-2</v>
      </c>
      <c r="X543">
        <v>0.99832609999999999</v>
      </c>
      <c r="Y543">
        <v>5.4545639999999999E-2</v>
      </c>
      <c r="Z543">
        <v>-1.7771989999999999E-3</v>
      </c>
      <c r="AA543">
        <v>0.99850969999999994</v>
      </c>
      <c r="AB543">
        <v>44</v>
      </c>
      <c r="AC543">
        <v>21.070399999999999</v>
      </c>
      <c r="AD543">
        <v>-1.158099</v>
      </c>
      <c r="AE543">
        <v>-1.05029999999999</v>
      </c>
      <c r="AF543">
        <v>1.16217919626766</v>
      </c>
      <c r="AG543">
        <v>-1.158099</v>
      </c>
      <c r="AH543">
        <v>21.001045583807102</v>
      </c>
      <c r="AI543">
        <v>93.151556655293106</v>
      </c>
      <c r="AJ543">
        <v>86.832533219891999</v>
      </c>
      <c r="AK543">
        <v>21.065036657722299</v>
      </c>
      <c r="AL543">
        <v>92.940081628374301</v>
      </c>
      <c r="AM543">
        <v>88.466550170921195</v>
      </c>
      <c r="AN543">
        <v>1.0000000362047701</v>
      </c>
    </row>
    <row r="544" spans="1:40" x14ac:dyDescent="0.25">
      <c r="A544" t="str">
        <f>"20190312151511655"</f>
        <v>20190312151511655</v>
      </c>
      <c r="B544" t="str">
        <f>"1552374911648516"</f>
        <v>1552374911648516</v>
      </c>
      <c r="C544" t="s">
        <v>40</v>
      </c>
      <c r="D544">
        <v>4.4298270000000004</v>
      </c>
      <c r="E544">
        <v>0.51096490000000006</v>
      </c>
      <c r="F544" t="s">
        <v>42</v>
      </c>
      <c r="G544">
        <v>-318.31209999999999</v>
      </c>
      <c r="H544">
        <v>-0.05</v>
      </c>
      <c r="I544">
        <v>367.78699999999998</v>
      </c>
      <c r="J544">
        <v>-339.5446</v>
      </c>
      <c r="K544">
        <v>1.1080989999999999</v>
      </c>
      <c r="L544">
        <v>368.86360000000002</v>
      </c>
      <c r="M544">
        <v>0.99993100000000001</v>
      </c>
      <c r="N544">
        <v>0</v>
      </c>
      <c r="O544">
        <v>5.2590429999999997E-3</v>
      </c>
      <c r="P544">
        <v>0.99785860000000004</v>
      </c>
      <c r="Q544">
        <v>-6.1694909999999999E-2</v>
      </c>
      <c r="R544">
        <v>-2.172762E-2</v>
      </c>
      <c r="S544">
        <v>2.9931950000000001</v>
      </c>
      <c r="T544">
        <v>-0.1615837</v>
      </c>
      <c r="U544">
        <v>-0.15005489999999999</v>
      </c>
      <c r="V544">
        <v>2.690787E-2</v>
      </c>
      <c r="W544">
        <v>-5.125101E-2</v>
      </c>
      <c r="X544">
        <v>0.99832330000000002</v>
      </c>
      <c r="Y544">
        <v>5.5233329999999997E-2</v>
      </c>
      <c r="Z544">
        <v>-1.772374E-3</v>
      </c>
      <c r="AA544">
        <v>0.99847189999999997</v>
      </c>
      <c r="AB544">
        <v>44</v>
      </c>
      <c r="AC544">
        <v>21.232500000000002</v>
      </c>
      <c r="AD544">
        <v>-1.158099</v>
      </c>
      <c r="AE544">
        <v>-1.07660000000004</v>
      </c>
      <c r="AF544">
        <v>1.18473832627716</v>
      </c>
      <c r="AG544">
        <v>-1.158099</v>
      </c>
      <c r="AH544">
        <v>21.163743165344499</v>
      </c>
      <c r="AI544">
        <v>93.127266222139198</v>
      </c>
      <c r="AJ544">
        <v>86.795948037426896</v>
      </c>
      <c r="AK544">
        <v>21.228490831055701</v>
      </c>
      <c r="AL544">
        <v>92.937753447222804</v>
      </c>
      <c r="AM544">
        <v>88.456077088592096</v>
      </c>
      <c r="AN544">
        <v>1.0000000554084201</v>
      </c>
    </row>
    <row r="545" spans="1:40" x14ac:dyDescent="0.25">
      <c r="A545" t="str">
        <f>"20190312151511666"</f>
        <v>20190312151511666</v>
      </c>
      <c r="B545" t="str">
        <f>"1552374911658275"</f>
        <v>1552374911658275</v>
      </c>
      <c r="C545" t="s">
        <v>40</v>
      </c>
      <c r="D545">
        <v>4.4196999999999997</v>
      </c>
      <c r="E545">
        <v>0.511165799999999</v>
      </c>
      <c r="F545" t="s">
        <v>41</v>
      </c>
      <c r="G545">
        <v>-338.4545</v>
      </c>
      <c r="H545">
        <v>1.049663</v>
      </c>
      <c r="I545">
        <v>368.80799999999999</v>
      </c>
      <c r="J545">
        <v>-339.31720000000001</v>
      </c>
      <c r="K545">
        <v>1.108101</v>
      </c>
      <c r="L545">
        <v>368.86470000000003</v>
      </c>
      <c r="M545">
        <v>0.99993220000000005</v>
      </c>
      <c r="N545">
        <v>0</v>
      </c>
      <c r="O545">
        <v>5.0360479999999996E-3</v>
      </c>
      <c r="P545">
        <v>0.99785349999999995</v>
      </c>
      <c r="Q545">
        <v>-6.1637850000000001E-2</v>
      </c>
      <c r="R545">
        <v>-2.2120839999999999E-2</v>
      </c>
      <c r="S545">
        <v>2.9931640000000002</v>
      </c>
      <c r="T545">
        <v>-0.16045379999999901</v>
      </c>
      <c r="U545">
        <v>-0.1526489</v>
      </c>
      <c r="V545">
        <v>2.7078919999999999E-2</v>
      </c>
      <c r="W545">
        <v>-5.1187759999999999E-2</v>
      </c>
      <c r="X545">
        <v>0.99832189999999998</v>
      </c>
      <c r="Y545">
        <v>5.5874899999999998E-2</v>
      </c>
      <c r="Z545">
        <v>-1.7652119999999999E-3</v>
      </c>
      <c r="AA545">
        <v>0.9984362</v>
      </c>
      <c r="AB545">
        <v>44</v>
      </c>
      <c r="AC545">
        <v>0.86270000000001701</v>
      </c>
      <c r="AD545">
        <v>-5.84379999999999E-2</v>
      </c>
      <c r="AE545">
        <v>-5.66999999999779E-2</v>
      </c>
      <c r="AF545">
        <v>6.0766490977335497E-2</v>
      </c>
      <c r="AG545">
        <v>-5.84379999999999E-2</v>
      </c>
      <c r="AH545">
        <v>0.85848129705994403</v>
      </c>
      <c r="AI545">
        <v>93.884505586139099</v>
      </c>
      <c r="AJ545">
        <v>85.951145198342303</v>
      </c>
      <c r="AK545">
        <v>0.862610980495508</v>
      </c>
      <c r="AL545">
        <v>92.934124785307006</v>
      </c>
      <c r="AM545">
        <v>88.446265179540404</v>
      </c>
      <c r="AN545">
        <v>1.00000003535089</v>
      </c>
    </row>
    <row r="546" spans="1:40" x14ac:dyDescent="0.25">
      <c r="A546" t="str">
        <f>"20190312151511678"</f>
        <v>20190312151511678</v>
      </c>
      <c r="B546" t="str">
        <f>"1552374911668036"</f>
        <v>1552374911668036</v>
      </c>
      <c r="C546" t="s">
        <v>40</v>
      </c>
      <c r="D546">
        <v>4.4060230000000002</v>
      </c>
      <c r="E546">
        <v>0.51138679999999903</v>
      </c>
      <c r="F546" t="s">
        <v>42</v>
      </c>
      <c r="G546">
        <v>-317.55950000000001</v>
      </c>
      <c r="H546">
        <v>-0.05</v>
      </c>
      <c r="I546">
        <v>367.73390000000001</v>
      </c>
      <c r="J546">
        <v>-339.08980000000003</v>
      </c>
      <c r="K546">
        <v>1.108098</v>
      </c>
      <c r="L546">
        <v>368.8657</v>
      </c>
      <c r="M546">
        <v>0.99993339999999997</v>
      </c>
      <c r="N546">
        <v>0</v>
      </c>
      <c r="O546">
        <v>4.8142480000000001E-3</v>
      </c>
      <c r="P546">
        <v>0.99784669999999998</v>
      </c>
      <c r="Q546">
        <v>-6.1576249999999999E-2</v>
      </c>
      <c r="R546">
        <v>-2.2603680000000001E-2</v>
      </c>
      <c r="S546">
        <v>2.9931640000000002</v>
      </c>
      <c r="T546">
        <v>-0.1593176</v>
      </c>
      <c r="U546">
        <v>-0.15554809999999999</v>
      </c>
      <c r="V546">
        <v>2.734056E-2</v>
      </c>
      <c r="W546">
        <v>-5.1120230000000003E-2</v>
      </c>
      <c r="X546">
        <v>0.99831820000000004</v>
      </c>
      <c r="Y546">
        <v>5.6618439999999999E-2</v>
      </c>
      <c r="Z546">
        <v>-1.7606570000000001E-3</v>
      </c>
      <c r="AA546">
        <v>0.99839429999999996</v>
      </c>
      <c r="AB546">
        <v>44</v>
      </c>
      <c r="AC546">
        <v>21.5303</v>
      </c>
      <c r="AD546">
        <v>-1.1580979999999901</v>
      </c>
      <c r="AE546">
        <v>-1.1317999999999899</v>
      </c>
      <c r="AF546">
        <v>1.2318904068794201</v>
      </c>
      <c r="AG546">
        <v>-1.1580979999999901</v>
      </c>
      <c r="AH546">
        <v>21.462674999669801</v>
      </c>
      <c r="AI546">
        <v>93.083545229470801</v>
      </c>
      <c r="AJ546">
        <v>86.715005683874793</v>
      </c>
      <c r="AK546">
        <v>21.529170051203</v>
      </c>
      <c r="AL546">
        <v>92.930250614407896</v>
      </c>
      <c r="AM546">
        <v>88.431254448773799</v>
      </c>
      <c r="AN546">
        <v>1.0000000062937999</v>
      </c>
    </row>
    <row r="547" spans="1:40" x14ac:dyDescent="0.25">
      <c r="A547" t="str">
        <f>"20190312151511689"</f>
        <v>20190312151511689</v>
      </c>
      <c r="B547" t="str">
        <f>"1552374911678772"</f>
        <v>1552374911678772</v>
      </c>
      <c r="C547" t="s">
        <v>40</v>
      </c>
      <c r="D547">
        <v>4.3624559999999999</v>
      </c>
      <c r="E547">
        <v>0.51166120000000004</v>
      </c>
      <c r="F547" t="s">
        <v>41</v>
      </c>
      <c r="G547">
        <v>-338.0532</v>
      </c>
      <c r="H547">
        <v>1.0536350000000001</v>
      </c>
      <c r="I547">
        <v>368.81020000000001</v>
      </c>
      <c r="J547">
        <v>-338.85079999999999</v>
      </c>
      <c r="K547">
        <v>1.1081019999999999</v>
      </c>
      <c r="L547">
        <v>368.86660000000001</v>
      </c>
      <c r="M547">
        <v>0.99993430000000005</v>
      </c>
      <c r="N547">
        <v>0</v>
      </c>
      <c r="O547">
        <v>4.583274E-3</v>
      </c>
      <c r="P547">
        <v>0.99784720000000005</v>
      </c>
      <c r="Q547">
        <v>-6.1379580000000003E-2</v>
      </c>
      <c r="R547">
        <v>-2.3101010000000002E-2</v>
      </c>
      <c r="S547">
        <v>2.9931640000000002</v>
      </c>
      <c r="T547">
        <v>-0.15753220000000001</v>
      </c>
      <c r="U547">
        <v>-0.15890499999999999</v>
      </c>
      <c r="V547">
        <v>2.76081E-2</v>
      </c>
      <c r="W547">
        <v>-5.0917480000000001E-2</v>
      </c>
      <c r="X547">
        <v>0.99832120000000002</v>
      </c>
      <c r="Y547">
        <v>5.7505479999999998E-2</v>
      </c>
      <c r="Z547">
        <v>-1.7520719999999999E-3</v>
      </c>
      <c r="AA547">
        <v>0.9983436</v>
      </c>
      <c r="AB547">
        <v>44</v>
      </c>
      <c r="AC547">
        <v>0.79759999999998799</v>
      </c>
      <c r="AD547">
        <v>-5.4467000000000002E-2</v>
      </c>
      <c r="AE547">
        <v>-5.6399999999996397E-2</v>
      </c>
      <c r="AF547">
        <v>5.9777851473682503E-2</v>
      </c>
      <c r="AG547">
        <v>-5.4467000000000002E-2</v>
      </c>
      <c r="AH547">
        <v>0.79365046669370898</v>
      </c>
      <c r="AI547">
        <v>93.914910031250201</v>
      </c>
      <c r="AJ547">
        <v>85.692607954879804</v>
      </c>
      <c r="AK547">
        <v>0.797760057222064</v>
      </c>
      <c r="AL547">
        <v>92.918618742872297</v>
      </c>
      <c r="AM547">
        <v>88.415916090884295</v>
      </c>
      <c r="AN547">
        <v>1.0000000076622999</v>
      </c>
    </row>
    <row r="548" spans="1:40" x14ac:dyDescent="0.25">
      <c r="A548" t="str">
        <f>"20190312151511701"</f>
        <v>20190312151511701</v>
      </c>
      <c r="B548" t="str">
        <f>"1552374911698291"</f>
        <v>1552374911698291</v>
      </c>
      <c r="C548" t="s">
        <v>40</v>
      </c>
      <c r="D548">
        <v>4.4445790000000001</v>
      </c>
      <c r="E548">
        <v>0.53300110000000001</v>
      </c>
      <c r="F548" t="s">
        <v>42</v>
      </c>
      <c r="G548">
        <v>-316.5573</v>
      </c>
      <c r="H548">
        <v>-0.05</v>
      </c>
      <c r="I548">
        <v>367.65690000000001</v>
      </c>
      <c r="J548">
        <v>-338.6361</v>
      </c>
      <c r="K548">
        <v>1.1081049999999999</v>
      </c>
      <c r="L548">
        <v>368.86750000000001</v>
      </c>
      <c r="M548">
        <v>0.99993500000000002</v>
      </c>
      <c r="N548">
        <v>0</v>
      </c>
      <c r="O548">
        <v>4.3784169999999999E-3</v>
      </c>
      <c r="P548">
        <v>0.99785630000000003</v>
      </c>
      <c r="Q548">
        <v>-6.1108210000000003E-2</v>
      </c>
      <c r="R548">
        <v>-2.3428009999999999E-2</v>
      </c>
      <c r="S548">
        <v>2.993134</v>
      </c>
      <c r="T548">
        <v>-0.15548689999999901</v>
      </c>
      <c r="U548">
        <v>-0.16241459999999999</v>
      </c>
      <c r="V548">
        <v>2.7731289999999999E-2</v>
      </c>
      <c r="W548">
        <v>-5.064039E-2</v>
      </c>
      <c r="X548">
        <v>0.99833179999999999</v>
      </c>
      <c r="Y548">
        <v>5.8469880000000002E-2</v>
      </c>
      <c r="Z548">
        <v>-1.7437049999999999E-3</v>
      </c>
      <c r="AA548">
        <v>0.9982877</v>
      </c>
      <c r="AB548">
        <v>44</v>
      </c>
      <c r="AC548">
        <v>22.078800000000001</v>
      </c>
      <c r="AD548">
        <v>-1.1581049999999999</v>
      </c>
      <c r="AE548">
        <v>-1.2105999999999899</v>
      </c>
      <c r="AF548">
        <v>1.3036878025752801</v>
      </c>
      <c r="AG548">
        <v>-1.1581049999999999</v>
      </c>
      <c r="AH548">
        <v>22.012903999406099</v>
      </c>
      <c r="AI548">
        <v>93.0063124678028</v>
      </c>
      <c r="AJ548">
        <v>86.610685196047896</v>
      </c>
      <c r="AK548">
        <v>22.081864766470201</v>
      </c>
      <c r="AL548">
        <v>92.902722378284494</v>
      </c>
      <c r="AM548">
        <v>88.4088682671768</v>
      </c>
      <c r="AN548">
        <v>0.99999992821782502</v>
      </c>
    </row>
    <row r="549" spans="1:40" x14ac:dyDescent="0.25">
      <c r="A549" t="str">
        <f>"20190312151511711"</f>
        <v>20190312151511711</v>
      </c>
      <c r="B549" t="str">
        <f>"1552374911708055"</f>
        <v>1552374911708055</v>
      </c>
      <c r="C549" t="s">
        <v>40</v>
      </c>
      <c r="D549">
        <v>4.4301180000000002</v>
      </c>
      <c r="E549">
        <v>0.53529729999999998</v>
      </c>
      <c r="F549" t="s">
        <v>42</v>
      </c>
      <c r="G549">
        <v>-299.43779999999998</v>
      </c>
      <c r="H549">
        <v>-0.05</v>
      </c>
      <c r="I549">
        <v>364.4905</v>
      </c>
      <c r="J549">
        <v>-338.40469999999999</v>
      </c>
      <c r="K549">
        <v>1.108107</v>
      </c>
      <c r="L549">
        <v>368.86840000000001</v>
      </c>
      <c r="M549">
        <v>0.99993589999999999</v>
      </c>
      <c r="N549">
        <v>0</v>
      </c>
      <c r="O549">
        <v>4.1583660000000001E-3</v>
      </c>
      <c r="P549">
        <v>0.99785469999999998</v>
      </c>
      <c r="Q549">
        <v>-6.0972480000000003E-2</v>
      </c>
      <c r="R549">
        <v>-2.3840750000000001E-2</v>
      </c>
      <c r="S549">
        <v>2.9931950000000001</v>
      </c>
      <c r="T549">
        <v>-8.8433269999999994E-2</v>
      </c>
      <c r="U549">
        <v>-0.33422849999999998</v>
      </c>
      <c r="V549">
        <v>2.792501E-2</v>
      </c>
      <c r="W549">
        <v>-5.0498689999999999E-2</v>
      </c>
      <c r="X549">
        <v>0.99833360000000004</v>
      </c>
      <c r="Y549">
        <v>0.11505369999999999</v>
      </c>
      <c r="Z549">
        <v>-1.816451E-3</v>
      </c>
      <c r="AA549">
        <v>0.99335759999999995</v>
      </c>
      <c r="AB549">
        <v>44</v>
      </c>
      <c r="AC549">
        <v>38.966900000000003</v>
      </c>
      <c r="AD549">
        <v>-1.158107</v>
      </c>
      <c r="AE549">
        <v>-4.3779000000000101</v>
      </c>
      <c r="AF549">
        <v>4.5359531209009001</v>
      </c>
      <c r="AG549">
        <v>-1.158107</v>
      </c>
      <c r="AH549">
        <v>38.914412694211002</v>
      </c>
      <c r="AI549">
        <v>91.693183095628797</v>
      </c>
      <c r="AJ549">
        <v>83.351474969392697</v>
      </c>
      <c r="AK549">
        <v>39.194994551266802</v>
      </c>
      <c r="AL549">
        <v>92.894593100540405</v>
      </c>
      <c r="AM549">
        <v>88.397761901137002</v>
      </c>
      <c r="AN549">
        <v>0.999999950382086</v>
      </c>
    </row>
    <row r="550" spans="1:40" x14ac:dyDescent="0.25">
      <c r="A550" t="str">
        <f>"20190312151511722"</f>
        <v>20190312151511722</v>
      </c>
      <c r="B550" t="str">
        <f>"1552374911718788"</f>
        <v>1552374911718788</v>
      </c>
      <c r="C550" t="s">
        <v>40</v>
      </c>
      <c r="D550">
        <v>4.4015009999999997</v>
      </c>
      <c r="E550">
        <v>0.53679560000000004</v>
      </c>
      <c r="F550" t="s">
        <v>42</v>
      </c>
      <c r="G550">
        <v>-298.83710000000002</v>
      </c>
      <c r="H550">
        <v>-0.05</v>
      </c>
      <c r="I550">
        <v>364.18990000000002</v>
      </c>
      <c r="J550">
        <v>-338.19229999999999</v>
      </c>
      <c r="K550">
        <v>1.1081129999999999</v>
      </c>
      <c r="L550">
        <v>368.8691</v>
      </c>
      <c r="M550">
        <v>0.99993659999999995</v>
      </c>
      <c r="N550">
        <v>0</v>
      </c>
      <c r="O550">
        <v>3.9619340000000003E-3</v>
      </c>
      <c r="P550">
        <v>0.99782400000000004</v>
      </c>
      <c r="Q550">
        <v>-6.1206429999999999E-2</v>
      </c>
      <c r="R550">
        <v>-2.4515760000000001E-2</v>
      </c>
      <c r="S550">
        <v>2.992645</v>
      </c>
      <c r="T550">
        <v>-8.7591890000000006E-2</v>
      </c>
      <c r="U550">
        <v>-0.35385129999999998</v>
      </c>
      <c r="V550">
        <v>2.8403919999999999E-2</v>
      </c>
      <c r="W550">
        <v>-5.072803E-2</v>
      </c>
      <c r="X550">
        <v>0.99830850000000004</v>
      </c>
      <c r="Y550">
        <v>0.1213033</v>
      </c>
      <c r="Z550">
        <v>-1.884227E-3</v>
      </c>
      <c r="AA550">
        <v>0.99261370000000004</v>
      </c>
      <c r="AB550">
        <v>44</v>
      </c>
      <c r="AC550">
        <v>39.355199999999897</v>
      </c>
      <c r="AD550">
        <v>-1.1581129999999999</v>
      </c>
      <c r="AE550">
        <v>-4.6791999999999803</v>
      </c>
      <c r="AF550">
        <v>4.8309695282087803</v>
      </c>
      <c r="AG550">
        <v>-1.1581129999999999</v>
      </c>
      <c r="AH550">
        <v>39.302791167050799</v>
      </c>
      <c r="AI550">
        <v>91.675213489011199</v>
      </c>
      <c r="AJ550">
        <v>82.992541355413493</v>
      </c>
      <c r="AK550">
        <v>39.6155131965252</v>
      </c>
      <c r="AL550">
        <v>92.907750067681405</v>
      </c>
      <c r="AM550">
        <v>88.370257483458005</v>
      </c>
      <c r="AN550">
        <v>0.99999998843564797</v>
      </c>
    </row>
    <row r="551" spans="1:40" x14ac:dyDescent="0.25">
      <c r="A551" t="str">
        <f>"20190312151511734"</f>
        <v>20190312151511734</v>
      </c>
      <c r="B551" t="str">
        <f>"1552374911728548"</f>
        <v>1552374911728548</v>
      </c>
      <c r="C551" t="s">
        <v>40</v>
      </c>
      <c r="D551">
        <v>4.435835</v>
      </c>
      <c r="E551">
        <v>0.53707879999999997</v>
      </c>
      <c r="F551" t="s">
        <v>42</v>
      </c>
      <c r="G551">
        <v>-293.92959999999999</v>
      </c>
      <c r="H551">
        <v>-0.05</v>
      </c>
      <c r="I551">
        <v>363.42930000000001</v>
      </c>
      <c r="J551">
        <v>-337.96269999999998</v>
      </c>
      <c r="K551">
        <v>1.1081160000000001</v>
      </c>
      <c r="L551">
        <v>368.86989999999997</v>
      </c>
      <c r="M551">
        <v>0.99993730000000003</v>
      </c>
      <c r="N551">
        <v>0</v>
      </c>
      <c r="O551">
        <v>3.7506089999999998E-3</v>
      </c>
      <c r="P551">
        <v>0.99781609999999998</v>
      </c>
      <c r="Q551">
        <v>-6.1165619999999997E-2</v>
      </c>
      <c r="R551">
        <v>-2.4933469999999999E-2</v>
      </c>
      <c r="S551">
        <v>2.9926759999999999</v>
      </c>
      <c r="T551">
        <v>-7.8301910000000002E-2</v>
      </c>
      <c r="U551">
        <v>-0.36779790000000001</v>
      </c>
      <c r="V551">
        <v>2.8611319999999999E-2</v>
      </c>
      <c r="W551">
        <v>-5.06816E-2</v>
      </c>
      <c r="X551">
        <v>0.998305</v>
      </c>
      <c r="Y551">
        <v>0.12565989999999999</v>
      </c>
      <c r="Z551">
        <v>-1.735236E-3</v>
      </c>
      <c r="AA551">
        <v>0.99207190000000001</v>
      </c>
      <c r="AB551">
        <v>44</v>
      </c>
      <c r="AC551">
        <v>44.033099999999898</v>
      </c>
      <c r="AD551">
        <v>-1.1581159999999999</v>
      </c>
      <c r="AE551">
        <v>-5.4405999999999599</v>
      </c>
      <c r="AF551">
        <v>5.6019050467937497</v>
      </c>
      <c r="AG551">
        <v>-1.1581159999999999</v>
      </c>
      <c r="AH551">
        <v>43.982416458246597</v>
      </c>
      <c r="AI551">
        <v>91.496244270573499</v>
      </c>
      <c r="AJ551">
        <v>82.741494466169598</v>
      </c>
      <c r="AK551">
        <v>44.352852561356102</v>
      </c>
      <c r="AL551">
        <v>92.905086211671005</v>
      </c>
      <c r="AM551">
        <v>88.358358150610201</v>
      </c>
      <c r="AN551">
        <v>1.0000000526178401</v>
      </c>
    </row>
    <row r="552" spans="1:40" x14ac:dyDescent="0.25">
      <c r="A552" t="str">
        <f>"20190312151511745"</f>
        <v>20190312151511745</v>
      </c>
      <c r="B552" t="str">
        <f>"1552374911738780"</f>
        <v>1552374911738780</v>
      </c>
      <c r="C552" t="s">
        <v>40</v>
      </c>
      <c r="D552">
        <v>4.4591589999999997</v>
      </c>
      <c r="E552">
        <v>0.53736329999999999</v>
      </c>
      <c r="F552" t="s">
        <v>42</v>
      </c>
      <c r="G552">
        <v>-294.1721</v>
      </c>
      <c r="H552">
        <v>-0.05</v>
      </c>
      <c r="I552">
        <v>363.4314</v>
      </c>
      <c r="J552">
        <v>-337.73610000000002</v>
      </c>
      <c r="K552">
        <v>1.1081190000000001</v>
      </c>
      <c r="L552">
        <v>368.87060000000002</v>
      </c>
      <c r="M552">
        <v>0.9999382</v>
      </c>
      <c r="N552">
        <v>0</v>
      </c>
      <c r="O552">
        <v>3.548542E-3</v>
      </c>
      <c r="P552">
        <v>0.99779070000000003</v>
      </c>
      <c r="Q552">
        <v>-6.1322580000000002E-2</v>
      </c>
      <c r="R552">
        <v>-2.5569430000000001E-2</v>
      </c>
      <c r="S552">
        <v>2.992432</v>
      </c>
      <c r="T552">
        <v>-7.9139950000000001E-2</v>
      </c>
      <c r="U552">
        <v>-0.3716431</v>
      </c>
      <c r="V552">
        <v>2.9045899999999999E-2</v>
      </c>
      <c r="W552">
        <v>-5.0833669999999997E-2</v>
      </c>
      <c r="X552">
        <v>0.99828459999999997</v>
      </c>
      <c r="Y552">
        <v>0.12672349999999999</v>
      </c>
      <c r="Z552">
        <v>-1.7624909999999999E-3</v>
      </c>
      <c r="AA552">
        <v>0.9919365</v>
      </c>
      <c r="AB552">
        <v>45</v>
      </c>
      <c r="AC552">
        <v>43.564</v>
      </c>
      <c r="AD552">
        <v>-1.1581189999999999</v>
      </c>
      <c r="AE552">
        <v>-5.43920000000002</v>
      </c>
      <c r="AF552">
        <v>5.5898731465834803</v>
      </c>
      <c r="AG552">
        <v>-1.1581189999999999</v>
      </c>
      <c r="AH552">
        <v>43.514142862171298</v>
      </c>
      <c r="AI552">
        <v>91.512134305548003</v>
      </c>
      <c r="AJ552">
        <v>82.679813948724103</v>
      </c>
      <c r="AK552">
        <v>43.8869975099973</v>
      </c>
      <c r="AL552">
        <v>92.9138107705202</v>
      </c>
      <c r="AM552">
        <v>88.333403019595707</v>
      </c>
      <c r="AN552">
        <v>0.99999993445481705</v>
      </c>
    </row>
    <row r="553" spans="1:40" x14ac:dyDescent="0.25">
      <c r="A553" t="str">
        <f>"20190312151511757"</f>
        <v>20190312151511757</v>
      </c>
      <c r="B553" t="str">
        <f>"1552374911748515"</f>
        <v>1552374911748515</v>
      </c>
      <c r="C553" t="s">
        <v>40</v>
      </c>
      <c r="D553">
        <v>3.9134739999999999</v>
      </c>
      <c r="E553">
        <v>0.53748379999999996</v>
      </c>
      <c r="F553" t="s">
        <v>42</v>
      </c>
      <c r="G553">
        <v>-294.5539</v>
      </c>
      <c r="H553">
        <v>-0.05</v>
      </c>
      <c r="I553">
        <v>363.44850000000002</v>
      </c>
      <c r="J553">
        <v>-337.52289999999999</v>
      </c>
      <c r="K553">
        <v>1.1081240000000001</v>
      </c>
      <c r="L553">
        <v>368.87130000000002</v>
      </c>
      <c r="M553">
        <v>0.99993869999999896</v>
      </c>
      <c r="N553">
        <v>0</v>
      </c>
      <c r="O553">
        <v>3.361321E-3</v>
      </c>
      <c r="P553">
        <v>0.99776609999999999</v>
      </c>
      <c r="Q553">
        <v>-6.1499150000000002E-2</v>
      </c>
      <c r="R553">
        <v>-2.6090729999999999E-2</v>
      </c>
      <c r="S553">
        <v>2.9921259999999998</v>
      </c>
      <c r="T553">
        <v>-8.0246810000000002E-2</v>
      </c>
      <c r="U553">
        <v>-0.37570189999999998</v>
      </c>
      <c r="V553">
        <v>2.9380880000000002E-2</v>
      </c>
      <c r="W553">
        <v>-5.100561E-2</v>
      </c>
      <c r="X553">
        <v>0.99826610000000005</v>
      </c>
      <c r="Y553">
        <v>0.1278734</v>
      </c>
      <c r="Z553">
        <v>-1.7975179999999999E-3</v>
      </c>
      <c r="AA553">
        <v>0.99178889999999997</v>
      </c>
      <c r="AB553">
        <v>45</v>
      </c>
      <c r="AC553">
        <v>42.969000000000001</v>
      </c>
      <c r="AD553">
        <v>-1.1581239999999999</v>
      </c>
      <c r="AE553">
        <v>-5.4227999999999899</v>
      </c>
      <c r="AF553">
        <v>5.5632320068195398</v>
      </c>
      <c r="AG553">
        <v>-1.1581239999999999</v>
      </c>
      <c r="AH553">
        <v>42.919838565963303</v>
      </c>
      <c r="AI553">
        <v>91.532844064559995</v>
      </c>
      <c r="AJ553">
        <v>82.614548659962097</v>
      </c>
      <c r="AK553">
        <v>43.294380052027897</v>
      </c>
      <c r="AL553">
        <v>92.923674790439705</v>
      </c>
      <c r="AM553">
        <v>88.314162326025297</v>
      </c>
      <c r="AN553">
        <v>1.0000000073851201</v>
      </c>
    </row>
    <row r="554" spans="1:40" x14ac:dyDescent="0.25">
      <c r="A554" t="str">
        <f>"20190312151511767"</f>
        <v>20190312151511767</v>
      </c>
      <c r="B554" t="str">
        <f>"1552374911758274"</f>
        <v>1552374911758274</v>
      </c>
      <c r="C554" t="s">
        <v>40</v>
      </c>
      <c r="D554">
        <v>4.4544430000000004</v>
      </c>
      <c r="E554">
        <v>0.53774319999999998</v>
      </c>
      <c r="F554" t="s">
        <v>42</v>
      </c>
      <c r="G554">
        <v>-291.38249999999999</v>
      </c>
      <c r="H554">
        <v>-0.05</v>
      </c>
      <c r="I554">
        <v>363.04320000000001</v>
      </c>
      <c r="J554">
        <v>-337.30579999999998</v>
      </c>
      <c r="K554">
        <v>1.1081299999999901</v>
      </c>
      <c r="L554">
        <v>368.87189999999998</v>
      </c>
      <c r="M554">
        <v>0.99993929999999998</v>
      </c>
      <c r="N554">
        <v>0</v>
      </c>
      <c r="O554">
        <v>3.1748879999999998E-3</v>
      </c>
      <c r="P554">
        <v>0.99774059999999998</v>
      </c>
      <c r="Q554">
        <v>-6.1766389999999997E-2</v>
      </c>
      <c r="R554">
        <v>-2.643763E-2</v>
      </c>
      <c r="S554">
        <v>2.9922490000000002</v>
      </c>
      <c r="T554">
        <v>-7.5105430000000001E-2</v>
      </c>
      <c r="U554">
        <v>-0.37796020000000002</v>
      </c>
      <c r="V554">
        <v>2.9542140000000001E-2</v>
      </c>
      <c r="W554">
        <v>-5.1268010000000003E-2</v>
      </c>
      <c r="X554">
        <v>0.99824789999999997</v>
      </c>
      <c r="Y554">
        <v>0.12842600000000001</v>
      </c>
      <c r="Z554">
        <v>-1.6844879999999901E-3</v>
      </c>
      <c r="AA554">
        <v>0.99171770000000004</v>
      </c>
      <c r="AB554">
        <v>45</v>
      </c>
      <c r="AC554">
        <v>45.923299999999898</v>
      </c>
      <c r="AD554">
        <v>-1.1581300000000001</v>
      </c>
      <c r="AE554">
        <v>-5.8286999999999596</v>
      </c>
      <c r="AF554">
        <v>5.9707429557221303</v>
      </c>
      <c r="AG554">
        <v>-1.1581300000000001</v>
      </c>
      <c r="AH554">
        <v>45.875848126808002</v>
      </c>
      <c r="AI554">
        <v>91.434028167889807</v>
      </c>
      <c r="AJ554">
        <v>82.584634874052497</v>
      </c>
      <c r="AK554">
        <v>46.2772565942943</v>
      </c>
      <c r="AL554">
        <v>92.938728895950604</v>
      </c>
      <c r="AM554">
        <v>88.304883928315107</v>
      </c>
      <c r="AN554">
        <v>1.00000000836977</v>
      </c>
    </row>
    <row r="555" spans="1:40" x14ac:dyDescent="0.25">
      <c r="A555" t="str">
        <f>"20190312151511777"</f>
        <v>20190312151511777</v>
      </c>
      <c r="B555" t="str">
        <f>"1552374911768034"</f>
        <v>1552374911768034</v>
      </c>
      <c r="C555" t="s">
        <v>40</v>
      </c>
      <c r="D555">
        <v>4.4660950000000001</v>
      </c>
      <c r="E555">
        <v>0.53782609999999997</v>
      </c>
      <c r="F555" t="s">
        <v>42</v>
      </c>
      <c r="G555">
        <v>-288.51490000000001</v>
      </c>
      <c r="H555">
        <v>-0.05</v>
      </c>
      <c r="I555">
        <v>362.65530000000001</v>
      </c>
      <c r="J555">
        <v>-337.10219999999998</v>
      </c>
      <c r="K555">
        <v>1.1081379999999901</v>
      </c>
      <c r="L555">
        <v>368.87240000000003</v>
      </c>
      <c r="M555">
        <v>0.99993989999999999</v>
      </c>
      <c r="N555">
        <v>0</v>
      </c>
      <c r="O555">
        <v>3.0037800000000002E-3</v>
      </c>
      <c r="P555">
        <v>0.99773279999999998</v>
      </c>
      <c r="Q555">
        <v>-6.1648500000000002E-2</v>
      </c>
      <c r="R555">
        <v>-2.700139E-2</v>
      </c>
      <c r="S555">
        <v>2.9922789999999999</v>
      </c>
      <c r="T555">
        <v>-7.1026560000000002E-2</v>
      </c>
      <c r="U555">
        <v>-0.38125609999999999</v>
      </c>
      <c r="V555">
        <v>2.993637E-2</v>
      </c>
      <c r="W555">
        <v>-5.1145780000000002E-2</v>
      </c>
      <c r="X555">
        <v>0.99824239999999997</v>
      </c>
      <c r="Y555">
        <v>0.12933410000000001</v>
      </c>
      <c r="Z555">
        <v>-1.599594E-3</v>
      </c>
      <c r="AA555">
        <v>0.99159980000000003</v>
      </c>
      <c r="AB555">
        <v>45</v>
      </c>
      <c r="AC555">
        <v>48.5872999999999</v>
      </c>
      <c r="AD555">
        <v>-1.1581379999999999</v>
      </c>
      <c r="AE555">
        <v>-6.2171000000000101</v>
      </c>
      <c r="AF555">
        <v>6.3594705956365303</v>
      </c>
      <c r="AG555">
        <v>-1.1581379999999999</v>
      </c>
      <c r="AH555">
        <v>48.5412697392523</v>
      </c>
      <c r="AI555">
        <v>91.355174793429399</v>
      </c>
      <c r="AJ555">
        <v>82.536096731233798</v>
      </c>
      <c r="AK555">
        <v>48.9697765747677</v>
      </c>
      <c r="AL555">
        <v>92.931716507110707</v>
      </c>
      <c r="AM555">
        <v>88.282267174276996</v>
      </c>
      <c r="AN555">
        <v>0.99999998310917204</v>
      </c>
    </row>
    <row r="556" spans="1:40" x14ac:dyDescent="0.25">
      <c r="A556" t="str">
        <f>"20190312151511789"</f>
        <v>20190312151511789</v>
      </c>
      <c r="B556" t="str">
        <f>"1552374911778772"</f>
        <v>1552374911778772</v>
      </c>
      <c r="C556" t="s">
        <v>40</v>
      </c>
      <c r="D556">
        <v>4.4572339999999997</v>
      </c>
      <c r="E556">
        <v>0.53778280000000001</v>
      </c>
      <c r="F556" t="s">
        <v>42</v>
      </c>
      <c r="G556">
        <v>-284.63670000000002</v>
      </c>
      <c r="H556">
        <v>-0.05</v>
      </c>
      <c r="I556">
        <v>362.14280000000002</v>
      </c>
      <c r="J556">
        <v>-336.85419999999999</v>
      </c>
      <c r="K556">
        <v>1.1081479999999999</v>
      </c>
      <c r="L556">
        <v>368.87299999999999</v>
      </c>
      <c r="M556">
        <v>0.9999403</v>
      </c>
      <c r="N556">
        <v>0</v>
      </c>
      <c r="O556">
        <v>2.8008730000000002E-3</v>
      </c>
      <c r="P556">
        <v>0.9977104</v>
      </c>
      <c r="Q556">
        <v>-6.1697299999999997E-2</v>
      </c>
      <c r="R556">
        <v>-2.7706680000000001E-2</v>
      </c>
      <c r="S556">
        <v>2.99234</v>
      </c>
      <c r="T556">
        <v>-6.6053749999999994E-2</v>
      </c>
      <c r="U556">
        <v>-0.38381959999999998</v>
      </c>
      <c r="V556">
        <v>3.0440020000000002E-2</v>
      </c>
      <c r="W556">
        <v>-5.1189459999999999E-2</v>
      </c>
      <c r="X556">
        <v>0.99822500000000003</v>
      </c>
      <c r="Y556">
        <v>0.129971</v>
      </c>
      <c r="Z556">
        <v>-1.4900569999999999E-3</v>
      </c>
      <c r="AA556">
        <v>0.99151659999999997</v>
      </c>
      <c r="AB556">
        <v>45</v>
      </c>
      <c r="AC556">
        <v>52.217499999999902</v>
      </c>
      <c r="AD556">
        <v>-1.158148</v>
      </c>
      <c r="AE556">
        <v>-6.7302000000000204</v>
      </c>
      <c r="AF556">
        <v>6.8731105581865197</v>
      </c>
      <c r="AG556">
        <v>-1.158148</v>
      </c>
      <c r="AH556">
        <v>52.173197925926097</v>
      </c>
      <c r="AI556">
        <v>91.260761627148099</v>
      </c>
      <c r="AJ556">
        <v>82.495273309604102</v>
      </c>
      <c r="AK556">
        <v>52.636712828147097</v>
      </c>
      <c r="AL556">
        <v>92.934222263780995</v>
      </c>
      <c r="AM556">
        <v>88.2533553340499</v>
      </c>
      <c r="AN556">
        <v>1.00000005312884</v>
      </c>
    </row>
    <row r="557" spans="1:40" x14ac:dyDescent="0.25">
      <c r="A557" t="str">
        <f>"20190312151511804"</f>
        <v>20190312151511804</v>
      </c>
      <c r="B557" t="str">
        <f>"1552374911798290"</f>
        <v>1552374911798290</v>
      </c>
      <c r="C557" t="s">
        <v>40</v>
      </c>
      <c r="D557">
        <v>4.4849420000000002</v>
      </c>
      <c r="E557">
        <v>0.53792969999999996</v>
      </c>
      <c r="F557" t="s">
        <v>42</v>
      </c>
      <c r="G557">
        <v>-282.73020000000002</v>
      </c>
      <c r="H557">
        <v>-0.05</v>
      </c>
      <c r="I557">
        <v>361.89830000000001</v>
      </c>
      <c r="J557">
        <v>-336.5908</v>
      </c>
      <c r="K557">
        <v>1.1081589999999999</v>
      </c>
      <c r="L557">
        <v>368.87369999999999</v>
      </c>
      <c r="M557">
        <v>0.99994079999999996</v>
      </c>
      <c r="N557">
        <v>0</v>
      </c>
      <c r="O557">
        <v>2.5954289999999998E-3</v>
      </c>
      <c r="P557">
        <v>0.99770919999999996</v>
      </c>
      <c r="Q557">
        <v>-6.1525870000000003E-2</v>
      </c>
      <c r="R557">
        <v>-2.812535E-2</v>
      </c>
      <c r="S557">
        <v>2.9921880000000001</v>
      </c>
      <c r="T557">
        <v>-6.4026949999999999E-2</v>
      </c>
      <c r="U557">
        <v>-0.38558959999999998</v>
      </c>
      <c r="V557">
        <v>3.0655559999999998E-2</v>
      </c>
      <c r="W557">
        <v>-5.1012019999999998E-2</v>
      </c>
      <c r="X557">
        <v>0.99822739999999999</v>
      </c>
      <c r="Y557">
        <v>0.13035250000000001</v>
      </c>
      <c r="Z557">
        <v>-1.4440519999999999E-3</v>
      </c>
      <c r="AA557">
        <v>0.99146659999999998</v>
      </c>
      <c r="AB557">
        <v>45</v>
      </c>
      <c r="AC557">
        <v>53.860599999999899</v>
      </c>
      <c r="AD557">
        <v>-1.1581589999999999</v>
      </c>
      <c r="AE557">
        <v>-6.9753999999999703</v>
      </c>
      <c r="AF557">
        <v>7.1119415347028703</v>
      </c>
      <c r="AG557">
        <v>-1.1581589999999999</v>
      </c>
      <c r="AH557">
        <v>53.817839880300397</v>
      </c>
      <c r="AI557">
        <v>91.222191680123501</v>
      </c>
      <c r="AJ557">
        <v>82.472072648006801</v>
      </c>
      <c r="AK557">
        <v>54.298074864989097</v>
      </c>
      <c r="AL557">
        <v>92.924042656735594</v>
      </c>
      <c r="AM557">
        <v>88.240999643761199</v>
      </c>
      <c r="AN557">
        <v>0.99999996582707595</v>
      </c>
    </row>
    <row r="558" spans="1:40" x14ac:dyDescent="0.25">
      <c r="A558" t="str">
        <f>"20190312151511821"</f>
        <v>20190312151511821</v>
      </c>
      <c r="B558" t="str">
        <f>"1552374911818786"</f>
        <v>1552374911818786</v>
      </c>
      <c r="C558" t="s">
        <v>40</v>
      </c>
      <c r="D558">
        <v>4.4689189999999996</v>
      </c>
      <c r="E558">
        <v>0.53795380000000004</v>
      </c>
      <c r="F558" t="s">
        <v>43</v>
      </c>
      <c r="G558">
        <v>-278.65620000000001</v>
      </c>
      <c r="H558" s="1">
        <v>-2.638577E-6</v>
      </c>
      <c r="I558">
        <v>361.36590000000001</v>
      </c>
      <c r="J558">
        <v>-336.22930000000002</v>
      </c>
      <c r="K558">
        <v>1.108177</v>
      </c>
      <c r="L558">
        <v>368.87439999999998</v>
      </c>
      <c r="M558">
        <v>0.99994150000000004</v>
      </c>
      <c r="N558">
        <v>0</v>
      </c>
      <c r="O558">
        <v>2.32724E-3</v>
      </c>
      <c r="P558">
        <v>0.99768650000000003</v>
      </c>
      <c r="Q558">
        <v>-6.1474260000000003E-2</v>
      </c>
      <c r="R558">
        <v>-2.903068E-2</v>
      </c>
      <c r="S558">
        <v>2.992432</v>
      </c>
      <c r="T558">
        <v>-5.7238579999999997E-2</v>
      </c>
      <c r="U558">
        <v>-0.38778689999999999</v>
      </c>
      <c r="V558">
        <v>3.1295440000000001E-2</v>
      </c>
      <c r="W558">
        <v>-5.0952810000000001E-2</v>
      </c>
      <c r="X558">
        <v>0.99821059999999995</v>
      </c>
      <c r="Y558">
        <v>0.13079839999999901</v>
      </c>
      <c r="Z558">
        <v>-1.28995E-3</v>
      </c>
      <c r="AA558">
        <v>0.99140819999999996</v>
      </c>
      <c r="AB558">
        <v>45</v>
      </c>
      <c r="AC558">
        <v>57.573099999999997</v>
      </c>
      <c r="AD558">
        <v>-1.108179638577</v>
      </c>
      <c r="AE558">
        <v>-7.5084999999999598</v>
      </c>
      <c r="AF558">
        <v>7.6396904393986897</v>
      </c>
      <c r="AG558">
        <v>-1.108179638577</v>
      </c>
      <c r="AH558">
        <v>57.534509323680297</v>
      </c>
      <c r="AI558">
        <v>91.093846293451094</v>
      </c>
      <c r="AJ558">
        <v>82.436256012226593</v>
      </c>
      <c r="AK558">
        <v>58.0500878142131</v>
      </c>
      <c r="AL558">
        <v>92.920645662900398</v>
      </c>
      <c r="AM558">
        <v>88.204277247106205</v>
      </c>
      <c r="AN558">
        <v>0.99999999768202397</v>
      </c>
    </row>
    <row r="559" spans="1:40" x14ac:dyDescent="0.25">
      <c r="A559" t="str">
        <f>"20190312151511842"</f>
        <v>20190312151511842</v>
      </c>
      <c r="B559" t="str">
        <f>"1552374911838308"</f>
        <v>1552374911838308</v>
      </c>
      <c r="C559" t="s">
        <v>40</v>
      </c>
      <c r="D559">
        <v>4.4618099999999998</v>
      </c>
      <c r="E559">
        <v>0.53796650000000001</v>
      </c>
      <c r="F559" t="s">
        <v>43</v>
      </c>
      <c r="G559">
        <v>-273.07479999999998</v>
      </c>
      <c r="H559" s="1">
        <v>-4.7363300000000003E-6</v>
      </c>
      <c r="I559">
        <v>360.62040000000002</v>
      </c>
      <c r="J559">
        <v>-335.81270000000001</v>
      </c>
      <c r="K559">
        <v>1.1082000000000001</v>
      </c>
      <c r="L559">
        <v>368.87520000000001</v>
      </c>
      <c r="M559">
        <v>0.99994190000000005</v>
      </c>
      <c r="N559">
        <v>0</v>
      </c>
      <c r="O559">
        <v>2.0426049999999999E-3</v>
      </c>
      <c r="P559">
        <v>0.99768290000000004</v>
      </c>
      <c r="Q559">
        <v>-6.1181039999999999E-2</v>
      </c>
      <c r="R559">
        <v>-2.976208E-2</v>
      </c>
      <c r="S559">
        <v>2.99234</v>
      </c>
      <c r="T559">
        <v>-5.2506919999999999E-2</v>
      </c>
      <c r="U559">
        <v>-0.39108280000000001</v>
      </c>
      <c r="V559">
        <v>3.1745959999999997E-2</v>
      </c>
      <c r="W559">
        <v>-5.0648989999999998E-2</v>
      </c>
      <c r="X559">
        <v>0.99821190000000004</v>
      </c>
      <c r="Y559">
        <v>0.13159749999999901</v>
      </c>
      <c r="Z559">
        <v>-1.185293E-3</v>
      </c>
      <c r="AA559">
        <v>0.99130249999999998</v>
      </c>
      <c r="AB559">
        <v>45</v>
      </c>
      <c r="AC559">
        <v>62.737900000000003</v>
      </c>
      <c r="AD559">
        <v>-1.1082047363299901</v>
      </c>
      <c r="AE559">
        <v>-8.2547999999999799</v>
      </c>
      <c r="AF559">
        <v>8.3803683742667303</v>
      </c>
      <c r="AG559">
        <v>-1.1082047363299901</v>
      </c>
      <c r="AH559">
        <v>62.7016757307711</v>
      </c>
      <c r="AI559">
        <v>91.003631496606701</v>
      </c>
      <c r="AJ559">
        <v>82.387270808215703</v>
      </c>
      <c r="AK559">
        <v>63.268940494312098</v>
      </c>
      <c r="AL559">
        <v>92.903215367201994</v>
      </c>
      <c r="AM559">
        <v>88.178446210232906</v>
      </c>
      <c r="AN559">
        <v>1.0000000617329701</v>
      </c>
    </row>
    <row r="560" spans="1:40" x14ac:dyDescent="0.25">
      <c r="A560" t="str">
        <f>"20190312151511852"</f>
        <v>20190312151511852</v>
      </c>
      <c r="B560" t="str">
        <f>"1552374911848066"</f>
        <v>1552374911848066</v>
      </c>
      <c r="C560" t="s">
        <v>40</v>
      </c>
      <c r="D560">
        <v>4.4690070000000004</v>
      </c>
      <c r="E560">
        <v>0.53802869999999903</v>
      </c>
      <c r="F560" t="s">
        <v>43</v>
      </c>
      <c r="G560">
        <v>-265.63299999999998</v>
      </c>
      <c r="H560" s="1">
        <v>-4.1227959999999996E-6</v>
      </c>
      <c r="I560">
        <v>359.65440000000001</v>
      </c>
      <c r="J560">
        <v>-335.59410000000003</v>
      </c>
      <c r="K560">
        <v>1.1082110000000001</v>
      </c>
      <c r="L560">
        <v>368.87549999999999</v>
      </c>
      <c r="M560">
        <v>0.9999422</v>
      </c>
      <c r="N560">
        <v>0</v>
      </c>
      <c r="O560">
        <v>1.9009529999999999E-3</v>
      </c>
      <c r="P560">
        <v>0.9976758</v>
      </c>
      <c r="Q560">
        <v>-6.1120899999999999E-2</v>
      </c>
      <c r="R560">
        <v>-3.0127560000000001E-2</v>
      </c>
      <c r="S560">
        <v>2.99234</v>
      </c>
      <c r="T560">
        <v>-4.725182E-2</v>
      </c>
      <c r="U560">
        <v>-0.39315800000000001</v>
      </c>
      <c r="V560">
        <v>3.1971600000000003E-2</v>
      </c>
      <c r="W560">
        <v>-5.0582469999999997E-2</v>
      </c>
      <c r="X560">
        <v>0.99820799999999998</v>
      </c>
      <c r="Y560">
        <v>0.1321367</v>
      </c>
      <c r="Z560">
        <v>-1.068643E-3</v>
      </c>
      <c r="AA560">
        <v>0.99123090000000003</v>
      </c>
      <c r="AB560">
        <v>45</v>
      </c>
      <c r="AC560">
        <v>69.961100000000002</v>
      </c>
      <c r="AD560">
        <v>-1.108215122796</v>
      </c>
      <c r="AE560">
        <v>-9.2210999999999803</v>
      </c>
      <c r="AF560">
        <v>9.3517770699194305</v>
      </c>
      <c r="AG560">
        <v>-1.108215122796</v>
      </c>
      <c r="AH560">
        <v>69.926197458086094</v>
      </c>
      <c r="AI560">
        <v>90.899956557599893</v>
      </c>
      <c r="AJ560">
        <v>82.382587382290197</v>
      </c>
      <c r="AK560">
        <v>70.557472786878506</v>
      </c>
      <c r="AL560">
        <v>92.899399367663506</v>
      </c>
      <c r="AM560">
        <v>88.165500848900393</v>
      </c>
      <c r="AN560">
        <v>0.99999999037093001</v>
      </c>
    </row>
    <row r="561" spans="1:40" x14ac:dyDescent="0.25">
      <c r="A561" t="str">
        <f>"20190312151511864"</f>
        <v>20190312151511864</v>
      </c>
      <c r="B561" t="str">
        <f>"1552374911858802"</f>
        <v>1552374911858802</v>
      </c>
      <c r="C561" t="s">
        <v>40</v>
      </c>
      <c r="D561">
        <v>4.4677360000000004</v>
      </c>
      <c r="E561">
        <v>0.53810469999999999</v>
      </c>
      <c r="F561" t="s">
        <v>43</v>
      </c>
      <c r="G561">
        <v>-265.41899999999998</v>
      </c>
      <c r="H561">
        <v>7.7263150000000001E-3</v>
      </c>
      <c r="I561">
        <v>359.61630000000002</v>
      </c>
      <c r="J561">
        <v>-335.3578</v>
      </c>
      <c r="K561">
        <v>1.1082270000000001</v>
      </c>
      <c r="L561">
        <v>368.8759</v>
      </c>
      <c r="M561">
        <v>0.99994240000000001</v>
      </c>
      <c r="N561">
        <v>0</v>
      </c>
      <c r="O561">
        <v>1.762181E-3</v>
      </c>
      <c r="P561">
        <v>0.99767349999999999</v>
      </c>
      <c r="Q561">
        <v>-6.0953E-2</v>
      </c>
      <c r="R561">
        <v>-3.053765E-2</v>
      </c>
      <c r="S561">
        <v>2.9922179999999998</v>
      </c>
      <c r="T561">
        <v>-4.6923880000000001E-2</v>
      </c>
      <c r="U561">
        <v>-0.39480589999999999</v>
      </c>
      <c r="V561">
        <v>3.2245309999999999E-2</v>
      </c>
      <c r="W561">
        <v>-5.0406090000000001E-2</v>
      </c>
      <c r="X561">
        <v>0.99820810000000004</v>
      </c>
      <c r="Y561">
        <v>0.1325412</v>
      </c>
      <c r="Z561">
        <v>-1.062222E-3</v>
      </c>
      <c r="AA561">
        <v>0.99117690000000003</v>
      </c>
      <c r="AB561">
        <v>45</v>
      </c>
      <c r="AC561">
        <v>69.938799999999901</v>
      </c>
      <c r="AD561">
        <v>-1.1005006850000001</v>
      </c>
      <c r="AE561">
        <v>-9.2595999999999705</v>
      </c>
      <c r="AF561">
        <v>9.3805547731608794</v>
      </c>
      <c r="AG561">
        <v>-1.1005006850000001</v>
      </c>
      <c r="AH561">
        <v>69.905363242327894</v>
      </c>
      <c r="AI561">
        <v>90.893906053867397</v>
      </c>
      <c r="AJ561">
        <v>82.3571729931395</v>
      </c>
      <c r="AK561">
        <v>70.540525371248606</v>
      </c>
      <c r="AL561">
        <v>92.889280681917796</v>
      </c>
      <c r="AM561">
        <v>88.149806691322794</v>
      </c>
      <c r="AN561">
        <v>0.99999997241584604</v>
      </c>
    </row>
    <row r="562" spans="1:40" x14ac:dyDescent="0.25">
      <c r="A562" t="str">
        <f>"20190312151511876"</f>
        <v>20190312151511876</v>
      </c>
      <c r="B562" t="str">
        <f>"1552374911868563"</f>
        <v>1552374911868563</v>
      </c>
      <c r="C562" t="s">
        <v>40</v>
      </c>
      <c r="D562">
        <v>4.4825569999999999</v>
      </c>
      <c r="E562">
        <v>0.53807629999999995</v>
      </c>
      <c r="F562" t="s">
        <v>43</v>
      </c>
      <c r="G562">
        <v>-265.51819999999998</v>
      </c>
      <c r="H562">
        <v>4.4818160000000003E-2</v>
      </c>
      <c r="I562">
        <v>359.61630000000002</v>
      </c>
      <c r="J562">
        <v>-335.1454</v>
      </c>
      <c r="K562">
        <v>1.1082379999999901</v>
      </c>
      <c r="L562">
        <v>368.87619999999998</v>
      </c>
      <c r="M562">
        <v>0.99994240000000001</v>
      </c>
      <c r="N562">
        <v>0</v>
      </c>
      <c r="O562">
        <v>1.6410369999999999E-3</v>
      </c>
      <c r="P562">
        <v>0.99765510000000002</v>
      </c>
      <c r="Q562">
        <v>-6.117645E-2</v>
      </c>
      <c r="R562">
        <v>-3.0691630000000001E-2</v>
      </c>
      <c r="S562">
        <v>2.9920650000000002</v>
      </c>
      <c r="T562">
        <v>-4.555845E-2</v>
      </c>
      <c r="U562">
        <v>-0.396698</v>
      </c>
      <c r="V562">
        <v>3.227969E-2</v>
      </c>
      <c r="W562">
        <v>-5.0621630000000001E-2</v>
      </c>
      <c r="X562">
        <v>0.99819610000000003</v>
      </c>
      <c r="Y562">
        <v>0.13304460000000001</v>
      </c>
      <c r="Z562">
        <v>-1.033305E-3</v>
      </c>
      <c r="AA562">
        <v>0.99110949999999998</v>
      </c>
      <c r="AB562">
        <v>45</v>
      </c>
      <c r="AC562">
        <v>69.627200000000002</v>
      </c>
      <c r="AD562">
        <v>-1.0634198399999999</v>
      </c>
      <c r="AE562">
        <v>-9.2598999999999592</v>
      </c>
      <c r="AF562">
        <v>9.3720065927373302</v>
      </c>
      <c r="AG562">
        <v>-1.0634198399999999</v>
      </c>
      <c r="AH562">
        <v>69.595957311809897</v>
      </c>
      <c r="AI562">
        <v>90.867576305396099</v>
      </c>
      <c r="AJ562">
        <v>82.330511144501799</v>
      </c>
      <c r="AK562">
        <v>70.232205173108994</v>
      </c>
      <c r="AL562">
        <v>92.901645946883804</v>
      </c>
      <c r="AM562">
        <v>88.147813134962504</v>
      </c>
      <c r="AN562">
        <v>0.99999999093278102</v>
      </c>
    </row>
    <row r="563" spans="1:40" x14ac:dyDescent="0.25">
      <c r="A563" t="str">
        <f>"20190312151511886"</f>
        <v>20190312151511886</v>
      </c>
      <c r="B563" t="str">
        <f>"1552374911878322"</f>
        <v>1552374911878322</v>
      </c>
      <c r="C563" t="s">
        <v>40</v>
      </c>
      <c r="D563">
        <v>4.4551920000000003</v>
      </c>
      <c r="E563">
        <v>0.53811069999999905</v>
      </c>
      <c r="F563" t="s">
        <v>43</v>
      </c>
      <c r="G563">
        <v>-265.20490000000001</v>
      </c>
      <c r="H563">
        <v>6.6529560000000001E-2</v>
      </c>
      <c r="I563">
        <v>359.59969999999998</v>
      </c>
      <c r="J563">
        <v>-334.91820000000001</v>
      </c>
      <c r="K563">
        <v>1.1082540000000001</v>
      </c>
      <c r="L563">
        <v>368.87650000000002</v>
      </c>
      <c r="M563">
        <v>0.99994260000000001</v>
      </c>
      <c r="N563">
        <v>0</v>
      </c>
      <c r="O563">
        <v>1.5221150000000001E-3</v>
      </c>
      <c r="P563">
        <v>0.99763650000000004</v>
      </c>
      <c r="Q563">
        <v>-6.1268490000000002E-2</v>
      </c>
      <c r="R563">
        <v>-3.1110269999999999E-2</v>
      </c>
      <c r="S563">
        <v>2.9920960000000001</v>
      </c>
      <c r="T563">
        <v>-4.4564840000000001E-2</v>
      </c>
      <c r="U563">
        <v>-0.3968506</v>
      </c>
      <c r="V563">
        <v>3.2581529999999997E-2</v>
      </c>
      <c r="W563">
        <v>-5.0704899999999997E-2</v>
      </c>
      <c r="X563">
        <v>0.99818209999999996</v>
      </c>
      <c r="Y563">
        <v>0.1329757</v>
      </c>
      <c r="Z563">
        <v>-1.008484E-3</v>
      </c>
      <c r="AA563">
        <v>0.99111879999999997</v>
      </c>
      <c r="AB563">
        <v>45</v>
      </c>
      <c r="AC563">
        <v>69.713300000000004</v>
      </c>
      <c r="AD563">
        <v>-1.0417244400000001</v>
      </c>
      <c r="AE563">
        <v>-9.2768000000000299</v>
      </c>
      <c r="AF563">
        <v>9.3808486524195196</v>
      </c>
      <c r="AG563">
        <v>-1.0417244400000001</v>
      </c>
      <c r="AH563">
        <v>69.683808938373801</v>
      </c>
      <c r="AI563">
        <v>90.848812549983805</v>
      </c>
      <c r="AJ563">
        <v>82.332924460040203</v>
      </c>
      <c r="AK563">
        <v>70.320116178859394</v>
      </c>
      <c r="AL563">
        <v>92.906423005533796</v>
      </c>
      <c r="AM563">
        <v>88.130479790261603</v>
      </c>
      <c r="AN563">
        <v>1.00000002387078</v>
      </c>
    </row>
    <row r="564" spans="1:40" x14ac:dyDescent="0.25">
      <c r="A564" t="str">
        <f>"20190312151511898"</f>
        <v>20190312151511898</v>
      </c>
      <c r="B564" t="str">
        <f>"1552374911888082"</f>
        <v>1552374911888082</v>
      </c>
      <c r="C564" t="s">
        <v>40</v>
      </c>
      <c r="D564">
        <v>4.4819719999999998</v>
      </c>
      <c r="E564">
        <v>0.53797620000000002</v>
      </c>
      <c r="F564" t="s">
        <v>43</v>
      </c>
      <c r="G564">
        <v>-265.42180000000002</v>
      </c>
      <c r="H564">
        <v>2.8077000000000001E-2</v>
      </c>
      <c r="I564">
        <v>359.61630000000002</v>
      </c>
      <c r="J564">
        <v>-334.68959999999998</v>
      </c>
      <c r="K564">
        <v>1.1082700000000001</v>
      </c>
      <c r="L564">
        <v>368.8768</v>
      </c>
      <c r="M564">
        <v>0.99994249999999996</v>
      </c>
      <c r="N564">
        <v>0</v>
      </c>
      <c r="O564">
        <v>1.4102330000000001E-3</v>
      </c>
      <c r="P564">
        <v>0.9976294</v>
      </c>
      <c r="Q564">
        <v>-6.1239849999999998E-2</v>
      </c>
      <c r="R564">
        <v>-3.1385870000000003E-2</v>
      </c>
      <c r="S564">
        <v>2.9918209999999998</v>
      </c>
      <c r="T564">
        <v>-4.6501639999999997E-2</v>
      </c>
      <c r="U564">
        <v>-0.39865109999999998</v>
      </c>
      <c r="V564">
        <v>3.2747440000000003E-2</v>
      </c>
      <c r="W564">
        <v>-5.0667110000000001E-2</v>
      </c>
      <c r="X564">
        <v>0.99817849999999997</v>
      </c>
      <c r="Y564">
        <v>0.13346150000000001</v>
      </c>
      <c r="Z564">
        <v>-1.054389E-3</v>
      </c>
      <c r="AA564">
        <v>0.99105350000000003</v>
      </c>
      <c r="AB564">
        <v>45</v>
      </c>
      <c r="AC564">
        <v>69.267799999999895</v>
      </c>
      <c r="AD564">
        <v>-1.080193</v>
      </c>
      <c r="AE564">
        <v>-9.2604999999999809</v>
      </c>
      <c r="AF564">
        <v>9.3559447581214901</v>
      </c>
      <c r="AG564">
        <v>-1.080193</v>
      </c>
      <c r="AH564">
        <v>69.238128780229601</v>
      </c>
      <c r="AI564">
        <v>90.885757568191394</v>
      </c>
      <c r="AJ564">
        <v>82.304402671470896</v>
      </c>
      <c r="AK564">
        <v>69.875739682824999</v>
      </c>
      <c r="AL564">
        <v>92.904255271599595</v>
      </c>
      <c r="AM564">
        <v>88.120959950322501</v>
      </c>
      <c r="AN564">
        <v>0.99999993436227497</v>
      </c>
    </row>
    <row r="565" spans="1:40" x14ac:dyDescent="0.25">
      <c r="A565" t="str">
        <f>"20190312151512005"</f>
        <v>20190312151512005</v>
      </c>
      <c r="B565" t="str">
        <f>"1552374911998371"</f>
        <v>1552374911998371</v>
      </c>
      <c r="C565" t="s">
        <v>40</v>
      </c>
      <c r="D565">
        <v>4.837561</v>
      </c>
      <c r="E565">
        <v>0.53814879999999998</v>
      </c>
      <c r="F565" t="s">
        <v>43</v>
      </c>
      <c r="G565">
        <v>-251.04159999999999</v>
      </c>
      <c r="H565">
        <v>7.998661E-2</v>
      </c>
      <c r="I565">
        <v>357.7389</v>
      </c>
      <c r="J565">
        <v>-332.56060000000002</v>
      </c>
      <c r="K565">
        <v>1.1084510000000001</v>
      </c>
      <c r="L565">
        <v>368.87869999999998</v>
      </c>
      <c r="M565">
        <v>0.99994240000000001</v>
      </c>
      <c r="N565">
        <v>0</v>
      </c>
      <c r="O565">
        <v>8.0349079999999997E-4</v>
      </c>
      <c r="P565">
        <v>0.99762930000000005</v>
      </c>
      <c r="Q565">
        <v>-5.983803E-2</v>
      </c>
      <c r="R565">
        <v>-3.3995539999999998E-2</v>
      </c>
      <c r="S565">
        <v>2.9923709999999999</v>
      </c>
      <c r="T565">
        <v>-3.6785129999999999E-2</v>
      </c>
      <c r="U565">
        <v>-0.3984375</v>
      </c>
      <c r="V565">
        <v>3.4773289999999998E-2</v>
      </c>
      <c r="W565">
        <v>-4.9157810000000003E-2</v>
      </c>
      <c r="X565">
        <v>0.99818549999999995</v>
      </c>
      <c r="Y565">
        <v>0.1327728</v>
      </c>
      <c r="Z565">
        <v>-8.2230460000000003E-4</v>
      </c>
      <c r="AA565">
        <v>0.99114610000000003</v>
      </c>
      <c r="AB565">
        <v>45</v>
      </c>
      <c r="AC565">
        <v>81.519000000000005</v>
      </c>
      <c r="AD565">
        <v>-1.0284643899999999</v>
      </c>
      <c r="AE565">
        <v>-11.1397999999999</v>
      </c>
      <c r="AF565">
        <v>11.2035493449462</v>
      </c>
      <c r="AG565">
        <v>-1.0284643899999999</v>
      </c>
      <c r="AH565">
        <v>81.497288328082504</v>
      </c>
      <c r="AI565">
        <v>90.716276442996801</v>
      </c>
      <c r="AJ565">
        <v>82.172529664031401</v>
      </c>
      <c r="AK565">
        <v>82.270196679944505</v>
      </c>
      <c r="AL565">
        <v>92.817670683538594</v>
      </c>
      <c r="AM565">
        <v>88.004822372108904</v>
      </c>
      <c r="AN565">
        <v>0.99999998219583497</v>
      </c>
    </row>
    <row r="566" spans="1:40" x14ac:dyDescent="0.25">
      <c r="A566" t="str">
        <f>"20190312151512022"</f>
        <v>20190312151512022</v>
      </c>
      <c r="B566" t="str">
        <f>"1552374912018867"</f>
        <v>1552374912018867</v>
      </c>
      <c r="C566" t="s">
        <v>40</v>
      </c>
      <c r="D566">
        <v>4.577699</v>
      </c>
      <c r="E566">
        <v>0.5258043</v>
      </c>
      <c r="F566" t="s">
        <v>48</v>
      </c>
      <c r="G566">
        <v>-250.1806</v>
      </c>
      <c r="H566">
        <v>0.18428949999999999</v>
      </c>
      <c r="I566">
        <v>357.64920000000001</v>
      </c>
      <c r="J566">
        <v>-332.19600000000003</v>
      </c>
      <c r="K566">
        <v>1.1084799999999999</v>
      </c>
      <c r="L566">
        <v>368.87889999999999</v>
      </c>
      <c r="M566">
        <v>0.9999422</v>
      </c>
      <c r="N566">
        <v>0</v>
      </c>
      <c r="O566">
        <v>7.6500389999999998E-4</v>
      </c>
      <c r="P566">
        <v>0.99761690000000003</v>
      </c>
      <c r="Q566">
        <v>-5.9608719999999997E-2</v>
      </c>
      <c r="R566">
        <v>-3.474928E-2</v>
      </c>
      <c r="S566">
        <v>2.991241</v>
      </c>
      <c r="T566">
        <v>-3.3553479999999997E-2</v>
      </c>
      <c r="U566">
        <v>-0.40774539999999998</v>
      </c>
      <c r="V566">
        <v>3.54919E-2</v>
      </c>
      <c r="W566">
        <v>-4.8909319999999999E-2</v>
      </c>
      <c r="X566">
        <v>0.99817239999999996</v>
      </c>
      <c r="Y566">
        <v>0.13581360000000001</v>
      </c>
      <c r="Z566">
        <v>-7.6673970000000003E-4</v>
      </c>
      <c r="AA566">
        <v>0.99073409999999995</v>
      </c>
      <c r="AB566">
        <v>45</v>
      </c>
      <c r="AC566">
        <v>82.0153999999999</v>
      </c>
      <c r="AD566">
        <v>-0.92419050000000003</v>
      </c>
      <c r="AE566">
        <v>-11.2296999999999</v>
      </c>
      <c r="AF566">
        <v>11.2910350818163</v>
      </c>
      <c r="AG566">
        <v>-0.92419050000000003</v>
      </c>
      <c r="AH566">
        <v>81.996564496319493</v>
      </c>
      <c r="AI566">
        <v>90.639722326788302</v>
      </c>
      <c r="AJ566">
        <v>82.159603102447704</v>
      </c>
      <c r="AK566">
        <v>82.775468530828505</v>
      </c>
      <c r="AL566">
        <v>92.803416147502702</v>
      </c>
      <c r="AM566">
        <v>87.963598540737294</v>
      </c>
      <c r="AN566">
        <v>0.99999996833511495</v>
      </c>
    </row>
    <row r="567" spans="1:40" x14ac:dyDescent="0.25">
      <c r="A567" t="str">
        <f>"20190312151512045"</f>
        <v>20190312151512045</v>
      </c>
      <c r="B567" t="str">
        <f>"1552374912038387"</f>
        <v>1552374912038387</v>
      </c>
      <c r="C567" t="s">
        <v>40</v>
      </c>
      <c r="D567">
        <v>4.5881559999999997</v>
      </c>
      <c r="E567">
        <v>0.52698619999999996</v>
      </c>
      <c r="F567" t="s">
        <v>42</v>
      </c>
      <c r="G567">
        <v>-308.40600000000001</v>
      </c>
      <c r="H567">
        <v>-0.05</v>
      </c>
      <c r="I567">
        <v>366.40780000000001</v>
      </c>
      <c r="J567">
        <v>-331.75049999999999</v>
      </c>
      <c r="K567">
        <v>1.108508</v>
      </c>
      <c r="L567">
        <v>368.87920000000003</v>
      </c>
      <c r="M567">
        <v>0.999942</v>
      </c>
      <c r="N567">
        <v>0</v>
      </c>
      <c r="O567">
        <v>7.3287020000000001E-4</v>
      </c>
      <c r="P567">
        <v>0.9976526</v>
      </c>
      <c r="Q567">
        <v>-5.874886E-2</v>
      </c>
      <c r="R567">
        <v>-3.5189900000000003E-2</v>
      </c>
      <c r="S567">
        <v>2.9876710000000002</v>
      </c>
      <c r="T567">
        <v>-0.14548810000000001</v>
      </c>
      <c r="U567">
        <v>-0.31033329999999998</v>
      </c>
      <c r="V567">
        <v>3.5904060000000002E-2</v>
      </c>
      <c r="W567">
        <v>-4.8022090000000003E-2</v>
      </c>
      <c r="X567">
        <v>0.9982008</v>
      </c>
      <c r="Y567">
        <v>0.10392170000000001</v>
      </c>
      <c r="Z567">
        <v>-2.5575979999999999E-3</v>
      </c>
      <c r="AA567">
        <v>0.99458219999999997</v>
      </c>
      <c r="AB567">
        <v>45</v>
      </c>
      <c r="AC567">
        <v>23.344499999999901</v>
      </c>
      <c r="AD567">
        <v>-1.1585080000000001</v>
      </c>
      <c r="AE567">
        <v>-2.4714000000000098</v>
      </c>
      <c r="AF567">
        <v>2.48246276852475</v>
      </c>
      <c r="AG567">
        <v>-1.1585080000000001</v>
      </c>
      <c r="AH567">
        <v>23.285969377586198</v>
      </c>
      <c r="AI567">
        <v>92.832170706610199</v>
      </c>
      <c r="AJ567">
        <v>83.914814514252697</v>
      </c>
      <c r="AK567">
        <v>23.446559066034801</v>
      </c>
      <c r="AL567">
        <v>92.752521631564505</v>
      </c>
      <c r="AM567">
        <v>87.940029055194998</v>
      </c>
      <c r="AN567">
        <v>1.0000000298865399</v>
      </c>
    </row>
    <row r="568" spans="1:40" x14ac:dyDescent="0.25">
      <c r="A568" t="str">
        <f>"20190312151512056"</f>
        <v>20190312151512056</v>
      </c>
      <c r="B568" t="str">
        <f>"1552374912048147"</f>
        <v>1552374912048147</v>
      </c>
      <c r="C568" t="s">
        <v>40</v>
      </c>
      <c r="D568">
        <v>4.6094179999999998</v>
      </c>
      <c r="E568">
        <v>0.52688040000000003</v>
      </c>
      <c r="F568" t="s">
        <v>42</v>
      </c>
      <c r="G568">
        <v>-301.58510000000001</v>
      </c>
      <c r="H568">
        <v>-0.05</v>
      </c>
      <c r="I568">
        <v>365.63299999999998</v>
      </c>
      <c r="J568">
        <v>-331.51080000000002</v>
      </c>
      <c r="K568">
        <v>1.108525</v>
      </c>
      <c r="L568">
        <v>368.87939999999998</v>
      </c>
      <c r="M568">
        <v>0.99994179999999999</v>
      </c>
      <c r="N568">
        <v>0</v>
      </c>
      <c r="O568">
        <v>7.2049940000000002E-4</v>
      </c>
      <c r="P568">
        <v>0.99765979999999999</v>
      </c>
      <c r="Q568">
        <v>-5.8356499999999999E-2</v>
      </c>
      <c r="R568">
        <v>-3.5635380000000001E-2</v>
      </c>
      <c r="S568">
        <v>2.9889830000000002</v>
      </c>
      <c r="T568">
        <v>-0.1147927</v>
      </c>
      <c r="U568">
        <v>-0.32165529999999998</v>
      </c>
      <c r="V568">
        <v>3.6338790000000003E-2</v>
      </c>
      <c r="W568">
        <v>-4.7613530000000001E-2</v>
      </c>
      <c r="X568">
        <v>0.9982046</v>
      </c>
      <c r="Y568">
        <v>0.1076333</v>
      </c>
      <c r="Z568">
        <v>-2.0877230000000001E-3</v>
      </c>
      <c r="AA568">
        <v>0.99418850000000003</v>
      </c>
      <c r="AB568">
        <v>45</v>
      </c>
      <c r="AC568">
        <v>29.925699999999999</v>
      </c>
      <c r="AD568">
        <v>-1.158525</v>
      </c>
      <c r="AE568">
        <v>-3.2463999999999298</v>
      </c>
      <c r="AF568">
        <v>3.2631282051479902</v>
      </c>
      <c r="AG568">
        <v>-1.158525</v>
      </c>
      <c r="AH568">
        <v>29.8790933621672</v>
      </c>
      <c r="AI568">
        <v>92.207349413223398</v>
      </c>
      <c r="AJ568">
        <v>83.767366431171894</v>
      </c>
      <c r="AK568">
        <v>30.079069234335702</v>
      </c>
      <c r="AL568">
        <v>92.729086169681096</v>
      </c>
      <c r="AM568">
        <v>87.915116528061105</v>
      </c>
      <c r="AN568">
        <v>0.99999998967944204</v>
      </c>
    </row>
    <row r="569" spans="1:40" x14ac:dyDescent="0.25">
      <c r="A569" t="str">
        <f>"20190312151512067"</f>
        <v>20190312151512067</v>
      </c>
      <c r="B569" t="str">
        <f>"1552374912058884"</f>
        <v>1552374912058884</v>
      </c>
      <c r="C569" t="s">
        <v>40</v>
      </c>
      <c r="D569">
        <v>4.592835</v>
      </c>
      <c r="E569">
        <v>0.5272384</v>
      </c>
      <c r="F569" t="s">
        <v>42</v>
      </c>
      <c r="G569">
        <v>-298.7242</v>
      </c>
      <c r="H569">
        <v>-0.05</v>
      </c>
      <c r="I569">
        <v>365.34550000000002</v>
      </c>
      <c r="J569">
        <v>-331.29340000000002</v>
      </c>
      <c r="K569">
        <v>1.1085389999999999</v>
      </c>
      <c r="L569">
        <v>368.87950000000001</v>
      </c>
      <c r="M569">
        <v>0.99994159999999999</v>
      </c>
      <c r="N569">
        <v>0</v>
      </c>
      <c r="O569">
        <v>7.1262409999999995E-4</v>
      </c>
      <c r="P569">
        <v>0.99766980000000005</v>
      </c>
      <c r="Q569">
        <v>-5.799174E-2</v>
      </c>
      <c r="R569">
        <v>-3.5942929999999998E-2</v>
      </c>
      <c r="S569">
        <v>2.9893489999999998</v>
      </c>
      <c r="T569">
        <v>-0.1056293</v>
      </c>
      <c r="U569">
        <v>-0.32220460000000001</v>
      </c>
      <c r="V569">
        <v>3.6639909999999998E-2</v>
      </c>
      <c r="W569">
        <v>-4.7232950000000003E-2</v>
      </c>
      <c r="X569">
        <v>0.99821170000000004</v>
      </c>
      <c r="Y569">
        <v>0.1078051</v>
      </c>
      <c r="Z569">
        <v>-1.9236730000000001E-3</v>
      </c>
      <c r="AA569">
        <v>0.9941702</v>
      </c>
      <c r="AB569">
        <v>45</v>
      </c>
      <c r="AC569">
        <v>32.569200000000002</v>
      </c>
      <c r="AD569">
        <v>-1.158539</v>
      </c>
      <c r="AE569">
        <v>-3.53399999999999</v>
      </c>
      <c r="AF569">
        <v>3.5527669049713602</v>
      </c>
      <c r="AG569">
        <v>-1.158539</v>
      </c>
      <c r="AH569">
        <v>32.525995666852801</v>
      </c>
      <c r="AI569">
        <v>92.027896884275805</v>
      </c>
      <c r="AJ569">
        <v>83.766378321350203</v>
      </c>
      <c r="AK569">
        <v>32.739956619026103</v>
      </c>
      <c r="AL569">
        <v>92.707255907981207</v>
      </c>
      <c r="AM569">
        <v>87.897870595160001</v>
      </c>
      <c r="AN569">
        <v>1.0000000162936999</v>
      </c>
    </row>
    <row r="570" spans="1:40" x14ac:dyDescent="0.25">
      <c r="A570" t="str">
        <f>"20190312151512077"</f>
        <v>20190312151512077</v>
      </c>
      <c r="B570" t="str">
        <f>"1552374912068642"</f>
        <v>1552374912068642</v>
      </c>
      <c r="C570" t="s">
        <v>40</v>
      </c>
      <c r="D570">
        <v>4.5929339999999996</v>
      </c>
      <c r="E570">
        <v>0.52765249999999997</v>
      </c>
      <c r="F570" t="s">
        <v>42</v>
      </c>
      <c r="G570">
        <v>-296.9529</v>
      </c>
      <c r="H570">
        <v>-0.05</v>
      </c>
      <c r="I570">
        <v>365.13760000000002</v>
      </c>
      <c r="J570">
        <v>-331.09429999999998</v>
      </c>
      <c r="K570">
        <v>1.108549</v>
      </c>
      <c r="L570">
        <v>368.87970000000001</v>
      </c>
      <c r="M570">
        <v>0.99994130000000003</v>
      </c>
      <c r="N570">
        <v>0</v>
      </c>
      <c r="O570">
        <v>7.0789649999999905E-4</v>
      </c>
      <c r="P570">
        <v>0.9976891</v>
      </c>
      <c r="Q570">
        <v>-5.7531770000000003E-2</v>
      </c>
      <c r="R570">
        <v>-3.6148510000000002E-2</v>
      </c>
      <c r="S570">
        <v>2.9893800000000001</v>
      </c>
      <c r="T570">
        <v>-0.1008521</v>
      </c>
      <c r="U570">
        <v>-0.3257446</v>
      </c>
      <c r="V570">
        <v>3.6841850000000002E-2</v>
      </c>
      <c r="W570">
        <v>-4.6757529999999999E-2</v>
      </c>
      <c r="X570">
        <v>0.99822659999999996</v>
      </c>
      <c r="Y570">
        <v>0.1089681</v>
      </c>
      <c r="Z570">
        <v>-1.855984E-3</v>
      </c>
      <c r="AA570">
        <v>0.99404349999999997</v>
      </c>
      <c r="AB570">
        <v>45</v>
      </c>
      <c r="AC570">
        <v>34.141399999999898</v>
      </c>
      <c r="AD570">
        <v>-1.1585490000000001</v>
      </c>
      <c r="AE570">
        <v>-3.74209999999999</v>
      </c>
      <c r="AF570">
        <v>3.7619885245907998</v>
      </c>
      <c r="AG570">
        <v>-1.1585490000000001</v>
      </c>
      <c r="AH570">
        <v>34.099942110414503</v>
      </c>
      <c r="AI570">
        <v>91.934155699162105</v>
      </c>
      <c r="AJ570">
        <v>83.704449054091697</v>
      </c>
      <c r="AK570">
        <v>34.326387013173601</v>
      </c>
      <c r="AL570">
        <v>92.679986351667395</v>
      </c>
      <c r="AM570">
        <v>87.886326760286494</v>
      </c>
      <c r="AN570">
        <v>0.99999996673534097</v>
      </c>
    </row>
    <row r="571" spans="1:40" x14ac:dyDescent="0.25">
      <c r="A571" t="str">
        <f>"20190312151512088"</f>
        <v>20190312151512088</v>
      </c>
      <c r="B571" t="str">
        <f>"1552374912078403"</f>
        <v>1552374912078403</v>
      </c>
      <c r="C571" t="s">
        <v>40</v>
      </c>
      <c r="D571">
        <v>4.6330920000000004</v>
      </c>
      <c r="E571">
        <v>0.52830739999999998</v>
      </c>
      <c r="F571" t="s">
        <v>42</v>
      </c>
      <c r="G571">
        <v>-295.3168</v>
      </c>
      <c r="H571">
        <v>-0.05</v>
      </c>
      <c r="I571">
        <v>364.93259999999998</v>
      </c>
      <c r="J571">
        <v>-330.8673</v>
      </c>
      <c r="K571">
        <v>1.108562</v>
      </c>
      <c r="L571">
        <v>368.87990000000002</v>
      </c>
      <c r="M571">
        <v>0.99994130000000003</v>
      </c>
      <c r="N571">
        <v>0</v>
      </c>
      <c r="O571">
        <v>7.0608580000000002E-4</v>
      </c>
      <c r="P571">
        <v>0.99767629999999996</v>
      </c>
      <c r="Q571">
        <v>-5.7480950000000003E-2</v>
      </c>
      <c r="R571">
        <v>-3.6581740000000001E-2</v>
      </c>
      <c r="S571">
        <v>2.9894409999999998</v>
      </c>
      <c r="T571">
        <v>-9.6804260000000003E-2</v>
      </c>
      <c r="U571">
        <v>-0.32980350000000003</v>
      </c>
      <c r="V571">
        <v>3.7274500000000002E-2</v>
      </c>
      <c r="W571">
        <v>-4.6688399999999998E-2</v>
      </c>
      <c r="X571">
        <v>0.99821380000000004</v>
      </c>
      <c r="Y571">
        <v>0.11030189999999999</v>
      </c>
      <c r="Z571">
        <v>-1.8028289999999999E-3</v>
      </c>
      <c r="AA571">
        <v>0.99389649999999996</v>
      </c>
      <c r="AB571">
        <v>45</v>
      </c>
      <c r="AC571">
        <v>35.5505</v>
      </c>
      <c r="AD571">
        <v>-1.1585620000000001</v>
      </c>
      <c r="AE571">
        <v>-3.9473000000000402</v>
      </c>
      <c r="AF571">
        <v>3.9682390225283002</v>
      </c>
      <c r="AG571">
        <v>-1.1585620000000001</v>
      </c>
      <c r="AH571">
        <v>35.5104490746278</v>
      </c>
      <c r="AI571">
        <v>91.857114748500194</v>
      </c>
      <c r="AJ571">
        <v>83.623737082096497</v>
      </c>
      <c r="AK571">
        <v>35.750261262394901</v>
      </c>
      <c r="AL571">
        <v>92.676021094118994</v>
      </c>
      <c r="AM571">
        <v>87.861500484379604</v>
      </c>
      <c r="AN571">
        <v>0.99999999277762497</v>
      </c>
    </row>
    <row r="572" spans="1:40" x14ac:dyDescent="0.25">
      <c r="A572" t="str">
        <f>"20190312151512099"</f>
        <v>20190312151512099</v>
      </c>
      <c r="B572" t="str">
        <f>"1552374912088163"</f>
        <v>1552374912088163</v>
      </c>
      <c r="C572" t="s">
        <v>40</v>
      </c>
      <c r="D572">
        <v>4.6025090000000004</v>
      </c>
      <c r="E572">
        <v>0.52844230000000003</v>
      </c>
      <c r="F572" t="s">
        <v>42</v>
      </c>
      <c r="G572">
        <v>-293.89370000000002</v>
      </c>
      <c r="H572">
        <v>-0.05</v>
      </c>
      <c r="I572">
        <v>364.72089999999997</v>
      </c>
      <c r="J572">
        <v>-330.65120000000002</v>
      </c>
      <c r="K572">
        <v>1.1085750000000001</v>
      </c>
      <c r="L572">
        <v>368.88</v>
      </c>
      <c r="M572">
        <v>0.99994110000000003</v>
      </c>
      <c r="N572">
        <v>0</v>
      </c>
      <c r="O572">
        <v>7.0952660000000002E-4</v>
      </c>
      <c r="P572">
        <v>0.99767430000000001</v>
      </c>
      <c r="Q572">
        <v>-5.736898E-2</v>
      </c>
      <c r="R572">
        <v>-3.6813940000000003E-2</v>
      </c>
      <c r="S572">
        <v>2.989258</v>
      </c>
      <c r="T572">
        <v>-9.3667860000000006E-2</v>
      </c>
      <c r="U572">
        <v>-0.33624270000000001</v>
      </c>
      <c r="V572">
        <v>3.7511259999999998E-2</v>
      </c>
      <c r="W572">
        <v>-4.6558189999999999E-2</v>
      </c>
      <c r="X572">
        <v>0.99821099999999996</v>
      </c>
      <c r="Y572">
        <v>0.112429</v>
      </c>
      <c r="Z572">
        <v>-1.7776669999999999E-3</v>
      </c>
      <c r="AA572">
        <v>0.99365820000000005</v>
      </c>
      <c r="AB572">
        <v>45</v>
      </c>
      <c r="AC572">
        <v>36.757499999999901</v>
      </c>
      <c r="AD572">
        <v>-1.1585749999999999</v>
      </c>
      <c r="AE572">
        <v>-4.15910000000002</v>
      </c>
      <c r="AF572">
        <v>4.1810796221436801</v>
      </c>
      <c r="AG572">
        <v>-1.1585749999999999</v>
      </c>
      <c r="AH572">
        <v>36.718521825746798</v>
      </c>
      <c r="AI572">
        <v>91.795651027183297</v>
      </c>
      <c r="AJ572">
        <v>83.503800984494106</v>
      </c>
      <c r="AK572">
        <v>36.9739579691595</v>
      </c>
      <c r="AL572">
        <v>92.668552522671604</v>
      </c>
      <c r="AM572">
        <v>87.847923873706804</v>
      </c>
      <c r="AN572">
        <v>0.99999998010193103</v>
      </c>
    </row>
    <row r="573" spans="1:40" x14ac:dyDescent="0.25">
      <c r="A573" t="str">
        <f>"20190312151512110"</f>
        <v>20190312151512110</v>
      </c>
      <c r="B573" t="str">
        <f>"1552374912098899"</f>
        <v>1552374912098899</v>
      </c>
      <c r="C573" t="s">
        <v>40</v>
      </c>
      <c r="D573">
        <v>4.5987549999999997</v>
      </c>
      <c r="E573">
        <v>0.52864100000000003</v>
      </c>
      <c r="F573" t="s">
        <v>42</v>
      </c>
      <c r="G573">
        <v>-293.27539999999999</v>
      </c>
      <c r="H573">
        <v>-0.05</v>
      </c>
      <c r="I573">
        <v>364.65280000000001</v>
      </c>
      <c r="J573">
        <v>-330.4282</v>
      </c>
      <c r="K573">
        <v>1.10859</v>
      </c>
      <c r="L573">
        <v>368.8802</v>
      </c>
      <c r="M573">
        <v>0.99994079999999996</v>
      </c>
      <c r="N573">
        <v>0</v>
      </c>
      <c r="O573">
        <v>7.1649089999999995E-4</v>
      </c>
      <c r="P573">
        <v>0.99766469999999896</v>
      </c>
      <c r="Q573">
        <v>-5.7339590000000003E-2</v>
      </c>
      <c r="R573">
        <v>-3.711188E-2</v>
      </c>
      <c r="S573">
        <v>2.9891969999999999</v>
      </c>
      <c r="T573">
        <v>-9.2659000000000005E-2</v>
      </c>
      <c r="U573">
        <v>-0.33807369999999998</v>
      </c>
      <c r="V573">
        <v>3.7817450000000002E-2</v>
      </c>
      <c r="W573">
        <v>-4.6509630000000003E-2</v>
      </c>
      <c r="X573">
        <v>0.99820169999999997</v>
      </c>
      <c r="Y573">
        <v>0.1130401</v>
      </c>
      <c r="Z573">
        <v>-1.7681579999999999E-3</v>
      </c>
      <c r="AA573">
        <v>0.9935889</v>
      </c>
      <c r="AB573">
        <v>45</v>
      </c>
      <c r="AC573">
        <v>37.152799999999999</v>
      </c>
      <c r="AD573">
        <v>-1.15859</v>
      </c>
      <c r="AE573">
        <v>-4.2273999999999798</v>
      </c>
      <c r="AF573">
        <v>4.2499400101917999</v>
      </c>
      <c r="AG573">
        <v>-1.15859</v>
      </c>
      <c r="AH573">
        <v>37.114130301930302</v>
      </c>
      <c r="AI573">
        <v>91.776417668408996</v>
      </c>
      <c r="AJ573">
        <v>83.467512179002796</v>
      </c>
      <c r="AK573">
        <v>37.374630285087598</v>
      </c>
      <c r="AL573">
        <v>92.665767250439501</v>
      </c>
      <c r="AM573">
        <v>87.830353828778698</v>
      </c>
      <c r="AN573">
        <v>0.99999996954506398</v>
      </c>
    </row>
    <row r="574" spans="1:40" x14ac:dyDescent="0.25">
      <c r="A574" t="str">
        <f>"20190312151512122"</f>
        <v>20190312151512122</v>
      </c>
      <c r="B574" t="str">
        <f>"1552374912118418"</f>
        <v>1552374912118418</v>
      </c>
      <c r="C574" t="s">
        <v>40</v>
      </c>
      <c r="D574">
        <v>4.6377579999999998</v>
      </c>
      <c r="E574">
        <v>0.52892669999999997</v>
      </c>
      <c r="F574" t="s">
        <v>42</v>
      </c>
      <c r="G574">
        <v>-292.41489999999999</v>
      </c>
      <c r="H574">
        <v>-0.05</v>
      </c>
      <c r="I574">
        <v>364.5514</v>
      </c>
      <c r="J574">
        <v>-330.19729999999998</v>
      </c>
      <c r="K574">
        <v>1.1086119999999999</v>
      </c>
      <c r="L574">
        <v>368.88029999999998</v>
      </c>
      <c r="M574">
        <v>0.99994070000000002</v>
      </c>
      <c r="N574">
        <v>0</v>
      </c>
      <c r="O574">
        <v>7.3122059999999997E-4</v>
      </c>
      <c r="P574">
        <v>0.99762620000000002</v>
      </c>
      <c r="Q574">
        <v>-5.7912400000000003E-2</v>
      </c>
      <c r="R574">
        <v>-3.72655E-2</v>
      </c>
      <c r="S574">
        <v>2.989166</v>
      </c>
      <c r="T574">
        <v>-9.1105459999999999E-2</v>
      </c>
      <c r="U574">
        <v>-0.340393099999999</v>
      </c>
      <c r="V574">
        <v>3.7986840000000001E-2</v>
      </c>
      <c r="W574">
        <v>-4.7061699999999998E-2</v>
      </c>
      <c r="X574">
        <v>0.99816939999999998</v>
      </c>
      <c r="Y574">
        <v>0.1138184</v>
      </c>
      <c r="Z574">
        <v>-1.7507359999999999E-3</v>
      </c>
      <c r="AA574">
        <v>0.9935001</v>
      </c>
      <c r="AB574">
        <v>45</v>
      </c>
      <c r="AC574">
        <v>37.782400000000003</v>
      </c>
      <c r="AD574">
        <v>-1.158612</v>
      </c>
      <c r="AE574">
        <v>-4.3288999999999698</v>
      </c>
      <c r="AF574">
        <v>4.3524878438222698</v>
      </c>
      <c r="AG574">
        <v>-1.158612</v>
      </c>
      <c r="AH574">
        <v>37.744190868366601</v>
      </c>
      <c r="AI574">
        <v>91.746656296780202</v>
      </c>
      <c r="AJ574">
        <v>83.421966958740001</v>
      </c>
      <c r="AK574">
        <v>38.011978066194501</v>
      </c>
      <c r="AL574">
        <v>92.697433187484094</v>
      </c>
      <c r="AM574">
        <v>87.820574555631893</v>
      </c>
      <c r="AN574">
        <v>0.999999977358217</v>
      </c>
    </row>
    <row r="575" spans="1:40" x14ac:dyDescent="0.25">
      <c r="A575" t="str">
        <f>"20190312151512133"</f>
        <v>20190312151512133</v>
      </c>
      <c r="B575" t="str">
        <f>"1552374912128179"</f>
        <v>1552374912128179</v>
      </c>
      <c r="C575" t="s">
        <v>40</v>
      </c>
      <c r="D575">
        <v>4.5752199999999998</v>
      </c>
      <c r="E575">
        <v>0.52890609999999905</v>
      </c>
      <c r="F575" t="s">
        <v>42</v>
      </c>
      <c r="G575">
        <v>-292.476</v>
      </c>
      <c r="H575">
        <v>-0.05</v>
      </c>
      <c r="I575">
        <v>364.5453</v>
      </c>
      <c r="J575">
        <v>-329.97570000000002</v>
      </c>
      <c r="K575">
        <v>1.108627</v>
      </c>
      <c r="L575">
        <v>368.88049999999998</v>
      </c>
      <c r="M575">
        <v>0.9999403</v>
      </c>
      <c r="N575">
        <v>0</v>
      </c>
      <c r="O575">
        <v>7.4779920000000001E-4</v>
      </c>
      <c r="P575">
        <v>0.99761739999999999</v>
      </c>
      <c r="Q575">
        <v>-5.7848829999999997E-2</v>
      </c>
      <c r="R575">
        <v>-3.7589850000000001E-2</v>
      </c>
      <c r="S575">
        <v>2.9889830000000002</v>
      </c>
      <c r="T575">
        <v>-9.1806769999999996E-2</v>
      </c>
      <c r="U575">
        <v>-0.34350589999999998</v>
      </c>
      <c r="V575">
        <v>3.8329530000000001E-2</v>
      </c>
      <c r="W575">
        <v>-4.6977699999999997E-2</v>
      </c>
      <c r="X575">
        <v>0.9981603</v>
      </c>
      <c r="Y575">
        <v>0.11486159999999999</v>
      </c>
      <c r="Z575">
        <v>-1.7806829999999999E-3</v>
      </c>
      <c r="AA575">
        <v>0.99337989999999998</v>
      </c>
      <c r="AB575">
        <v>45</v>
      </c>
      <c r="AC575">
        <v>37.499699999999997</v>
      </c>
      <c r="AD575">
        <v>-1.1586270000000001</v>
      </c>
      <c r="AE575">
        <v>-4.33519999999998</v>
      </c>
      <c r="AF575">
        <v>4.3591362517528998</v>
      </c>
      <c r="AG575">
        <v>-1.1586270000000001</v>
      </c>
      <c r="AH575">
        <v>37.461157833932504</v>
      </c>
      <c r="AI575">
        <v>91.759656619664995</v>
      </c>
      <c r="AJ575">
        <v>83.362675027001401</v>
      </c>
      <c r="AK575">
        <v>37.7317218219004</v>
      </c>
      <c r="AL575">
        <v>92.692614895667603</v>
      </c>
      <c r="AM575">
        <v>87.800912531912601</v>
      </c>
      <c r="AN575">
        <v>1.0000000208316999</v>
      </c>
    </row>
    <row r="576" spans="1:40" x14ac:dyDescent="0.25">
      <c r="A576" t="str">
        <f>"20190312151512143"</f>
        <v>20190312151512143</v>
      </c>
      <c r="B576" t="str">
        <f>"1552374912137938"</f>
        <v>1552374912137938</v>
      </c>
      <c r="C576" t="s">
        <v>40</v>
      </c>
      <c r="D576">
        <v>4.6474489999999999</v>
      </c>
      <c r="E576">
        <v>0.52885450000000001</v>
      </c>
      <c r="F576" t="s">
        <v>42</v>
      </c>
      <c r="G576">
        <v>-291.77249999999998</v>
      </c>
      <c r="H576">
        <v>-0.05</v>
      </c>
      <c r="I576">
        <v>364.48020000000002</v>
      </c>
      <c r="J576">
        <v>-329.74889999999999</v>
      </c>
      <c r="K576">
        <v>1.108644</v>
      </c>
      <c r="L576">
        <v>368.88069999999999</v>
      </c>
      <c r="M576">
        <v>0.9999401</v>
      </c>
      <c r="N576">
        <v>0</v>
      </c>
      <c r="O576">
        <v>7.7463899999999895E-4</v>
      </c>
      <c r="P576">
        <v>0.99760479999999996</v>
      </c>
      <c r="Q576">
        <v>-5.8014709999999997E-2</v>
      </c>
      <c r="R576">
        <v>-3.7670049999999997E-2</v>
      </c>
      <c r="S576">
        <v>2.9889220000000001</v>
      </c>
      <c r="T576">
        <v>-9.0647939999999996E-2</v>
      </c>
      <c r="U576">
        <v>-0.34426879999999999</v>
      </c>
      <c r="V576">
        <v>3.843829E-2</v>
      </c>
      <c r="W576">
        <v>-4.7120309999999999E-2</v>
      </c>
      <c r="X576">
        <v>0.99814939999999996</v>
      </c>
      <c r="Y576">
        <v>0.11514199999999999</v>
      </c>
      <c r="Z576">
        <v>-1.7632749999999999E-3</v>
      </c>
      <c r="AA576">
        <v>0.99334750000000005</v>
      </c>
      <c r="AB576">
        <v>45</v>
      </c>
      <c r="AC576">
        <v>37.976399999999998</v>
      </c>
      <c r="AD576">
        <v>-1.158644</v>
      </c>
      <c r="AE576">
        <v>-4.4004999999999601</v>
      </c>
      <c r="AF576">
        <v>4.4258532792911298</v>
      </c>
      <c r="AG576">
        <v>-1.158644</v>
      </c>
      <c r="AH576">
        <v>37.938133358696</v>
      </c>
      <c r="AI576">
        <v>91.737513536794097</v>
      </c>
      <c r="AJ576">
        <v>83.345965740487401</v>
      </c>
      <c r="AK576">
        <v>38.212989884471902</v>
      </c>
      <c r="AL576">
        <v>92.700794893402005</v>
      </c>
      <c r="AM576">
        <v>87.794654717181501</v>
      </c>
      <c r="AN576">
        <v>1.00000002523648</v>
      </c>
    </row>
    <row r="577" spans="1:40" x14ac:dyDescent="0.25">
      <c r="A577" t="str">
        <f>"20190312151512155"</f>
        <v>20190312151512155</v>
      </c>
      <c r="B577" t="str">
        <f>"1552374912148675"</f>
        <v>1552374912148675</v>
      </c>
      <c r="C577" t="s">
        <v>40</v>
      </c>
      <c r="D577">
        <v>4.6183540000000001</v>
      </c>
      <c r="E577">
        <v>0.52878029999999998</v>
      </c>
      <c r="F577" t="s">
        <v>42</v>
      </c>
      <c r="G577">
        <v>-292.00420000000003</v>
      </c>
      <c r="H577">
        <v>-0.05</v>
      </c>
      <c r="I577">
        <v>364.53739999999999</v>
      </c>
      <c r="J577">
        <v>-329.52789999999999</v>
      </c>
      <c r="K577">
        <v>1.1086640000000001</v>
      </c>
      <c r="L577">
        <v>368.88080000000002</v>
      </c>
      <c r="M577">
        <v>0.99993989999999999</v>
      </c>
      <c r="N577">
        <v>0</v>
      </c>
      <c r="O577">
        <v>8.0254640000000004E-4</v>
      </c>
      <c r="P577">
        <v>0.99756540000000005</v>
      </c>
      <c r="Q577">
        <v>-5.8455649999999998E-2</v>
      </c>
      <c r="R577">
        <v>-3.8029840000000002E-2</v>
      </c>
      <c r="S577">
        <v>2.9889220000000001</v>
      </c>
      <c r="T577">
        <v>-9.1750620000000005E-2</v>
      </c>
      <c r="U577">
        <v>-0.34393309999999999</v>
      </c>
      <c r="V577">
        <v>3.8827319999999999E-2</v>
      </c>
      <c r="W577">
        <v>-4.7538360000000002E-2</v>
      </c>
      <c r="X577">
        <v>0.99811450000000002</v>
      </c>
      <c r="Y577">
        <v>0.11505839999999901</v>
      </c>
      <c r="Z577">
        <v>-1.7842999999999999E-3</v>
      </c>
      <c r="AA577">
        <v>0.99335709999999999</v>
      </c>
      <c r="AB577">
        <v>45</v>
      </c>
      <c r="AC577">
        <v>37.523699999999899</v>
      </c>
      <c r="AD577">
        <v>-1.1586639999999999</v>
      </c>
      <c r="AE577">
        <v>-4.3434000000000301</v>
      </c>
      <c r="AF577">
        <v>4.3694039279927503</v>
      </c>
      <c r="AG577">
        <v>-1.1586639999999999</v>
      </c>
      <c r="AH577">
        <v>37.484933968111697</v>
      </c>
      <c r="AI577">
        <v>91.758556909112997</v>
      </c>
      <c r="AJ577">
        <v>83.351363190649494</v>
      </c>
      <c r="AK577">
        <v>37.756515564132101</v>
      </c>
      <c r="AL577">
        <v>92.724774319397994</v>
      </c>
      <c r="AM577">
        <v>87.772279203980801</v>
      </c>
      <c r="AN577">
        <v>1.00000000578006</v>
      </c>
    </row>
    <row r="578" spans="1:40" x14ac:dyDescent="0.25">
      <c r="A578" t="str">
        <f>"20190312151512165"</f>
        <v>20190312151512165</v>
      </c>
      <c r="B578" t="str">
        <f>"1552374912158435"</f>
        <v>1552374912158435</v>
      </c>
      <c r="C578" t="s">
        <v>40</v>
      </c>
      <c r="D578">
        <v>4.6006519999999904</v>
      </c>
      <c r="E578">
        <v>0.52869960000000005</v>
      </c>
      <c r="F578" t="s">
        <v>42</v>
      </c>
      <c r="G578">
        <v>-292.14690000000002</v>
      </c>
      <c r="H578">
        <v>-0.05</v>
      </c>
      <c r="I578">
        <v>364.57240000000002</v>
      </c>
      <c r="J578">
        <v>-329.30880000000002</v>
      </c>
      <c r="K578">
        <v>1.1086800000000001</v>
      </c>
      <c r="L578">
        <v>368.88099999999997</v>
      </c>
      <c r="M578">
        <v>0.99993949999999998</v>
      </c>
      <c r="N578">
        <v>0</v>
      </c>
      <c r="O578">
        <v>8.3717660000000001E-4</v>
      </c>
      <c r="P578">
        <v>0.99756420000000001</v>
      </c>
      <c r="Q578">
        <v>-5.8476140000000003E-2</v>
      </c>
      <c r="R578">
        <v>-3.8027779999999997E-2</v>
      </c>
      <c r="S578">
        <v>2.9887999999999999</v>
      </c>
      <c r="T578">
        <v>-9.2641000000000001E-2</v>
      </c>
      <c r="U578">
        <v>-0.34448240000000002</v>
      </c>
      <c r="V578">
        <v>3.8861519999999997E-2</v>
      </c>
      <c r="W578">
        <v>-4.7533609999999997E-2</v>
      </c>
      <c r="X578">
        <v>0.99811340000000004</v>
      </c>
      <c r="Y578">
        <v>0.1152764</v>
      </c>
      <c r="Z578">
        <v>-1.8060979999999999E-3</v>
      </c>
      <c r="AA578">
        <v>0.99333179999999999</v>
      </c>
      <c r="AB578">
        <v>45</v>
      </c>
      <c r="AC578">
        <v>37.161900000000003</v>
      </c>
      <c r="AD578">
        <v>-1.1586799999999999</v>
      </c>
      <c r="AE578">
        <v>-4.3085999999999496</v>
      </c>
      <c r="AF578">
        <v>4.3355525525553098</v>
      </c>
      <c r="AG578">
        <v>-1.1586799999999999</v>
      </c>
      <c r="AH578">
        <v>37.122669751907999</v>
      </c>
      <c r="AI578">
        <v>91.775685395359503</v>
      </c>
      <c r="AJ578">
        <v>83.338609627916</v>
      </c>
      <c r="AK578">
        <v>37.392942713667203</v>
      </c>
      <c r="AL578">
        <v>92.724501843461994</v>
      </c>
      <c r="AM578">
        <v>87.770316500852999</v>
      </c>
      <c r="AN578">
        <v>1.0000000105379501</v>
      </c>
    </row>
    <row r="579" spans="1:40" x14ac:dyDescent="0.25">
      <c r="A579" t="str">
        <f>"20190312151512176"</f>
        <v>20190312151512176</v>
      </c>
      <c r="B579" t="str">
        <f>"1552374912168195"</f>
        <v>1552374912168195</v>
      </c>
      <c r="C579" t="s">
        <v>40</v>
      </c>
      <c r="D579">
        <v>4.633375</v>
      </c>
      <c r="E579">
        <v>0.52864469999999997</v>
      </c>
      <c r="F579" t="s">
        <v>42</v>
      </c>
      <c r="G579">
        <v>-292.00049999999999</v>
      </c>
      <c r="H579">
        <v>-0.05</v>
      </c>
      <c r="I579">
        <v>364.5881</v>
      </c>
      <c r="J579">
        <v>-329.09140000000002</v>
      </c>
      <c r="K579">
        <v>1.108698</v>
      </c>
      <c r="L579">
        <v>368.88119999999998</v>
      </c>
      <c r="M579">
        <v>0.99993929999999998</v>
      </c>
      <c r="N579">
        <v>0</v>
      </c>
      <c r="O579">
        <v>8.7412199999999996E-4</v>
      </c>
      <c r="P579">
        <v>0.99754739999999997</v>
      </c>
      <c r="Q579">
        <v>-5.8728500000000003E-2</v>
      </c>
      <c r="R579">
        <v>-3.808288E-2</v>
      </c>
      <c r="S579">
        <v>2.9887389999999998</v>
      </c>
      <c r="T579">
        <v>-9.2820879999999995E-2</v>
      </c>
      <c r="U579">
        <v>-0.3439026</v>
      </c>
      <c r="V579">
        <v>3.8955129999999998E-2</v>
      </c>
      <c r="W579">
        <v>-4.7760129999999998E-2</v>
      </c>
      <c r="X579">
        <v>0.99809890000000001</v>
      </c>
      <c r="Y579">
        <v>0.11512509999999999</v>
      </c>
      <c r="Z579">
        <v>-1.808462E-3</v>
      </c>
      <c r="AA579">
        <v>0.99334940000000005</v>
      </c>
      <c r="AB579">
        <v>45</v>
      </c>
      <c r="AC579">
        <v>37.090899999999998</v>
      </c>
      <c r="AD579">
        <v>-1.158698</v>
      </c>
      <c r="AE579">
        <v>-4.2930999999999804</v>
      </c>
      <c r="AF579">
        <v>4.3213608178185501</v>
      </c>
      <c r="AG579">
        <v>-1.158698</v>
      </c>
      <c r="AH579">
        <v>37.051452370090402</v>
      </c>
      <c r="AI579">
        <v>91.779156364314602</v>
      </c>
      <c r="AJ579">
        <v>83.347571425565107</v>
      </c>
      <c r="AK579">
        <v>37.320595696023602</v>
      </c>
      <c r="AL579">
        <v>92.737495343027007</v>
      </c>
      <c r="AM579">
        <v>87.764918621354596</v>
      </c>
      <c r="AN579">
        <v>0.99999997317607103</v>
      </c>
    </row>
    <row r="580" spans="1:40" x14ac:dyDescent="0.25">
      <c r="A580" t="str">
        <f>"20190312151512188"</f>
        <v>20190312151512188</v>
      </c>
      <c r="B580" t="str">
        <f>"1552374912177955"</f>
        <v>1552374912177955</v>
      </c>
      <c r="C580" t="s">
        <v>40</v>
      </c>
      <c r="D580">
        <v>4.6242859999999997</v>
      </c>
      <c r="E580">
        <v>0.52857869999999996</v>
      </c>
      <c r="F580" t="s">
        <v>42</v>
      </c>
      <c r="G580">
        <v>-291.5926</v>
      </c>
      <c r="H580">
        <v>-0.05</v>
      </c>
      <c r="I580">
        <v>364.56849999999997</v>
      </c>
      <c r="J580">
        <v>-328.8569</v>
      </c>
      <c r="K580">
        <v>1.1087180000000001</v>
      </c>
      <c r="L580">
        <v>368.88150000000002</v>
      </c>
      <c r="M580">
        <v>0.99993889999999996</v>
      </c>
      <c r="N580">
        <v>0</v>
      </c>
      <c r="O580">
        <v>9.1945839999999998E-4</v>
      </c>
      <c r="P580">
        <v>0.99752470000000004</v>
      </c>
      <c r="Q580">
        <v>-5.9071289999999999E-2</v>
      </c>
      <c r="R580">
        <v>-3.8145270000000002E-2</v>
      </c>
      <c r="S580">
        <v>2.988861</v>
      </c>
      <c r="T580">
        <v>-9.2354420000000007E-2</v>
      </c>
      <c r="U580">
        <v>-0.34375</v>
      </c>
      <c r="V580">
        <v>3.906453E-2</v>
      </c>
      <c r="W580">
        <v>-4.8073240000000003E-2</v>
      </c>
      <c r="X580">
        <v>0.99807959999999996</v>
      </c>
      <c r="Y580">
        <v>0.115116</v>
      </c>
      <c r="Z580">
        <v>-1.8005670000000001E-3</v>
      </c>
      <c r="AA580">
        <v>0.99335039999999997</v>
      </c>
      <c r="AB580">
        <v>45</v>
      </c>
      <c r="AC580">
        <v>37.264299999999899</v>
      </c>
      <c r="AD580">
        <v>-1.1587179999999999</v>
      </c>
      <c r="AE580">
        <v>-4.3130000000000397</v>
      </c>
      <c r="AF580">
        <v>4.3431194923369301</v>
      </c>
      <c r="AG580">
        <v>-1.1587179999999999</v>
      </c>
      <c r="AH580">
        <v>37.224802482309201</v>
      </c>
      <c r="AI580">
        <v>91.770898515493798</v>
      </c>
      <c r="AJ580">
        <v>83.3452319683322</v>
      </c>
      <c r="AK580">
        <v>37.495216150532798</v>
      </c>
      <c r="AL580">
        <v>92.755455834341504</v>
      </c>
      <c r="AM580">
        <v>87.758604805521898</v>
      </c>
      <c r="AN580">
        <v>0.999999980922189</v>
      </c>
    </row>
    <row r="581" spans="1:40" x14ac:dyDescent="0.25">
      <c r="A581" t="str">
        <f>"20190312151512200"</f>
        <v>20190312151512200</v>
      </c>
      <c r="B581" t="str">
        <f>"1552374912198451"</f>
        <v>1552374912198451</v>
      </c>
      <c r="C581" t="s">
        <v>40</v>
      </c>
      <c r="D581">
        <v>4.6656750000000002</v>
      </c>
      <c r="E581">
        <v>0.52855699999999906</v>
      </c>
      <c r="F581" t="s">
        <v>42</v>
      </c>
      <c r="G581">
        <v>-291.69690000000003</v>
      </c>
      <c r="H581">
        <v>-0.05</v>
      </c>
      <c r="I581">
        <v>364.61410000000001</v>
      </c>
      <c r="J581">
        <v>-328.61349999999999</v>
      </c>
      <c r="K581">
        <v>1.1087340000000001</v>
      </c>
      <c r="L581">
        <v>368.88170000000002</v>
      </c>
      <c r="M581">
        <v>0.99993849999999995</v>
      </c>
      <c r="N581">
        <v>0</v>
      </c>
      <c r="O581">
        <v>9.7156390000000003E-4</v>
      </c>
      <c r="P581">
        <v>0.99752640000000004</v>
      </c>
      <c r="Q581">
        <v>-5.910559E-2</v>
      </c>
      <c r="R581">
        <v>-3.805041E-2</v>
      </c>
      <c r="S581">
        <v>2.9887999999999999</v>
      </c>
      <c r="T581">
        <v>-9.3196390000000004E-2</v>
      </c>
      <c r="U581">
        <v>-0.34323120000000001</v>
      </c>
      <c r="V581">
        <v>3.9023090000000003E-2</v>
      </c>
      <c r="W581">
        <v>-4.807471E-2</v>
      </c>
      <c r="X581">
        <v>0.99808110000000005</v>
      </c>
      <c r="Y581">
        <v>0.1149989</v>
      </c>
      <c r="Z581">
        <v>-1.8168290000000001E-3</v>
      </c>
      <c r="AA581">
        <v>0.99336400000000002</v>
      </c>
      <c r="AB581">
        <v>45</v>
      </c>
      <c r="AC581">
        <v>36.916599999999903</v>
      </c>
      <c r="AD581">
        <v>-1.1587339999999999</v>
      </c>
      <c r="AE581">
        <v>-4.2676000000000096</v>
      </c>
      <c r="AF581">
        <v>4.2992872127905102</v>
      </c>
      <c r="AG581">
        <v>-1.1587339999999999</v>
      </c>
      <c r="AH581">
        <v>36.876584397016103</v>
      </c>
      <c r="AI581">
        <v>91.787652482881299</v>
      </c>
      <c r="AJ581">
        <v>83.3501443812616</v>
      </c>
      <c r="AK581">
        <v>37.144434466162899</v>
      </c>
      <c r="AL581">
        <v>92.755540295031196</v>
      </c>
      <c r="AM581">
        <v>87.760983437781604</v>
      </c>
      <c r="AN581">
        <v>0.99999993073596805</v>
      </c>
    </row>
    <row r="582" spans="1:40" x14ac:dyDescent="0.25">
      <c r="A582" t="str">
        <f>"20190312151512223"</f>
        <v>20190312151512223</v>
      </c>
      <c r="B582" t="str">
        <f>"1552374912217971"</f>
        <v>1552374912217971</v>
      </c>
      <c r="C582" t="s">
        <v>40</v>
      </c>
      <c r="D582">
        <v>4.660139</v>
      </c>
      <c r="E582">
        <v>0.52857710000000002</v>
      </c>
      <c r="F582" t="s">
        <v>42</v>
      </c>
      <c r="G582">
        <v>-292.15390000000002</v>
      </c>
      <c r="H582">
        <v>-0.05</v>
      </c>
      <c r="I582">
        <v>364.69839999999999</v>
      </c>
      <c r="J582">
        <v>-328.14620000000002</v>
      </c>
      <c r="K582">
        <v>1.108765</v>
      </c>
      <c r="L582">
        <v>368.88229999999999</v>
      </c>
      <c r="M582">
        <v>0.99993779999999999</v>
      </c>
      <c r="N582">
        <v>0</v>
      </c>
      <c r="O582">
        <v>1.0832140000000001E-3</v>
      </c>
      <c r="P582">
        <v>0.99750499999999998</v>
      </c>
      <c r="Q582">
        <v>-5.9607519999999997E-2</v>
      </c>
      <c r="R582">
        <v>-3.7830830000000003E-2</v>
      </c>
      <c r="S582">
        <v>2.9887700000000001</v>
      </c>
      <c r="T582">
        <v>-9.498703E-2</v>
      </c>
      <c r="U582">
        <v>-0.34292600000000001</v>
      </c>
      <c r="V582">
        <v>3.8917750000000001E-2</v>
      </c>
      <c r="W582">
        <v>-4.85096E-2</v>
      </c>
      <c r="X582">
        <v>0.99806419999999996</v>
      </c>
      <c r="Y582">
        <v>0.1150086</v>
      </c>
      <c r="Z582">
        <v>-1.8554400000000001E-3</v>
      </c>
      <c r="AA582">
        <v>0.99336279999999999</v>
      </c>
      <c r="AB582">
        <v>45</v>
      </c>
      <c r="AC582">
        <v>35.9923</v>
      </c>
      <c r="AD582">
        <v>-1.158765</v>
      </c>
      <c r="AE582">
        <v>-4.1838999999999897</v>
      </c>
      <c r="AF582">
        <v>4.2185730349058703</v>
      </c>
      <c r="AG582">
        <v>-1.158765</v>
      </c>
      <c r="AH582">
        <v>35.950979978041701</v>
      </c>
      <c r="AI582">
        <v>91.833535949024807</v>
      </c>
      <c r="AJ582">
        <v>83.307383108954795</v>
      </c>
      <c r="AK582">
        <v>36.216185002807997</v>
      </c>
      <c r="AL582">
        <v>92.780486683460893</v>
      </c>
      <c r="AM582">
        <v>87.766983601724206</v>
      </c>
      <c r="AN582">
        <v>0.99999995993943003</v>
      </c>
    </row>
    <row r="583" spans="1:40" x14ac:dyDescent="0.25">
      <c r="A583" t="str">
        <f>"20190312151512237"</f>
        <v>20190312151512237</v>
      </c>
      <c r="B583" t="str">
        <f>"1552374912228707"</f>
        <v>1552374912228707</v>
      </c>
      <c r="C583" t="s">
        <v>40</v>
      </c>
      <c r="D583">
        <v>4.7060219999999999</v>
      </c>
      <c r="E583">
        <v>0.52859</v>
      </c>
      <c r="F583" t="s">
        <v>42</v>
      </c>
      <c r="G583">
        <v>-290.77179999999998</v>
      </c>
      <c r="H583">
        <v>-0.05</v>
      </c>
      <c r="I583">
        <v>364.59890000000001</v>
      </c>
      <c r="J583">
        <v>-327.87520000000001</v>
      </c>
      <c r="K583">
        <v>1.1087830000000001</v>
      </c>
      <c r="L583">
        <v>368.88260000000002</v>
      </c>
      <c r="M583">
        <v>0.99993719999999997</v>
      </c>
      <c r="N583">
        <v>0</v>
      </c>
      <c r="O583">
        <v>1.1539009999999999E-3</v>
      </c>
      <c r="P583">
        <v>0.9975098</v>
      </c>
      <c r="Q583">
        <v>-5.9655949999999999E-2</v>
      </c>
      <c r="R583">
        <v>-3.7626449999999999E-2</v>
      </c>
      <c r="S583">
        <v>2.9889830000000002</v>
      </c>
      <c r="T583">
        <v>-9.2671279999999995E-2</v>
      </c>
      <c r="U583">
        <v>-0.34255980000000003</v>
      </c>
      <c r="V583">
        <v>3.8785199999999999E-2</v>
      </c>
      <c r="W583">
        <v>-4.8517360000000002E-2</v>
      </c>
      <c r="X583">
        <v>0.99806899999999998</v>
      </c>
      <c r="Y583">
        <v>0.1149535</v>
      </c>
      <c r="Z583">
        <v>-1.8114419999999999E-3</v>
      </c>
      <c r="AA583">
        <v>0.99336919999999995</v>
      </c>
      <c r="AB583">
        <v>45</v>
      </c>
      <c r="AC583">
        <v>37.103400000000001</v>
      </c>
      <c r="AD583">
        <v>-1.1587829999999999</v>
      </c>
      <c r="AE583">
        <v>-4.2836999999999996</v>
      </c>
      <c r="AF583">
        <v>4.3223529501811999</v>
      </c>
      <c r="AG583">
        <v>-1.1587829999999999</v>
      </c>
      <c r="AH583">
        <v>37.062757030071197</v>
      </c>
      <c r="AI583">
        <v>91.778746238396295</v>
      </c>
      <c r="AJ583">
        <v>83.348069156880399</v>
      </c>
      <c r="AK583">
        <v>37.331936351294701</v>
      </c>
      <c r="AL583">
        <v>92.7809317743816</v>
      </c>
      <c r="AM583">
        <v>87.774592066367902</v>
      </c>
      <c r="AN583">
        <v>0.99999997736070401</v>
      </c>
    </row>
    <row r="584" spans="1:40" x14ac:dyDescent="0.25">
      <c r="A584" t="str">
        <f>"20190312151512250"</f>
        <v>20190312151512250</v>
      </c>
      <c r="B584" t="str">
        <f>"1552374912238468"</f>
        <v>1552374912238468</v>
      </c>
      <c r="C584" t="s">
        <v>40</v>
      </c>
      <c r="D584">
        <v>4.6434439999999997</v>
      </c>
      <c r="E584">
        <v>0.52861420000000003</v>
      </c>
      <c r="F584" t="s">
        <v>42</v>
      </c>
      <c r="G584">
        <v>-290.33600000000001</v>
      </c>
      <c r="H584">
        <v>-0.05</v>
      </c>
      <c r="I584">
        <v>364.5865</v>
      </c>
      <c r="J584">
        <v>-327.61270000000002</v>
      </c>
      <c r="K584">
        <v>1.108798</v>
      </c>
      <c r="L584">
        <v>368.88290000000001</v>
      </c>
      <c r="M584">
        <v>0.99993659999999995</v>
      </c>
      <c r="N584">
        <v>0</v>
      </c>
      <c r="O584">
        <v>1.226116E-3</v>
      </c>
      <c r="P584">
        <v>0.9975098</v>
      </c>
      <c r="Q584">
        <v>-5.9681770000000002E-2</v>
      </c>
      <c r="R584">
        <v>-3.7580170000000003E-2</v>
      </c>
      <c r="S584">
        <v>2.9890140000000001</v>
      </c>
      <c r="T584">
        <v>-9.2266799999999996E-2</v>
      </c>
      <c r="U584">
        <v>-0.34207149999999997</v>
      </c>
      <c r="V584">
        <v>3.8812239999999998E-2</v>
      </c>
      <c r="W584">
        <v>-4.8503530000000003E-2</v>
      </c>
      <c r="X584">
        <v>0.99806859999999997</v>
      </c>
      <c r="Y584">
        <v>0.1148643</v>
      </c>
      <c r="Z584">
        <v>-1.804389E-3</v>
      </c>
      <c r="AA584">
        <v>0.99337949999999997</v>
      </c>
      <c r="AB584">
        <v>45</v>
      </c>
      <c r="AC584">
        <v>37.276699999999998</v>
      </c>
      <c r="AD584">
        <v>-1.158798</v>
      </c>
      <c r="AE584">
        <v>-4.2964000000000002</v>
      </c>
      <c r="AF584">
        <v>4.3379680954225801</v>
      </c>
      <c r="AG584">
        <v>-1.158798</v>
      </c>
      <c r="AH584">
        <v>37.235892094371899</v>
      </c>
      <c r="AI584">
        <v>91.770528820848696</v>
      </c>
      <c r="AJ584">
        <v>83.355016442022105</v>
      </c>
      <c r="AK584">
        <v>37.505632111263203</v>
      </c>
      <c r="AL584">
        <v>92.780138498175901</v>
      </c>
      <c r="AM584">
        <v>87.773041241652194</v>
      </c>
      <c r="AN584">
        <v>0.99999995635111805</v>
      </c>
    </row>
    <row r="585" spans="1:40" x14ac:dyDescent="0.25">
      <c r="A585" t="str">
        <f>"20190312151512266"</f>
        <v>20190312151512266</v>
      </c>
      <c r="B585" t="str">
        <f>"1552374912257987"</f>
        <v>1552374912257987</v>
      </c>
      <c r="C585" t="s">
        <v>40</v>
      </c>
      <c r="D585">
        <v>4.6553380000000004</v>
      </c>
      <c r="E585">
        <v>0.52868789999999999</v>
      </c>
      <c r="F585" t="s">
        <v>42</v>
      </c>
      <c r="G585">
        <v>-289.47820000000002</v>
      </c>
      <c r="H585">
        <v>-0.05</v>
      </c>
      <c r="I585">
        <v>364.52010000000001</v>
      </c>
      <c r="J585">
        <v>-327.2808</v>
      </c>
      <c r="K585">
        <v>1.1088100000000001</v>
      </c>
      <c r="L585">
        <v>368.88339999999999</v>
      </c>
      <c r="M585">
        <v>0.99993589999999999</v>
      </c>
      <c r="N585">
        <v>0</v>
      </c>
      <c r="O585">
        <v>1.321525E-3</v>
      </c>
      <c r="P585">
        <v>0.9974982</v>
      </c>
      <c r="Q585">
        <v>-5.9968050000000002E-2</v>
      </c>
      <c r="R585">
        <v>-3.7432269999999997E-2</v>
      </c>
      <c r="S585">
        <v>2.989166</v>
      </c>
      <c r="T585">
        <v>-9.0831999999999996E-2</v>
      </c>
      <c r="U585">
        <v>-0.34198000000000001</v>
      </c>
      <c r="V585">
        <v>3.8760719999999999E-2</v>
      </c>
      <c r="W585">
        <v>-4.8739230000000001E-2</v>
      </c>
      <c r="X585">
        <v>0.99805920000000004</v>
      </c>
      <c r="Y585">
        <v>0.114925</v>
      </c>
      <c r="Z585">
        <v>-1.7800629999999999E-3</v>
      </c>
      <c r="AA585">
        <v>0.99337260000000005</v>
      </c>
      <c r="AB585">
        <v>45</v>
      </c>
      <c r="AC585">
        <v>37.802599999999899</v>
      </c>
      <c r="AD585">
        <v>-1.1588099999999999</v>
      </c>
      <c r="AE585">
        <v>-4.3632999999999802</v>
      </c>
      <c r="AF585">
        <v>4.4091676840547303</v>
      </c>
      <c r="AG585">
        <v>-1.1588099999999999</v>
      </c>
      <c r="AH585">
        <v>37.761782848530402</v>
      </c>
      <c r="AI585">
        <v>91.745852114151006</v>
      </c>
      <c r="AJ585">
        <v>83.340146653229496</v>
      </c>
      <c r="AK585">
        <v>38.035980915204199</v>
      </c>
      <c r="AL585">
        <v>92.793658881492604</v>
      </c>
      <c r="AM585">
        <v>87.775973447356606</v>
      </c>
      <c r="AN585">
        <v>1.0000000363302699</v>
      </c>
    </row>
    <row r="586" spans="1:40" x14ac:dyDescent="0.25">
      <c r="A586" t="str">
        <f>"20190312151512277"</f>
        <v>20190312151512277</v>
      </c>
      <c r="B586" t="str">
        <f>"1552374912268723"</f>
        <v>1552374912268723</v>
      </c>
      <c r="C586" t="s">
        <v>40</v>
      </c>
      <c r="D586">
        <v>4.6899089999999903</v>
      </c>
      <c r="E586">
        <v>0.52874960000000004</v>
      </c>
      <c r="F586" t="s">
        <v>42</v>
      </c>
      <c r="G586">
        <v>-288.32400000000001</v>
      </c>
      <c r="H586">
        <v>-0.05</v>
      </c>
      <c r="I586">
        <v>364.42520000000002</v>
      </c>
      <c r="J586">
        <v>-327.05840000000001</v>
      </c>
      <c r="K586">
        <v>1.108822</v>
      </c>
      <c r="L586">
        <v>368.88369999999998</v>
      </c>
      <c r="M586">
        <v>0.99993549999999998</v>
      </c>
      <c r="N586">
        <v>0</v>
      </c>
      <c r="O586">
        <v>1.3867479999999999E-3</v>
      </c>
      <c r="P586">
        <v>0.99749399999999999</v>
      </c>
      <c r="Q586">
        <v>-6.0167070000000003E-2</v>
      </c>
      <c r="R586">
        <v>-3.722719E-2</v>
      </c>
      <c r="S586">
        <v>2.9893489999999998</v>
      </c>
      <c r="T586">
        <v>-8.8921189999999997E-2</v>
      </c>
      <c r="U586">
        <v>-0.34210210000000002</v>
      </c>
      <c r="V586">
        <v>3.8621599999999999E-2</v>
      </c>
      <c r="W586">
        <v>-4.8903910000000002E-2</v>
      </c>
      <c r="X586">
        <v>0.99805650000000001</v>
      </c>
      <c r="Y586">
        <v>0.11502510000000001</v>
      </c>
      <c r="Z586">
        <v>-1.745941E-3</v>
      </c>
      <c r="AA586">
        <v>0.9933611</v>
      </c>
      <c r="AB586">
        <v>45</v>
      </c>
      <c r="AC586">
        <v>38.734400000000001</v>
      </c>
      <c r="AD586">
        <v>-1.158822</v>
      </c>
      <c r="AE586">
        <v>-4.4584999999999502</v>
      </c>
      <c r="AF586">
        <v>4.5082317153220703</v>
      </c>
      <c r="AG586">
        <v>-1.158822</v>
      </c>
      <c r="AH586">
        <v>38.6939999219776</v>
      </c>
      <c r="AI586">
        <v>91.703883268382398</v>
      </c>
      <c r="AJ586">
        <v>83.354439995519499</v>
      </c>
      <c r="AK586">
        <v>38.972973348061601</v>
      </c>
      <c r="AL586">
        <v>92.803105720503794</v>
      </c>
      <c r="AM586">
        <v>87.783941962999194</v>
      </c>
      <c r="AN586">
        <v>0.99999999879604895</v>
      </c>
    </row>
    <row r="587" spans="1:40" x14ac:dyDescent="0.25">
      <c r="A587" t="str">
        <f>"20190312151512289"</f>
        <v>20190312151512289</v>
      </c>
      <c r="B587" t="str">
        <f>"1552374912278483"</f>
        <v>1552374912278483</v>
      </c>
      <c r="C587" t="s">
        <v>40</v>
      </c>
      <c r="D587">
        <v>4.6669720000000003</v>
      </c>
      <c r="E587">
        <v>0.52878819999999904</v>
      </c>
      <c r="F587" t="s">
        <v>42</v>
      </c>
      <c r="G587">
        <v>-287.9427</v>
      </c>
      <c r="H587">
        <v>-0.05</v>
      </c>
      <c r="I587">
        <v>364.40859999999998</v>
      </c>
      <c r="J587">
        <v>-326.81880000000001</v>
      </c>
      <c r="K587">
        <v>1.1088340000000001</v>
      </c>
      <c r="L587">
        <v>368.88409999999999</v>
      </c>
      <c r="M587">
        <v>0.99993489999999996</v>
      </c>
      <c r="N587">
        <v>0</v>
      </c>
      <c r="O587">
        <v>1.4583879999999999E-3</v>
      </c>
      <c r="P587">
        <v>0.99748590000000004</v>
      </c>
      <c r="Q587">
        <v>-6.0218479999999998E-2</v>
      </c>
      <c r="R587">
        <v>-3.736039E-2</v>
      </c>
      <c r="S587">
        <v>2.9894409999999998</v>
      </c>
      <c r="T587">
        <v>-8.856356E-2</v>
      </c>
      <c r="U587">
        <v>-0.3420105</v>
      </c>
      <c r="V587">
        <v>3.8826769999999997E-2</v>
      </c>
      <c r="W587">
        <v>-4.8917769999999999E-2</v>
      </c>
      <c r="X587">
        <v>0.99804789999999999</v>
      </c>
      <c r="Y587">
        <v>0.1150632</v>
      </c>
      <c r="Z587">
        <v>-1.741549E-3</v>
      </c>
      <c r="AA587">
        <v>0.99335660000000003</v>
      </c>
      <c r="AB587">
        <v>45</v>
      </c>
      <c r="AC587">
        <v>38.876100000000001</v>
      </c>
      <c r="AD587">
        <v>-1.1588339999999999</v>
      </c>
      <c r="AE587">
        <v>-4.47550000000001</v>
      </c>
      <c r="AF587">
        <v>4.5282244256739599</v>
      </c>
      <c r="AG587">
        <v>-1.1588339999999999</v>
      </c>
      <c r="AH587">
        <v>38.835475679284798</v>
      </c>
      <c r="AI587">
        <v>91.697679681896403</v>
      </c>
      <c r="AJ587">
        <v>83.349331820697003</v>
      </c>
      <c r="AK587">
        <v>39.115749819288197</v>
      </c>
      <c r="AL587">
        <v>92.803900680197202</v>
      </c>
      <c r="AM587">
        <v>87.772162223974206</v>
      </c>
      <c r="AN587">
        <v>1.0000000384923999</v>
      </c>
    </row>
    <row r="588" spans="1:40" x14ac:dyDescent="0.25">
      <c r="A588" t="str">
        <f>"20190312151512300"</f>
        <v>20190312151512300</v>
      </c>
      <c r="B588" t="str">
        <f>"1552374912298003"</f>
        <v>1552374912298003</v>
      </c>
      <c r="C588" t="s">
        <v>40</v>
      </c>
      <c r="D588">
        <v>4.7049810000000001</v>
      </c>
      <c r="E588">
        <v>0.52877039999999997</v>
      </c>
      <c r="F588" t="s">
        <v>42</v>
      </c>
      <c r="G588">
        <v>-287.10559999999998</v>
      </c>
      <c r="H588">
        <v>-0.05</v>
      </c>
      <c r="I588">
        <v>364.3306</v>
      </c>
      <c r="J588">
        <v>-326.58859999999999</v>
      </c>
      <c r="K588">
        <v>1.108849</v>
      </c>
      <c r="L588">
        <v>368.8845</v>
      </c>
      <c r="M588">
        <v>0.99993449999999995</v>
      </c>
      <c r="N588">
        <v>0</v>
      </c>
      <c r="O588">
        <v>1.527696E-3</v>
      </c>
      <c r="P588">
        <v>0.99748499999999996</v>
      </c>
      <c r="Q588">
        <v>-6.0331360000000001E-2</v>
      </c>
      <c r="R588">
        <v>-3.7199929999999999E-2</v>
      </c>
      <c r="S588">
        <v>2.989471</v>
      </c>
      <c r="T588">
        <v>-8.7233069999999996E-2</v>
      </c>
      <c r="U588">
        <v>-0.34277340000000001</v>
      </c>
      <c r="V588">
        <v>3.8736300000000001E-2</v>
      </c>
      <c r="W588">
        <v>-4.899361E-2</v>
      </c>
      <c r="X588">
        <v>0.99804760000000003</v>
      </c>
      <c r="Y588">
        <v>0.1153825</v>
      </c>
      <c r="Z588">
        <v>-1.722012E-3</v>
      </c>
      <c r="AA588">
        <v>0.99331959999999997</v>
      </c>
      <c r="AB588">
        <v>45</v>
      </c>
      <c r="AC588">
        <v>39.482999999999997</v>
      </c>
      <c r="AD588">
        <v>-1.158849</v>
      </c>
      <c r="AE588">
        <v>-4.5538999999999898</v>
      </c>
      <c r="AF588">
        <v>4.6102971559358599</v>
      </c>
      <c r="AG588">
        <v>-1.158849</v>
      </c>
      <c r="AH588">
        <v>39.442464597475698</v>
      </c>
      <c r="AI588">
        <v>91.671535158440904</v>
      </c>
      <c r="AJ588">
        <v>83.333140976016495</v>
      </c>
      <c r="AK588">
        <v>39.727896803051998</v>
      </c>
      <c r="AL588">
        <v>92.808251475948197</v>
      </c>
      <c r="AM588">
        <v>87.777347414202097</v>
      </c>
      <c r="AN588">
        <v>0.99999994331213904</v>
      </c>
    </row>
    <row r="589" spans="1:40" x14ac:dyDescent="0.25">
      <c r="A589" t="str">
        <f>"20190312151512311"</f>
        <v>20190312151512311</v>
      </c>
      <c r="B589" t="str">
        <f>"1552374912308738"</f>
        <v>1552374912308738</v>
      </c>
      <c r="C589" t="s">
        <v>40</v>
      </c>
      <c r="D589">
        <v>4.6860150000000003</v>
      </c>
      <c r="E589">
        <v>0.52879409999999905</v>
      </c>
      <c r="F589" t="s">
        <v>42</v>
      </c>
      <c r="G589">
        <v>-286.17500000000001</v>
      </c>
      <c r="H589">
        <v>-0.05</v>
      </c>
      <c r="I589">
        <v>364.25880000000001</v>
      </c>
      <c r="J589">
        <v>-326.36430000000001</v>
      </c>
      <c r="K589">
        <v>1.1088579999999999</v>
      </c>
      <c r="L589">
        <v>368.88490000000002</v>
      </c>
      <c r="M589">
        <v>0.99993379999999998</v>
      </c>
      <c r="N589">
        <v>0</v>
      </c>
      <c r="O589">
        <v>1.5955710000000001E-3</v>
      </c>
      <c r="P589">
        <v>0.99750720000000004</v>
      </c>
      <c r="Q589">
        <v>-6.0109219999999998E-2</v>
      </c>
      <c r="R589">
        <v>-3.6967939999999998E-2</v>
      </c>
      <c r="S589">
        <v>2.9896240000000001</v>
      </c>
      <c r="T589">
        <v>-8.5726739999999996E-2</v>
      </c>
      <c r="U589">
        <v>-0.34219359999999999</v>
      </c>
      <c r="V589">
        <v>3.8572530000000001E-2</v>
      </c>
      <c r="W589">
        <v>-4.8734720000000002E-2</v>
      </c>
      <c r="X589">
        <v>0.99806669999999997</v>
      </c>
      <c r="Y589">
        <v>0.1152557</v>
      </c>
      <c r="Z589">
        <v>-1.69235E-3</v>
      </c>
      <c r="AA589">
        <v>0.99333439999999995</v>
      </c>
      <c r="AB589">
        <v>45</v>
      </c>
      <c r="AC589">
        <v>40.189300000000003</v>
      </c>
      <c r="AD589">
        <v>-1.1588579999999999</v>
      </c>
      <c r="AE589">
        <v>-4.6261000000000001</v>
      </c>
      <c r="AF589">
        <v>4.6863775894469102</v>
      </c>
      <c r="AG589">
        <v>-1.1588579999999999</v>
      </c>
      <c r="AH589">
        <v>40.148921523021599</v>
      </c>
      <c r="AI589">
        <v>91.642182561784693</v>
      </c>
      <c r="AJ589">
        <v>83.342285030369695</v>
      </c>
      <c r="AK589">
        <v>40.438113040011899</v>
      </c>
      <c r="AL589">
        <v>92.7934002008584</v>
      </c>
      <c r="AM589">
        <v>87.786777331418804</v>
      </c>
      <c r="AN589">
        <v>1.00000002532648</v>
      </c>
    </row>
    <row r="590" spans="1:40" x14ac:dyDescent="0.25">
      <c r="A590" t="str">
        <f>"20190312151512335"</f>
        <v>20190312151512335</v>
      </c>
      <c r="B590" t="str">
        <f>"1552374912328258"</f>
        <v>1552374912328258</v>
      </c>
      <c r="C590" t="s">
        <v>40</v>
      </c>
      <c r="D590">
        <v>4.719042</v>
      </c>
      <c r="E590">
        <v>0.52884419999999899</v>
      </c>
      <c r="F590" t="s">
        <v>42</v>
      </c>
      <c r="G590">
        <v>-285.25970000000001</v>
      </c>
      <c r="H590">
        <v>-0.05</v>
      </c>
      <c r="I590">
        <v>364.18349999999998</v>
      </c>
      <c r="J590">
        <v>-325.91090000000003</v>
      </c>
      <c r="K590">
        <v>1.1088789999999999</v>
      </c>
      <c r="L590">
        <v>368.88569999999999</v>
      </c>
      <c r="M590">
        <v>0.99993290000000001</v>
      </c>
      <c r="N590">
        <v>0</v>
      </c>
      <c r="O590">
        <v>1.733086E-3</v>
      </c>
      <c r="P590">
        <v>0.997506</v>
      </c>
      <c r="Q590">
        <v>-6.0268469999999998E-2</v>
      </c>
      <c r="R590">
        <v>-3.6743560000000001E-2</v>
      </c>
      <c r="S590">
        <v>2.989716</v>
      </c>
      <c r="T590">
        <v>-8.4288840000000004E-2</v>
      </c>
      <c r="U590">
        <v>-0.34194950000000002</v>
      </c>
      <c r="V590">
        <v>3.8486560000000003E-2</v>
      </c>
      <c r="W590">
        <v>-4.8820009999999997E-2</v>
      </c>
      <c r="X590">
        <v>0.9980658</v>
      </c>
      <c r="Y590">
        <v>0.1153103</v>
      </c>
      <c r="Z590">
        <v>-1.668564E-3</v>
      </c>
      <c r="AA590">
        <v>0.99332810000000005</v>
      </c>
      <c r="AB590">
        <v>45</v>
      </c>
      <c r="AC590">
        <v>40.651200000000003</v>
      </c>
      <c r="AD590">
        <v>-1.158879</v>
      </c>
      <c r="AE590">
        <v>-4.7022000000000004</v>
      </c>
      <c r="AF590">
        <v>4.76882513884311</v>
      </c>
      <c r="AG590">
        <v>-1.158879</v>
      </c>
      <c r="AH590">
        <v>40.610420826202997</v>
      </c>
      <c r="AI590">
        <v>91.623428266103701</v>
      </c>
      <c r="AJ590">
        <v>83.302509012389905</v>
      </c>
      <c r="AK590">
        <v>40.905879448103803</v>
      </c>
      <c r="AL590">
        <v>92.798292922738298</v>
      </c>
      <c r="AM590">
        <v>87.791703257585596</v>
      </c>
      <c r="AN590">
        <v>0.99999997490333603</v>
      </c>
    </row>
    <row r="591" spans="1:40" x14ac:dyDescent="0.25">
      <c r="A591" t="str">
        <f>"20190312151512346"</f>
        <v>20190312151512346</v>
      </c>
      <c r="B591" t="str">
        <f>"1552374912338019"</f>
        <v>1552374912338019</v>
      </c>
      <c r="C591" t="s">
        <v>40</v>
      </c>
      <c r="D591">
        <v>4.9051600000000004</v>
      </c>
      <c r="E591">
        <v>0.52886809999999995</v>
      </c>
      <c r="F591" t="s">
        <v>42</v>
      </c>
      <c r="G591">
        <v>-284.13839999999999</v>
      </c>
      <c r="H591">
        <v>-0.05</v>
      </c>
      <c r="I591">
        <v>364.11380000000003</v>
      </c>
      <c r="J591">
        <v>-325.66149999999999</v>
      </c>
      <c r="K591">
        <v>1.1088910000000001</v>
      </c>
      <c r="L591">
        <v>368.88619999999997</v>
      </c>
      <c r="M591">
        <v>0.9999323</v>
      </c>
      <c r="N591">
        <v>0</v>
      </c>
      <c r="O591">
        <v>1.8089219999999999E-3</v>
      </c>
      <c r="P591">
        <v>0.9975001</v>
      </c>
      <c r="Q591">
        <v>-6.0406599999999998E-2</v>
      </c>
      <c r="R591">
        <v>-3.6673579999999997E-2</v>
      </c>
      <c r="S591">
        <v>2.9898989999999999</v>
      </c>
      <c r="T591">
        <v>-8.2947610000000005E-2</v>
      </c>
      <c r="U591">
        <v>-0.34155269999999999</v>
      </c>
      <c r="V591">
        <v>3.849259E-2</v>
      </c>
      <c r="W591">
        <v>-4.8919200000000003E-2</v>
      </c>
      <c r="X591">
        <v>0.99806079999999997</v>
      </c>
      <c r="Y591">
        <v>0.11525009999999999</v>
      </c>
      <c r="Z591">
        <v>-1.6432009999999999E-3</v>
      </c>
      <c r="AA591">
        <v>0.99333510000000003</v>
      </c>
      <c r="AB591">
        <v>45</v>
      </c>
      <c r="AC591">
        <v>41.523099999999999</v>
      </c>
      <c r="AD591">
        <v>-1.1588909999999999</v>
      </c>
      <c r="AE591">
        <v>-4.7723999999999398</v>
      </c>
      <c r="AF591">
        <v>4.84378536103788</v>
      </c>
      <c r="AG591">
        <v>-1.1588909999999999</v>
      </c>
      <c r="AH591">
        <v>41.482507354117502</v>
      </c>
      <c r="AI591">
        <v>91.589454501319295</v>
      </c>
      <c r="AJ591">
        <v>83.339907047130495</v>
      </c>
      <c r="AK591">
        <v>41.780422465050499</v>
      </c>
      <c r="AL591">
        <v>92.803982639634</v>
      </c>
      <c r="AM591">
        <v>87.791346554823306</v>
      </c>
      <c r="AN591">
        <v>1.0000000640550899</v>
      </c>
    </row>
    <row r="592" spans="1:40" x14ac:dyDescent="0.25">
      <c r="A592" t="str">
        <f>"20190312151512359"</f>
        <v>20190312151512359</v>
      </c>
      <c r="B592" t="str">
        <f>"1552374912348755"</f>
        <v>1552374912348755</v>
      </c>
      <c r="C592" t="s">
        <v>40</v>
      </c>
      <c r="D592">
        <v>4.8635070000000002</v>
      </c>
      <c r="E592">
        <v>0.52886809999999995</v>
      </c>
      <c r="F592" t="s">
        <v>42</v>
      </c>
      <c r="G592">
        <v>-283.94490000000002</v>
      </c>
      <c r="H592">
        <v>-0.05</v>
      </c>
      <c r="I592">
        <v>364.12189999999998</v>
      </c>
      <c r="J592">
        <v>-325.41750000000002</v>
      </c>
      <c r="K592">
        <v>1.1088990000000001</v>
      </c>
      <c r="L592">
        <v>368.88670000000002</v>
      </c>
      <c r="M592">
        <v>0.99993169999999998</v>
      </c>
      <c r="N592">
        <v>0</v>
      </c>
      <c r="O592">
        <v>1.8828569999999999E-3</v>
      </c>
      <c r="P592">
        <v>0.99750459999999996</v>
      </c>
      <c r="Q592">
        <v>-6.0530859999999999E-2</v>
      </c>
      <c r="R592">
        <v>-3.6343470000000003E-2</v>
      </c>
      <c r="S592">
        <v>2.9899290000000001</v>
      </c>
      <c r="T592">
        <v>-8.3060380000000003E-2</v>
      </c>
      <c r="U592">
        <v>-0.34146120000000002</v>
      </c>
      <c r="V592">
        <v>3.8236770000000003E-2</v>
      </c>
      <c r="W592">
        <v>-4.9006710000000002E-2</v>
      </c>
      <c r="X592">
        <v>0.99806629999999996</v>
      </c>
      <c r="Y592">
        <v>0.1152922</v>
      </c>
      <c r="Z592">
        <v>-1.648051E-3</v>
      </c>
      <c r="AA592">
        <v>0.99333020000000005</v>
      </c>
      <c r="AB592">
        <v>45</v>
      </c>
      <c r="AC592">
        <v>41.4726</v>
      </c>
      <c r="AD592">
        <v>-1.1588989999999999</v>
      </c>
      <c r="AE592">
        <v>-4.7648000000000303</v>
      </c>
      <c r="AF592">
        <v>4.8391542884808301</v>
      </c>
      <c r="AG592">
        <v>-1.1588989999999999</v>
      </c>
      <c r="AH592">
        <v>41.431623957727297</v>
      </c>
      <c r="AI592">
        <v>91.591410737928797</v>
      </c>
      <c r="AJ592">
        <v>83.338119242131199</v>
      </c>
      <c r="AK592">
        <v>41.7293652587053</v>
      </c>
      <c r="AL592">
        <v>92.809002727407403</v>
      </c>
      <c r="AM592">
        <v>87.806022850968901</v>
      </c>
      <c r="AN592">
        <v>1.0000000237003701</v>
      </c>
    </row>
    <row r="593" spans="1:40" x14ac:dyDescent="0.25">
      <c r="A593" t="str">
        <f>"20190312151512379"</f>
        <v>20190312151512379</v>
      </c>
      <c r="B593" t="str">
        <f>"1552374912368275"</f>
        <v>1552374912368275</v>
      </c>
      <c r="C593" t="s">
        <v>40</v>
      </c>
      <c r="D593">
        <v>4.7978829999999997</v>
      </c>
      <c r="E593">
        <v>0.52895519999999996</v>
      </c>
      <c r="F593" t="s">
        <v>42</v>
      </c>
      <c r="G593">
        <v>-283.90559999999999</v>
      </c>
      <c r="H593">
        <v>-0.05</v>
      </c>
      <c r="I593">
        <v>364.16250000000002</v>
      </c>
      <c r="J593">
        <v>-325.0077</v>
      </c>
      <c r="K593">
        <v>1.108908</v>
      </c>
      <c r="L593">
        <v>368.88749999999999</v>
      </c>
      <c r="M593">
        <v>0.99993089999999996</v>
      </c>
      <c r="N593">
        <v>0</v>
      </c>
      <c r="O593">
        <v>2.0072419999999998E-3</v>
      </c>
      <c r="P593">
        <v>0.99750329999999998</v>
      </c>
      <c r="Q593">
        <v>-6.049417E-2</v>
      </c>
      <c r="R593">
        <v>-3.6440300000000002E-2</v>
      </c>
      <c r="S593">
        <v>2.990021</v>
      </c>
      <c r="T593">
        <v>-8.347309E-2</v>
      </c>
      <c r="U593">
        <v>-0.34027099999999999</v>
      </c>
      <c r="V593">
        <v>3.8458329999999999E-2</v>
      </c>
      <c r="W593">
        <v>-4.8912200000000003E-2</v>
      </c>
      <c r="X593">
        <v>0.99806240000000002</v>
      </c>
      <c r="Y593">
        <v>0.1150216</v>
      </c>
      <c r="Z593">
        <v>-1.65592E-3</v>
      </c>
      <c r="AA593">
        <v>0.99336159999999996</v>
      </c>
      <c r="AB593">
        <v>45</v>
      </c>
      <c r="AC593">
        <v>41.1021</v>
      </c>
      <c r="AD593">
        <v>-1.158908</v>
      </c>
      <c r="AE593">
        <v>-4.7249999999999597</v>
      </c>
      <c r="AF593">
        <v>4.8037286985804597</v>
      </c>
      <c r="AG593">
        <v>-1.158908</v>
      </c>
      <c r="AH593">
        <v>41.060314936064898</v>
      </c>
      <c r="AI593">
        <v>91.605771048734496</v>
      </c>
      <c r="AJ593">
        <v>83.327185264336293</v>
      </c>
      <c r="AK593">
        <v>41.356599712873702</v>
      </c>
      <c r="AL593">
        <v>92.8035812671869</v>
      </c>
      <c r="AM593">
        <v>87.793313937731597</v>
      </c>
      <c r="AN593">
        <v>1.00000000037449</v>
      </c>
    </row>
    <row r="594" spans="1:40" x14ac:dyDescent="0.25">
      <c r="A594" t="str">
        <f>"20190312151512389"</f>
        <v>20190312151512389</v>
      </c>
      <c r="B594" t="str">
        <f>"1552374912378035"</f>
        <v>1552374912378035</v>
      </c>
      <c r="C594" t="s">
        <v>40</v>
      </c>
      <c r="D594">
        <v>4.8123110000000002</v>
      </c>
      <c r="E594">
        <v>0.52895519999999996</v>
      </c>
      <c r="F594" t="s">
        <v>42</v>
      </c>
      <c r="G594">
        <v>-282.87299999999999</v>
      </c>
      <c r="H594">
        <v>-0.05</v>
      </c>
      <c r="I594">
        <v>364.07369999999997</v>
      </c>
      <c r="J594">
        <v>-324.79000000000002</v>
      </c>
      <c r="K594">
        <v>1.1089150000000001</v>
      </c>
      <c r="L594">
        <v>368.88799999999998</v>
      </c>
      <c r="M594">
        <v>0.9999304</v>
      </c>
      <c r="N594">
        <v>0</v>
      </c>
      <c r="O594">
        <v>2.0732770000000001E-3</v>
      </c>
      <c r="P594">
        <v>0.99749200000000005</v>
      </c>
      <c r="Q594">
        <v>-6.0834119999999998E-2</v>
      </c>
      <c r="R594">
        <v>-3.6186870000000003E-2</v>
      </c>
      <c r="S594">
        <v>2.9900820000000001</v>
      </c>
      <c r="T594">
        <v>-8.2241770000000006E-2</v>
      </c>
      <c r="U594">
        <v>-0.34161380000000002</v>
      </c>
      <c r="V594">
        <v>3.8271149999999997E-2</v>
      </c>
      <c r="W594">
        <v>-4.9223530000000001E-2</v>
      </c>
      <c r="X594">
        <v>0.99805429999999995</v>
      </c>
      <c r="Y594">
        <v>0.1155264</v>
      </c>
      <c r="Z594">
        <v>-1.640156E-3</v>
      </c>
      <c r="AA594">
        <v>0.99330309999999999</v>
      </c>
      <c r="AB594">
        <v>45</v>
      </c>
      <c r="AC594">
        <v>41.917000000000002</v>
      </c>
      <c r="AD594">
        <v>-1.1589149999999999</v>
      </c>
      <c r="AE594">
        <v>-4.8143000000000598</v>
      </c>
      <c r="AF594">
        <v>4.8975061346756501</v>
      </c>
      <c r="AG594">
        <v>-1.1589149999999999</v>
      </c>
      <c r="AH594">
        <v>41.875334936173097</v>
      </c>
      <c r="AI594">
        <v>91.574550130621404</v>
      </c>
      <c r="AJ594">
        <v>83.329308991780394</v>
      </c>
      <c r="AK594">
        <v>42.176679887505202</v>
      </c>
      <c r="AL594">
        <v>92.821440644077398</v>
      </c>
      <c r="AM594">
        <v>87.804025723846905</v>
      </c>
      <c r="AN594">
        <v>1.0000000112882299</v>
      </c>
    </row>
    <row r="595" spans="1:40" x14ac:dyDescent="0.25">
      <c r="A595" t="str">
        <f>"20190312151512413"</f>
        <v>20190312151512413</v>
      </c>
      <c r="B595" t="str">
        <f>"1552374912408291"</f>
        <v>1552374912408291</v>
      </c>
      <c r="C595" t="s">
        <v>40</v>
      </c>
      <c r="D595">
        <v>5.165057</v>
      </c>
      <c r="E595">
        <v>0.52905729999999995</v>
      </c>
      <c r="F595" t="s">
        <v>42</v>
      </c>
      <c r="G595">
        <v>-283.15159999999997</v>
      </c>
      <c r="H595">
        <v>-0.05</v>
      </c>
      <c r="I595">
        <v>364.14370000000002</v>
      </c>
      <c r="J595">
        <v>-324.32220000000001</v>
      </c>
      <c r="K595">
        <v>1.108916</v>
      </c>
      <c r="L595">
        <v>368.88909999999998</v>
      </c>
      <c r="M595">
        <v>0.99992930000000002</v>
      </c>
      <c r="N595">
        <v>0</v>
      </c>
      <c r="O595">
        <v>2.2161920000000001E-3</v>
      </c>
      <c r="P595">
        <v>0.99749089999999996</v>
      </c>
      <c r="Q595">
        <v>-6.1081370000000003E-2</v>
      </c>
      <c r="R595">
        <v>-3.5789950000000001E-2</v>
      </c>
      <c r="S595">
        <v>2.9901119999999999</v>
      </c>
      <c r="T595">
        <v>-8.3223220000000001E-2</v>
      </c>
      <c r="U595">
        <v>-0.34069820000000001</v>
      </c>
      <c r="V595">
        <v>3.801769E-2</v>
      </c>
      <c r="W595">
        <v>-4.9413789999999999E-2</v>
      </c>
      <c r="X595">
        <v>0.99805460000000001</v>
      </c>
      <c r="Y595">
        <v>0.115366</v>
      </c>
      <c r="Z595">
        <v>-1.661474E-3</v>
      </c>
      <c r="AA595">
        <v>0.99332169999999997</v>
      </c>
      <c r="AB595">
        <v>45</v>
      </c>
      <c r="AC595">
        <v>41.1706</v>
      </c>
      <c r="AD595">
        <v>-1.1589160000000001</v>
      </c>
      <c r="AE595">
        <v>-4.7453999999999601</v>
      </c>
      <c r="AF595">
        <v>4.8328573099963901</v>
      </c>
      <c r="AG595">
        <v>-1.1589160000000001</v>
      </c>
      <c r="AH595">
        <v>41.127820154787003</v>
      </c>
      <c r="AI595">
        <v>91.603052185940896</v>
      </c>
      <c r="AJ595">
        <v>83.298009088221605</v>
      </c>
      <c r="AK595">
        <v>41.427010352647301</v>
      </c>
      <c r="AL595">
        <v>92.832354979076996</v>
      </c>
      <c r="AM595">
        <v>87.818555655470902</v>
      </c>
      <c r="AN595">
        <v>1.0000000259881201</v>
      </c>
    </row>
    <row r="596" spans="1:40" x14ac:dyDescent="0.25">
      <c r="A596" t="str">
        <f>"20190312151512435"</f>
        <v>20190312151512435</v>
      </c>
      <c r="B596" t="str">
        <f>"1552374912428787"</f>
        <v>1552374912428787</v>
      </c>
      <c r="C596" t="s">
        <v>40</v>
      </c>
      <c r="D596">
        <v>4.727824</v>
      </c>
      <c r="E596">
        <v>0.5291169</v>
      </c>
      <c r="F596" t="s">
        <v>42</v>
      </c>
      <c r="G596">
        <v>-282.0625</v>
      </c>
      <c r="H596">
        <v>-0.05</v>
      </c>
      <c r="I596">
        <v>364.08339999999998</v>
      </c>
      <c r="J596">
        <v>-323.87490000000003</v>
      </c>
      <c r="K596">
        <v>1.1089230000000001</v>
      </c>
      <c r="L596">
        <v>368.89019999999999</v>
      </c>
      <c r="M596">
        <v>0.99992840000000005</v>
      </c>
      <c r="N596">
        <v>0</v>
      </c>
      <c r="O596">
        <v>2.3543660000000001E-3</v>
      </c>
      <c r="P596">
        <v>0.9974539</v>
      </c>
      <c r="Q596">
        <v>-6.1753389999999998E-2</v>
      </c>
      <c r="R596">
        <v>-3.5672549999999997E-2</v>
      </c>
      <c r="S596">
        <v>2.990326</v>
      </c>
      <c r="T596">
        <v>-8.2005739999999994E-2</v>
      </c>
      <c r="U596">
        <v>-0.34005740000000001</v>
      </c>
      <c r="V596">
        <v>3.8038500000000003E-2</v>
      </c>
      <c r="W596">
        <v>-5.0038199999999998E-2</v>
      </c>
      <c r="X596">
        <v>0.99802270000000004</v>
      </c>
      <c r="Y596">
        <v>0.1152864</v>
      </c>
      <c r="Z596">
        <v>-1.63977E-3</v>
      </c>
      <c r="AA596">
        <v>0.99333099999999996</v>
      </c>
      <c r="AB596">
        <v>45</v>
      </c>
      <c r="AC596">
        <v>41.812399999999997</v>
      </c>
      <c r="AD596">
        <v>-1.1589229999999999</v>
      </c>
      <c r="AE596">
        <v>-4.8068000000000097</v>
      </c>
      <c r="AF596">
        <v>4.9015187011724004</v>
      </c>
      <c r="AG596">
        <v>-1.1589229999999999</v>
      </c>
      <c r="AH596">
        <v>41.769295917095</v>
      </c>
      <c r="AI596">
        <v>91.578484635376597</v>
      </c>
      <c r="AJ596">
        <v>83.307097999205695</v>
      </c>
      <c r="AK596">
        <v>42.071867910846599</v>
      </c>
      <c r="AL596">
        <v>92.868175340299501</v>
      </c>
      <c r="AM596">
        <v>87.817293041484604</v>
      </c>
      <c r="AN596">
        <v>1.0000000293283799</v>
      </c>
    </row>
    <row r="597" spans="1:40" x14ac:dyDescent="0.25">
      <c r="A597" t="str">
        <f>"20190312151512448"</f>
        <v>20190312151512448</v>
      </c>
      <c r="B597" t="str">
        <f>"1552374912438547"</f>
        <v>1552374912438547</v>
      </c>
      <c r="C597" t="s">
        <v>40</v>
      </c>
      <c r="D597">
        <v>4.7973910000000002</v>
      </c>
      <c r="E597">
        <v>0.52917440000000004</v>
      </c>
      <c r="F597" t="s">
        <v>42</v>
      </c>
      <c r="G597">
        <v>-282.51960000000003</v>
      </c>
      <c r="H597">
        <v>-0.05</v>
      </c>
      <c r="I597">
        <v>364.18349999999998</v>
      </c>
      <c r="J597">
        <v>-323.59500000000003</v>
      </c>
      <c r="K597">
        <v>1.1089249999999999</v>
      </c>
      <c r="L597">
        <v>368.89100000000002</v>
      </c>
      <c r="M597">
        <v>0.99992800000000004</v>
      </c>
      <c r="N597">
        <v>0</v>
      </c>
      <c r="O597">
        <v>2.4411369999999999E-3</v>
      </c>
      <c r="P597">
        <v>0.99743729999999997</v>
      </c>
      <c r="Q597">
        <v>-6.2160010000000002E-2</v>
      </c>
      <c r="R597">
        <v>-3.5428420000000002E-2</v>
      </c>
      <c r="S597">
        <v>2.9902950000000001</v>
      </c>
      <c r="T597">
        <v>-8.3798769999999995E-2</v>
      </c>
      <c r="U597">
        <v>-0.34033200000000002</v>
      </c>
      <c r="V597">
        <v>3.78813E-2</v>
      </c>
      <c r="W597">
        <v>-5.0417789999999997E-2</v>
      </c>
      <c r="X597">
        <v>0.99800960000000005</v>
      </c>
      <c r="Y597">
        <v>0.1154618</v>
      </c>
      <c r="Z597">
        <v>-1.68049E-3</v>
      </c>
      <c r="AA597">
        <v>0.99331049999999999</v>
      </c>
      <c r="AB597">
        <v>45</v>
      </c>
      <c r="AC597">
        <v>41.075400000000002</v>
      </c>
      <c r="AD597">
        <v>-1.158925</v>
      </c>
      <c r="AE597">
        <v>-4.70749999999998</v>
      </c>
      <c r="AF597">
        <v>4.80398887628008</v>
      </c>
      <c r="AG597">
        <v>-1.158925</v>
      </c>
      <c r="AH597">
        <v>41.031544946155499</v>
      </c>
      <c r="AI597">
        <v>91.6069035457854</v>
      </c>
      <c r="AJ597">
        <v>83.322190343814697</v>
      </c>
      <c r="AK597">
        <v>41.328066697432497</v>
      </c>
      <c r="AL597">
        <v>92.889951659835901</v>
      </c>
      <c r="AM597">
        <v>87.826276240842006</v>
      </c>
      <c r="AN597">
        <v>1.0000000540651599</v>
      </c>
    </row>
    <row r="598" spans="1:40" x14ac:dyDescent="0.25">
      <c r="A598" t="str">
        <f>"20190312151512460"</f>
        <v>20190312151512460</v>
      </c>
      <c r="B598" t="str">
        <f>"1552374912458067"</f>
        <v>1552374912458067</v>
      </c>
      <c r="C598" t="s">
        <v>40</v>
      </c>
      <c r="D598">
        <v>4.8717249999999996</v>
      </c>
      <c r="E598">
        <v>0.52926629999999997</v>
      </c>
      <c r="F598" t="s">
        <v>42</v>
      </c>
      <c r="G598">
        <v>-282.70749999999998</v>
      </c>
      <c r="H598">
        <v>-0.05</v>
      </c>
      <c r="I598">
        <v>364.24259999999998</v>
      </c>
      <c r="J598">
        <v>-323.35509999999999</v>
      </c>
      <c r="K598">
        <v>1.1089279999999999</v>
      </c>
      <c r="L598">
        <v>368.89159999999998</v>
      </c>
      <c r="M598">
        <v>0.99992769999999997</v>
      </c>
      <c r="N598">
        <v>0</v>
      </c>
      <c r="O598">
        <v>2.5159499999999999E-3</v>
      </c>
      <c r="P598">
        <v>0.99740660000000003</v>
      </c>
      <c r="Q598">
        <v>-6.2734860000000003E-2</v>
      </c>
      <c r="R598">
        <v>-3.5285549999999999E-2</v>
      </c>
      <c r="S598">
        <v>2.9903559999999998</v>
      </c>
      <c r="T598">
        <v>-8.4759349999999997E-2</v>
      </c>
      <c r="U598">
        <v>-0.33996579999999998</v>
      </c>
      <c r="V598">
        <v>3.7813270000000003E-2</v>
      </c>
      <c r="W598">
        <v>-5.0971299999999997E-2</v>
      </c>
      <c r="X598">
        <v>0.99798399999999998</v>
      </c>
      <c r="Y598">
        <v>0.1154126</v>
      </c>
      <c r="Z598">
        <v>-1.7011420000000001E-3</v>
      </c>
      <c r="AA598">
        <v>0.99331619999999998</v>
      </c>
      <c r="AB598">
        <v>45</v>
      </c>
      <c r="AC598">
        <v>40.647599999999997</v>
      </c>
      <c r="AD598">
        <v>-1.158928</v>
      </c>
      <c r="AE598">
        <v>-4.649</v>
      </c>
      <c r="AF598">
        <v>4.7474502604270699</v>
      </c>
      <c r="AG598">
        <v>-1.158928</v>
      </c>
      <c r="AH598">
        <v>40.603193277300001</v>
      </c>
      <c r="AI598">
        <v>91.623880542233593</v>
      </c>
      <c r="AJ598">
        <v>83.3310814776504</v>
      </c>
      <c r="AK598">
        <v>40.8962186809269</v>
      </c>
      <c r="AL598">
        <v>92.921706461153406</v>
      </c>
      <c r="AM598">
        <v>87.830120631217298</v>
      </c>
      <c r="AN598">
        <v>0.99999999053389099</v>
      </c>
    </row>
    <row r="599" spans="1:40" x14ac:dyDescent="0.25">
      <c r="A599" t="str">
        <f>"20190312151512471"</f>
        <v>20190312151512471</v>
      </c>
      <c r="B599" t="str">
        <f>"1552374912468803"</f>
        <v>1552374912468803</v>
      </c>
      <c r="C599" t="s">
        <v>40</v>
      </c>
      <c r="D599">
        <v>4.8660189999999997</v>
      </c>
      <c r="E599">
        <v>0.52930489999999997</v>
      </c>
      <c r="F599" t="s">
        <v>42</v>
      </c>
      <c r="G599">
        <v>-283.18740000000003</v>
      </c>
      <c r="H599">
        <v>-0.05</v>
      </c>
      <c r="I599">
        <v>364.32010000000002</v>
      </c>
      <c r="J599">
        <v>-323.13279999999997</v>
      </c>
      <c r="K599">
        <v>1.108927</v>
      </c>
      <c r="L599">
        <v>368.8922</v>
      </c>
      <c r="M599">
        <v>0.99992720000000002</v>
      </c>
      <c r="N599">
        <v>0</v>
      </c>
      <c r="O599">
        <v>2.5857079999999999E-3</v>
      </c>
      <c r="P599">
        <v>0.99740169999999995</v>
      </c>
      <c r="Q599">
        <v>-6.2906489999999995E-2</v>
      </c>
      <c r="R599">
        <v>-3.511773E-2</v>
      </c>
      <c r="S599">
        <v>2.9903559999999998</v>
      </c>
      <c r="T599">
        <v>-8.6278439999999998E-2</v>
      </c>
      <c r="U599">
        <v>-0.34033200000000002</v>
      </c>
      <c r="V599">
        <v>3.7715220000000001E-2</v>
      </c>
      <c r="W599">
        <v>-5.1123759999999997E-2</v>
      </c>
      <c r="X599">
        <v>0.99797990000000003</v>
      </c>
      <c r="Y599">
        <v>0.1156002</v>
      </c>
      <c r="Z599">
        <v>-1.73631E-3</v>
      </c>
      <c r="AA599">
        <v>0.99329429999999996</v>
      </c>
      <c r="AB599">
        <v>45</v>
      </c>
      <c r="AC599">
        <v>39.9453999999999</v>
      </c>
      <c r="AD599">
        <v>-1.158927</v>
      </c>
      <c r="AE599">
        <v>-4.5720999999999696</v>
      </c>
      <c r="AF599">
        <v>4.6714976848113503</v>
      </c>
      <c r="AG599">
        <v>-1.158927</v>
      </c>
      <c r="AH599">
        <v>39.900292097454901</v>
      </c>
      <c r="AI599">
        <v>91.652440613613905</v>
      </c>
      <c r="AJ599">
        <v>83.322252216174107</v>
      </c>
      <c r="AK599">
        <v>40.189542319772102</v>
      </c>
      <c r="AL599">
        <v>92.930453214163506</v>
      </c>
      <c r="AM599">
        <v>87.835732898937195</v>
      </c>
      <c r="AN599">
        <v>0.99999997873009705</v>
      </c>
    </row>
    <row r="600" spans="1:40" x14ac:dyDescent="0.25">
      <c r="A600" t="str">
        <f>"20190312151512483"</f>
        <v>20190312151512483</v>
      </c>
      <c r="B600" t="str">
        <f>"1552374912478563"</f>
        <v>1552374912478563</v>
      </c>
      <c r="C600" t="s">
        <v>40</v>
      </c>
      <c r="D600">
        <v>4.771153</v>
      </c>
      <c r="E600">
        <v>0.52938130000000005</v>
      </c>
      <c r="F600" t="s">
        <v>42</v>
      </c>
      <c r="G600">
        <v>-283.11810000000003</v>
      </c>
      <c r="H600">
        <v>-0.05</v>
      </c>
      <c r="I600">
        <v>364.33940000000001</v>
      </c>
      <c r="J600">
        <v>-322.90609999999998</v>
      </c>
      <c r="K600">
        <v>1.1089290000000001</v>
      </c>
      <c r="L600">
        <v>368.89280000000002</v>
      </c>
      <c r="M600">
        <v>0.99992669999999995</v>
      </c>
      <c r="N600">
        <v>0</v>
      </c>
      <c r="O600">
        <v>2.6570230000000001E-3</v>
      </c>
      <c r="P600">
        <v>0.99737260000000005</v>
      </c>
      <c r="Q600">
        <v>-6.3445109999999999E-2</v>
      </c>
      <c r="R600">
        <v>-3.49661E-2</v>
      </c>
      <c r="S600">
        <v>2.9903870000000001</v>
      </c>
      <c r="T600">
        <v>-8.6609130000000006E-2</v>
      </c>
      <c r="U600">
        <v>-0.3402405</v>
      </c>
      <c r="V600">
        <v>3.7634979999999998E-2</v>
      </c>
      <c r="W600">
        <v>-5.1644900000000001E-2</v>
      </c>
      <c r="X600">
        <v>0.99795610000000001</v>
      </c>
      <c r="Y600">
        <v>0.11563950000000001</v>
      </c>
      <c r="Z600">
        <v>-1.7455729999999901E-3</v>
      </c>
      <c r="AA600">
        <v>0.99328970000000005</v>
      </c>
      <c r="AB600">
        <v>45</v>
      </c>
      <c r="AC600">
        <v>39.787999999999897</v>
      </c>
      <c r="AD600">
        <v>-1.1589290000000001</v>
      </c>
      <c r="AE600">
        <v>-4.5534000000000097</v>
      </c>
      <c r="AF600">
        <v>4.6552104300554102</v>
      </c>
      <c r="AG600">
        <v>-1.1589290000000001</v>
      </c>
      <c r="AH600">
        <v>39.7424778941783</v>
      </c>
      <c r="AI600">
        <v>91.658990972256404</v>
      </c>
      <c r="AJ600">
        <v>83.319138342163001</v>
      </c>
      <c r="AK600">
        <v>40.0309711316674</v>
      </c>
      <c r="AL600">
        <v>92.960351824083304</v>
      </c>
      <c r="AM600">
        <v>87.840281605751798</v>
      </c>
      <c r="AN600">
        <v>0.99999998247140998</v>
      </c>
    </row>
    <row r="601" spans="1:40" x14ac:dyDescent="0.25">
      <c r="A601" t="str">
        <f>"20190312151512494"</f>
        <v>20190312151512494</v>
      </c>
      <c r="B601" t="str">
        <f>"1552374912488323"</f>
        <v>1552374912488323</v>
      </c>
      <c r="C601" t="s">
        <v>40</v>
      </c>
      <c r="D601">
        <v>4.6340079999999997</v>
      </c>
      <c r="E601">
        <v>0.52944369999999996</v>
      </c>
      <c r="F601" t="s">
        <v>42</v>
      </c>
      <c r="G601">
        <v>-283.55959999999999</v>
      </c>
      <c r="H601">
        <v>-0.05</v>
      </c>
      <c r="I601">
        <v>364.41309999999999</v>
      </c>
      <c r="J601">
        <v>-322.68040000000002</v>
      </c>
      <c r="K601">
        <v>1.1089279999999999</v>
      </c>
      <c r="L601">
        <v>368.89350000000002</v>
      </c>
      <c r="M601">
        <v>0.99992630000000005</v>
      </c>
      <c r="N601">
        <v>0</v>
      </c>
      <c r="O601">
        <v>2.7276240000000001E-3</v>
      </c>
      <c r="P601">
        <v>0.99735309999999999</v>
      </c>
      <c r="Q601">
        <v>-6.3851489999999997E-2</v>
      </c>
      <c r="R601">
        <v>-3.4783290000000001E-2</v>
      </c>
      <c r="S601">
        <v>2.990326</v>
      </c>
      <c r="T601">
        <v>-8.8078379999999998E-2</v>
      </c>
      <c r="U601">
        <v>-0.34045409999999998</v>
      </c>
      <c r="V601">
        <v>3.7522640000000003E-2</v>
      </c>
      <c r="W601">
        <v>-5.2034179999999999E-2</v>
      </c>
      <c r="X601">
        <v>0.9979401</v>
      </c>
      <c r="Y601">
        <v>0.1157802</v>
      </c>
      <c r="Z601">
        <v>-1.779339E-3</v>
      </c>
      <c r="AA601">
        <v>0.99327330000000003</v>
      </c>
      <c r="AB601">
        <v>45</v>
      </c>
      <c r="AC601">
        <v>39.120800000000003</v>
      </c>
      <c r="AD601">
        <v>-1.158928</v>
      </c>
      <c r="AE601">
        <v>-4.4804000000000297</v>
      </c>
      <c r="AF601">
        <v>4.5831275446508002</v>
      </c>
      <c r="AG601">
        <v>-1.158928</v>
      </c>
      <c r="AH601">
        <v>39.074584794214601</v>
      </c>
      <c r="AI601">
        <v>91.687299331981393</v>
      </c>
      <c r="AJ601">
        <v>83.3102421838461</v>
      </c>
      <c r="AK601">
        <v>39.3595140854151</v>
      </c>
      <c r="AL601">
        <v>92.982685981438394</v>
      </c>
      <c r="AM601">
        <v>87.846687772704001</v>
      </c>
      <c r="AN601">
        <v>0.99999997379442496</v>
      </c>
    </row>
    <row r="602" spans="1:40" x14ac:dyDescent="0.25">
      <c r="A602" t="str">
        <f>"20190312151512504"</f>
        <v>20190312151512504</v>
      </c>
      <c r="B602" t="str">
        <f>"1552374912498083"</f>
        <v>1552374912498083</v>
      </c>
      <c r="C602" t="s">
        <v>40</v>
      </c>
      <c r="D602">
        <v>4.7064500000000002</v>
      </c>
      <c r="E602">
        <v>0.52946079999999995</v>
      </c>
      <c r="F602" t="s">
        <v>42</v>
      </c>
      <c r="G602">
        <v>-283.74880000000002</v>
      </c>
      <c r="H602">
        <v>-0.05</v>
      </c>
      <c r="I602">
        <v>364.46429999999998</v>
      </c>
      <c r="J602">
        <v>-322.44850000000002</v>
      </c>
      <c r="K602">
        <v>1.1089279999999999</v>
      </c>
      <c r="L602">
        <v>368.89420000000001</v>
      </c>
      <c r="M602">
        <v>0.99992599999999998</v>
      </c>
      <c r="N602">
        <v>0</v>
      </c>
      <c r="O602">
        <v>2.8006149999999998E-3</v>
      </c>
      <c r="P602">
        <v>0.99733329999999998</v>
      </c>
      <c r="Q602">
        <v>-6.4227610000000004E-2</v>
      </c>
      <c r="R602">
        <v>-3.4657239999999999E-2</v>
      </c>
      <c r="S602">
        <v>2.9903870000000001</v>
      </c>
      <c r="T602">
        <v>-8.9018700000000006E-2</v>
      </c>
      <c r="U602">
        <v>-0.34021000000000001</v>
      </c>
      <c r="V602">
        <v>3.7469660000000002E-2</v>
      </c>
      <c r="W602">
        <v>-5.2394490000000002E-2</v>
      </c>
      <c r="X602">
        <v>0.99792329999999996</v>
      </c>
      <c r="Y602">
        <v>0.1157692</v>
      </c>
      <c r="Z602">
        <v>-1.8003019999999999E-3</v>
      </c>
      <c r="AA602">
        <v>0.99327449999999995</v>
      </c>
      <c r="AB602">
        <v>45</v>
      </c>
      <c r="AC602">
        <v>38.6997</v>
      </c>
      <c r="AD602">
        <v>-1.158928</v>
      </c>
      <c r="AE602">
        <v>-4.4299000000000301</v>
      </c>
      <c r="AF602">
        <v>4.5342594295565801</v>
      </c>
      <c r="AG602">
        <v>-1.158928</v>
      </c>
      <c r="AH602">
        <v>38.652925114379499</v>
      </c>
      <c r="AI602">
        <v>91.705692037794904</v>
      </c>
      <c r="AJ602">
        <v>83.309380806339902</v>
      </c>
      <c r="AK602">
        <v>38.935218537739502</v>
      </c>
      <c r="AL602">
        <v>93.003358238641596</v>
      </c>
      <c r="AM602">
        <v>87.849689114821203</v>
      </c>
      <c r="AN602">
        <v>1.00000003534288</v>
      </c>
    </row>
    <row r="603" spans="1:40" x14ac:dyDescent="0.25">
      <c r="A603" t="str">
        <f>"20190312151512516"</f>
        <v>20190312151512516</v>
      </c>
      <c r="B603" t="str">
        <f>"1552374912507843"</f>
        <v>1552374912507843</v>
      </c>
      <c r="C603" t="s">
        <v>40</v>
      </c>
      <c r="D603">
        <v>4.8083419999999997</v>
      </c>
      <c r="E603">
        <v>0.52946079999999995</v>
      </c>
      <c r="F603" t="s">
        <v>42</v>
      </c>
      <c r="G603">
        <v>-284.0247</v>
      </c>
      <c r="H603">
        <v>-0.05</v>
      </c>
      <c r="I603">
        <v>364.52519999999998</v>
      </c>
      <c r="J603">
        <v>-322.2294</v>
      </c>
      <c r="K603">
        <v>1.1089279999999999</v>
      </c>
      <c r="L603">
        <v>368.89479999999998</v>
      </c>
      <c r="M603">
        <v>0.99992550000000002</v>
      </c>
      <c r="N603">
        <v>0</v>
      </c>
      <c r="O603">
        <v>2.8695610000000001E-3</v>
      </c>
      <c r="P603">
        <v>0.99731879999999995</v>
      </c>
      <c r="Q603">
        <v>-6.4604990000000001E-2</v>
      </c>
      <c r="R603">
        <v>-3.436997E-2</v>
      </c>
      <c r="S603">
        <v>2.9904169999999999</v>
      </c>
      <c r="T603">
        <v>-9.0196129999999999E-2</v>
      </c>
      <c r="U603">
        <v>-0.34002690000000002</v>
      </c>
      <c r="V603">
        <v>3.7251359999999997E-2</v>
      </c>
      <c r="W603">
        <v>-5.2757440000000003E-2</v>
      </c>
      <c r="X603">
        <v>0.99791229999999997</v>
      </c>
      <c r="Y603">
        <v>0.11577519999999999</v>
      </c>
      <c r="Z603">
        <v>-1.8262529999999999E-3</v>
      </c>
      <c r="AA603">
        <v>0.99327379999999998</v>
      </c>
      <c r="AB603">
        <v>45</v>
      </c>
      <c r="AC603">
        <v>38.204700000000003</v>
      </c>
      <c r="AD603">
        <v>-1.158928</v>
      </c>
      <c r="AE603">
        <v>-4.3695999999999904</v>
      </c>
      <c r="AF603">
        <v>4.4751556033014603</v>
      </c>
      <c r="AG603">
        <v>-1.158928</v>
      </c>
      <c r="AH603">
        <v>38.157344192571102</v>
      </c>
      <c r="AI603">
        <v>91.7278369978456</v>
      </c>
      <c r="AJ603">
        <v>83.310815641452606</v>
      </c>
      <c r="AK603">
        <v>38.4363506021745</v>
      </c>
      <c r="AL603">
        <v>93.024182695424201</v>
      </c>
      <c r="AM603">
        <v>87.862181726163001</v>
      </c>
      <c r="AN603">
        <v>0.99999998489424602</v>
      </c>
    </row>
    <row r="604" spans="1:40" x14ac:dyDescent="0.25">
      <c r="A604" t="str">
        <f>"20190312151512526"</f>
        <v>20190312151512526</v>
      </c>
      <c r="B604" t="str">
        <f>"1552374912518579"</f>
        <v>1552374912518579</v>
      </c>
      <c r="C604" t="s">
        <v>40</v>
      </c>
      <c r="D604">
        <v>4.8150069999999996</v>
      </c>
      <c r="E604">
        <v>0.51666449999999997</v>
      </c>
      <c r="F604" t="s">
        <v>42</v>
      </c>
      <c r="G604">
        <v>-284.29410000000001</v>
      </c>
      <c r="H604">
        <v>-0.05</v>
      </c>
      <c r="I604">
        <v>364.5908</v>
      </c>
      <c r="J604">
        <v>-322.00889999999998</v>
      </c>
      <c r="K604">
        <v>1.1089290000000001</v>
      </c>
      <c r="L604">
        <v>368.89550000000003</v>
      </c>
      <c r="M604">
        <v>0.99992530000000002</v>
      </c>
      <c r="N604">
        <v>0</v>
      </c>
      <c r="O604">
        <v>2.9388690000000002E-3</v>
      </c>
      <c r="P604">
        <v>0.99730779999999997</v>
      </c>
      <c r="Q604">
        <v>-6.4769339999999995E-2</v>
      </c>
      <c r="R604">
        <v>-3.4385190000000003E-2</v>
      </c>
      <c r="S604">
        <v>2.9904480000000002</v>
      </c>
      <c r="T604">
        <v>-9.1358540000000002E-2</v>
      </c>
      <c r="U604">
        <v>-0.3392944</v>
      </c>
      <c r="V604">
        <v>3.7335590000000002E-2</v>
      </c>
      <c r="W604">
        <v>-5.290831E-2</v>
      </c>
      <c r="X604">
        <v>0.99790120000000004</v>
      </c>
      <c r="Y604">
        <v>0.1156013</v>
      </c>
      <c r="Z604">
        <v>-1.8492490000000001E-3</v>
      </c>
      <c r="AA604">
        <v>0.99329389999999995</v>
      </c>
      <c r="AB604">
        <v>45</v>
      </c>
      <c r="AC604">
        <v>37.714799999999897</v>
      </c>
      <c r="AD604">
        <v>-1.1589290000000001</v>
      </c>
      <c r="AE604">
        <v>-4.30470000000002</v>
      </c>
      <c r="AF604">
        <v>4.4114161251996302</v>
      </c>
      <c r="AG604">
        <v>-1.1589290000000001</v>
      </c>
      <c r="AH604">
        <v>37.666875463657902</v>
      </c>
      <c r="AI604">
        <v>91.750356526662401</v>
      </c>
      <c r="AJ604">
        <v>83.320143557239206</v>
      </c>
      <c r="AK604">
        <v>37.942024403706</v>
      </c>
      <c r="AL604">
        <v>93.032838892144099</v>
      </c>
      <c r="AM604">
        <v>87.857328539937697</v>
      </c>
      <c r="AN604">
        <v>1.00000002025457</v>
      </c>
    </row>
    <row r="605" spans="1:40" x14ac:dyDescent="0.25">
      <c r="A605" t="str">
        <f>"20190312151512538"</f>
        <v>20190312151512538</v>
      </c>
      <c r="B605" t="str">
        <f>"1552374912528340"</f>
        <v>1552374912528340</v>
      </c>
      <c r="C605" t="s">
        <v>40</v>
      </c>
      <c r="D605">
        <v>4.721241</v>
      </c>
      <c r="E605">
        <v>0.51666449999999997</v>
      </c>
      <c r="F605" t="s">
        <v>42</v>
      </c>
      <c r="G605">
        <v>-298.40809999999999</v>
      </c>
      <c r="H605">
        <v>-0.05</v>
      </c>
      <c r="I605">
        <v>367.02839999999998</v>
      </c>
      <c r="J605">
        <v>-321.79919999999998</v>
      </c>
      <c r="K605">
        <v>1.1089279999999999</v>
      </c>
      <c r="L605">
        <v>368.89609999999999</v>
      </c>
      <c r="M605">
        <v>0.99992499999999995</v>
      </c>
      <c r="N605">
        <v>0</v>
      </c>
      <c r="O605">
        <v>3.0047870000000001E-3</v>
      </c>
      <c r="P605">
        <v>0.99727770000000004</v>
      </c>
      <c r="Q605">
        <v>-6.5241899999999894E-2</v>
      </c>
      <c r="R605">
        <v>-3.4366000000000001E-2</v>
      </c>
      <c r="S605">
        <v>2.9904480000000002</v>
      </c>
      <c r="T605">
        <v>-0.14684700000000001</v>
      </c>
      <c r="U605">
        <v>-0.23657230000000001</v>
      </c>
      <c r="V605">
        <v>3.7382539999999999E-2</v>
      </c>
      <c r="W605">
        <v>-5.3368909999999999E-2</v>
      </c>
      <c r="X605">
        <v>0.99787490000000001</v>
      </c>
      <c r="Y605">
        <v>8.1756709999999996E-2</v>
      </c>
      <c r="Z605">
        <v>-2.1502610000000001E-3</v>
      </c>
      <c r="AA605">
        <v>0.99665000000000004</v>
      </c>
      <c r="AB605">
        <v>45</v>
      </c>
      <c r="AC605">
        <v>23.391099999999899</v>
      </c>
      <c r="AD605">
        <v>-1.158928</v>
      </c>
      <c r="AE605">
        <v>-1.8677000000000099</v>
      </c>
      <c r="AF605">
        <v>1.9332661269981299</v>
      </c>
      <c r="AG605">
        <v>-1.158928</v>
      </c>
      <c r="AH605">
        <v>23.3284785822371</v>
      </c>
      <c r="AI605">
        <v>92.834340405981195</v>
      </c>
      <c r="AJ605">
        <v>85.262637643849104</v>
      </c>
      <c r="AK605">
        <v>23.437118956665302</v>
      </c>
      <c r="AL605">
        <v>93.059266711806799</v>
      </c>
      <c r="AM605">
        <v>87.854580127921693</v>
      </c>
      <c r="AN605">
        <v>1.0000000054507201</v>
      </c>
    </row>
    <row r="606" spans="1:40" x14ac:dyDescent="0.25">
      <c r="A606" t="str">
        <f>"20190312151512548"</f>
        <v>20190312151512548</v>
      </c>
      <c r="B606" t="str">
        <f>"1552374912538100"</f>
        <v>1552374912538100</v>
      </c>
      <c r="C606" t="s">
        <v>40</v>
      </c>
      <c r="D606">
        <v>4.7377799999999999</v>
      </c>
      <c r="E606">
        <v>0.51157249999999999</v>
      </c>
      <c r="F606" t="s">
        <v>42</v>
      </c>
      <c r="G606">
        <v>-298.4264</v>
      </c>
      <c r="H606">
        <v>-0.05</v>
      </c>
      <c r="I606">
        <v>367.0471</v>
      </c>
      <c r="J606">
        <v>-321.57400000000001</v>
      </c>
      <c r="K606">
        <v>1.1089290000000001</v>
      </c>
      <c r="L606">
        <v>368.89690000000002</v>
      </c>
      <c r="M606">
        <v>0.99992449999999999</v>
      </c>
      <c r="N606">
        <v>0</v>
      </c>
      <c r="O606">
        <v>3.0755919999999998E-3</v>
      </c>
      <c r="P606">
        <v>0.99726389999999998</v>
      </c>
      <c r="Q606">
        <v>-6.5494339999999998E-2</v>
      </c>
      <c r="R606">
        <v>-3.4285089999999997E-2</v>
      </c>
      <c r="S606">
        <v>2.990326</v>
      </c>
      <c r="T606">
        <v>-0.14827389999999999</v>
      </c>
      <c r="U606">
        <v>-0.23657230000000001</v>
      </c>
      <c r="V606">
        <v>3.7372379999999997E-2</v>
      </c>
      <c r="W606">
        <v>-5.3609169999999998E-2</v>
      </c>
      <c r="X606">
        <v>0.99786240000000004</v>
      </c>
      <c r="Y606">
        <v>8.1828300000000007E-2</v>
      </c>
      <c r="Z606">
        <v>-2.1764929999999998E-3</v>
      </c>
      <c r="AA606">
        <v>0.99664410000000003</v>
      </c>
      <c r="AB606">
        <v>45</v>
      </c>
      <c r="AC606">
        <v>23.147600000000001</v>
      </c>
      <c r="AD606">
        <v>-1.1589290000000001</v>
      </c>
      <c r="AE606">
        <v>-1.8498000000000101</v>
      </c>
      <c r="AF606">
        <v>1.9162159706797199</v>
      </c>
      <c r="AG606">
        <v>-1.1589290000000001</v>
      </c>
      <c r="AH606">
        <v>23.084302725754601</v>
      </c>
      <c r="AI606">
        <v>92.864241147436701</v>
      </c>
      <c r="AJ606">
        <v>85.254786250295197</v>
      </c>
      <c r="AK606">
        <v>23.192671954900099</v>
      </c>
      <c r="AL606">
        <v>93.073052336386894</v>
      </c>
      <c r="AM606">
        <v>87.855135832612504</v>
      </c>
      <c r="AN606">
        <v>1.0000000036143499</v>
      </c>
    </row>
    <row r="607" spans="1:40" x14ac:dyDescent="0.25">
      <c r="A607" t="str">
        <f>"20190312151512559"</f>
        <v>20190312151512559</v>
      </c>
      <c r="B607" t="str">
        <f>"1552374912547859"</f>
        <v>1552374912547859</v>
      </c>
      <c r="C607" t="s">
        <v>40</v>
      </c>
      <c r="D607">
        <v>5.4824060000000001</v>
      </c>
      <c r="E607">
        <v>0.51182309999999998</v>
      </c>
      <c r="F607" t="s">
        <v>41</v>
      </c>
      <c r="G607">
        <v>-320.7647</v>
      </c>
      <c r="H607">
        <v>1.031765</v>
      </c>
      <c r="I607">
        <v>368.84410000000003</v>
      </c>
      <c r="J607">
        <v>-321.36599999999999</v>
      </c>
      <c r="K607">
        <v>1.1089279999999999</v>
      </c>
      <c r="L607">
        <v>368.89760000000001</v>
      </c>
      <c r="M607">
        <v>0.99992429999999999</v>
      </c>
      <c r="N607">
        <v>0</v>
      </c>
      <c r="O607">
        <v>3.1408019999999998E-3</v>
      </c>
      <c r="P607">
        <v>0.99724469999999998</v>
      </c>
      <c r="Q607">
        <v>-6.581795E-2</v>
      </c>
      <c r="R607">
        <v>-3.422621E-2</v>
      </c>
      <c r="S607">
        <v>2.9828800000000002</v>
      </c>
      <c r="T607">
        <v>-0.28449920000000001</v>
      </c>
      <c r="U607">
        <v>-0.19406129999999999</v>
      </c>
      <c r="V607">
        <v>3.7378550000000003E-2</v>
      </c>
      <c r="W607">
        <v>-5.3922299999999999E-2</v>
      </c>
      <c r="X607">
        <v>0.99784530000000005</v>
      </c>
      <c r="Y607">
        <v>6.7734879999999997E-2</v>
      </c>
      <c r="Z607">
        <v>-3.518092E-3</v>
      </c>
      <c r="AA607">
        <v>0.99769719999999995</v>
      </c>
      <c r="AB607">
        <v>45</v>
      </c>
      <c r="AC607">
        <v>0.60129999999997996</v>
      </c>
      <c r="AD607">
        <v>-7.7162999999999995E-2</v>
      </c>
      <c r="AE607">
        <v>-5.34999999999854E-2</v>
      </c>
      <c r="AF607">
        <v>5.4498019876634697E-2</v>
      </c>
      <c r="AG607">
        <v>-7.7162999999999995E-2</v>
      </c>
      <c r="AH607">
        <v>0.59146535175602999</v>
      </c>
      <c r="AI607">
        <v>97.401865336848104</v>
      </c>
      <c r="AJ607">
        <v>84.7355924250312</v>
      </c>
      <c r="AK607">
        <v>0.59896195627715598</v>
      </c>
      <c r="AL607">
        <v>93.0910193425523</v>
      </c>
      <c r="AM607">
        <v>87.854745328587796</v>
      </c>
      <c r="AN607">
        <v>1.0000000065847401</v>
      </c>
    </row>
    <row r="608" spans="1:40" x14ac:dyDescent="0.25">
      <c r="A608" t="str">
        <f>"20190312151512569"</f>
        <v>20190312151512569</v>
      </c>
      <c r="B608" t="str">
        <f>"1552374912558595"</f>
        <v>1552374912558595</v>
      </c>
      <c r="C608" t="s">
        <v>40</v>
      </c>
      <c r="D608">
        <v>4.7537609999999999</v>
      </c>
      <c r="E608">
        <v>0.51200999999999997</v>
      </c>
      <c r="F608" t="s">
        <v>41</v>
      </c>
      <c r="G608">
        <v>-320.36130000000003</v>
      </c>
      <c r="H608">
        <v>1.0284709999999999</v>
      </c>
      <c r="I608">
        <v>368.83139999999997</v>
      </c>
      <c r="J608">
        <v>-321.13819999999998</v>
      </c>
      <c r="K608">
        <v>1.1089260000000001</v>
      </c>
      <c r="L608">
        <v>368.89839999999998</v>
      </c>
      <c r="M608">
        <v>0.99992380000000003</v>
      </c>
      <c r="N608">
        <v>0</v>
      </c>
      <c r="O608">
        <v>3.2126250000000002E-3</v>
      </c>
      <c r="P608">
        <v>0.99723519999999999</v>
      </c>
      <c r="Q608">
        <v>-6.6038159999999999E-2</v>
      </c>
      <c r="R608">
        <v>-3.4074960000000001E-2</v>
      </c>
      <c r="S608">
        <v>2.9857480000000001</v>
      </c>
      <c r="T608">
        <v>-0.23926929999999999</v>
      </c>
      <c r="U608">
        <v>-0.1962585</v>
      </c>
      <c r="V608">
        <v>3.7298999999999999E-2</v>
      </c>
      <c r="W608">
        <v>-5.4131459999999999E-2</v>
      </c>
      <c r="X608">
        <v>0.99783690000000003</v>
      </c>
      <c r="Y608">
        <v>6.8566710000000003E-2</v>
      </c>
      <c r="Z608">
        <v>-2.9968180000000001E-3</v>
      </c>
      <c r="AA608">
        <v>0.99764200000000003</v>
      </c>
      <c r="AB608">
        <v>45</v>
      </c>
      <c r="AC608">
        <v>0.77689999999995496</v>
      </c>
      <c r="AD608">
        <v>-8.0455000000000096E-2</v>
      </c>
      <c r="AE608">
        <v>-6.7000000000007207E-2</v>
      </c>
      <c r="AF608">
        <v>6.8763709771366893E-2</v>
      </c>
      <c r="AG608">
        <v>-8.0455000000000096E-2</v>
      </c>
      <c r="AH608">
        <v>0.76849982031166197</v>
      </c>
      <c r="AI608">
        <v>95.952968702438795</v>
      </c>
      <c r="AJ608">
        <v>84.886913572372606</v>
      </c>
      <c r="AK608">
        <v>0.77575345866169199</v>
      </c>
      <c r="AL608">
        <v>93.103021017382602</v>
      </c>
      <c r="AM608">
        <v>87.859288659042093</v>
      </c>
      <c r="AN608">
        <v>0.99999995468216896</v>
      </c>
    </row>
    <row r="609" spans="1:40" x14ac:dyDescent="0.25">
      <c r="A609" t="str">
        <f>"20190312151512581"</f>
        <v>20190312151512581</v>
      </c>
      <c r="B609" t="str">
        <f>"1552374912578115"</f>
        <v>1552374912578115</v>
      </c>
      <c r="C609" t="s">
        <v>40</v>
      </c>
      <c r="D609">
        <v>4.7204290000000002</v>
      </c>
      <c r="E609">
        <v>0.51221689999999998</v>
      </c>
      <c r="F609" t="s">
        <v>41</v>
      </c>
      <c r="G609">
        <v>-320.34690000000001</v>
      </c>
      <c r="H609">
        <v>1.051563</v>
      </c>
      <c r="I609">
        <v>368.84589999999997</v>
      </c>
      <c r="J609">
        <v>-320.93110000000001</v>
      </c>
      <c r="K609">
        <v>1.1088519999999999</v>
      </c>
      <c r="L609">
        <v>368.899</v>
      </c>
      <c r="M609">
        <v>0.9999266</v>
      </c>
      <c r="N609">
        <v>0</v>
      </c>
      <c r="O609">
        <v>3.2798950000000001E-3</v>
      </c>
      <c r="P609">
        <v>0.99723119999999998</v>
      </c>
      <c r="Q609">
        <v>-6.6054139999999997E-2</v>
      </c>
      <c r="R609">
        <v>-3.4162749999999999E-2</v>
      </c>
      <c r="S609">
        <v>2.987244</v>
      </c>
      <c r="T609">
        <v>-0.21680099999999999</v>
      </c>
      <c r="U609">
        <v>-0.19772339999999999</v>
      </c>
      <c r="V609">
        <v>3.745387E-2</v>
      </c>
      <c r="W609">
        <v>-5.4405790000000002E-2</v>
      </c>
      <c r="X609">
        <v>0.99781620000000004</v>
      </c>
      <c r="Y609">
        <v>6.9127720000000004E-2</v>
      </c>
      <c r="Z609">
        <v>-2.7399630000000002E-3</v>
      </c>
      <c r="AA609">
        <v>0.99760409999999999</v>
      </c>
      <c r="AB609">
        <v>45</v>
      </c>
      <c r="AC609">
        <v>0.58420000000000905</v>
      </c>
      <c r="AD609">
        <v>-5.7288999999999903E-2</v>
      </c>
      <c r="AE609">
        <v>-5.3100000000028999E-2</v>
      </c>
      <c r="AF609">
        <v>5.4496188087676499E-2</v>
      </c>
      <c r="AG609">
        <v>-5.7288999999999903E-2</v>
      </c>
      <c r="AH609">
        <v>0.57850504392351199</v>
      </c>
      <c r="AI609">
        <v>95.630759301143598</v>
      </c>
      <c r="AJ609">
        <v>84.618518120547193</v>
      </c>
      <c r="AK609">
        <v>0.58388350711595804</v>
      </c>
      <c r="AL609">
        <v>93.118762100401895</v>
      </c>
      <c r="AM609">
        <v>87.850363933366296</v>
      </c>
      <c r="AN609">
        <v>0.99999997567297005</v>
      </c>
    </row>
    <row r="610" spans="1:40" x14ac:dyDescent="0.25">
      <c r="A610" t="str">
        <f>"20190312151512591"</f>
        <v>20190312151512591</v>
      </c>
      <c r="B610" t="str">
        <f>"1552374912587875"</f>
        <v>1552374912587875</v>
      </c>
      <c r="C610" t="s">
        <v>40</v>
      </c>
      <c r="D610">
        <v>4.5806800000000001</v>
      </c>
      <c r="E610">
        <v>0.51226629999999995</v>
      </c>
      <c r="F610" t="s">
        <v>41</v>
      </c>
      <c r="G610">
        <v>-319.947</v>
      </c>
      <c r="H610">
        <v>1.0421590000000001</v>
      </c>
      <c r="I610">
        <v>368.8331</v>
      </c>
      <c r="J610">
        <v>-320.70609999999999</v>
      </c>
      <c r="K610">
        <v>1.108743</v>
      </c>
      <c r="L610">
        <v>368.89980000000003</v>
      </c>
      <c r="M610">
        <v>0.99993089999999996</v>
      </c>
      <c r="N610">
        <v>0</v>
      </c>
      <c r="O610">
        <v>3.3537290000000002E-3</v>
      </c>
      <c r="P610">
        <v>0.99724789999999996</v>
      </c>
      <c r="Q610">
        <v>-6.5780099999999994E-2</v>
      </c>
      <c r="R610">
        <v>-3.4208429999999998E-2</v>
      </c>
      <c r="S610">
        <v>2.9880979999999999</v>
      </c>
      <c r="T610">
        <v>-0.20253309999999999</v>
      </c>
      <c r="U610">
        <v>-0.1999512</v>
      </c>
      <c r="V610">
        <v>3.7572939999999999E-2</v>
      </c>
      <c r="W610">
        <v>-5.451752E-2</v>
      </c>
      <c r="X610">
        <v>0.99780570000000002</v>
      </c>
      <c r="Y610">
        <v>6.9945190000000004E-2</v>
      </c>
      <c r="Z610">
        <v>-2.5919110000000001E-3</v>
      </c>
      <c r="AA610">
        <v>0.99754739999999997</v>
      </c>
      <c r="AB610">
        <v>45</v>
      </c>
      <c r="AC610">
        <v>0.75909999999998901</v>
      </c>
      <c r="AD610">
        <v>-6.6583999999999893E-2</v>
      </c>
      <c r="AE610">
        <v>-6.6700000000025697E-2</v>
      </c>
      <c r="AF610">
        <v>6.8720926824536996E-2</v>
      </c>
      <c r="AG610">
        <v>-6.6583999999999893E-2</v>
      </c>
      <c r="AH610">
        <v>0.75312203401446698</v>
      </c>
      <c r="AI610">
        <v>95.031624024036105</v>
      </c>
      <c r="AJ610">
        <v>84.7863092041637</v>
      </c>
      <c r="AK610">
        <v>0.75917639120148595</v>
      </c>
      <c r="AL610">
        <v>93.125173039363006</v>
      </c>
      <c r="AM610">
        <v>87.843513772849704</v>
      </c>
      <c r="AN610">
        <v>1.0000000503798401</v>
      </c>
    </row>
    <row r="611" spans="1:40" x14ac:dyDescent="0.25">
      <c r="A611" t="str">
        <f>"20190312151512602"</f>
        <v>20190312151512602</v>
      </c>
      <c r="B611" t="str">
        <f>"1552374912598612"</f>
        <v>1552374912598612</v>
      </c>
      <c r="C611" t="s">
        <v>40</v>
      </c>
      <c r="D611">
        <v>4.7135389999999999</v>
      </c>
      <c r="E611">
        <v>0.51226530000000003</v>
      </c>
      <c r="F611" t="s">
        <v>42</v>
      </c>
      <c r="G611">
        <v>-303.03120000000001</v>
      </c>
      <c r="H611">
        <v>-0.05</v>
      </c>
      <c r="I611">
        <v>367.71379999999999</v>
      </c>
      <c r="J611">
        <v>-320.4837</v>
      </c>
      <c r="K611">
        <v>1.108595</v>
      </c>
      <c r="L611">
        <v>368.9006</v>
      </c>
      <c r="M611">
        <v>0.99993460000000001</v>
      </c>
      <c r="N611">
        <v>0</v>
      </c>
      <c r="O611">
        <v>3.427865E-3</v>
      </c>
      <c r="P611">
        <v>0.99726079999999995</v>
      </c>
      <c r="Q611">
        <v>-6.5612879999999998E-2</v>
      </c>
      <c r="R611">
        <v>-3.4145010000000003E-2</v>
      </c>
      <c r="S611">
        <v>2.9884949999999999</v>
      </c>
      <c r="T611">
        <v>-0.19592129999999999</v>
      </c>
      <c r="U611">
        <v>-0.20053099999999999</v>
      </c>
      <c r="V611">
        <v>3.7583449999999997E-2</v>
      </c>
      <c r="W611">
        <v>-5.4717160000000001E-2</v>
      </c>
      <c r="X611">
        <v>0.99779430000000002</v>
      </c>
      <c r="Y611">
        <v>7.0213059999999994E-2</v>
      </c>
      <c r="Z611">
        <v>-2.5207440000000001E-3</v>
      </c>
      <c r="AA611">
        <v>0.99752890000000005</v>
      </c>
      <c r="AB611">
        <v>45</v>
      </c>
      <c r="AC611">
        <v>17.452499999999901</v>
      </c>
      <c r="AD611">
        <v>-1.158595</v>
      </c>
      <c r="AE611">
        <v>-1.1868000000000001</v>
      </c>
      <c r="AF611">
        <v>1.2411766515863001</v>
      </c>
      <c r="AG611">
        <v>-1.158595</v>
      </c>
      <c r="AH611">
        <v>17.372121606748198</v>
      </c>
      <c r="AI611">
        <v>93.805891332314204</v>
      </c>
      <c r="AJ611">
        <v>85.913363287222296</v>
      </c>
      <c r="AK611">
        <v>17.4548981943211</v>
      </c>
      <c r="AL611">
        <v>93.136628906512996</v>
      </c>
      <c r="AM611">
        <v>87.842886502808398</v>
      </c>
      <c r="AN611">
        <v>0.99999997421242803</v>
      </c>
    </row>
    <row r="612" spans="1:40" x14ac:dyDescent="0.25">
      <c r="A612" t="str">
        <f>"20190312151512614"</f>
        <v>20190312151512614</v>
      </c>
      <c r="B612" t="str">
        <f>"1552374912608371"</f>
        <v>1552374912608371</v>
      </c>
      <c r="C612" t="s">
        <v>40</v>
      </c>
      <c r="D612">
        <v>4.7339560000000001</v>
      </c>
      <c r="E612">
        <v>0.51257280000000005</v>
      </c>
      <c r="F612" t="s">
        <v>41</v>
      </c>
      <c r="G612">
        <v>-319.53359999999998</v>
      </c>
      <c r="H612">
        <v>1.0485850000000001</v>
      </c>
      <c r="I612">
        <v>368.83690000000001</v>
      </c>
      <c r="J612">
        <v>-320.24160000000001</v>
      </c>
      <c r="K612">
        <v>1.1084290000000001</v>
      </c>
      <c r="L612">
        <v>368.9015</v>
      </c>
      <c r="M612">
        <v>0.99993840000000001</v>
      </c>
      <c r="N612">
        <v>0</v>
      </c>
      <c r="O612">
        <v>3.5085630000000001E-3</v>
      </c>
      <c r="P612">
        <v>0.99727699999999997</v>
      </c>
      <c r="Q612">
        <v>-6.5345849999999997E-2</v>
      </c>
      <c r="R612">
        <v>-3.4188410000000002E-2</v>
      </c>
      <c r="S612">
        <v>2.9889220000000001</v>
      </c>
      <c r="T612">
        <v>-0.18890190000000001</v>
      </c>
      <c r="U612">
        <v>-0.20013429999999999</v>
      </c>
      <c r="V612">
        <v>3.7707119999999997E-2</v>
      </c>
      <c r="W612">
        <v>-5.4819350000000003E-2</v>
      </c>
      <c r="X612">
        <v>0.99778409999999995</v>
      </c>
      <c r="Y612">
        <v>7.0163249999999996E-2</v>
      </c>
      <c r="Z612">
        <v>-2.4337970000000001E-3</v>
      </c>
      <c r="AA612">
        <v>0.99753250000000004</v>
      </c>
      <c r="AB612">
        <v>46</v>
      </c>
      <c r="AC612">
        <v>0.70800000000002605</v>
      </c>
      <c r="AD612">
        <v>-5.9844000000000001E-2</v>
      </c>
      <c r="AE612">
        <v>-6.4599999999984406E-2</v>
      </c>
      <c r="AF612">
        <v>6.6611820758217893E-2</v>
      </c>
      <c r="AG612">
        <v>-5.9844000000000001E-2</v>
      </c>
      <c r="AH612">
        <v>0.70278932148925599</v>
      </c>
      <c r="AI612">
        <v>94.845503695157703</v>
      </c>
      <c r="AJ612">
        <v>84.585563019168205</v>
      </c>
      <c r="AK612">
        <v>0.70847107873226101</v>
      </c>
      <c r="AL612">
        <v>93.142492527838698</v>
      </c>
      <c r="AM612">
        <v>87.835773061353706</v>
      </c>
      <c r="AN612">
        <v>1.0000000491229599</v>
      </c>
    </row>
    <row r="613" spans="1:40" x14ac:dyDescent="0.25">
      <c r="A613" t="str">
        <f>"20190312151512625"</f>
        <v>20190312151512625</v>
      </c>
      <c r="B613" t="str">
        <f>"1552374912618131"</f>
        <v>1552374912618131</v>
      </c>
      <c r="C613" t="s">
        <v>40</v>
      </c>
      <c r="D613">
        <v>4.6774339999999999</v>
      </c>
      <c r="E613">
        <v>0.51277700000000004</v>
      </c>
      <c r="F613" t="s">
        <v>41</v>
      </c>
      <c r="G613">
        <v>-319.12950000000001</v>
      </c>
      <c r="H613">
        <v>1.038586</v>
      </c>
      <c r="I613">
        <v>368.82580000000002</v>
      </c>
      <c r="J613">
        <v>-319.99459999999999</v>
      </c>
      <c r="K613">
        <v>1.1082399999999999</v>
      </c>
      <c r="L613">
        <v>368.9024</v>
      </c>
      <c r="M613">
        <v>0.99993929999999998</v>
      </c>
      <c r="N613">
        <v>0</v>
      </c>
      <c r="O613">
        <v>3.5924749999999999E-3</v>
      </c>
      <c r="P613">
        <v>0.99729190000000001</v>
      </c>
      <c r="Q613">
        <v>-6.5114179999999994E-2</v>
      </c>
      <c r="R613">
        <v>-3.4193149999999999E-2</v>
      </c>
      <c r="S613">
        <v>2.9889220000000001</v>
      </c>
      <c r="T613">
        <v>-0.1877615</v>
      </c>
      <c r="U613">
        <v>-0.20309450000000001</v>
      </c>
      <c r="V613">
        <v>3.7795500000000003E-2</v>
      </c>
      <c r="W613">
        <v>-5.4716800000000003E-2</v>
      </c>
      <c r="X613">
        <v>0.99778630000000001</v>
      </c>
      <c r="Y613">
        <v>7.1229909999999994E-2</v>
      </c>
      <c r="Z613">
        <v>-2.4577459999999998E-3</v>
      </c>
      <c r="AA613">
        <v>0.99745689999999998</v>
      </c>
      <c r="AB613">
        <v>46</v>
      </c>
      <c r="AC613">
        <v>0.86509999999998399</v>
      </c>
      <c r="AD613">
        <v>-6.9653999999999799E-2</v>
      </c>
      <c r="AE613">
        <v>-7.6599999999984902E-2</v>
      </c>
      <c r="AF613">
        <v>7.9198096639435306E-2</v>
      </c>
      <c r="AG613">
        <v>-6.9653999999999799E-2</v>
      </c>
      <c r="AH613">
        <v>0.85929197495758103</v>
      </c>
      <c r="AI613">
        <v>94.614775611583596</v>
      </c>
      <c r="AJ613">
        <v>84.734114756095295</v>
      </c>
      <c r="AK613">
        <v>0.86574055955223095</v>
      </c>
      <c r="AL613">
        <v>93.136608280379903</v>
      </c>
      <c r="AM613">
        <v>87.830710047571401</v>
      </c>
      <c r="AN613">
        <v>0.99999996424508897</v>
      </c>
    </row>
    <row r="614" spans="1:40" x14ac:dyDescent="0.25">
      <c r="A614" t="str">
        <f>"20190312151512638"</f>
        <v>20190312151512638</v>
      </c>
      <c r="B614" t="str">
        <f>"1552374912627892"</f>
        <v>1552374912627892</v>
      </c>
      <c r="C614" t="s">
        <v>40</v>
      </c>
      <c r="D614">
        <v>4.6902780000000002</v>
      </c>
      <c r="E614">
        <v>0.51252319999999996</v>
      </c>
      <c r="F614" t="s">
        <v>41</v>
      </c>
      <c r="G614">
        <v>-319.11919999999998</v>
      </c>
      <c r="H614">
        <v>1.053293</v>
      </c>
      <c r="I614">
        <v>368.8424</v>
      </c>
      <c r="J614">
        <v>-319.74770000000001</v>
      </c>
      <c r="K614">
        <v>1.1080239999999999</v>
      </c>
      <c r="L614">
        <v>368.90339999999998</v>
      </c>
      <c r="M614">
        <v>0.99993900000000002</v>
      </c>
      <c r="N614">
        <v>0</v>
      </c>
      <c r="O614">
        <v>3.6764469999999998E-3</v>
      </c>
      <c r="P614">
        <v>0.99730730000000001</v>
      </c>
      <c r="Q614">
        <v>-6.4998429999999996E-2</v>
      </c>
      <c r="R614">
        <v>-3.3962939999999997E-2</v>
      </c>
      <c r="S614">
        <v>2.9889220000000001</v>
      </c>
      <c r="T614">
        <v>-0.1876255</v>
      </c>
      <c r="U614">
        <v>-0.20458979999999999</v>
      </c>
      <c r="V614">
        <v>3.7649040000000002E-2</v>
      </c>
      <c r="W614">
        <v>-5.4599250000000002E-2</v>
      </c>
      <c r="X614">
        <v>0.99779830000000003</v>
      </c>
      <c r="Y614">
        <v>7.1809280000000003E-2</v>
      </c>
      <c r="Z614">
        <v>-2.4793329999999998E-3</v>
      </c>
      <c r="AA614">
        <v>0.9974153</v>
      </c>
      <c r="AB614">
        <v>46</v>
      </c>
      <c r="AC614">
        <v>0.62850000000003003</v>
      </c>
      <c r="AD614">
        <v>-5.4730999999999801E-2</v>
      </c>
      <c r="AE614">
        <v>-6.0999999999978599E-2</v>
      </c>
      <c r="AF614">
        <v>6.2838287537834103E-2</v>
      </c>
      <c r="AG614">
        <v>-5.4730999999999801E-2</v>
      </c>
      <c r="AH614">
        <v>0.62358678274677604</v>
      </c>
      <c r="AI614">
        <v>94.990739654139603</v>
      </c>
      <c r="AJ614">
        <v>84.245779519389401</v>
      </c>
      <c r="AK614">
        <v>0.62913004089628599</v>
      </c>
      <c r="AL614">
        <v>93.129863003966605</v>
      </c>
      <c r="AM614">
        <v>87.839134164869293</v>
      </c>
      <c r="AN614">
        <v>0.999999987898186</v>
      </c>
    </row>
    <row r="615" spans="1:40" x14ac:dyDescent="0.25">
      <c r="A615" t="str">
        <f>"20190312151512651"</f>
        <v>20190312151512651</v>
      </c>
      <c r="B615" t="str">
        <f>"1552374912648387"</f>
        <v>1552374912648387</v>
      </c>
      <c r="C615" t="s">
        <v>40</v>
      </c>
      <c r="D615">
        <v>4.6486289999999997</v>
      </c>
      <c r="E615">
        <v>0.51283889999999999</v>
      </c>
      <c r="F615" t="s">
        <v>41</v>
      </c>
      <c r="G615">
        <v>-318.71660000000003</v>
      </c>
      <c r="H615">
        <v>1.0441199999999999</v>
      </c>
      <c r="I615">
        <v>368.83359999999999</v>
      </c>
      <c r="J615">
        <v>-319.48270000000002</v>
      </c>
      <c r="K615">
        <v>1.107764</v>
      </c>
      <c r="L615">
        <v>368.90440000000001</v>
      </c>
      <c r="M615">
        <v>0.99993690000000002</v>
      </c>
      <c r="N615">
        <v>0</v>
      </c>
      <c r="O615">
        <v>3.7669159999999999E-3</v>
      </c>
      <c r="P615">
        <v>0.99729000000000001</v>
      </c>
      <c r="Q615">
        <v>-6.5344109999999997E-2</v>
      </c>
      <c r="R615">
        <v>-3.3812689999999999E-2</v>
      </c>
      <c r="S615">
        <v>2.9891359999999998</v>
      </c>
      <c r="T615">
        <v>-0.1855028</v>
      </c>
      <c r="U615">
        <v>-0.2015381</v>
      </c>
      <c r="V615">
        <v>3.7589200000000003E-2</v>
      </c>
      <c r="W615">
        <v>-5.4765109999999999E-2</v>
      </c>
      <c r="X615">
        <v>0.99779150000000005</v>
      </c>
      <c r="Y615">
        <v>7.088593E-2</v>
      </c>
      <c r="Z615">
        <v>-2.4282589999999999E-3</v>
      </c>
      <c r="AA615">
        <v>0.99748150000000002</v>
      </c>
      <c r="AB615">
        <v>46</v>
      </c>
      <c r="AC615">
        <v>0.76609999999999401</v>
      </c>
      <c r="AD615">
        <v>-6.3643999999999798E-2</v>
      </c>
      <c r="AE615">
        <v>-7.0800000000019694E-2</v>
      </c>
      <c r="AF615">
        <v>7.3184686159333906E-2</v>
      </c>
      <c r="AG615">
        <v>-6.3643999999999798E-2</v>
      </c>
      <c r="AH615">
        <v>0.76062286098750198</v>
      </c>
      <c r="AI615">
        <v>94.761112711291702</v>
      </c>
      <c r="AJ615">
        <v>84.504102378456693</v>
      </c>
      <c r="AK615">
        <v>0.76678138584674405</v>
      </c>
      <c r="AL615">
        <v>93.139380216669196</v>
      </c>
      <c r="AM615">
        <v>87.842550743164793</v>
      </c>
      <c r="AN615">
        <v>1.0000000213511</v>
      </c>
    </row>
    <row r="616" spans="1:40" x14ac:dyDescent="0.25">
      <c r="A616" t="str">
        <f>"20190312151512669"</f>
        <v>20190312151512669</v>
      </c>
      <c r="B616" t="str">
        <f>"1552374912658147"</f>
        <v>1552374912658147</v>
      </c>
      <c r="C616" t="s">
        <v>40</v>
      </c>
      <c r="D616">
        <v>4.6030490000000004</v>
      </c>
      <c r="E616">
        <v>0.51281929999999998</v>
      </c>
      <c r="F616" t="s">
        <v>42</v>
      </c>
      <c r="G616">
        <v>-301.01209999999998</v>
      </c>
      <c r="H616">
        <v>-0.05</v>
      </c>
      <c r="I616">
        <v>367.64479999999998</v>
      </c>
      <c r="J616">
        <v>-319.10730000000001</v>
      </c>
      <c r="K616">
        <v>1.1072660000000001</v>
      </c>
      <c r="L616">
        <v>368.9058</v>
      </c>
      <c r="M616">
        <v>0.99993019999999999</v>
      </c>
      <c r="N616">
        <v>0</v>
      </c>
      <c r="O616">
        <v>3.8944299999999999E-3</v>
      </c>
      <c r="P616">
        <v>0.99723320000000004</v>
      </c>
      <c r="Q616">
        <v>-6.6321030000000003E-2</v>
      </c>
      <c r="R616">
        <v>-3.358241E-2</v>
      </c>
      <c r="S616">
        <v>2.988953</v>
      </c>
      <c r="T616">
        <v>-0.18735189999999999</v>
      </c>
      <c r="U616">
        <v>-0.20382690000000001</v>
      </c>
      <c r="V616">
        <v>3.7486749999999999E-2</v>
      </c>
      <c r="W616">
        <v>-5.5181429999999997E-2</v>
      </c>
      <c r="X616">
        <v>0.9977724</v>
      </c>
      <c r="Y616">
        <v>7.1772710000000003E-2</v>
      </c>
      <c r="Z616">
        <v>-2.4882149999999998E-3</v>
      </c>
      <c r="AA616">
        <v>0.99741789999999997</v>
      </c>
      <c r="AB616">
        <v>46</v>
      </c>
      <c r="AC616">
        <v>18.095199999999998</v>
      </c>
      <c r="AD616">
        <v>-1.1572659999999999</v>
      </c>
      <c r="AE616">
        <v>-1.2610000000000201</v>
      </c>
      <c r="AF616">
        <v>1.3260677024099199</v>
      </c>
      <c r="AG616">
        <v>-1.1572659999999999</v>
      </c>
      <c r="AH616">
        <v>18.0168161717495</v>
      </c>
      <c r="AI616">
        <v>93.665317671085504</v>
      </c>
      <c r="AJ616">
        <v>85.790525368343395</v>
      </c>
      <c r="AK616">
        <v>18.1025795154377</v>
      </c>
      <c r="AL616">
        <v>93.163269773940499</v>
      </c>
      <c r="AM616">
        <v>87.848384225517606</v>
      </c>
      <c r="AN616">
        <v>1.00000000442208</v>
      </c>
    </row>
    <row r="617" spans="1:40" x14ac:dyDescent="0.25">
      <c r="A617" t="str">
        <f>"20190312151512682"</f>
        <v>20190312151512682</v>
      </c>
      <c r="B617" t="str">
        <f>"1552374912678643"</f>
        <v>1552374912678643</v>
      </c>
      <c r="C617" t="s">
        <v>40</v>
      </c>
      <c r="D617">
        <v>4.6089310000000001</v>
      </c>
      <c r="E617">
        <v>0.51300959999999995</v>
      </c>
      <c r="F617" t="s">
        <v>42</v>
      </c>
      <c r="G617">
        <v>-300.89749999999998</v>
      </c>
      <c r="H617">
        <v>-0.05</v>
      </c>
      <c r="I617">
        <v>367.66860000000003</v>
      </c>
      <c r="J617">
        <v>-318.84120000000001</v>
      </c>
      <c r="K617">
        <v>1.1068150000000001</v>
      </c>
      <c r="L617">
        <v>368.90690000000001</v>
      </c>
      <c r="M617">
        <v>0.99992309999999995</v>
      </c>
      <c r="N617">
        <v>0</v>
      </c>
      <c r="O617">
        <v>3.9730149999999999E-3</v>
      </c>
      <c r="P617">
        <v>0.9971894</v>
      </c>
      <c r="Q617">
        <v>-6.7041680000000006E-2</v>
      </c>
      <c r="R617">
        <v>-3.3447360000000002E-2</v>
      </c>
      <c r="S617">
        <v>2.9888919999999999</v>
      </c>
      <c r="T617">
        <v>-0.18994929999999999</v>
      </c>
      <c r="U617">
        <v>-0.20306399999999999</v>
      </c>
      <c r="V617">
        <v>3.7430860000000003E-2</v>
      </c>
      <c r="W617">
        <v>-5.5311720000000002E-2</v>
      </c>
      <c r="X617">
        <v>0.99776730000000002</v>
      </c>
      <c r="Y617">
        <v>7.1595160000000005E-2</v>
      </c>
      <c r="Z617">
        <v>-2.5220709999999999E-3</v>
      </c>
      <c r="AA617">
        <v>0.99743059999999995</v>
      </c>
      <c r="AB617">
        <v>46</v>
      </c>
      <c r="AC617">
        <v>17.9437</v>
      </c>
      <c r="AD617">
        <v>-1.1568149999999999</v>
      </c>
      <c r="AE617">
        <v>-1.23829999999998</v>
      </c>
      <c r="AF617">
        <v>1.3041908570271501</v>
      </c>
      <c r="AG617">
        <v>-1.1568149999999999</v>
      </c>
      <c r="AH617">
        <v>17.864739480695199</v>
      </c>
      <c r="AI617">
        <v>93.695157300429102</v>
      </c>
      <c r="AJ617">
        <v>85.824607143481401</v>
      </c>
      <c r="AK617">
        <v>17.949597528883199</v>
      </c>
      <c r="AL617">
        <v>93.170746209155396</v>
      </c>
      <c r="AM617">
        <v>87.851578147706306</v>
      </c>
      <c r="AN617">
        <v>1.0000000202994901</v>
      </c>
    </row>
    <row r="618" spans="1:40" x14ac:dyDescent="0.25">
      <c r="A618" t="str">
        <f>"20190312151512695"</f>
        <v>20190312151512695</v>
      </c>
      <c r="B618" t="str">
        <f>"1552374912688403"</f>
        <v>1552374912688403</v>
      </c>
      <c r="C618" t="s">
        <v>40</v>
      </c>
      <c r="D618">
        <v>4.6089510000000002</v>
      </c>
      <c r="E618">
        <v>0.51304179999999999</v>
      </c>
      <c r="F618" t="s">
        <v>41</v>
      </c>
      <c r="G618">
        <v>-317.89089999999999</v>
      </c>
      <c r="H618">
        <v>1.048206</v>
      </c>
      <c r="I618">
        <v>368.8417</v>
      </c>
      <c r="J618">
        <v>-318.58530000000002</v>
      </c>
      <c r="K618">
        <v>1.1063270000000001</v>
      </c>
      <c r="L618">
        <v>368.90789999999998</v>
      </c>
      <c r="M618">
        <v>0.9999152</v>
      </c>
      <c r="N618">
        <v>0</v>
      </c>
      <c r="O618">
        <v>4.0448910000000001E-3</v>
      </c>
      <c r="P618">
        <v>0.99711159999999999</v>
      </c>
      <c r="Q618">
        <v>-6.8174180000000001E-2</v>
      </c>
      <c r="R618">
        <v>-3.3481909999999997E-2</v>
      </c>
      <c r="S618">
        <v>2.9891969999999999</v>
      </c>
      <c r="T618">
        <v>-0.1845233</v>
      </c>
      <c r="U618">
        <v>-0.2043152</v>
      </c>
      <c r="V618">
        <v>3.7538080000000001E-2</v>
      </c>
      <c r="W618">
        <v>-5.5806689999999999E-2</v>
      </c>
      <c r="X618">
        <v>0.9977357</v>
      </c>
      <c r="Y618">
        <v>7.2083069999999999E-2</v>
      </c>
      <c r="Z618">
        <v>-2.46934E-3</v>
      </c>
      <c r="AA618">
        <v>0.99739560000000005</v>
      </c>
      <c r="AB618">
        <v>46</v>
      </c>
      <c r="AC618">
        <v>0.69440000000002999</v>
      </c>
      <c r="AD618">
        <v>-5.8120999999999999E-2</v>
      </c>
      <c r="AE618">
        <v>-6.6199999999980705E-2</v>
      </c>
      <c r="AF618">
        <v>6.8532656231577602E-2</v>
      </c>
      <c r="AG618">
        <v>-5.8120999999999999E-2</v>
      </c>
      <c r="AH618">
        <v>0.68934076093283103</v>
      </c>
      <c r="AI618">
        <v>94.795899687480002</v>
      </c>
      <c r="AJ618">
        <v>84.322443143281703</v>
      </c>
      <c r="AK618">
        <v>0.69517297149314605</v>
      </c>
      <c r="AL618">
        <v>93.199149804295899</v>
      </c>
      <c r="AM618">
        <v>87.845361650507598</v>
      </c>
      <c r="AN618">
        <v>1.00000001057666</v>
      </c>
    </row>
    <row r="619" spans="1:40" x14ac:dyDescent="0.25">
      <c r="A619" t="str">
        <f>"20190312151512706"</f>
        <v>20190312151512706</v>
      </c>
      <c r="B619" t="str">
        <f>"1552374912698163"</f>
        <v>1552374912698163</v>
      </c>
      <c r="C619" t="s">
        <v>40</v>
      </c>
      <c r="D619">
        <v>4.595288</v>
      </c>
      <c r="E619">
        <v>0.51313129999999996</v>
      </c>
      <c r="F619" t="s">
        <v>41</v>
      </c>
      <c r="G619">
        <v>-317.48610000000002</v>
      </c>
      <c r="H619">
        <v>1.038778</v>
      </c>
      <c r="I619">
        <v>368.83240000000001</v>
      </c>
      <c r="J619">
        <v>-318.33569999999997</v>
      </c>
      <c r="K619">
        <v>1.1057189999999999</v>
      </c>
      <c r="L619">
        <v>368.90890000000002</v>
      </c>
      <c r="M619">
        <v>0.99990619999999997</v>
      </c>
      <c r="N619">
        <v>0</v>
      </c>
      <c r="O619">
        <v>4.1171410000000004E-3</v>
      </c>
      <c r="P619">
        <v>0.99708070000000004</v>
      </c>
      <c r="Q619">
        <v>-6.8703299999999995E-2</v>
      </c>
      <c r="R619">
        <v>-3.3317989999999999E-2</v>
      </c>
      <c r="S619">
        <v>2.9891969999999999</v>
      </c>
      <c r="T619">
        <v>-0.18393370000000001</v>
      </c>
      <c r="U619">
        <v>-0.20474239999999999</v>
      </c>
      <c r="V619">
        <v>3.7446340000000002E-2</v>
      </c>
      <c r="W619">
        <v>-5.5657100000000001E-2</v>
      </c>
      <c r="X619">
        <v>0.99774750000000001</v>
      </c>
      <c r="Y619">
        <v>7.2297459999999994E-2</v>
      </c>
      <c r="Z619">
        <v>-2.4724740000000001E-3</v>
      </c>
      <c r="AA619">
        <v>0.99738009999999999</v>
      </c>
      <c r="AB619">
        <v>46</v>
      </c>
      <c r="AC619">
        <v>0.84959999999995195</v>
      </c>
      <c r="AD619">
        <v>-6.6941000000000098E-2</v>
      </c>
      <c r="AE619">
        <v>-7.6500000000009893E-2</v>
      </c>
      <c r="AF619">
        <v>7.9507953097666201E-2</v>
      </c>
      <c r="AG619">
        <v>-6.6941000000000098E-2</v>
      </c>
      <c r="AH619">
        <v>0.84407986077172903</v>
      </c>
      <c r="AI619">
        <v>94.514535243138198</v>
      </c>
      <c r="AJ619">
        <v>84.618911572294195</v>
      </c>
      <c r="AK619">
        <v>0.85045483327876004</v>
      </c>
      <c r="AL619">
        <v>93.190565596834702</v>
      </c>
      <c r="AM619">
        <v>87.850647861721598</v>
      </c>
      <c r="AN619">
        <v>1.00000000745802</v>
      </c>
    </row>
    <row r="620" spans="1:40" x14ac:dyDescent="0.25">
      <c r="A620" t="str">
        <f>"20190312151512718"</f>
        <v>20190312151512718</v>
      </c>
      <c r="B620" t="str">
        <f>"1552374912707923"</f>
        <v>1552374912707923</v>
      </c>
      <c r="C620" t="s">
        <v>40</v>
      </c>
      <c r="D620">
        <v>4.5815599999999996</v>
      </c>
      <c r="E620">
        <v>0.51320100000000002</v>
      </c>
      <c r="F620" t="s">
        <v>42</v>
      </c>
      <c r="G620">
        <v>-299.4522</v>
      </c>
      <c r="H620">
        <v>-0.05</v>
      </c>
      <c r="I620">
        <v>367.61399999999998</v>
      </c>
      <c r="J620">
        <v>-318.10449999999997</v>
      </c>
      <c r="K620">
        <v>1.105083</v>
      </c>
      <c r="L620">
        <v>368.90989999999999</v>
      </c>
      <c r="M620">
        <v>0.99989709999999998</v>
      </c>
      <c r="N620">
        <v>0</v>
      </c>
      <c r="O620">
        <v>4.1858310000000001E-3</v>
      </c>
      <c r="P620">
        <v>0.9970215</v>
      </c>
      <c r="Q620">
        <v>-6.9572609999999993E-2</v>
      </c>
      <c r="R620">
        <v>-3.3289359999999997E-2</v>
      </c>
      <c r="S620">
        <v>2.9893190000000001</v>
      </c>
      <c r="T620">
        <v>-0.18295449999999999</v>
      </c>
      <c r="U620">
        <v>-0.20498659999999999</v>
      </c>
      <c r="V620">
        <v>3.7486350000000002E-2</v>
      </c>
      <c r="W620">
        <v>-5.5861010000000003E-2</v>
      </c>
      <c r="X620">
        <v>0.99773460000000003</v>
      </c>
      <c r="Y620">
        <v>7.2445449999999995E-2</v>
      </c>
      <c r="Z620">
        <v>-2.4679469999999998E-3</v>
      </c>
      <c r="AA620">
        <v>0.99736930000000001</v>
      </c>
      <c r="AB620">
        <v>46</v>
      </c>
      <c r="AC620">
        <v>18.652299999999901</v>
      </c>
      <c r="AD620">
        <v>-1.1550830000000001</v>
      </c>
      <c r="AE620">
        <v>-1.2958999999999601</v>
      </c>
      <c r="AF620">
        <v>1.36874748579795</v>
      </c>
      <c r="AG620">
        <v>-1.1550830000000001</v>
      </c>
      <c r="AH620">
        <v>18.575816210067899</v>
      </c>
      <c r="AI620">
        <v>93.548594134911895</v>
      </c>
      <c r="AJ620">
        <v>85.785811864470702</v>
      </c>
      <c r="AK620">
        <v>18.661956871855299</v>
      </c>
      <c r="AL620">
        <v>93.202266989975399</v>
      </c>
      <c r="AM620">
        <v>87.848325724363505</v>
      </c>
      <c r="AN620">
        <v>1.00000000545585</v>
      </c>
    </row>
    <row r="621" spans="1:40" x14ac:dyDescent="0.25">
      <c r="A621" t="str">
        <f>"20190312151512736"</f>
        <v>20190312151512736</v>
      </c>
      <c r="B621" t="str">
        <f>"1552374912728419"</f>
        <v>1552374912728419</v>
      </c>
      <c r="C621" t="s">
        <v>40</v>
      </c>
      <c r="D621">
        <v>4.5707969999999998</v>
      </c>
      <c r="E621">
        <v>0.51333130000000005</v>
      </c>
      <c r="F621" t="s">
        <v>41</v>
      </c>
      <c r="G621">
        <v>-317.072</v>
      </c>
      <c r="H621">
        <v>1.0409349999999999</v>
      </c>
      <c r="I621">
        <v>368.83870000000002</v>
      </c>
      <c r="J621">
        <v>-317.74180000000001</v>
      </c>
      <c r="K621">
        <v>1.1039129999999999</v>
      </c>
      <c r="L621">
        <v>368.91149999999999</v>
      </c>
      <c r="M621">
        <v>0.9998804</v>
      </c>
      <c r="N621">
        <v>0</v>
      </c>
      <c r="O621">
        <v>4.2977880000000003E-3</v>
      </c>
      <c r="P621">
        <v>0.99694340000000004</v>
      </c>
      <c r="Q621">
        <v>-7.0796440000000002E-2</v>
      </c>
      <c r="R621">
        <v>-3.3043910000000003E-2</v>
      </c>
      <c r="S621">
        <v>2.9891359999999998</v>
      </c>
      <c r="T621">
        <v>-0.18590989999999999</v>
      </c>
      <c r="U621">
        <v>-0.20541380000000001</v>
      </c>
      <c r="V621">
        <v>3.7352469999999999E-2</v>
      </c>
      <c r="W621">
        <v>-5.5968909999999997E-2</v>
      </c>
      <c r="X621">
        <v>0.9977336</v>
      </c>
      <c r="Y621">
        <v>7.2697860000000003E-2</v>
      </c>
      <c r="Z621">
        <v>-2.5226630000000001E-3</v>
      </c>
      <c r="AA621">
        <v>0.99735079999999998</v>
      </c>
      <c r="AB621">
        <v>46</v>
      </c>
      <c r="AC621">
        <v>0.66980000000000905</v>
      </c>
      <c r="AD621">
        <v>-6.2977999999999895E-2</v>
      </c>
      <c r="AE621">
        <v>-7.2799999999972401E-2</v>
      </c>
      <c r="AF621">
        <v>7.5022792211632702E-2</v>
      </c>
      <c r="AG621">
        <v>-6.2977999999999895E-2</v>
      </c>
      <c r="AH621">
        <v>0.66368197980119104</v>
      </c>
      <c r="AI621">
        <v>95.386568273112601</v>
      </c>
      <c r="AJ621">
        <v>83.550646624414696</v>
      </c>
      <c r="AK621">
        <v>0.67087138718837802</v>
      </c>
      <c r="AL621">
        <v>93.208458808769393</v>
      </c>
      <c r="AM621">
        <v>87.856000954415805</v>
      </c>
      <c r="AN621">
        <v>1.0000000312353201</v>
      </c>
    </row>
    <row r="622" spans="1:40" x14ac:dyDescent="0.25">
      <c r="A622" t="str">
        <f>"20190312151512748"</f>
        <v>20190312151512748</v>
      </c>
      <c r="B622" t="str">
        <f>"1552374912738179"</f>
        <v>1552374912738179</v>
      </c>
      <c r="C622" t="s">
        <v>40</v>
      </c>
      <c r="D622">
        <v>4.804894</v>
      </c>
      <c r="E622">
        <v>0.51341130000000001</v>
      </c>
      <c r="F622" t="s">
        <v>41</v>
      </c>
      <c r="G622">
        <v>-316.66370000000001</v>
      </c>
      <c r="H622">
        <v>1.035847</v>
      </c>
      <c r="I622">
        <v>368.83699999999999</v>
      </c>
      <c r="J622">
        <v>-317.48009999999999</v>
      </c>
      <c r="K622">
        <v>1.102919</v>
      </c>
      <c r="L622">
        <v>368.9126</v>
      </c>
      <c r="M622">
        <v>0.99986730000000001</v>
      </c>
      <c r="N622">
        <v>0</v>
      </c>
      <c r="O622">
        <v>4.3817370000000001E-3</v>
      </c>
      <c r="P622">
        <v>0.99688469999999996</v>
      </c>
      <c r="Q622">
        <v>-7.1724940000000001E-2</v>
      </c>
      <c r="R622">
        <v>-3.2808320000000002E-2</v>
      </c>
      <c r="S622">
        <v>2.9889220000000001</v>
      </c>
      <c r="T622">
        <v>-0.18883420000000001</v>
      </c>
      <c r="U622">
        <v>-0.20581050000000001</v>
      </c>
      <c r="V622">
        <v>3.7200629999999998E-2</v>
      </c>
      <c r="W622">
        <v>-5.6062220000000003E-2</v>
      </c>
      <c r="X622">
        <v>0.99773400000000001</v>
      </c>
      <c r="Y622">
        <v>7.291301E-2</v>
      </c>
      <c r="Z622">
        <v>-2.5745149999999999E-3</v>
      </c>
      <c r="AA622">
        <v>0.99733499999999997</v>
      </c>
      <c r="AB622">
        <v>46</v>
      </c>
      <c r="AC622">
        <v>0.81639999999998702</v>
      </c>
      <c r="AD622">
        <v>-6.7072000000000007E-2</v>
      </c>
      <c r="AE622">
        <v>-7.5600000000008494E-2</v>
      </c>
      <c r="AF622">
        <v>7.8650619642237296E-2</v>
      </c>
      <c r="AG622">
        <v>-6.7072000000000007E-2</v>
      </c>
      <c r="AH622">
        <v>0.81063593060344696</v>
      </c>
      <c r="AI622">
        <v>94.707870931148904</v>
      </c>
      <c r="AJ622">
        <v>84.458316605647397</v>
      </c>
      <c r="AK622">
        <v>0.81719959932651998</v>
      </c>
      <c r="AL622">
        <v>93.213813595107794</v>
      </c>
      <c r="AM622">
        <v>87.864709208499804</v>
      </c>
      <c r="AN622">
        <v>0.99999999706986198</v>
      </c>
    </row>
    <row r="623" spans="1:40" x14ac:dyDescent="0.25">
      <c r="A623" t="str">
        <f>"20190312151512761"</f>
        <v>20190312151512761</v>
      </c>
      <c r="B623" t="str">
        <f>"1552374912758675"</f>
        <v>1552374912758675</v>
      </c>
      <c r="C623" t="s">
        <v>40</v>
      </c>
      <c r="D623">
        <v>4.5227820000000003</v>
      </c>
      <c r="E623">
        <v>0.51363249999999905</v>
      </c>
      <c r="F623" t="s">
        <v>42</v>
      </c>
      <c r="G623">
        <v>-299.2946</v>
      </c>
      <c r="H623">
        <v>-0.05</v>
      </c>
      <c r="I623">
        <v>367.66230000000002</v>
      </c>
      <c r="J623">
        <v>-317.22590000000002</v>
      </c>
      <c r="K623">
        <v>1.1018319999999999</v>
      </c>
      <c r="L623">
        <v>368.91379999999998</v>
      </c>
      <c r="M623">
        <v>0.99985449999999998</v>
      </c>
      <c r="N623">
        <v>0</v>
      </c>
      <c r="O623">
        <v>4.4634749999999997E-3</v>
      </c>
      <c r="P623">
        <v>0.99682959999999998</v>
      </c>
      <c r="Q623">
        <v>-7.2410870000000002E-2</v>
      </c>
      <c r="R623">
        <v>-3.2979370000000001E-2</v>
      </c>
      <c r="S623">
        <v>2.9889830000000002</v>
      </c>
      <c r="T623">
        <v>-0.18949479999999999</v>
      </c>
      <c r="U623">
        <v>-0.2055054</v>
      </c>
      <c r="V623">
        <v>3.7453319999999998E-2</v>
      </c>
      <c r="W623">
        <v>-5.597249E-2</v>
      </c>
      <c r="X623">
        <v>0.99772959999999999</v>
      </c>
      <c r="Y623">
        <v>7.2890650000000001E-2</v>
      </c>
      <c r="Z623">
        <v>-2.5879280000000002E-3</v>
      </c>
      <c r="AA623">
        <v>0.99733660000000002</v>
      </c>
      <c r="AB623">
        <v>46</v>
      </c>
      <c r="AC623">
        <v>17.9313</v>
      </c>
      <c r="AD623">
        <v>-1.151832</v>
      </c>
      <c r="AE623">
        <v>-1.2514999999999601</v>
      </c>
      <c r="AF623">
        <v>1.3260890488372801</v>
      </c>
      <c r="AG623">
        <v>-1.151832</v>
      </c>
      <c r="AH623">
        <v>17.852229000692599</v>
      </c>
      <c r="AI623">
        <v>93.6815118114759</v>
      </c>
      <c r="AJ623">
        <v>85.751789754698706</v>
      </c>
      <c r="AK623">
        <v>17.938431074507001</v>
      </c>
      <c r="AL623">
        <v>93.2086643090243</v>
      </c>
      <c r="AM623">
        <v>87.850209066274203</v>
      </c>
      <c r="AN623">
        <v>1.00000001276599</v>
      </c>
    </row>
    <row r="624" spans="1:40" x14ac:dyDescent="0.25">
      <c r="A624" t="str">
        <f>"20190312151512774"</f>
        <v>20190312151512774</v>
      </c>
      <c r="B624" t="str">
        <f>"1552374912768435"</f>
        <v>1552374912768435</v>
      </c>
      <c r="C624" t="s">
        <v>40</v>
      </c>
      <c r="D624">
        <v>4.5007710000000003</v>
      </c>
      <c r="E624">
        <v>0.51374699999999995</v>
      </c>
      <c r="F624" t="s">
        <v>41</v>
      </c>
      <c r="G624">
        <v>-316.24759999999998</v>
      </c>
      <c r="H624">
        <v>1.0399700000000001</v>
      </c>
      <c r="I624">
        <v>368.84539999999998</v>
      </c>
      <c r="J624">
        <v>-316.95929999999998</v>
      </c>
      <c r="K624">
        <v>1.100616</v>
      </c>
      <c r="L624">
        <v>368.91500000000002</v>
      </c>
      <c r="M624">
        <v>0.99984090000000003</v>
      </c>
      <c r="N624">
        <v>0</v>
      </c>
      <c r="O624">
        <v>4.5489550000000004E-3</v>
      </c>
      <c r="P624">
        <v>0.99677629999999995</v>
      </c>
      <c r="Q624">
        <v>-7.3205930000000002E-2</v>
      </c>
      <c r="R624">
        <v>-3.2837270000000002E-2</v>
      </c>
      <c r="S624">
        <v>2.9888919999999999</v>
      </c>
      <c r="T624">
        <v>-0.18926229999999999</v>
      </c>
      <c r="U624">
        <v>-0.20785519999999999</v>
      </c>
      <c r="V624">
        <v>3.739671E-2</v>
      </c>
      <c r="W624">
        <v>-5.5986569999999999E-2</v>
      </c>
      <c r="X624">
        <v>0.99773089999999998</v>
      </c>
      <c r="Y624">
        <v>7.37569E-2</v>
      </c>
      <c r="Z624">
        <v>-2.6175389999999999E-3</v>
      </c>
      <c r="AA624">
        <v>0.99727279999999996</v>
      </c>
      <c r="AB624">
        <v>46</v>
      </c>
      <c r="AC624">
        <v>0.71170000000000699</v>
      </c>
      <c r="AD624">
        <v>-6.0645999999999901E-2</v>
      </c>
      <c r="AE624">
        <v>-6.9600000000036702E-2</v>
      </c>
      <c r="AF624">
        <v>7.2317115563857504E-2</v>
      </c>
      <c r="AG624">
        <v>-6.0645999999999901E-2</v>
      </c>
      <c r="AH624">
        <v>0.70629598328146204</v>
      </c>
      <c r="AI624">
        <v>94.882255592420293</v>
      </c>
      <c r="AJ624">
        <v>84.153900650349598</v>
      </c>
      <c r="AK624">
        <v>0.71257400915203395</v>
      </c>
      <c r="AL624">
        <v>93.2094724078609</v>
      </c>
      <c r="AM624">
        <v>87.853458187795198</v>
      </c>
      <c r="AN624">
        <v>0.99999997937699903</v>
      </c>
    </row>
    <row r="625" spans="1:40" x14ac:dyDescent="0.25">
      <c r="A625" t="str">
        <f>"20190312151512786"</f>
        <v>20190312151512786</v>
      </c>
      <c r="B625" t="str">
        <f>"1552374912778196"</f>
        <v>1552374912778196</v>
      </c>
      <c r="C625" t="s">
        <v>40</v>
      </c>
      <c r="D625">
        <v>4.540883</v>
      </c>
      <c r="E625">
        <v>0.51385890000000001</v>
      </c>
      <c r="F625" t="s">
        <v>41</v>
      </c>
      <c r="G625">
        <v>-315.84460000000001</v>
      </c>
      <c r="H625">
        <v>1.02918</v>
      </c>
      <c r="I625">
        <v>368.83710000000002</v>
      </c>
      <c r="J625">
        <v>-316.69600000000003</v>
      </c>
      <c r="K625">
        <v>1.099261</v>
      </c>
      <c r="L625">
        <v>368.9162</v>
      </c>
      <c r="M625">
        <v>0.99982930000000003</v>
      </c>
      <c r="N625">
        <v>0</v>
      </c>
      <c r="O625">
        <v>4.6296890000000002E-3</v>
      </c>
      <c r="P625">
        <v>0.99669980000000002</v>
      </c>
      <c r="Q625">
        <v>-7.4150859999999999E-2</v>
      </c>
      <c r="R625">
        <v>-3.3038860000000003E-2</v>
      </c>
      <c r="S625">
        <v>2.9887700000000001</v>
      </c>
      <c r="T625">
        <v>-0.19165489999999999</v>
      </c>
      <c r="U625">
        <v>-0.20834349999999999</v>
      </c>
      <c r="V625">
        <v>3.7679780000000003E-2</v>
      </c>
      <c r="W625">
        <v>-5.6286790000000003E-2</v>
      </c>
      <c r="X625">
        <v>0.99770340000000002</v>
      </c>
      <c r="Y625">
        <v>7.3997800000000002E-2</v>
      </c>
      <c r="Z625">
        <v>-2.6635320000000001E-3</v>
      </c>
      <c r="AA625">
        <v>0.9972548</v>
      </c>
      <c r="AB625">
        <v>46</v>
      </c>
      <c r="AC625">
        <v>0.85139999999995497</v>
      </c>
      <c r="AD625">
        <v>-7.0081000000000004E-2</v>
      </c>
      <c r="AE625">
        <v>-7.9099999999982601E-2</v>
      </c>
      <c r="AF625">
        <v>8.2487399632089203E-2</v>
      </c>
      <c r="AG625">
        <v>-7.0081000000000004E-2</v>
      </c>
      <c r="AH625">
        <v>0.84534608358639496</v>
      </c>
      <c r="AI625">
        <v>94.716805111604202</v>
      </c>
      <c r="AJ625">
        <v>84.426821232504807</v>
      </c>
      <c r="AK625">
        <v>0.85224733422517696</v>
      </c>
      <c r="AL625">
        <v>93.226700779022096</v>
      </c>
      <c r="AM625">
        <v>87.837166007291898</v>
      </c>
      <c r="AN625">
        <v>1.0000000214604501</v>
      </c>
    </row>
    <row r="626" spans="1:40" x14ac:dyDescent="0.25">
      <c r="A626" t="str">
        <f>"20190312151512803"</f>
        <v>20190312151512803</v>
      </c>
      <c r="B626" t="str">
        <f>"1552374912798692"</f>
        <v>1552374912798692</v>
      </c>
      <c r="C626" t="s">
        <v>40</v>
      </c>
      <c r="D626">
        <v>4.8583590000000001</v>
      </c>
      <c r="E626">
        <v>0.51399030000000001</v>
      </c>
      <c r="F626" t="s">
        <v>42</v>
      </c>
      <c r="G626">
        <v>-299.04160000000002</v>
      </c>
      <c r="H626">
        <v>-0.05</v>
      </c>
      <c r="I626">
        <v>367.67500000000001</v>
      </c>
      <c r="J626">
        <v>-316.37200000000001</v>
      </c>
      <c r="K626">
        <v>1.0974699999999999</v>
      </c>
      <c r="L626">
        <v>368.9178</v>
      </c>
      <c r="M626">
        <v>0.99981679999999995</v>
      </c>
      <c r="N626">
        <v>0</v>
      </c>
      <c r="O626">
        <v>4.7251000000000003E-3</v>
      </c>
      <c r="P626">
        <v>0.99661299999999997</v>
      </c>
      <c r="Q626">
        <v>-7.5197799999999995E-2</v>
      </c>
      <c r="R626">
        <v>-3.3284349999999997E-2</v>
      </c>
      <c r="S626">
        <v>2.9884949999999999</v>
      </c>
      <c r="T626">
        <v>-0.19454399999999999</v>
      </c>
      <c r="U626">
        <v>-0.21011350000000001</v>
      </c>
      <c r="V626">
        <v>3.8021920000000001E-2</v>
      </c>
      <c r="W626">
        <v>-5.6678109999999997E-2</v>
      </c>
      <c r="X626">
        <v>0.99766829999999995</v>
      </c>
      <c r="Y626">
        <v>7.4680579999999996E-2</v>
      </c>
      <c r="Z626">
        <v>-2.7321659999999998E-3</v>
      </c>
      <c r="AA626">
        <v>0.99720379999999997</v>
      </c>
      <c r="AB626">
        <v>46</v>
      </c>
      <c r="AC626">
        <v>17.330399999999901</v>
      </c>
      <c r="AD626">
        <v>-1.14747</v>
      </c>
      <c r="AE626">
        <v>-1.2427999999999799</v>
      </c>
      <c r="AF626">
        <v>1.31893552150703</v>
      </c>
      <c r="AG626">
        <v>-1.14747</v>
      </c>
      <c r="AH626">
        <v>17.249100814715302</v>
      </c>
      <c r="AI626">
        <v>93.794861245008605</v>
      </c>
      <c r="AJ626">
        <v>85.627443092690896</v>
      </c>
      <c r="AK626">
        <v>17.3374668630399</v>
      </c>
      <c r="AL626">
        <v>93.249157502055496</v>
      </c>
      <c r="AM626">
        <v>87.817469235234796</v>
      </c>
      <c r="AN626">
        <v>1.0000000556892701</v>
      </c>
    </row>
    <row r="627" spans="1:40" x14ac:dyDescent="0.25">
      <c r="A627" t="str">
        <f>"20190312151512816"</f>
        <v>20190312151512816</v>
      </c>
      <c r="B627" t="str">
        <f>"1552374912808451"</f>
        <v>1552374912808451</v>
      </c>
      <c r="C627" t="s">
        <v>40</v>
      </c>
      <c r="D627">
        <v>4.6252760000000004</v>
      </c>
      <c r="E627">
        <v>0.51404179999999999</v>
      </c>
      <c r="F627" t="s">
        <v>41</v>
      </c>
      <c r="G627">
        <v>-315.4273</v>
      </c>
      <c r="H627">
        <v>1.03542</v>
      </c>
      <c r="I627">
        <v>368.85050000000001</v>
      </c>
      <c r="J627">
        <v>-316.11009999999999</v>
      </c>
      <c r="K627">
        <v>1.095944</v>
      </c>
      <c r="L627">
        <v>368.91899999999998</v>
      </c>
      <c r="M627">
        <v>0.99980840000000004</v>
      </c>
      <c r="N627">
        <v>0</v>
      </c>
      <c r="O627">
        <v>4.7997739999999997E-3</v>
      </c>
      <c r="P627">
        <v>0.99658089999999999</v>
      </c>
      <c r="Q627">
        <v>-7.5751540000000006E-2</v>
      </c>
      <c r="R627">
        <v>-3.2989860000000003E-2</v>
      </c>
      <c r="S627">
        <v>2.9882810000000002</v>
      </c>
      <c r="T627">
        <v>-0.19643369999999999</v>
      </c>
      <c r="U627">
        <v>-0.21194460000000001</v>
      </c>
      <c r="V627">
        <v>3.7803129999999997E-2</v>
      </c>
      <c r="W627">
        <v>-5.6805639999999998E-2</v>
      </c>
      <c r="X627">
        <v>0.99766929999999998</v>
      </c>
      <c r="Y627">
        <v>7.5363150000000004E-2</v>
      </c>
      <c r="Z627">
        <v>-2.7860680000000001E-3</v>
      </c>
      <c r="AA627">
        <v>0.99715229999999999</v>
      </c>
      <c r="AB627">
        <v>46</v>
      </c>
      <c r="AC627">
        <v>0.68279999999998597</v>
      </c>
      <c r="AD627">
        <v>-6.0524000000000001E-2</v>
      </c>
      <c r="AE627">
        <v>-6.8500000000028594E-2</v>
      </c>
      <c r="AF627">
        <v>7.1223048502456296E-2</v>
      </c>
      <c r="AG627">
        <v>-6.0524000000000001E-2</v>
      </c>
      <c r="AH627">
        <v>0.67719544166868195</v>
      </c>
      <c r="AI627">
        <v>95.079344187916206</v>
      </c>
      <c r="AJ627">
        <v>83.996071991194697</v>
      </c>
      <c r="AK627">
        <v>0.68361505500597697</v>
      </c>
      <c r="AL627">
        <v>93.256476422340597</v>
      </c>
      <c r="AM627">
        <v>87.830018330829702</v>
      </c>
      <c r="AN627">
        <v>0.99999999476804802</v>
      </c>
    </row>
    <row r="628" spans="1:40" x14ac:dyDescent="0.25">
      <c r="A628" t="str">
        <f>"20190312151512827"</f>
        <v>20190312151512827</v>
      </c>
      <c r="B628" t="str">
        <f>"1552374912818211"</f>
        <v>1552374912818211</v>
      </c>
      <c r="C628" t="s">
        <v>40</v>
      </c>
      <c r="D628">
        <v>4.4663969999999997</v>
      </c>
      <c r="E628">
        <v>0.51409910000000003</v>
      </c>
      <c r="F628" t="s">
        <v>41</v>
      </c>
      <c r="G628">
        <v>-315.0249</v>
      </c>
      <c r="H628">
        <v>1.0246329999999999</v>
      </c>
      <c r="I628">
        <v>368.84219999999999</v>
      </c>
      <c r="J628">
        <v>-315.85829999999999</v>
      </c>
      <c r="K628">
        <v>1.094382</v>
      </c>
      <c r="L628">
        <v>368.9203</v>
      </c>
      <c r="M628">
        <v>0.99980279999999999</v>
      </c>
      <c r="N628">
        <v>0</v>
      </c>
      <c r="O628">
        <v>4.8692079999999999E-3</v>
      </c>
      <c r="P628">
        <v>0.99653970000000003</v>
      </c>
      <c r="Q628">
        <v>-7.6182449999999999E-2</v>
      </c>
      <c r="R628">
        <v>-3.324622E-2</v>
      </c>
      <c r="S628">
        <v>2.9883730000000002</v>
      </c>
      <c r="T628">
        <v>-0.1964147</v>
      </c>
      <c r="U628">
        <v>-0.21121219999999999</v>
      </c>
      <c r="V628">
        <v>3.8129700000000002E-2</v>
      </c>
      <c r="W628">
        <v>-5.696093E-2</v>
      </c>
      <c r="X628">
        <v>0.99764799999999998</v>
      </c>
      <c r="Y628">
        <v>7.5187390000000007E-2</v>
      </c>
      <c r="Z628">
        <v>-2.7845320000000002E-3</v>
      </c>
      <c r="AA628">
        <v>0.99716559999999999</v>
      </c>
      <c r="AB628">
        <v>46</v>
      </c>
      <c r="AC628">
        <v>0.83339999999998304</v>
      </c>
      <c r="AD628">
        <v>-6.9749000000000005E-2</v>
      </c>
      <c r="AE628">
        <v>-7.8100000000006206E-2</v>
      </c>
      <c r="AF628">
        <v>8.1591303669379903E-2</v>
      </c>
      <c r="AG628">
        <v>-6.9749000000000005E-2</v>
      </c>
      <c r="AH628">
        <v>0.82726573134974501</v>
      </c>
      <c r="AI628">
        <v>94.796201697364395</v>
      </c>
      <c r="AJ628">
        <v>84.367266777772699</v>
      </c>
      <c r="AK628">
        <v>0.83420060782829497</v>
      </c>
      <c r="AL628">
        <v>93.265388372763397</v>
      </c>
      <c r="AM628">
        <v>87.811243973767603</v>
      </c>
      <c r="AN628">
        <v>0.99999997673627705</v>
      </c>
    </row>
    <row r="629" spans="1:40" x14ac:dyDescent="0.25">
      <c r="A629" t="str">
        <f>"20190312151512840"</f>
        <v>20190312151512840</v>
      </c>
      <c r="B629" t="str">
        <f>"1552374912827972"</f>
        <v>1552374912827972</v>
      </c>
      <c r="C629" t="s">
        <v>40</v>
      </c>
      <c r="D629">
        <v>4.4659490000000002</v>
      </c>
      <c r="E629">
        <v>0.51410579999999995</v>
      </c>
      <c r="F629" t="s">
        <v>42</v>
      </c>
      <c r="G629">
        <v>-298.44920000000002</v>
      </c>
      <c r="H629">
        <v>-0.05</v>
      </c>
      <c r="I629">
        <v>367.68259999999998</v>
      </c>
      <c r="J629">
        <v>-315.60599999999999</v>
      </c>
      <c r="K629">
        <v>1.0927789999999999</v>
      </c>
      <c r="L629">
        <v>368.92160000000001</v>
      </c>
      <c r="M629">
        <v>0.99979799999999996</v>
      </c>
      <c r="N629">
        <v>0</v>
      </c>
      <c r="O629">
        <v>4.9302859999999999E-3</v>
      </c>
      <c r="P629">
        <v>0.99652790000000002</v>
      </c>
      <c r="Q629">
        <v>-7.6328980000000005E-2</v>
      </c>
      <c r="R629">
        <v>-3.3256139999999997E-2</v>
      </c>
      <c r="S629">
        <v>2.9883120000000001</v>
      </c>
      <c r="T629">
        <v>-0.1964359</v>
      </c>
      <c r="U629">
        <v>-0.2124634</v>
      </c>
      <c r="V629">
        <v>3.8201560000000002E-2</v>
      </c>
      <c r="W629">
        <v>-5.6880510000000002E-2</v>
      </c>
      <c r="X629">
        <v>0.99764980000000003</v>
      </c>
      <c r="Y629">
        <v>7.5663980000000006E-2</v>
      </c>
      <c r="Z629">
        <v>-2.8044839999999999E-3</v>
      </c>
      <c r="AA629">
        <v>0.99712940000000005</v>
      </c>
      <c r="AB629">
        <v>46</v>
      </c>
      <c r="AC629">
        <v>17.156799999999901</v>
      </c>
      <c r="AD629">
        <v>-1.142779</v>
      </c>
      <c r="AE629">
        <v>-1.2390000000000301</v>
      </c>
      <c r="AF629">
        <v>1.3177728070618799</v>
      </c>
      <c r="AG629">
        <v>-1.142779</v>
      </c>
      <c r="AH629">
        <v>17.075118884536401</v>
      </c>
      <c r="AI629">
        <v>93.817581451473401</v>
      </c>
      <c r="AJ629">
        <v>85.586944007639204</v>
      </c>
      <c r="AK629">
        <v>17.163978383082501</v>
      </c>
      <c r="AL629">
        <v>93.260773291440799</v>
      </c>
      <c r="AM629">
        <v>87.807126975983707</v>
      </c>
      <c r="AN629">
        <v>0.99999993752216398</v>
      </c>
    </row>
    <row r="630" spans="1:40" x14ac:dyDescent="0.25">
      <c r="A630" t="str">
        <f>"20190312151512853"</f>
        <v>20190312151512853</v>
      </c>
      <c r="B630" t="str">
        <f>"1552374912848467"</f>
        <v>1552374912848467</v>
      </c>
      <c r="C630" t="s">
        <v>40</v>
      </c>
      <c r="D630">
        <v>4.4614849999999997</v>
      </c>
      <c r="E630">
        <v>0.51415730000000004</v>
      </c>
      <c r="F630" t="s">
        <v>41</v>
      </c>
      <c r="G630">
        <v>-314.61099999999999</v>
      </c>
      <c r="H630">
        <v>1.027874</v>
      </c>
      <c r="I630">
        <v>368.85039999999998</v>
      </c>
      <c r="J630">
        <v>-315.34249999999997</v>
      </c>
      <c r="K630">
        <v>1.0910690000000001</v>
      </c>
      <c r="L630">
        <v>368.92290000000003</v>
      </c>
      <c r="M630">
        <v>0.99979379999999995</v>
      </c>
      <c r="N630">
        <v>0</v>
      </c>
      <c r="O630">
        <v>4.9877050000000003E-3</v>
      </c>
      <c r="P630">
        <v>0.99649639999999995</v>
      </c>
      <c r="Q630">
        <v>-7.6582620000000004E-2</v>
      </c>
      <c r="R630">
        <v>-3.3612429999999999E-2</v>
      </c>
      <c r="S630">
        <v>2.9884339999999998</v>
      </c>
      <c r="T630">
        <v>-0.19520709999999999</v>
      </c>
      <c r="U630">
        <v>-0.21255489999999999</v>
      </c>
      <c r="V630">
        <v>3.8616009999999999E-2</v>
      </c>
      <c r="W630">
        <v>-5.6933459999999998E-2</v>
      </c>
      <c r="X630">
        <v>0.99763089999999999</v>
      </c>
      <c r="Y630">
        <v>7.5750639999999994E-2</v>
      </c>
      <c r="Z630">
        <v>-2.7934290000000001E-3</v>
      </c>
      <c r="AA630">
        <v>0.99712290000000003</v>
      </c>
      <c r="AB630">
        <v>46</v>
      </c>
      <c r="AC630">
        <v>0.73149999999998205</v>
      </c>
      <c r="AD630">
        <v>-6.3195000000000098E-2</v>
      </c>
      <c r="AE630">
        <v>-7.2500000000047707E-2</v>
      </c>
      <c r="AF630">
        <v>7.5589643140564503E-2</v>
      </c>
      <c r="AG630">
        <v>-6.3195000000000098E-2</v>
      </c>
      <c r="AH630">
        <v>0.72576523276191995</v>
      </c>
      <c r="AI630">
        <v>94.949759152463002</v>
      </c>
      <c r="AJ630">
        <v>84.053988366072005</v>
      </c>
      <c r="AK630">
        <v>0.732422402211376</v>
      </c>
      <c r="AL630">
        <v>93.263811778035702</v>
      </c>
      <c r="AM630">
        <v>87.783318075754394</v>
      </c>
      <c r="AN630">
        <v>1.00000001386535</v>
      </c>
    </row>
    <row r="631" spans="1:40" x14ac:dyDescent="0.25">
      <c r="A631" t="str">
        <f>"20190312151512869"</f>
        <v>20190312151512869</v>
      </c>
      <c r="B631" t="str">
        <f>"1552374912858227"</f>
        <v>1552374912858227</v>
      </c>
      <c r="C631" t="s">
        <v>40</v>
      </c>
      <c r="D631">
        <v>4.4477859999999998</v>
      </c>
      <c r="E631">
        <v>0.51422129999999999</v>
      </c>
      <c r="F631" t="s">
        <v>41</v>
      </c>
      <c r="G631">
        <v>-314.20940000000002</v>
      </c>
      <c r="H631">
        <v>1.0180439999999999</v>
      </c>
      <c r="I631">
        <v>368.84160000000003</v>
      </c>
      <c r="J631">
        <v>-314.99299999999999</v>
      </c>
      <c r="K631">
        <v>1.0887560000000001</v>
      </c>
      <c r="L631">
        <v>368.9248</v>
      </c>
      <c r="M631">
        <v>0.99978860000000003</v>
      </c>
      <c r="N631">
        <v>0</v>
      </c>
      <c r="O631">
        <v>5.0647039999999997E-3</v>
      </c>
      <c r="P631">
        <v>0.99646820000000003</v>
      </c>
      <c r="Q631">
        <v>-7.6698559999999999E-2</v>
      </c>
      <c r="R631">
        <v>-3.4183999999999999E-2</v>
      </c>
      <c r="S631">
        <v>2.988556</v>
      </c>
      <c r="T631">
        <v>-0.19266059999999999</v>
      </c>
      <c r="U631">
        <v>-0.2142029</v>
      </c>
      <c r="V631">
        <v>3.9263979999999997E-2</v>
      </c>
      <c r="W631">
        <v>-5.6802999999999999E-2</v>
      </c>
      <c r="X631">
        <v>0.99761299999999997</v>
      </c>
      <c r="Y631">
        <v>7.6374629999999999E-2</v>
      </c>
      <c r="Z631">
        <v>-2.7819199999999998E-3</v>
      </c>
      <c r="AA631">
        <v>0.9970753</v>
      </c>
      <c r="AB631">
        <v>46</v>
      </c>
      <c r="AC631">
        <v>0.78359999999997798</v>
      </c>
      <c r="AD631">
        <v>-7.0712000000000094E-2</v>
      </c>
      <c r="AE631">
        <v>-8.3199999999976598E-2</v>
      </c>
      <c r="AF631">
        <v>8.6472109247911697E-2</v>
      </c>
      <c r="AG631">
        <v>-7.0712000000000094E-2</v>
      </c>
      <c r="AH631">
        <v>0.77691241973698499</v>
      </c>
      <c r="AI631">
        <v>95.168800496872095</v>
      </c>
      <c r="AJ631">
        <v>83.648989937071804</v>
      </c>
      <c r="AK631">
        <v>0.78490159928704395</v>
      </c>
      <c r="AL631">
        <v>93.256324999703693</v>
      </c>
      <c r="AM631">
        <v>87.746120178994801</v>
      </c>
      <c r="AN631">
        <v>0.99999996935171898</v>
      </c>
    </row>
    <row r="632" spans="1:40" x14ac:dyDescent="0.25">
      <c r="A632" t="str">
        <f>"20190312151512881"</f>
        <v>20190312151512881</v>
      </c>
      <c r="B632" t="str">
        <f>"1552374912878724"</f>
        <v>1552374912878724</v>
      </c>
      <c r="C632" t="s">
        <v>40</v>
      </c>
      <c r="D632">
        <v>4.9206000000000003</v>
      </c>
      <c r="E632">
        <v>0.51439140000000005</v>
      </c>
      <c r="F632" t="s">
        <v>42</v>
      </c>
      <c r="G632">
        <v>-297.23750000000001</v>
      </c>
      <c r="H632">
        <v>-0.05</v>
      </c>
      <c r="I632">
        <v>367.63850000000002</v>
      </c>
      <c r="J632">
        <v>-314.76330000000002</v>
      </c>
      <c r="K632">
        <v>1.0872360000000001</v>
      </c>
      <c r="L632">
        <v>368.92599999999999</v>
      </c>
      <c r="M632">
        <v>0.99978540000000005</v>
      </c>
      <c r="N632">
        <v>0</v>
      </c>
      <c r="O632">
        <v>5.123196E-3</v>
      </c>
      <c r="P632">
        <v>0.9964539</v>
      </c>
      <c r="Q632">
        <v>-7.6855709999999994E-2</v>
      </c>
      <c r="R632">
        <v>-3.4251190000000001E-2</v>
      </c>
      <c r="S632">
        <v>2.988464</v>
      </c>
      <c r="T632">
        <v>-0.19166730000000001</v>
      </c>
      <c r="U632">
        <v>-0.21649170000000001</v>
      </c>
      <c r="V632">
        <v>3.9388590000000001E-2</v>
      </c>
      <c r="W632">
        <v>-5.6816150000000003E-2</v>
      </c>
      <c r="X632">
        <v>0.99760740000000003</v>
      </c>
      <c r="Y632">
        <v>7.7194739999999998E-2</v>
      </c>
      <c r="Z632">
        <v>-2.797599E-3</v>
      </c>
      <c r="AA632">
        <v>0.99701209999999996</v>
      </c>
      <c r="AB632">
        <v>46</v>
      </c>
      <c r="AC632">
        <v>17.5258</v>
      </c>
      <c r="AD632">
        <v>-1.1372359999999999</v>
      </c>
      <c r="AE632">
        <v>-1.2874999999999599</v>
      </c>
      <c r="AF632">
        <v>1.3715452496854501</v>
      </c>
      <c r="AG632">
        <v>-1.1372359999999999</v>
      </c>
      <c r="AH632">
        <v>17.445908774206099</v>
      </c>
      <c r="AI632">
        <v>93.718188533835303</v>
      </c>
      <c r="AJ632">
        <v>85.504822717130594</v>
      </c>
      <c r="AK632">
        <v>17.5366523330296</v>
      </c>
      <c r="AL632">
        <v>93.257079459480806</v>
      </c>
      <c r="AM632">
        <v>87.738961893947305</v>
      </c>
      <c r="AN632">
        <v>1.0000000302288801</v>
      </c>
    </row>
    <row r="633" spans="1:40" x14ac:dyDescent="0.25">
      <c r="A633" t="str">
        <f>"20190312151512892"</f>
        <v>20190312151512892</v>
      </c>
      <c r="B633" t="str">
        <f>"1552374912888485"</f>
        <v>1552374912888485</v>
      </c>
      <c r="C633" t="s">
        <v>40</v>
      </c>
      <c r="D633">
        <v>4.4526839999999996</v>
      </c>
      <c r="E633">
        <v>0.51448819999999995</v>
      </c>
      <c r="F633" t="s">
        <v>42</v>
      </c>
      <c r="G633">
        <v>-296.80500000000001</v>
      </c>
      <c r="H633">
        <v>-0.05</v>
      </c>
      <c r="I633">
        <v>367.61779999999999</v>
      </c>
      <c r="J633">
        <v>-314.54270000000002</v>
      </c>
      <c r="K633">
        <v>1.085777</v>
      </c>
      <c r="L633">
        <v>368.92720000000003</v>
      </c>
      <c r="M633">
        <v>0.99978239999999996</v>
      </c>
      <c r="N633">
        <v>0</v>
      </c>
      <c r="O633">
        <v>5.181756E-3</v>
      </c>
      <c r="P633">
        <v>0.99642339999999996</v>
      </c>
      <c r="Q633">
        <v>-7.7146220000000001E-2</v>
      </c>
      <c r="R633">
        <v>-3.4483800000000002E-2</v>
      </c>
      <c r="S633">
        <v>2.9886170000000001</v>
      </c>
      <c r="T633">
        <v>-0.18925829999999999</v>
      </c>
      <c r="U633">
        <v>-0.2177124</v>
      </c>
      <c r="V633">
        <v>3.96788E-2</v>
      </c>
      <c r="W633">
        <v>-5.6973879999999998E-2</v>
      </c>
      <c r="X633">
        <v>0.9975868</v>
      </c>
      <c r="Y633">
        <v>7.7657749999999998E-2</v>
      </c>
      <c r="Z633">
        <v>-2.780654E-3</v>
      </c>
      <c r="AA633">
        <v>0.99697619999999998</v>
      </c>
      <c r="AB633">
        <v>46</v>
      </c>
      <c r="AC633">
        <v>17.7377</v>
      </c>
      <c r="AD633">
        <v>-1.135777</v>
      </c>
      <c r="AE633">
        <v>-1.3094000000000301</v>
      </c>
      <c r="AF633">
        <v>1.3956224769385699</v>
      </c>
      <c r="AG633">
        <v>-1.135777</v>
      </c>
      <c r="AH633">
        <v>17.658665990022399</v>
      </c>
      <c r="AI633">
        <v>93.668694716293999</v>
      </c>
      <c r="AJ633">
        <v>85.481119102542806</v>
      </c>
      <c r="AK633">
        <v>17.7501052402243</v>
      </c>
      <c r="AL633">
        <v>93.266131723134905</v>
      </c>
      <c r="AM633">
        <v>87.722273356825596</v>
      </c>
      <c r="AN633">
        <v>0.99999992685296402</v>
      </c>
    </row>
    <row r="634" spans="1:40" x14ac:dyDescent="0.25">
      <c r="A634" t="str">
        <f>"20190312151512904"</f>
        <v>20190312151512904</v>
      </c>
      <c r="B634" t="str">
        <f>"1552374912898244"</f>
        <v>1552374912898244</v>
      </c>
      <c r="C634" t="s">
        <v>40</v>
      </c>
      <c r="D634">
        <v>4.5015140000000002</v>
      </c>
      <c r="E634">
        <v>0.51453179999999998</v>
      </c>
      <c r="F634" t="s">
        <v>42</v>
      </c>
      <c r="G634">
        <v>-296.55399999999997</v>
      </c>
      <c r="H634">
        <v>-0.05</v>
      </c>
      <c r="I634">
        <v>367.60599999999999</v>
      </c>
      <c r="J634">
        <v>-314.3227</v>
      </c>
      <c r="K634">
        <v>1.0843469999999999</v>
      </c>
      <c r="L634">
        <v>368.92849999999999</v>
      </c>
      <c r="M634">
        <v>0.99978009999999995</v>
      </c>
      <c r="N634">
        <v>0</v>
      </c>
      <c r="O634">
        <v>5.2513239999999999E-3</v>
      </c>
      <c r="P634">
        <v>0.99642450000000005</v>
      </c>
      <c r="Q634">
        <v>-7.7128360000000007E-2</v>
      </c>
      <c r="R634">
        <v>-3.449021E-2</v>
      </c>
      <c r="S634">
        <v>2.9885860000000002</v>
      </c>
      <c r="T634">
        <v>-0.18869440000000001</v>
      </c>
      <c r="U634">
        <v>-0.21951290000000001</v>
      </c>
      <c r="V634">
        <v>3.97536E-2</v>
      </c>
      <c r="W634">
        <v>-5.6858329999999999E-2</v>
      </c>
      <c r="X634">
        <v>0.99759050000000005</v>
      </c>
      <c r="Y634">
        <v>7.8324809999999995E-2</v>
      </c>
      <c r="Z634">
        <v>-2.7977449999999999E-3</v>
      </c>
      <c r="AA634">
        <v>0.99692400000000003</v>
      </c>
      <c r="AB634">
        <v>46</v>
      </c>
      <c r="AC634">
        <v>17.7686999999999</v>
      </c>
      <c r="AD634">
        <v>-1.134347</v>
      </c>
      <c r="AE634">
        <v>-1.32249999999999</v>
      </c>
      <c r="AF634">
        <v>1.41009501639464</v>
      </c>
      <c r="AG634">
        <v>-1.134347</v>
      </c>
      <c r="AH634">
        <v>17.689811002630101</v>
      </c>
      <c r="AI634">
        <v>93.657459353415405</v>
      </c>
      <c r="AJ634">
        <v>85.442459909267598</v>
      </c>
      <c r="AK634">
        <v>17.782140601751099</v>
      </c>
      <c r="AL634">
        <v>93.259500167798095</v>
      </c>
      <c r="AM634">
        <v>87.717992518699603</v>
      </c>
      <c r="AN634">
        <v>1.00000001204679</v>
      </c>
    </row>
    <row r="635" spans="1:40" x14ac:dyDescent="0.25">
      <c r="A635" t="str">
        <f>"20190312151512915"</f>
        <v>20190312151512915</v>
      </c>
      <c r="B635" t="str">
        <f>"1552374912908004"</f>
        <v>1552374912908004</v>
      </c>
      <c r="C635" t="s">
        <v>40</v>
      </c>
      <c r="D635">
        <v>4.4847530000000004</v>
      </c>
      <c r="E635">
        <v>0.51469670000000001</v>
      </c>
      <c r="F635" t="s">
        <v>42</v>
      </c>
      <c r="G635">
        <v>-296.22699999999998</v>
      </c>
      <c r="H635">
        <v>-0.05</v>
      </c>
      <c r="I635">
        <v>367.59769999999997</v>
      </c>
      <c r="J635">
        <v>-314.06439999999998</v>
      </c>
      <c r="K635">
        <v>1.0826849999999999</v>
      </c>
      <c r="L635">
        <v>368.92989999999998</v>
      </c>
      <c r="M635">
        <v>0.99977740000000004</v>
      </c>
      <c r="N635">
        <v>0</v>
      </c>
      <c r="O635">
        <v>5.3360380000000004E-3</v>
      </c>
      <c r="P635">
        <v>0.99642810000000004</v>
      </c>
      <c r="Q635">
        <v>-7.7006489999999997E-2</v>
      </c>
      <c r="R635">
        <v>-3.4653379999999998E-2</v>
      </c>
      <c r="S635">
        <v>2.9886469999999998</v>
      </c>
      <c r="T635">
        <v>-0.18734690000000001</v>
      </c>
      <c r="U635">
        <v>-0.2197876</v>
      </c>
      <c r="V635">
        <v>3.9999600000000003E-2</v>
      </c>
      <c r="W635">
        <v>-5.6637449999999999E-2</v>
      </c>
      <c r="X635">
        <v>0.99759319999999896</v>
      </c>
      <c r="Y635">
        <v>7.8500790000000001E-2</v>
      </c>
      <c r="Z635">
        <v>-2.788544E-3</v>
      </c>
      <c r="AA635">
        <v>0.99691019999999997</v>
      </c>
      <c r="AB635">
        <v>45</v>
      </c>
      <c r="AC635">
        <v>17.837399999999899</v>
      </c>
      <c r="AD635">
        <v>-1.1326849999999999</v>
      </c>
      <c r="AE635">
        <v>-1.3322000000000001</v>
      </c>
      <c r="AF635">
        <v>1.4216810299148801</v>
      </c>
      <c r="AG635">
        <v>-1.1326849999999999</v>
      </c>
      <c r="AH635">
        <v>17.758823720638201</v>
      </c>
      <c r="AI635">
        <v>93.637862099165702</v>
      </c>
      <c r="AJ635">
        <v>85.422952664777696</v>
      </c>
      <c r="AK635">
        <v>17.851609792978</v>
      </c>
      <c r="AL635">
        <v>93.246824351251504</v>
      </c>
      <c r="AM635">
        <v>87.7038924609367</v>
      </c>
      <c r="AN635">
        <v>0.99999998071444995</v>
      </c>
    </row>
    <row r="636" spans="1:40" x14ac:dyDescent="0.25">
      <c r="A636" t="str">
        <f>"20190312151512928"</f>
        <v>20190312151512928</v>
      </c>
      <c r="B636" t="str">
        <f>"1552374912917765"</f>
        <v>1552374912917765</v>
      </c>
      <c r="C636" t="s">
        <v>40</v>
      </c>
      <c r="D636">
        <v>4.576384</v>
      </c>
      <c r="E636">
        <v>0.51488919999999905</v>
      </c>
      <c r="F636" t="s">
        <v>41</v>
      </c>
      <c r="G636">
        <v>-312.98849999999999</v>
      </c>
      <c r="H636">
        <v>1.0154989999999999</v>
      </c>
      <c r="I636">
        <v>368.85</v>
      </c>
      <c r="J636">
        <v>-313.80869999999999</v>
      </c>
      <c r="K636">
        <v>1.081089</v>
      </c>
      <c r="L636">
        <v>368.93130000000002</v>
      </c>
      <c r="M636">
        <v>0.99977590000000005</v>
      </c>
      <c r="N636">
        <v>0</v>
      </c>
      <c r="O636">
        <v>5.4255529999999996E-3</v>
      </c>
      <c r="P636">
        <v>0.99641619999999997</v>
      </c>
      <c r="Q636">
        <v>-7.7125860000000004E-2</v>
      </c>
      <c r="R636">
        <v>-3.4738699999999997E-2</v>
      </c>
      <c r="S636">
        <v>2.9886170000000001</v>
      </c>
      <c r="T636">
        <v>-0.1867685</v>
      </c>
      <c r="U636">
        <v>-0.22143550000000001</v>
      </c>
      <c r="V636">
        <v>4.017283E-2</v>
      </c>
      <c r="W636">
        <v>-5.6701189999999999E-2</v>
      </c>
      <c r="X636">
        <v>0.99758259999999999</v>
      </c>
      <c r="Y636">
        <v>7.9137120000000005E-2</v>
      </c>
      <c r="Z636">
        <v>-2.8053430000000001E-3</v>
      </c>
      <c r="AA636">
        <v>0.99685979999999996</v>
      </c>
      <c r="AB636">
        <v>45</v>
      </c>
      <c r="AC636">
        <v>0.82019999999999904</v>
      </c>
      <c r="AD636">
        <v>-6.5589999999999996E-2</v>
      </c>
      <c r="AE636">
        <v>-8.1299999999998804E-2</v>
      </c>
      <c r="AF636">
        <v>8.5210162245021703E-2</v>
      </c>
      <c r="AG636">
        <v>-6.5589999999999996E-2</v>
      </c>
      <c r="AH636">
        <v>0.81458818320867699</v>
      </c>
      <c r="AI636">
        <v>94.578604733345301</v>
      </c>
      <c r="AJ636">
        <v>84.028281502254998</v>
      </c>
      <c r="AK636">
        <v>0.82165487162983297</v>
      </c>
      <c r="AL636">
        <v>93.250482321765602</v>
      </c>
      <c r="AM636">
        <v>87.693934729208493</v>
      </c>
      <c r="AN636">
        <v>0.99999996252019097</v>
      </c>
    </row>
    <row r="637" spans="1:40" x14ac:dyDescent="0.25">
      <c r="A637" t="str">
        <f>"20190312151512942"</f>
        <v>20190312151512942</v>
      </c>
      <c r="B637" t="str">
        <f>"1552374912938260"</f>
        <v>1552374912938260</v>
      </c>
      <c r="C637" t="s">
        <v>40</v>
      </c>
      <c r="D637">
        <v>4.8443690000000004</v>
      </c>
      <c r="E637">
        <v>0.51505199999999995</v>
      </c>
      <c r="F637" t="s">
        <v>42</v>
      </c>
      <c r="G637">
        <v>-295.66829999999999</v>
      </c>
      <c r="H637">
        <v>-0.05</v>
      </c>
      <c r="I637">
        <v>367.577</v>
      </c>
      <c r="J637">
        <v>-313.55520000000001</v>
      </c>
      <c r="K637">
        <v>1.0795629999999901</v>
      </c>
      <c r="L637">
        <v>368.93279999999999</v>
      </c>
      <c r="M637">
        <v>0.99977510000000003</v>
      </c>
      <c r="N637">
        <v>0</v>
      </c>
      <c r="O637">
        <v>5.5144769999999899E-3</v>
      </c>
      <c r="P637">
        <v>0.99639990000000001</v>
      </c>
      <c r="Q637">
        <v>-7.7327099999999996E-2</v>
      </c>
      <c r="R637">
        <v>-3.4754849999999997E-2</v>
      </c>
      <c r="S637">
        <v>2.9885860000000002</v>
      </c>
      <c r="T637">
        <v>-0.18634410000000001</v>
      </c>
      <c r="U637">
        <v>-0.22311400000000001</v>
      </c>
      <c r="V637">
        <v>4.027675E-2</v>
      </c>
      <c r="W637">
        <v>-5.6889189999999999E-2</v>
      </c>
      <c r="X637">
        <v>0.9975678</v>
      </c>
      <c r="Y637">
        <v>7.9782629999999993E-2</v>
      </c>
      <c r="Z637">
        <v>-2.8245620000000001E-3</v>
      </c>
      <c r="AA637">
        <v>0.99680829999999998</v>
      </c>
      <c r="AB637">
        <v>45</v>
      </c>
      <c r="AC637">
        <v>17.886900000000001</v>
      </c>
      <c r="AD637">
        <v>-1.1295630000000001</v>
      </c>
      <c r="AE637">
        <v>-1.3557999999999799</v>
      </c>
      <c r="AF637">
        <v>1.4486926386566401</v>
      </c>
      <c r="AG637">
        <v>-1.1295630000000001</v>
      </c>
      <c r="AH637">
        <v>17.808535806222402</v>
      </c>
      <c r="AI637">
        <v>93.617387651154402</v>
      </c>
      <c r="AJ637">
        <v>85.349331093999595</v>
      </c>
      <c r="AK637">
        <v>17.903032438494101</v>
      </c>
      <c r="AL637">
        <v>93.261271038431403</v>
      </c>
      <c r="AM637">
        <v>87.687941547652301</v>
      </c>
      <c r="AN637">
        <v>1.0000000560631199</v>
      </c>
    </row>
    <row r="638" spans="1:40" x14ac:dyDescent="0.25">
      <c r="A638" t="str">
        <f>"20190312151512954"</f>
        <v>20190312151512954</v>
      </c>
      <c r="B638" t="str">
        <f>"1552374912948058"</f>
        <v>1552374912948058</v>
      </c>
      <c r="C638" t="s">
        <v>40</v>
      </c>
      <c r="D638">
        <v>4.3764580000000004</v>
      </c>
      <c r="E638">
        <v>0.51509359999999904</v>
      </c>
      <c r="F638" t="s">
        <v>42</v>
      </c>
      <c r="G638">
        <v>-295.28590000000003</v>
      </c>
      <c r="H638">
        <v>-0.05</v>
      </c>
      <c r="I638">
        <v>367.55860000000001</v>
      </c>
      <c r="J638">
        <v>-313.29000000000002</v>
      </c>
      <c r="K638">
        <v>1.0780099999999999</v>
      </c>
      <c r="L638">
        <v>368.93430000000001</v>
      </c>
      <c r="M638">
        <v>0.99977490000000002</v>
      </c>
      <c r="N638">
        <v>0</v>
      </c>
      <c r="O638">
        <v>5.607E-3</v>
      </c>
      <c r="P638">
        <v>0.99640819999999997</v>
      </c>
      <c r="Q638">
        <v>-7.7216649999999998E-2</v>
      </c>
      <c r="R638">
        <v>-3.4763009999999997E-2</v>
      </c>
      <c r="S638">
        <v>2.9885860000000002</v>
      </c>
      <c r="T638">
        <v>-0.1847792</v>
      </c>
      <c r="U638">
        <v>-0.22479250000000001</v>
      </c>
      <c r="V638">
        <v>4.0376460000000003E-2</v>
      </c>
      <c r="W638">
        <v>-5.6793669999999997E-2</v>
      </c>
      <c r="X638">
        <v>0.99756909999999999</v>
      </c>
      <c r="Y638">
        <v>8.0432920000000005E-2</v>
      </c>
      <c r="Z638">
        <v>-2.8265920000000002E-3</v>
      </c>
      <c r="AA638">
        <v>0.99675599999999998</v>
      </c>
      <c r="AB638">
        <v>45</v>
      </c>
      <c r="AC638">
        <v>18.004099999999902</v>
      </c>
      <c r="AD638">
        <v>-1.12801</v>
      </c>
      <c r="AE638">
        <v>-1.3756999999999899</v>
      </c>
      <c r="AF638">
        <v>1.4709081194270699</v>
      </c>
      <c r="AG638">
        <v>-1.12801</v>
      </c>
      <c r="AH638">
        <v>17.9261430165825</v>
      </c>
      <c r="AI638">
        <v>93.588584691112104</v>
      </c>
      <c r="AJ638">
        <v>85.309172350535405</v>
      </c>
      <c r="AK638">
        <v>18.021725242242098</v>
      </c>
      <c r="AL638">
        <v>93.255789647106297</v>
      </c>
      <c r="AM638">
        <v>87.6822270171659</v>
      </c>
      <c r="AN638">
        <v>0.99999994437450301</v>
      </c>
    </row>
    <row r="639" spans="1:40" x14ac:dyDescent="0.25">
      <c r="A639" t="str">
        <f>"20190312151512966"</f>
        <v>20190312151512966</v>
      </c>
      <c r="B639" t="str">
        <f>"1552374912957798"</f>
        <v>1552374912957798</v>
      </c>
      <c r="C639" t="s">
        <v>40</v>
      </c>
      <c r="D639">
        <v>4.4514089999999999</v>
      </c>
      <c r="E639">
        <v>0.51521919999999999</v>
      </c>
      <c r="F639" t="s">
        <v>41</v>
      </c>
      <c r="G639">
        <v>-312.18299999999999</v>
      </c>
      <c r="H639">
        <v>1.0100720000000001</v>
      </c>
      <c r="I639">
        <v>368.85079999999999</v>
      </c>
      <c r="J639">
        <v>-313.03320000000002</v>
      </c>
      <c r="K639">
        <v>1.0765929999999999</v>
      </c>
      <c r="L639">
        <v>368.93579999999997</v>
      </c>
      <c r="M639">
        <v>0.99977579999999999</v>
      </c>
      <c r="N639">
        <v>0</v>
      </c>
      <c r="O639">
        <v>5.6927990000000001E-3</v>
      </c>
      <c r="P639">
        <v>0.99641310000000005</v>
      </c>
      <c r="Q639">
        <v>-7.7137670000000005E-2</v>
      </c>
      <c r="R639">
        <v>-3.4798280000000001E-2</v>
      </c>
      <c r="S639">
        <v>2.9887389999999998</v>
      </c>
      <c r="T639">
        <v>-0.1835155</v>
      </c>
      <c r="U639">
        <v>-0.22491459999999999</v>
      </c>
      <c r="V639">
        <v>4.0497060000000001E-2</v>
      </c>
      <c r="W639">
        <v>-5.6782920000000001E-2</v>
      </c>
      <c r="X639">
        <v>0.99756489999999998</v>
      </c>
      <c r="Y639">
        <v>8.0556970000000006E-2</v>
      </c>
      <c r="Z639">
        <v>-2.8162080000000002E-3</v>
      </c>
      <c r="AA639">
        <v>0.99674600000000002</v>
      </c>
      <c r="AB639">
        <v>45</v>
      </c>
      <c r="AC639">
        <v>0.85020000000002904</v>
      </c>
      <c r="AD639">
        <v>-6.6521000000000205E-2</v>
      </c>
      <c r="AE639">
        <v>-8.4999999999979495E-2</v>
      </c>
      <c r="AF639">
        <v>8.9298394530672301E-2</v>
      </c>
      <c r="AG639">
        <v>-6.6521000000000205E-2</v>
      </c>
      <c r="AH639">
        <v>0.84458307300862001</v>
      </c>
      <c r="AI639">
        <v>94.478568796831595</v>
      </c>
      <c r="AJ639">
        <v>83.964498364781704</v>
      </c>
      <c r="AK639">
        <v>0.85189190271972803</v>
      </c>
      <c r="AL639">
        <v>93.255172472853801</v>
      </c>
      <c r="AM639">
        <v>87.675301893918402</v>
      </c>
      <c r="AN639">
        <v>1.00000002079218</v>
      </c>
    </row>
    <row r="640" spans="1:40" x14ac:dyDescent="0.25">
      <c r="A640" t="str">
        <f>"20190312151512982"</f>
        <v>20190312151512982</v>
      </c>
      <c r="B640" t="str">
        <f>"1552374912978294"</f>
        <v>1552374912978294</v>
      </c>
      <c r="C640" t="s">
        <v>40</v>
      </c>
      <c r="D640">
        <v>4.6333310000000001</v>
      </c>
      <c r="E640">
        <v>0.5152814</v>
      </c>
      <c r="F640" t="s">
        <v>42</v>
      </c>
      <c r="G640">
        <v>-294.63830000000002</v>
      </c>
      <c r="H640">
        <v>-0.05</v>
      </c>
      <c r="I640">
        <v>367.54309999999998</v>
      </c>
      <c r="J640">
        <v>-312.74220000000003</v>
      </c>
      <c r="K640">
        <v>1.0750679999999999</v>
      </c>
      <c r="L640">
        <v>368.93759999999997</v>
      </c>
      <c r="M640">
        <v>0.99977760000000004</v>
      </c>
      <c r="N640">
        <v>0</v>
      </c>
      <c r="O640">
        <v>5.7858369999999899E-3</v>
      </c>
      <c r="P640">
        <v>0.99643440000000005</v>
      </c>
      <c r="Q640">
        <v>-7.6970380000000005E-2</v>
      </c>
      <c r="R640">
        <v>-3.4561969999999997E-2</v>
      </c>
      <c r="S640">
        <v>2.9887079999999999</v>
      </c>
      <c r="T640">
        <v>-0.18304280000000001</v>
      </c>
      <c r="U640">
        <v>-0.22628780000000001</v>
      </c>
      <c r="V640">
        <v>4.0353229999999997E-2</v>
      </c>
      <c r="W640">
        <v>-5.6725890000000001E-2</v>
      </c>
      <c r="X640">
        <v>0.99757399999999996</v>
      </c>
      <c r="Y640">
        <v>8.1105510000000006E-2</v>
      </c>
      <c r="Z640">
        <v>-2.83139E-3</v>
      </c>
      <c r="AA640">
        <v>0.99670150000000002</v>
      </c>
      <c r="AB640">
        <v>45</v>
      </c>
      <c r="AC640">
        <v>18.103899999999999</v>
      </c>
      <c r="AD640">
        <v>-1.125068</v>
      </c>
      <c r="AE640">
        <v>-1.3944999999999901</v>
      </c>
      <c r="AF640">
        <v>1.4935104801729799</v>
      </c>
      <c r="AG640">
        <v>-1.125068</v>
      </c>
      <c r="AH640">
        <v>18.0263196593679</v>
      </c>
      <c r="AI640">
        <v>93.559178095229797</v>
      </c>
      <c r="AJ640">
        <v>85.263767005040805</v>
      </c>
      <c r="AK640">
        <v>18.123039260033799</v>
      </c>
      <c r="AL640">
        <v>93.251899531990304</v>
      </c>
      <c r="AM640">
        <v>87.683570426343096</v>
      </c>
      <c r="AN640">
        <v>1.00000004762186</v>
      </c>
    </row>
    <row r="641" spans="1:40" x14ac:dyDescent="0.25">
      <c r="A641" t="str">
        <f>"20190312151512995"</f>
        <v>20190312151512995</v>
      </c>
      <c r="B641" t="str">
        <f>"1552374912988053"</f>
        <v>1552374912988053</v>
      </c>
      <c r="C641" t="s">
        <v>40</v>
      </c>
      <c r="D641">
        <v>4.358771</v>
      </c>
      <c r="E641">
        <v>0.51526590000000005</v>
      </c>
      <c r="F641" t="s">
        <v>42</v>
      </c>
      <c r="G641">
        <v>-294.24560000000002</v>
      </c>
      <c r="H641">
        <v>-0.05</v>
      </c>
      <c r="I641">
        <v>367.53809999999999</v>
      </c>
      <c r="J641">
        <v>-312.47070000000002</v>
      </c>
      <c r="K641">
        <v>1.073707</v>
      </c>
      <c r="L641">
        <v>368.9391</v>
      </c>
      <c r="M641">
        <v>0.99977959999999999</v>
      </c>
      <c r="N641">
        <v>0</v>
      </c>
      <c r="O641">
        <v>5.8684820000000004E-3</v>
      </c>
      <c r="P641">
        <v>0.99648139999999996</v>
      </c>
      <c r="Q641">
        <v>-7.6412220000000003E-2</v>
      </c>
      <c r="R641">
        <v>-3.444241E-2</v>
      </c>
      <c r="S641">
        <v>2.9888309999999998</v>
      </c>
      <c r="T641">
        <v>-0.1817975</v>
      </c>
      <c r="U641">
        <v>-0.22613530000000001</v>
      </c>
      <c r="V641">
        <v>4.0316119999999997E-2</v>
      </c>
      <c r="W641">
        <v>-5.6296489999999998E-2</v>
      </c>
      <c r="X641">
        <v>0.99759980000000004</v>
      </c>
      <c r="Y641">
        <v>8.1136230000000004E-2</v>
      </c>
      <c r="Z641">
        <v>-2.8180029999999999E-3</v>
      </c>
      <c r="AA641">
        <v>0.996699</v>
      </c>
      <c r="AB641">
        <v>45</v>
      </c>
      <c r="AC641">
        <v>18.225100000000001</v>
      </c>
      <c r="AD641">
        <v>-1.123707</v>
      </c>
      <c r="AE641">
        <v>-1.40100000000001</v>
      </c>
      <c r="AF641">
        <v>1.50227377880643</v>
      </c>
      <c r="AG641">
        <v>-1.123707</v>
      </c>
      <c r="AH641">
        <v>18.147976589549302</v>
      </c>
      <c r="AI641">
        <v>93.531134550498805</v>
      </c>
      <c r="AJ641">
        <v>85.267894069473797</v>
      </c>
      <c r="AK641">
        <v>18.244686849139601</v>
      </c>
      <c r="AL641">
        <v>93.227257426907997</v>
      </c>
      <c r="AM641">
        <v>87.685758152330294</v>
      </c>
      <c r="AN641">
        <v>1.0000000226390999</v>
      </c>
    </row>
    <row r="642" spans="1:40" x14ac:dyDescent="0.25">
      <c r="A642" t="str">
        <f>"20190312151513015"</f>
        <v>20190312151513015</v>
      </c>
      <c r="B642" t="str">
        <f>"1552374913008553"</f>
        <v>1552374913008553</v>
      </c>
      <c r="C642" t="s">
        <v>40</v>
      </c>
      <c r="D642">
        <v>4.3731179999999998</v>
      </c>
      <c r="E642">
        <v>0.50403790000000004</v>
      </c>
      <c r="F642" t="s">
        <v>41</v>
      </c>
      <c r="G642">
        <v>-311.37740000000002</v>
      </c>
      <c r="H642">
        <v>1.008459</v>
      </c>
      <c r="I642">
        <v>368.85640000000001</v>
      </c>
      <c r="J642">
        <v>-312.07499999999999</v>
      </c>
      <c r="K642">
        <v>1.0718920000000001</v>
      </c>
      <c r="L642">
        <v>368.94159999999999</v>
      </c>
      <c r="M642">
        <v>0.9997838</v>
      </c>
      <c r="N642">
        <v>0</v>
      </c>
      <c r="O642">
        <v>5.9757810000000003E-3</v>
      </c>
      <c r="P642">
        <v>0.99650559999999999</v>
      </c>
      <c r="Q642">
        <v>-7.6303209999999996E-2</v>
      </c>
      <c r="R642">
        <v>-3.3978880000000003E-2</v>
      </c>
      <c r="S642">
        <v>2.9890750000000001</v>
      </c>
      <c r="T642">
        <v>-0.1787311</v>
      </c>
      <c r="U642">
        <v>-0.2252808</v>
      </c>
      <c r="V642">
        <v>3.9960049999999997E-2</v>
      </c>
      <c r="W642">
        <v>-5.642279E-2</v>
      </c>
      <c r="X642">
        <v>0.99760700000000002</v>
      </c>
      <c r="Y642">
        <v>8.095919E-2</v>
      </c>
      <c r="Z642">
        <v>-2.7714800000000002E-3</v>
      </c>
      <c r="AA642">
        <v>0.99671359999999998</v>
      </c>
      <c r="AB642">
        <v>45</v>
      </c>
      <c r="AC642">
        <v>0.69759999999996503</v>
      </c>
      <c r="AD642">
        <v>-6.3433000000000003E-2</v>
      </c>
      <c r="AE642">
        <v>-8.5199999999986106E-2</v>
      </c>
      <c r="AF642">
        <v>8.8645829773952106E-2</v>
      </c>
      <c r="AG642">
        <v>-6.3433000000000003E-2</v>
      </c>
      <c r="AH642">
        <v>0.69144523313336703</v>
      </c>
      <c r="AI642">
        <v>95.199309278297406</v>
      </c>
      <c r="AJ642">
        <v>82.694321581832497</v>
      </c>
      <c r="AK642">
        <v>0.69998452772055497</v>
      </c>
      <c r="AL642">
        <v>93.234505374988203</v>
      </c>
      <c r="AM642">
        <v>87.706192030675197</v>
      </c>
      <c r="AN642">
        <v>1.0000000316381901</v>
      </c>
    </row>
    <row r="643" spans="1:40" x14ac:dyDescent="0.25">
      <c r="A643" t="str">
        <f>"20190312151513027"</f>
        <v>20190312151513027</v>
      </c>
      <c r="B643" t="str">
        <f>"1552374913018310"</f>
        <v>1552374913018310</v>
      </c>
      <c r="C643" t="s">
        <v>40</v>
      </c>
      <c r="D643">
        <v>4.7227079999999999</v>
      </c>
      <c r="E643">
        <v>0.50397639999999999</v>
      </c>
      <c r="F643" t="s">
        <v>43</v>
      </c>
      <c r="G643">
        <v>-276.60079999999999</v>
      </c>
      <c r="H643" s="1">
        <v>-1.8444460000000001E-6</v>
      </c>
      <c r="I643">
        <v>367.33949999999999</v>
      </c>
      <c r="J643">
        <v>-311.8399</v>
      </c>
      <c r="K643">
        <v>1.0709090000000001</v>
      </c>
      <c r="L643">
        <v>368.94310000000002</v>
      </c>
      <c r="M643">
        <v>0.99978650000000002</v>
      </c>
      <c r="N643">
        <v>0</v>
      </c>
      <c r="O643">
        <v>6.0398040000000002E-3</v>
      </c>
      <c r="P643">
        <v>0.99654039999999999</v>
      </c>
      <c r="Q643">
        <v>-7.5977370000000002E-2</v>
      </c>
      <c r="R643">
        <v>-3.3693620000000001E-2</v>
      </c>
      <c r="S643">
        <v>2.9989620000000001</v>
      </c>
      <c r="T643">
        <v>-9.0616820000000001E-2</v>
      </c>
      <c r="U643">
        <v>-0.135437</v>
      </c>
      <c r="V643">
        <v>3.9738339999999997E-2</v>
      </c>
      <c r="W643">
        <v>-5.6253940000000002E-2</v>
      </c>
      <c r="X643">
        <v>0.9976254</v>
      </c>
      <c r="Y643">
        <v>5.1123290000000002E-2</v>
      </c>
      <c r="Z643">
        <v>-9.5420840000000004E-4</v>
      </c>
      <c r="AA643">
        <v>0.99869189999999997</v>
      </c>
      <c r="AB643">
        <v>45</v>
      </c>
      <c r="AC643">
        <v>35.239100000000001</v>
      </c>
      <c r="AD643">
        <v>-1.070910844446</v>
      </c>
      <c r="AE643">
        <v>-1.6036000000000199</v>
      </c>
      <c r="AF643">
        <v>1.8147770017812299</v>
      </c>
      <c r="AG643">
        <v>-1.070910844446</v>
      </c>
      <c r="AH643">
        <v>35.196331529961803</v>
      </c>
      <c r="AI643">
        <v>91.7404774315292</v>
      </c>
      <c r="AJ643">
        <v>87.048355349116093</v>
      </c>
      <c r="AK643">
        <v>35.259353635169397</v>
      </c>
      <c r="AL643">
        <v>93.224815565705399</v>
      </c>
      <c r="AM643">
        <v>87.718947291761097</v>
      </c>
      <c r="AN643">
        <v>1.00000004007831</v>
      </c>
    </row>
    <row r="644" spans="1:40" x14ac:dyDescent="0.25">
      <c r="A644" t="str">
        <f>"20190312151513039"</f>
        <v>20190312151513039</v>
      </c>
      <c r="B644" t="str">
        <f>"1552374913028070"</f>
        <v>1552374913028070</v>
      </c>
      <c r="C644" t="s">
        <v>40</v>
      </c>
      <c r="D644">
        <v>4.4293490000000002</v>
      </c>
      <c r="E644">
        <v>0.50374649999999999</v>
      </c>
      <c r="F644" t="s">
        <v>43</v>
      </c>
      <c r="G644">
        <v>-275.73329999999999</v>
      </c>
      <c r="H644" s="1">
        <v>-2.2177750000000001E-6</v>
      </c>
      <c r="I644">
        <v>367.33269999999999</v>
      </c>
      <c r="J644">
        <v>-311.59249999999997</v>
      </c>
      <c r="K644">
        <v>1.0699289999999999</v>
      </c>
      <c r="L644">
        <v>368.94470000000001</v>
      </c>
      <c r="M644">
        <v>0.9997895</v>
      </c>
      <c r="N644">
        <v>0</v>
      </c>
      <c r="O644">
        <v>6.1099229999999997E-3</v>
      </c>
      <c r="P644">
        <v>0.99654419999999999</v>
      </c>
      <c r="Q644">
        <v>-7.6087189999999999E-2</v>
      </c>
      <c r="R644">
        <v>-3.3325880000000002E-2</v>
      </c>
      <c r="S644">
        <v>2.9990839999999999</v>
      </c>
      <c r="T644">
        <v>-8.8951710000000003E-2</v>
      </c>
      <c r="U644">
        <v>-0.1337585</v>
      </c>
      <c r="V644">
        <v>3.9440459999999997E-2</v>
      </c>
      <c r="W644">
        <v>-5.6534809999999998E-2</v>
      </c>
      <c r="X644">
        <v>0.99762130000000004</v>
      </c>
      <c r="Y644">
        <v>5.0634800000000001E-2</v>
      </c>
      <c r="Z644">
        <v>-9.3149490000000003E-4</v>
      </c>
      <c r="AA644">
        <v>0.99871679999999996</v>
      </c>
      <c r="AB644">
        <v>45</v>
      </c>
      <c r="AC644">
        <v>35.859199999999902</v>
      </c>
      <c r="AD644">
        <v>-1.069931217775</v>
      </c>
      <c r="AE644">
        <v>-1.6120000000000201</v>
      </c>
      <c r="AF644">
        <v>1.82948348013721</v>
      </c>
      <c r="AG644">
        <v>-1.069931217775</v>
      </c>
      <c r="AH644">
        <v>35.816857773629103</v>
      </c>
      <c r="AI644">
        <v>91.7088203373048</v>
      </c>
      <c r="AJ644">
        <v>87.075939391037906</v>
      </c>
      <c r="AK644">
        <v>35.879507568962502</v>
      </c>
      <c r="AL644">
        <v>93.240934023505105</v>
      </c>
      <c r="AM644">
        <v>87.736018989112594</v>
      </c>
      <c r="AN644">
        <v>0.99999999642021897</v>
      </c>
    </row>
    <row r="645" spans="1:40" x14ac:dyDescent="0.25">
      <c r="A645" t="str">
        <f>"20190312151513052"</f>
        <v>20190312151513052</v>
      </c>
      <c r="B645" t="str">
        <f>"1552374913048566"</f>
        <v>1552374913048566</v>
      </c>
      <c r="C645" t="s">
        <v>40</v>
      </c>
      <c r="D645">
        <v>4.4167909999999999</v>
      </c>
      <c r="E645">
        <v>0.50406279999999903</v>
      </c>
      <c r="F645" t="s">
        <v>43</v>
      </c>
      <c r="G645">
        <v>-278.96800000000002</v>
      </c>
      <c r="H645" s="1">
        <v>-8.9487210000000001E-7</v>
      </c>
      <c r="I645">
        <v>367.52050000000003</v>
      </c>
      <c r="J645">
        <v>-311.31760000000003</v>
      </c>
      <c r="K645">
        <v>1.0689</v>
      </c>
      <c r="L645">
        <v>368.94639999999998</v>
      </c>
      <c r="M645">
        <v>0.99979280000000004</v>
      </c>
      <c r="N645">
        <v>0</v>
      </c>
      <c r="O645">
        <v>6.1914759999999996E-3</v>
      </c>
      <c r="P645">
        <v>0.99656719999999999</v>
      </c>
      <c r="Q645">
        <v>-7.5833620000000004E-2</v>
      </c>
      <c r="R645">
        <v>-3.3213899999999998E-2</v>
      </c>
      <c r="S645">
        <v>2.9984739999999999</v>
      </c>
      <c r="T645">
        <v>-9.8335859999999997E-2</v>
      </c>
      <c r="U645">
        <v>-0.130889899999999</v>
      </c>
      <c r="V645">
        <v>3.9409050000000001E-2</v>
      </c>
      <c r="W645">
        <v>-5.647688E-2</v>
      </c>
      <c r="X645">
        <v>0.99762580000000001</v>
      </c>
      <c r="Y645">
        <v>4.9766530000000003E-2</v>
      </c>
      <c r="Z645">
        <v>-1.018391E-3</v>
      </c>
      <c r="AA645">
        <v>0.99876030000000005</v>
      </c>
      <c r="AB645">
        <v>45</v>
      </c>
      <c r="AC645">
        <v>32.349600000000002</v>
      </c>
      <c r="AD645">
        <v>-1.0689008948720999</v>
      </c>
      <c r="AE645">
        <v>-1.42589999999995</v>
      </c>
      <c r="AF645">
        <v>1.6244320075474701</v>
      </c>
      <c r="AG645">
        <v>-1.0689008948720999</v>
      </c>
      <c r="AH645">
        <v>32.3049479639634</v>
      </c>
      <c r="AI645">
        <v>91.892712481503594</v>
      </c>
      <c r="AJ645">
        <v>87.121345882921403</v>
      </c>
      <c r="AK645">
        <v>32.363420576703398</v>
      </c>
      <c r="AL645">
        <v>93.237609640026307</v>
      </c>
      <c r="AM645">
        <v>87.737830321144898</v>
      </c>
      <c r="AN645">
        <v>0.99999997401103802</v>
      </c>
    </row>
    <row r="646" spans="1:40" x14ac:dyDescent="0.25">
      <c r="A646" t="str">
        <f>"20190312151513066"</f>
        <v>20190312151513066</v>
      </c>
      <c r="B646" t="str">
        <f>"1552374913058326"</f>
        <v>1552374913058326</v>
      </c>
      <c r="C646" t="s">
        <v>40</v>
      </c>
      <c r="D646">
        <v>4.4341869999999997</v>
      </c>
      <c r="E646">
        <v>0.50351579999999996</v>
      </c>
      <c r="F646" t="s">
        <v>43</v>
      </c>
      <c r="G646">
        <v>-277.59179999999998</v>
      </c>
      <c r="H646" s="1">
        <v>-1.399594E-6</v>
      </c>
      <c r="I646">
        <v>367.45060000000001</v>
      </c>
      <c r="J646">
        <v>-311.06279999999998</v>
      </c>
      <c r="K646">
        <v>1.0680499999999999</v>
      </c>
      <c r="L646">
        <v>368.94810000000001</v>
      </c>
      <c r="M646">
        <v>0.99979580000000001</v>
      </c>
      <c r="N646">
        <v>0</v>
      </c>
      <c r="O646">
        <v>6.2729550000000002E-3</v>
      </c>
      <c r="P646">
        <v>0.99659039999999999</v>
      </c>
      <c r="Q646">
        <v>-7.5693440000000001E-2</v>
      </c>
      <c r="R646">
        <v>-3.2841049999999997E-2</v>
      </c>
      <c r="S646">
        <v>2.9986269999999999</v>
      </c>
      <c r="T646">
        <v>-9.5037819999999995E-2</v>
      </c>
      <c r="U646">
        <v>-0.13299559999999999</v>
      </c>
      <c r="V646">
        <v>3.911647E-2</v>
      </c>
      <c r="W646">
        <v>-5.6521799999999997E-2</v>
      </c>
      <c r="X646">
        <v>0.99763480000000004</v>
      </c>
      <c r="Y646">
        <v>5.0547219999999997E-2</v>
      </c>
      <c r="Z646">
        <v>-9.9913109999999992E-4</v>
      </c>
      <c r="AA646">
        <v>0.99872119999999998</v>
      </c>
      <c r="AB646">
        <v>45</v>
      </c>
      <c r="AC646">
        <v>33.470999999999997</v>
      </c>
      <c r="AD646">
        <v>-1.068051399594</v>
      </c>
      <c r="AE646">
        <v>-1.4975000000000001</v>
      </c>
      <c r="AF646">
        <v>1.7057379838592399</v>
      </c>
      <c r="AG646">
        <v>-1.068051399594</v>
      </c>
      <c r="AH646">
        <v>33.426977286697998</v>
      </c>
      <c r="AI646">
        <v>91.827703034657304</v>
      </c>
      <c r="AJ646">
        <v>87.078799859065896</v>
      </c>
      <c r="AK646">
        <v>33.487506422353697</v>
      </c>
      <c r="AL646">
        <v>93.240187389793306</v>
      </c>
      <c r="AM646">
        <v>87.754628063901706</v>
      </c>
      <c r="AN646">
        <v>1.0000000031357701</v>
      </c>
    </row>
    <row r="647" spans="1:40" x14ac:dyDescent="0.25">
      <c r="A647" t="str">
        <f>"20190312151513078"</f>
        <v>20190312151513078</v>
      </c>
      <c r="B647" t="str">
        <f>"1552374913068086"</f>
        <v>1552374913068086</v>
      </c>
      <c r="C647" t="s">
        <v>40</v>
      </c>
      <c r="D647">
        <v>4.40266</v>
      </c>
      <c r="E647">
        <v>0.50363950000000002</v>
      </c>
      <c r="F647" t="s">
        <v>43</v>
      </c>
      <c r="G647">
        <v>-278.31319999999999</v>
      </c>
      <c r="H647" s="1">
        <v>-1.1091220000000001E-6</v>
      </c>
      <c r="I647">
        <v>367.55279999999999</v>
      </c>
      <c r="J647">
        <v>-310.80799999999999</v>
      </c>
      <c r="K647">
        <v>1.06724</v>
      </c>
      <c r="L647">
        <v>368.94979999999998</v>
      </c>
      <c r="M647">
        <v>0.99979890000000005</v>
      </c>
      <c r="N647">
        <v>0</v>
      </c>
      <c r="O647">
        <v>6.3556740000000004E-3</v>
      </c>
      <c r="P647">
        <v>0.99662059999999997</v>
      </c>
      <c r="Q647">
        <v>-7.5490950000000001E-2</v>
      </c>
      <c r="R647">
        <v>-3.2389040000000001E-2</v>
      </c>
      <c r="S647">
        <v>2.9986269999999999</v>
      </c>
      <c r="T647">
        <v>-9.7792859999999995E-2</v>
      </c>
      <c r="U647">
        <v>-0.12774659999999999</v>
      </c>
      <c r="V647">
        <v>3.874644E-2</v>
      </c>
      <c r="W647">
        <v>-5.6503739999999997E-2</v>
      </c>
      <c r="X647">
        <v>0.99765029999999999</v>
      </c>
      <c r="Y647">
        <v>4.8883969999999999E-2</v>
      </c>
      <c r="Z647">
        <v>-1.0037119999999999E-3</v>
      </c>
      <c r="AA647">
        <v>0.99880400000000003</v>
      </c>
      <c r="AB647">
        <v>45</v>
      </c>
      <c r="AC647">
        <v>32.494799999999998</v>
      </c>
      <c r="AD647">
        <v>-1.067241109122</v>
      </c>
      <c r="AE647">
        <v>-1.39699999999999</v>
      </c>
      <c r="AF647">
        <v>1.60181082406333</v>
      </c>
      <c r="AG647">
        <v>-1.067241109122</v>
      </c>
      <c r="AH647">
        <v>32.450323646777399</v>
      </c>
      <c r="AI647">
        <v>91.881401804876106</v>
      </c>
      <c r="AJ647">
        <v>87.174063091673403</v>
      </c>
      <c r="AK647">
        <v>32.507357725316403</v>
      </c>
      <c r="AL647">
        <v>93.239150851612195</v>
      </c>
      <c r="AM647">
        <v>87.775881692086102</v>
      </c>
      <c r="AN647">
        <v>1.00000004016837</v>
      </c>
    </row>
    <row r="648" spans="1:40" x14ac:dyDescent="0.25">
      <c r="A648" t="str">
        <f>"20190312151513092"</f>
        <v>20190312151513092</v>
      </c>
      <c r="B648" t="str">
        <f>"1552374913088582"</f>
        <v>1552374913088582</v>
      </c>
      <c r="C648" t="s">
        <v>40</v>
      </c>
      <c r="D648">
        <v>4.4271699999999896</v>
      </c>
      <c r="E648">
        <v>0.50365479999999996</v>
      </c>
      <c r="F648" t="s">
        <v>43</v>
      </c>
      <c r="G648">
        <v>-278.1619</v>
      </c>
      <c r="H648" s="1">
        <v>-1.157304E-6</v>
      </c>
      <c r="I648">
        <v>367.56529999999998</v>
      </c>
      <c r="J648">
        <v>-310.51920000000001</v>
      </c>
      <c r="K648">
        <v>1.0663959999999999</v>
      </c>
      <c r="L648">
        <v>368.95170000000002</v>
      </c>
      <c r="M648">
        <v>0.99980230000000003</v>
      </c>
      <c r="N648">
        <v>0</v>
      </c>
      <c r="O648">
        <v>6.4519440000000003E-3</v>
      </c>
      <c r="P648">
        <v>0.9966623</v>
      </c>
      <c r="Q648">
        <v>-7.5139699999999907E-2</v>
      </c>
      <c r="R648">
        <v>-3.1912679999999999E-2</v>
      </c>
      <c r="S648">
        <v>2.9986269999999999</v>
      </c>
      <c r="T648">
        <v>-9.8028539999999997E-2</v>
      </c>
      <c r="U648">
        <v>-0.12716669999999999</v>
      </c>
      <c r="V648">
        <v>3.8365660000000003E-2</v>
      </c>
      <c r="W648">
        <v>-5.6360229999999997E-2</v>
      </c>
      <c r="X648">
        <v>0.99767309999999998</v>
      </c>
      <c r="Y648">
        <v>4.8787200000000003E-2</v>
      </c>
      <c r="Z648">
        <v>-1.007698E-3</v>
      </c>
      <c r="AA648">
        <v>0.99880869999999999</v>
      </c>
      <c r="AB648">
        <v>45</v>
      </c>
      <c r="AC648">
        <v>32.357300000000002</v>
      </c>
      <c r="AD648">
        <v>-1.0663971573040001</v>
      </c>
      <c r="AE648">
        <v>-1.3864000000000301</v>
      </c>
      <c r="AF648">
        <v>1.5934479882888499</v>
      </c>
      <c r="AG648">
        <v>-1.0663971573040001</v>
      </c>
      <c r="AH648">
        <v>32.312647359572203</v>
      </c>
      <c r="AI648">
        <v>91.887923676641293</v>
      </c>
      <c r="AJ648">
        <v>87.176834665877095</v>
      </c>
      <c r="AK648">
        <v>32.3694834492699</v>
      </c>
      <c r="AL648">
        <v>93.230915318188494</v>
      </c>
      <c r="AM648">
        <v>87.797767829095605</v>
      </c>
      <c r="AN648">
        <v>1.00000000692824</v>
      </c>
    </row>
    <row r="649" spans="1:40" x14ac:dyDescent="0.25">
      <c r="A649" t="str">
        <f>"20190312151513104"</f>
        <v>20190312151513104</v>
      </c>
      <c r="B649" t="str">
        <f>"1552374913098342"</f>
        <v>1552374913098342</v>
      </c>
      <c r="C649" t="s">
        <v>40</v>
      </c>
      <c r="D649">
        <v>4.4698630000000001</v>
      </c>
      <c r="E649">
        <v>0.50349149999999998</v>
      </c>
      <c r="F649" t="s">
        <v>43</v>
      </c>
      <c r="G649">
        <v>-279.36079999999998</v>
      </c>
      <c r="H649" s="1">
        <v>-7.2800390000000002E-7</v>
      </c>
      <c r="I649">
        <v>367.64530000000002</v>
      </c>
      <c r="J649">
        <v>-310.28739999999999</v>
      </c>
      <c r="K649">
        <v>1.0658030000000001</v>
      </c>
      <c r="L649">
        <v>368.95330000000001</v>
      </c>
      <c r="M649">
        <v>0.99980480000000005</v>
      </c>
      <c r="N649">
        <v>0</v>
      </c>
      <c r="O649">
        <v>6.5293010000000004E-3</v>
      </c>
      <c r="P649">
        <v>0.99667620000000001</v>
      </c>
      <c r="Q649">
        <v>-7.512257E-2</v>
      </c>
      <c r="R649">
        <v>-3.1520409999999999E-2</v>
      </c>
      <c r="S649">
        <v>2.998291</v>
      </c>
      <c r="T649">
        <v>-0.10261629999999999</v>
      </c>
      <c r="U649">
        <v>-0.12570190000000001</v>
      </c>
      <c r="V649">
        <v>3.8049970000000002E-2</v>
      </c>
      <c r="W649">
        <v>-5.6505319999999998E-2</v>
      </c>
      <c r="X649">
        <v>0.99767700000000004</v>
      </c>
      <c r="Y649">
        <v>4.8379440000000003E-2</v>
      </c>
      <c r="Z649">
        <v>-1.050633E-3</v>
      </c>
      <c r="AA649">
        <v>0.99882850000000001</v>
      </c>
      <c r="AB649">
        <v>45</v>
      </c>
      <c r="AC649">
        <v>30.926600000000001</v>
      </c>
      <c r="AD649">
        <v>-1.0658037280039001</v>
      </c>
      <c r="AE649">
        <v>-1.3079999999999901</v>
      </c>
      <c r="AF649">
        <v>1.5081483457728599</v>
      </c>
      <c r="AG649">
        <v>-1.0658037280039001</v>
      </c>
      <c r="AH649">
        <v>30.880788504417399</v>
      </c>
      <c r="AI649">
        <v>91.974341331402798</v>
      </c>
      <c r="AJ649">
        <v>87.204024333201701</v>
      </c>
      <c r="AK649">
        <v>30.9359588129096</v>
      </c>
      <c r="AL649">
        <v>93.239241576663204</v>
      </c>
      <c r="AM649">
        <v>87.815879698342599</v>
      </c>
      <c r="AN649">
        <v>1.00000002386715</v>
      </c>
    </row>
    <row r="650" spans="1:40" x14ac:dyDescent="0.25">
      <c r="A650" t="str">
        <f>"20190312151513115"</f>
        <v>20190312151513115</v>
      </c>
      <c r="B650" t="str">
        <f>"1552374913108102"</f>
        <v>1552374913108102</v>
      </c>
      <c r="C650" t="s">
        <v>40</v>
      </c>
      <c r="D650">
        <v>4.7421290000000003</v>
      </c>
      <c r="E650">
        <v>0.50354690000000002</v>
      </c>
      <c r="F650" t="s">
        <v>43</v>
      </c>
      <c r="G650">
        <v>-279.2176</v>
      </c>
      <c r="H650" s="1">
        <v>-7.6851209999999999E-7</v>
      </c>
      <c r="I650">
        <v>367.67630000000003</v>
      </c>
      <c r="J650">
        <v>-310.05930000000001</v>
      </c>
      <c r="K650">
        <v>1.0652349999999999</v>
      </c>
      <c r="L650">
        <v>368.95479999999998</v>
      </c>
      <c r="M650">
        <v>0.99980709999999995</v>
      </c>
      <c r="N650">
        <v>0</v>
      </c>
      <c r="O650">
        <v>6.6049510000000004E-3</v>
      </c>
      <c r="P650">
        <v>0.99669640000000004</v>
      </c>
      <c r="Q650">
        <v>-7.4945579999999998E-2</v>
      </c>
      <c r="R650">
        <v>-3.1298819999999998E-2</v>
      </c>
      <c r="S650">
        <v>2.998383</v>
      </c>
      <c r="T650">
        <v>-0.1028546</v>
      </c>
      <c r="U650">
        <v>-0.12323000000000001</v>
      </c>
      <c r="V650">
        <v>3.7903480000000003E-2</v>
      </c>
      <c r="W650">
        <v>-5.6486170000000002E-2</v>
      </c>
      <c r="X650">
        <v>0.9976836</v>
      </c>
      <c r="Y650">
        <v>4.7631920000000001E-2</v>
      </c>
      <c r="Z650">
        <v>-1.0428379999999999E-3</v>
      </c>
      <c r="AA650">
        <v>0.99886439999999999</v>
      </c>
      <c r="AB650">
        <v>45</v>
      </c>
      <c r="AC650">
        <v>30.841699999999999</v>
      </c>
      <c r="AD650">
        <v>-1.0652357685120999</v>
      </c>
      <c r="AE650">
        <v>-1.27849999999995</v>
      </c>
      <c r="AF650">
        <v>1.4804518314867701</v>
      </c>
      <c r="AG650">
        <v>-1.0652357685120999</v>
      </c>
      <c r="AH650">
        <v>30.795906815440901</v>
      </c>
      <c r="AI650">
        <v>91.978797738966094</v>
      </c>
      <c r="AJ650">
        <v>87.247738480091897</v>
      </c>
      <c r="AK650">
        <v>30.849867770432901</v>
      </c>
      <c r="AL650">
        <v>93.238142803119402</v>
      </c>
      <c r="AM650">
        <v>87.824294707124693</v>
      </c>
      <c r="AN650">
        <v>0.99999996345316899</v>
      </c>
    </row>
    <row r="651" spans="1:40" x14ac:dyDescent="0.25">
      <c r="A651" t="str">
        <f>"20190312151513126"</f>
        <v>20190312151513126</v>
      </c>
      <c r="B651" t="str">
        <f>"1552374913117862"</f>
        <v>1552374913117862</v>
      </c>
      <c r="C651" t="s">
        <v>40</v>
      </c>
      <c r="D651">
        <v>4.4396659999999999</v>
      </c>
      <c r="E651">
        <v>0.50357089999999904</v>
      </c>
      <c r="F651" t="s">
        <v>43</v>
      </c>
      <c r="G651">
        <v>-278.04239999999999</v>
      </c>
      <c r="H651" s="1">
        <v>-1.1777719999999901E-6</v>
      </c>
      <c r="I651">
        <v>367.64120000000003</v>
      </c>
      <c r="J651">
        <v>-309.84030000000001</v>
      </c>
      <c r="K651">
        <v>1.0647489999999999</v>
      </c>
      <c r="L651">
        <v>368.9563</v>
      </c>
      <c r="M651">
        <v>0.99980930000000001</v>
      </c>
      <c r="N651">
        <v>0</v>
      </c>
      <c r="O651">
        <v>6.6759940000000002E-3</v>
      </c>
      <c r="P651">
        <v>0.99670539999999996</v>
      </c>
      <c r="Q651">
        <v>-7.4844399999999894E-2</v>
      </c>
      <c r="R651">
        <v>-3.1251729999999998E-2</v>
      </c>
      <c r="S651">
        <v>2.9985659999999998</v>
      </c>
      <c r="T651">
        <v>-9.9765060000000003E-2</v>
      </c>
      <c r="U651">
        <v>-0.1230164</v>
      </c>
      <c r="V651">
        <v>3.7927210000000003E-2</v>
      </c>
      <c r="W651">
        <v>-5.6531390000000001E-2</v>
      </c>
      <c r="X651">
        <v>0.99768020000000002</v>
      </c>
      <c r="Y651">
        <v>4.7631180000000002E-2</v>
      </c>
      <c r="Z651">
        <v>-1.0138199999999999E-3</v>
      </c>
      <c r="AA651">
        <v>0.99886450000000004</v>
      </c>
      <c r="AB651">
        <v>45</v>
      </c>
      <c r="AC651">
        <v>31.797899999999998</v>
      </c>
      <c r="AD651">
        <v>-1.0647501777720001</v>
      </c>
      <c r="AE651">
        <v>-1.31509999999997</v>
      </c>
      <c r="AF651">
        <v>1.5256812962359001</v>
      </c>
      <c r="AG651">
        <v>-1.0647501777720001</v>
      </c>
      <c r="AH651">
        <v>31.752868285563199</v>
      </c>
      <c r="AI651">
        <v>91.918334447209503</v>
      </c>
      <c r="AJ651">
        <v>87.249132879891704</v>
      </c>
      <c r="AK651">
        <v>31.8073268401963</v>
      </c>
      <c r="AL651">
        <v>93.240737660818894</v>
      </c>
      <c r="AM651">
        <v>87.8229264747971</v>
      </c>
      <c r="AN651">
        <v>1.0000000263928699</v>
      </c>
    </row>
    <row r="652" spans="1:40" x14ac:dyDescent="0.25">
      <c r="A652" t="str">
        <f>"20190312151513137"</f>
        <v>20190312151513137</v>
      </c>
      <c r="B652" t="str">
        <f>"1552374913128597"</f>
        <v>1552374913128597</v>
      </c>
      <c r="C652" t="s">
        <v>40</v>
      </c>
      <c r="D652">
        <v>4.4472019999999999</v>
      </c>
      <c r="E652">
        <v>0.50363820000000004</v>
      </c>
      <c r="F652" t="s">
        <v>43</v>
      </c>
      <c r="G652">
        <v>-276.7183</v>
      </c>
      <c r="H652" s="1">
        <v>-1.748321E-6</v>
      </c>
      <c r="I652">
        <v>367.59719999999999</v>
      </c>
      <c r="J652">
        <v>-309.63560000000001</v>
      </c>
      <c r="K652">
        <v>1.0643210000000001</v>
      </c>
      <c r="L652">
        <v>368.95769999999999</v>
      </c>
      <c r="M652">
        <v>0.99981129999999996</v>
      </c>
      <c r="N652">
        <v>0</v>
      </c>
      <c r="O652">
        <v>6.7414989999999998E-3</v>
      </c>
      <c r="P652">
        <v>0.99671869999999996</v>
      </c>
      <c r="Q652">
        <v>-7.4821170000000006E-2</v>
      </c>
      <c r="R652">
        <v>-3.0884470000000001E-2</v>
      </c>
      <c r="S652">
        <v>2.9988100000000002</v>
      </c>
      <c r="T652">
        <v>-9.6400379999999994E-2</v>
      </c>
      <c r="U652">
        <v>-0.1230469</v>
      </c>
      <c r="V652">
        <v>3.7625110000000003E-2</v>
      </c>
      <c r="W652">
        <v>-5.6642140000000001E-2</v>
      </c>
      <c r="X652">
        <v>0.9976853</v>
      </c>
      <c r="Y652">
        <v>4.7705350000000001E-2</v>
      </c>
      <c r="Z652">
        <v>-9.8286199999999993E-4</v>
      </c>
      <c r="AA652">
        <v>0.998861</v>
      </c>
      <c r="AB652">
        <v>45</v>
      </c>
      <c r="AC652">
        <v>32.917299999999997</v>
      </c>
      <c r="AD652">
        <v>-1.0643227483209901</v>
      </c>
      <c r="AE652">
        <v>-1.3605</v>
      </c>
      <c r="AF652">
        <v>1.5807680790507299</v>
      </c>
      <c r="AG652">
        <v>-1.0643227483209901</v>
      </c>
      <c r="AH652">
        <v>32.873070251656898</v>
      </c>
      <c r="AI652">
        <v>91.852263779777104</v>
      </c>
      <c r="AJ652">
        <v>87.246937262341405</v>
      </c>
      <c r="AK652">
        <v>32.928260786180502</v>
      </c>
      <c r="AL652">
        <v>93.247093537373402</v>
      </c>
      <c r="AM652">
        <v>87.840261968610406</v>
      </c>
      <c r="AN652">
        <v>0.99999996938118996</v>
      </c>
    </row>
    <row r="653" spans="1:40" x14ac:dyDescent="0.25">
      <c r="A653" t="str">
        <f>"20190312151513148"</f>
        <v>20190312151513148</v>
      </c>
      <c r="B653" t="str">
        <f>"1552374913138358"</f>
        <v>1552374913138358</v>
      </c>
      <c r="C653" t="s">
        <v>40</v>
      </c>
      <c r="D653">
        <v>4.4265639999999999</v>
      </c>
      <c r="E653">
        <v>0.50364819999999999</v>
      </c>
      <c r="F653" t="s">
        <v>43</v>
      </c>
      <c r="G653">
        <v>-277.08600000000001</v>
      </c>
      <c r="H653" s="1">
        <v>-1.5851719999999999E-6</v>
      </c>
      <c r="I653">
        <v>367.6277</v>
      </c>
      <c r="J653">
        <v>-309.41160000000002</v>
      </c>
      <c r="K653">
        <v>1.0638909999999999</v>
      </c>
      <c r="L653">
        <v>368.95929999999998</v>
      </c>
      <c r="M653">
        <v>0.99981359999999997</v>
      </c>
      <c r="N653">
        <v>0</v>
      </c>
      <c r="O653">
        <v>6.8120200000000002E-3</v>
      </c>
      <c r="P653">
        <v>0.99672989999999995</v>
      </c>
      <c r="Q653">
        <v>-7.4707209999999996E-2</v>
      </c>
      <c r="R653">
        <v>-3.079753E-2</v>
      </c>
      <c r="S653">
        <v>2.9987180000000002</v>
      </c>
      <c r="T653">
        <v>-9.8053100000000004E-2</v>
      </c>
      <c r="U653">
        <v>-0.1225281</v>
      </c>
      <c r="V653">
        <v>3.7608620000000002E-2</v>
      </c>
      <c r="W653">
        <v>-5.6669780000000003E-2</v>
      </c>
      <c r="X653">
        <v>0.99768440000000003</v>
      </c>
      <c r="Y653">
        <v>4.760354E-2</v>
      </c>
      <c r="Z653">
        <v>-1.0003779999999999E-3</v>
      </c>
      <c r="AA653">
        <v>0.99886580000000003</v>
      </c>
      <c r="AB653">
        <v>45</v>
      </c>
      <c r="AC653">
        <v>32.325600000000001</v>
      </c>
      <c r="AD653">
        <v>-1.063892585172</v>
      </c>
      <c r="AE653">
        <v>-1.3315999999999799</v>
      </c>
      <c r="AF653">
        <v>1.55013143566692</v>
      </c>
      <c r="AG653">
        <v>-1.063892585172</v>
      </c>
      <c r="AH653">
        <v>32.280870467387302</v>
      </c>
      <c r="AI653">
        <v>91.885463894925095</v>
      </c>
      <c r="AJ653">
        <v>87.250761392811498</v>
      </c>
      <c r="AK653">
        <v>32.335574419404701</v>
      </c>
      <c r="AL653">
        <v>93.248679585290901</v>
      </c>
      <c r="AM653">
        <v>87.841205678108807</v>
      </c>
      <c r="AN653">
        <v>1.00000001713345</v>
      </c>
    </row>
    <row r="654" spans="1:40" x14ac:dyDescent="0.25">
      <c r="A654" t="str">
        <f>"20190312151513160"</f>
        <v>20190312151513160</v>
      </c>
      <c r="B654" t="str">
        <f>"1552374913148639"</f>
        <v>1552374913148639</v>
      </c>
      <c r="C654" t="s">
        <v>40</v>
      </c>
      <c r="D654">
        <v>4.4676439999999999</v>
      </c>
      <c r="E654">
        <v>0.50367050000000002</v>
      </c>
      <c r="F654" t="s">
        <v>43</v>
      </c>
      <c r="G654">
        <v>-277.39269999999999</v>
      </c>
      <c r="H654" s="1">
        <v>-1.4490269999999999E-6</v>
      </c>
      <c r="I654">
        <v>367.65350000000001</v>
      </c>
      <c r="J654">
        <v>-309.1746</v>
      </c>
      <c r="K654">
        <v>1.0634749999999999</v>
      </c>
      <c r="L654">
        <v>368.96100000000001</v>
      </c>
      <c r="M654">
        <v>0.99981560000000003</v>
      </c>
      <c r="N654">
        <v>0</v>
      </c>
      <c r="O654">
        <v>6.885543E-3</v>
      </c>
      <c r="P654">
        <v>0.99672490000000002</v>
      </c>
      <c r="Q654">
        <v>-7.4852849999999999E-2</v>
      </c>
      <c r="R654">
        <v>-3.0603470000000001E-2</v>
      </c>
      <c r="S654">
        <v>2.998596</v>
      </c>
      <c r="T654">
        <v>-9.9634169999999994E-2</v>
      </c>
      <c r="U654">
        <v>-0.1222839</v>
      </c>
      <c r="V654">
        <v>3.748783E-2</v>
      </c>
      <c r="W654">
        <v>-5.6959900000000001E-2</v>
      </c>
      <c r="X654">
        <v>0.99767240000000001</v>
      </c>
      <c r="Y654">
        <v>4.7596470000000002E-2</v>
      </c>
      <c r="Z654">
        <v>-1.0188669999999999E-3</v>
      </c>
      <c r="AA654">
        <v>0.99886609999999998</v>
      </c>
      <c r="AB654">
        <v>45</v>
      </c>
      <c r="AC654">
        <v>31.7819</v>
      </c>
      <c r="AD654">
        <v>-1.0634764490269999</v>
      </c>
      <c r="AE654">
        <v>-1.3075000000000001</v>
      </c>
      <c r="AF654">
        <v>1.5246355765469899</v>
      </c>
      <c r="AG654">
        <v>-1.0634764490269999</v>
      </c>
      <c r="AH654">
        <v>31.7366670095141</v>
      </c>
      <c r="AI654">
        <v>91.917019477800807</v>
      </c>
      <c r="AJ654">
        <v>87.249614285982403</v>
      </c>
      <c r="AK654">
        <v>31.7910605150518</v>
      </c>
      <c r="AL654">
        <v>93.265329210073901</v>
      </c>
      <c r="AM654">
        <v>87.848106828326095</v>
      </c>
      <c r="AN654">
        <v>0.99999999266393902</v>
      </c>
    </row>
    <row r="655" spans="1:40" x14ac:dyDescent="0.25">
      <c r="A655" t="str">
        <f>"20190312151513171"</f>
        <v>20190312151513171</v>
      </c>
      <c r="B655" t="str">
        <f>"1552374913168144"</f>
        <v>1552374913168144</v>
      </c>
      <c r="C655" t="s">
        <v>40</v>
      </c>
      <c r="D655">
        <v>4.4549770000000004</v>
      </c>
      <c r="E655">
        <v>0.50385740000000001</v>
      </c>
      <c r="F655" t="s">
        <v>43</v>
      </c>
      <c r="G655">
        <v>-277.78590000000003</v>
      </c>
      <c r="H655" s="1">
        <v>-1.2739349999999999E-6</v>
      </c>
      <c r="I655">
        <v>367.68950000000001</v>
      </c>
      <c r="J655">
        <v>-308.95119999999997</v>
      </c>
      <c r="K655">
        <v>1.0631079999999999</v>
      </c>
      <c r="L655">
        <v>368.96260000000001</v>
      </c>
      <c r="M655">
        <v>0.99981739999999997</v>
      </c>
      <c r="N655">
        <v>0</v>
      </c>
      <c r="O655">
        <v>6.9542500000000004E-3</v>
      </c>
      <c r="P655">
        <v>0.99674490000000004</v>
      </c>
      <c r="Q655">
        <v>-7.4647640000000001E-2</v>
      </c>
      <c r="R655">
        <v>-3.045113E-2</v>
      </c>
      <c r="S655">
        <v>2.9985050000000002</v>
      </c>
      <c r="T655">
        <v>-0.10159169999999999</v>
      </c>
      <c r="U655">
        <v>-0.121459999999999</v>
      </c>
      <c r="V655">
        <v>3.7404149999999997E-2</v>
      </c>
      <c r="W655">
        <v>-5.6886949999999999E-2</v>
      </c>
      <c r="X655">
        <v>0.99767969999999895</v>
      </c>
      <c r="Y655">
        <v>4.739119E-2</v>
      </c>
      <c r="Z655">
        <v>-1.037762E-3</v>
      </c>
      <c r="AA655">
        <v>0.99887590000000004</v>
      </c>
      <c r="AB655">
        <v>45</v>
      </c>
      <c r="AC655">
        <v>31.165299999999899</v>
      </c>
      <c r="AD655">
        <v>-1.0631092739350001</v>
      </c>
      <c r="AE655">
        <v>-1.2730999999999899</v>
      </c>
      <c r="AF655">
        <v>1.48810611843414</v>
      </c>
      <c r="AG655">
        <v>-1.0631092739350001</v>
      </c>
      <c r="AH655">
        <v>31.119540130787399</v>
      </c>
      <c r="AI655">
        <v>91.954352579063496</v>
      </c>
      <c r="AJ655">
        <v>87.262257084135996</v>
      </c>
      <c r="AK655">
        <v>31.173232734186101</v>
      </c>
      <c r="AL655">
        <v>93.261142704513802</v>
      </c>
      <c r="AM655">
        <v>87.852921459915706</v>
      </c>
      <c r="AN655">
        <v>0.99999998965480696</v>
      </c>
    </row>
    <row r="656" spans="1:40" x14ac:dyDescent="0.25">
      <c r="A656" t="str">
        <f>"20190312151513181"</f>
        <v>20190312151513181</v>
      </c>
      <c r="B656" t="str">
        <f>"1552374913177905"</f>
        <v>1552374913177905</v>
      </c>
      <c r="C656" t="s">
        <v>40</v>
      </c>
      <c r="D656">
        <v>4.5699889999999996</v>
      </c>
      <c r="E656">
        <v>0.50394220000000001</v>
      </c>
      <c r="F656" t="s">
        <v>43</v>
      </c>
      <c r="G656">
        <v>-278.22219999999999</v>
      </c>
      <c r="H656" s="1">
        <v>-1.100165E-6</v>
      </c>
      <c r="I656">
        <v>367.7029</v>
      </c>
      <c r="J656">
        <v>-308.7414</v>
      </c>
      <c r="K656">
        <v>1.0628040000000001</v>
      </c>
      <c r="L656">
        <v>368.96409999999997</v>
      </c>
      <c r="M656">
        <v>0.99981920000000002</v>
      </c>
      <c r="N656">
        <v>0</v>
      </c>
      <c r="O656">
        <v>7.0181019999999896E-3</v>
      </c>
      <c r="P656">
        <v>0.99676920000000002</v>
      </c>
      <c r="Q656">
        <v>-7.4326500000000004E-2</v>
      </c>
      <c r="R656">
        <v>-3.0441599999999999E-2</v>
      </c>
      <c r="S656">
        <v>2.99823</v>
      </c>
      <c r="T656">
        <v>-0.10372720000000001</v>
      </c>
      <c r="U656">
        <v>-0.1228943</v>
      </c>
      <c r="V656">
        <v>3.7458520000000002E-2</v>
      </c>
      <c r="W656">
        <v>-5.6682589999999998E-2</v>
      </c>
      <c r="X656">
        <v>0.9976893</v>
      </c>
      <c r="Y656">
        <v>4.7934039999999997E-2</v>
      </c>
      <c r="Z656">
        <v>-1.0712409999999999E-3</v>
      </c>
      <c r="AA656">
        <v>0.99884989999999996</v>
      </c>
      <c r="AB656">
        <v>45</v>
      </c>
      <c r="AC656">
        <v>30.519200000000001</v>
      </c>
      <c r="AD656">
        <v>-1.0628051001650001</v>
      </c>
      <c r="AE656">
        <v>-1.2611999999999699</v>
      </c>
      <c r="AF656">
        <v>1.47360521798535</v>
      </c>
      <c r="AG656">
        <v>-1.0628051001650001</v>
      </c>
      <c r="AH656">
        <v>30.4727036586205</v>
      </c>
      <c r="AI656">
        <v>91.995181789144993</v>
      </c>
      <c r="AJ656">
        <v>87.231435775984906</v>
      </c>
      <c r="AK656">
        <v>30.526819934043498</v>
      </c>
      <c r="AL656">
        <v>93.249414788004003</v>
      </c>
      <c r="AM656">
        <v>87.849824102743796</v>
      </c>
      <c r="AN656">
        <v>0.99999999803209405</v>
      </c>
    </row>
    <row r="657" spans="1:40" x14ac:dyDescent="0.25">
      <c r="A657" t="str">
        <f>"20190312151513193"</f>
        <v>20190312151513193</v>
      </c>
      <c r="B657" t="str">
        <f>"1552374913188640"</f>
        <v>1552374913188640</v>
      </c>
      <c r="C657" t="s">
        <v>40</v>
      </c>
      <c r="D657">
        <v>4.484305</v>
      </c>
      <c r="E657">
        <v>0.50403520000000002</v>
      </c>
      <c r="F657" t="s">
        <v>43</v>
      </c>
      <c r="G657">
        <v>-277.89980000000003</v>
      </c>
      <c r="H657" s="1">
        <v>-1.2244850000000001E-6</v>
      </c>
      <c r="I657">
        <v>367.69290000000001</v>
      </c>
      <c r="J657">
        <v>-308.51190000000003</v>
      </c>
      <c r="K657">
        <v>1.062481</v>
      </c>
      <c r="L657">
        <v>368.96570000000003</v>
      </c>
      <c r="M657">
        <v>0.99982079999999995</v>
      </c>
      <c r="N657">
        <v>0</v>
      </c>
      <c r="O657">
        <v>7.0880469999999897E-3</v>
      </c>
      <c r="P657">
        <v>0.99677890000000002</v>
      </c>
      <c r="Q657">
        <v>-7.4170490000000006E-2</v>
      </c>
      <c r="R657">
        <v>-3.0503659999999998E-2</v>
      </c>
      <c r="S657">
        <v>2.9982600000000001</v>
      </c>
      <c r="T657">
        <v>-0.10331989999999899</v>
      </c>
      <c r="U657">
        <v>-0.1235657</v>
      </c>
      <c r="V657">
        <v>3.7590409999999998E-2</v>
      </c>
      <c r="W657">
        <v>-5.6652769999999998E-2</v>
      </c>
      <c r="X657">
        <v>0.99768599999999996</v>
      </c>
      <c r="Y657">
        <v>4.8226810000000002E-2</v>
      </c>
      <c r="Z657">
        <v>-1.074471E-3</v>
      </c>
      <c r="AA657">
        <v>0.9988359</v>
      </c>
      <c r="AB657">
        <v>45</v>
      </c>
      <c r="AC657">
        <v>30.612100000000002</v>
      </c>
      <c r="AD657">
        <v>-1.0624822244850001</v>
      </c>
      <c r="AE657">
        <v>-1.2728000000000099</v>
      </c>
      <c r="AF657">
        <v>1.48799205622724</v>
      </c>
      <c r="AG657">
        <v>-1.0624822244850001</v>
      </c>
      <c r="AH657">
        <v>30.565550788654001</v>
      </c>
      <c r="AI657">
        <v>91.988491076918606</v>
      </c>
      <c r="AJ657">
        <v>87.212927364305898</v>
      </c>
      <c r="AK657">
        <v>30.620187521478801</v>
      </c>
      <c r="AL657">
        <v>93.247703585551406</v>
      </c>
      <c r="AM657">
        <v>87.8422534297884</v>
      </c>
      <c r="AN657">
        <v>0.99999996493431897</v>
      </c>
    </row>
    <row r="658" spans="1:40" x14ac:dyDescent="0.25">
      <c r="A658" t="str">
        <f>"20190312151513204"</f>
        <v>20190312151513204</v>
      </c>
      <c r="B658" t="str">
        <f>"1552374913198400"</f>
        <v>1552374913198400</v>
      </c>
      <c r="C658" t="s">
        <v>40</v>
      </c>
      <c r="D658">
        <v>4.5129679999999999</v>
      </c>
      <c r="E658">
        <v>0.5040327</v>
      </c>
      <c r="F658" t="s">
        <v>43</v>
      </c>
      <c r="G658">
        <v>-277.79109999999997</v>
      </c>
      <c r="H658" s="1">
        <v>-1.2716199999999999E-6</v>
      </c>
      <c r="I658">
        <v>367.69009999999997</v>
      </c>
      <c r="J658">
        <v>-308.28289999999998</v>
      </c>
      <c r="K658">
        <v>1.0622039999999999</v>
      </c>
      <c r="L658">
        <v>368.9674</v>
      </c>
      <c r="M658">
        <v>0.9998224</v>
      </c>
      <c r="N658">
        <v>0</v>
      </c>
      <c r="O658">
        <v>7.1577790000000004E-3</v>
      </c>
      <c r="P658">
        <v>0.99680500000000005</v>
      </c>
      <c r="Q658">
        <v>-7.3803740000000007E-2</v>
      </c>
      <c r="R658">
        <v>-3.0548140000000001E-2</v>
      </c>
      <c r="S658">
        <v>2.9981689999999999</v>
      </c>
      <c r="T658">
        <v>-0.10369150000000001</v>
      </c>
      <c r="U658">
        <v>-0.1244812</v>
      </c>
      <c r="V658">
        <v>3.7704290000000001E-2</v>
      </c>
      <c r="W658">
        <v>-5.640278E-2</v>
      </c>
      <c r="X658">
        <v>0.99769589999999997</v>
      </c>
      <c r="Y658">
        <v>4.8601699999999998E-2</v>
      </c>
      <c r="Z658">
        <v>-1.087247E-3</v>
      </c>
      <c r="AA658">
        <v>0.99881759999999997</v>
      </c>
      <c r="AB658">
        <v>44</v>
      </c>
      <c r="AC658">
        <v>30.491800000000001</v>
      </c>
      <c r="AD658">
        <v>-1.0622052716199999</v>
      </c>
      <c r="AE658">
        <v>-1.2773000000000201</v>
      </c>
      <c r="AF658">
        <v>1.49374448032082</v>
      </c>
      <c r="AG658">
        <v>-1.0622052716199999</v>
      </c>
      <c r="AH658">
        <v>30.444993409075298</v>
      </c>
      <c r="AI658">
        <v>91.995801753295396</v>
      </c>
      <c r="AJ658">
        <v>87.191108656735096</v>
      </c>
      <c r="AK658">
        <v>30.5001176438745</v>
      </c>
      <c r="AL658">
        <v>93.233357166773004</v>
      </c>
      <c r="AM658">
        <v>87.835744207388601</v>
      </c>
      <c r="AN658">
        <v>0.99999999797647099</v>
      </c>
    </row>
    <row r="659" spans="1:40" x14ac:dyDescent="0.25">
      <c r="A659" t="str">
        <f>"20190312151513215"</f>
        <v>20190312151513215</v>
      </c>
      <c r="B659" t="str">
        <f>"1552374913208160"</f>
        <v>1552374913208160</v>
      </c>
      <c r="C659" t="s">
        <v>40</v>
      </c>
      <c r="D659">
        <v>4.8440310000000002</v>
      </c>
      <c r="E659">
        <v>0.50411249999999996</v>
      </c>
      <c r="F659" t="s">
        <v>43</v>
      </c>
      <c r="G659">
        <v>-277.28489999999999</v>
      </c>
      <c r="H659" s="1">
        <v>-1.490931E-6</v>
      </c>
      <c r="I659">
        <v>367.67779999999999</v>
      </c>
      <c r="J659">
        <v>-308.06560000000002</v>
      </c>
      <c r="K659">
        <v>1.061952</v>
      </c>
      <c r="L659">
        <v>368.96899999999999</v>
      </c>
      <c r="M659">
        <v>0.99982389999999999</v>
      </c>
      <c r="N659">
        <v>0</v>
      </c>
      <c r="O659">
        <v>7.2242130000000002E-3</v>
      </c>
      <c r="P659">
        <v>0.99681010000000003</v>
      </c>
      <c r="Q659">
        <v>-7.369821E-2</v>
      </c>
      <c r="R659">
        <v>-3.0632659999999999E-2</v>
      </c>
      <c r="S659">
        <v>2.9981990000000001</v>
      </c>
      <c r="T659">
        <v>-0.102739</v>
      </c>
      <c r="U659">
        <v>-0.1247253</v>
      </c>
      <c r="V659">
        <v>3.7855199999999999E-2</v>
      </c>
      <c r="W659">
        <v>-5.6406020000000001E-2</v>
      </c>
      <c r="X659">
        <v>0.99768999999999997</v>
      </c>
      <c r="Y659">
        <v>4.8749309999999997E-2</v>
      </c>
      <c r="Z659">
        <v>-1.082055E-3</v>
      </c>
      <c r="AA659">
        <v>0.99881050000000005</v>
      </c>
      <c r="AB659">
        <v>44</v>
      </c>
      <c r="AC659">
        <v>30.7807</v>
      </c>
      <c r="AD659">
        <v>-1.061953490931</v>
      </c>
      <c r="AE659">
        <v>-1.2911999999999999</v>
      </c>
      <c r="AF659">
        <v>1.5117697007948501</v>
      </c>
      <c r="AG659">
        <v>-1.061953490931</v>
      </c>
      <c r="AH659">
        <v>30.734048960034599</v>
      </c>
      <c r="AI659">
        <v>91.976565724314796</v>
      </c>
      <c r="AJ659">
        <v>87.183961462795907</v>
      </c>
      <c r="AK659">
        <v>30.789526763543201</v>
      </c>
      <c r="AL659">
        <v>93.233543108540402</v>
      </c>
      <c r="AM659">
        <v>87.827077304505394</v>
      </c>
      <c r="AN659">
        <v>0.99999999567964004</v>
      </c>
    </row>
    <row r="660" spans="1:40" x14ac:dyDescent="0.25">
      <c r="A660" t="str">
        <f>"20190312151513226"</f>
        <v>20190312151513226</v>
      </c>
      <c r="B660" t="str">
        <f>"1552374913217920"</f>
        <v>1552374913217920</v>
      </c>
      <c r="C660" t="s">
        <v>40</v>
      </c>
      <c r="D660">
        <v>4.5064739999999999</v>
      </c>
      <c r="E660">
        <v>0.50419619999999998</v>
      </c>
      <c r="F660" t="s">
        <v>43</v>
      </c>
      <c r="G660">
        <v>-276.44639999999998</v>
      </c>
      <c r="H660" s="1">
        <v>-1.8561399999999999E-6</v>
      </c>
      <c r="I660">
        <v>367.64690000000002</v>
      </c>
      <c r="J660">
        <v>-307.84010000000001</v>
      </c>
      <c r="K660">
        <v>1.0617179999999999</v>
      </c>
      <c r="L660">
        <v>368.97059999999999</v>
      </c>
      <c r="M660">
        <v>0.99982510000000002</v>
      </c>
      <c r="N660">
        <v>0</v>
      </c>
      <c r="O660">
        <v>7.2938329999999996E-3</v>
      </c>
      <c r="P660">
        <v>0.99681969999999998</v>
      </c>
      <c r="Q660">
        <v>-7.3518020000000003E-2</v>
      </c>
      <c r="R660">
        <v>-3.075375E-2</v>
      </c>
      <c r="S660">
        <v>2.998291</v>
      </c>
      <c r="T660">
        <v>-0.10069939999999999</v>
      </c>
      <c r="U660">
        <v>-0.12536620000000001</v>
      </c>
      <c r="V660">
        <v>3.8045540000000003E-2</v>
      </c>
      <c r="W660">
        <v>-5.6332010000000002E-2</v>
      </c>
      <c r="X660">
        <v>0.99768690000000004</v>
      </c>
      <c r="Y660">
        <v>4.9031789999999999E-2</v>
      </c>
      <c r="Z660">
        <v>-1.0676259999999999E-3</v>
      </c>
      <c r="AA660">
        <v>0.99879660000000003</v>
      </c>
      <c r="AB660">
        <v>44</v>
      </c>
      <c r="AC660">
        <v>31.393699999999999</v>
      </c>
      <c r="AD660">
        <v>-1.0617198561400001</v>
      </c>
      <c r="AE660">
        <v>-1.3236999999999699</v>
      </c>
      <c r="AF660">
        <v>1.5509084267409099</v>
      </c>
      <c r="AG660">
        <v>-1.0617198561400001</v>
      </c>
      <c r="AH660">
        <v>31.347418099409801</v>
      </c>
      <c r="AI660">
        <v>91.937467128471397</v>
      </c>
      <c r="AJ660">
        <v>87.167610097087305</v>
      </c>
      <c r="AK660">
        <v>31.403712957232699</v>
      </c>
      <c r="AL660">
        <v>93.229296028112401</v>
      </c>
      <c r="AM660">
        <v>87.816155389589397</v>
      </c>
      <c r="AN660">
        <v>0.999999954448069</v>
      </c>
    </row>
    <row r="661" spans="1:40" x14ac:dyDescent="0.25">
      <c r="A661" t="str">
        <f>"20190312151513240"</f>
        <v>20190312151513240</v>
      </c>
      <c r="B661" t="str">
        <f>"1552374913228656"</f>
        <v>1552374913228656</v>
      </c>
      <c r="C661" t="s">
        <v>40</v>
      </c>
      <c r="D661">
        <v>4.5057130000000001</v>
      </c>
      <c r="E661">
        <v>0.50425509999999996</v>
      </c>
      <c r="F661" t="s">
        <v>43</v>
      </c>
      <c r="G661">
        <v>-275.7715</v>
      </c>
      <c r="H661" s="1">
        <v>-2.150778E-6</v>
      </c>
      <c r="I661">
        <v>367.61799999999999</v>
      </c>
      <c r="J661">
        <v>-307.58049999999997</v>
      </c>
      <c r="K661">
        <v>1.061472</v>
      </c>
      <c r="L661">
        <v>368.9726</v>
      </c>
      <c r="M661">
        <v>0.99982660000000001</v>
      </c>
      <c r="N661">
        <v>0</v>
      </c>
      <c r="O661">
        <v>7.3740819999999997E-3</v>
      </c>
      <c r="P661">
        <v>0.99683129999999998</v>
      </c>
      <c r="Q661">
        <v>-7.3318090000000002E-2</v>
      </c>
      <c r="R661">
        <v>-3.0851920000000001E-2</v>
      </c>
      <c r="S661">
        <v>2.9983520000000001</v>
      </c>
      <c r="T661">
        <v>-9.9268789999999996E-2</v>
      </c>
      <c r="U661">
        <v>-0.12646479999999999</v>
      </c>
      <c r="V661">
        <v>3.8223899999999998E-2</v>
      </c>
      <c r="W661">
        <v>-5.6248649999999997E-2</v>
      </c>
      <c r="X661">
        <v>0.99768480000000004</v>
      </c>
      <c r="Y661">
        <v>4.9477029999999998E-2</v>
      </c>
      <c r="Z661">
        <v>-1.0624569999999999E-3</v>
      </c>
      <c r="AA661">
        <v>0.99877470000000002</v>
      </c>
      <c r="AB661">
        <v>44</v>
      </c>
      <c r="AC661">
        <v>31.808999999999902</v>
      </c>
      <c r="AD661">
        <v>-1.0614741507779999</v>
      </c>
      <c r="AE661">
        <v>-1.3545999999999401</v>
      </c>
      <c r="AF661">
        <v>1.5873951521851899</v>
      </c>
      <c r="AG661">
        <v>-1.0614741507779999</v>
      </c>
      <c r="AH661">
        <v>31.762838282356899</v>
      </c>
      <c r="AI661">
        <v>91.911656577825696</v>
      </c>
      <c r="AJ661">
        <v>87.138938471755495</v>
      </c>
      <c r="AK661">
        <v>31.820189290654898</v>
      </c>
      <c r="AL661">
        <v>93.224512220926002</v>
      </c>
      <c r="AM661">
        <v>87.805922750867495</v>
      </c>
      <c r="AN661">
        <v>0.999999968654535</v>
      </c>
    </row>
    <row r="662" spans="1:40" x14ac:dyDescent="0.25">
      <c r="A662" t="str">
        <f>"20190312151513253"</f>
        <v>20190312151513253</v>
      </c>
      <c r="B662" t="str">
        <f>"1552374913248701"</f>
        <v>1552374913248701</v>
      </c>
      <c r="C662" t="s">
        <v>40</v>
      </c>
      <c r="D662">
        <v>4.5586820000000001</v>
      </c>
      <c r="E662">
        <v>0.50430379999999997</v>
      </c>
      <c r="F662" t="s">
        <v>43</v>
      </c>
      <c r="G662">
        <v>-275.07029999999997</v>
      </c>
      <c r="H662" s="1">
        <v>-2.456326E-6</v>
      </c>
      <c r="I662">
        <v>367.59140000000002</v>
      </c>
      <c r="J662">
        <v>-307.3229</v>
      </c>
      <c r="K662">
        <v>1.0612459999999999</v>
      </c>
      <c r="L662">
        <v>368.97460000000001</v>
      </c>
      <c r="M662">
        <v>0.99982789999999999</v>
      </c>
      <c r="N662">
        <v>0</v>
      </c>
      <c r="O662">
        <v>7.4542760000000001E-3</v>
      </c>
      <c r="P662">
        <v>0.99685190000000001</v>
      </c>
      <c r="Q662">
        <v>-7.2933520000000002E-2</v>
      </c>
      <c r="R662">
        <v>-3.110042E-2</v>
      </c>
      <c r="S662">
        <v>2.998383</v>
      </c>
      <c r="T662">
        <v>-9.7898239999999997E-2</v>
      </c>
      <c r="U662">
        <v>-0.12738039999999901</v>
      </c>
      <c r="V662">
        <v>3.8551950000000001E-2</v>
      </c>
      <c r="W662">
        <v>-5.5974959999999997E-2</v>
      </c>
      <c r="X662">
        <v>0.99768760000000001</v>
      </c>
      <c r="Y662">
        <v>4.9861709999999997E-2</v>
      </c>
      <c r="Z662">
        <v>-1.0566709999999999E-3</v>
      </c>
      <c r="AA662">
        <v>0.99875559999999997</v>
      </c>
      <c r="AB662">
        <v>44</v>
      </c>
      <c r="AC662">
        <v>32.252600000000001</v>
      </c>
      <c r="AD662">
        <v>-1.0612484563259901</v>
      </c>
      <c r="AE662">
        <v>-1.38319999999998</v>
      </c>
      <c r="AF662">
        <v>1.62186328780542</v>
      </c>
      <c r="AG662">
        <v>-1.0612484563259901</v>
      </c>
      <c r="AH662">
        <v>32.206585631998799</v>
      </c>
      <c r="AI662">
        <v>91.884900067808999</v>
      </c>
      <c r="AJ662">
        <v>87.117127218679002</v>
      </c>
      <c r="AK662">
        <v>32.264854670084198</v>
      </c>
      <c r="AL662">
        <v>93.208806098942603</v>
      </c>
      <c r="AM662">
        <v>87.7871173079063</v>
      </c>
      <c r="AN662">
        <v>0.99999999809478202</v>
      </c>
    </row>
    <row r="663" spans="1:40" x14ac:dyDescent="0.25">
      <c r="A663" t="str">
        <f>"20190312151513266"</f>
        <v>20190312151513266</v>
      </c>
      <c r="B663" t="str">
        <f>"1552374913258444"</f>
        <v>1552374913258444</v>
      </c>
      <c r="C663" t="s">
        <v>40</v>
      </c>
      <c r="D663">
        <v>4.5310350000000001</v>
      </c>
      <c r="E663">
        <v>0.50428589999999995</v>
      </c>
      <c r="F663" t="s">
        <v>43</v>
      </c>
      <c r="G663">
        <v>-275.02080000000001</v>
      </c>
      <c r="H663" s="1">
        <v>-2.4782639999999999E-6</v>
      </c>
      <c r="I663">
        <v>367.5874</v>
      </c>
      <c r="J663">
        <v>-307.0677</v>
      </c>
      <c r="K663">
        <v>1.061056</v>
      </c>
      <c r="L663">
        <v>368.97660000000002</v>
      </c>
      <c r="M663">
        <v>0.99982910000000003</v>
      </c>
      <c r="N663">
        <v>0</v>
      </c>
      <c r="O663">
        <v>7.5340210000000001E-3</v>
      </c>
      <c r="P663">
        <v>0.99687550000000003</v>
      </c>
      <c r="Q663">
        <v>-7.2637380000000001E-2</v>
      </c>
      <c r="R663">
        <v>-3.1031820000000002E-2</v>
      </c>
      <c r="S663">
        <v>2.9982600000000001</v>
      </c>
      <c r="T663">
        <v>-9.8504300000000003E-2</v>
      </c>
      <c r="U663">
        <v>-0.1287537</v>
      </c>
      <c r="V663">
        <v>3.8563060000000003E-2</v>
      </c>
      <c r="W663">
        <v>-5.5779479999999999E-2</v>
      </c>
      <c r="X663">
        <v>0.99769810000000003</v>
      </c>
      <c r="Y663">
        <v>5.0398989999999998E-2</v>
      </c>
      <c r="Z663">
        <v>-1.0746799999999999E-3</v>
      </c>
      <c r="AA663">
        <v>0.99872859999999997</v>
      </c>
      <c r="AB663">
        <v>44</v>
      </c>
      <c r="AC663">
        <v>32.046899999999901</v>
      </c>
      <c r="AD663">
        <v>-1.061058478264</v>
      </c>
      <c r="AE663">
        <v>-1.38920000000001</v>
      </c>
      <c r="AF663">
        <v>1.62885472277294</v>
      </c>
      <c r="AG663">
        <v>-1.061058478264</v>
      </c>
      <c r="AH663">
        <v>32.000507943186399</v>
      </c>
      <c r="AI663">
        <v>91.896638358307001</v>
      </c>
      <c r="AJ663">
        <v>87.086107934582103</v>
      </c>
      <c r="AK663">
        <v>32.059499706391698</v>
      </c>
      <c r="AL663">
        <v>93.197588453869997</v>
      </c>
      <c r="AM663">
        <v>87.786503500351699</v>
      </c>
      <c r="AN663">
        <v>0.99999997936462104</v>
      </c>
    </row>
    <row r="664" spans="1:40" x14ac:dyDescent="0.25">
      <c r="A664" t="str">
        <f>"20190312151513279"</f>
        <v>20190312151513279</v>
      </c>
      <c r="B664" t="str">
        <f>"1552374913268205"</f>
        <v>1552374913268205</v>
      </c>
      <c r="C664" t="s">
        <v>40</v>
      </c>
      <c r="D664">
        <v>4.7945390000000003</v>
      </c>
      <c r="E664">
        <v>0.50436229999999904</v>
      </c>
      <c r="F664" t="s">
        <v>43</v>
      </c>
      <c r="G664">
        <v>-274.68540000000002</v>
      </c>
      <c r="H664" s="1">
        <v>-2.6212629999999998E-6</v>
      </c>
      <c r="I664">
        <v>367.59249999999997</v>
      </c>
      <c r="J664">
        <v>-306.80439999999999</v>
      </c>
      <c r="K664">
        <v>1.0608770000000001</v>
      </c>
      <c r="L664">
        <v>368.97859999999997</v>
      </c>
      <c r="M664">
        <v>0.99983010000000005</v>
      </c>
      <c r="N664">
        <v>0</v>
      </c>
      <c r="O664">
        <v>7.6163130000000004E-3</v>
      </c>
      <c r="P664">
        <v>0.99687519999999996</v>
      </c>
      <c r="Q664">
        <v>-7.2543730000000001E-2</v>
      </c>
      <c r="R664">
        <v>-3.1266679999999998E-2</v>
      </c>
      <c r="S664">
        <v>2.9982600000000001</v>
      </c>
      <c r="T664">
        <v>-9.824252E-2</v>
      </c>
      <c r="U664">
        <v>-0.12814329999999999</v>
      </c>
      <c r="V664">
        <v>3.8879730000000001E-2</v>
      </c>
      <c r="W664">
        <v>-5.5785540000000002E-2</v>
      </c>
      <c r="X664">
        <v>0.9976855</v>
      </c>
      <c r="Y664">
        <v>5.0278429999999999E-2</v>
      </c>
      <c r="Z664">
        <v>-1.0725509999999999E-3</v>
      </c>
      <c r="AA664">
        <v>0.99873469999999998</v>
      </c>
      <c r="AB664">
        <v>44</v>
      </c>
      <c r="AC664">
        <v>32.1189999999999</v>
      </c>
      <c r="AD664">
        <v>-1.0608796212630001</v>
      </c>
      <c r="AE664">
        <v>-1.3860999999999899</v>
      </c>
      <c r="AF664">
        <v>1.6289488017559299</v>
      </c>
      <c r="AG664">
        <v>-1.0608796212630001</v>
      </c>
      <c r="AH664">
        <v>32.072584869319797</v>
      </c>
      <c r="AI664">
        <v>91.892071063822698</v>
      </c>
      <c r="AJ664">
        <v>87.092477461218294</v>
      </c>
      <c r="AK664">
        <v>32.131443166612897</v>
      </c>
      <c r="AL664">
        <v>93.197936114842506</v>
      </c>
      <c r="AM664">
        <v>87.768316980173097</v>
      </c>
      <c r="AN664">
        <v>1.0000000083941001</v>
      </c>
    </row>
    <row r="665" spans="1:40" x14ac:dyDescent="0.25">
      <c r="A665" t="str">
        <f>"20190312151513294"</f>
        <v>20190312151513294</v>
      </c>
      <c r="B665" t="str">
        <f>"1552374913287724"</f>
        <v>1552374913287724</v>
      </c>
      <c r="C665" t="s">
        <v>40</v>
      </c>
      <c r="D665">
        <v>4.5635019999999997</v>
      </c>
      <c r="E665">
        <v>0.50455740000000004</v>
      </c>
      <c r="F665" t="s">
        <v>43</v>
      </c>
      <c r="G665">
        <v>-274.18119999999999</v>
      </c>
      <c r="H665" s="1">
        <v>-2.8417650000000001E-6</v>
      </c>
      <c r="I665">
        <v>367.5686</v>
      </c>
      <c r="J665">
        <v>-306.51159999999999</v>
      </c>
      <c r="K665">
        <v>1.060692</v>
      </c>
      <c r="L665">
        <v>368.98090000000002</v>
      </c>
      <c r="M665">
        <v>0.99983109999999997</v>
      </c>
      <c r="N665">
        <v>0</v>
      </c>
      <c r="O665">
        <v>7.7078229999999999E-3</v>
      </c>
      <c r="P665">
        <v>0.99691229999999997</v>
      </c>
      <c r="Q665">
        <v>-7.1880700000000006E-2</v>
      </c>
      <c r="R665">
        <v>-3.1606919999999997E-2</v>
      </c>
      <c r="S665">
        <v>2.99823</v>
      </c>
      <c r="T665">
        <v>-9.7499730000000007E-2</v>
      </c>
      <c r="U665">
        <v>-0.12957759999999999</v>
      </c>
      <c r="V665">
        <v>3.931138E-2</v>
      </c>
      <c r="W665">
        <v>-5.5226869999999997E-2</v>
      </c>
      <c r="X665">
        <v>0.99769969999999997</v>
      </c>
      <c r="Y665">
        <v>5.084727E-2</v>
      </c>
      <c r="Z665">
        <v>-1.0766619999999999E-3</v>
      </c>
      <c r="AA665">
        <v>0.99870590000000004</v>
      </c>
      <c r="AB665">
        <v>44</v>
      </c>
      <c r="AC665">
        <v>32.330399999999997</v>
      </c>
      <c r="AD665">
        <v>-1.060694841765</v>
      </c>
      <c r="AE665">
        <v>-1.4123000000000101</v>
      </c>
      <c r="AF665">
        <v>1.6597066818766599</v>
      </c>
      <c r="AG665">
        <v>-1.060694841765</v>
      </c>
      <c r="AH665">
        <v>32.283869082587501</v>
      </c>
      <c r="AI665">
        <v>91.879310636298399</v>
      </c>
      <c r="AJ665">
        <v>87.057027348039099</v>
      </c>
      <c r="AK665">
        <v>32.343900549545097</v>
      </c>
      <c r="AL665">
        <v>93.165877152614598</v>
      </c>
      <c r="AM665">
        <v>87.743597971848999</v>
      </c>
      <c r="AN665">
        <v>1.00000004157379</v>
      </c>
    </row>
    <row r="666" spans="1:40" x14ac:dyDescent="0.25">
      <c r="A666" t="str">
        <f>"20190312151513305"</f>
        <v>20190312151513305</v>
      </c>
      <c r="B666" t="str">
        <f>"1552374913298460"</f>
        <v>1552374913298460</v>
      </c>
      <c r="C666" t="s">
        <v>40</v>
      </c>
      <c r="D666">
        <v>4.5387870000000001</v>
      </c>
      <c r="E666">
        <v>0.50467229999999996</v>
      </c>
      <c r="F666" t="s">
        <v>43</v>
      </c>
      <c r="G666">
        <v>-273.65550000000002</v>
      </c>
      <c r="H666" s="1">
        <v>-3.073925E-6</v>
      </c>
      <c r="I666">
        <v>367.53140000000002</v>
      </c>
      <c r="J666">
        <v>-306.29320000000001</v>
      </c>
      <c r="K666">
        <v>1.060573</v>
      </c>
      <c r="L666">
        <v>368.98259999999999</v>
      </c>
      <c r="M666">
        <v>0.99983169999999999</v>
      </c>
      <c r="N666">
        <v>0</v>
      </c>
      <c r="O666">
        <v>7.7764109999999996E-3</v>
      </c>
      <c r="P666">
        <v>0.99692689999999995</v>
      </c>
      <c r="Q666">
        <v>-7.1658600000000003E-2</v>
      </c>
      <c r="R666">
        <v>-3.1652230000000003E-2</v>
      </c>
      <c r="S666">
        <v>2.9981080000000002</v>
      </c>
      <c r="T666">
        <v>-9.6787810000000002E-2</v>
      </c>
      <c r="U666">
        <v>-0.1322632</v>
      </c>
      <c r="V666">
        <v>3.9424969999999997E-2</v>
      </c>
      <c r="W666">
        <v>-5.5076369999999999E-2</v>
      </c>
      <c r="X666">
        <v>0.99770349999999997</v>
      </c>
      <c r="Y666">
        <v>5.1810299999999997E-2</v>
      </c>
      <c r="Z666">
        <v>-1.086573E-3</v>
      </c>
      <c r="AA666">
        <v>0.99865630000000005</v>
      </c>
      <c r="AB666">
        <v>44</v>
      </c>
      <c r="AC666">
        <v>32.637699999999903</v>
      </c>
      <c r="AD666">
        <v>-1.0605760739250001</v>
      </c>
      <c r="AE666">
        <v>-1.4511999999999701</v>
      </c>
      <c r="AF666">
        <v>1.7032003716972799</v>
      </c>
      <c r="AG666">
        <v>-1.0605760739250001</v>
      </c>
      <c r="AH666">
        <v>32.591079443021499</v>
      </c>
      <c r="AI666">
        <v>91.861318356243302</v>
      </c>
      <c r="AJ666">
        <v>87.008460552966497</v>
      </c>
      <c r="AK666">
        <v>32.652782000559597</v>
      </c>
      <c r="AL666">
        <v>93.157241111476196</v>
      </c>
      <c r="AM666">
        <v>87.737093489716202</v>
      </c>
      <c r="AN666">
        <v>1.00000000435206</v>
      </c>
    </row>
    <row r="667" spans="1:40" x14ac:dyDescent="0.25">
      <c r="A667" t="str">
        <f>"20190312151513316"</f>
        <v>20190312151513316</v>
      </c>
      <c r="B667" t="str">
        <f>"1552374913308220"</f>
        <v>1552374913308220</v>
      </c>
      <c r="C667" t="s">
        <v>40</v>
      </c>
      <c r="D667">
        <v>4.573715</v>
      </c>
      <c r="E667">
        <v>0.50476659999999995</v>
      </c>
      <c r="F667" t="s">
        <v>43</v>
      </c>
      <c r="G667">
        <v>-273.48099999999999</v>
      </c>
      <c r="H667" s="1">
        <v>-3.1496240000000001E-6</v>
      </c>
      <c r="I667">
        <v>367.52670000000001</v>
      </c>
      <c r="J667">
        <v>-306.08699999999999</v>
      </c>
      <c r="K667">
        <v>1.0604690000000001</v>
      </c>
      <c r="L667">
        <v>368.98430000000002</v>
      </c>
      <c r="M667">
        <v>0.99983239999999995</v>
      </c>
      <c r="N667">
        <v>0</v>
      </c>
      <c r="O667">
        <v>7.8408999999999996E-3</v>
      </c>
      <c r="P667">
        <v>0.99693330000000002</v>
      </c>
      <c r="Q667">
        <v>-7.1524619999999997E-2</v>
      </c>
      <c r="R667">
        <v>-3.1756039999999999E-2</v>
      </c>
      <c r="S667">
        <v>2.9980159999999998</v>
      </c>
      <c r="T667">
        <v>-9.6903320000000001E-2</v>
      </c>
      <c r="U667">
        <v>-0.13302610000000001</v>
      </c>
      <c r="V667">
        <v>3.9593030000000001E-2</v>
      </c>
      <c r="W667">
        <v>-5.5008420000000002E-2</v>
      </c>
      <c r="X667">
        <v>0.99770060000000005</v>
      </c>
      <c r="Y667">
        <v>5.2129410000000001E-2</v>
      </c>
      <c r="Z667">
        <v>-1.095132E-3</v>
      </c>
      <c r="AA667">
        <v>0.99863979999999997</v>
      </c>
      <c r="AB667">
        <v>44</v>
      </c>
      <c r="AC667">
        <v>32.605999999999902</v>
      </c>
      <c r="AD667">
        <v>-1.0604721496239999</v>
      </c>
      <c r="AE667">
        <v>-1.45760000000001</v>
      </c>
      <c r="AF667">
        <v>1.7114438050115699</v>
      </c>
      <c r="AG667">
        <v>-1.0604721496239999</v>
      </c>
      <c r="AH667">
        <v>32.559194526067998</v>
      </c>
      <c r="AI667">
        <v>91.862927790719198</v>
      </c>
      <c r="AJ667">
        <v>86.991069758699595</v>
      </c>
      <c r="AK667">
        <v>32.621385458992599</v>
      </c>
      <c r="AL667">
        <v>93.153341931968598</v>
      </c>
      <c r="AM667">
        <v>87.727450709232798</v>
      </c>
      <c r="AN667">
        <v>1.0000000107679099</v>
      </c>
    </row>
    <row r="668" spans="1:40" x14ac:dyDescent="0.25">
      <c r="A668" t="str">
        <f>"20190312151513327"</f>
        <v>20190312151513327</v>
      </c>
      <c r="B668" t="str">
        <f>"1552374913317980"</f>
        <v>1552374913317980</v>
      </c>
      <c r="C668" t="s">
        <v>40</v>
      </c>
      <c r="D668">
        <v>4.5702239999999996</v>
      </c>
      <c r="E668">
        <v>0.50484589999999996</v>
      </c>
      <c r="F668" t="s">
        <v>43</v>
      </c>
      <c r="G668">
        <v>-273.726</v>
      </c>
      <c r="H668" s="1">
        <v>-3.043285E-6</v>
      </c>
      <c r="I668">
        <v>367.53370000000001</v>
      </c>
      <c r="J668">
        <v>-305.85140000000001</v>
      </c>
      <c r="K668">
        <v>1.0603640000000001</v>
      </c>
      <c r="L668">
        <v>368.9862</v>
      </c>
      <c r="M668">
        <v>0.99983299999999997</v>
      </c>
      <c r="N668">
        <v>0</v>
      </c>
      <c r="O668">
        <v>7.9145399999999994E-3</v>
      </c>
      <c r="P668">
        <v>0.99692829999999999</v>
      </c>
      <c r="Q668">
        <v>-7.1585880000000005E-2</v>
      </c>
      <c r="R668">
        <v>-3.1772950000000001E-2</v>
      </c>
      <c r="S668">
        <v>2.9978639999999999</v>
      </c>
      <c r="T668">
        <v>-9.8239660000000006E-2</v>
      </c>
      <c r="U668">
        <v>-0.13436890000000001</v>
      </c>
      <c r="V668">
        <v>3.9683240000000002E-2</v>
      </c>
      <c r="W668">
        <v>-5.5140160000000001E-2</v>
      </c>
      <c r="X668">
        <v>0.99768970000000001</v>
      </c>
      <c r="Y668">
        <v>5.2650420000000003E-2</v>
      </c>
      <c r="Z668">
        <v>-1.1212139999999999E-3</v>
      </c>
      <c r="AA668">
        <v>0.99861239999999996</v>
      </c>
      <c r="AB668">
        <v>44</v>
      </c>
      <c r="AC668">
        <v>32.125399999999999</v>
      </c>
      <c r="AD668">
        <v>-1.0603670432850001</v>
      </c>
      <c r="AE668">
        <v>-1.4524999999999799</v>
      </c>
      <c r="AF668">
        <v>1.70489311824689</v>
      </c>
      <c r="AG668">
        <v>-1.0603670432850001</v>
      </c>
      <c r="AH668">
        <v>32.078019366159801</v>
      </c>
      <c r="AI668">
        <v>91.890606402477303</v>
      </c>
      <c r="AJ668">
        <v>86.957687506562806</v>
      </c>
      <c r="AK668">
        <v>32.1407897424262</v>
      </c>
      <c r="AL668">
        <v>93.160901689488995</v>
      </c>
      <c r="AM668">
        <v>87.722253450612499</v>
      </c>
      <c r="AN668">
        <v>0.99999996713390604</v>
      </c>
    </row>
    <row r="669" spans="1:40" x14ac:dyDescent="0.25">
      <c r="A669" t="str">
        <f>"20190312151513338"</f>
        <v>20190312151513338</v>
      </c>
      <c r="B669" t="str">
        <f>"1552374913327741"</f>
        <v>1552374913327741</v>
      </c>
      <c r="C669" t="s">
        <v>40</v>
      </c>
      <c r="D669">
        <v>4.5783500000000004</v>
      </c>
      <c r="E669">
        <v>0.50493129999999997</v>
      </c>
      <c r="F669" t="s">
        <v>43</v>
      </c>
      <c r="G669">
        <v>-274.20150000000001</v>
      </c>
      <c r="H669" s="1">
        <v>-2.8340880000000002E-6</v>
      </c>
      <c r="I669">
        <v>367.56299999999999</v>
      </c>
      <c r="J669">
        <v>-305.63889999999998</v>
      </c>
      <c r="K669">
        <v>1.0602750000000001</v>
      </c>
      <c r="L669">
        <v>368.98790000000002</v>
      </c>
      <c r="M669">
        <v>0.99983339999999998</v>
      </c>
      <c r="N669">
        <v>0</v>
      </c>
      <c r="O669">
        <v>7.9808259999999999E-3</v>
      </c>
      <c r="P669">
        <v>0.99691719999999895</v>
      </c>
      <c r="Q669">
        <v>-7.1631909999999993E-2</v>
      </c>
      <c r="R669">
        <v>-3.2015259999999997E-2</v>
      </c>
      <c r="S669">
        <v>2.9977719999999999</v>
      </c>
      <c r="T669">
        <v>-0.1004342</v>
      </c>
      <c r="U669">
        <v>-0.1347961</v>
      </c>
      <c r="V669">
        <v>3.9991609999999997E-2</v>
      </c>
      <c r="W669">
        <v>-5.5246749999999997E-2</v>
      </c>
      <c r="X669">
        <v>0.99767150000000004</v>
      </c>
      <c r="Y669">
        <v>5.28584E-2</v>
      </c>
      <c r="Z669">
        <v>-1.1519779999999999E-3</v>
      </c>
      <c r="AA669">
        <v>0.99860139999999997</v>
      </c>
      <c r="AB669">
        <v>44</v>
      </c>
      <c r="AC669">
        <v>31.437399999999901</v>
      </c>
      <c r="AD669">
        <v>-1.0602778340879999</v>
      </c>
      <c r="AE669">
        <v>-1.4248999999999701</v>
      </c>
      <c r="AF669">
        <v>1.67388472309695</v>
      </c>
      <c r="AG669">
        <v>-1.0602778340879999</v>
      </c>
      <c r="AH669">
        <v>31.389393322114302</v>
      </c>
      <c r="AI669">
        <v>91.931871087203405</v>
      </c>
      <c r="AJ669">
        <v>86.947511099275104</v>
      </c>
      <c r="AK669">
        <v>31.451869456076398</v>
      </c>
      <c r="AL669">
        <v>93.167018138764107</v>
      </c>
      <c r="AM669">
        <v>87.704530598385503</v>
      </c>
      <c r="AN669">
        <v>0.99999997708410204</v>
      </c>
    </row>
    <row r="670" spans="1:40" x14ac:dyDescent="0.25">
      <c r="A670" t="str">
        <f>"20190312151513350"</f>
        <v>20190312151513350</v>
      </c>
      <c r="B670" t="str">
        <f>"1552374913348237"</f>
        <v>1552374913348237</v>
      </c>
      <c r="C670" t="s">
        <v>40</v>
      </c>
      <c r="D670">
        <v>4.6088180000000003</v>
      </c>
      <c r="E670">
        <v>0.50499989999999995</v>
      </c>
      <c r="F670" t="s">
        <v>43</v>
      </c>
      <c r="G670">
        <v>-274.62270000000001</v>
      </c>
      <c r="H670" s="1">
        <v>-2.651171E-6</v>
      </c>
      <c r="I670">
        <v>367.5754</v>
      </c>
      <c r="J670">
        <v>-305.40179999999998</v>
      </c>
      <c r="K670">
        <v>1.060184</v>
      </c>
      <c r="L670">
        <v>368.9898</v>
      </c>
      <c r="M670">
        <v>0.99983390000000005</v>
      </c>
      <c r="N670">
        <v>0</v>
      </c>
      <c r="O670">
        <v>8.0545319999999997E-3</v>
      </c>
      <c r="P670">
        <v>0.99692570000000003</v>
      </c>
      <c r="Q670">
        <v>-7.143795E-2</v>
      </c>
      <c r="R670">
        <v>-3.2185310000000002E-2</v>
      </c>
      <c r="S670">
        <v>2.9975589999999999</v>
      </c>
      <c r="T670">
        <v>-0.1024703</v>
      </c>
      <c r="U670">
        <v>-0.13650509999999999</v>
      </c>
      <c r="V670">
        <v>4.0235220000000002E-2</v>
      </c>
      <c r="W670">
        <v>-5.5116810000000002E-2</v>
      </c>
      <c r="X670">
        <v>0.99766889999999997</v>
      </c>
      <c r="Y670">
        <v>5.3501529999999999E-2</v>
      </c>
      <c r="Z670">
        <v>-1.188889E-3</v>
      </c>
      <c r="AA670">
        <v>0.99856699999999998</v>
      </c>
      <c r="AB670">
        <v>44</v>
      </c>
      <c r="AC670">
        <v>30.7790999999999</v>
      </c>
      <c r="AD670">
        <v>-1.0601866511710001</v>
      </c>
      <c r="AE670">
        <v>-1.4144000000000001</v>
      </c>
      <c r="AF670">
        <v>1.6603327265015899</v>
      </c>
      <c r="AG670">
        <v>-1.0601866511710001</v>
      </c>
      <c r="AH670">
        <v>30.7303240129126</v>
      </c>
      <c r="AI670">
        <v>91.973027552267794</v>
      </c>
      <c r="AJ670">
        <v>86.907365722628896</v>
      </c>
      <c r="AK670">
        <v>30.793400501351101</v>
      </c>
      <c r="AL670">
        <v>93.159561739342095</v>
      </c>
      <c r="AM670">
        <v>87.690556765368299</v>
      </c>
      <c r="AN670">
        <v>0.99999998485011699</v>
      </c>
    </row>
    <row r="671" spans="1:40" x14ac:dyDescent="0.25">
      <c r="A671" t="str">
        <f>"20190312151513361"</f>
        <v>20190312151513361</v>
      </c>
      <c r="B671" t="str">
        <f>"1552374913358504"</f>
        <v>1552374913358504</v>
      </c>
      <c r="C671" t="s">
        <v>40</v>
      </c>
      <c r="D671">
        <v>4.6165279999999997</v>
      </c>
      <c r="E671">
        <v>0.50497840000000005</v>
      </c>
      <c r="F671" t="s">
        <v>43</v>
      </c>
      <c r="G671">
        <v>-275.02179999999998</v>
      </c>
      <c r="H671" s="1">
        <v>-2.476104E-6</v>
      </c>
      <c r="I671">
        <v>367.59719999999999</v>
      </c>
      <c r="J671">
        <v>-305.18779999999998</v>
      </c>
      <c r="K671">
        <v>1.0601130000000001</v>
      </c>
      <c r="L671">
        <v>368.99160000000001</v>
      </c>
      <c r="M671">
        <v>0.99983429999999995</v>
      </c>
      <c r="N671">
        <v>0</v>
      </c>
      <c r="O671">
        <v>8.1211189999999996E-3</v>
      </c>
      <c r="P671">
        <v>0.99691609999999997</v>
      </c>
      <c r="Q671">
        <v>-7.1545369999999997E-2</v>
      </c>
      <c r="R671">
        <v>-3.2250359999999999E-2</v>
      </c>
      <c r="S671">
        <v>2.9973450000000001</v>
      </c>
      <c r="T671">
        <v>-0.1045996</v>
      </c>
      <c r="U671">
        <v>-0.13739009999999999</v>
      </c>
      <c r="V671">
        <v>4.0366449999999998E-2</v>
      </c>
      <c r="W671">
        <v>-5.527812E-2</v>
      </c>
      <c r="X671">
        <v>0.99765470000000001</v>
      </c>
      <c r="Y671">
        <v>5.3863710000000002E-2</v>
      </c>
      <c r="Z671">
        <v>-1.2222929999999999E-3</v>
      </c>
      <c r="AA671">
        <v>0.99854759999999998</v>
      </c>
      <c r="AB671">
        <v>44</v>
      </c>
      <c r="AC671">
        <v>30.166</v>
      </c>
      <c r="AD671">
        <v>-1.0601154761039999</v>
      </c>
      <c r="AE671">
        <v>-1.3944000000000101</v>
      </c>
      <c r="AF671">
        <v>1.63735036406942</v>
      </c>
      <c r="AG671">
        <v>-1.0601154761039999</v>
      </c>
      <c r="AH671">
        <v>30.116564373911601</v>
      </c>
      <c r="AI671">
        <v>92.013032272448697</v>
      </c>
      <c r="AJ671">
        <v>86.888058101799302</v>
      </c>
      <c r="AK671">
        <v>30.179665517121901</v>
      </c>
      <c r="AL671">
        <v>93.168818151813397</v>
      </c>
      <c r="AM671">
        <v>87.682999607257898</v>
      </c>
      <c r="AN671">
        <v>1.00000001063421</v>
      </c>
    </row>
    <row r="672" spans="1:40" x14ac:dyDescent="0.25">
      <c r="A672" t="str">
        <f>"20190312151513373"</f>
        <v>20190312151513373</v>
      </c>
      <c r="B672" t="str">
        <f>"1552374913368264"</f>
        <v>1552374913368264</v>
      </c>
      <c r="C672" t="s">
        <v>40</v>
      </c>
      <c r="D672">
        <v>4.9102759999999996</v>
      </c>
      <c r="E672">
        <v>0.50506850000000003</v>
      </c>
      <c r="F672" t="s">
        <v>43</v>
      </c>
      <c r="G672">
        <v>-275.25959999999998</v>
      </c>
      <c r="H672" s="1">
        <v>-2.3702460000000002E-6</v>
      </c>
      <c r="I672">
        <v>367.61900000000003</v>
      </c>
      <c r="J672">
        <v>-304.96120000000002</v>
      </c>
      <c r="K672">
        <v>1.06003799999999</v>
      </c>
      <c r="L672">
        <v>368.99349999999998</v>
      </c>
      <c r="M672">
        <v>0.99983460000000002</v>
      </c>
      <c r="N672">
        <v>0</v>
      </c>
      <c r="O672">
        <v>8.1917719999999999E-3</v>
      </c>
      <c r="P672">
        <v>0.9969133</v>
      </c>
      <c r="Q672">
        <v>-7.1503529999999996E-2</v>
      </c>
      <c r="R672">
        <v>-3.2421999999999999E-2</v>
      </c>
      <c r="S672">
        <v>2.9971920000000001</v>
      </c>
      <c r="T672">
        <v>-0.1061658</v>
      </c>
      <c r="U672">
        <v>-0.1374512</v>
      </c>
      <c r="V672">
        <v>4.0608480000000002E-2</v>
      </c>
      <c r="W672">
        <v>-5.5291949999999999E-2</v>
      </c>
      <c r="X672">
        <v>0.99764410000000003</v>
      </c>
      <c r="Y672">
        <v>5.3955639999999999E-2</v>
      </c>
      <c r="Z672">
        <v>-1.244773E-3</v>
      </c>
      <c r="AA672">
        <v>0.9985425</v>
      </c>
      <c r="AB672">
        <v>44</v>
      </c>
      <c r="AC672">
        <v>29.701599999999999</v>
      </c>
      <c r="AD672">
        <v>-1.06004037024599</v>
      </c>
      <c r="AE672">
        <v>-1.3744999999999501</v>
      </c>
      <c r="AF672">
        <v>1.61574103045941</v>
      </c>
      <c r="AG672">
        <v>-1.06004037024599</v>
      </c>
      <c r="AH672">
        <v>29.651653917214599</v>
      </c>
      <c r="AI672">
        <v>92.044409736870705</v>
      </c>
      <c r="AJ672">
        <v>86.8809942620329</v>
      </c>
      <c r="AK672">
        <v>29.7145567809842</v>
      </c>
      <c r="AL672">
        <v>93.169611802065504</v>
      </c>
      <c r="AM672">
        <v>87.669097826859002</v>
      </c>
      <c r="AN672">
        <v>0.99999999932376105</v>
      </c>
    </row>
    <row r="673" spans="1:40" x14ac:dyDescent="0.25">
      <c r="A673" t="str">
        <f>"20190312151513384"</f>
        <v>20190312151513384</v>
      </c>
      <c r="B673" t="str">
        <f>"1552374913378024"</f>
        <v>1552374913378024</v>
      </c>
      <c r="C673" t="s">
        <v>40</v>
      </c>
      <c r="D673">
        <v>4.8356349999999999</v>
      </c>
      <c r="E673">
        <v>0.50506850000000003</v>
      </c>
      <c r="F673" t="s">
        <v>43</v>
      </c>
      <c r="G673">
        <v>-275.31459999999998</v>
      </c>
      <c r="H673" s="1">
        <v>-2.346166E-6</v>
      </c>
      <c r="I673">
        <v>367.62169999999998</v>
      </c>
      <c r="J673">
        <v>-304.73039999999997</v>
      </c>
      <c r="K673">
        <v>1.0599749999999999</v>
      </c>
      <c r="L673">
        <v>368.99549999999999</v>
      </c>
      <c r="M673">
        <v>0.99983480000000002</v>
      </c>
      <c r="N673">
        <v>0</v>
      </c>
      <c r="O673">
        <v>8.2635199999999999E-3</v>
      </c>
      <c r="P673">
        <v>0.99689559999999999</v>
      </c>
      <c r="Q673">
        <v>-7.15919E-2</v>
      </c>
      <c r="R673">
        <v>-3.2769199999999998E-2</v>
      </c>
      <c r="S673">
        <v>2.997131</v>
      </c>
      <c r="T673">
        <v>-0.1071645</v>
      </c>
      <c r="U673">
        <v>-0.13867189999999999</v>
      </c>
      <c r="V673">
        <v>4.10272E-2</v>
      </c>
      <c r="W673">
        <v>-5.5431670000000002E-2</v>
      </c>
      <c r="X673">
        <v>0.99761920000000004</v>
      </c>
      <c r="Y673">
        <v>5.4432969999999997E-2</v>
      </c>
      <c r="Z673">
        <v>-1.2675799999999999E-3</v>
      </c>
      <c r="AA673">
        <v>0.99851659999999998</v>
      </c>
      <c r="AB673">
        <v>44</v>
      </c>
      <c r="AC673">
        <v>29.415799999999901</v>
      </c>
      <c r="AD673">
        <v>-1.05997734616599</v>
      </c>
      <c r="AE673">
        <v>-1.3738000000000099</v>
      </c>
      <c r="AF673">
        <v>1.6147708253335</v>
      </c>
      <c r="AG673">
        <v>-1.05997734616599</v>
      </c>
      <c r="AH673">
        <v>29.3653943775664</v>
      </c>
      <c r="AI673">
        <v>92.064143181792105</v>
      </c>
      <c r="AJ673">
        <v>86.852537789990706</v>
      </c>
      <c r="AK673">
        <v>29.428853592057301</v>
      </c>
      <c r="AL673">
        <v>93.177629511143905</v>
      </c>
      <c r="AM673">
        <v>87.645031761488497</v>
      </c>
      <c r="AN673">
        <v>0.99999998469373397</v>
      </c>
    </row>
    <row r="674" spans="1:40" x14ac:dyDescent="0.25">
      <c r="A674" t="str">
        <f>"20190312151513396"</f>
        <v>20190312151513396</v>
      </c>
      <c r="B674" t="str">
        <f>"1552374913388761"</f>
        <v>1552374913388761</v>
      </c>
      <c r="C674" t="s">
        <v>40</v>
      </c>
      <c r="D674">
        <v>4.6456200000000001</v>
      </c>
      <c r="E674">
        <v>0.50609589999999904</v>
      </c>
      <c r="F674" t="s">
        <v>43</v>
      </c>
      <c r="G674">
        <v>-275.15879999999999</v>
      </c>
      <c r="H674" s="1">
        <v>-2.4138390000000001E-6</v>
      </c>
      <c r="I674">
        <v>367.61689999999999</v>
      </c>
      <c r="J674">
        <v>-304.48360000000002</v>
      </c>
      <c r="K674">
        <v>1.0599130000000001</v>
      </c>
      <c r="L674">
        <v>368.99759999999998</v>
      </c>
      <c r="M674">
        <v>0.99983509999999998</v>
      </c>
      <c r="N674">
        <v>0</v>
      </c>
      <c r="O674">
        <v>8.3401069999999994E-3</v>
      </c>
      <c r="P674">
        <v>0.99690129999999999</v>
      </c>
      <c r="Q674">
        <v>-7.1526279999999998E-2</v>
      </c>
      <c r="R674">
        <v>-3.2740190000000002E-2</v>
      </c>
      <c r="S674">
        <v>2.9970400000000001</v>
      </c>
      <c r="T674">
        <v>-0.10742690000000001</v>
      </c>
      <c r="U674">
        <v>-0.13970949999999999</v>
      </c>
      <c r="V674">
        <v>4.107442E-2</v>
      </c>
      <c r="W674">
        <v>-5.5418899999999903E-2</v>
      </c>
      <c r="X674">
        <v>0.997618</v>
      </c>
      <c r="Y674">
        <v>5.4855279999999999E-2</v>
      </c>
      <c r="Z674">
        <v>-1.2810149999999999E-3</v>
      </c>
      <c r="AA674">
        <v>0.99849350000000003</v>
      </c>
      <c r="AB674">
        <v>44</v>
      </c>
      <c r="AC674">
        <v>29.3248</v>
      </c>
      <c r="AD674">
        <v>-1.0599154138389999</v>
      </c>
      <c r="AE674">
        <v>-1.38069999999999</v>
      </c>
      <c r="AF674">
        <v>1.6231400034426899</v>
      </c>
      <c r="AG674">
        <v>-1.0599154138389999</v>
      </c>
      <c r="AH674">
        <v>29.274104396202102</v>
      </c>
      <c r="AI674">
        <v>92.070401567223499</v>
      </c>
      <c r="AJ674">
        <v>86.826412043582906</v>
      </c>
      <c r="AK674">
        <v>29.338220674659301</v>
      </c>
      <c r="AL674">
        <v>93.176896611082896</v>
      </c>
      <c r="AM674">
        <v>87.642321549565807</v>
      </c>
      <c r="AN674">
        <v>1.0000000181897699</v>
      </c>
    </row>
    <row r="675" spans="1:40" x14ac:dyDescent="0.25">
      <c r="A675" t="str">
        <f>"20190312151513474"</f>
        <v>20190312151513474</v>
      </c>
      <c r="B675" t="str">
        <f>"1552374913467816"</f>
        <v>1552374913467816</v>
      </c>
      <c r="C675" t="s">
        <v>40</v>
      </c>
      <c r="D675">
        <v>4.514678</v>
      </c>
      <c r="E675">
        <v>0.50609589999999904</v>
      </c>
      <c r="F675" t="s">
        <v>43</v>
      </c>
      <c r="G675">
        <v>-272.9914</v>
      </c>
      <c r="H675" s="1">
        <v>-3.3743710000000001E-6</v>
      </c>
      <c r="I675">
        <v>367.4436</v>
      </c>
      <c r="J675">
        <v>-302.96280000000002</v>
      </c>
      <c r="K675">
        <v>1.059661</v>
      </c>
      <c r="L675">
        <v>369.01089999999999</v>
      </c>
      <c r="M675">
        <v>0.99983509999999998</v>
      </c>
      <c r="N675">
        <v>0</v>
      </c>
      <c r="O675">
        <v>8.8142769999999902E-3</v>
      </c>
      <c r="P675">
        <v>0.99691370000000001</v>
      </c>
      <c r="Q675">
        <v>-7.0998359999999996E-2</v>
      </c>
      <c r="R675">
        <v>-3.3505970000000003E-2</v>
      </c>
      <c r="S675">
        <v>2.9971920000000001</v>
      </c>
      <c r="T675">
        <v>-0.1008748</v>
      </c>
      <c r="U675">
        <v>-0.1478882</v>
      </c>
      <c r="V675">
        <v>4.2312559999999999E-2</v>
      </c>
      <c r="W675">
        <v>-5.5149209999999997E-2</v>
      </c>
      <c r="X675">
        <v>0.99758119999999995</v>
      </c>
      <c r="Y675">
        <v>5.804728E-2</v>
      </c>
      <c r="Z675">
        <v>-1.272406E-3</v>
      </c>
      <c r="AA675">
        <v>0.99831300000000001</v>
      </c>
      <c r="AB675">
        <v>44</v>
      </c>
      <c r="AC675">
        <v>29.971399999999999</v>
      </c>
      <c r="AD675">
        <v>-1.0596643743709999</v>
      </c>
      <c r="AE675">
        <v>-1.5672999999999799</v>
      </c>
      <c r="AF675">
        <v>1.82916833436365</v>
      </c>
      <c r="AG675">
        <v>-1.0596643743709999</v>
      </c>
      <c r="AH675">
        <v>29.919121073037999</v>
      </c>
      <c r="AI675">
        <v>92.024655729625906</v>
      </c>
      <c r="AJ675">
        <v>86.501456678310504</v>
      </c>
      <c r="AK675">
        <v>29.993708526370199</v>
      </c>
      <c r="AL675">
        <v>93.161420841286599</v>
      </c>
      <c r="AM675">
        <v>87.571246482448501</v>
      </c>
      <c r="AN675">
        <v>1.0000000193453999</v>
      </c>
    </row>
    <row r="676" spans="1:40" x14ac:dyDescent="0.25">
      <c r="A676" t="str">
        <f>"20190312151513505"</f>
        <v>20190312151513505</v>
      </c>
      <c r="B676" t="str">
        <f>"1552374913498072"</f>
        <v>1552374913498072</v>
      </c>
      <c r="C676" t="s">
        <v>40</v>
      </c>
      <c r="D676">
        <v>4.5981670000000001</v>
      </c>
      <c r="E676">
        <v>0.55817499999999998</v>
      </c>
      <c r="F676" t="s">
        <v>43</v>
      </c>
      <c r="G676">
        <v>-270.97800000000001</v>
      </c>
      <c r="H676" s="1">
        <v>-4.2447810000000001E-6</v>
      </c>
      <c r="I676">
        <v>367.40620000000001</v>
      </c>
      <c r="J676">
        <v>-302.36079999999998</v>
      </c>
      <c r="K676">
        <v>1.0596049999999999</v>
      </c>
      <c r="L676">
        <v>369.01639999999998</v>
      </c>
      <c r="M676">
        <v>0.99983469999999997</v>
      </c>
      <c r="N676">
        <v>0</v>
      </c>
      <c r="O676">
        <v>9.0021890000000007E-3</v>
      </c>
      <c r="P676">
        <v>0.99696450000000003</v>
      </c>
      <c r="Q676">
        <v>-7.0071060000000004E-2</v>
      </c>
      <c r="R676">
        <v>-3.3941190000000003E-2</v>
      </c>
      <c r="S676">
        <v>2.9971619999999999</v>
      </c>
      <c r="T676">
        <v>-9.9296449999999994E-2</v>
      </c>
      <c r="U676">
        <v>-0.1503601</v>
      </c>
      <c r="V676">
        <v>4.2935010000000003E-2</v>
      </c>
      <c r="W676">
        <v>-5.4297440000000002E-2</v>
      </c>
      <c r="X676">
        <v>0.99760130000000002</v>
      </c>
      <c r="Y676">
        <v>5.9057209999999999E-2</v>
      </c>
      <c r="Z676">
        <v>-1.275431E-3</v>
      </c>
      <c r="AA676">
        <v>0.99825379999999997</v>
      </c>
      <c r="AB676">
        <v>44</v>
      </c>
      <c r="AC676">
        <v>31.3827999999999</v>
      </c>
      <c r="AD676">
        <v>-1.0596092447809999</v>
      </c>
      <c r="AE676">
        <v>-1.6101999999999601</v>
      </c>
      <c r="AF676">
        <v>1.8905343230116201</v>
      </c>
      <c r="AG676">
        <v>-1.0596092447809999</v>
      </c>
      <c r="AH676">
        <v>31.3314066134656</v>
      </c>
      <c r="AI676">
        <v>91.933456514173102</v>
      </c>
      <c r="AJ676">
        <v>86.546964360689401</v>
      </c>
      <c r="AK676">
        <v>31.406272178601899</v>
      </c>
      <c r="AL676">
        <v>93.112544866714302</v>
      </c>
      <c r="AM676">
        <v>87.535610993054703</v>
      </c>
      <c r="AN676">
        <v>0.99999999041797105</v>
      </c>
    </row>
    <row r="677" spans="1:40" x14ac:dyDescent="0.25">
      <c r="A677" t="str">
        <f>"20190312151513516"</f>
        <v>20190312151513516</v>
      </c>
      <c r="B677" t="str">
        <f>"1552374913507832"</f>
        <v>1552374913507832</v>
      </c>
      <c r="C677" t="s">
        <v>40</v>
      </c>
      <c r="D677">
        <v>4.5900990000000004</v>
      </c>
      <c r="E677">
        <v>0.55794569999999999</v>
      </c>
      <c r="F677" t="s">
        <v>49</v>
      </c>
      <c r="G677">
        <v>-162.62819999999999</v>
      </c>
      <c r="H677">
        <v>2.9770509999999999</v>
      </c>
      <c r="I677">
        <v>342.50439999999998</v>
      </c>
      <c r="J677">
        <v>-302.13850000000002</v>
      </c>
      <c r="K677">
        <v>1.0595889999999999</v>
      </c>
      <c r="L677">
        <v>369.01839999999999</v>
      </c>
      <c r="M677">
        <v>0.99983440000000001</v>
      </c>
      <c r="N677">
        <v>0</v>
      </c>
      <c r="O677">
        <v>9.0717019999999992E-3</v>
      </c>
      <c r="P677">
        <v>0.99697029999999998</v>
      </c>
      <c r="Q677">
        <v>-6.9902080000000005E-2</v>
      </c>
      <c r="R677">
        <v>-3.4117479999999999E-2</v>
      </c>
      <c r="S677">
        <v>2.9926759999999999</v>
      </c>
      <c r="T677">
        <v>4.1066409999999998E-2</v>
      </c>
      <c r="U677">
        <v>-0.56781009999999998</v>
      </c>
      <c r="V677">
        <v>4.3180469999999999E-2</v>
      </c>
      <c r="W677">
        <v>-5.4154029999999999E-2</v>
      </c>
      <c r="X677">
        <v>0.99759850000000005</v>
      </c>
      <c r="Y677">
        <v>0.19529530000000001</v>
      </c>
      <c r="Z677">
        <v>1.4514619999999999E-3</v>
      </c>
      <c r="AA677">
        <v>0.98074340000000004</v>
      </c>
      <c r="AB677">
        <v>44</v>
      </c>
      <c r="AC677">
        <v>139.5103</v>
      </c>
      <c r="AD677">
        <v>1.917462</v>
      </c>
      <c r="AE677">
        <v>-26.513999999999999</v>
      </c>
      <c r="AF677">
        <v>27.7735984494824</v>
      </c>
      <c r="AG677">
        <v>1.917462</v>
      </c>
      <c r="AH677">
        <v>139.238615048762</v>
      </c>
      <c r="AI677">
        <v>89.226267143163795</v>
      </c>
      <c r="AJ677">
        <v>78.719399153007899</v>
      </c>
      <c r="AK677">
        <v>141.99451169693799</v>
      </c>
      <c r="AL677">
        <v>93.104315974344104</v>
      </c>
      <c r="AM677">
        <v>87.521532620951703</v>
      </c>
      <c r="AN677">
        <v>0.99999998957845504</v>
      </c>
    </row>
    <row r="678" spans="1:40" x14ac:dyDescent="0.25">
      <c r="A678" t="str">
        <f>"20190312151513528"</f>
        <v>20190312151513528</v>
      </c>
      <c r="B678" t="str">
        <f>"1552374913518568"</f>
        <v>1552374913518568</v>
      </c>
      <c r="C678" t="s">
        <v>40</v>
      </c>
      <c r="D678">
        <v>4.6836279999999997</v>
      </c>
      <c r="E678">
        <v>0.55768119999999999</v>
      </c>
      <c r="F678" t="s">
        <v>49</v>
      </c>
      <c r="G678">
        <v>-162.62790000000001</v>
      </c>
      <c r="H678">
        <v>2.0798040000000002</v>
      </c>
      <c r="I678">
        <v>342.6019</v>
      </c>
      <c r="J678">
        <v>-301.92140000000001</v>
      </c>
      <c r="K678">
        <v>1.059574</v>
      </c>
      <c r="L678">
        <v>369.0204</v>
      </c>
      <c r="M678">
        <v>0.99983420000000001</v>
      </c>
      <c r="N678">
        <v>0</v>
      </c>
      <c r="O678">
        <v>9.1392890000000001E-3</v>
      </c>
      <c r="P678">
        <v>0.99700080000000002</v>
      </c>
      <c r="Q678">
        <v>-6.9441649999999994E-2</v>
      </c>
      <c r="R678">
        <v>-3.4167780000000002E-2</v>
      </c>
      <c r="S678">
        <v>2.9913020000000001</v>
      </c>
      <c r="T678">
        <v>2.1874899999999999E-2</v>
      </c>
      <c r="U678">
        <v>-0.56640630000000003</v>
      </c>
      <c r="V678">
        <v>4.3298509999999998E-2</v>
      </c>
      <c r="W678">
        <v>-5.3716550000000002E-2</v>
      </c>
      <c r="X678">
        <v>0.99761710000000003</v>
      </c>
      <c r="Y678">
        <v>0.19501299999999999</v>
      </c>
      <c r="Z678">
        <v>7.7302689999999999E-4</v>
      </c>
      <c r="AA678">
        <v>0.98080029999999996</v>
      </c>
      <c r="AB678">
        <v>44</v>
      </c>
      <c r="AC678">
        <v>139.29349999999999</v>
      </c>
      <c r="AD678">
        <v>1.02023</v>
      </c>
      <c r="AE678">
        <v>-26.418499999999899</v>
      </c>
      <c r="AF678">
        <v>27.689164021082501</v>
      </c>
      <c r="AG678">
        <v>1.02023</v>
      </c>
      <c r="AH678">
        <v>139.039004971606</v>
      </c>
      <c r="AI678">
        <v>89.587683203231293</v>
      </c>
      <c r="AJ678">
        <v>78.737083330445301</v>
      </c>
      <c r="AK678">
        <v>141.77297195493099</v>
      </c>
      <c r="AL678">
        <v>93.079213481280803</v>
      </c>
      <c r="AM678">
        <v>87.514812136396202</v>
      </c>
      <c r="AN678">
        <v>1.00000005346226</v>
      </c>
    </row>
    <row r="679" spans="1:40" x14ac:dyDescent="0.25">
      <c r="A679" t="str">
        <f>"20190312151513540"</f>
        <v>20190312151513540</v>
      </c>
      <c r="B679" t="str">
        <f>"1552374913528329"</f>
        <v>1552374913528329</v>
      </c>
      <c r="C679" t="s">
        <v>40</v>
      </c>
      <c r="D679">
        <v>4.6324540000000001</v>
      </c>
      <c r="E679">
        <v>0.55770959999999903</v>
      </c>
      <c r="F679" t="s">
        <v>49</v>
      </c>
      <c r="G679">
        <v>-162.1464</v>
      </c>
      <c r="H679">
        <v>1.06532</v>
      </c>
      <c r="I679">
        <v>342.64389999999997</v>
      </c>
      <c r="J679">
        <v>-301.69779999999997</v>
      </c>
      <c r="K679">
        <v>1.0595619999999999</v>
      </c>
      <c r="L679">
        <v>369.02249999999998</v>
      </c>
      <c r="M679">
        <v>0.99983390000000005</v>
      </c>
      <c r="N679">
        <v>0</v>
      </c>
      <c r="O679">
        <v>9.2091359999999997E-3</v>
      </c>
      <c r="P679">
        <v>0.99702020000000002</v>
      </c>
      <c r="Q679">
        <v>-6.8999229999999995E-2</v>
      </c>
      <c r="R679">
        <v>-3.4501150000000001E-2</v>
      </c>
      <c r="S679">
        <v>2.989716</v>
      </c>
      <c r="T679">
        <v>1.2302400000000001E-4</v>
      </c>
      <c r="U679">
        <v>-0.56417850000000003</v>
      </c>
      <c r="V679">
        <v>4.3701219999999999E-2</v>
      </c>
      <c r="W679">
        <v>-5.329652E-2</v>
      </c>
      <c r="X679">
        <v>0.99762200000000001</v>
      </c>
      <c r="Y679">
        <v>0.19447629999999999</v>
      </c>
      <c r="Z679" s="1">
        <v>4.3420129999999998E-6</v>
      </c>
      <c r="AA679">
        <v>0.98090719999999998</v>
      </c>
      <c r="AB679">
        <v>44</v>
      </c>
      <c r="AC679">
        <v>139.55139999999901</v>
      </c>
      <c r="AD679">
        <v>5.7579999999999298E-3</v>
      </c>
      <c r="AE679">
        <v>-26.378599999999999</v>
      </c>
      <c r="AF679">
        <v>27.6627878943181</v>
      </c>
      <c r="AG679">
        <v>5.7579999999999298E-3</v>
      </c>
      <c r="AH679">
        <v>139.30252646497399</v>
      </c>
      <c r="AI679">
        <v>89.997677066474097</v>
      </c>
      <c r="AJ679">
        <v>78.768283142853704</v>
      </c>
      <c r="AK679">
        <v>142.02261702547699</v>
      </c>
      <c r="AL679">
        <v>93.055113220690998</v>
      </c>
      <c r="AM679">
        <v>87.491739634944494</v>
      </c>
      <c r="AN679">
        <v>0.99999998527879896</v>
      </c>
    </row>
    <row r="680" spans="1:40" x14ac:dyDescent="0.25">
      <c r="A680" t="str">
        <f>"20190312151513550"</f>
        <v>20190312151513550</v>
      </c>
      <c r="B680" t="str">
        <f>"1552374913548824"</f>
        <v>1552374913548824</v>
      </c>
      <c r="C680" t="s">
        <v>40</v>
      </c>
      <c r="D680">
        <v>4.8171379999999999</v>
      </c>
      <c r="E680">
        <v>0.55770200000000003</v>
      </c>
      <c r="F680" t="s">
        <v>49</v>
      </c>
      <c r="G680">
        <v>-162.322</v>
      </c>
      <c r="H680">
        <v>0.25170049999999999</v>
      </c>
      <c r="I680">
        <v>342.64389999999997</v>
      </c>
      <c r="J680">
        <v>-301.46800000000002</v>
      </c>
      <c r="K680">
        <v>1.0595509999999999</v>
      </c>
      <c r="L680">
        <v>369.0247</v>
      </c>
      <c r="M680">
        <v>0.99983350000000004</v>
      </c>
      <c r="N680">
        <v>0</v>
      </c>
      <c r="O680">
        <v>9.2809439999999993E-3</v>
      </c>
      <c r="P680">
        <v>0.99701360000000006</v>
      </c>
      <c r="Q680">
        <v>-6.8907629999999997E-2</v>
      </c>
      <c r="R680">
        <v>-3.487001E-2</v>
      </c>
      <c r="S680">
        <v>2.9881899999999999</v>
      </c>
      <c r="T680">
        <v>-1.732028E-2</v>
      </c>
      <c r="U680">
        <v>-0.56555180000000005</v>
      </c>
      <c r="V680">
        <v>4.4141529999999998E-2</v>
      </c>
      <c r="W680">
        <v>-5.3227240000000002E-2</v>
      </c>
      <c r="X680">
        <v>0.99760629999999995</v>
      </c>
      <c r="Y680">
        <v>0.19506989999999999</v>
      </c>
      <c r="Z680">
        <v>-6.1369629999999896E-4</v>
      </c>
      <c r="AA680">
        <v>0.98078909999999997</v>
      </c>
      <c r="AB680">
        <v>44</v>
      </c>
      <c r="AC680">
        <v>139.14599999999999</v>
      </c>
      <c r="AD680">
        <v>-0.80785050000000003</v>
      </c>
      <c r="AE680">
        <v>-26.380800000000001</v>
      </c>
      <c r="AF680">
        <v>27.6703288511682</v>
      </c>
      <c r="AG680">
        <v>-0.80785050000000003</v>
      </c>
      <c r="AH680">
        <v>138.89061755478201</v>
      </c>
      <c r="AI680">
        <v>90.326831603532199</v>
      </c>
      <c r="AJ680">
        <v>78.732831531209797</v>
      </c>
      <c r="AK680">
        <v>141.62239711963201</v>
      </c>
      <c r="AL680">
        <v>93.051138167937097</v>
      </c>
      <c r="AM680">
        <v>87.466460697136597</v>
      </c>
      <c r="AN680">
        <v>0.99999997177422295</v>
      </c>
    </row>
    <row r="681" spans="1:40" x14ac:dyDescent="0.25">
      <c r="A681" t="str">
        <f>"20190312151513562"</f>
        <v>20190312151513562</v>
      </c>
      <c r="B681" t="str">
        <f>"1552374913558584"</f>
        <v>1552374913558584</v>
      </c>
      <c r="C681" t="s">
        <v>40</v>
      </c>
      <c r="D681">
        <v>4.6459979999999996</v>
      </c>
      <c r="E681">
        <v>0.55798449999999999</v>
      </c>
      <c r="F681" t="s">
        <v>42</v>
      </c>
      <c r="G681">
        <v>-212.38640000000001</v>
      </c>
      <c r="H681">
        <v>-0.05</v>
      </c>
      <c r="I681">
        <v>352.13209999999998</v>
      </c>
      <c r="J681">
        <v>-301.25810000000001</v>
      </c>
      <c r="K681">
        <v>1.0595429999999999</v>
      </c>
      <c r="L681">
        <v>369.02670000000001</v>
      </c>
      <c r="M681">
        <v>0.99983319999999998</v>
      </c>
      <c r="N681">
        <v>0</v>
      </c>
      <c r="O681">
        <v>9.3465260000000008E-3</v>
      </c>
      <c r="P681">
        <v>0.99701550000000005</v>
      </c>
      <c r="Q681">
        <v>-6.8838919999999998E-2</v>
      </c>
      <c r="R681">
        <v>-3.4950349999999998E-2</v>
      </c>
      <c r="S681">
        <v>2.9865719999999998</v>
      </c>
      <c r="T681">
        <v>-3.7199139999999999E-2</v>
      </c>
      <c r="U681">
        <v>-0.56634519999999899</v>
      </c>
      <c r="V681">
        <v>4.4287340000000001E-2</v>
      </c>
      <c r="W681">
        <v>-5.317707E-2</v>
      </c>
      <c r="X681">
        <v>0.99760249999999995</v>
      </c>
      <c r="Y681">
        <v>0.1954708</v>
      </c>
      <c r="Z681">
        <v>-1.3219639999999999E-3</v>
      </c>
      <c r="AA681">
        <v>0.98070860000000004</v>
      </c>
      <c r="AB681">
        <v>44</v>
      </c>
      <c r="AC681">
        <v>88.871700000000004</v>
      </c>
      <c r="AD681">
        <v>-1.1095429999999999</v>
      </c>
      <c r="AE681">
        <v>-16.894600000000001</v>
      </c>
      <c r="AF681">
        <v>17.7219398312537</v>
      </c>
      <c r="AG681">
        <v>-1.1095429999999999</v>
      </c>
      <c r="AH681">
        <v>88.6965489904008</v>
      </c>
      <c r="AI681">
        <v>90.702810018816606</v>
      </c>
      <c r="AJ681">
        <v>78.700856941292599</v>
      </c>
      <c r="AK681">
        <v>90.456486997108101</v>
      </c>
      <c r="AL681">
        <v>93.048259601905499</v>
      </c>
      <c r="AM681">
        <v>87.458093101699902</v>
      </c>
      <c r="AN681">
        <v>0.99999995863215396</v>
      </c>
    </row>
    <row r="682" spans="1:40" x14ac:dyDescent="0.25">
      <c r="A682" t="str">
        <f>"20190312151513573"</f>
        <v>20190312151513573</v>
      </c>
      <c r="B682" t="str">
        <f>"1552374913568344"</f>
        <v>1552374913568344</v>
      </c>
      <c r="C682" t="s">
        <v>40</v>
      </c>
      <c r="D682">
        <v>4.6046149999999999</v>
      </c>
      <c r="E682">
        <v>0.55818040000000002</v>
      </c>
      <c r="F682" t="s">
        <v>43</v>
      </c>
      <c r="G682">
        <v>-234.9211</v>
      </c>
      <c r="H682">
        <v>7.9985539999999994E-2</v>
      </c>
      <c r="I682">
        <v>356.39109999999999</v>
      </c>
      <c r="J682">
        <v>-301.03890000000001</v>
      </c>
      <c r="K682">
        <v>1.059531</v>
      </c>
      <c r="L682">
        <v>369.02879999999999</v>
      </c>
      <c r="M682">
        <v>0.99983299999999997</v>
      </c>
      <c r="N682">
        <v>0</v>
      </c>
      <c r="O682">
        <v>9.4147940000000006E-3</v>
      </c>
      <c r="P682">
        <v>0.9970154</v>
      </c>
      <c r="Q682">
        <v>-6.8660620000000006E-2</v>
      </c>
      <c r="R682">
        <v>-3.5308069999999997E-2</v>
      </c>
      <c r="S682">
        <v>2.985992</v>
      </c>
      <c r="T682">
        <v>-4.4092300000000001E-2</v>
      </c>
      <c r="U682">
        <v>-0.56875609999999999</v>
      </c>
      <c r="V682">
        <v>4.471286E-2</v>
      </c>
      <c r="W682">
        <v>-5.3017729999999999E-2</v>
      </c>
      <c r="X682">
        <v>0.99759200000000003</v>
      </c>
      <c r="Y682">
        <v>0.19633039999999999</v>
      </c>
      <c r="Z682">
        <v>-1.5743770000000001E-3</v>
      </c>
      <c r="AA682">
        <v>0.98053650000000003</v>
      </c>
      <c r="AB682">
        <v>44</v>
      </c>
      <c r="AC682">
        <v>66.117800000000003</v>
      </c>
      <c r="AD682">
        <v>-0.97954545999999998</v>
      </c>
      <c r="AE682">
        <v>-12.637699999999899</v>
      </c>
      <c r="AF682">
        <v>13.2568944148311</v>
      </c>
      <c r="AG682">
        <v>-0.97954545999999998</v>
      </c>
      <c r="AH682">
        <v>65.981901149871106</v>
      </c>
      <c r="AI682">
        <v>90.833869924421194</v>
      </c>
      <c r="AJ682">
        <v>78.639549665069595</v>
      </c>
      <c r="AK682">
        <v>67.307622437473995</v>
      </c>
      <c r="AL682">
        <v>93.039117194033594</v>
      </c>
      <c r="AM682">
        <v>87.433675566245796</v>
      </c>
      <c r="AN682">
        <v>0.99999995900386496</v>
      </c>
    </row>
    <row r="683" spans="1:40" x14ac:dyDescent="0.25">
      <c r="A683" t="str">
        <f>"20190312151513584"</f>
        <v>20190312151513584</v>
      </c>
      <c r="B683" t="str">
        <f>"1552374913578105"</f>
        <v>1552374913578105</v>
      </c>
      <c r="C683" t="s">
        <v>40</v>
      </c>
      <c r="D683">
        <v>4.6128460000000002</v>
      </c>
      <c r="E683">
        <v>0.55846980000000002</v>
      </c>
      <c r="F683" t="s">
        <v>43</v>
      </c>
      <c r="G683">
        <v>-243.7236</v>
      </c>
      <c r="H683">
        <v>7.9985520000000004E-2</v>
      </c>
      <c r="I683">
        <v>358.06150000000002</v>
      </c>
      <c r="J683">
        <v>-300.8039</v>
      </c>
      <c r="K683">
        <v>1.05952</v>
      </c>
      <c r="L683">
        <v>369.03100000000001</v>
      </c>
      <c r="M683">
        <v>0.99983259999999996</v>
      </c>
      <c r="N683">
        <v>0</v>
      </c>
      <c r="O683">
        <v>9.4878800000000006E-3</v>
      </c>
      <c r="P683">
        <v>0.99700849999999996</v>
      </c>
      <c r="Q683">
        <v>-6.8587090000000003E-2</v>
      </c>
      <c r="R683">
        <v>-3.5639190000000001E-2</v>
      </c>
      <c r="S683">
        <v>2.9852599999999998</v>
      </c>
      <c r="T683">
        <v>-5.1019429999999998E-2</v>
      </c>
      <c r="U683">
        <v>-0.57122799999999996</v>
      </c>
      <c r="V683">
        <v>4.511689E-2</v>
      </c>
      <c r="W683">
        <v>-5.2962769999999999E-2</v>
      </c>
      <c r="X683">
        <v>0.99757680000000004</v>
      </c>
      <c r="Y683">
        <v>0.19722210000000001</v>
      </c>
      <c r="Z683">
        <v>-1.830775E-3</v>
      </c>
      <c r="AA683">
        <v>0.98035709999999998</v>
      </c>
      <c r="AB683">
        <v>44</v>
      </c>
      <c r="AC683">
        <v>57.080300000000001</v>
      </c>
      <c r="AD683">
        <v>-0.97953447999999999</v>
      </c>
      <c r="AE683">
        <v>-10.969499999999901</v>
      </c>
      <c r="AF683">
        <v>11.5073753732106</v>
      </c>
      <c r="AG683">
        <v>-0.97953447999999999</v>
      </c>
      <c r="AH683">
        <v>56.957464233725901</v>
      </c>
      <c r="AI683">
        <v>90.965746615008797</v>
      </c>
      <c r="AJ683">
        <v>78.5780241566613</v>
      </c>
      <c r="AK683">
        <v>58.116537299753503</v>
      </c>
      <c r="AL683">
        <v>93.035963570661195</v>
      </c>
      <c r="AM683">
        <v>87.410478016670595</v>
      </c>
      <c r="AN683">
        <v>1.0000000303337899</v>
      </c>
    </row>
    <row r="684" spans="1:40" x14ac:dyDescent="0.25">
      <c r="A684" t="str">
        <f>"20190312151513595"</f>
        <v>20190312151513595</v>
      </c>
      <c r="B684" t="str">
        <f>"1552374913588840"</f>
        <v>1552374913588840</v>
      </c>
      <c r="C684" t="s">
        <v>40</v>
      </c>
      <c r="D684">
        <v>4.5592110000000003</v>
      </c>
      <c r="E684">
        <v>0.55837429999999999</v>
      </c>
      <c r="F684" t="s">
        <v>43</v>
      </c>
      <c r="G684">
        <v>-249.82060000000001</v>
      </c>
      <c r="H684">
        <v>7.9985399999999998E-2</v>
      </c>
      <c r="I684">
        <v>359.21440000000001</v>
      </c>
      <c r="J684">
        <v>-300.6001</v>
      </c>
      <c r="K684">
        <v>1.059512</v>
      </c>
      <c r="L684">
        <v>369.03300000000002</v>
      </c>
      <c r="M684">
        <v>0.99983219999999995</v>
      </c>
      <c r="N684">
        <v>0</v>
      </c>
      <c r="O684">
        <v>9.5512300000000008E-3</v>
      </c>
      <c r="P684">
        <v>0.9969983</v>
      </c>
      <c r="Q684">
        <v>-6.8575220000000006E-2</v>
      </c>
      <c r="R684">
        <v>-3.5942750000000002E-2</v>
      </c>
      <c r="S684">
        <v>2.984467</v>
      </c>
      <c r="T684">
        <v>-5.734003E-2</v>
      </c>
      <c r="U684">
        <v>-0.57464599999999999</v>
      </c>
      <c r="V684">
        <v>4.5483410000000002E-2</v>
      </c>
      <c r="W684">
        <v>-5.2966659999999999E-2</v>
      </c>
      <c r="X684">
        <v>0.99755990000000005</v>
      </c>
      <c r="Y684">
        <v>0.19840720000000001</v>
      </c>
      <c r="Z684">
        <v>-2.0703470000000002E-3</v>
      </c>
      <c r="AA684">
        <v>0.98011749999999997</v>
      </c>
      <c r="AB684">
        <v>44</v>
      </c>
      <c r="AC684">
        <v>50.779499999999899</v>
      </c>
      <c r="AD684">
        <v>-0.97952659999999903</v>
      </c>
      <c r="AE684">
        <v>-9.8186</v>
      </c>
      <c r="AF684">
        <v>10.299523676035699</v>
      </c>
      <c r="AG684">
        <v>-0.97952659999999903</v>
      </c>
      <c r="AH684">
        <v>50.665219090533199</v>
      </c>
      <c r="AI684">
        <v>91.085384983232004</v>
      </c>
      <c r="AJ684">
        <v>78.509156399709596</v>
      </c>
      <c r="AK684">
        <v>51.710773401729902</v>
      </c>
      <c r="AL684">
        <v>93.036186914829798</v>
      </c>
      <c r="AM684">
        <v>87.389426111933105</v>
      </c>
      <c r="AN684">
        <v>0.99999998087239605</v>
      </c>
    </row>
    <row r="685" spans="1:40" x14ac:dyDescent="0.25">
      <c r="A685" t="str">
        <f>"20190312151513606"</f>
        <v>20190312151513606</v>
      </c>
      <c r="B685" t="str">
        <f>"1552374913598601"</f>
        <v>1552374913598601</v>
      </c>
      <c r="C685" t="s">
        <v>40</v>
      </c>
      <c r="D685">
        <v>4.634125</v>
      </c>
      <c r="E685">
        <v>0.55848039999999999</v>
      </c>
      <c r="F685" t="s">
        <v>43</v>
      </c>
      <c r="G685">
        <v>-251.64</v>
      </c>
      <c r="H685">
        <v>5.695803E-2</v>
      </c>
      <c r="I685">
        <v>359.60939999999999</v>
      </c>
      <c r="J685">
        <v>-300.38909999999998</v>
      </c>
      <c r="K685">
        <v>1.059499</v>
      </c>
      <c r="L685">
        <v>369.0351</v>
      </c>
      <c r="M685">
        <v>0.99983169999999999</v>
      </c>
      <c r="N685">
        <v>0</v>
      </c>
      <c r="O685">
        <v>9.6159409999999994E-3</v>
      </c>
      <c r="P685">
        <v>0.99701229999999996</v>
      </c>
      <c r="Q685">
        <v>-6.8341689999999997E-2</v>
      </c>
      <c r="R685">
        <v>-3.5999629999999998E-2</v>
      </c>
      <c r="S685">
        <v>2.9841310000000001</v>
      </c>
      <c r="T685">
        <v>-6.1105850000000003E-2</v>
      </c>
      <c r="U685">
        <v>-0.57437130000000003</v>
      </c>
      <c r="V685">
        <v>4.5604739999999998E-2</v>
      </c>
      <c r="W685">
        <v>-5.2747960000000003E-2</v>
      </c>
      <c r="X685">
        <v>0.99756599999999995</v>
      </c>
      <c r="Y685">
        <v>0.19839909999999999</v>
      </c>
      <c r="Z685">
        <v>-2.2077849999999999E-3</v>
      </c>
      <c r="AA685">
        <v>0.98011879999999996</v>
      </c>
      <c r="AB685">
        <v>44</v>
      </c>
      <c r="AC685">
        <v>48.749099999999999</v>
      </c>
      <c r="AD685">
        <v>-1.0025409700000001</v>
      </c>
      <c r="AE685">
        <v>-9.4257000000000009</v>
      </c>
      <c r="AF685">
        <v>9.8900577096112503</v>
      </c>
      <c r="AG685">
        <v>-1.0025409700000001</v>
      </c>
      <c r="AH685">
        <v>48.636368919115803</v>
      </c>
      <c r="AI685">
        <v>91.1571940801377</v>
      </c>
      <c r="AJ685">
        <v>78.505795789814201</v>
      </c>
      <c r="AK685">
        <v>49.641864504995198</v>
      </c>
      <c r="AL685">
        <v>93.023638631585399</v>
      </c>
      <c r="AM685">
        <v>87.3824878898089</v>
      </c>
      <c r="AN685">
        <v>1.00000003197531</v>
      </c>
    </row>
    <row r="686" spans="1:40" x14ac:dyDescent="0.25">
      <c r="A686" t="str">
        <f>"20190312151513619"</f>
        <v>20190312151513619</v>
      </c>
      <c r="B686" t="str">
        <f>"1552374913608360"</f>
        <v>1552374913608360</v>
      </c>
      <c r="C686" t="s">
        <v>40</v>
      </c>
      <c r="D686">
        <v>4.592276</v>
      </c>
      <c r="E686">
        <v>0.55851580000000001</v>
      </c>
      <c r="F686" t="s">
        <v>43</v>
      </c>
      <c r="G686">
        <v>-251.58459999999999</v>
      </c>
      <c r="H686">
        <v>7.5366610000000001E-3</v>
      </c>
      <c r="I686">
        <v>359.6164</v>
      </c>
      <c r="J686">
        <v>-300.16460000000001</v>
      </c>
      <c r="K686">
        <v>1.059493</v>
      </c>
      <c r="L686">
        <v>369.03730000000002</v>
      </c>
      <c r="M686">
        <v>0.99983129999999998</v>
      </c>
      <c r="N686">
        <v>0</v>
      </c>
      <c r="O686">
        <v>9.6838059999999997E-3</v>
      </c>
      <c r="P686">
        <v>0.99699660000000001</v>
      </c>
      <c r="Q686">
        <v>-6.8391779999999999E-2</v>
      </c>
      <c r="R686">
        <v>-3.6339209999999997E-2</v>
      </c>
      <c r="S686">
        <v>2.9837950000000002</v>
      </c>
      <c r="T686">
        <v>-6.4314479999999993E-2</v>
      </c>
      <c r="U686">
        <v>-0.57583619999999902</v>
      </c>
      <c r="V686">
        <v>4.6011730000000001E-2</v>
      </c>
      <c r="W686">
        <v>-5.2813569999999997E-2</v>
      </c>
      <c r="X686">
        <v>0.99754379999999998</v>
      </c>
      <c r="Y686">
        <v>0.19894529999999999</v>
      </c>
      <c r="Z686">
        <v>-2.3311209999999998E-3</v>
      </c>
      <c r="AA686">
        <v>0.98000779999999998</v>
      </c>
      <c r="AB686">
        <v>44</v>
      </c>
      <c r="AC686">
        <v>48.58</v>
      </c>
      <c r="AD686">
        <v>-1.051956339</v>
      </c>
      <c r="AE686">
        <v>-9.4209000000000103</v>
      </c>
      <c r="AF686">
        <v>9.8864870024608908</v>
      </c>
      <c r="AG686">
        <v>-1.051956339</v>
      </c>
      <c r="AH686">
        <v>48.464578886339297</v>
      </c>
      <c r="AI686">
        <v>91.218364174557806</v>
      </c>
      <c r="AJ686">
        <v>78.470195455138395</v>
      </c>
      <c r="AK686">
        <v>49.473878400820801</v>
      </c>
      <c r="AL686">
        <v>93.0274031737233</v>
      </c>
      <c r="AM686">
        <v>87.359102683977795</v>
      </c>
      <c r="AN686">
        <v>0.99999999269608797</v>
      </c>
    </row>
    <row r="687" spans="1:40" x14ac:dyDescent="0.25">
      <c r="A687" t="str">
        <f>"20190312151513630"</f>
        <v>20190312151513630</v>
      </c>
      <c r="B687" t="str">
        <f>"1552374913628856"</f>
        <v>1552374913628856</v>
      </c>
      <c r="C687" t="s">
        <v>40</v>
      </c>
      <c r="D687">
        <v>4.6083210000000001</v>
      </c>
      <c r="E687">
        <v>0.55860379999999998</v>
      </c>
      <c r="F687" t="s">
        <v>43</v>
      </c>
      <c r="G687">
        <v>-253.774</v>
      </c>
      <c r="H687" s="1">
        <v>-4.645844E-6</v>
      </c>
      <c r="I687">
        <v>360.06630000000001</v>
      </c>
      <c r="J687">
        <v>-299.91090000000003</v>
      </c>
      <c r="K687">
        <v>1.0594840000000001</v>
      </c>
      <c r="L687">
        <v>369.03980000000001</v>
      </c>
      <c r="M687">
        <v>0.99983089999999997</v>
      </c>
      <c r="N687">
        <v>0</v>
      </c>
      <c r="O687">
        <v>9.7592349999999998E-3</v>
      </c>
      <c r="P687">
        <v>0.99698290000000001</v>
      </c>
      <c r="Q687">
        <v>-6.8492490000000003E-2</v>
      </c>
      <c r="R687">
        <v>-3.6523769999999997E-2</v>
      </c>
      <c r="S687">
        <v>2.983276</v>
      </c>
      <c r="T687">
        <v>-6.8133830000000006E-2</v>
      </c>
      <c r="U687">
        <v>-0.57690430000000004</v>
      </c>
      <c r="V687">
        <v>4.6271090000000001E-2</v>
      </c>
      <c r="W687">
        <v>-5.2930959999999999E-2</v>
      </c>
      <c r="X687">
        <v>0.99752560000000001</v>
      </c>
      <c r="Y687">
        <v>0.19938330000000001</v>
      </c>
      <c r="Z687">
        <v>-2.4765239999999999E-3</v>
      </c>
      <c r="AA687">
        <v>0.97991850000000003</v>
      </c>
      <c r="AB687">
        <v>43</v>
      </c>
      <c r="AC687">
        <v>46.136899999999997</v>
      </c>
      <c r="AD687">
        <v>-1.059488645844</v>
      </c>
      <c r="AE687">
        <v>-8.9734999999999996</v>
      </c>
      <c r="AF687">
        <v>9.4186022856710796</v>
      </c>
      <c r="AG687">
        <v>-1.059488645844</v>
      </c>
      <c r="AH687">
        <v>46.023731404977603</v>
      </c>
      <c r="AI687">
        <v>91.291976436731403</v>
      </c>
      <c r="AJ687">
        <v>78.434304286059799</v>
      </c>
      <c r="AK687">
        <v>46.989535405703201</v>
      </c>
      <c r="AL687">
        <v>93.034138489175902</v>
      </c>
      <c r="AM687">
        <v>87.344189279823198</v>
      </c>
      <c r="AN687">
        <v>1.0000000114758301</v>
      </c>
    </row>
    <row r="688" spans="1:40" x14ac:dyDescent="0.25">
      <c r="A688" t="str">
        <f>"20190312151513642"</f>
        <v>20190312151513642</v>
      </c>
      <c r="B688" t="str">
        <f>"1552374913638616"</f>
        <v>1552374913638616</v>
      </c>
      <c r="C688" t="s">
        <v>40</v>
      </c>
      <c r="D688">
        <v>4.8330419999999998</v>
      </c>
      <c r="E688">
        <v>0.55867339999999999</v>
      </c>
      <c r="F688" t="s">
        <v>43</v>
      </c>
      <c r="G688">
        <v>-256.67340000000002</v>
      </c>
      <c r="H688" s="1">
        <v>-3.5010220000000002E-6</v>
      </c>
      <c r="I688">
        <v>360.66059999999999</v>
      </c>
      <c r="J688">
        <v>-299.7088</v>
      </c>
      <c r="K688">
        <v>1.059472</v>
      </c>
      <c r="L688">
        <v>369.04180000000002</v>
      </c>
      <c r="M688">
        <v>0.99983049999999996</v>
      </c>
      <c r="N688">
        <v>0</v>
      </c>
      <c r="O688">
        <v>9.8169820000000001E-3</v>
      </c>
      <c r="P688">
        <v>0.99698129999999996</v>
      </c>
      <c r="Q688">
        <v>-6.8429959999999998E-2</v>
      </c>
      <c r="R688">
        <v>-3.6684219999999997E-2</v>
      </c>
      <c r="S688">
        <v>2.9828800000000002</v>
      </c>
      <c r="T688">
        <v>-7.3092099999999993E-2</v>
      </c>
      <c r="U688">
        <v>-0.57806400000000002</v>
      </c>
      <c r="V688">
        <v>4.6488830000000002E-2</v>
      </c>
      <c r="W688">
        <v>-5.288064E-2</v>
      </c>
      <c r="X688">
        <v>0.99751809999999996</v>
      </c>
      <c r="Y688">
        <v>0.19982330000000001</v>
      </c>
      <c r="Z688">
        <v>-2.663688E-3</v>
      </c>
      <c r="AA688">
        <v>0.97982840000000004</v>
      </c>
      <c r="AB688">
        <v>43</v>
      </c>
      <c r="AC688">
        <v>43.035399999999903</v>
      </c>
      <c r="AD688">
        <v>-1.0594755010220001</v>
      </c>
      <c r="AE688">
        <v>-8.38120000000003</v>
      </c>
      <c r="AF688">
        <v>8.7981874831313593</v>
      </c>
      <c r="AG688">
        <v>-1.0594755010220001</v>
      </c>
      <c r="AH688">
        <v>42.925971762799399</v>
      </c>
      <c r="AI688">
        <v>91.385074052597801</v>
      </c>
      <c r="AJ688">
        <v>78.416970320163301</v>
      </c>
      <c r="AK688">
        <v>43.831149233236502</v>
      </c>
      <c r="AL688">
        <v>93.031251458240504</v>
      </c>
      <c r="AM688">
        <v>87.331689695826199</v>
      </c>
      <c r="AN688">
        <v>0.99999996661459301</v>
      </c>
    </row>
    <row r="689" spans="1:40" x14ac:dyDescent="0.25">
      <c r="A689" t="str">
        <f>"20190312151513655"</f>
        <v>20190312151513655</v>
      </c>
      <c r="B689" t="str">
        <f>"1552374913648377"</f>
        <v>1552374913648377</v>
      </c>
      <c r="C689" t="s">
        <v>40</v>
      </c>
      <c r="D689">
        <v>4.8235939999999999</v>
      </c>
      <c r="E689">
        <v>0.55858960000000002</v>
      </c>
      <c r="F689" t="s">
        <v>43</v>
      </c>
      <c r="G689">
        <v>-255.35339999999999</v>
      </c>
      <c r="H689" s="1">
        <v>-4.011668E-6</v>
      </c>
      <c r="I689">
        <v>360.42970000000003</v>
      </c>
      <c r="J689">
        <v>-299.45600000000002</v>
      </c>
      <c r="K689">
        <v>1.059466</v>
      </c>
      <c r="L689">
        <v>369.04430000000002</v>
      </c>
      <c r="M689">
        <v>0.99982990000000005</v>
      </c>
      <c r="N689">
        <v>0</v>
      </c>
      <c r="O689">
        <v>9.8881430000000003E-3</v>
      </c>
      <c r="P689">
        <v>0.9969848</v>
      </c>
      <c r="Q689">
        <v>-6.8406060000000005E-2</v>
      </c>
      <c r="R689">
        <v>-3.6630799999999998E-2</v>
      </c>
      <c r="S689">
        <v>2.9828800000000002</v>
      </c>
      <c r="T689">
        <v>-7.1249129999999994E-2</v>
      </c>
      <c r="U689">
        <v>-0.57916259999999997</v>
      </c>
      <c r="V689">
        <v>4.650605E-2</v>
      </c>
      <c r="W689">
        <v>-5.2871580000000001E-2</v>
      </c>
      <c r="X689">
        <v>0.99751780000000001</v>
      </c>
      <c r="Y689">
        <v>0.2002437</v>
      </c>
      <c r="Z689">
        <v>-2.6031119999999999E-3</v>
      </c>
      <c r="AA689">
        <v>0.97974260000000002</v>
      </c>
      <c r="AB689">
        <v>43</v>
      </c>
      <c r="AC689">
        <v>44.102599999999903</v>
      </c>
      <c r="AD689">
        <v>-1.059470011668</v>
      </c>
      <c r="AE689">
        <v>-8.6145999999999905</v>
      </c>
      <c r="AF689">
        <v>9.0452962489456503</v>
      </c>
      <c r="AG689">
        <v>-1.059470011668</v>
      </c>
      <c r="AH689">
        <v>43.990796682990798</v>
      </c>
      <c r="AI689">
        <v>91.351378462194901</v>
      </c>
      <c r="AJ689">
        <v>78.380901387309393</v>
      </c>
      <c r="AK689">
        <v>44.923602412774599</v>
      </c>
      <c r="AL689">
        <v>93.030731563394596</v>
      </c>
      <c r="AM689">
        <v>87.330701950479806</v>
      </c>
      <c r="AN689">
        <v>0.99999998898756903</v>
      </c>
    </row>
    <row r="690" spans="1:40" x14ac:dyDescent="0.25">
      <c r="A690" t="str">
        <f>"20190312151513667"</f>
        <v>20190312151513667</v>
      </c>
      <c r="B690" t="str">
        <f>"1552374913658136"</f>
        <v>1552374913658136</v>
      </c>
      <c r="C690" t="s">
        <v>40</v>
      </c>
      <c r="D690">
        <v>4.5847429999999996</v>
      </c>
      <c r="E690">
        <v>0.55853439999999999</v>
      </c>
      <c r="F690" t="s">
        <v>43</v>
      </c>
      <c r="G690">
        <v>-254.41130000000001</v>
      </c>
      <c r="H690" s="1">
        <v>-4.3639229999999901E-6</v>
      </c>
      <c r="I690">
        <v>360.3107</v>
      </c>
      <c r="J690">
        <v>-299.20499999999998</v>
      </c>
      <c r="K690">
        <v>1.059458</v>
      </c>
      <c r="L690">
        <v>369.04689999999999</v>
      </c>
      <c r="M690">
        <v>0.99982950000000004</v>
      </c>
      <c r="N690">
        <v>0</v>
      </c>
      <c r="O690">
        <v>9.9544500000000001E-3</v>
      </c>
      <c r="P690">
        <v>0.99697809999999998</v>
      </c>
      <c r="Q690">
        <v>-6.8490140000000005E-2</v>
      </c>
      <c r="R690">
        <v>-3.6659329999999997E-2</v>
      </c>
      <c r="S690">
        <v>2.9830019999999999</v>
      </c>
      <c r="T690">
        <v>-7.0161340000000003E-2</v>
      </c>
      <c r="U690">
        <v>-0.57836909999999997</v>
      </c>
      <c r="V690">
        <v>4.6600089999999997E-2</v>
      </c>
      <c r="W690">
        <v>-5.2969490000000001E-2</v>
      </c>
      <c r="X690">
        <v>0.99750819999999996</v>
      </c>
      <c r="Y690">
        <v>0.2000518</v>
      </c>
      <c r="Z690">
        <v>-2.562651E-3</v>
      </c>
      <c r="AA690">
        <v>0.97978200000000004</v>
      </c>
      <c r="AB690">
        <v>43</v>
      </c>
      <c r="AC690">
        <v>44.793699999999902</v>
      </c>
      <c r="AD690">
        <v>-1.0594623639229901</v>
      </c>
      <c r="AE690">
        <v>-8.7361999999999895</v>
      </c>
      <c r="AF690">
        <v>9.1767720837014402</v>
      </c>
      <c r="AG690">
        <v>-1.0594623639229901</v>
      </c>
      <c r="AH690">
        <v>44.6804263262812</v>
      </c>
      <c r="AI690">
        <v>91.330578876800104</v>
      </c>
      <c r="AJ690">
        <v>78.393604356029897</v>
      </c>
      <c r="AK690">
        <v>45.625388799165499</v>
      </c>
      <c r="AL690">
        <v>93.036349316299393</v>
      </c>
      <c r="AM690">
        <v>87.325286482842102</v>
      </c>
      <c r="AN690">
        <v>0.99999997216305303</v>
      </c>
    </row>
    <row r="691" spans="1:40" x14ac:dyDescent="0.25">
      <c r="A691" t="str">
        <f>"20190312151513681"</f>
        <v>20190312151513681</v>
      </c>
      <c r="B691" t="str">
        <f>"1552374913668873"</f>
        <v>1552374913668873</v>
      </c>
      <c r="C691" t="s">
        <v>40</v>
      </c>
      <c r="D691">
        <v>4.7430969999999997</v>
      </c>
      <c r="E691">
        <v>0.55853069999999905</v>
      </c>
      <c r="F691" t="s">
        <v>43</v>
      </c>
      <c r="G691">
        <v>-254.048</v>
      </c>
      <c r="H691" s="1">
        <v>-4.4905459999999996E-6</v>
      </c>
      <c r="I691">
        <v>360.29950000000002</v>
      </c>
      <c r="J691">
        <v>-298.9581</v>
      </c>
      <c r="K691">
        <v>1.0594539999999999</v>
      </c>
      <c r="L691">
        <v>369.04939999999999</v>
      </c>
      <c r="M691">
        <v>0.99982919999999997</v>
      </c>
      <c r="N691">
        <v>0</v>
      </c>
      <c r="O691">
        <v>1.001705E-2</v>
      </c>
      <c r="P691">
        <v>0.99698290000000001</v>
      </c>
      <c r="Q691">
        <v>-6.8406149999999999E-2</v>
      </c>
      <c r="R691">
        <v>-3.6688789999999999E-2</v>
      </c>
      <c r="S691">
        <v>2.983063</v>
      </c>
      <c r="T691">
        <v>-6.9987770000000005E-2</v>
      </c>
      <c r="U691">
        <v>-0.57785030000000004</v>
      </c>
      <c r="V691">
        <v>4.6691219999999999E-2</v>
      </c>
      <c r="W691">
        <v>-5.2898269999999997E-2</v>
      </c>
      <c r="X691">
        <v>0.99750779999999994</v>
      </c>
      <c r="Y691">
        <v>0.1999454</v>
      </c>
      <c r="Z691">
        <v>-2.5565230000000002E-3</v>
      </c>
      <c r="AA691">
        <v>0.97980370000000006</v>
      </c>
      <c r="AB691">
        <v>43</v>
      </c>
      <c r="AC691">
        <v>44.9101</v>
      </c>
      <c r="AD691">
        <v>-1.0594584905460001</v>
      </c>
      <c r="AE691">
        <v>-8.7498999999999594</v>
      </c>
      <c r="AF691">
        <v>9.1944521270148805</v>
      </c>
      <c r="AG691">
        <v>-1.0594584905460001</v>
      </c>
      <c r="AH691">
        <v>44.796169274739697</v>
      </c>
      <c r="AI691">
        <v>91.327172894820293</v>
      </c>
      <c r="AJ691">
        <v>78.401081084081099</v>
      </c>
      <c r="AK691">
        <v>45.742290977828098</v>
      </c>
      <c r="AL691">
        <v>93.032262733339607</v>
      </c>
      <c r="AM691">
        <v>87.320062423386503</v>
      </c>
      <c r="AN691">
        <v>1.0000000540274501</v>
      </c>
    </row>
    <row r="692" spans="1:40" x14ac:dyDescent="0.25">
      <c r="A692" t="str">
        <f>"20190312151513697"</f>
        <v>20190312151513697</v>
      </c>
      <c r="B692" t="str">
        <f>"1552374913688392"</f>
        <v>1552374913688392</v>
      </c>
      <c r="C692" t="s">
        <v>40</v>
      </c>
      <c r="D692">
        <v>4.5753139999999997</v>
      </c>
      <c r="E692">
        <v>0.55838580000000004</v>
      </c>
      <c r="F692" t="s">
        <v>43</v>
      </c>
      <c r="G692">
        <v>-253.29599999999999</v>
      </c>
      <c r="H692" s="1">
        <v>-4.7724280000000002E-6</v>
      </c>
      <c r="I692">
        <v>360.20179999999999</v>
      </c>
      <c r="J692">
        <v>-298.64929999999998</v>
      </c>
      <c r="K692">
        <v>1.0594479999999999</v>
      </c>
      <c r="L692">
        <v>369.05259999999998</v>
      </c>
      <c r="M692">
        <v>0.99982870000000001</v>
      </c>
      <c r="N692">
        <v>0</v>
      </c>
      <c r="O692">
        <v>1.0091849999999999E-2</v>
      </c>
      <c r="P692">
        <v>0.9969903</v>
      </c>
      <c r="Q692">
        <v>-6.827366E-2</v>
      </c>
      <c r="R692">
        <v>-3.6733710000000003E-2</v>
      </c>
      <c r="S692">
        <v>2.983063</v>
      </c>
      <c r="T692">
        <v>-6.921339E-2</v>
      </c>
      <c r="U692">
        <v>-0.57800289999999999</v>
      </c>
      <c r="V692">
        <v>4.6810110000000002E-2</v>
      </c>
      <c r="W692">
        <v>-5.2780939999999998E-2</v>
      </c>
      <c r="X692">
        <v>0.99750839999999996</v>
      </c>
      <c r="Y692">
        <v>0.2000682</v>
      </c>
      <c r="Z692">
        <v>-2.531363E-3</v>
      </c>
      <c r="AA692">
        <v>0.9797787</v>
      </c>
      <c r="AB692">
        <v>43</v>
      </c>
      <c r="AC692">
        <v>45.353299999999898</v>
      </c>
      <c r="AD692">
        <v>-1.0594527724279901</v>
      </c>
      <c r="AE692">
        <v>-8.8507999999999907</v>
      </c>
      <c r="AF692">
        <v>9.3032125588248604</v>
      </c>
      <c r="AG692">
        <v>-1.0594527724279901</v>
      </c>
      <c r="AH692">
        <v>45.237878001947003</v>
      </c>
      <c r="AI692">
        <v>91.314108064910499</v>
      </c>
      <c r="AJ692">
        <v>78.379085889699994</v>
      </c>
      <c r="AK692">
        <v>46.196729431970901</v>
      </c>
      <c r="AL692">
        <v>93.025530945639701</v>
      </c>
      <c r="AM692">
        <v>87.313250090098094</v>
      </c>
      <c r="AN692">
        <v>1.0000000110480201</v>
      </c>
    </row>
    <row r="693" spans="1:40" x14ac:dyDescent="0.25">
      <c r="A693" t="str">
        <f>"20190312151513708"</f>
        <v>20190312151513708</v>
      </c>
      <c r="B693" t="str">
        <f>"1552374913698153"</f>
        <v>1552374913698153</v>
      </c>
      <c r="C693" t="s">
        <v>40</v>
      </c>
      <c r="D693">
        <v>4.6804249999999996</v>
      </c>
      <c r="E693">
        <v>0.55831809999999904</v>
      </c>
      <c r="F693" t="s">
        <v>43</v>
      </c>
      <c r="G693">
        <v>-251.09690000000001</v>
      </c>
      <c r="H693" s="1">
        <v>-5.6127420000000004E-6</v>
      </c>
      <c r="I693">
        <v>359.8562</v>
      </c>
      <c r="J693">
        <v>-298.40629999999999</v>
      </c>
      <c r="K693">
        <v>1.0594399999999999</v>
      </c>
      <c r="L693">
        <v>369.05509999999998</v>
      </c>
      <c r="M693">
        <v>0.9998283</v>
      </c>
      <c r="N693">
        <v>0</v>
      </c>
      <c r="O693">
        <v>1.014751E-2</v>
      </c>
      <c r="P693">
        <v>0.99700350000000004</v>
      </c>
      <c r="Q693">
        <v>-6.8098829999999999E-2</v>
      </c>
      <c r="R693">
        <v>-3.6700990000000003E-2</v>
      </c>
      <c r="S693">
        <v>2.983215</v>
      </c>
      <c r="T693">
        <v>-6.6465140000000006E-2</v>
      </c>
      <c r="U693">
        <v>-0.57693479999999997</v>
      </c>
      <c r="V693">
        <v>4.6832390000000002E-2</v>
      </c>
      <c r="W693">
        <v>-5.2617160000000003E-2</v>
      </c>
      <c r="X693">
        <v>0.99751599999999996</v>
      </c>
      <c r="Y693">
        <v>0.1997795</v>
      </c>
      <c r="Z693">
        <v>-2.4288790000000001E-3</v>
      </c>
      <c r="AA693">
        <v>0.97983779999999998</v>
      </c>
      <c r="AB693">
        <v>43</v>
      </c>
      <c r="AC693">
        <v>47.309399999999897</v>
      </c>
      <c r="AD693">
        <v>-1.059445612742</v>
      </c>
      <c r="AE693">
        <v>-9.1988999999999805</v>
      </c>
      <c r="AF693">
        <v>9.6738819622245593</v>
      </c>
      <c r="AG693">
        <v>-1.059445612742</v>
      </c>
      <c r="AH693">
        <v>47.190802847886403</v>
      </c>
      <c r="AI693">
        <v>91.2598976875924</v>
      </c>
      <c r="AJ693">
        <v>78.4151448177563</v>
      </c>
      <c r="AK693">
        <v>48.1837969721512</v>
      </c>
      <c r="AL693">
        <v>93.016134005789695</v>
      </c>
      <c r="AM693">
        <v>87.311993614687495</v>
      </c>
      <c r="AN693">
        <v>1.0000000042677799</v>
      </c>
    </row>
    <row r="694" spans="1:40" x14ac:dyDescent="0.25">
      <c r="A694" t="str">
        <f>"20190312151513719"</f>
        <v>20190312151513719</v>
      </c>
      <c r="B694" t="str">
        <f>"1552374913708888"</f>
        <v>1552374913708888</v>
      </c>
      <c r="C694" t="s">
        <v>40</v>
      </c>
      <c r="D694">
        <v>4.609362</v>
      </c>
      <c r="E694">
        <v>0.55828120000000003</v>
      </c>
      <c r="F694" t="s">
        <v>43</v>
      </c>
      <c r="G694">
        <v>-249.61500000000001</v>
      </c>
      <c r="H694" s="1">
        <v>-2.7891359999999998E-6</v>
      </c>
      <c r="I694">
        <v>359.63010000000003</v>
      </c>
      <c r="J694">
        <v>-298.21210000000002</v>
      </c>
      <c r="K694">
        <v>1.0594349999999999</v>
      </c>
      <c r="L694">
        <v>369.05709999999999</v>
      </c>
      <c r="M694">
        <v>0.99982789999999999</v>
      </c>
      <c r="N694">
        <v>0</v>
      </c>
      <c r="O694">
        <v>1.0190299999999999E-2</v>
      </c>
      <c r="P694">
        <v>0.9970251</v>
      </c>
      <c r="Q694">
        <v>-6.7867529999999995E-2</v>
      </c>
      <c r="R694">
        <v>-3.6540599999999999E-2</v>
      </c>
      <c r="S694">
        <v>2.983368</v>
      </c>
      <c r="T694">
        <v>-6.4780240000000003E-2</v>
      </c>
      <c r="U694">
        <v>-0.57629390000000003</v>
      </c>
      <c r="V694">
        <v>4.671434E-2</v>
      </c>
      <c r="W694">
        <v>-5.2394099999999999E-2</v>
      </c>
      <c r="X694">
        <v>0.99753329999999996</v>
      </c>
      <c r="Y694">
        <v>0.19961180000000001</v>
      </c>
      <c r="Z694">
        <v>-2.366366E-3</v>
      </c>
      <c r="AA694">
        <v>0.97987219999999997</v>
      </c>
      <c r="AB694">
        <v>43</v>
      </c>
      <c r="AC694">
        <v>48.597099999999998</v>
      </c>
      <c r="AD694">
        <v>-1.0594377891360001</v>
      </c>
      <c r="AE694">
        <v>-9.4269999999999605</v>
      </c>
      <c r="AF694">
        <v>9.9172466214607198</v>
      </c>
      <c r="AG694">
        <v>-1.0594377891360001</v>
      </c>
      <c r="AH694">
        <v>48.476297314551402</v>
      </c>
      <c r="AI694">
        <v>91.226589211046104</v>
      </c>
      <c r="AJ694">
        <v>78.438008288941504</v>
      </c>
      <c r="AK694">
        <v>49.491671928807499</v>
      </c>
      <c r="AL694">
        <v>93.003335884799995</v>
      </c>
      <c r="AM694">
        <v>87.318805781265993</v>
      </c>
      <c r="AN694">
        <v>1.00000002794266</v>
      </c>
    </row>
    <row r="695" spans="1:40" x14ac:dyDescent="0.25">
      <c r="A695" t="str">
        <f>"20190312151513730"</f>
        <v>20190312151513730</v>
      </c>
      <c r="B695" t="str">
        <f>"1552374913718648"</f>
        <v>1552374913718648</v>
      </c>
      <c r="C695" t="s">
        <v>40</v>
      </c>
      <c r="D695">
        <v>4.5678729999999996</v>
      </c>
      <c r="E695">
        <v>0.55831169999999997</v>
      </c>
      <c r="F695" t="s">
        <v>43</v>
      </c>
      <c r="G695">
        <v>-249.2894</v>
      </c>
      <c r="H695">
        <v>2.3447200000000001E-2</v>
      </c>
      <c r="I695">
        <v>359.61630000000002</v>
      </c>
      <c r="J695">
        <v>-297.99189999999999</v>
      </c>
      <c r="K695">
        <v>1.059431</v>
      </c>
      <c r="L695">
        <v>369.05939999999998</v>
      </c>
      <c r="M695">
        <v>0.99982749999999998</v>
      </c>
      <c r="N695">
        <v>0</v>
      </c>
      <c r="O695">
        <v>1.0237080000000001E-2</v>
      </c>
      <c r="P695">
        <v>0.99700250000000001</v>
      </c>
      <c r="Q695">
        <v>-6.8075090000000005E-2</v>
      </c>
      <c r="R695">
        <v>-3.6763789999999998E-2</v>
      </c>
      <c r="S695">
        <v>2.9835509999999998</v>
      </c>
      <c r="T695">
        <v>-6.3179730000000003E-2</v>
      </c>
      <c r="U695">
        <v>-0.57574459999999905</v>
      </c>
      <c r="V695">
        <v>4.6983570000000002E-2</v>
      </c>
      <c r="W695">
        <v>-5.2611289999999998E-2</v>
      </c>
      <c r="X695">
        <v>0.99750919999999998</v>
      </c>
      <c r="Y695">
        <v>0.19947480000000001</v>
      </c>
      <c r="Z695">
        <v>-2.3073600000000001E-3</v>
      </c>
      <c r="AA695">
        <v>0.9799002</v>
      </c>
      <c r="AB695">
        <v>43</v>
      </c>
      <c r="AC695">
        <v>48.702499999999901</v>
      </c>
      <c r="AD695">
        <v>-1.0359837999999999</v>
      </c>
      <c r="AE695">
        <v>-9.4430999999999603</v>
      </c>
      <c r="AF695">
        <v>9.9369029516553091</v>
      </c>
      <c r="AG695">
        <v>-1.0359837999999999</v>
      </c>
      <c r="AH695">
        <v>48.582079844539798</v>
      </c>
      <c r="AI695">
        <v>91.196841514259205</v>
      </c>
      <c r="AJ695">
        <v>78.440254825013298</v>
      </c>
      <c r="AK695">
        <v>49.598727652286797</v>
      </c>
      <c r="AL695">
        <v>93.015797214233402</v>
      </c>
      <c r="AM695">
        <v>87.303310872639599</v>
      </c>
      <c r="AN695">
        <v>1.0000000038850201</v>
      </c>
    </row>
    <row r="696" spans="1:40" x14ac:dyDescent="0.25">
      <c r="A696" t="str">
        <f>"20190312151513741"</f>
        <v>20190312151513741</v>
      </c>
      <c r="B696" t="str">
        <f>"1552374913738168"</f>
        <v>1552374913738168</v>
      </c>
      <c r="C696" t="s">
        <v>40</v>
      </c>
      <c r="D696">
        <v>4.5545739999999997</v>
      </c>
      <c r="E696">
        <v>0.55864539999999996</v>
      </c>
      <c r="F696" t="s">
        <v>43</v>
      </c>
      <c r="G696">
        <v>-249.97710000000001</v>
      </c>
      <c r="H696" s="1">
        <v>-6.0267820000000004E-6</v>
      </c>
      <c r="I696">
        <v>359.78059999999999</v>
      </c>
      <c r="J696">
        <v>-297.79070000000002</v>
      </c>
      <c r="K696">
        <v>1.0594220000000001</v>
      </c>
      <c r="L696">
        <v>369.06139999999999</v>
      </c>
      <c r="M696">
        <v>0.99982740000000003</v>
      </c>
      <c r="N696">
        <v>0</v>
      </c>
      <c r="O696">
        <v>1.027749E-2</v>
      </c>
      <c r="P696">
        <v>0.9970137</v>
      </c>
      <c r="Q696">
        <v>-6.7916999999999894E-2</v>
      </c>
      <c r="R696">
        <v>-3.6761009999999997E-2</v>
      </c>
      <c r="S696">
        <v>2.983276</v>
      </c>
      <c r="T696">
        <v>-6.5825339999999996E-2</v>
      </c>
      <c r="U696">
        <v>-0.57650760000000001</v>
      </c>
      <c r="V696">
        <v>4.7020550000000001E-2</v>
      </c>
      <c r="W696">
        <v>-5.2461069999999999E-2</v>
      </c>
      <c r="X696">
        <v>0.99751540000000005</v>
      </c>
      <c r="Y696">
        <v>0.1997689</v>
      </c>
      <c r="Z696">
        <v>-2.4082140000000001E-3</v>
      </c>
      <c r="AA696">
        <v>0.97984009999999999</v>
      </c>
      <c r="AB696">
        <v>43</v>
      </c>
      <c r="AC696">
        <v>47.813600000000001</v>
      </c>
      <c r="AD696">
        <v>-1.05942802678199</v>
      </c>
      <c r="AE696">
        <v>-9.2807999999999993</v>
      </c>
      <c r="AF696">
        <v>9.7671512743872508</v>
      </c>
      <c r="AG696">
        <v>-1.05942802678199</v>
      </c>
      <c r="AH696">
        <v>47.693114452594898</v>
      </c>
      <c r="AI696">
        <v>91.246661616039304</v>
      </c>
      <c r="AJ696">
        <v>78.426330754492696</v>
      </c>
      <c r="AK696">
        <v>48.694484266177597</v>
      </c>
      <c r="AL696">
        <v>93.007178247290696</v>
      </c>
      <c r="AM696">
        <v>87.301208239063001</v>
      </c>
      <c r="AN696">
        <v>1.0000000346125</v>
      </c>
    </row>
    <row r="697" spans="1:40" x14ac:dyDescent="0.25">
      <c r="A697" t="str">
        <f>"20190312151513751"</f>
        <v>20190312151513751</v>
      </c>
      <c r="B697" t="str">
        <f>"1552374913748906"</f>
        <v>1552374913748906</v>
      </c>
      <c r="C697" t="s">
        <v>40</v>
      </c>
      <c r="D697">
        <v>4.5711219999999999</v>
      </c>
      <c r="E697">
        <v>0.5585504</v>
      </c>
      <c r="F697" t="s">
        <v>43</v>
      </c>
      <c r="G697">
        <v>-251.87180000000001</v>
      </c>
      <c r="H697" s="1">
        <v>-5.2721119999999901E-6</v>
      </c>
      <c r="I697">
        <v>360.1454</v>
      </c>
      <c r="J697">
        <v>-297.58359999999999</v>
      </c>
      <c r="K697">
        <v>1.059418</v>
      </c>
      <c r="L697">
        <v>369.06360000000001</v>
      </c>
      <c r="M697">
        <v>0.99982700000000002</v>
      </c>
      <c r="N697">
        <v>0</v>
      </c>
      <c r="O697">
        <v>1.0318549999999999E-2</v>
      </c>
      <c r="P697">
        <v>0.99700440000000001</v>
      </c>
      <c r="Q697">
        <v>-6.7915420000000004E-2</v>
      </c>
      <c r="R697">
        <v>-3.7008350000000002E-2</v>
      </c>
      <c r="S697">
        <v>2.9829409999999998</v>
      </c>
      <c r="T697">
        <v>-6.8821309999999997E-2</v>
      </c>
      <c r="U697">
        <v>-0.57919309999999902</v>
      </c>
      <c r="V697">
        <v>4.7308330000000003E-2</v>
      </c>
      <c r="W697">
        <v>-5.2467760000000002E-2</v>
      </c>
      <c r="X697">
        <v>0.99750139999999998</v>
      </c>
      <c r="Y697">
        <v>0.20067499999999999</v>
      </c>
      <c r="Z697">
        <v>-2.5291519999999998E-3</v>
      </c>
      <c r="AA697">
        <v>0.97965460000000004</v>
      </c>
      <c r="AB697">
        <v>43</v>
      </c>
      <c r="AC697">
        <v>45.711799999999897</v>
      </c>
      <c r="AD697">
        <v>-1.059423272112</v>
      </c>
      <c r="AE697">
        <v>-8.9182000000000095</v>
      </c>
      <c r="AF697">
        <v>9.3846051320350803</v>
      </c>
      <c r="AG697">
        <v>-1.059423272112</v>
      </c>
      <c r="AH697">
        <v>45.5937399512284</v>
      </c>
      <c r="AI697">
        <v>91.303772311553402</v>
      </c>
      <c r="AJ697">
        <v>78.369188637604594</v>
      </c>
      <c r="AK697">
        <v>46.561596986078101</v>
      </c>
      <c r="AL697">
        <v>93.007562208534694</v>
      </c>
      <c r="AM697">
        <v>87.284677408932296</v>
      </c>
      <c r="AN697">
        <v>0.99999999346438295</v>
      </c>
    </row>
    <row r="698" spans="1:40" x14ac:dyDescent="0.25">
      <c r="A698" t="str">
        <f>"20190312151513762"</f>
        <v>20190312151513762</v>
      </c>
      <c r="B698" t="str">
        <f>"1552374913758664"</f>
        <v>1552374913758664</v>
      </c>
      <c r="C698" t="s">
        <v>40</v>
      </c>
      <c r="D698">
        <v>4.5460719999999997</v>
      </c>
      <c r="E698">
        <v>0.55846149999999894</v>
      </c>
      <c r="F698" t="s">
        <v>43</v>
      </c>
      <c r="G698">
        <v>-252.61869999999999</v>
      </c>
      <c r="H698" s="1">
        <v>-4.968854E-6</v>
      </c>
      <c r="I698">
        <v>360.32990000000001</v>
      </c>
      <c r="J698">
        <v>-297.37299999999999</v>
      </c>
      <c r="K698">
        <v>1.0594140000000001</v>
      </c>
      <c r="L698">
        <v>369.06580000000002</v>
      </c>
      <c r="M698">
        <v>0.99982660000000001</v>
      </c>
      <c r="N698">
        <v>0</v>
      </c>
      <c r="O698">
        <v>1.0357959999999999E-2</v>
      </c>
      <c r="P698">
        <v>0.99700719999999998</v>
      </c>
      <c r="Q698">
        <v>-6.7795010000000003E-2</v>
      </c>
      <c r="R698">
        <v>-3.7156550000000003E-2</v>
      </c>
      <c r="S698">
        <v>2.9827270000000001</v>
      </c>
      <c r="T698">
        <v>-7.0276140000000001E-2</v>
      </c>
      <c r="U698">
        <v>-0.57934569999999996</v>
      </c>
      <c r="V698">
        <v>4.7495450000000002E-2</v>
      </c>
      <c r="W698">
        <v>-5.2354869999999998E-2</v>
      </c>
      <c r="X698">
        <v>0.99749849999999995</v>
      </c>
      <c r="Y698">
        <v>0.2007726</v>
      </c>
      <c r="Z698">
        <v>-2.5848310000000001E-3</v>
      </c>
      <c r="AA698">
        <v>0.97963449999999996</v>
      </c>
      <c r="AB698">
        <v>43</v>
      </c>
      <c r="AC698">
        <v>44.754300000000001</v>
      </c>
      <c r="AD698">
        <v>-1.0594189688540001</v>
      </c>
      <c r="AE698">
        <v>-8.7359000000000098</v>
      </c>
      <c r="AF698">
        <v>9.1940871267381201</v>
      </c>
      <c r="AG698">
        <v>-1.0594189688540001</v>
      </c>
      <c r="AH698">
        <v>44.637306799698401</v>
      </c>
      <c r="AI698">
        <v>91.331655194590098</v>
      </c>
      <c r="AJ698">
        <v>78.361374808695501</v>
      </c>
      <c r="AK698">
        <v>45.586651170885801</v>
      </c>
      <c r="AL698">
        <v>93.001085004439602</v>
      </c>
      <c r="AM698">
        <v>87.273945670886107</v>
      </c>
      <c r="AN698">
        <v>1.00000005384283</v>
      </c>
    </row>
    <row r="699" spans="1:40" x14ac:dyDescent="0.25">
      <c r="A699" t="str">
        <f>"20190312151513774"</f>
        <v>20190312151513774</v>
      </c>
      <c r="B699" t="str">
        <f>"1552374913768425"</f>
        <v>1552374913768425</v>
      </c>
      <c r="C699" t="s">
        <v>40</v>
      </c>
      <c r="D699">
        <v>4.6168950000000004</v>
      </c>
      <c r="E699">
        <v>0.55852599999999997</v>
      </c>
      <c r="F699" t="s">
        <v>43</v>
      </c>
      <c r="G699">
        <v>-253.01740000000001</v>
      </c>
      <c r="H699" s="1">
        <v>-4.8005029999999999E-6</v>
      </c>
      <c r="I699">
        <v>360.45269999999999</v>
      </c>
      <c r="J699">
        <v>-297.14319999999998</v>
      </c>
      <c r="K699">
        <v>1.059407</v>
      </c>
      <c r="L699">
        <v>369.06819999999999</v>
      </c>
      <c r="M699">
        <v>0.9998264</v>
      </c>
      <c r="N699">
        <v>0</v>
      </c>
      <c r="O699">
        <v>1.040022E-2</v>
      </c>
      <c r="P699">
        <v>0.99701980000000001</v>
      </c>
      <c r="Q699">
        <v>-6.7624199999999995E-2</v>
      </c>
      <c r="R699">
        <v>-3.713193E-2</v>
      </c>
      <c r="S699">
        <v>2.9825740000000001</v>
      </c>
      <c r="T699">
        <v>-7.1237560000000005E-2</v>
      </c>
      <c r="U699">
        <v>-0.57916259999999997</v>
      </c>
      <c r="V699">
        <v>4.7512680000000002E-2</v>
      </c>
      <c r="W699">
        <v>-5.2191979999999999E-2</v>
      </c>
      <c r="X699">
        <v>0.99750609999999995</v>
      </c>
      <c r="Y699">
        <v>0.2007639</v>
      </c>
      <c r="Z699">
        <v>-2.6212280000000002E-3</v>
      </c>
      <c r="AA699">
        <v>0.97963610000000001</v>
      </c>
      <c r="AB699">
        <v>43</v>
      </c>
      <c r="AC699">
        <v>44.125799999999899</v>
      </c>
      <c r="AD699">
        <v>-1.059411800503</v>
      </c>
      <c r="AE699">
        <v>-8.6154999999999902</v>
      </c>
      <c r="AF699">
        <v>9.0689711767136494</v>
      </c>
      <c r="AG699">
        <v>-1.059411800503</v>
      </c>
      <c r="AH699">
        <v>44.009362517183703</v>
      </c>
      <c r="AI699">
        <v>91.350614083903494</v>
      </c>
      <c r="AJ699">
        <v>78.356099845417305</v>
      </c>
      <c r="AK699">
        <v>44.9465524899964</v>
      </c>
      <c r="AL699">
        <v>92.991739663356796</v>
      </c>
      <c r="AM699">
        <v>87.272978974373999</v>
      </c>
      <c r="AN699">
        <v>0.99999993853715397</v>
      </c>
    </row>
    <row r="700" spans="1:40" x14ac:dyDescent="0.25">
      <c r="A700" t="str">
        <f>"20190312151513785"</f>
        <v>20190312151513785</v>
      </c>
      <c r="B700" t="str">
        <f>"1552374913778185"</f>
        <v>1552374913778185</v>
      </c>
      <c r="C700" t="s">
        <v>40</v>
      </c>
      <c r="D700">
        <v>4.6087689999999997</v>
      </c>
      <c r="E700">
        <v>0.55847599999999997</v>
      </c>
      <c r="F700" t="s">
        <v>43</v>
      </c>
      <c r="G700">
        <v>-253.41739999999999</v>
      </c>
      <c r="H700" s="1">
        <v>-4.6316139999999998E-6</v>
      </c>
      <c r="I700">
        <v>360.57580000000002</v>
      </c>
      <c r="J700">
        <v>-296.923</v>
      </c>
      <c r="K700">
        <v>1.059404</v>
      </c>
      <c r="L700">
        <v>369.07049999999998</v>
      </c>
      <c r="M700">
        <v>0.9998262</v>
      </c>
      <c r="N700">
        <v>0</v>
      </c>
      <c r="O700">
        <v>1.0439149999999999E-2</v>
      </c>
      <c r="P700">
        <v>0.99702480000000004</v>
      </c>
      <c r="Q700">
        <v>-6.7578340000000001E-2</v>
      </c>
      <c r="R700">
        <v>-3.7084209999999999E-2</v>
      </c>
      <c r="S700">
        <v>2.9824830000000002</v>
      </c>
      <c r="T700">
        <v>-7.2260980000000002E-2</v>
      </c>
      <c r="U700">
        <v>-0.57925419999999905</v>
      </c>
      <c r="V700">
        <v>4.750352E-2</v>
      </c>
      <c r="W700">
        <v>-5.2153320000000003E-2</v>
      </c>
      <c r="X700">
        <v>0.99750859999999997</v>
      </c>
      <c r="Y700">
        <v>0.20083490000000001</v>
      </c>
      <c r="Z700">
        <v>-2.6607330000000002E-3</v>
      </c>
      <c r="AA700">
        <v>0.97962150000000003</v>
      </c>
      <c r="AB700">
        <v>43</v>
      </c>
      <c r="AC700">
        <v>43.505600000000001</v>
      </c>
      <c r="AD700">
        <v>-1.0594086316139999</v>
      </c>
      <c r="AE700">
        <v>-8.4946999999999608</v>
      </c>
      <c r="AF700">
        <v>8.9433442659889408</v>
      </c>
      <c r="AG700">
        <v>-1.0594086316139999</v>
      </c>
      <c r="AH700">
        <v>43.389756639990203</v>
      </c>
      <c r="AI700">
        <v>91.369876644231994</v>
      </c>
      <c r="AJ700">
        <v>78.353497134469904</v>
      </c>
      <c r="AK700">
        <v>44.314520583961098</v>
      </c>
      <c r="AL700">
        <v>92.989521463066396</v>
      </c>
      <c r="AM700">
        <v>87.273510748056196</v>
      </c>
      <c r="AN700">
        <v>0.99999998013668601</v>
      </c>
    </row>
    <row r="701" spans="1:40" x14ac:dyDescent="0.25">
      <c r="A701" t="str">
        <f>"20190312151513796"</f>
        <v>20190312151513796</v>
      </c>
      <c r="B701" t="str">
        <f>"1552374913788921"</f>
        <v>1552374913788921</v>
      </c>
      <c r="C701" t="s">
        <v>40</v>
      </c>
      <c r="D701">
        <v>4.5708929999999999</v>
      </c>
      <c r="E701">
        <v>0.5581853</v>
      </c>
      <c r="F701" t="s">
        <v>43</v>
      </c>
      <c r="G701">
        <v>-254.00550000000001</v>
      </c>
      <c r="H701" s="1">
        <v>-4.3870870000000002E-6</v>
      </c>
      <c r="I701">
        <v>360.74259999999998</v>
      </c>
      <c r="J701">
        <v>-296.72410000000002</v>
      </c>
      <c r="K701">
        <v>1.059402</v>
      </c>
      <c r="L701">
        <v>369.0727</v>
      </c>
      <c r="M701">
        <v>0.99982579999999999</v>
      </c>
      <c r="N701">
        <v>0</v>
      </c>
      <c r="O701">
        <v>1.047439E-2</v>
      </c>
      <c r="P701">
        <v>0.99703540000000002</v>
      </c>
      <c r="Q701">
        <v>-6.7311079999999995E-2</v>
      </c>
      <c r="R701">
        <v>-3.7279840000000002E-2</v>
      </c>
      <c r="S701">
        <v>2.9824830000000002</v>
      </c>
      <c r="T701">
        <v>-7.3621870000000006E-2</v>
      </c>
      <c r="U701">
        <v>-0.57873540000000001</v>
      </c>
      <c r="V701">
        <v>4.773405E-2</v>
      </c>
      <c r="W701">
        <v>-5.1892319999999999E-2</v>
      </c>
      <c r="X701">
        <v>0.99751120000000004</v>
      </c>
      <c r="Y701">
        <v>0.20070299999999999</v>
      </c>
      <c r="Z701">
        <v>-2.7101209999999998E-3</v>
      </c>
      <c r="AA701">
        <v>0.97964839999999997</v>
      </c>
      <c r="AB701">
        <v>43</v>
      </c>
      <c r="AC701">
        <v>42.718600000000002</v>
      </c>
      <c r="AD701">
        <v>-1.0594063870870001</v>
      </c>
      <c r="AE701">
        <v>-8.3301000000000105</v>
      </c>
      <c r="AF701">
        <v>8.7719502770110598</v>
      </c>
      <c r="AG701">
        <v>-1.0594063870870001</v>
      </c>
      <c r="AH701">
        <v>42.603750420437997</v>
      </c>
      <c r="AI701">
        <v>91.395197667598893</v>
      </c>
      <c r="AJ701">
        <v>78.365604938957603</v>
      </c>
      <c r="AK701">
        <v>43.5103321458515</v>
      </c>
      <c r="AL701">
        <v>92.974547007738494</v>
      </c>
      <c r="AM701">
        <v>87.260306599636806</v>
      </c>
      <c r="AN701">
        <v>0.99999997326491197</v>
      </c>
    </row>
    <row r="702" spans="1:40" x14ac:dyDescent="0.25">
      <c r="A702" t="str">
        <f>"20190312151513806"</f>
        <v>20190312151513806</v>
      </c>
      <c r="B702" t="str">
        <f>"1552374913798681"</f>
        <v>1552374913798681</v>
      </c>
      <c r="C702" t="s">
        <v>40</v>
      </c>
      <c r="D702">
        <v>4.7251969999999996</v>
      </c>
      <c r="E702">
        <v>0.55809770000000003</v>
      </c>
      <c r="F702" t="s">
        <v>43</v>
      </c>
      <c r="G702">
        <v>-255.2064</v>
      </c>
      <c r="H702" s="1">
        <v>-3.8990000000000003E-6</v>
      </c>
      <c r="I702">
        <v>361.0412</v>
      </c>
      <c r="J702">
        <v>-296.51859999999999</v>
      </c>
      <c r="K702">
        <v>1.059401</v>
      </c>
      <c r="L702">
        <v>369.07479999999998</v>
      </c>
      <c r="M702">
        <v>0.99982550000000003</v>
      </c>
      <c r="N702">
        <v>0</v>
      </c>
      <c r="O702">
        <v>1.0509920000000001E-2</v>
      </c>
      <c r="P702">
        <v>0.99707100000000004</v>
      </c>
      <c r="Q702">
        <v>-6.6733290000000001E-2</v>
      </c>
      <c r="R702">
        <v>-3.7368079999999998E-2</v>
      </c>
      <c r="S702">
        <v>2.9822389999999999</v>
      </c>
      <c r="T702">
        <v>-7.6097490000000004E-2</v>
      </c>
      <c r="U702">
        <v>-0.57690430000000004</v>
      </c>
      <c r="V702">
        <v>4.7857690000000001E-2</v>
      </c>
      <c r="W702">
        <v>-5.1320259999999999E-2</v>
      </c>
      <c r="X702">
        <v>0.9975349</v>
      </c>
      <c r="Y702">
        <v>0.20016890000000001</v>
      </c>
      <c r="Z702">
        <v>-2.7957590000000001E-3</v>
      </c>
      <c r="AA702">
        <v>0.9797574</v>
      </c>
      <c r="AB702">
        <v>43</v>
      </c>
      <c r="AC702">
        <v>41.312199999999898</v>
      </c>
      <c r="AD702">
        <v>-1.059404899</v>
      </c>
      <c r="AE702">
        <v>-8.0335999999999697</v>
      </c>
      <c r="AF702">
        <v>8.4620339557785993</v>
      </c>
      <c r="AG702">
        <v>-1.059404899</v>
      </c>
      <c r="AH702">
        <v>41.199369331942499</v>
      </c>
      <c r="AI702">
        <v>91.442877968450105</v>
      </c>
      <c r="AJ702">
        <v>78.393303837878094</v>
      </c>
      <c r="AK702">
        <v>42.072751166979501</v>
      </c>
      <c r="AL702">
        <v>92.941726564862293</v>
      </c>
      <c r="AM702">
        <v>87.253286301494597</v>
      </c>
      <c r="AN702">
        <v>1.0000000021483</v>
      </c>
    </row>
    <row r="703" spans="1:40" x14ac:dyDescent="0.25">
      <c r="A703" t="str">
        <f>"20190312151513818"</f>
        <v>20190312151513818</v>
      </c>
      <c r="B703" t="str">
        <f>"1552374913808441"</f>
        <v>1552374913808441</v>
      </c>
      <c r="C703" t="s">
        <v>40</v>
      </c>
      <c r="D703">
        <v>4.6486679999999998</v>
      </c>
      <c r="E703">
        <v>0.55794779999999999</v>
      </c>
      <c r="F703" t="s">
        <v>43</v>
      </c>
      <c r="G703">
        <v>-256.2176</v>
      </c>
      <c r="H703" s="1">
        <v>-3.4900090000000001E-6</v>
      </c>
      <c r="I703">
        <v>361.28500000000003</v>
      </c>
      <c r="J703">
        <v>-296.30040000000002</v>
      </c>
      <c r="K703">
        <v>1.0594059999999901</v>
      </c>
      <c r="L703">
        <v>369.07709999999997</v>
      </c>
      <c r="M703">
        <v>0.99982530000000003</v>
      </c>
      <c r="N703">
        <v>0</v>
      </c>
      <c r="O703">
        <v>1.054736E-2</v>
      </c>
      <c r="P703">
        <v>0.99707210000000002</v>
      </c>
      <c r="Q703">
        <v>-6.6776349999999998E-2</v>
      </c>
      <c r="R703">
        <v>-3.7259929999999997E-2</v>
      </c>
      <c r="S703">
        <v>2.9819640000000001</v>
      </c>
      <c r="T703">
        <v>-7.8387499999999999E-2</v>
      </c>
      <c r="U703">
        <v>-0.5763855</v>
      </c>
      <c r="V703">
        <v>4.7786769999999999E-2</v>
      </c>
      <c r="W703">
        <v>-5.1369659999999998E-2</v>
      </c>
      <c r="X703">
        <v>0.99753579999999997</v>
      </c>
      <c r="Y703">
        <v>0.20005410000000001</v>
      </c>
      <c r="Z703">
        <v>-2.8796519999999999E-3</v>
      </c>
      <c r="AA703">
        <v>0.9797806</v>
      </c>
      <c r="AB703">
        <v>43</v>
      </c>
      <c r="AC703">
        <v>40.082799999999999</v>
      </c>
      <c r="AD703">
        <v>-1.0594094900090001</v>
      </c>
      <c r="AE703">
        <v>-7.7920999999999401</v>
      </c>
      <c r="AF703">
        <v>8.2089587977457104</v>
      </c>
      <c r="AG703">
        <v>-1.0594094900090001</v>
      </c>
      <c r="AH703">
        <v>39.971467839100498</v>
      </c>
      <c r="AI703">
        <v>91.487195620924396</v>
      </c>
      <c r="AJ703">
        <v>78.394505421406805</v>
      </c>
      <c r="AK703">
        <v>40.8194511749344</v>
      </c>
      <c r="AL703">
        <v>92.944560588915493</v>
      </c>
      <c r="AM703">
        <v>87.257352889870305</v>
      </c>
      <c r="AN703">
        <v>1.00000004481859</v>
      </c>
    </row>
    <row r="704" spans="1:40" x14ac:dyDescent="0.25">
      <c r="A704" t="str">
        <f>"20190312151513829"</f>
        <v>20190312151513829</v>
      </c>
      <c r="B704" t="str">
        <f>"1552374913818201"</f>
        <v>1552374913818201</v>
      </c>
      <c r="C704" t="s">
        <v>40</v>
      </c>
      <c r="D704">
        <v>4.7089970000000001</v>
      </c>
      <c r="E704">
        <v>0.55783669999999996</v>
      </c>
      <c r="F704" t="s">
        <v>43</v>
      </c>
      <c r="G704">
        <v>-257.95609999999999</v>
      </c>
      <c r="H704" s="1">
        <v>-2.7922140000000001E-6</v>
      </c>
      <c r="I704">
        <v>361.68400000000003</v>
      </c>
      <c r="J704">
        <v>-296.06990000000002</v>
      </c>
      <c r="K704">
        <v>1.0594049999999999</v>
      </c>
      <c r="L704">
        <v>369.07960000000003</v>
      </c>
      <c r="M704">
        <v>0.99982490000000002</v>
      </c>
      <c r="N704">
        <v>0</v>
      </c>
      <c r="O704">
        <v>1.058659E-2</v>
      </c>
      <c r="P704">
        <v>0.9970852</v>
      </c>
      <c r="Q704">
        <v>-6.6400570000000006E-2</v>
      </c>
      <c r="R704">
        <v>-3.7580929999999999E-2</v>
      </c>
      <c r="S704">
        <v>2.9818120000000001</v>
      </c>
      <c r="T704">
        <v>-8.2383750000000006E-2</v>
      </c>
      <c r="U704">
        <v>-0.57492069999999995</v>
      </c>
      <c r="V704">
        <v>4.8146670000000003E-2</v>
      </c>
      <c r="W704">
        <v>-5.1000139999999999E-2</v>
      </c>
      <c r="X704">
        <v>0.99753740000000002</v>
      </c>
      <c r="Y704">
        <v>0.19963059999999999</v>
      </c>
      <c r="Z704">
        <v>-3.0219769999999999E-3</v>
      </c>
      <c r="AA704">
        <v>0.97986660000000003</v>
      </c>
      <c r="AB704">
        <v>43</v>
      </c>
      <c r="AC704">
        <v>38.113799999999998</v>
      </c>
      <c r="AD704">
        <v>-1.0594077922139999</v>
      </c>
      <c r="AE704">
        <v>-7.3956</v>
      </c>
      <c r="AF704">
        <v>7.7929262299414699</v>
      </c>
      <c r="AG704">
        <v>-1.0594077922139999</v>
      </c>
      <c r="AH704">
        <v>38.005062365008698</v>
      </c>
      <c r="AI704">
        <v>91.564203006137902</v>
      </c>
      <c r="AJ704">
        <v>78.412141633785893</v>
      </c>
      <c r="AK704">
        <v>38.810266804850897</v>
      </c>
      <c r="AL704">
        <v>92.923361024217897</v>
      </c>
      <c r="AM704">
        <v>87.2367333117096</v>
      </c>
      <c r="AN704">
        <v>0.99999999025543396</v>
      </c>
    </row>
    <row r="705" spans="1:40" x14ac:dyDescent="0.25">
      <c r="A705" t="str">
        <f>"20190312151513840"</f>
        <v>20190312151513840</v>
      </c>
      <c r="B705" t="str">
        <f>"1552374913838696"</f>
        <v>1552374913838696</v>
      </c>
      <c r="C705" t="s">
        <v>40</v>
      </c>
      <c r="D705">
        <v>4.6513140000000002</v>
      </c>
      <c r="E705">
        <v>0.55755489999999996</v>
      </c>
      <c r="F705" t="s">
        <v>43</v>
      </c>
      <c r="G705">
        <v>-259.04680000000002</v>
      </c>
      <c r="H705" s="1">
        <v>-2.3536729999999999E-6</v>
      </c>
      <c r="I705">
        <v>361.93720000000002</v>
      </c>
      <c r="J705">
        <v>-295.86709999999999</v>
      </c>
      <c r="K705">
        <v>1.059409</v>
      </c>
      <c r="L705">
        <v>369.08179999999999</v>
      </c>
      <c r="M705">
        <v>0.99982459999999995</v>
      </c>
      <c r="N705">
        <v>0</v>
      </c>
      <c r="O705">
        <v>1.062099E-2</v>
      </c>
      <c r="P705">
        <v>0.99709530000000002</v>
      </c>
      <c r="Q705">
        <v>-6.6274609999999998E-2</v>
      </c>
      <c r="R705">
        <v>-3.7528300000000001E-2</v>
      </c>
      <c r="S705">
        <v>2.9814150000000001</v>
      </c>
      <c r="T705">
        <v>-8.5312250000000006E-2</v>
      </c>
      <c r="U705">
        <v>-0.57516480000000003</v>
      </c>
      <c r="V705">
        <v>4.8128299999999999E-2</v>
      </c>
      <c r="W705">
        <v>-5.0879420000000002E-2</v>
      </c>
      <c r="X705">
        <v>0.99754449999999995</v>
      </c>
      <c r="Y705">
        <v>0.1997603</v>
      </c>
      <c r="Z705">
        <v>-3.132555E-3</v>
      </c>
      <c r="AA705">
        <v>0.97983980000000004</v>
      </c>
      <c r="AB705">
        <v>43</v>
      </c>
      <c r="AC705">
        <v>36.820299999999897</v>
      </c>
      <c r="AD705">
        <v>-1.0594113536730001</v>
      </c>
      <c r="AE705">
        <v>-7.1445999999999596</v>
      </c>
      <c r="AF705">
        <v>7.5293044894547299</v>
      </c>
      <c r="AG705">
        <v>-1.0594113536730001</v>
      </c>
      <c r="AH705">
        <v>36.713040649914497</v>
      </c>
      <c r="AI705">
        <v>91.619216432035898</v>
      </c>
      <c r="AJ705">
        <v>78.410184328627096</v>
      </c>
      <c r="AK705">
        <v>37.492134272050798</v>
      </c>
      <c r="AL705">
        <v>92.916435143682605</v>
      </c>
      <c r="AM705">
        <v>87.237805611744193</v>
      </c>
      <c r="AN705">
        <v>1.0000000390603301</v>
      </c>
    </row>
    <row r="706" spans="1:40" x14ac:dyDescent="0.25">
      <c r="A706" t="str">
        <f>"20190312151513852"</f>
        <v>20190312151513852</v>
      </c>
      <c r="B706" t="str">
        <f>"1552374913848458"</f>
        <v>1552374913848458</v>
      </c>
      <c r="C706" t="s">
        <v>40</v>
      </c>
      <c r="D706">
        <v>4.6780019999999896</v>
      </c>
      <c r="E706">
        <v>0.55744669999999996</v>
      </c>
      <c r="F706" t="s">
        <v>43</v>
      </c>
      <c r="G706">
        <v>-261.95740000000001</v>
      </c>
      <c r="H706" s="1">
        <v>-4.6824439999999998E-6</v>
      </c>
      <c r="I706">
        <v>362.57010000000002</v>
      </c>
      <c r="J706">
        <v>-295.65320000000003</v>
      </c>
      <c r="K706">
        <v>1.059409</v>
      </c>
      <c r="L706">
        <v>369.08409999999998</v>
      </c>
      <c r="M706">
        <v>0.9998243</v>
      </c>
      <c r="N706">
        <v>0</v>
      </c>
      <c r="O706">
        <v>1.065724E-2</v>
      </c>
      <c r="P706">
        <v>0.99709199999999998</v>
      </c>
      <c r="Q706">
        <v>-6.6239989999999999E-2</v>
      </c>
      <c r="R706">
        <v>-3.7684429999999998E-2</v>
      </c>
      <c r="S706">
        <v>2.9810490000000001</v>
      </c>
      <c r="T706">
        <v>-9.3134400000000006E-2</v>
      </c>
      <c r="U706">
        <v>-0.57244869999999903</v>
      </c>
      <c r="V706">
        <v>4.831999E-2</v>
      </c>
      <c r="W706">
        <v>-5.0850380000000001E-2</v>
      </c>
      <c r="X706">
        <v>0.99753670000000005</v>
      </c>
      <c r="Y706">
        <v>0.1989416</v>
      </c>
      <c r="Z706">
        <v>-3.4088E-3</v>
      </c>
      <c r="AA706">
        <v>0.98000540000000003</v>
      </c>
      <c r="AB706">
        <v>43</v>
      </c>
      <c r="AC706">
        <v>33.695799999999998</v>
      </c>
      <c r="AD706">
        <v>-1.0594136824439999</v>
      </c>
      <c r="AE706">
        <v>-6.5139999999999496</v>
      </c>
      <c r="AF706">
        <v>6.8662341112409502</v>
      </c>
      <c r="AG706">
        <v>-1.0594136824439999</v>
      </c>
      <c r="AH706">
        <v>33.592446360216201</v>
      </c>
      <c r="AI706">
        <v>91.769785810266498</v>
      </c>
      <c r="AJ706">
        <v>78.447970070404907</v>
      </c>
      <c r="AK706">
        <v>34.303352324297997</v>
      </c>
      <c r="AL706">
        <v>92.914769158107703</v>
      </c>
      <c r="AM706">
        <v>87.2267995691018</v>
      </c>
      <c r="AN706">
        <v>1.0000000252133101</v>
      </c>
    </row>
    <row r="707" spans="1:40" x14ac:dyDescent="0.25">
      <c r="A707" t="str">
        <f>"20190312151513866"</f>
        <v>20190312151513866</v>
      </c>
      <c r="B707" t="str">
        <f>"1552374913858217"</f>
        <v>1552374913858217</v>
      </c>
      <c r="C707" t="s">
        <v>40</v>
      </c>
      <c r="D707">
        <v>4.7317200000000001</v>
      </c>
      <c r="E707">
        <v>0.55733869999999996</v>
      </c>
      <c r="F707" t="s">
        <v>43</v>
      </c>
      <c r="G707">
        <v>-262.67680000000001</v>
      </c>
      <c r="H707" s="1">
        <v>-4.3410529999999996E-6</v>
      </c>
      <c r="I707">
        <v>362.75479999999999</v>
      </c>
      <c r="J707">
        <v>-295.4008</v>
      </c>
      <c r="K707">
        <v>1.059409</v>
      </c>
      <c r="L707">
        <v>369.08679999999998</v>
      </c>
      <c r="M707">
        <v>0.99982389999999999</v>
      </c>
      <c r="N707">
        <v>0</v>
      </c>
      <c r="O707">
        <v>1.069999E-2</v>
      </c>
      <c r="P707">
        <v>0.99711439999999996</v>
      </c>
      <c r="Q707">
        <v>-6.6010009999999994E-2</v>
      </c>
      <c r="R707">
        <v>-3.7493859999999997E-2</v>
      </c>
      <c r="S707">
        <v>2.980804</v>
      </c>
      <c r="T707">
        <v>-9.5762490000000006E-2</v>
      </c>
      <c r="U707">
        <v>-0.57211299999999998</v>
      </c>
      <c r="V707">
        <v>4.8172270000000003E-2</v>
      </c>
      <c r="W707">
        <v>-5.0626240000000003E-2</v>
      </c>
      <c r="X707">
        <v>0.99755519999999998</v>
      </c>
      <c r="Y707">
        <v>0.19888629999999999</v>
      </c>
      <c r="Z707">
        <v>-3.505743E-3</v>
      </c>
      <c r="AA707">
        <v>0.98001629999999995</v>
      </c>
      <c r="AB707">
        <v>43</v>
      </c>
      <c r="AC707">
        <v>32.723999999999897</v>
      </c>
      <c r="AD707">
        <v>-1.059413341053</v>
      </c>
      <c r="AE707">
        <v>-6.3319999999999901</v>
      </c>
      <c r="AF707">
        <v>6.6750819289180798</v>
      </c>
      <c r="AG707">
        <v>-1.059413341053</v>
      </c>
      <c r="AH707">
        <v>32.621409611468202</v>
      </c>
      <c r="AI707">
        <v>91.822350883737002</v>
      </c>
      <c r="AJ707">
        <v>78.435619453919003</v>
      </c>
      <c r="AK707">
        <v>33.314192777616</v>
      </c>
      <c r="AL707">
        <v>92.901910450101695</v>
      </c>
      <c r="AM707">
        <v>87.2353155943144</v>
      </c>
      <c r="AN707">
        <v>0.99999998041026394</v>
      </c>
    </row>
    <row r="708" spans="1:40" x14ac:dyDescent="0.25">
      <c r="A708" t="str">
        <f>"20190312151513878"</f>
        <v>20190312151513878</v>
      </c>
      <c r="B708" t="str">
        <f>"1552374913868953"</f>
        <v>1552374913868953</v>
      </c>
      <c r="C708" t="s">
        <v>40</v>
      </c>
      <c r="D708">
        <v>4.6974919999999996</v>
      </c>
      <c r="E708">
        <v>0.55729319999999904</v>
      </c>
      <c r="F708" t="s">
        <v>43</v>
      </c>
      <c r="G708">
        <v>-263.27440000000001</v>
      </c>
      <c r="H708" s="1">
        <v>-4.0523199999999999E-6</v>
      </c>
      <c r="I708">
        <v>362.93720000000002</v>
      </c>
      <c r="J708">
        <v>-295.15019999999998</v>
      </c>
      <c r="K708">
        <v>1.059412</v>
      </c>
      <c r="L708">
        <v>369.08949999999999</v>
      </c>
      <c r="M708">
        <v>0.99982360000000003</v>
      </c>
      <c r="N708">
        <v>0</v>
      </c>
      <c r="O708">
        <v>1.0742440000000001E-2</v>
      </c>
      <c r="P708">
        <v>0.99711939999999999</v>
      </c>
      <c r="Q708">
        <v>-6.5904130000000005E-2</v>
      </c>
      <c r="R708">
        <v>-3.754743E-2</v>
      </c>
      <c r="S708">
        <v>2.9806819999999998</v>
      </c>
      <c r="T708">
        <v>-9.8291989999999996E-2</v>
      </c>
      <c r="U708">
        <v>-0.57055659999999997</v>
      </c>
      <c r="V708">
        <v>4.8267959999999999E-2</v>
      </c>
      <c r="W708">
        <v>-5.0526219999999997E-2</v>
      </c>
      <c r="X708">
        <v>0.99755570000000005</v>
      </c>
      <c r="Y708">
        <v>0.19843630000000001</v>
      </c>
      <c r="Z708">
        <v>-3.5926529999999999E-3</v>
      </c>
      <c r="AA708">
        <v>0.98010719999999996</v>
      </c>
      <c r="AB708">
        <v>43</v>
      </c>
      <c r="AC708">
        <v>31.875799999999899</v>
      </c>
      <c r="AD708">
        <v>-1.05941605232</v>
      </c>
      <c r="AE708">
        <v>-6.1522999999999604</v>
      </c>
      <c r="AF708">
        <v>6.48750061350019</v>
      </c>
      <c r="AG708">
        <v>-1.05941605232</v>
      </c>
      <c r="AH708">
        <v>31.7740241808993</v>
      </c>
      <c r="AI708">
        <v>91.871085870926905</v>
      </c>
      <c r="AJ708">
        <v>78.4601758787162</v>
      </c>
      <c r="AK708">
        <v>32.446858695880799</v>
      </c>
      <c r="AL708">
        <v>92.8961722250897</v>
      </c>
      <c r="AM708">
        <v>87.229833722828303</v>
      </c>
      <c r="AN708">
        <v>1.0000000347362601</v>
      </c>
    </row>
    <row r="709" spans="1:40" x14ac:dyDescent="0.25">
      <c r="A709" t="str">
        <f>"20190312151513891"</f>
        <v>20190312151513891</v>
      </c>
      <c r="B709" t="str">
        <f>"1552374913888473"</f>
        <v>1552374913888473</v>
      </c>
      <c r="C709" t="s">
        <v>40</v>
      </c>
      <c r="D709">
        <v>4.7659269999999996</v>
      </c>
      <c r="E709">
        <v>0.55720439999999904</v>
      </c>
      <c r="F709" t="s">
        <v>43</v>
      </c>
      <c r="G709">
        <v>-264.01949999999999</v>
      </c>
      <c r="H709" s="1">
        <v>-3.7463879999999999E-6</v>
      </c>
      <c r="I709">
        <v>363.1327</v>
      </c>
      <c r="J709">
        <v>-294.89440000000002</v>
      </c>
      <c r="K709">
        <v>1.059415</v>
      </c>
      <c r="L709">
        <v>369.09230000000002</v>
      </c>
      <c r="M709">
        <v>0.99982320000000002</v>
      </c>
      <c r="N709">
        <v>0</v>
      </c>
      <c r="O709">
        <v>1.0785380000000001E-2</v>
      </c>
      <c r="P709">
        <v>0.99711050000000001</v>
      </c>
      <c r="Q709">
        <v>-6.6049640000000007E-2</v>
      </c>
      <c r="R709">
        <v>-3.7522689999999997E-2</v>
      </c>
      <c r="S709">
        <v>2.980499</v>
      </c>
      <c r="T709">
        <v>-0.1014297</v>
      </c>
      <c r="U709">
        <v>-0.5703125</v>
      </c>
      <c r="V709">
        <v>4.8285939999999999E-2</v>
      </c>
      <c r="W709">
        <v>-5.0677689999999997E-2</v>
      </c>
      <c r="X709">
        <v>0.99754710000000002</v>
      </c>
      <c r="Y709">
        <v>0.198405</v>
      </c>
      <c r="Z709">
        <v>-3.7084470000000001E-3</v>
      </c>
      <c r="AA709">
        <v>0.98011309999999996</v>
      </c>
      <c r="AB709">
        <v>43</v>
      </c>
      <c r="AC709">
        <v>30.8749</v>
      </c>
      <c r="AD709">
        <v>-1.059418746388</v>
      </c>
      <c r="AE709">
        <v>-5.9596000000000204</v>
      </c>
      <c r="AF709">
        <v>6.2851559888342701</v>
      </c>
      <c r="AG709">
        <v>-1.059418746388</v>
      </c>
      <c r="AH709">
        <v>30.773887899596801</v>
      </c>
      <c r="AI709">
        <v>91.931831936763999</v>
      </c>
      <c r="AJ709">
        <v>78.456852509798907</v>
      </c>
      <c r="AK709">
        <v>31.4270222951702</v>
      </c>
      <c r="AL709">
        <v>92.904862083368499</v>
      </c>
      <c r="AM709">
        <v>87.228779579867904</v>
      </c>
      <c r="AN709">
        <v>0.99999998849191396</v>
      </c>
    </row>
    <row r="710" spans="1:40" x14ac:dyDescent="0.25">
      <c r="A710" t="str">
        <f>"20190312151513905"</f>
        <v>20190312151513905</v>
      </c>
      <c r="B710" t="str">
        <f>"1552374913898233"</f>
        <v>1552374913898233</v>
      </c>
      <c r="C710" t="s">
        <v>40</v>
      </c>
      <c r="D710">
        <v>4.5311820000000003</v>
      </c>
      <c r="E710">
        <v>0.55711759999999999</v>
      </c>
      <c r="F710" t="s">
        <v>43</v>
      </c>
      <c r="G710">
        <v>-265.13440000000003</v>
      </c>
      <c r="H710" s="1">
        <v>-3.2947220000000002E-6</v>
      </c>
      <c r="I710">
        <v>363.40429999999998</v>
      </c>
      <c r="J710">
        <v>-294.64479999999998</v>
      </c>
      <c r="K710">
        <v>1.0594140000000001</v>
      </c>
      <c r="L710">
        <v>369.09500000000003</v>
      </c>
      <c r="M710">
        <v>0.99982289999999996</v>
      </c>
      <c r="N710">
        <v>0</v>
      </c>
      <c r="O710">
        <v>1.0827649999999999E-2</v>
      </c>
      <c r="P710">
        <v>0.99709829999999999</v>
      </c>
      <c r="Q710">
        <v>-6.6086980000000003E-2</v>
      </c>
      <c r="R710">
        <v>-3.7786960000000001E-2</v>
      </c>
      <c r="S710">
        <v>2.9802550000000001</v>
      </c>
      <c r="T710">
        <v>-0.10609300000000001</v>
      </c>
      <c r="U710">
        <v>-0.56961059999999997</v>
      </c>
      <c r="V710">
        <v>4.8591959999999997E-2</v>
      </c>
      <c r="W710">
        <v>-5.072053E-2</v>
      </c>
      <c r="X710">
        <v>0.99753009999999998</v>
      </c>
      <c r="Y710">
        <v>0.1982276</v>
      </c>
      <c r="Z710">
        <v>-3.8776050000000001E-3</v>
      </c>
      <c r="AA710">
        <v>0.98014840000000003</v>
      </c>
      <c r="AB710">
        <v>43</v>
      </c>
      <c r="AC710">
        <v>29.510399999999901</v>
      </c>
      <c r="AD710">
        <v>-1.05941729472199</v>
      </c>
      <c r="AE710">
        <v>-5.6907000000000396</v>
      </c>
      <c r="AF710">
        <v>6.0024738672618598</v>
      </c>
      <c r="AG710">
        <v>-1.05941729472199</v>
      </c>
      <c r="AH710">
        <v>29.410500320556999</v>
      </c>
      <c r="AI710">
        <v>92.021367700221006</v>
      </c>
      <c r="AJ710">
        <v>78.464760399786101</v>
      </c>
      <c r="AK710">
        <v>30.0354721394054</v>
      </c>
      <c r="AL710">
        <v>92.907319687375406</v>
      </c>
      <c r="AM710">
        <v>87.211196706803904</v>
      </c>
      <c r="AN710">
        <v>1.0000000255730599</v>
      </c>
    </row>
    <row r="711" spans="1:40" x14ac:dyDescent="0.25">
      <c r="A711" t="str">
        <f>"20190312151513920"</f>
        <v>20190312151513920</v>
      </c>
      <c r="B711" t="str">
        <f>"1552374913908969"</f>
        <v>1552374913908969</v>
      </c>
      <c r="C711" t="s">
        <v>40</v>
      </c>
      <c r="D711">
        <v>4.8234349999999999</v>
      </c>
      <c r="E711">
        <v>0.5570387</v>
      </c>
      <c r="F711" t="s">
        <v>43</v>
      </c>
      <c r="G711">
        <v>-265.19990000000001</v>
      </c>
      <c r="H711" s="1">
        <v>-3.2561E-6</v>
      </c>
      <c r="I711">
        <v>363.46559999999999</v>
      </c>
      <c r="J711">
        <v>-294.36130000000003</v>
      </c>
      <c r="K711">
        <v>1.0594110000000001</v>
      </c>
      <c r="L711">
        <v>369.09809999999999</v>
      </c>
      <c r="M711">
        <v>0.99982230000000005</v>
      </c>
      <c r="N711">
        <v>0</v>
      </c>
      <c r="O711">
        <v>1.0875599999999999E-2</v>
      </c>
      <c r="P711">
        <v>0.99705500000000002</v>
      </c>
      <c r="Q711">
        <v>-6.6606280000000004E-2</v>
      </c>
      <c r="R711">
        <v>-3.8012070000000002E-2</v>
      </c>
      <c r="S711">
        <v>2.9800420000000001</v>
      </c>
      <c r="T711">
        <v>-0.1072206</v>
      </c>
      <c r="U711">
        <v>-0.56973269999999998</v>
      </c>
      <c r="V711">
        <v>4.8864329999999997E-2</v>
      </c>
      <c r="W711">
        <v>-5.1246319999999998E-2</v>
      </c>
      <c r="X711">
        <v>0.99748990000000004</v>
      </c>
      <c r="Y711">
        <v>0.19832340000000001</v>
      </c>
      <c r="Z711">
        <v>-3.9224709999999899E-3</v>
      </c>
      <c r="AA711">
        <v>0.98012880000000002</v>
      </c>
      <c r="AB711">
        <v>43</v>
      </c>
      <c r="AC711">
        <v>29.1614</v>
      </c>
      <c r="AD711">
        <v>-1.0594142561</v>
      </c>
      <c r="AE711">
        <v>-5.6324999999999896</v>
      </c>
      <c r="AF711">
        <v>5.9417920744217403</v>
      </c>
      <c r="AG711">
        <v>-1.0594142561</v>
      </c>
      <c r="AH711">
        <v>29.061434460054901</v>
      </c>
      <c r="AI711">
        <v>92.045474974661403</v>
      </c>
      <c r="AJ711">
        <v>78.4447747705876</v>
      </c>
      <c r="AK711">
        <v>29.681546868344899</v>
      </c>
      <c r="AL711">
        <v>92.937484526623095</v>
      </c>
      <c r="AM711">
        <v>87.195476816664097</v>
      </c>
      <c r="AN711">
        <v>1.00000000433095</v>
      </c>
    </row>
    <row r="712" spans="1:40" x14ac:dyDescent="0.25">
      <c r="A712" t="str">
        <f>"20190312151513933"</f>
        <v>20190312151513933</v>
      </c>
      <c r="B712" t="str">
        <f>"1552374913928489"</f>
        <v>1552374913928489</v>
      </c>
      <c r="C712" t="s">
        <v>40</v>
      </c>
      <c r="D712">
        <v>4.6993489999999998</v>
      </c>
      <c r="E712">
        <v>0.5568031</v>
      </c>
      <c r="F712" t="s">
        <v>43</v>
      </c>
      <c r="G712">
        <v>-265.51339999999999</v>
      </c>
      <c r="H712" s="1">
        <v>-3.1178489999999999E-6</v>
      </c>
      <c r="I712">
        <v>363.58420000000001</v>
      </c>
      <c r="J712">
        <v>-294.10680000000002</v>
      </c>
      <c r="K712">
        <v>1.05941</v>
      </c>
      <c r="L712">
        <v>369.101</v>
      </c>
      <c r="M712">
        <v>0.99982199999999999</v>
      </c>
      <c r="N712">
        <v>0</v>
      </c>
      <c r="O712">
        <v>1.0918529999999999E-2</v>
      </c>
      <c r="P712">
        <v>0.99704150000000002</v>
      </c>
      <c r="Q712">
        <v>-6.6775109999999999E-2</v>
      </c>
      <c r="R712">
        <v>-3.8073900000000001E-2</v>
      </c>
      <c r="S712">
        <v>2.9798279999999999</v>
      </c>
      <c r="T712">
        <v>-0.109431399999999</v>
      </c>
      <c r="U712">
        <v>-0.56954959999999999</v>
      </c>
      <c r="V712">
        <v>4.8968780000000003E-2</v>
      </c>
      <c r="W712">
        <v>-5.1420390000000003E-2</v>
      </c>
      <c r="X712">
        <v>0.99747580000000002</v>
      </c>
      <c r="Y712">
        <v>0.19831489999999999</v>
      </c>
      <c r="Z712">
        <v>-4.0050060000000002E-3</v>
      </c>
      <c r="AA712">
        <v>0.98013019999999995</v>
      </c>
      <c r="AB712">
        <v>43</v>
      </c>
      <c r="AC712">
        <v>28.593399999999999</v>
      </c>
      <c r="AD712">
        <v>-1.0594131178490001</v>
      </c>
      <c r="AE712">
        <v>-5.5167999999999804</v>
      </c>
      <c r="AF712">
        <v>5.8210018017255596</v>
      </c>
      <c r="AG712">
        <v>-1.0594131178490001</v>
      </c>
      <c r="AH712">
        <v>28.493741067103802</v>
      </c>
      <c r="AI712">
        <v>92.086257741170101</v>
      </c>
      <c r="AJ712">
        <v>78.453888795102699</v>
      </c>
      <c r="AK712">
        <v>29.101541164156899</v>
      </c>
      <c r="AL712">
        <v>92.947471227333395</v>
      </c>
      <c r="AM712">
        <v>87.189451941897403</v>
      </c>
      <c r="AN712">
        <v>0.99999998475403995</v>
      </c>
    </row>
    <row r="713" spans="1:40" x14ac:dyDescent="0.25">
      <c r="A713" t="str">
        <f>"20190312151513945"</f>
        <v>20190312151513945</v>
      </c>
      <c r="B713" t="str">
        <f>"1552374913938249"</f>
        <v>1552374913938249</v>
      </c>
      <c r="C713" t="s">
        <v>40</v>
      </c>
      <c r="D713">
        <v>4.7063329999999999</v>
      </c>
      <c r="E713">
        <v>0.55674669999999904</v>
      </c>
      <c r="F713" t="s">
        <v>43</v>
      </c>
      <c r="G713">
        <v>-266.65179999999998</v>
      </c>
      <c r="H713" s="1">
        <v>-2.6555810000000001E-6</v>
      </c>
      <c r="I713">
        <v>363.86559999999997</v>
      </c>
      <c r="J713">
        <v>-293.8784</v>
      </c>
      <c r="K713">
        <v>1.059409</v>
      </c>
      <c r="L713">
        <v>369.1035</v>
      </c>
      <c r="M713">
        <v>0.99982170000000004</v>
      </c>
      <c r="N713">
        <v>0</v>
      </c>
      <c r="O713">
        <v>1.095693E-2</v>
      </c>
      <c r="P713">
        <v>0.99702939999999995</v>
      </c>
      <c r="Q713">
        <v>-6.6953330000000005E-2</v>
      </c>
      <c r="R713">
        <v>-3.8076409999999998E-2</v>
      </c>
      <c r="S713">
        <v>2.979492</v>
      </c>
      <c r="T713">
        <v>-0.11497019999999999</v>
      </c>
      <c r="U713">
        <v>-0.56814580000000003</v>
      </c>
      <c r="V713">
        <v>4.9009339999999998E-2</v>
      </c>
      <c r="W713">
        <v>-5.1603099999999902E-2</v>
      </c>
      <c r="X713">
        <v>0.99746440000000003</v>
      </c>
      <c r="Y713">
        <v>0.19791339999999999</v>
      </c>
      <c r="Z713">
        <v>-4.2020190000000004E-3</v>
      </c>
      <c r="AA713">
        <v>0.98021049999999998</v>
      </c>
      <c r="AB713">
        <v>43</v>
      </c>
      <c r="AC713">
        <v>27.226600000000001</v>
      </c>
      <c r="AD713">
        <v>-1.059411655581</v>
      </c>
      <c r="AE713">
        <v>-5.2379000000000202</v>
      </c>
      <c r="AF713">
        <v>5.5278699227868504</v>
      </c>
      <c r="AG713">
        <v>-1.059411655581</v>
      </c>
      <c r="AH713">
        <v>27.127959716923598</v>
      </c>
      <c r="AI713">
        <v>92.191412418076197</v>
      </c>
      <c r="AJ713">
        <v>78.482510406670002</v>
      </c>
      <c r="AK713">
        <v>27.705701531314201</v>
      </c>
      <c r="AL713">
        <v>92.957953574414404</v>
      </c>
      <c r="AM713">
        <v>87.187095653737401</v>
      </c>
      <c r="AN713">
        <v>1.0000000123021</v>
      </c>
    </row>
    <row r="714" spans="1:40" x14ac:dyDescent="0.25">
      <c r="A714" t="str">
        <f>"20190312151513957"</f>
        <v>20190312151513957</v>
      </c>
      <c r="B714" t="str">
        <f>"1552374913948008"</f>
        <v>1552374913948008</v>
      </c>
      <c r="C714" t="s">
        <v>40</v>
      </c>
      <c r="D714">
        <v>4.6947429999999999</v>
      </c>
      <c r="E714">
        <v>0.55665450000000005</v>
      </c>
      <c r="F714" t="s">
        <v>43</v>
      </c>
      <c r="G714">
        <v>-267.17860000000002</v>
      </c>
      <c r="H714" s="1">
        <v>-2.4358419999999999E-6</v>
      </c>
      <c r="I714">
        <v>364.01760000000002</v>
      </c>
      <c r="J714">
        <v>-293.64769999999999</v>
      </c>
      <c r="K714">
        <v>1.059407</v>
      </c>
      <c r="L714">
        <v>369.10599999999999</v>
      </c>
      <c r="M714">
        <v>0.99982139999999997</v>
      </c>
      <c r="N714">
        <v>0</v>
      </c>
      <c r="O714">
        <v>1.099587E-2</v>
      </c>
      <c r="P714">
        <v>0.99702630000000003</v>
      </c>
      <c r="Q714">
        <v>-6.7001859999999996E-2</v>
      </c>
      <c r="R714">
        <v>-3.8073309999999999E-2</v>
      </c>
      <c r="S714">
        <v>2.9793400000000001</v>
      </c>
      <c r="T714">
        <v>-0.118215899999999</v>
      </c>
      <c r="U714">
        <v>-0.56750489999999998</v>
      </c>
      <c r="V714">
        <v>4.904497E-2</v>
      </c>
      <c r="W714">
        <v>-5.1655949999999999E-2</v>
      </c>
      <c r="X714">
        <v>0.99745989999999995</v>
      </c>
      <c r="Y714">
        <v>0.1977488</v>
      </c>
      <c r="Z714">
        <v>-4.3191549999999999E-3</v>
      </c>
      <c r="AA714">
        <v>0.98024319999999998</v>
      </c>
      <c r="AB714">
        <v>43</v>
      </c>
      <c r="AC714">
        <v>26.469099999999901</v>
      </c>
      <c r="AD714">
        <v>-1.0594094358419901</v>
      </c>
      <c r="AE714">
        <v>-5.0883999999999698</v>
      </c>
      <c r="AF714">
        <v>5.3708802152877597</v>
      </c>
      <c r="AG714">
        <v>-1.0594094358419901</v>
      </c>
      <c r="AH714">
        <v>26.3708022118367</v>
      </c>
      <c r="AI714">
        <v>92.254308603861304</v>
      </c>
      <c r="AJ714">
        <v>78.488150374104904</v>
      </c>
      <c r="AK714">
        <v>26.933026416196402</v>
      </c>
      <c r="AL714">
        <v>92.960985739138493</v>
      </c>
      <c r="AM714">
        <v>87.185041269120802</v>
      </c>
      <c r="AN714">
        <v>0.99999999918035598</v>
      </c>
    </row>
    <row r="715" spans="1:40" x14ac:dyDescent="0.25">
      <c r="A715" t="str">
        <f>"20190312151513970"</f>
        <v>20190312151513970</v>
      </c>
      <c r="B715" t="str">
        <f>"1552374913958748"</f>
        <v>1552374913958748</v>
      </c>
      <c r="C715" t="s">
        <v>40</v>
      </c>
      <c r="D715">
        <v>4.6673019999999896</v>
      </c>
      <c r="E715">
        <v>0.55653490000000005</v>
      </c>
      <c r="F715" t="s">
        <v>43</v>
      </c>
      <c r="G715">
        <v>-267.65969999999999</v>
      </c>
      <c r="H715" s="1">
        <v>-2.2340679999999999E-6</v>
      </c>
      <c r="I715">
        <v>364.16070000000002</v>
      </c>
      <c r="J715">
        <v>-293.39350000000002</v>
      </c>
      <c r="K715">
        <v>1.0594049999999999</v>
      </c>
      <c r="L715">
        <v>369.10890000000001</v>
      </c>
      <c r="M715">
        <v>0.99982079999999995</v>
      </c>
      <c r="N715">
        <v>0</v>
      </c>
      <c r="O715">
        <v>1.103898E-2</v>
      </c>
      <c r="P715">
        <v>0.9970329</v>
      </c>
      <c r="Q715">
        <v>-6.684358E-2</v>
      </c>
      <c r="R715">
        <v>-3.8175529999999999E-2</v>
      </c>
      <c r="S715">
        <v>2.9791259999999999</v>
      </c>
      <c r="T715">
        <v>-0.1214445</v>
      </c>
      <c r="U715">
        <v>-0.56689449999999997</v>
      </c>
      <c r="V715">
        <v>4.9190030000000003E-2</v>
      </c>
      <c r="W715">
        <v>-5.1502149999999997E-2</v>
      </c>
      <c r="X715">
        <v>0.99746069999999998</v>
      </c>
      <c r="Y715">
        <v>0.19760150000000001</v>
      </c>
      <c r="Z715">
        <v>-4.4361829999999998E-3</v>
      </c>
      <c r="AA715">
        <v>0.98027240000000004</v>
      </c>
      <c r="AB715">
        <v>43</v>
      </c>
      <c r="AC715">
        <v>25.733799999999999</v>
      </c>
      <c r="AD715">
        <v>-1.0594072340680001</v>
      </c>
      <c r="AE715">
        <v>-4.9481999999999804</v>
      </c>
      <c r="AF715">
        <v>5.2234698456580597</v>
      </c>
      <c r="AG715">
        <v>-1.0594072340680001</v>
      </c>
      <c r="AH715">
        <v>25.635703853903401</v>
      </c>
      <c r="AI715">
        <v>92.318835282412394</v>
      </c>
      <c r="AJ715">
        <v>78.483203089794301</v>
      </c>
      <c r="AK715">
        <v>26.183893770811299</v>
      </c>
      <c r="AL715">
        <v>92.952161932223902</v>
      </c>
      <c r="AM715">
        <v>87.176731194716098</v>
      </c>
      <c r="AN715">
        <v>0.99999998927525602</v>
      </c>
    </row>
    <row r="716" spans="1:40" x14ac:dyDescent="0.25">
      <c r="A716" t="str">
        <f>"20190312151513988"</f>
        <v>20190312151513988</v>
      </c>
      <c r="B716" t="str">
        <f>"1552374913978265"</f>
        <v>1552374913978265</v>
      </c>
      <c r="C716" t="s">
        <v>40</v>
      </c>
      <c r="D716">
        <v>5.3492439999999997</v>
      </c>
      <c r="E716">
        <v>0.55631779999999997</v>
      </c>
      <c r="F716" t="s">
        <v>43</v>
      </c>
      <c r="G716">
        <v>-267.79360000000003</v>
      </c>
      <c r="H716" s="1">
        <v>-2.1655150000000001E-6</v>
      </c>
      <c r="I716">
        <v>364.24709999999999</v>
      </c>
      <c r="J716">
        <v>-293.08069999999998</v>
      </c>
      <c r="K716">
        <v>1.0593999999999999</v>
      </c>
      <c r="L716">
        <v>369.11239999999998</v>
      </c>
      <c r="M716">
        <v>0.9998205</v>
      </c>
      <c r="N716">
        <v>0</v>
      </c>
      <c r="O716">
        <v>1.1091989999999999E-2</v>
      </c>
      <c r="P716">
        <v>0.99700239999999996</v>
      </c>
      <c r="Q716">
        <v>-6.7244680000000001E-2</v>
      </c>
      <c r="R716">
        <v>-3.827009E-2</v>
      </c>
      <c r="S716">
        <v>2.9789729999999999</v>
      </c>
      <c r="T716">
        <v>-0.12327920000000001</v>
      </c>
      <c r="U716">
        <v>-0.56573490000000004</v>
      </c>
      <c r="V716">
        <v>4.9337159999999998E-2</v>
      </c>
      <c r="W716">
        <v>-5.190906E-2</v>
      </c>
      <c r="X716">
        <v>0.9974324</v>
      </c>
      <c r="Y716">
        <v>0.19728950000000001</v>
      </c>
      <c r="Z716">
        <v>-4.4993150000000003E-3</v>
      </c>
      <c r="AA716">
        <v>0.98033490000000001</v>
      </c>
      <c r="AB716">
        <v>43</v>
      </c>
      <c r="AC716">
        <v>25.287099999999899</v>
      </c>
      <c r="AD716">
        <v>-1.0594021655150001</v>
      </c>
      <c r="AE716">
        <v>-4.8652999999999897</v>
      </c>
      <c r="AF716">
        <v>5.1368237378414001</v>
      </c>
      <c r="AG716">
        <v>-1.0594021655150001</v>
      </c>
      <c r="AH716">
        <v>25.188938691659001</v>
      </c>
      <c r="AI716">
        <v>92.359825750688202</v>
      </c>
      <c r="AJ716">
        <v>78.473625196000697</v>
      </c>
      <c r="AK716">
        <v>25.7292037085119</v>
      </c>
      <c r="AL716">
        <v>92.975507207322806</v>
      </c>
      <c r="AM716">
        <v>87.168220158552998</v>
      </c>
      <c r="AN716">
        <v>1.0000000492183501</v>
      </c>
    </row>
    <row r="717" spans="1:40" x14ac:dyDescent="0.25">
      <c r="A717" t="str">
        <f>"20190312151514001"</f>
        <v>20190312151514001</v>
      </c>
      <c r="B717" t="str">
        <f>"1552374913998761"</f>
        <v>1552374913998761</v>
      </c>
      <c r="C717" t="s">
        <v>40</v>
      </c>
      <c r="D717">
        <v>4.6974739999999997</v>
      </c>
      <c r="E717">
        <v>0.556177699999999</v>
      </c>
      <c r="F717" t="s">
        <v>43</v>
      </c>
      <c r="G717">
        <v>-268.1234</v>
      </c>
      <c r="H717" s="1">
        <v>-2.0174949999999998E-6</v>
      </c>
      <c r="I717">
        <v>364.38159999999999</v>
      </c>
      <c r="J717">
        <v>-292.8048</v>
      </c>
      <c r="K717">
        <v>1.059401</v>
      </c>
      <c r="L717">
        <v>369.1155</v>
      </c>
      <c r="M717">
        <v>0.99981980000000004</v>
      </c>
      <c r="N717">
        <v>0</v>
      </c>
      <c r="O717">
        <v>1.113892E-2</v>
      </c>
      <c r="P717">
        <v>0.99697119999999995</v>
      </c>
      <c r="Q717">
        <v>-6.7675040000000006E-2</v>
      </c>
      <c r="R717">
        <v>-3.8320600000000003E-2</v>
      </c>
      <c r="S717">
        <v>2.97879</v>
      </c>
      <c r="T717">
        <v>-0.12644530000000001</v>
      </c>
      <c r="U717">
        <v>-0.56463619999999903</v>
      </c>
      <c r="V717">
        <v>4.9433829999999998E-2</v>
      </c>
      <c r="W717">
        <v>-5.2344439999999999E-2</v>
      </c>
      <c r="X717">
        <v>0.99740479999999998</v>
      </c>
      <c r="Y717">
        <v>0.19698879999999999</v>
      </c>
      <c r="Z717">
        <v>-4.6108540000000002E-3</v>
      </c>
      <c r="AA717">
        <v>0.98039489999999996</v>
      </c>
      <c r="AB717">
        <v>43</v>
      </c>
      <c r="AC717">
        <v>24.6814</v>
      </c>
      <c r="AD717">
        <v>-1.059403017495</v>
      </c>
      <c r="AE717">
        <v>-4.7339000000000002</v>
      </c>
      <c r="AF717">
        <v>4.9996783227164396</v>
      </c>
      <c r="AG717">
        <v>-1.059403017495</v>
      </c>
      <c r="AH717">
        <v>24.583446288764598</v>
      </c>
      <c r="AI717">
        <v>92.418144791694601</v>
      </c>
      <c r="AJ717">
        <v>78.504208342124699</v>
      </c>
      <c r="AK717">
        <v>25.1090611038464</v>
      </c>
      <c r="AL717">
        <v>93.000486782175102</v>
      </c>
      <c r="AM717">
        <v>87.162602312081304</v>
      </c>
      <c r="AN717">
        <v>0.99999998950521096</v>
      </c>
    </row>
    <row r="718" spans="1:40" x14ac:dyDescent="0.25">
      <c r="A718" t="str">
        <f>"20190312151514012"</f>
        <v>20190312151514012</v>
      </c>
      <c r="B718" t="str">
        <f>"1552374914008522"</f>
        <v>1552374914008522</v>
      </c>
      <c r="C718" t="s">
        <v>40</v>
      </c>
      <c r="D718">
        <v>5.0120760000000004</v>
      </c>
      <c r="E718">
        <v>0.55611959999999905</v>
      </c>
      <c r="F718" t="s">
        <v>43</v>
      </c>
      <c r="G718">
        <v>-268.49579999999997</v>
      </c>
      <c r="H718" s="1">
        <v>-1.854683E-6</v>
      </c>
      <c r="I718">
        <v>364.51729999999998</v>
      </c>
      <c r="J718">
        <v>-292.59679999999997</v>
      </c>
      <c r="K718">
        <v>1.0593999999999999</v>
      </c>
      <c r="L718">
        <v>369.11790000000002</v>
      </c>
      <c r="M718">
        <v>0.99981960000000003</v>
      </c>
      <c r="N718">
        <v>0</v>
      </c>
      <c r="O718">
        <v>1.117398E-2</v>
      </c>
      <c r="P718">
        <v>0.99696030000000002</v>
      </c>
      <c r="Q718">
        <v>-6.7708569999999996E-2</v>
      </c>
      <c r="R718">
        <v>-3.8546959999999998E-2</v>
      </c>
      <c r="S718">
        <v>2.9786380000000001</v>
      </c>
      <c r="T718">
        <v>-0.12981029999999999</v>
      </c>
      <c r="U718">
        <v>-0.56341549999999996</v>
      </c>
      <c r="V718">
        <v>4.9695040000000003E-2</v>
      </c>
      <c r="W718">
        <v>-5.2381530000000003E-2</v>
      </c>
      <c r="X718">
        <v>0.99738990000000005</v>
      </c>
      <c r="Y718">
        <v>0.1966349</v>
      </c>
      <c r="Z718">
        <v>-4.7277409999999997E-3</v>
      </c>
      <c r="AA718">
        <v>0.98046540000000004</v>
      </c>
      <c r="AB718">
        <v>43</v>
      </c>
      <c r="AC718">
        <v>24.100999999999999</v>
      </c>
      <c r="AD718">
        <v>-1.059401854683</v>
      </c>
      <c r="AE718">
        <v>-4.60060000000004</v>
      </c>
      <c r="AF718">
        <v>4.8605871492738197</v>
      </c>
      <c r="AG718">
        <v>-1.059401854683</v>
      </c>
      <c r="AH718">
        <v>24.003333325936101</v>
      </c>
      <c r="AI718">
        <v>92.4769359588322</v>
      </c>
      <c r="AJ718">
        <v>78.552605171808906</v>
      </c>
      <c r="AK718">
        <v>24.513417764183401</v>
      </c>
      <c r="AL718">
        <v>93.002614718957801</v>
      </c>
      <c r="AM718">
        <v>87.1475915620791</v>
      </c>
      <c r="AN718">
        <v>1.0000000171538701</v>
      </c>
    </row>
    <row r="719" spans="1:40" x14ac:dyDescent="0.25">
      <c r="A719" t="str">
        <f>"20190312151514023"</f>
        <v>20190312151514023</v>
      </c>
      <c r="B719" t="str">
        <f>"1552374914018281"</f>
        <v>1552374914018281</v>
      </c>
      <c r="C719" t="s">
        <v>40</v>
      </c>
      <c r="D719">
        <v>4.7377960000000003</v>
      </c>
      <c r="E719">
        <v>0.55607779999999996</v>
      </c>
      <c r="F719" t="s">
        <v>43</v>
      </c>
      <c r="G719">
        <v>-268.43770000000001</v>
      </c>
      <c r="H719" s="1">
        <v>-1.866652E-6</v>
      </c>
      <c r="I719">
        <v>364.54660000000001</v>
      </c>
      <c r="J719">
        <v>-292.39769999999999</v>
      </c>
      <c r="K719">
        <v>1.059402</v>
      </c>
      <c r="L719">
        <v>369.12009999999998</v>
      </c>
      <c r="M719">
        <v>0.99981920000000002</v>
      </c>
      <c r="N719">
        <v>0</v>
      </c>
      <c r="O719">
        <v>1.1207669999999999E-2</v>
      </c>
      <c r="P719">
        <v>0.99692930000000002</v>
      </c>
      <c r="Q719">
        <v>-6.8106589999999995E-2</v>
      </c>
      <c r="R719">
        <v>-3.8646529999999998E-2</v>
      </c>
      <c r="S719">
        <v>2.9785159999999999</v>
      </c>
      <c r="T719">
        <v>-0.13061049999999999</v>
      </c>
      <c r="U719">
        <v>-0.56356809999999902</v>
      </c>
      <c r="V719">
        <v>4.9827879999999998E-2</v>
      </c>
      <c r="W719">
        <v>-5.2783139999999999E-2</v>
      </c>
      <c r="X719">
        <v>0.99736210000000003</v>
      </c>
      <c r="Y719">
        <v>0.19672129999999999</v>
      </c>
      <c r="Z719">
        <v>-4.7603649999999999E-3</v>
      </c>
      <c r="AA719">
        <v>0.98044790000000004</v>
      </c>
      <c r="AB719">
        <v>43</v>
      </c>
      <c r="AC719">
        <v>23.959999999999901</v>
      </c>
      <c r="AD719">
        <v>-1.059403866652</v>
      </c>
      <c r="AE719">
        <v>-4.5734999999999602</v>
      </c>
      <c r="AF719">
        <v>4.8326643596019903</v>
      </c>
      <c r="AG719">
        <v>-1.059403866652</v>
      </c>
      <c r="AH719">
        <v>23.862219501440801</v>
      </c>
      <c r="AI719">
        <v>92.491556885022604</v>
      </c>
      <c r="AJ719">
        <v>78.551100761106198</v>
      </c>
      <c r="AK719">
        <v>24.3697045714589</v>
      </c>
      <c r="AL719">
        <v>93.025657151237098</v>
      </c>
      <c r="AM719">
        <v>87.139899834323103</v>
      </c>
      <c r="AN719">
        <v>1.00000001800498</v>
      </c>
    </row>
    <row r="720" spans="1:40" x14ac:dyDescent="0.25">
      <c r="A720" t="str">
        <f>"20190312151514033"</f>
        <v>20190312151514033</v>
      </c>
      <c r="B720" t="str">
        <f>"1552374914028040"</f>
        <v>1552374914028040</v>
      </c>
      <c r="C720" t="s">
        <v>40</v>
      </c>
      <c r="D720">
        <v>5.0088910000000002</v>
      </c>
      <c r="E720">
        <v>0.55603219999999898</v>
      </c>
      <c r="F720" t="s">
        <v>43</v>
      </c>
      <c r="G720">
        <v>-268.62040000000002</v>
      </c>
      <c r="H720" s="1">
        <v>-1.785121E-6</v>
      </c>
      <c r="I720">
        <v>364.61930000000001</v>
      </c>
      <c r="J720">
        <v>-292.18079999999998</v>
      </c>
      <c r="K720">
        <v>1.0594049999999999</v>
      </c>
      <c r="L720">
        <v>369.12259999999998</v>
      </c>
      <c r="M720">
        <v>0.99981889999999995</v>
      </c>
      <c r="N720">
        <v>0</v>
      </c>
      <c r="O720">
        <v>1.12444E-2</v>
      </c>
      <c r="P720">
        <v>0.996919</v>
      </c>
      <c r="Q720">
        <v>-6.8180950000000004E-2</v>
      </c>
      <c r="R720">
        <v>-3.8780540000000002E-2</v>
      </c>
      <c r="S720">
        <v>2.9783330000000001</v>
      </c>
      <c r="T720">
        <v>-0.13269979999999901</v>
      </c>
      <c r="U720">
        <v>-0.56375120000000001</v>
      </c>
      <c r="V720">
        <v>4.9998420000000002E-2</v>
      </c>
      <c r="W720">
        <v>-5.286105E-2</v>
      </c>
      <c r="X720">
        <v>0.99734940000000005</v>
      </c>
      <c r="Y720">
        <v>0.1968202</v>
      </c>
      <c r="Z720">
        <v>-4.8405130000000003E-3</v>
      </c>
      <c r="AA720">
        <v>0.98042770000000001</v>
      </c>
      <c r="AB720">
        <v>43</v>
      </c>
      <c r="AC720">
        <v>23.560399999999898</v>
      </c>
      <c r="AD720">
        <v>-1.0594067851209901</v>
      </c>
      <c r="AE720">
        <v>-4.5032999999999603</v>
      </c>
      <c r="AF720">
        <v>4.7586865512120999</v>
      </c>
      <c r="AG720">
        <v>-1.0594067851209901</v>
      </c>
      <c r="AH720">
        <v>23.4625004357368</v>
      </c>
      <c r="AI720">
        <v>92.533809969804295</v>
      </c>
      <c r="AJ720">
        <v>78.534740302531105</v>
      </c>
      <c r="AK720">
        <v>23.963646782699801</v>
      </c>
      <c r="AL720">
        <v>93.030127423810399</v>
      </c>
      <c r="AM720">
        <v>87.130090760906697</v>
      </c>
      <c r="AN720">
        <v>0.99999997914497896</v>
      </c>
    </row>
    <row r="721" spans="1:40" x14ac:dyDescent="0.25">
      <c r="A721" t="str">
        <f>"20190312151514044"</f>
        <v>20190312151514044</v>
      </c>
      <c r="B721" t="str">
        <f>"1552374914038777"</f>
        <v>1552374914038777</v>
      </c>
      <c r="C721" t="s">
        <v>40</v>
      </c>
      <c r="D721">
        <v>4.7186370000000002</v>
      </c>
      <c r="E721">
        <v>0.55602069999999904</v>
      </c>
      <c r="F721" t="s">
        <v>43</v>
      </c>
      <c r="G721">
        <v>-268.56119999999999</v>
      </c>
      <c r="H721" s="1">
        <v>-1.7961799999999999E-6</v>
      </c>
      <c r="I721">
        <v>364.65339999999998</v>
      </c>
      <c r="J721">
        <v>-291.97039999999998</v>
      </c>
      <c r="K721">
        <v>1.059407</v>
      </c>
      <c r="L721">
        <v>369.12490000000003</v>
      </c>
      <c r="M721">
        <v>0.9998184</v>
      </c>
      <c r="N721">
        <v>0</v>
      </c>
      <c r="O721">
        <v>1.1280119999999999E-2</v>
      </c>
      <c r="P721">
        <v>0.99690599999999996</v>
      </c>
      <c r="Q721">
        <v>-6.8324860000000001E-2</v>
      </c>
      <c r="R721">
        <v>-3.8857940000000001E-2</v>
      </c>
      <c r="S721">
        <v>2.9782099999999998</v>
      </c>
      <c r="T721">
        <v>-0.1335808</v>
      </c>
      <c r="U721">
        <v>-0.56350710000000004</v>
      </c>
      <c r="V721">
        <v>5.0111160000000002E-2</v>
      </c>
      <c r="W721">
        <v>-5.3008369999999999E-2</v>
      </c>
      <c r="X721">
        <v>0.997336</v>
      </c>
      <c r="Y721">
        <v>0.19678229999999999</v>
      </c>
      <c r="Z721">
        <v>-4.8735949999999997E-3</v>
      </c>
      <c r="AA721">
        <v>0.9804351</v>
      </c>
      <c r="AB721">
        <v>42</v>
      </c>
      <c r="AC721">
        <v>23.409199999999998</v>
      </c>
      <c r="AD721">
        <v>-1.0594087961799901</v>
      </c>
      <c r="AE721">
        <v>-4.4715000000000398</v>
      </c>
      <c r="AF721">
        <v>4.7259666016746902</v>
      </c>
      <c r="AG721">
        <v>-1.0594087961799901</v>
      </c>
      <c r="AH721">
        <v>23.311201994180401</v>
      </c>
      <c r="AI721">
        <v>92.550281810660394</v>
      </c>
      <c r="AJ721">
        <v>78.539540870255394</v>
      </c>
      <c r="AK721">
        <v>23.8090160596999</v>
      </c>
      <c r="AL721">
        <v>93.0385798545027</v>
      </c>
      <c r="AM721">
        <v>87.123591758819401</v>
      </c>
      <c r="AN721">
        <v>1.0000000562712901</v>
      </c>
    </row>
    <row r="722" spans="1:40" x14ac:dyDescent="0.25">
      <c r="A722" t="str">
        <f>"20190312151514055"</f>
        <v>20190312151514055</v>
      </c>
      <c r="B722" t="str">
        <f>"1552374914048537"</f>
        <v>1552374914048537</v>
      </c>
      <c r="C722" t="s">
        <v>40</v>
      </c>
      <c r="D722">
        <v>4.9147150000000002</v>
      </c>
      <c r="E722">
        <v>0.55602069999999904</v>
      </c>
      <c r="F722" t="s">
        <v>43</v>
      </c>
      <c r="G722">
        <v>-268.61110000000002</v>
      </c>
      <c r="H722" s="1">
        <v>-1.7656869999999999E-6</v>
      </c>
      <c r="I722">
        <v>364.70420000000001</v>
      </c>
      <c r="J722">
        <v>-291.78429999999997</v>
      </c>
      <c r="K722">
        <v>1.0594140000000001</v>
      </c>
      <c r="L722">
        <v>369.12709999999998</v>
      </c>
      <c r="M722">
        <v>0.99981810000000004</v>
      </c>
      <c r="N722">
        <v>0</v>
      </c>
      <c r="O722">
        <v>1.131184E-2</v>
      </c>
      <c r="P722">
        <v>0.99686569999999997</v>
      </c>
      <c r="Q722">
        <v>-6.8685590000000005E-2</v>
      </c>
      <c r="R722">
        <v>-3.9258609999999999E-2</v>
      </c>
      <c r="S722">
        <v>2.9780880000000001</v>
      </c>
      <c r="T722">
        <v>-0.13506470000000001</v>
      </c>
      <c r="U722">
        <v>-0.56359859999999995</v>
      </c>
      <c r="V722">
        <v>5.054285E-2</v>
      </c>
      <c r="W722">
        <v>-5.3372500000000003E-2</v>
      </c>
      <c r="X722">
        <v>0.99729469999999998</v>
      </c>
      <c r="Y722">
        <v>0.1968452</v>
      </c>
      <c r="Z722">
        <v>-4.9307049999999996E-3</v>
      </c>
      <c r="AA722">
        <v>0.98042220000000002</v>
      </c>
      <c r="AB722">
        <v>42</v>
      </c>
      <c r="AC722">
        <v>23.173199999999898</v>
      </c>
      <c r="AD722">
        <v>-1.05941576568699</v>
      </c>
      <c r="AE722">
        <v>-4.4228999999999603</v>
      </c>
      <c r="AF722">
        <v>4.6753510449131301</v>
      </c>
      <c r="AG722">
        <v>-1.05941576568699</v>
      </c>
      <c r="AH722">
        <v>23.075146448226398</v>
      </c>
      <c r="AI722">
        <v>92.576412683288098</v>
      </c>
      <c r="AJ722">
        <v>78.546121523016893</v>
      </c>
      <c r="AK722">
        <v>23.567852103338801</v>
      </c>
      <c r="AL722">
        <v>93.059472833217797</v>
      </c>
      <c r="AM722">
        <v>87.098734729112806</v>
      </c>
      <c r="AN722">
        <v>0.99999996104523003</v>
      </c>
    </row>
    <row r="723" spans="1:40" x14ac:dyDescent="0.25">
      <c r="A723" t="str">
        <f>"20190312151514068"</f>
        <v>20190312151514068</v>
      </c>
      <c r="B723" t="str">
        <f>"1552374914058297"</f>
        <v>1552374914058297</v>
      </c>
      <c r="C723" t="s">
        <v>40</v>
      </c>
      <c r="D723">
        <v>4.894228</v>
      </c>
      <c r="E723">
        <v>0.55949110000000002</v>
      </c>
      <c r="F723" t="s">
        <v>43</v>
      </c>
      <c r="G723">
        <v>-268.5829</v>
      </c>
      <c r="H723" s="1">
        <v>-1.7698730000000001E-6</v>
      </c>
      <c r="I723">
        <v>364.72449999999998</v>
      </c>
      <c r="J723">
        <v>-291.53949999999998</v>
      </c>
      <c r="K723">
        <v>1.0594190000000001</v>
      </c>
      <c r="L723">
        <v>369.12990000000002</v>
      </c>
      <c r="M723">
        <v>0.99981790000000004</v>
      </c>
      <c r="N723">
        <v>0</v>
      </c>
      <c r="O723">
        <v>1.1352930000000001E-2</v>
      </c>
      <c r="P723">
        <v>0.99685749999999995</v>
      </c>
      <c r="Q723">
        <v>-6.8711069999999999E-2</v>
      </c>
      <c r="R723">
        <v>-3.9429869999999999E-2</v>
      </c>
      <c r="S723">
        <v>2.9777830000000001</v>
      </c>
      <c r="T723">
        <v>-0.13597049999999999</v>
      </c>
      <c r="U723">
        <v>-0.56503300000000001</v>
      </c>
      <c r="V723">
        <v>5.0754819999999999E-2</v>
      </c>
      <c r="W723">
        <v>-5.3401650000000002E-2</v>
      </c>
      <c r="X723">
        <v>0.99728240000000001</v>
      </c>
      <c r="Y723">
        <v>0.19735630000000001</v>
      </c>
      <c r="Z723">
        <v>-4.9774379999999998E-3</v>
      </c>
      <c r="AA723">
        <v>0.98031919999999995</v>
      </c>
      <c r="AB723">
        <v>42</v>
      </c>
      <c r="AC723">
        <v>22.956599999999899</v>
      </c>
      <c r="AD723">
        <v>-1.059420769873</v>
      </c>
      <c r="AE723">
        <v>-4.4054000000000402</v>
      </c>
      <c r="AF723">
        <v>4.6562071676780397</v>
      </c>
      <c r="AG723">
        <v>-1.059420769873</v>
      </c>
      <c r="AH723">
        <v>22.858147786025398</v>
      </c>
      <c r="AI723">
        <v>92.600299871891906</v>
      </c>
      <c r="AJ723">
        <v>78.486366638184606</v>
      </c>
      <c r="AK723">
        <v>23.3516071773177</v>
      </c>
      <c r="AL723">
        <v>93.061145312007199</v>
      </c>
      <c r="AM723">
        <v>87.086552256120299</v>
      </c>
      <c r="AN723">
        <v>0.99999998666285705</v>
      </c>
    </row>
    <row r="724" spans="1:40" x14ac:dyDescent="0.25">
      <c r="A724" t="str">
        <f>"20190312151514087"</f>
        <v>20190312151514087</v>
      </c>
      <c r="B724" t="str">
        <f>"1552374914078793"</f>
        <v>1552374914078793</v>
      </c>
      <c r="C724" t="s">
        <v>40</v>
      </c>
      <c r="D724">
        <v>4.8153949999999996</v>
      </c>
      <c r="E724">
        <v>0.53349740000000001</v>
      </c>
      <c r="F724" t="s">
        <v>43</v>
      </c>
      <c r="G724">
        <v>-278.65370000000001</v>
      </c>
      <c r="H724" s="1">
        <v>-1.2569640000000001E-6</v>
      </c>
      <c r="I724">
        <v>366.56169999999997</v>
      </c>
      <c r="J724">
        <v>-291.18110000000001</v>
      </c>
      <c r="K724">
        <v>1.0594319999999999</v>
      </c>
      <c r="L724">
        <v>369.13400000000001</v>
      </c>
      <c r="M724">
        <v>0.99981730000000002</v>
      </c>
      <c r="N724">
        <v>0</v>
      </c>
      <c r="O724">
        <v>1.141328E-2</v>
      </c>
      <c r="P724">
        <v>0.99681470000000005</v>
      </c>
      <c r="Q724">
        <v>-6.9061570000000003E-2</v>
      </c>
      <c r="R724">
        <v>-3.9888519999999997E-2</v>
      </c>
      <c r="S724">
        <v>2.9691770000000002</v>
      </c>
      <c r="T724">
        <v>-0.244112</v>
      </c>
      <c r="U724">
        <v>-0.59173580000000003</v>
      </c>
      <c r="V724">
        <v>5.1273529999999998E-2</v>
      </c>
      <c r="W724">
        <v>-5.3758010000000002E-2</v>
      </c>
      <c r="X724">
        <v>0.99723669999999998</v>
      </c>
      <c r="Y724">
        <v>0.20592530000000001</v>
      </c>
      <c r="Z724">
        <v>-9.2970229999999997E-3</v>
      </c>
      <c r="AA724">
        <v>0.97852360000000005</v>
      </c>
      <c r="AB724">
        <v>42</v>
      </c>
      <c r="AC724">
        <v>12.5274</v>
      </c>
      <c r="AD724">
        <v>-1.0594332569639999</v>
      </c>
      <c r="AE724">
        <v>-2.5723000000000402</v>
      </c>
      <c r="AF724">
        <v>2.6966220539830599</v>
      </c>
      <c r="AG724">
        <v>-1.0594332569639999</v>
      </c>
      <c r="AH724">
        <v>12.4120428637428</v>
      </c>
      <c r="AI724">
        <v>94.767972736776301</v>
      </c>
      <c r="AJ724">
        <v>77.742491173170094</v>
      </c>
      <c r="AK724">
        <v>12.745704271611601</v>
      </c>
      <c r="AL724">
        <v>93.081592667620797</v>
      </c>
      <c r="AM724">
        <v>87.056694512587498</v>
      </c>
      <c r="AN724">
        <v>0.99999996717235495</v>
      </c>
    </row>
    <row r="725" spans="1:40" x14ac:dyDescent="0.25">
      <c r="A725" t="str">
        <f>"20190312151514100"</f>
        <v>20190312151514100</v>
      </c>
      <c r="B725" t="str">
        <f>"1552374914088553"</f>
        <v>1552374914088553</v>
      </c>
      <c r="C725" t="s">
        <v>40</v>
      </c>
      <c r="D725">
        <v>5.0523699999999998</v>
      </c>
      <c r="E725">
        <v>0.52563879999999996</v>
      </c>
      <c r="F725" t="s">
        <v>43</v>
      </c>
      <c r="G725">
        <v>-269.80939999999998</v>
      </c>
      <c r="H725" s="1">
        <v>-9.1748939999999999E-7</v>
      </c>
      <c r="I725">
        <v>366.35950000000003</v>
      </c>
      <c r="J725">
        <v>-290.94310000000002</v>
      </c>
      <c r="K725">
        <v>1.0594380000000001</v>
      </c>
      <c r="L725">
        <v>369.13679999999999</v>
      </c>
      <c r="M725">
        <v>0.99981679999999995</v>
      </c>
      <c r="N725">
        <v>0</v>
      </c>
      <c r="O725">
        <v>1.145354E-2</v>
      </c>
      <c r="P725">
        <v>0.99681220000000004</v>
      </c>
      <c r="Q725">
        <v>-6.9028110000000004E-2</v>
      </c>
      <c r="R725">
        <v>-4.0012899999999997E-2</v>
      </c>
      <c r="S725">
        <v>2.9838559999999998</v>
      </c>
      <c r="T725">
        <v>-0.1479145</v>
      </c>
      <c r="U725">
        <v>-0.38735960000000003</v>
      </c>
      <c r="V725">
        <v>5.1437719999999999E-2</v>
      </c>
      <c r="W725">
        <v>-5.3727990000000003E-2</v>
      </c>
      <c r="X725">
        <v>0.9972299</v>
      </c>
      <c r="Y725">
        <v>0.13990649999999999</v>
      </c>
      <c r="Z725">
        <v>-4.0163300000000002E-3</v>
      </c>
      <c r="AA725">
        <v>0.99015660000000005</v>
      </c>
      <c r="AB725">
        <v>42</v>
      </c>
      <c r="AC725">
        <v>21.133700000000001</v>
      </c>
      <c r="AD725">
        <v>-1.0594389174893999</v>
      </c>
      <c r="AE725">
        <v>-2.7772999999999599</v>
      </c>
      <c r="AF725">
        <v>3.0117617216302399</v>
      </c>
      <c r="AG725">
        <v>-1.0594389174893999</v>
      </c>
      <c r="AH725">
        <v>21.048501887665299</v>
      </c>
      <c r="AI725">
        <v>92.852445943717001</v>
      </c>
      <c r="AJ725">
        <v>81.857005666237995</v>
      </c>
      <c r="AK725">
        <v>21.289259057158802</v>
      </c>
      <c r="AL725">
        <v>93.079870043199506</v>
      </c>
      <c r="AM725">
        <v>87.047265904200302</v>
      </c>
      <c r="AN725">
        <v>1.0000000047011199</v>
      </c>
    </row>
    <row r="726" spans="1:40" x14ac:dyDescent="0.25">
      <c r="A726" t="str">
        <f>"20190312151514111"</f>
        <v>20190312151514111</v>
      </c>
      <c r="B726" t="str">
        <f>"1552374914108073"</f>
        <v>1552374914108073</v>
      </c>
      <c r="C726" t="s">
        <v>40</v>
      </c>
      <c r="D726">
        <v>4.8529770000000001</v>
      </c>
      <c r="E726">
        <v>0.51572949999999995</v>
      </c>
      <c r="F726" t="s">
        <v>43</v>
      </c>
      <c r="G726">
        <v>-269.5299</v>
      </c>
      <c r="H726" s="1">
        <v>-8.9371489999999996E-7</v>
      </c>
      <c r="I726">
        <v>366.80619999999999</v>
      </c>
      <c r="J726">
        <v>-290.6979</v>
      </c>
      <c r="K726">
        <v>1.059439</v>
      </c>
      <c r="L726">
        <v>369.13959999999997</v>
      </c>
      <c r="M726">
        <v>0.99981640000000005</v>
      </c>
      <c r="N726">
        <v>0</v>
      </c>
      <c r="O726">
        <v>1.1494799999999999E-2</v>
      </c>
      <c r="P726">
        <v>0.99682800000000005</v>
      </c>
      <c r="Q726">
        <v>-6.8927290000000002E-2</v>
      </c>
      <c r="R726">
        <v>-3.9786630000000003E-2</v>
      </c>
      <c r="S726">
        <v>2.9862980000000001</v>
      </c>
      <c r="T726">
        <v>-0.14774989999999999</v>
      </c>
      <c r="U726">
        <v>-0.32501219999999997</v>
      </c>
      <c r="V726">
        <v>5.1252819999999998E-2</v>
      </c>
      <c r="W726">
        <v>-5.3630410000000003E-2</v>
      </c>
      <c r="X726">
        <v>0.99724469999999998</v>
      </c>
      <c r="Y726">
        <v>0.1194587</v>
      </c>
      <c r="Z726">
        <v>-3.511527E-3</v>
      </c>
      <c r="AA726">
        <v>0.99283299999999997</v>
      </c>
      <c r="AB726">
        <v>42</v>
      </c>
      <c r="AC726">
        <v>21.167999999999999</v>
      </c>
      <c r="AD726">
        <v>-1.0594398937149001</v>
      </c>
      <c r="AE726">
        <v>-2.3333999999999802</v>
      </c>
      <c r="AF726">
        <v>2.5702353998862799</v>
      </c>
      <c r="AG726">
        <v>-1.0594398937149001</v>
      </c>
      <c r="AH726">
        <v>21.087587575273499</v>
      </c>
      <c r="AI726">
        <v>92.855027251373599</v>
      </c>
      <c r="AJ726">
        <v>83.050848559281306</v>
      </c>
      <c r="AK726">
        <v>21.270046371459902</v>
      </c>
      <c r="AL726">
        <v>93.074270964431307</v>
      </c>
      <c r="AM726">
        <v>87.057904820723394</v>
      </c>
      <c r="AN726">
        <v>1.0000000320564</v>
      </c>
    </row>
    <row r="727" spans="1:40" x14ac:dyDescent="0.25">
      <c r="A727" t="str">
        <f>"20190312151514123"</f>
        <v>20190312151514123</v>
      </c>
      <c r="B727" t="str">
        <f>"1552374914118809"</f>
        <v>1552374914118809</v>
      </c>
      <c r="C727" t="s">
        <v>40</v>
      </c>
      <c r="D727">
        <v>4.9050580000000004</v>
      </c>
      <c r="E727">
        <v>0.51349319999999998</v>
      </c>
      <c r="F727" t="s">
        <v>43</v>
      </c>
      <c r="G727">
        <v>-272.14100000000002</v>
      </c>
      <c r="H727" s="1">
        <v>-3.7082879999999998E-6</v>
      </c>
      <c r="I727">
        <v>367.61799999999999</v>
      </c>
      <c r="J727">
        <v>-290.50060000000002</v>
      </c>
      <c r="K727">
        <v>1.0594460000000001</v>
      </c>
      <c r="L727">
        <v>369.14190000000002</v>
      </c>
      <c r="M727">
        <v>0.99981609999999999</v>
      </c>
      <c r="N727">
        <v>0</v>
      </c>
      <c r="O727">
        <v>1.152802E-2</v>
      </c>
      <c r="P727">
        <v>0.9968262</v>
      </c>
      <c r="Q727">
        <v>-6.8904640000000003E-2</v>
      </c>
      <c r="R727">
        <v>-3.987508E-2</v>
      </c>
      <c r="S727">
        <v>2.9879760000000002</v>
      </c>
      <c r="T727">
        <v>-0.170587299999999</v>
      </c>
      <c r="U727">
        <v>-0.24499509999999999</v>
      </c>
      <c r="V727">
        <v>5.137427E-2</v>
      </c>
      <c r="W727">
        <v>-5.361059E-2</v>
      </c>
      <c r="X727">
        <v>0.99723949999999995</v>
      </c>
      <c r="Y727">
        <v>9.3035640000000003E-2</v>
      </c>
      <c r="Z727">
        <v>-3.3058240000000002E-3</v>
      </c>
      <c r="AA727">
        <v>0.99565729999999997</v>
      </c>
      <c r="AB727">
        <v>42</v>
      </c>
      <c r="AC727">
        <v>18.3596</v>
      </c>
      <c r="AD727">
        <v>-1.0594497082879999</v>
      </c>
      <c r="AE727">
        <v>-1.5238999999999601</v>
      </c>
      <c r="AF727">
        <v>1.72975287557084</v>
      </c>
      <c r="AG727">
        <v>-1.0594497082879999</v>
      </c>
      <c r="AH727">
        <v>18.280354433673899</v>
      </c>
      <c r="AI727">
        <v>93.302185972749101</v>
      </c>
      <c r="AJ727">
        <v>84.594561713961397</v>
      </c>
      <c r="AK727">
        <v>18.3925484073219</v>
      </c>
      <c r="AL727">
        <v>93.073133776479494</v>
      </c>
      <c r="AM727">
        <v>87.050930097975694</v>
      </c>
      <c r="AN727">
        <v>1.0000000156692099</v>
      </c>
    </row>
    <row r="728" spans="1:40" x14ac:dyDescent="0.25">
      <c r="A728" t="str">
        <f>"20190312151514135"</f>
        <v>20190312151514135</v>
      </c>
      <c r="B728" t="str">
        <f>"1552374914128569"</f>
        <v>1552374914128569</v>
      </c>
      <c r="C728" t="s">
        <v>40</v>
      </c>
      <c r="D728">
        <v>4.7718299999999996</v>
      </c>
      <c r="E728">
        <v>0.51195210000000002</v>
      </c>
      <c r="F728" t="s">
        <v>43</v>
      </c>
      <c r="G728">
        <v>-272.28339999999997</v>
      </c>
      <c r="H728" s="1">
        <v>-3.6228190000000002E-6</v>
      </c>
      <c r="I728">
        <v>367.75529999999998</v>
      </c>
      <c r="J728">
        <v>-290.27379999999999</v>
      </c>
      <c r="K728">
        <v>1.05945</v>
      </c>
      <c r="L728">
        <v>369.14460000000003</v>
      </c>
      <c r="M728">
        <v>0.99981560000000003</v>
      </c>
      <c r="N728">
        <v>0</v>
      </c>
      <c r="O728">
        <v>1.156625E-2</v>
      </c>
      <c r="P728">
        <v>0.99686070000000004</v>
      </c>
      <c r="Q728">
        <v>-6.8627850000000004E-2</v>
      </c>
      <c r="R728">
        <v>-3.9486540000000001E-2</v>
      </c>
      <c r="S728">
        <v>2.9884339999999998</v>
      </c>
      <c r="T728">
        <v>-0.17379610000000001</v>
      </c>
      <c r="U728">
        <v>-0.2274475</v>
      </c>
      <c r="V728">
        <v>5.1024140000000003E-2</v>
      </c>
      <c r="W728">
        <v>-5.3336479999999999E-2</v>
      </c>
      <c r="X728">
        <v>0.99727209999999999</v>
      </c>
      <c r="Y728">
        <v>8.7252910000000003E-2</v>
      </c>
      <c r="Z728">
        <v>-3.202613E-3</v>
      </c>
      <c r="AA728">
        <v>0.99618110000000004</v>
      </c>
      <c r="AB728">
        <v>42</v>
      </c>
      <c r="AC728">
        <v>17.990400000000001</v>
      </c>
      <c r="AD728">
        <v>-1.0594536228189999</v>
      </c>
      <c r="AE728">
        <v>-1.3893000000000399</v>
      </c>
      <c r="AF728">
        <v>1.59182519952926</v>
      </c>
      <c r="AG728">
        <v>-1.0594536228189999</v>
      </c>
      <c r="AH728">
        <v>17.911376575679899</v>
      </c>
      <c r="AI728">
        <v>93.371828679863796</v>
      </c>
      <c r="AJ728">
        <v>84.9213352681179</v>
      </c>
      <c r="AK728">
        <v>18.013155200590901</v>
      </c>
      <c r="AL728">
        <v>93.057406153041896</v>
      </c>
      <c r="AM728">
        <v>87.071089295221199</v>
      </c>
      <c r="AN728">
        <v>0.99999994219996802</v>
      </c>
    </row>
    <row r="729" spans="1:40" x14ac:dyDescent="0.25">
      <c r="A729" t="str">
        <f>"20190312151514146"</f>
        <v>20190312151514146</v>
      </c>
      <c r="B729" t="str">
        <f>"1552374914138329"</f>
        <v>1552374914138329</v>
      </c>
      <c r="C729" t="s">
        <v>40</v>
      </c>
      <c r="D729">
        <v>4.8242890000000003</v>
      </c>
      <c r="E729">
        <v>0.51059009999999905</v>
      </c>
      <c r="F729" t="s">
        <v>41</v>
      </c>
      <c r="G729">
        <v>-289.20100000000002</v>
      </c>
      <c r="H729">
        <v>0.99551420000000002</v>
      </c>
      <c r="I729">
        <v>369.0677</v>
      </c>
      <c r="J729">
        <v>-290.06099999999998</v>
      </c>
      <c r="K729">
        <v>1.0594570000000001</v>
      </c>
      <c r="L729">
        <v>369.14710000000002</v>
      </c>
      <c r="M729">
        <v>0.99981520000000002</v>
      </c>
      <c r="N729">
        <v>0</v>
      </c>
      <c r="O729">
        <v>1.1602090000000001E-2</v>
      </c>
      <c r="P729">
        <v>0.99689910000000004</v>
      </c>
      <c r="Q729">
        <v>-6.8385600000000005E-2</v>
      </c>
      <c r="R729">
        <v>-3.8929730000000003E-2</v>
      </c>
      <c r="S729">
        <v>2.9886780000000002</v>
      </c>
      <c r="T729">
        <v>-0.17816850000000001</v>
      </c>
      <c r="U729">
        <v>-0.21383669999999999</v>
      </c>
      <c r="V729">
        <v>5.0503649999999997E-2</v>
      </c>
      <c r="W729">
        <v>-5.3096560000000001E-2</v>
      </c>
      <c r="X729">
        <v>0.99731150000000002</v>
      </c>
      <c r="Y729">
        <v>8.2768839999999996E-2</v>
      </c>
      <c r="Z729">
        <v>-3.1520850000000002E-3</v>
      </c>
      <c r="AA729">
        <v>0.9965638</v>
      </c>
      <c r="AB729">
        <v>42</v>
      </c>
      <c r="AC729">
        <v>0.86000000000001298</v>
      </c>
      <c r="AD729">
        <v>-6.39427999999998E-2</v>
      </c>
      <c r="AE729">
        <v>-7.9400000000020995E-2</v>
      </c>
      <c r="AF729">
        <v>8.8886392805008305E-2</v>
      </c>
      <c r="AG729">
        <v>-6.39427999999998E-2</v>
      </c>
      <c r="AH729">
        <v>0.85433772842217903</v>
      </c>
      <c r="AI729">
        <v>94.257419692324106</v>
      </c>
      <c r="AJ729">
        <v>84.060243916749897</v>
      </c>
      <c r="AK729">
        <v>0.86132597006202904</v>
      </c>
      <c r="AL729">
        <v>93.043639927172904</v>
      </c>
      <c r="AM729">
        <v>87.101029802638905</v>
      </c>
      <c r="AN729">
        <v>1.0000000456897</v>
      </c>
    </row>
    <row r="730" spans="1:40" x14ac:dyDescent="0.25">
      <c r="A730" t="str">
        <f>"20190312151514156"</f>
        <v>20190312151514156</v>
      </c>
      <c r="B730" t="str">
        <f>"1552374914148088"</f>
        <v>1552374914148088</v>
      </c>
      <c r="C730" t="s">
        <v>40</v>
      </c>
      <c r="D730">
        <v>4.8452339999999996</v>
      </c>
      <c r="E730">
        <v>0.50982859999999997</v>
      </c>
      <c r="F730" t="s">
        <v>43</v>
      </c>
      <c r="G730">
        <v>-272.678</v>
      </c>
      <c r="H730" s="1">
        <v>-3.4145710000000001E-6</v>
      </c>
      <c r="I730">
        <v>367.9751</v>
      </c>
      <c r="J730">
        <v>-289.86079999999998</v>
      </c>
      <c r="K730">
        <v>1.0594619999999999</v>
      </c>
      <c r="L730">
        <v>369.14940000000001</v>
      </c>
      <c r="M730">
        <v>0.99981489999999995</v>
      </c>
      <c r="N730">
        <v>0</v>
      </c>
      <c r="O730">
        <v>1.1635660000000001E-2</v>
      </c>
      <c r="P730">
        <v>0.99691700000000005</v>
      </c>
      <c r="Q730">
        <v>-6.8316070000000007E-2</v>
      </c>
      <c r="R730">
        <v>-3.8594740000000002E-2</v>
      </c>
      <c r="S730">
        <v>2.988953</v>
      </c>
      <c r="T730">
        <v>-0.18216930000000001</v>
      </c>
      <c r="U730">
        <v>-0.20150760000000001</v>
      </c>
      <c r="V730">
        <v>5.0202200000000002E-2</v>
      </c>
      <c r="W730">
        <v>-5.302946E-2</v>
      </c>
      <c r="X730">
        <v>0.99733019999999994</v>
      </c>
      <c r="Y730">
        <v>7.8703960000000003E-2</v>
      </c>
      <c r="Z730">
        <v>-3.1013210000000002E-3</v>
      </c>
      <c r="AA730">
        <v>0.99689320000000003</v>
      </c>
      <c r="AB730">
        <v>42</v>
      </c>
      <c r="AC730">
        <v>17.182799999999901</v>
      </c>
      <c r="AD730">
        <v>-1.0594654145710001</v>
      </c>
      <c r="AE730">
        <v>-1.1743000000000099</v>
      </c>
      <c r="AF730">
        <v>1.3689967642624199</v>
      </c>
      <c r="AG730">
        <v>-1.0594654145710001</v>
      </c>
      <c r="AH730">
        <v>17.103250826529099</v>
      </c>
      <c r="AI730">
        <v>93.533400794787497</v>
      </c>
      <c r="AJ730">
        <v>85.4236265088322</v>
      </c>
      <c r="AK730">
        <v>17.190631400283198</v>
      </c>
      <c r="AL730">
        <v>93.039790228943303</v>
      </c>
      <c r="AM730">
        <v>87.118358082478906</v>
      </c>
      <c r="AN730">
        <v>0.99999995617238402</v>
      </c>
    </row>
    <row r="731" spans="1:40" x14ac:dyDescent="0.25">
      <c r="A731" t="str">
        <f>"20190312151514167"</f>
        <v>20190312151514167</v>
      </c>
      <c r="B731" t="str">
        <f>"1552374914158825"</f>
        <v>1552374914158825</v>
      </c>
      <c r="C731" t="s">
        <v>40</v>
      </c>
      <c r="D731">
        <v>4.8297119999999998</v>
      </c>
      <c r="E731">
        <v>0.5089842</v>
      </c>
      <c r="F731" t="s">
        <v>41</v>
      </c>
      <c r="G731">
        <v>-288.82440000000003</v>
      </c>
      <c r="H731">
        <v>0.99582300000000001</v>
      </c>
      <c r="I731">
        <v>369.08170000000001</v>
      </c>
      <c r="J731">
        <v>-289.65469999999999</v>
      </c>
      <c r="K731">
        <v>1.0594650000000001</v>
      </c>
      <c r="L731">
        <v>369.15179999999998</v>
      </c>
      <c r="M731">
        <v>0.99981450000000005</v>
      </c>
      <c r="N731">
        <v>0</v>
      </c>
      <c r="O731">
        <v>1.167054E-2</v>
      </c>
      <c r="P731">
        <v>0.99693659999999995</v>
      </c>
      <c r="Q731">
        <v>-6.8270579999999997E-2</v>
      </c>
      <c r="R731">
        <v>-3.8168319999999999E-2</v>
      </c>
      <c r="S731">
        <v>2.989166</v>
      </c>
      <c r="T731">
        <v>-0.18381439999999999</v>
      </c>
      <c r="U731">
        <v>-0.19439699999999999</v>
      </c>
      <c r="V731">
        <v>4.9810559999999997E-2</v>
      </c>
      <c r="W731">
        <v>-5.2986430000000001E-2</v>
      </c>
      <c r="X731">
        <v>0.99735220000000002</v>
      </c>
      <c r="Y731">
        <v>7.6374010000000006E-2</v>
      </c>
      <c r="Z731">
        <v>-3.059941E-3</v>
      </c>
      <c r="AA731">
        <v>0.99707449999999997</v>
      </c>
      <c r="AB731">
        <v>42</v>
      </c>
      <c r="AC731">
        <v>0.83029999999996495</v>
      </c>
      <c r="AD731">
        <v>-6.3641999999999893E-2</v>
      </c>
      <c r="AE731">
        <v>-7.0099999999967993E-2</v>
      </c>
      <c r="AF731">
        <v>7.9323673260931704E-2</v>
      </c>
      <c r="AG731">
        <v>-6.3641999999999893E-2</v>
      </c>
      <c r="AH731">
        <v>0.82461480834669199</v>
      </c>
      <c r="AI731">
        <v>94.393018224871</v>
      </c>
      <c r="AJ731">
        <v>84.505349315852101</v>
      </c>
      <c r="AK731">
        <v>0.83086228187844602</v>
      </c>
      <c r="AL731">
        <v>93.037321089097006</v>
      </c>
      <c r="AM731">
        <v>87.140864012265595</v>
      </c>
      <c r="AN731">
        <v>1.0000000322482401</v>
      </c>
    </row>
    <row r="732" spans="1:40" x14ac:dyDescent="0.25">
      <c r="A732" t="str">
        <f>"20190312151514178"</f>
        <v>20190312151514178</v>
      </c>
      <c r="B732" t="str">
        <f>"1552374914168585"</f>
        <v>1552374914168585</v>
      </c>
      <c r="C732" t="s">
        <v>40</v>
      </c>
      <c r="D732">
        <v>5.0096959999999999</v>
      </c>
      <c r="E732">
        <v>0.50839199999999996</v>
      </c>
      <c r="F732" t="s">
        <v>43</v>
      </c>
      <c r="G732">
        <v>-272.54860000000002</v>
      </c>
      <c r="H732" s="1">
        <v>-3.4503549999999998E-6</v>
      </c>
      <c r="I732">
        <v>368.08620000000002</v>
      </c>
      <c r="J732">
        <v>-289.45890000000003</v>
      </c>
      <c r="K732">
        <v>1.0594629999999901</v>
      </c>
      <c r="L732">
        <v>369.15410000000003</v>
      </c>
      <c r="M732">
        <v>0.99981419999999999</v>
      </c>
      <c r="N732">
        <v>0</v>
      </c>
      <c r="O732">
        <v>1.170322E-2</v>
      </c>
      <c r="P732">
        <v>0.99693529999999997</v>
      </c>
      <c r="Q732">
        <v>-6.8417930000000002E-2</v>
      </c>
      <c r="R732">
        <v>-3.7940580000000002E-2</v>
      </c>
      <c r="S732">
        <v>2.9894409999999998</v>
      </c>
      <c r="T732">
        <v>-0.18515029999999999</v>
      </c>
      <c r="U732">
        <v>-0.1862183</v>
      </c>
      <c r="V732">
        <v>4.9615529999999998E-2</v>
      </c>
      <c r="W732">
        <v>-5.3136370000000002E-2</v>
      </c>
      <c r="X732">
        <v>0.99735390000000002</v>
      </c>
      <c r="Y732">
        <v>7.3686180000000004E-2</v>
      </c>
      <c r="Z732">
        <v>-3.0010639999999999E-3</v>
      </c>
      <c r="AA732">
        <v>0.99727699999999997</v>
      </c>
      <c r="AB732">
        <v>42</v>
      </c>
      <c r="AC732">
        <v>16.910299999999999</v>
      </c>
      <c r="AD732">
        <v>-1.05946645035499</v>
      </c>
      <c r="AE732">
        <v>-1.0679000000000001</v>
      </c>
      <c r="AF732">
        <v>1.2608255794385499</v>
      </c>
      <c r="AG732">
        <v>-1.05946645035499</v>
      </c>
      <c r="AH732">
        <v>16.830838787468998</v>
      </c>
      <c r="AI732">
        <v>93.591860500029597</v>
      </c>
      <c r="AJ732">
        <v>85.715881571761699</v>
      </c>
      <c r="AK732">
        <v>16.9112177146108</v>
      </c>
      <c r="AL732">
        <v>93.045924271711399</v>
      </c>
      <c r="AM732">
        <v>87.152045152810004</v>
      </c>
      <c r="AN732">
        <v>0.99999998823958303</v>
      </c>
    </row>
    <row r="733" spans="1:40" x14ac:dyDescent="0.25">
      <c r="A733" t="str">
        <f>"20190312151514188"</f>
        <v>20190312151514188</v>
      </c>
      <c r="B733" t="str">
        <f>"1552374914178345"</f>
        <v>1552374914178345</v>
      </c>
      <c r="C733" t="s">
        <v>40</v>
      </c>
      <c r="D733">
        <v>4.7759010000000002</v>
      </c>
      <c r="E733">
        <v>0.50796839999999999</v>
      </c>
      <c r="F733" t="s">
        <v>41</v>
      </c>
      <c r="G733">
        <v>-288.447</v>
      </c>
      <c r="H733">
        <v>0.99734990000000001</v>
      </c>
      <c r="I733">
        <v>369.09289999999999</v>
      </c>
      <c r="J733">
        <v>-289.26650000000001</v>
      </c>
      <c r="K733">
        <v>1.0594619999999999</v>
      </c>
      <c r="L733">
        <v>369.15640000000002</v>
      </c>
      <c r="M733">
        <v>0.99981390000000003</v>
      </c>
      <c r="N733">
        <v>0</v>
      </c>
      <c r="O733">
        <v>1.173543E-2</v>
      </c>
      <c r="P733">
        <v>0.99691989999999997</v>
      </c>
      <c r="Q733">
        <v>-6.8741179999999999E-2</v>
      </c>
      <c r="R733">
        <v>-3.7758979999999998E-2</v>
      </c>
      <c r="S733">
        <v>2.9897459999999998</v>
      </c>
      <c r="T733">
        <v>-0.18354960000000001</v>
      </c>
      <c r="U733">
        <v>-0.1808167</v>
      </c>
      <c r="V733">
        <v>4.9465820000000001E-2</v>
      </c>
      <c r="W733">
        <v>-5.346236E-2</v>
      </c>
      <c r="X733">
        <v>0.99734389999999995</v>
      </c>
      <c r="Y733">
        <v>7.1922899999999998E-2</v>
      </c>
      <c r="Z733">
        <v>-2.922975E-3</v>
      </c>
      <c r="AA733">
        <v>0.99740589999999996</v>
      </c>
      <c r="AB733">
        <v>42</v>
      </c>
      <c r="AC733">
        <v>0.819500000000005</v>
      </c>
      <c r="AD733">
        <v>-6.2112100000000101E-2</v>
      </c>
      <c r="AE733">
        <v>-6.3500000000033197E-2</v>
      </c>
      <c r="AF733">
        <v>7.2698810610970999E-2</v>
      </c>
      <c r="AG733">
        <v>-6.2112100000000101E-2</v>
      </c>
      <c r="AH733">
        <v>0.81404984262487601</v>
      </c>
      <c r="AI733">
        <v>94.345991338853494</v>
      </c>
      <c r="AJ733">
        <v>84.896732255143405</v>
      </c>
      <c r="AK733">
        <v>0.81964637271706697</v>
      </c>
      <c r="AL733">
        <v>93.064628756582096</v>
      </c>
      <c r="AM733">
        <v>87.160596070999006</v>
      </c>
      <c r="AN733">
        <v>0.99999997307612498</v>
      </c>
    </row>
    <row r="734" spans="1:40" x14ac:dyDescent="0.25">
      <c r="A734" t="str">
        <f>"20190312151514198"</f>
        <v>20190312151514198</v>
      </c>
      <c r="B734" t="str">
        <f>"1552374914188105"</f>
        <v>1552374914188105</v>
      </c>
      <c r="C734" t="s">
        <v>40</v>
      </c>
      <c r="D734">
        <v>4.8022169999999997</v>
      </c>
      <c r="E734">
        <v>0.50756880000000004</v>
      </c>
      <c r="F734" t="s">
        <v>43</v>
      </c>
      <c r="G734">
        <v>-272.01029999999997</v>
      </c>
      <c r="H734" s="1">
        <v>-3.6728140000000002E-6</v>
      </c>
      <c r="I734">
        <v>368.13389999999998</v>
      </c>
      <c r="J734">
        <v>-289.06619999999998</v>
      </c>
      <c r="K734">
        <v>1.0594589999999999</v>
      </c>
      <c r="L734">
        <v>369.15879999999999</v>
      </c>
      <c r="M734">
        <v>0.99981339999999996</v>
      </c>
      <c r="N734">
        <v>0</v>
      </c>
      <c r="O734">
        <v>1.176894E-2</v>
      </c>
      <c r="P734">
        <v>0.99691770000000002</v>
      </c>
      <c r="Q734">
        <v>-6.900104E-2</v>
      </c>
      <c r="R734">
        <v>-3.7341119999999998E-2</v>
      </c>
      <c r="S734">
        <v>2.9898989999999999</v>
      </c>
      <c r="T734">
        <v>-0.18356749999999999</v>
      </c>
      <c r="U734">
        <v>-0.17715449999999999</v>
      </c>
      <c r="V734">
        <v>4.9081519999999997E-2</v>
      </c>
      <c r="W734">
        <v>-5.3724899999999999E-2</v>
      </c>
      <c r="X734">
        <v>0.99734880000000004</v>
      </c>
      <c r="Y734">
        <v>7.0738079999999995E-2</v>
      </c>
      <c r="Z734">
        <v>-2.8889660000000002E-3</v>
      </c>
      <c r="AA734">
        <v>0.99749080000000001</v>
      </c>
      <c r="AB734">
        <v>42</v>
      </c>
      <c r="AC734">
        <v>17.055900000000001</v>
      </c>
      <c r="AD734">
        <v>-1.059462672814</v>
      </c>
      <c r="AE734">
        <v>-1.0248999999999999</v>
      </c>
      <c r="AF734">
        <v>1.2208885340836799</v>
      </c>
      <c r="AG734">
        <v>-1.059462672814</v>
      </c>
      <c r="AH734">
        <v>16.977383015518701</v>
      </c>
      <c r="AI734">
        <v>93.561701833016897</v>
      </c>
      <c r="AJ734">
        <v>85.886789532897197</v>
      </c>
      <c r="AK734">
        <v>17.054165591531198</v>
      </c>
      <c r="AL734">
        <v>93.0796927740775</v>
      </c>
      <c r="AM734">
        <v>87.182633541870402</v>
      </c>
      <c r="AN734">
        <v>0.99999999467348</v>
      </c>
    </row>
    <row r="735" spans="1:40" x14ac:dyDescent="0.25">
      <c r="A735" t="str">
        <f>"20190312151514209"</f>
        <v>20190312151514209</v>
      </c>
      <c r="B735" t="str">
        <f>"1552374914198841"</f>
        <v>1552374914198841</v>
      </c>
      <c r="C735" t="s">
        <v>40</v>
      </c>
      <c r="D735">
        <v>4.810371</v>
      </c>
      <c r="E735">
        <v>0.50733320000000004</v>
      </c>
      <c r="F735" t="s">
        <v>41</v>
      </c>
      <c r="G735">
        <v>-288.07029999999997</v>
      </c>
      <c r="H735">
        <v>0.99834509999999999</v>
      </c>
      <c r="I735">
        <v>369.101</v>
      </c>
      <c r="J735">
        <v>-288.86900000000003</v>
      </c>
      <c r="K735">
        <v>1.0594589999999999</v>
      </c>
      <c r="L735">
        <v>369.16109999999998</v>
      </c>
      <c r="M735">
        <v>0.99981319999999996</v>
      </c>
      <c r="N735">
        <v>0</v>
      </c>
      <c r="O735">
        <v>1.1802160000000001E-2</v>
      </c>
      <c r="P735">
        <v>0.99690630000000002</v>
      </c>
      <c r="Q735">
        <v>-6.9203029999999999E-2</v>
      </c>
      <c r="R735">
        <v>-3.7273359999999998E-2</v>
      </c>
      <c r="S735">
        <v>2.9900509999999998</v>
      </c>
      <c r="T735">
        <v>-0.1838149</v>
      </c>
      <c r="U735">
        <v>-0.17257690000000001</v>
      </c>
      <c r="V735">
        <v>4.9046680000000002E-2</v>
      </c>
      <c r="W735">
        <v>-5.3929690000000002E-2</v>
      </c>
      <c r="X735">
        <v>0.99733950000000005</v>
      </c>
      <c r="Y735">
        <v>6.9248530000000003E-2</v>
      </c>
      <c r="Z735">
        <v>-2.8491660000000002E-3</v>
      </c>
      <c r="AA735">
        <v>0.99759540000000002</v>
      </c>
      <c r="AB735">
        <v>42</v>
      </c>
      <c r="AC735">
        <v>0.79870000000005303</v>
      </c>
      <c r="AD735">
        <v>-6.1113899999999999E-2</v>
      </c>
      <c r="AE735">
        <v>-6.0099999999977102E-2</v>
      </c>
      <c r="AF735">
        <v>6.91208917332468E-2</v>
      </c>
      <c r="AG735">
        <v>-6.1113899999999999E-2</v>
      </c>
      <c r="AH735">
        <v>0.79331640235137302</v>
      </c>
      <c r="AI735">
        <v>94.388574602646202</v>
      </c>
      <c r="AJ735">
        <v>85.020449375922297</v>
      </c>
      <c r="AK735">
        <v>0.79866358417479799</v>
      </c>
      <c r="AL735">
        <v>93.091443292775097</v>
      </c>
      <c r="AM735">
        <v>87.184603990518397</v>
      </c>
      <c r="AN735">
        <v>1.0000000332713801</v>
      </c>
    </row>
    <row r="736" spans="1:40" x14ac:dyDescent="0.25">
      <c r="A736" t="str">
        <f>"20190312151514221"</f>
        <v>20190312151514221</v>
      </c>
      <c r="B736" t="str">
        <f>"1552374914218362"</f>
        <v>1552374914218362</v>
      </c>
      <c r="C736" t="s">
        <v>40</v>
      </c>
      <c r="D736">
        <v>4.8124859999999998</v>
      </c>
      <c r="E736">
        <v>0.50690779999999902</v>
      </c>
      <c r="F736" t="s">
        <v>43</v>
      </c>
      <c r="G736">
        <v>-271.6481</v>
      </c>
      <c r="H736" s="1">
        <v>-3.8200669999999998E-6</v>
      </c>
      <c r="I736">
        <v>368.1798</v>
      </c>
      <c r="J736">
        <v>-288.65949999999998</v>
      </c>
      <c r="K736">
        <v>1.059458</v>
      </c>
      <c r="L736">
        <v>369.16370000000001</v>
      </c>
      <c r="M736">
        <v>0.99981279999999995</v>
      </c>
      <c r="N736">
        <v>0</v>
      </c>
      <c r="O736">
        <v>1.1837520000000001E-2</v>
      </c>
      <c r="P736">
        <v>0.99686839999999999</v>
      </c>
      <c r="Q736">
        <v>-6.9630319999999996E-2</v>
      </c>
      <c r="R736">
        <v>-3.7482139999999997E-2</v>
      </c>
      <c r="S736">
        <v>2.9901119999999999</v>
      </c>
      <c r="T736">
        <v>-0.18395629999999999</v>
      </c>
      <c r="U736">
        <v>-0.17037959999999999</v>
      </c>
      <c r="V736">
        <v>4.9290580000000001E-2</v>
      </c>
      <c r="W736">
        <v>-5.4360260000000001E-2</v>
      </c>
      <c r="X736">
        <v>0.99730410000000003</v>
      </c>
      <c r="Y736">
        <v>6.8552959999999996E-2</v>
      </c>
      <c r="Z736">
        <v>-2.832167E-3</v>
      </c>
      <c r="AA736">
        <v>0.99764350000000002</v>
      </c>
      <c r="AB736">
        <v>42</v>
      </c>
      <c r="AC736">
        <v>17.011399999999899</v>
      </c>
      <c r="AD736">
        <v>-1.0594618200669901</v>
      </c>
      <c r="AE736">
        <v>-0.98390000000000499</v>
      </c>
      <c r="AF736">
        <v>1.18066320676674</v>
      </c>
      <c r="AG736">
        <v>-1.0594618200669901</v>
      </c>
      <c r="AH736">
        <v>16.933099412773998</v>
      </c>
      <c r="AI736">
        <v>93.571538546638493</v>
      </c>
      <c r="AJ736">
        <v>86.011497271557701</v>
      </c>
      <c r="AK736">
        <v>17.007242006829902</v>
      </c>
      <c r="AL736">
        <v>93.116149376912503</v>
      </c>
      <c r="AM736">
        <v>87.1705259768909</v>
      </c>
      <c r="AN736">
        <v>1.0000000335104</v>
      </c>
    </row>
    <row r="737" spans="1:40" x14ac:dyDescent="0.25">
      <c r="A737" t="str">
        <f>"20190312151514232"</f>
        <v>20190312151514232</v>
      </c>
      <c r="B737" t="str">
        <f>"1552374914228121"</f>
        <v>1552374914228121</v>
      </c>
      <c r="C737" t="s">
        <v>40</v>
      </c>
      <c r="D737">
        <v>4.8320360000000004</v>
      </c>
      <c r="E737">
        <v>0.50672899999999998</v>
      </c>
      <c r="F737" t="s">
        <v>41</v>
      </c>
      <c r="G737">
        <v>-287.69290000000001</v>
      </c>
      <c r="H737">
        <v>1.000426</v>
      </c>
      <c r="I737">
        <v>369.10950000000003</v>
      </c>
      <c r="J737">
        <v>-288.4427</v>
      </c>
      <c r="K737">
        <v>1.0594619999999999</v>
      </c>
      <c r="L737">
        <v>369.16629999999998</v>
      </c>
      <c r="M737">
        <v>0.99981240000000005</v>
      </c>
      <c r="N737">
        <v>0</v>
      </c>
      <c r="O737">
        <v>1.187407E-2</v>
      </c>
      <c r="P737">
        <v>0.99686439999999998</v>
      </c>
      <c r="Q737">
        <v>-6.967276E-2</v>
      </c>
      <c r="R737">
        <v>-3.751575E-2</v>
      </c>
      <c r="S737">
        <v>2.990326</v>
      </c>
      <c r="T737">
        <v>-0.18260409999999999</v>
      </c>
      <c r="U737">
        <v>-0.16769410000000001</v>
      </c>
      <c r="V737">
        <v>4.936045E-2</v>
      </c>
      <c r="W737">
        <v>-5.4405549999999997E-2</v>
      </c>
      <c r="X737">
        <v>0.99729809999999997</v>
      </c>
      <c r="Y737">
        <v>6.7696010000000001E-2</v>
      </c>
      <c r="Z737">
        <v>-2.7873669999999998E-3</v>
      </c>
      <c r="AA737">
        <v>0.99770210000000004</v>
      </c>
      <c r="AB737">
        <v>42</v>
      </c>
      <c r="AC737">
        <v>0.74979999999999303</v>
      </c>
      <c r="AD737">
        <v>-5.9035999999999998E-2</v>
      </c>
      <c r="AE737">
        <v>-5.6799999999952798E-2</v>
      </c>
      <c r="AF737">
        <v>6.5297724257686193E-2</v>
      </c>
      <c r="AG737">
        <v>-5.9035999999999998E-2</v>
      </c>
      <c r="AH737">
        <v>0.74448365429513697</v>
      </c>
      <c r="AI737">
        <v>94.5166806527142</v>
      </c>
      <c r="AJ737">
        <v>84.987486493610902</v>
      </c>
      <c r="AK737">
        <v>0.74966989642233495</v>
      </c>
      <c r="AL737">
        <v>93.118748380820506</v>
      </c>
      <c r="AM737">
        <v>87.166504675265102</v>
      </c>
      <c r="AN737">
        <v>0.99999995907930594</v>
      </c>
    </row>
    <row r="738" spans="1:40" x14ac:dyDescent="0.25">
      <c r="A738" t="str">
        <f>"20190312151514242"</f>
        <v>20190312151514242</v>
      </c>
      <c r="B738" t="str">
        <f>"1552374914238857"</f>
        <v>1552374914238857</v>
      </c>
      <c r="C738" t="s">
        <v>40</v>
      </c>
      <c r="D738">
        <v>4.8217949999999998</v>
      </c>
      <c r="E738">
        <v>0.50655969999999995</v>
      </c>
      <c r="F738" t="s">
        <v>43</v>
      </c>
      <c r="G738">
        <v>-271.03019999999998</v>
      </c>
      <c r="H738" s="1">
        <v>-4.0822950000000004E-6</v>
      </c>
      <c r="I738">
        <v>368.19600000000003</v>
      </c>
      <c r="J738">
        <v>-288.24740000000003</v>
      </c>
      <c r="K738">
        <v>1.059464</v>
      </c>
      <c r="L738">
        <v>369.16860000000003</v>
      </c>
      <c r="M738">
        <v>0.99981209999999998</v>
      </c>
      <c r="N738">
        <v>0</v>
      </c>
      <c r="O738">
        <v>1.190711E-2</v>
      </c>
      <c r="P738">
        <v>0.99686600000000003</v>
      </c>
      <c r="Q738">
        <v>-6.9666450000000005E-2</v>
      </c>
      <c r="R738">
        <v>-3.7487020000000003E-2</v>
      </c>
      <c r="S738">
        <v>2.9904480000000002</v>
      </c>
      <c r="T738">
        <v>-0.18195259999999999</v>
      </c>
      <c r="U738">
        <v>-0.166626</v>
      </c>
      <c r="V738">
        <v>4.9364579999999998E-2</v>
      </c>
      <c r="W738">
        <v>-5.4401699999999997E-2</v>
      </c>
      <c r="X738">
        <v>0.99729809999999997</v>
      </c>
      <c r="Y738">
        <v>6.7373039999999995E-2</v>
      </c>
      <c r="Z738">
        <v>-2.7695530000000001E-3</v>
      </c>
      <c r="AA738">
        <v>0.99772400000000006</v>
      </c>
      <c r="AB738">
        <v>42</v>
      </c>
      <c r="AC738">
        <v>17.217199999999998</v>
      </c>
      <c r="AD738">
        <v>-1.059468082295</v>
      </c>
      <c r="AE738">
        <v>-0.97260000000005598</v>
      </c>
      <c r="AF738">
        <v>1.17313404509232</v>
      </c>
      <c r="AG738">
        <v>-1.059468082295</v>
      </c>
      <c r="AH738">
        <v>17.139702002948301</v>
      </c>
      <c r="AI738">
        <v>93.528927049580105</v>
      </c>
      <c r="AJ738">
        <v>86.084473332086006</v>
      </c>
      <c r="AK738">
        <v>17.2124402934339</v>
      </c>
      <c r="AL738">
        <v>93.118527482329299</v>
      </c>
      <c r="AM738">
        <v>87.166267982477294</v>
      </c>
      <c r="AN738">
        <v>0.99999995349253701</v>
      </c>
    </row>
    <row r="739" spans="1:40" x14ac:dyDescent="0.25">
      <c r="A739" t="str">
        <f>"20190312151514254"</f>
        <v>20190312151514254</v>
      </c>
      <c r="B739" t="str">
        <f>"1552374914248617"</f>
        <v>1552374914248617</v>
      </c>
      <c r="C739" t="s">
        <v>40</v>
      </c>
      <c r="D739">
        <v>5.1137449999999998</v>
      </c>
      <c r="E739">
        <v>0.50651190000000001</v>
      </c>
      <c r="F739" t="s">
        <v>41</v>
      </c>
      <c r="G739">
        <v>-287.30799999999999</v>
      </c>
      <c r="H739">
        <v>1.0024459999999999</v>
      </c>
      <c r="I739">
        <v>369.11649999999997</v>
      </c>
      <c r="J739">
        <v>-288.03120000000001</v>
      </c>
      <c r="K739">
        <v>1.059469</v>
      </c>
      <c r="L739">
        <v>369.1712</v>
      </c>
      <c r="M739">
        <v>0.99981160000000002</v>
      </c>
      <c r="N739">
        <v>0</v>
      </c>
      <c r="O739">
        <v>1.194366E-2</v>
      </c>
      <c r="P739">
        <v>0.99687499999999996</v>
      </c>
      <c r="Q739">
        <v>-6.951417E-2</v>
      </c>
      <c r="R739">
        <v>-3.7522359999999998E-2</v>
      </c>
      <c r="S739">
        <v>2.9905400000000002</v>
      </c>
      <c r="T739">
        <v>-0.1819067</v>
      </c>
      <c r="U739">
        <v>-0.16479489999999999</v>
      </c>
      <c r="V739">
        <v>4.9436510000000003E-2</v>
      </c>
      <c r="W739">
        <v>-5.4252050000000003E-2</v>
      </c>
      <c r="X739">
        <v>0.99730269999999999</v>
      </c>
      <c r="Y739">
        <v>6.6799839999999999E-2</v>
      </c>
      <c r="Z739">
        <v>-2.753634E-3</v>
      </c>
      <c r="AA739">
        <v>0.99776260000000006</v>
      </c>
      <c r="AB739">
        <v>42</v>
      </c>
      <c r="AC739">
        <v>0.72320000000001905</v>
      </c>
      <c r="AD739">
        <v>-5.7022999999999997E-2</v>
      </c>
      <c r="AE739">
        <v>-5.4700000000025201E-2</v>
      </c>
      <c r="AF739">
        <v>6.2945654334081599E-2</v>
      </c>
      <c r="AG739">
        <v>-5.7022999999999997E-2</v>
      </c>
      <c r="AH739">
        <v>0.71805622183366602</v>
      </c>
      <c r="AI739">
        <v>94.523227385144693</v>
      </c>
      <c r="AJ739">
        <v>84.990190873918493</v>
      </c>
      <c r="AK739">
        <v>0.72306190305020601</v>
      </c>
      <c r="AL739">
        <v>93.109940453209106</v>
      </c>
      <c r="AM739">
        <v>87.162158714419604</v>
      </c>
      <c r="AN739">
        <v>0.99999996443873496</v>
      </c>
    </row>
    <row r="740" spans="1:40" x14ac:dyDescent="0.25">
      <c r="A740" t="str">
        <f>"20190312151514266"</f>
        <v>20190312151514266</v>
      </c>
      <c r="B740" t="str">
        <f>"1552374914258377"</f>
        <v>1552374914258377</v>
      </c>
      <c r="C740" t="s">
        <v>40</v>
      </c>
      <c r="D740">
        <v>4.8110200000000001</v>
      </c>
      <c r="E740">
        <v>0.5063204</v>
      </c>
      <c r="F740" t="s">
        <v>41</v>
      </c>
      <c r="G740">
        <v>-286.94850000000002</v>
      </c>
      <c r="H740">
        <v>0.9941449</v>
      </c>
      <c r="I740">
        <v>369.11160000000001</v>
      </c>
      <c r="J740">
        <v>-287.80739999999997</v>
      </c>
      <c r="K740">
        <v>1.059472</v>
      </c>
      <c r="L740">
        <v>369.1739</v>
      </c>
      <c r="M740">
        <v>0.99981129999999996</v>
      </c>
      <c r="N740">
        <v>0</v>
      </c>
      <c r="O740">
        <v>1.198135E-2</v>
      </c>
      <c r="P740">
        <v>0.99688920000000003</v>
      </c>
      <c r="Q740">
        <v>-6.9257079999999999E-2</v>
      </c>
      <c r="R740">
        <v>-3.7630410000000003E-2</v>
      </c>
      <c r="S740">
        <v>2.990631</v>
      </c>
      <c r="T740">
        <v>-0.18039740000000001</v>
      </c>
      <c r="U740">
        <v>-0.16473389999999999</v>
      </c>
      <c r="V740">
        <v>4.9581890000000003E-2</v>
      </c>
      <c r="W740">
        <v>-5.3997580000000003E-2</v>
      </c>
      <c r="X740">
        <v>0.99730929999999995</v>
      </c>
      <c r="Y740">
        <v>6.6817799999999997E-2</v>
      </c>
      <c r="Z740">
        <v>-2.7335570000000002E-3</v>
      </c>
      <c r="AA740">
        <v>0.99776140000000002</v>
      </c>
      <c r="AB740">
        <v>42</v>
      </c>
      <c r="AC740">
        <v>0.85889999999994804</v>
      </c>
      <c r="AD740">
        <v>-6.5327099999999902E-2</v>
      </c>
      <c r="AE740">
        <v>-6.2299999999993298E-2</v>
      </c>
      <c r="AF740">
        <v>7.2172182727200704E-2</v>
      </c>
      <c r="AG740">
        <v>-6.5327099999999902E-2</v>
      </c>
      <c r="AH740">
        <v>0.85318200376558195</v>
      </c>
      <c r="AI740">
        <v>94.363002155564203</v>
      </c>
      <c r="AJ740">
        <v>85.164759496456199</v>
      </c>
      <c r="AK740">
        <v>0.85871764014923502</v>
      </c>
      <c r="AL740">
        <v>93.095338971654897</v>
      </c>
      <c r="AM740">
        <v>87.153845862947804</v>
      </c>
      <c r="AN740">
        <v>0.99999997116415795</v>
      </c>
    </row>
    <row r="741" spans="1:40" x14ac:dyDescent="0.25">
      <c r="A741" t="str">
        <f>"20190312151514279"</f>
        <v>20190312151514279</v>
      </c>
      <c r="B741" t="str">
        <f>"1552374914268137"</f>
        <v>1552374914268137</v>
      </c>
      <c r="C741" t="s">
        <v>40</v>
      </c>
      <c r="D741">
        <v>4.833456</v>
      </c>
      <c r="E741">
        <v>0.50622749999999905</v>
      </c>
      <c r="F741" t="s">
        <v>43</v>
      </c>
      <c r="G741">
        <v>-270.17950000000002</v>
      </c>
      <c r="H741" s="1">
        <v>-4.444633E-6</v>
      </c>
      <c r="I741">
        <v>368.2106</v>
      </c>
      <c r="J741">
        <v>-287.56009999999998</v>
      </c>
      <c r="K741">
        <v>1.059474</v>
      </c>
      <c r="L741">
        <v>369.17689999999999</v>
      </c>
      <c r="M741">
        <v>0.9998108</v>
      </c>
      <c r="N741">
        <v>0</v>
      </c>
      <c r="O741">
        <v>1.2023270000000001E-2</v>
      </c>
      <c r="P741">
        <v>0.99693339999999997</v>
      </c>
      <c r="Q741">
        <v>-6.8682980000000005E-2</v>
      </c>
      <c r="R741">
        <v>-3.7501880000000001E-2</v>
      </c>
      <c r="S741">
        <v>2.9906920000000001</v>
      </c>
      <c r="T741">
        <v>-0.17974589999999999</v>
      </c>
      <c r="U741">
        <v>-0.1634216</v>
      </c>
      <c r="V741">
        <v>4.9495879999999999E-2</v>
      </c>
      <c r="W741">
        <v>-5.3425970000000003E-2</v>
      </c>
      <c r="X741">
        <v>0.99734440000000002</v>
      </c>
      <c r="Y741">
        <v>6.6423689999999994E-2</v>
      </c>
      <c r="Z741">
        <v>-2.7143710000000001E-3</v>
      </c>
      <c r="AA741">
        <v>0.9977878</v>
      </c>
      <c r="AB741">
        <v>42</v>
      </c>
      <c r="AC741">
        <v>17.380599999999902</v>
      </c>
      <c r="AD741">
        <v>-1.0594784446329999</v>
      </c>
      <c r="AE741">
        <v>-0.96629999999998895</v>
      </c>
      <c r="AF741">
        <v>1.1708888118062</v>
      </c>
      <c r="AG741">
        <v>-1.0594784446329999</v>
      </c>
      <c r="AH741">
        <v>17.3036249199107</v>
      </c>
      <c r="AI741">
        <v>93.495797576866593</v>
      </c>
      <c r="AJ741">
        <v>86.128853117243295</v>
      </c>
      <c r="AK741">
        <v>17.375526195002202</v>
      </c>
      <c r="AL741">
        <v>93.062540652654903</v>
      </c>
      <c r="AM741">
        <v>87.1588748352371</v>
      </c>
      <c r="AN741">
        <v>1.0000000143093799</v>
      </c>
    </row>
    <row r="742" spans="1:40" x14ac:dyDescent="0.25">
      <c r="A742" t="str">
        <f>"20190312151514294"</f>
        <v>20190312151514294</v>
      </c>
      <c r="B742" t="str">
        <f>"1552374914288635"</f>
        <v>1552374914288635</v>
      </c>
      <c r="C742" t="s">
        <v>40</v>
      </c>
      <c r="D742">
        <v>5.0675179999999997</v>
      </c>
      <c r="E742">
        <v>0.50593440000000001</v>
      </c>
      <c r="F742" t="s">
        <v>41</v>
      </c>
      <c r="G742">
        <v>-286.56889999999999</v>
      </c>
      <c r="H742">
        <v>1.000286</v>
      </c>
      <c r="I742">
        <v>369.12290000000002</v>
      </c>
      <c r="J742">
        <v>-287.29629999999997</v>
      </c>
      <c r="K742">
        <v>1.0594790000000001</v>
      </c>
      <c r="L742">
        <v>369.18009999999998</v>
      </c>
      <c r="M742">
        <v>0.99981030000000004</v>
      </c>
      <c r="N742">
        <v>0</v>
      </c>
      <c r="O742">
        <v>1.206805E-2</v>
      </c>
      <c r="P742">
        <v>0.9969498</v>
      </c>
      <c r="Q742">
        <v>-6.8519830000000004E-2</v>
      </c>
      <c r="R742">
        <v>-3.7368070000000003E-2</v>
      </c>
      <c r="S742">
        <v>2.9908139999999999</v>
      </c>
      <c r="T742">
        <v>-0.17883560000000001</v>
      </c>
      <c r="U742">
        <v>-0.16235350000000001</v>
      </c>
      <c r="V742">
        <v>4.9406699999999998E-2</v>
      </c>
      <c r="W742">
        <v>-5.326587E-2</v>
      </c>
      <c r="X742">
        <v>0.99735739999999995</v>
      </c>
      <c r="Y742">
        <v>6.6112760000000007E-2</v>
      </c>
      <c r="Z742">
        <v>-2.6939590000000001E-3</v>
      </c>
      <c r="AA742">
        <v>0.99780849999999999</v>
      </c>
      <c r="AB742">
        <v>42</v>
      </c>
      <c r="AC742">
        <v>0.72739999999998795</v>
      </c>
      <c r="AD742">
        <v>-5.9193000000000003E-2</v>
      </c>
      <c r="AE742">
        <v>-5.7199999999966097E-2</v>
      </c>
      <c r="AF742">
        <v>6.5543790764529805E-2</v>
      </c>
      <c r="AG742">
        <v>-5.9193000000000003E-2</v>
      </c>
      <c r="AH742">
        <v>0.72190551085751897</v>
      </c>
      <c r="AI742">
        <v>94.668392824176095</v>
      </c>
      <c r="AJ742">
        <v>84.812182036488494</v>
      </c>
      <c r="AK742">
        <v>0.72728767785742099</v>
      </c>
      <c r="AL742">
        <v>93.053354472997498</v>
      </c>
      <c r="AM742">
        <v>87.164022419210696</v>
      </c>
      <c r="AN742">
        <v>1.00000002912325</v>
      </c>
    </row>
    <row r="743" spans="1:40" x14ac:dyDescent="0.25">
      <c r="A743" t="str">
        <f>"20190312151514307"</f>
        <v>20190312151514307</v>
      </c>
      <c r="B743" t="str">
        <f>"1552374914298393"</f>
        <v>1552374914298393</v>
      </c>
      <c r="C743" t="s">
        <v>40</v>
      </c>
      <c r="D743">
        <v>4.8337219999999999</v>
      </c>
      <c r="E743">
        <v>0.50586229999999999</v>
      </c>
      <c r="F743" t="s">
        <v>41</v>
      </c>
      <c r="G743">
        <v>-286.20100000000002</v>
      </c>
      <c r="H743">
        <v>0.99351500000000004</v>
      </c>
      <c r="I743">
        <v>369.12139999999999</v>
      </c>
      <c r="J743">
        <v>-287.04050000000001</v>
      </c>
      <c r="K743">
        <v>1.059482</v>
      </c>
      <c r="L743">
        <v>369.1832</v>
      </c>
      <c r="M743">
        <v>0.99980970000000002</v>
      </c>
      <c r="N743">
        <v>0</v>
      </c>
      <c r="O743">
        <v>1.2110920000000001E-2</v>
      </c>
      <c r="P743">
        <v>0.99698419999999999</v>
      </c>
      <c r="Q743">
        <v>-6.8118999999999999E-2</v>
      </c>
      <c r="R743">
        <v>-3.7182569999999998E-2</v>
      </c>
      <c r="S743">
        <v>2.9908139999999999</v>
      </c>
      <c r="T743">
        <v>-0.18028089999999999</v>
      </c>
      <c r="U743">
        <v>-0.159668</v>
      </c>
      <c r="V743">
        <v>4.926436E-2</v>
      </c>
      <c r="W743">
        <v>-5.2867730000000002E-2</v>
      </c>
      <c r="X743">
        <v>0.99738559999999998</v>
      </c>
      <c r="Y743">
        <v>6.5261349999999996E-2</v>
      </c>
      <c r="Z743">
        <v>-2.6927169999999999E-3</v>
      </c>
      <c r="AA743">
        <v>0.99786450000000004</v>
      </c>
      <c r="AB743">
        <v>42</v>
      </c>
      <c r="AC743">
        <v>0.83950000000004299</v>
      </c>
      <c r="AD743">
        <v>-6.5967000000000095E-2</v>
      </c>
      <c r="AE743">
        <v>-6.1800000000005101E-2</v>
      </c>
      <c r="AF743">
        <v>7.1524514940643893E-2</v>
      </c>
      <c r="AG743">
        <v>-6.5967000000000095E-2</v>
      </c>
      <c r="AH743">
        <v>0.833570613201849</v>
      </c>
      <c r="AI743">
        <v>94.508338224188407</v>
      </c>
      <c r="AJ743">
        <v>85.095748734279695</v>
      </c>
      <c r="AK743">
        <v>0.83923022378856305</v>
      </c>
      <c r="AL743">
        <v>93.030510618448304</v>
      </c>
      <c r="AM743">
        <v>87.172259373265803</v>
      </c>
      <c r="AN743">
        <v>1.0000000045644599</v>
      </c>
    </row>
    <row r="744" spans="1:40" x14ac:dyDescent="0.25">
      <c r="A744" t="str">
        <f>"20190312151514322"</f>
        <v>20190312151514322</v>
      </c>
      <c r="B744" t="str">
        <f>"1552374914318889"</f>
        <v>1552374914318889</v>
      </c>
      <c r="C744" t="s">
        <v>40</v>
      </c>
      <c r="D744">
        <v>4.8334169999999999</v>
      </c>
      <c r="E744">
        <v>0.5056775</v>
      </c>
      <c r="F744" t="s">
        <v>43</v>
      </c>
      <c r="G744">
        <v>-269.4144</v>
      </c>
      <c r="H744" s="1">
        <v>-5.4879180000000005E-7</v>
      </c>
      <c r="I744">
        <v>368.25029999999998</v>
      </c>
      <c r="J744">
        <v>-286.75790000000001</v>
      </c>
      <c r="K744">
        <v>1.059493</v>
      </c>
      <c r="L744">
        <v>369.18669999999997</v>
      </c>
      <c r="M744">
        <v>0.99980930000000001</v>
      </c>
      <c r="N744">
        <v>0</v>
      </c>
      <c r="O744">
        <v>1.215755E-2</v>
      </c>
      <c r="P744">
        <v>0.99704309999999996</v>
      </c>
      <c r="Q744">
        <v>-6.7190199999999894E-2</v>
      </c>
      <c r="R744">
        <v>-3.7288759999999997E-2</v>
      </c>
      <c r="S744">
        <v>2.990875</v>
      </c>
      <c r="T744">
        <v>-0.17977789999999999</v>
      </c>
      <c r="U744">
        <v>-0.15829470000000001</v>
      </c>
      <c r="V744">
        <v>4.9417589999999997E-2</v>
      </c>
      <c r="W744">
        <v>-5.1941670000000002E-2</v>
      </c>
      <c r="X744">
        <v>0.9974267</v>
      </c>
      <c r="Y744">
        <v>6.4851350000000002E-2</v>
      </c>
      <c r="Z744">
        <v>-2.6756900000000001E-3</v>
      </c>
      <c r="AA744">
        <v>0.99789139999999998</v>
      </c>
      <c r="AB744">
        <v>42</v>
      </c>
      <c r="AC744">
        <v>17.343499999999999</v>
      </c>
      <c r="AD744">
        <v>-1.0594935487918</v>
      </c>
      <c r="AE744">
        <v>-0.93639999999999202</v>
      </c>
      <c r="AF744">
        <v>1.14295693849896</v>
      </c>
      <c r="AG744">
        <v>-1.0594935487918</v>
      </c>
      <c r="AH744">
        <v>17.2665834011862</v>
      </c>
      <c r="AI744">
        <v>93.503671073987306</v>
      </c>
      <c r="AJ744">
        <v>86.212845969453497</v>
      </c>
      <c r="AK744">
        <v>17.336775348758302</v>
      </c>
      <c r="AL744">
        <v>92.977378208065403</v>
      </c>
      <c r="AM744">
        <v>87.163595108546104</v>
      </c>
      <c r="AN744">
        <v>1.0000000285783399</v>
      </c>
    </row>
    <row r="745" spans="1:40" x14ac:dyDescent="0.25">
      <c r="A745" t="str">
        <f>"20190312151514335"</f>
        <v>20190312151514335</v>
      </c>
      <c r="B745" t="str">
        <f>"1552374914328649"</f>
        <v>1552374914328649</v>
      </c>
      <c r="C745" t="s">
        <v>40</v>
      </c>
      <c r="D745">
        <v>4.815537</v>
      </c>
      <c r="E745">
        <v>0.50562689999999999</v>
      </c>
      <c r="F745" t="s">
        <v>43</v>
      </c>
      <c r="G745">
        <v>-269.02289999999999</v>
      </c>
      <c r="H745" s="1">
        <v>-6.8113540000000001E-7</v>
      </c>
      <c r="I745">
        <v>368.25369999999998</v>
      </c>
      <c r="J745">
        <v>-286.50709999999998</v>
      </c>
      <c r="K745">
        <v>1.059499</v>
      </c>
      <c r="L745">
        <v>369.18979999999999</v>
      </c>
      <c r="M745">
        <v>0.99980880000000005</v>
      </c>
      <c r="N745">
        <v>0</v>
      </c>
      <c r="O745">
        <v>1.2197599999999999E-2</v>
      </c>
      <c r="P745">
        <v>0.99705390000000005</v>
      </c>
      <c r="Q745">
        <v>-6.6908270000000006E-2</v>
      </c>
      <c r="R745">
        <v>-3.7508130000000001E-2</v>
      </c>
      <c r="S745">
        <v>2.9909669999999999</v>
      </c>
      <c r="T745">
        <v>-0.1786807</v>
      </c>
      <c r="U745">
        <v>-0.15734860000000001</v>
      </c>
      <c r="V745">
        <v>4.9676610000000003E-2</v>
      </c>
      <c r="W745">
        <v>-5.1662800000000002E-2</v>
      </c>
      <c r="X745">
        <v>0.99742830000000005</v>
      </c>
      <c r="Y745">
        <v>6.4577049999999997E-2</v>
      </c>
      <c r="Z745">
        <v>-2.6535389999999999E-3</v>
      </c>
      <c r="AA745">
        <v>0.99790919999999905</v>
      </c>
      <c r="AB745">
        <v>42</v>
      </c>
      <c r="AC745">
        <v>17.484199999999898</v>
      </c>
      <c r="AD745">
        <v>-1.0594996811354001</v>
      </c>
      <c r="AE745">
        <v>-0.93610000000001004</v>
      </c>
      <c r="AF745">
        <v>1.14512757224068</v>
      </c>
      <c r="AG745">
        <v>-1.0594996811354001</v>
      </c>
      <c r="AH745">
        <v>17.4077398699872</v>
      </c>
      <c r="AI745">
        <v>93.475444232700198</v>
      </c>
      <c r="AJ745">
        <v>86.236353392618597</v>
      </c>
      <c r="AK745">
        <v>17.4775073769739</v>
      </c>
      <c r="AL745">
        <v>92.961378701793606</v>
      </c>
      <c r="AM745">
        <v>87.148757258917001</v>
      </c>
      <c r="AN745">
        <v>1.00000001206291</v>
      </c>
    </row>
    <row r="746" spans="1:40" x14ac:dyDescent="0.25">
      <c r="A746" t="str">
        <f>"20190312151514347"</f>
        <v>20190312151514347</v>
      </c>
      <c r="B746" t="str">
        <f>"1552374914338409"</f>
        <v>1552374914338409</v>
      </c>
      <c r="C746" t="s">
        <v>40</v>
      </c>
      <c r="D746">
        <v>4.7974670000000001</v>
      </c>
      <c r="E746">
        <v>0.50561179999999994</v>
      </c>
      <c r="F746" t="s">
        <v>41</v>
      </c>
      <c r="G746">
        <v>-285.452</v>
      </c>
      <c r="H746">
        <v>0.99649299999999996</v>
      </c>
      <c r="I746">
        <v>369.13409999999999</v>
      </c>
      <c r="J746">
        <v>-286.29379999999998</v>
      </c>
      <c r="K746">
        <v>1.059501</v>
      </c>
      <c r="L746">
        <v>369.19240000000002</v>
      </c>
      <c r="M746">
        <v>0.99980860000000005</v>
      </c>
      <c r="N746">
        <v>0</v>
      </c>
      <c r="O746">
        <v>1.2229230000000001E-2</v>
      </c>
      <c r="P746">
        <v>0.99707800000000002</v>
      </c>
      <c r="Q746">
        <v>-6.6567509999999996E-2</v>
      </c>
      <c r="R746">
        <v>-3.7479199999999997E-2</v>
      </c>
      <c r="S746">
        <v>2.990936</v>
      </c>
      <c r="T746">
        <v>-0.1787262</v>
      </c>
      <c r="U746">
        <v>-0.1575317</v>
      </c>
      <c r="V746">
        <v>4.9679250000000001E-2</v>
      </c>
      <c r="W746">
        <v>-5.132453E-2</v>
      </c>
      <c r="X746">
        <v>0.99744560000000004</v>
      </c>
      <c r="Y746">
        <v>6.4669770000000001E-2</v>
      </c>
      <c r="Z746">
        <v>-2.6588900000000001E-3</v>
      </c>
      <c r="AA746">
        <v>0.99790319999999999</v>
      </c>
      <c r="AB746">
        <v>42</v>
      </c>
      <c r="AC746">
        <v>0.84179999999997701</v>
      </c>
      <c r="AD746">
        <v>-6.3007999999999897E-2</v>
      </c>
      <c r="AE746">
        <v>-5.8300000000031098E-2</v>
      </c>
      <c r="AF746">
        <v>6.8211084644118902E-2</v>
      </c>
      <c r="AG746">
        <v>-6.3007999999999897E-2</v>
      </c>
      <c r="AH746">
        <v>0.83636073417179702</v>
      </c>
      <c r="AI746">
        <v>94.294087724304305</v>
      </c>
      <c r="AJ746">
        <v>85.337446728525293</v>
      </c>
      <c r="AK746">
        <v>0.84149987391366499</v>
      </c>
      <c r="AL746">
        <v>92.941971605578402</v>
      </c>
      <c r="AM746">
        <v>87.148655357150105</v>
      </c>
      <c r="AN746">
        <v>0.99999998010982105</v>
      </c>
    </row>
    <row r="747" spans="1:40" x14ac:dyDescent="0.25">
      <c r="A747" t="str">
        <f>"20190312151514357"</f>
        <v>20190312151514357</v>
      </c>
      <c r="B747" t="str">
        <f>"1552374914348169"</f>
        <v>1552374914348169</v>
      </c>
      <c r="C747" t="s">
        <v>40</v>
      </c>
      <c r="D747">
        <v>4.8257289999999999</v>
      </c>
      <c r="E747">
        <v>0.50559989999999999</v>
      </c>
      <c r="F747" t="s">
        <v>43</v>
      </c>
      <c r="G747">
        <v>-268.48599999999999</v>
      </c>
      <c r="H747" s="1">
        <v>-8.7334509999999998E-7</v>
      </c>
      <c r="I747">
        <v>368.25479999999999</v>
      </c>
      <c r="J747">
        <v>-286.09120000000001</v>
      </c>
      <c r="K747">
        <v>1.059501</v>
      </c>
      <c r="L747">
        <v>369.19490000000002</v>
      </c>
      <c r="M747">
        <v>0.99980820000000004</v>
      </c>
      <c r="N747">
        <v>0</v>
      </c>
      <c r="O747">
        <v>1.22577E-2</v>
      </c>
      <c r="P747">
        <v>0.99708070000000004</v>
      </c>
      <c r="Q747">
        <v>-6.6486970000000006E-2</v>
      </c>
      <c r="R747">
        <v>-3.7545519999999999E-2</v>
      </c>
      <c r="S747">
        <v>2.9909970000000001</v>
      </c>
      <c r="T747">
        <v>-0.1779529</v>
      </c>
      <c r="U747">
        <v>-0.15747069999999999</v>
      </c>
      <c r="V747">
        <v>4.977376E-2</v>
      </c>
      <c r="W747">
        <v>-5.1246729999999997E-2</v>
      </c>
      <c r="X747">
        <v>0.99744489999999997</v>
      </c>
      <c r="Y747">
        <v>6.4677929999999995E-2</v>
      </c>
      <c r="Z747">
        <v>-2.6492870000000002E-3</v>
      </c>
      <c r="AA747">
        <v>0.99790270000000003</v>
      </c>
      <c r="AB747">
        <v>42</v>
      </c>
      <c r="AC747">
        <v>17.6052</v>
      </c>
      <c r="AD747">
        <v>-1.0595018733451</v>
      </c>
      <c r="AE747">
        <v>-0.94010000000002902</v>
      </c>
      <c r="AF747">
        <v>1.15169447522665</v>
      </c>
      <c r="AG747">
        <v>-1.0595018733451</v>
      </c>
      <c r="AH747">
        <v>17.529046473646002</v>
      </c>
      <c r="AI747">
        <v>93.451476683273697</v>
      </c>
      <c r="AJ747">
        <v>86.240951975162503</v>
      </c>
      <c r="AK747">
        <v>17.598761736529401</v>
      </c>
      <c r="AL747">
        <v>92.937508086441397</v>
      </c>
      <c r="AM747">
        <v>87.143237923488201</v>
      </c>
      <c r="AN747">
        <v>0.99999999152812002</v>
      </c>
    </row>
    <row r="748" spans="1:40" x14ac:dyDescent="0.25">
      <c r="A748" t="str">
        <f>"20190312151514370"</f>
        <v>20190312151514370</v>
      </c>
      <c r="B748" t="str">
        <f>"1552374914358905"</f>
        <v>1552374914358905</v>
      </c>
      <c r="C748" t="s">
        <v>40</v>
      </c>
      <c r="D748">
        <v>4.7939689999999997</v>
      </c>
      <c r="E748">
        <v>0.50557659999999904</v>
      </c>
      <c r="F748" t="s">
        <v>41</v>
      </c>
      <c r="G748">
        <v>-285.07679999999999</v>
      </c>
      <c r="H748">
        <v>0.9991951</v>
      </c>
      <c r="I748">
        <v>369.14120000000003</v>
      </c>
      <c r="J748">
        <v>-285.8587</v>
      </c>
      <c r="K748">
        <v>1.059499</v>
      </c>
      <c r="L748">
        <v>369.19779999999997</v>
      </c>
      <c r="M748">
        <v>0.99980800000000003</v>
      </c>
      <c r="N748">
        <v>0</v>
      </c>
      <c r="O748">
        <v>1.228745E-2</v>
      </c>
      <c r="P748">
        <v>0.99709559999999997</v>
      </c>
      <c r="Q748">
        <v>-6.6327209999999998E-2</v>
      </c>
      <c r="R748">
        <v>-3.7434670000000003E-2</v>
      </c>
      <c r="S748">
        <v>2.9909970000000001</v>
      </c>
      <c r="T748">
        <v>-0.17808779999999999</v>
      </c>
      <c r="U748">
        <v>-0.157196</v>
      </c>
      <c r="V748">
        <v>4.969225E-2</v>
      </c>
      <c r="W748">
        <v>-5.1090009999999998E-2</v>
      </c>
      <c r="X748">
        <v>0.99745700000000004</v>
      </c>
      <c r="Y748">
        <v>6.4616099999999996E-2</v>
      </c>
      <c r="Z748">
        <v>-2.6512300000000001E-3</v>
      </c>
      <c r="AA748">
        <v>0.99790670000000004</v>
      </c>
      <c r="AB748">
        <v>42</v>
      </c>
      <c r="AC748">
        <v>0.78190000000000703</v>
      </c>
      <c r="AD748">
        <v>-6.0303900000000001E-2</v>
      </c>
      <c r="AE748">
        <v>-5.65999999999462E-2</v>
      </c>
      <c r="AF748">
        <v>6.5814960205678702E-2</v>
      </c>
      <c r="AG748">
        <v>-6.0303900000000001E-2</v>
      </c>
      <c r="AH748">
        <v>0.77655037817470896</v>
      </c>
      <c r="AI748">
        <v>94.424657459245694</v>
      </c>
      <c r="AJ748">
        <v>85.155588941213196</v>
      </c>
      <c r="AK748">
        <v>0.78166403216814895</v>
      </c>
      <c r="AL748">
        <v>92.928516924531394</v>
      </c>
      <c r="AM748">
        <v>87.147942995762605</v>
      </c>
      <c r="AN748">
        <v>0.99999998784043098</v>
      </c>
    </row>
    <row r="749" spans="1:40" x14ac:dyDescent="0.25">
      <c r="A749" t="str">
        <f>"20190312151514382"</f>
        <v>20190312151514382</v>
      </c>
      <c r="B749" t="str">
        <f>"1552374914378425"</f>
        <v>1552374914378425</v>
      </c>
      <c r="C749" t="s">
        <v>40</v>
      </c>
      <c r="D749">
        <v>4.7907580000000003</v>
      </c>
      <c r="E749">
        <v>0.50547439999999999</v>
      </c>
      <c r="F749" t="s">
        <v>43</v>
      </c>
      <c r="G749">
        <v>-268.04860000000002</v>
      </c>
      <c r="H749" s="1">
        <v>-1.0591419999999901E-6</v>
      </c>
      <c r="I749">
        <v>368.26499999999999</v>
      </c>
      <c r="J749">
        <v>-285.63420000000002</v>
      </c>
      <c r="K749">
        <v>1.059493</v>
      </c>
      <c r="L749">
        <v>369.20049999999998</v>
      </c>
      <c r="M749">
        <v>0.99980769999999997</v>
      </c>
      <c r="N749">
        <v>0</v>
      </c>
      <c r="O749">
        <v>1.231134E-2</v>
      </c>
      <c r="P749">
        <v>0.99709579999999998</v>
      </c>
      <c r="Q749">
        <v>-6.6221820000000001E-2</v>
      </c>
      <c r="R749">
        <v>-3.7617589999999999E-2</v>
      </c>
      <c r="S749">
        <v>2.991028</v>
      </c>
      <c r="T749">
        <v>-0.17793229999999999</v>
      </c>
      <c r="U749">
        <v>-0.1566467</v>
      </c>
      <c r="V749">
        <v>4.9898280000000003E-2</v>
      </c>
      <c r="W749">
        <v>-5.0987949999999997E-2</v>
      </c>
      <c r="X749">
        <v>0.99745200000000001</v>
      </c>
      <c r="Y749">
        <v>6.4457120000000007E-2</v>
      </c>
      <c r="Z749">
        <v>-2.6456019999999999E-3</v>
      </c>
      <c r="AA749">
        <v>0.99791700000000005</v>
      </c>
      <c r="AB749">
        <v>42</v>
      </c>
      <c r="AC749">
        <v>17.585599999999999</v>
      </c>
      <c r="AD749">
        <v>-1.0594940591419999</v>
      </c>
      <c r="AE749">
        <v>-0.93549999999999001</v>
      </c>
      <c r="AF749">
        <v>1.14780207656342</v>
      </c>
      <c r="AG749">
        <v>-1.0594940591419999</v>
      </c>
      <c r="AH749">
        <v>17.5093721554273</v>
      </c>
      <c r="AI749">
        <v>93.455353548028896</v>
      </c>
      <c r="AJ749">
        <v>86.2494226508568</v>
      </c>
      <c r="AK749">
        <v>17.578910391306199</v>
      </c>
      <c r="AL749">
        <v>92.922661501535003</v>
      </c>
      <c r="AM749">
        <v>87.136123340158093</v>
      </c>
      <c r="AN749">
        <v>1.00000005084807</v>
      </c>
    </row>
    <row r="750" spans="1:40" x14ac:dyDescent="0.25">
      <c r="A750" t="str">
        <f>"20190312151514394"</f>
        <v>20190312151514394</v>
      </c>
      <c r="B750" t="str">
        <f>"1552374914388185"</f>
        <v>1552374914388185</v>
      </c>
      <c r="C750" t="s">
        <v>40</v>
      </c>
      <c r="D750">
        <v>4.788278</v>
      </c>
      <c r="E750">
        <v>0.50545200000000001</v>
      </c>
      <c r="F750" t="s">
        <v>43</v>
      </c>
      <c r="G750">
        <v>-267.834</v>
      </c>
      <c r="H750" s="1">
        <v>-1.1506039999999999E-6</v>
      </c>
      <c r="I750">
        <v>368.26839999999999</v>
      </c>
      <c r="J750">
        <v>-285.41430000000003</v>
      </c>
      <c r="K750">
        <v>1.059488</v>
      </c>
      <c r="L750">
        <v>369.20330000000001</v>
      </c>
      <c r="M750">
        <v>0.99980740000000001</v>
      </c>
      <c r="N750">
        <v>0</v>
      </c>
      <c r="O750">
        <v>1.2332890000000001E-2</v>
      </c>
      <c r="P750">
        <v>0.99707670000000004</v>
      </c>
      <c r="Q750">
        <v>-6.6453059999999994E-2</v>
      </c>
      <c r="R750">
        <v>-3.7710609999999999E-2</v>
      </c>
      <c r="S750">
        <v>2.991028</v>
      </c>
      <c r="T750">
        <v>-0.17803050000000001</v>
      </c>
      <c r="U750">
        <v>-0.15661620000000001</v>
      </c>
      <c r="V750">
        <v>5.0011779999999999E-2</v>
      </c>
      <c r="W750">
        <v>-5.1222780000000002E-2</v>
      </c>
      <c r="X750">
        <v>0.9974343</v>
      </c>
      <c r="Y750">
        <v>6.4468259999999999E-2</v>
      </c>
      <c r="Z750">
        <v>-2.6486729999999998E-3</v>
      </c>
      <c r="AA750">
        <v>0.99791620000000003</v>
      </c>
      <c r="AB750">
        <v>42</v>
      </c>
      <c r="AC750">
        <v>17.580300000000001</v>
      </c>
      <c r="AD750">
        <v>-1.0594891506039901</v>
      </c>
      <c r="AE750">
        <v>-0.93490000000002704</v>
      </c>
      <c r="AF750">
        <v>1.14751409127102</v>
      </c>
      <c r="AG750">
        <v>-1.0594891506039901</v>
      </c>
      <c r="AH750">
        <v>17.504036696305299</v>
      </c>
      <c r="AI750">
        <v>93.456387463246202</v>
      </c>
      <c r="AJ750">
        <v>86.249221314635506</v>
      </c>
      <c r="AK750">
        <v>17.573576941405999</v>
      </c>
      <c r="AL750">
        <v>92.936133825895098</v>
      </c>
      <c r="AM750">
        <v>87.129569118024705</v>
      </c>
      <c r="AN750">
        <v>1.00000006707309</v>
      </c>
    </row>
    <row r="751" spans="1:40" x14ac:dyDescent="0.25">
      <c r="A751" t="str">
        <f>"20190312151514404"</f>
        <v>20190312151514404</v>
      </c>
      <c r="B751" t="str">
        <f>"1552374914398921"</f>
        <v>1552374914398921</v>
      </c>
      <c r="C751" t="s">
        <v>40</v>
      </c>
      <c r="D751">
        <v>4.7710419999999996</v>
      </c>
      <c r="E751">
        <v>0.50544979999999995</v>
      </c>
      <c r="F751" t="s">
        <v>41</v>
      </c>
      <c r="G751">
        <v>-284.33670000000001</v>
      </c>
      <c r="H751">
        <v>0.99479209999999996</v>
      </c>
      <c r="I751">
        <v>369.1465</v>
      </c>
      <c r="J751">
        <v>-285.20940000000002</v>
      </c>
      <c r="K751">
        <v>1.059477</v>
      </c>
      <c r="L751">
        <v>369.20580000000001</v>
      </c>
      <c r="M751">
        <v>0.99980729999999995</v>
      </c>
      <c r="N751">
        <v>0</v>
      </c>
      <c r="O751">
        <v>1.2348720000000001E-2</v>
      </c>
      <c r="P751">
        <v>0.9970985</v>
      </c>
      <c r="Q751">
        <v>-6.6076770000000007E-2</v>
      </c>
      <c r="R751">
        <v>-3.7797839999999999E-2</v>
      </c>
      <c r="S751">
        <v>2.990875</v>
      </c>
      <c r="T751">
        <v>-0.17985770000000001</v>
      </c>
      <c r="U751">
        <v>-0.156738299999999</v>
      </c>
      <c r="V751">
        <v>5.0114260000000001E-2</v>
      </c>
      <c r="W751">
        <v>-5.0849360000000003E-2</v>
      </c>
      <c r="X751">
        <v>0.99744820000000001</v>
      </c>
      <c r="Y751">
        <v>6.4524399999999996E-2</v>
      </c>
      <c r="Z751">
        <v>-2.6785770000000001E-3</v>
      </c>
      <c r="AA751">
        <v>0.99791249999999998</v>
      </c>
      <c r="AB751">
        <v>42</v>
      </c>
      <c r="AC751">
        <v>0.87270000000000802</v>
      </c>
      <c r="AD751">
        <v>-6.4684899999999906E-2</v>
      </c>
      <c r="AE751">
        <v>-5.9300000000007402E-2</v>
      </c>
      <c r="AF751">
        <v>6.9692341632842603E-2</v>
      </c>
      <c r="AG751">
        <v>-6.4684899999999906E-2</v>
      </c>
      <c r="AH751">
        <v>0.86715894263244997</v>
      </c>
      <c r="AI751">
        <v>94.252363072615495</v>
      </c>
      <c r="AJ751">
        <v>85.405094997270496</v>
      </c>
      <c r="AK751">
        <v>0.872356458426088</v>
      </c>
      <c r="AL751">
        <v>92.914710702374506</v>
      </c>
      <c r="AM751">
        <v>87.123737151226905</v>
      </c>
      <c r="AN751">
        <v>1.0000000040754899</v>
      </c>
    </row>
    <row r="752" spans="1:40" x14ac:dyDescent="0.25">
      <c r="A752" t="str">
        <f>"20190312151514416"</f>
        <v>20190312151514416</v>
      </c>
      <c r="B752" t="str">
        <f>"1552374914408681"</f>
        <v>1552374914408681</v>
      </c>
      <c r="C752" t="s">
        <v>40</v>
      </c>
      <c r="D752">
        <v>4.7755020000000004</v>
      </c>
      <c r="E752">
        <v>0.50537869999999996</v>
      </c>
      <c r="F752" t="s">
        <v>43</v>
      </c>
      <c r="G752">
        <v>-267.54969999999997</v>
      </c>
      <c r="H752" s="1">
        <v>-1.2710120000000001E-6</v>
      </c>
      <c r="I752">
        <v>368.2774</v>
      </c>
      <c r="J752">
        <v>-285.00630000000001</v>
      </c>
      <c r="K752">
        <v>1.059466</v>
      </c>
      <c r="L752">
        <v>369.20830000000001</v>
      </c>
      <c r="M752">
        <v>0.99980709999999995</v>
      </c>
      <c r="N752">
        <v>0</v>
      </c>
      <c r="O752">
        <v>1.236335E-2</v>
      </c>
      <c r="P752">
        <v>0.99710069999999995</v>
      </c>
      <c r="Q752">
        <v>-6.5956920000000002E-2</v>
      </c>
      <c r="R752">
        <v>-3.7942419999999998E-2</v>
      </c>
      <c r="S752">
        <v>2.9909059999999998</v>
      </c>
      <c r="T752">
        <v>-0.17943609999999999</v>
      </c>
      <c r="U752">
        <v>-0.15722659999999999</v>
      </c>
      <c r="V752">
        <v>5.0272959999999998E-2</v>
      </c>
      <c r="W752">
        <v>-5.0732640000000002E-2</v>
      </c>
      <c r="X752">
        <v>0.99744619999999995</v>
      </c>
      <c r="Y752">
        <v>6.4701250000000002E-2</v>
      </c>
      <c r="Z752">
        <v>-2.6784439999999999E-3</v>
      </c>
      <c r="AA752">
        <v>0.99790109999999999</v>
      </c>
      <c r="AB752">
        <v>42</v>
      </c>
      <c r="AC752">
        <v>17.456600000000002</v>
      </c>
      <c r="AD752">
        <v>-1.0594672710119999</v>
      </c>
      <c r="AE752">
        <v>-0.93090000000000805</v>
      </c>
      <c r="AF752">
        <v>1.1424796859748401</v>
      </c>
      <c r="AG752">
        <v>-1.0594672710119999</v>
      </c>
      <c r="AH752">
        <v>17.379918440431801</v>
      </c>
      <c r="AI752">
        <v>93.480898460854803</v>
      </c>
      <c r="AJ752">
        <v>86.239037529838001</v>
      </c>
      <c r="AK752">
        <v>17.449621649974802</v>
      </c>
      <c r="AL752">
        <v>92.908014372533898</v>
      </c>
      <c r="AM752">
        <v>87.114638299306307</v>
      </c>
      <c r="AN752">
        <v>1.00000004658148</v>
      </c>
    </row>
    <row r="753" spans="1:40" x14ac:dyDescent="0.25">
      <c r="A753" t="str">
        <f>"20190312151514427"</f>
        <v>20190312151514427</v>
      </c>
      <c r="B753" t="str">
        <f>"1552374914418441"</f>
        <v>1552374914418441</v>
      </c>
      <c r="C753" t="s">
        <v>40</v>
      </c>
      <c r="D753">
        <v>4.7555529999999999</v>
      </c>
      <c r="E753">
        <v>0.50530920000000001</v>
      </c>
      <c r="F753" t="s">
        <v>41</v>
      </c>
      <c r="G753">
        <v>-283.96339999999998</v>
      </c>
      <c r="H753">
        <v>0.99688140000000003</v>
      </c>
      <c r="I753">
        <v>369.15350000000001</v>
      </c>
      <c r="J753">
        <v>-284.80119999999999</v>
      </c>
      <c r="K753">
        <v>1.059455</v>
      </c>
      <c r="L753">
        <v>369.21089999999998</v>
      </c>
      <c r="M753">
        <v>0.999807</v>
      </c>
      <c r="N753">
        <v>0</v>
      </c>
      <c r="O753">
        <v>1.2374649999999999E-2</v>
      </c>
      <c r="P753">
        <v>0.99707500000000004</v>
      </c>
      <c r="Q753">
        <v>-6.6198889999999996E-2</v>
      </c>
      <c r="R753">
        <v>-3.8203870000000001E-2</v>
      </c>
      <c r="S753">
        <v>2.9909059999999998</v>
      </c>
      <c r="T753">
        <v>-0.17958759999999999</v>
      </c>
      <c r="U753">
        <v>-0.1568909</v>
      </c>
      <c r="V753">
        <v>5.0544539999999999E-2</v>
      </c>
      <c r="W753">
        <v>-5.0978120000000002E-2</v>
      </c>
      <c r="X753">
        <v>0.99741990000000003</v>
      </c>
      <c r="Y753">
        <v>6.4600759999999993E-2</v>
      </c>
      <c r="Z753">
        <v>-2.6783750000000002E-3</v>
      </c>
      <c r="AA753">
        <v>0.99790760000000001</v>
      </c>
      <c r="AB753">
        <v>42</v>
      </c>
      <c r="AC753">
        <v>0.83780000000001498</v>
      </c>
      <c r="AD753">
        <v>-6.2573599999999993E-2</v>
      </c>
      <c r="AE753">
        <v>-5.7399999999972799E-2</v>
      </c>
      <c r="AF753">
        <v>6.7390127080081894E-2</v>
      </c>
      <c r="AG753">
        <v>-6.2573599999999993E-2</v>
      </c>
      <c r="AH753">
        <v>0.83240374760657199</v>
      </c>
      <c r="AI753">
        <v>94.284995803112807</v>
      </c>
      <c r="AJ753">
        <v>85.371516318592199</v>
      </c>
      <c r="AK753">
        <v>0.83746813890099503</v>
      </c>
      <c r="AL753">
        <v>92.922097734219705</v>
      </c>
      <c r="AM753">
        <v>87.099001453367904</v>
      </c>
      <c r="AN753">
        <v>0.99999998807927704</v>
      </c>
    </row>
    <row r="754" spans="1:40" x14ac:dyDescent="0.25">
      <c r="A754" t="str">
        <f>"20190312151514437"</f>
        <v>20190312151514437</v>
      </c>
      <c r="B754" t="str">
        <f>"1552374914428201"</f>
        <v>1552374914428201</v>
      </c>
      <c r="C754" t="s">
        <v>40</v>
      </c>
      <c r="D754">
        <v>4.8422289999999997</v>
      </c>
      <c r="E754">
        <v>0.50553269999999995</v>
      </c>
      <c r="F754" t="s">
        <v>43</v>
      </c>
      <c r="G754">
        <v>-267.3057</v>
      </c>
      <c r="H754" s="1">
        <v>-1.3729710000000001E-6</v>
      </c>
      <c r="I754">
        <v>368.29250000000002</v>
      </c>
      <c r="J754">
        <v>-284.61340000000001</v>
      </c>
      <c r="K754">
        <v>1.0594429999999999</v>
      </c>
      <c r="L754">
        <v>369.21319999999997</v>
      </c>
      <c r="M754">
        <v>0.99980690000000005</v>
      </c>
      <c r="N754">
        <v>0</v>
      </c>
      <c r="O754">
        <v>1.238382E-2</v>
      </c>
      <c r="P754">
        <v>0.99705200000000005</v>
      </c>
      <c r="Q754">
        <v>-6.6499440000000007E-2</v>
      </c>
      <c r="R754">
        <v>-3.828003E-2</v>
      </c>
      <c r="S754">
        <v>2.9907530000000002</v>
      </c>
      <c r="T754">
        <v>-0.1811074</v>
      </c>
      <c r="U754">
        <v>-0.15698239999999999</v>
      </c>
      <c r="V754">
        <v>5.0629010000000002E-2</v>
      </c>
      <c r="W754">
        <v>-5.128183E-2</v>
      </c>
      <c r="X754">
        <v>0.99739999999999995</v>
      </c>
      <c r="Y754">
        <v>6.4640599999999895E-2</v>
      </c>
      <c r="Z754">
        <v>-2.702894E-3</v>
      </c>
      <c r="AA754">
        <v>0.99790500000000004</v>
      </c>
      <c r="AB754">
        <v>42</v>
      </c>
      <c r="AC754">
        <v>17.307700000000001</v>
      </c>
      <c r="AD754">
        <v>-1.0594443729709999</v>
      </c>
      <c r="AE754">
        <v>-0.920699999999954</v>
      </c>
      <c r="AF754">
        <v>1.1307648163758801</v>
      </c>
      <c r="AG754">
        <v>-1.0594443729709999</v>
      </c>
      <c r="AH754">
        <v>17.230589454060802</v>
      </c>
      <c r="AI754">
        <v>93.510940089195799</v>
      </c>
      <c r="AJ754">
        <v>86.245323825437595</v>
      </c>
      <c r="AK754">
        <v>17.300123247646599</v>
      </c>
      <c r="AL754">
        <v>92.939521963695498</v>
      </c>
      <c r="AM754">
        <v>87.094103731342997</v>
      </c>
      <c r="AN754">
        <v>0.99999994137086201</v>
      </c>
    </row>
    <row r="755" spans="1:40" x14ac:dyDescent="0.25">
      <c r="A755" t="str">
        <f>"20190312151514448"</f>
        <v>20190312151514448</v>
      </c>
      <c r="B755" t="str">
        <f>"1552374914438937"</f>
        <v>1552374914438937</v>
      </c>
      <c r="C755" t="s">
        <v>40</v>
      </c>
      <c r="D755">
        <v>5.1340389999999996</v>
      </c>
      <c r="E755">
        <v>0.50553269999999995</v>
      </c>
      <c r="F755" t="s">
        <v>41</v>
      </c>
      <c r="G755">
        <v>-283.59179999999998</v>
      </c>
      <c r="H755">
        <v>0.99755990000000005</v>
      </c>
      <c r="I755">
        <v>369.15870000000001</v>
      </c>
      <c r="J755">
        <v>-284.40730000000002</v>
      </c>
      <c r="K755">
        <v>1.059434</v>
      </c>
      <c r="L755">
        <v>369.2158</v>
      </c>
      <c r="M755">
        <v>0.99980690000000005</v>
      </c>
      <c r="N755">
        <v>0</v>
      </c>
      <c r="O755">
        <v>1.23918E-2</v>
      </c>
      <c r="P755">
        <v>0.99702729999999995</v>
      </c>
      <c r="Q755">
        <v>-6.6702010000000006E-2</v>
      </c>
      <c r="R755">
        <v>-3.8571189999999998E-2</v>
      </c>
      <c r="S755">
        <v>2.9906619999999999</v>
      </c>
      <c r="T755">
        <v>-0.1812762</v>
      </c>
      <c r="U755">
        <v>-0.15908810000000001</v>
      </c>
      <c r="V755">
        <v>5.0927060000000003E-2</v>
      </c>
      <c r="W755">
        <v>-5.1487810000000002E-2</v>
      </c>
      <c r="X755">
        <v>0.99737430000000005</v>
      </c>
      <c r="Y755">
        <v>6.5349210000000005E-2</v>
      </c>
      <c r="Z755">
        <v>-2.7273660000000002E-3</v>
      </c>
      <c r="AA755">
        <v>0.99785869999999999</v>
      </c>
      <c r="AB755">
        <v>42</v>
      </c>
      <c r="AC755">
        <v>0.81550000000004197</v>
      </c>
      <c r="AD755">
        <v>-6.1874099999999897E-2</v>
      </c>
      <c r="AE755">
        <v>-5.7099999999991199E-2</v>
      </c>
      <c r="AF755">
        <v>6.6819523144545298E-2</v>
      </c>
      <c r="AG755">
        <v>-6.1874099999999897E-2</v>
      </c>
      <c r="AH755">
        <v>0.81008906773046396</v>
      </c>
      <c r="AI755">
        <v>94.353009783309801</v>
      </c>
      <c r="AJ755">
        <v>85.284679714174004</v>
      </c>
      <c r="AK755">
        <v>0.815191726270874</v>
      </c>
      <c r="AL755">
        <v>92.951339107296405</v>
      </c>
      <c r="AM755">
        <v>87.076951282884295</v>
      </c>
      <c r="AN755">
        <v>1.0000000271596601</v>
      </c>
    </row>
    <row r="756" spans="1:40" x14ac:dyDescent="0.25">
      <c r="A756" t="str">
        <f>"20190312151514460"</f>
        <v>20190312151514460</v>
      </c>
      <c r="B756" t="str">
        <f>"1552374914448698"</f>
        <v>1552374914448698</v>
      </c>
      <c r="C756" t="s">
        <v>40</v>
      </c>
      <c r="D756">
        <v>4.7585240000000004</v>
      </c>
      <c r="E756">
        <v>0.53558669999999997</v>
      </c>
      <c r="F756" t="s">
        <v>43</v>
      </c>
      <c r="G756">
        <v>-266.98719999999997</v>
      </c>
      <c r="H756" s="1">
        <v>-1.511099E-6</v>
      </c>
      <c r="I756">
        <v>368.2842</v>
      </c>
      <c r="J756">
        <v>-284.19959999999998</v>
      </c>
      <c r="K756">
        <v>1.059426</v>
      </c>
      <c r="L756">
        <v>369.21839999999997</v>
      </c>
      <c r="M756">
        <v>0.9998068</v>
      </c>
      <c r="N756">
        <v>0</v>
      </c>
      <c r="O756">
        <v>1.239794E-2</v>
      </c>
      <c r="P756">
        <v>0.99700149999999998</v>
      </c>
      <c r="Q756">
        <v>-6.6902980000000001E-2</v>
      </c>
      <c r="R756">
        <v>-3.8887110000000003E-2</v>
      </c>
      <c r="S756">
        <v>2.990631</v>
      </c>
      <c r="T756">
        <v>-0.18187999999999999</v>
      </c>
      <c r="U756">
        <v>-0.1599121</v>
      </c>
      <c r="V756">
        <v>5.124824E-2</v>
      </c>
      <c r="W756">
        <v>-5.1692170000000003E-2</v>
      </c>
      <c r="X756">
        <v>0.99734719999999999</v>
      </c>
      <c r="Y756">
        <v>6.5628549999999994E-2</v>
      </c>
      <c r="Z756">
        <v>-2.745295E-3</v>
      </c>
      <c r="AA756">
        <v>0.99784030000000001</v>
      </c>
      <c r="AB756">
        <v>42</v>
      </c>
      <c r="AC756">
        <v>17.212399999999999</v>
      </c>
      <c r="AD756">
        <v>-1.0594275110989999</v>
      </c>
      <c r="AE756">
        <v>-0.93419999999997505</v>
      </c>
      <c r="AF756">
        <v>1.1432329728877699</v>
      </c>
      <c r="AG756">
        <v>-1.0594275110989999</v>
      </c>
      <c r="AH756">
        <v>17.134770016117901</v>
      </c>
      <c r="AI756">
        <v>93.530214102201796</v>
      </c>
      <c r="AJ756">
        <v>86.182879202822804</v>
      </c>
      <c r="AK756">
        <v>17.205513993683098</v>
      </c>
      <c r="AL756">
        <v>92.963063914531901</v>
      </c>
      <c r="AM756">
        <v>87.058469076158204</v>
      </c>
      <c r="AN756">
        <v>0.99999994994512198</v>
      </c>
    </row>
    <row r="757" spans="1:40" x14ac:dyDescent="0.25">
      <c r="A757" t="str">
        <f>"20190312151514474"</f>
        <v>20190312151514474</v>
      </c>
      <c r="B757" t="str">
        <f>"1552374914468217"</f>
        <v>1552374914468217</v>
      </c>
      <c r="C757" t="s">
        <v>40</v>
      </c>
      <c r="D757">
        <v>4.6255129999999998</v>
      </c>
      <c r="E757">
        <v>0.53958039999999996</v>
      </c>
      <c r="F757" t="s">
        <v>43</v>
      </c>
      <c r="G757">
        <v>-261.74290000000002</v>
      </c>
      <c r="H757" s="1">
        <v>-4.1297480000000001E-6</v>
      </c>
      <c r="I757">
        <v>366.20479999999998</v>
      </c>
      <c r="J757">
        <v>-283.94380000000001</v>
      </c>
      <c r="K757">
        <v>1.059418</v>
      </c>
      <c r="L757">
        <v>369.22160000000002</v>
      </c>
      <c r="M757">
        <v>0.99980670000000005</v>
      </c>
      <c r="N757">
        <v>0</v>
      </c>
      <c r="O757">
        <v>1.240372E-2</v>
      </c>
      <c r="P757">
        <v>0.99698980000000004</v>
      </c>
      <c r="Q757">
        <v>-6.6943589999999997E-2</v>
      </c>
      <c r="R757">
        <v>-3.9116039999999998E-2</v>
      </c>
      <c r="S757">
        <v>2.9839479999999998</v>
      </c>
      <c r="T757">
        <v>-0.1407717</v>
      </c>
      <c r="U757">
        <v>-0.40042109999999997</v>
      </c>
      <c r="V757">
        <v>5.1482279999999998E-2</v>
      </c>
      <c r="W757">
        <v>-5.1736560000000001E-2</v>
      </c>
      <c r="X757">
        <v>0.99733289999999997</v>
      </c>
      <c r="Y757">
        <v>0.14511209999999999</v>
      </c>
      <c r="Z757">
        <v>-3.9881980000000001E-3</v>
      </c>
      <c r="AA757">
        <v>0.98940720000000004</v>
      </c>
      <c r="AB757">
        <v>41</v>
      </c>
      <c r="AC757">
        <v>22.200899999999901</v>
      </c>
      <c r="AD757">
        <v>-1.059422129748</v>
      </c>
      <c r="AE757">
        <v>-3.0168000000000399</v>
      </c>
      <c r="AF757">
        <v>3.2846295843576998</v>
      </c>
      <c r="AG757">
        <v>-1.059422129748</v>
      </c>
      <c r="AH757">
        <v>22.112327041554799</v>
      </c>
      <c r="AI757">
        <v>92.713270884296406</v>
      </c>
      <c r="AJ757">
        <v>81.550899364721303</v>
      </c>
      <c r="AK757">
        <v>22.380039632407101</v>
      </c>
      <c r="AL757">
        <v>92.965610518359398</v>
      </c>
      <c r="AM757">
        <v>87.045017179292898</v>
      </c>
      <c r="AN757">
        <v>1.0000000051085201</v>
      </c>
    </row>
    <row r="758" spans="1:40" x14ac:dyDescent="0.25">
      <c r="A758" t="str">
        <f>"20190312151514489"</f>
        <v>20190312151514489</v>
      </c>
      <c r="B758" t="str">
        <f>"1552374914478953"</f>
        <v>1552374914478953</v>
      </c>
      <c r="C758" t="s">
        <v>40</v>
      </c>
      <c r="D758">
        <v>4.6329180000000001</v>
      </c>
      <c r="E758">
        <v>0.54029050000000001</v>
      </c>
      <c r="F758" t="s">
        <v>43</v>
      </c>
      <c r="G758">
        <v>-264.64600000000002</v>
      </c>
      <c r="H758" s="1">
        <v>-2.8461219999999999E-6</v>
      </c>
      <c r="I758">
        <v>366.42020000000002</v>
      </c>
      <c r="J758">
        <v>-283.6447</v>
      </c>
      <c r="K758">
        <v>1.0594159999999999</v>
      </c>
      <c r="L758">
        <v>369.2253</v>
      </c>
      <c r="M758">
        <v>0.99980690000000005</v>
      </c>
      <c r="N758">
        <v>0</v>
      </c>
      <c r="O758">
        <v>1.2405329999999999E-2</v>
      </c>
      <c r="P758">
        <v>0.99698880000000001</v>
      </c>
      <c r="Q758">
        <v>-6.6584489999999996E-2</v>
      </c>
      <c r="R758">
        <v>-3.9746570000000002E-2</v>
      </c>
      <c r="S758">
        <v>2.9810789999999998</v>
      </c>
      <c r="T758">
        <v>-0.16365589999999999</v>
      </c>
      <c r="U758">
        <v>-0.43273929999999999</v>
      </c>
      <c r="V758">
        <v>5.2113979999999997E-2</v>
      </c>
      <c r="W758">
        <v>-5.1381749999999997E-2</v>
      </c>
      <c r="X758">
        <v>0.99731840000000005</v>
      </c>
      <c r="Y758">
        <v>0.15567529999999999</v>
      </c>
      <c r="Z758">
        <v>-4.924917E-3</v>
      </c>
      <c r="AA758">
        <v>0.98779600000000001</v>
      </c>
      <c r="AB758">
        <v>41</v>
      </c>
      <c r="AC758">
        <v>18.998699999999999</v>
      </c>
      <c r="AD758">
        <v>-1.059418846122</v>
      </c>
      <c r="AE758">
        <v>-2.8050999999999799</v>
      </c>
      <c r="AF758">
        <v>3.0313717317245299</v>
      </c>
      <c r="AG758">
        <v>-1.059418846122</v>
      </c>
      <c r="AH758">
        <v>18.904905228360899</v>
      </c>
      <c r="AI758">
        <v>93.167091037031597</v>
      </c>
      <c r="AJ758">
        <v>80.890259296542396</v>
      </c>
      <c r="AK758">
        <v>19.175688372539</v>
      </c>
      <c r="AL758">
        <v>92.945254428283107</v>
      </c>
      <c r="AM758">
        <v>87.008780863706406</v>
      </c>
      <c r="AN758">
        <v>0.99999997106153105</v>
      </c>
    </row>
    <row r="759" spans="1:40" x14ac:dyDescent="0.25">
      <c r="A759" t="str">
        <f>"20190312151514503"</f>
        <v>20190312151514503</v>
      </c>
      <c r="B759" t="str">
        <f>"1552374914498473"</f>
        <v>1552374914498473</v>
      </c>
      <c r="C759" t="s">
        <v>40</v>
      </c>
      <c r="D759">
        <v>4.6140129999999999</v>
      </c>
      <c r="E759">
        <v>0.54100479999999995</v>
      </c>
      <c r="F759" t="s">
        <v>43</v>
      </c>
      <c r="G759">
        <v>-264.92520000000002</v>
      </c>
      <c r="H759" s="1">
        <v>-2.7194409999999998E-6</v>
      </c>
      <c r="I759">
        <v>366.45890000000003</v>
      </c>
      <c r="J759">
        <v>-283.39830000000001</v>
      </c>
      <c r="K759">
        <v>1.0594140000000001</v>
      </c>
      <c r="L759">
        <v>369.22829999999999</v>
      </c>
      <c r="M759">
        <v>0.9998068</v>
      </c>
      <c r="N759">
        <v>0</v>
      </c>
      <c r="O759">
        <v>1.240379E-2</v>
      </c>
      <c r="P759">
        <v>0.99697170000000002</v>
      </c>
      <c r="Q759">
        <v>-6.6578189999999995E-2</v>
      </c>
      <c r="R759">
        <v>-4.018116E-2</v>
      </c>
      <c r="S759">
        <v>2.980194</v>
      </c>
      <c r="T759">
        <v>-0.16866199999999901</v>
      </c>
      <c r="U759">
        <v>-0.44039919999999999</v>
      </c>
      <c r="V759">
        <v>5.2546240000000001E-2</v>
      </c>
      <c r="W759">
        <v>-5.1379170000000002E-2</v>
      </c>
      <c r="X759">
        <v>0.99729590000000001</v>
      </c>
      <c r="Y759">
        <v>0.15818119999999999</v>
      </c>
      <c r="Z759">
        <v>-5.1462720000000003E-3</v>
      </c>
      <c r="AA759">
        <v>0.98739670000000002</v>
      </c>
      <c r="AB759">
        <v>41</v>
      </c>
      <c r="AC759">
        <v>18.473099999999899</v>
      </c>
      <c r="AD759">
        <v>-1.05941671944099</v>
      </c>
      <c r="AE759">
        <v>-2.7693999999999601</v>
      </c>
      <c r="AF759">
        <v>2.9887363275207699</v>
      </c>
      <c r="AG759">
        <v>-1.05941671944099</v>
      </c>
      <c r="AH759">
        <v>18.378207529486001</v>
      </c>
      <c r="AI759">
        <v>93.256492901617705</v>
      </c>
      <c r="AJ759">
        <v>80.763195926309805</v>
      </c>
      <c r="AK759">
        <v>18.649756583337201</v>
      </c>
      <c r="AL759">
        <v>92.945106267457703</v>
      </c>
      <c r="AM759">
        <v>86.983947862428295</v>
      </c>
      <c r="AN759">
        <v>1.0000000193024099</v>
      </c>
    </row>
    <row r="760" spans="1:40" x14ac:dyDescent="0.25">
      <c r="A760" t="str">
        <f>"20190312151514517"</f>
        <v>20190312151514517</v>
      </c>
      <c r="B760" t="str">
        <f>"1552374914508233"</f>
        <v>1552374914508233</v>
      </c>
      <c r="C760" t="s">
        <v>40</v>
      </c>
      <c r="D760">
        <v>4.6455310000000001</v>
      </c>
      <c r="E760">
        <v>0.54126129999999995</v>
      </c>
      <c r="F760" t="s">
        <v>43</v>
      </c>
      <c r="G760">
        <v>-265.73899999999998</v>
      </c>
      <c r="H760" s="1">
        <v>-2.3496360000000001E-6</v>
      </c>
      <c r="I760">
        <v>366.57569999999998</v>
      </c>
      <c r="J760">
        <v>-283.15069999999997</v>
      </c>
      <c r="K760">
        <v>1.0594140000000001</v>
      </c>
      <c r="L760">
        <v>369.23140000000001</v>
      </c>
      <c r="M760">
        <v>0.999807</v>
      </c>
      <c r="N760">
        <v>0</v>
      </c>
      <c r="O760">
        <v>1.240022E-2</v>
      </c>
      <c r="P760">
        <v>0.99697550000000001</v>
      </c>
      <c r="Q760">
        <v>-6.621494E-2</v>
      </c>
      <c r="R760">
        <v>-4.0692440000000003E-2</v>
      </c>
      <c r="S760">
        <v>2.9791560000000001</v>
      </c>
      <c r="T760">
        <v>-0.1787243</v>
      </c>
      <c r="U760">
        <v>-0.44747920000000002</v>
      </c>
      <c r="V760">
        <v>5.305319E-2</v>
      </c>
      <c r="W760">
        <v>-5.1019370000000001E-2</v>
      </c>
      <c r="X760">
        <v>0.99728749999999999</v>
      </c>
      <c r="Y760">
        <v>0.16048570000000001</v>
      </c>
      <c r="Z760">
        <v>-5.5221649999999999E-3</v>
      </c>
      <c r="AA760">
        <v>0.98702270000000003</v>
      </c>
      <c r="AB760">
        <v>41</v>
      </c>
      <c r="AC760">
        <v>17.4116999999999</v>
      </c>
      <c r="AD760">
        <v>-1.0594163496359901</v>
      </c>
      <c r="AE760">
        <v>-2.6557000000000199</v>
      </c>
      <c r="AF760">
        <v>2.8610784877928799</v>
      </c>
      <c r="AG760">
        <v>-1.0594163496359901</v>
      </c>
      <c r="AH760">
        <v>17.314781741280001</v>
      </c>
      <c r="AI760">
        <v>93.454586600208003</v>
      </c>
      <c r="AJ760">
        <v>80.6172805709366</v>
      </c>
      <c r="AK760">
        <v>17.581518701845699</v>
      </c>
      <c r="AL760">
        <v>92.924464266753205</v>
      </c>
      <c r="AM760">
        <v>86.954878818279695</v>
      </c>
      <c r="AN760">
        <v>0.99999998737031104</v>
      </c>
    </row>
    <row r="761" spans="1:40" x14ac:dyDescent="0.25">
      <c r="A761" t="str">
        <f>"20190312151514533"</f>
        <v>20190312151514533</v>
      </c>
      <c r="B761" t="str">
        <f>"1552374914528732"</f>
        <v>1552374914528732</v>
      </c>
      <c r="C761" t="s">
        <v>40</v>
      </c>
      <c r="D761">
        <v>4.6462779999999997</v>
      </c>
      <c r="E761">
        <v>0.54169899999999904</v>
      </c>
      <c r="F761" t="s">
        <v>43</v>
      </c>
      <c r="G761">
        <v>-265.68799999999999</v>
      </c>
      <c r="H761" s="1">
        <v>-2.3695660000000001E-6</v>
      </c>
      <c r="I761">
        <v>366.5865</v>
      </c>
      <c r="J761">
        <v>-282.83679999999998</v>
      </c>
      <c r="K761">
        <v>1.059423</v>
      </c>
      <c r="L761">
        <v>369.2353</v>
      </c>
      <c r="M761">
        <v>0.99980720000000001</v>
      </c>
      <c r="N761">
        <v>0</v>
      </c>
      <c r="O761">
        <v>1.239295E-2</v>
      </c>
      <c r="P761">
        <v>0.99699780000000005</v>
      </c>
      <c r="Q761">
        <v>-6.5220500000000001E-2</v>
      </c>
      <c r="R761">
        <v>-4.1739529999999997E-2</v>
      </c>
      <c r="S761">
        <v>2.978729</v>
      </c>
      <c r="T761">
        <v>-0.1807115</v>
      </c>
      <c r="U761">
        <v>-0.45114140000000003</v>
      </c>
      <c r="V761">
        <v>5.4092809999999998E-2</v>
      </c>
      <c r="W761">
        <v>-5.0029230000000001E-2</v>
      </c>
      <c r="X761">
        <v>0.9972818</v>
      </c>
      <c r="Y761">
        <v>0.16167670000000001</v>
      </c>
      <c r="Z761">
        <v>-5.6191919999999899E-3</v>
      </c>
      <c r="AA761">
        <v>0.98682780000000003</v>
      </c>
      <c r="AB761">
        <v>41</v>
      </c>
      <c r="AC761">
        <v>17.148799999999898</v>
      </c>
      <c r="AD761">
        <v>-1.0594253695659901</v>
      </c>
      <c r="AE761">
        <v>-2.6487999999999898</v>
      </c>
      <c r="AF761">
        <v>2.8505197097174499</v>
      </c>
      <c r="AG761">
        <v>-1.0594253695659901</v>
      </c>
      <c r="AH761">
        <v>17.0510922067335</v>
      </c>
      <c r="AI761">
        <v>93.506812470334907</v>
      </c>
      <c r="AJ761">
        <v>80.509330930912895</v>
      </c>
      <c r="AK761">
        <v>17.320149831098401</v>
      </c>
      <c r="AL761">
        <v>92.867660916399601</v>
      </c>
      <c r="AM761">
        <v>86.895305124045606</v>
      </c>
      <c r="AN761">
        <v>0.99999997227966397</v>
      </c>
    </row>
    <row r="762" spans="1:40" x14ac:dyDescent="0.25">
      <c r="A762" t="str">
        <f>"20190312151514544"</f>
        <v>20190312151514544</v>
      </c>
      <c r="B762" t="str">
        <f>"1552374914538489"</f>
        <v>1552374914538489</v>
      </c>
      <c r="C762" t="s">
        <v>40</v>
      </c>
      <c r="D762">
        <v>4.6164579999999997</v>
      </c>
      <c r="E762">
        <v>0.54178359999999903</v>
      </c>
      <c r="F762" t="s">
        <v>43</v>
      </c>
      <c r="G762">
        <v>-265.52659999999997</v>
      </c>
      <c r="H762" s="1">
        <v>-2.4406660000000001E-6</v>
      </c>
      <c r="I762">
        <v>366.5763</v>
      </c>
      <c r="J762">
        <v>-282.63240000000002</v>
      </c>
      <c r="K762">
        <v>1.059426</v>
      </c>
      <c r="L762">
        <v>369.23779999999999</v>
      </c>
      <c r="M762">
        <v>0.99980729999999995</v>
      </c>
      <c r="N762">
        <v>0</v>
      </c>
      <c r="O762">
        <v>1.238707E-2</v>
      </c>
      <c r="P762">
        <v>0.9970118</v>
      </c>
      <c r="Q762">
        <v>-6.4708799999999997E-2</v>
      </c>
      <c r="R762">
        <v>-4.2196070000000002E-2</v>
      </c>
      <c r="S762">
        <v>2.9779659999999999</v>
      </c>
      <c r="T762">
        <v>-0.1822578</v>
      </c>
      <c r="U762">
        <v>-0.457428</v>
      </c>
      <c r="V762">
        <v>5.4543170000000002E-2</v>
      </c>
      <c r="W762">
        <v>-4.952024E-2</v>
      </c>
      <c r="X762">
        <v>0.99728269999999997</v>
      </c>
      <c r="Y762">
        <v>0.16373460000000001</v>
      </c>
      <c r="Z762">
        <v>-5.7299179999999996E-3</v>
      </c>
      <c r="AA762">
        <v>0.98648780000000003</v>
      </c>
      <c r="AB762">
        <v>41</v>
      </c>
      <c r="AC762">
        <v>17.105799999999999</v>
      </c>
      <c r="AD762">
        <v>-1.0594284406659999</v>
      </c>
      <c r="AE762">
        <v>-2.6614999999999802</v>
      </c>
      <c r="AF762">
        <v>2.8624906424129999</v>
      </c>
      <c r="AG762">
        <v>-1.0594284406659999</v>
      </c>
      <c r="AH762">
        <v>17.007818608008201</v>
      </c>
      <c r="AI762">
        <v>93.515076782204304</v>
      </c>
      <c r="AJ762">
        <v>80.446403197290707</v>
      </c>
      <c r="AK762">
        <v>17.279529365746701</v>
      </c>
      <c r="AL762">
        <v>92.838461671148806</v>
      </c>
      <c r="AM762">
        <v>86.869510415496407</v>
      </c>
      <c r="AN762">
        <v>0.99999999764129799</v>
      </c>
    </row>
    <row r="763" spans="1:40" x14ac:dyDescent="0.25">
      <c r="A763" t="str">
        <f>"20190312151514556"</f>
        <v>20190312151514556</v>
      </c>
      <c r="B763" t="str">
        <f>"1552374914548249"</f>
        <v>1552374914548249</v>
      </c>
      <c r="C763" t="s">
        <v>40</v>
      </c>
      <c r="D763">
        <v>4.5988160000000002</v>
      </c>
      <c r="E763">
        <v>0.54174699999999998</v>
      </c>
      <c r="F763" t="s">
        <v>43</v>
      </c>
      <c r="G763">
        <v>-265.21249999999998</v>
      </c>
      <c r="H763" s="1">
        <v>-2.580349E-6</v>
      </c>
      <c r="I763">
        <v>366.54840000000002</v>
      </c>
      <c r="J763">
        <v>-282.42579999999998</v>
      </c>
      <c r="K763">
        <v>1.0594269999999999</v>
      </c>
      <c r="L763">
        <v>369.24029999999999</v>
      </c>
      <c r="M763">
        <v>0.99980740000000001</v>
      </c>
      <c r="N763">
        <v>0</v>
      </c>
      <c r="O763">
        <v>1.238101E-2</v>
      </c>
      <c r="P763">
        <v>0.99707199999999996</v>
      </c>
      <c r="Q763">
        <v>-6.3574980000000003E-2</v>
      </c>
      <c r="R763">
        <v>-4.2489569999999997E-2</v>
      </c>
      <c r="S763">
        <v>2.9777529999999999</v>
      </c>
      <c r="T763">
        <v>-0.18109800000000001</v>
      </c>
      <c r="U763">
        <v>-0.45971679999999998</v>
      </c>
      <c r="V763">
        <v>5.4831270000000001E-2</v>
      </c>
      <c r="W763">
        <v>-4.8388500000000001E-2</v>
      </c>
      <c r="X763">
        <v>0.99732240000000005</v>
      </c>
      <c r="Y763">
        <v>0.16448270000000001</v>
      </c>
      <c r="Z763">
        <v>-5.7158240000000004E-3</v>
      </c>
      <c r="AA763">
        <v>0.9863634</v>
      </c>
      <c r="AB763">
        <v>41</v>
      </c>
      <c r="AC763">
        <v>17.2133</v>
      </c>
      <c r="AD763">
        <v>-1.0594295803489999</v>
      </c>
      <c r="AE763">
        <v>-2.6918999999999702</v>
      </c>
      <c r="AF763">
        <v>2.8941349593939001</v>
      </c>
      <c r="AG763">
        <v>-1.0594295803489999</v>
      </c>
      <c r="AH763">
        <v>17.115361892108002</v>
      </c>
      <c r="AI763">
        <v>93.492596357778396</v>
      </c>
      <c r="AJ763">
        <v>80.402316647719502</v>
      </c>
      <c r="AK763">
        <v>17.3906302616302</v>
      </c>
      <c r="AL763">
        <v>92.773540055386405</v>
      </c>
      <c r="AM763">
        <v>86.853133166817599</v>
      </c>
      <c r="AN763">
        <v>0.99999994232190903</v>
      </c>
    </row>
    <row r="764" spans="1:40" x14ac:dyDescent="0.25">
      <c r="A764" t="str">
        <f>"20190312151514566"</f>
        <v>20190312151514566</v>
      </c>
      <c r="B764" t="str">
        <f>"1552374914558985"</f>
        <v>1552374914558985</v>
      </c>
      <c r="C764" t="s">
        <v>40</v>
      </c>
      <c r="D764">
        <v>5.0696029999999999</v>
      </c>
      <c r="E764">
        <v>0.54165459999999999</v>
      </c>
      <c r="F764" t="s">
        <v>43</v>
      </c>
      <c r="G764">
        <v>-264.91379999999998</v>
      </c>
      <c r="H764" s="1">
        <v>-2.7110599999999999E-6</v>
      </c>
      <c r="I764">
        <v>366.53390000000002</v>
      </c>
      <c r="J764">
        <v>-282.22109999999998</v>
      </c>
      <c r="K764">
        <v>1.059426</v>
      </c>
      <c r="L764">
        <v>369.24290000000002</v>
      </c>
      <c r="M764">
        <v>0.99980749999999996</v>
      </c>
      <c r="N764">
        <v>0</v>
      </c>
      <c r="O764">
        <v>1.237424E-2</v>
      </c>
      <c r="P764">
        <v>0.99709859999999995</v>
      </c>
      <c r="Q764">
        <v>-6.2782000000000004E-2</v>
      </c>
      <c r="R764">
        <v>-4.304359E-2</v>
      </c>
      <c r="S764">
        <v>2.977722</v>
      </c>
      <c r="T764">
        <v>-0.18014279999999999</v>
      </c>
      <c r="U764">
        <v>-0.46017459999999999</v>
      </c>
      <c r="V764">
        <v>5.5378410000000003E-2</v>
      </c>
      <c r="W764">
        <v>-4.7598090000000003E-2</v>
      </c>
      <c r="X764">
        <v>0.99733019999999994</v>
      </c>
      <c r="Y764">
        <v>0.16462879999999999</v>
      </c>
      <c r="Z764">
        <v>-5.6897019999999996E-3</v>
      </c>
      <c r="AA764">
        <v>0.98633919999999997</v>
      </c>
      <c r="AB764">
        <v>41</v>
      </c>
      <c r="AC764">
        <v>17.307299999999898</v>
      </c>
      <c r="AD764">
        <v>-1.05942871106</v>
      </c>
      <c r="AE764">
        <v>-2.7090000000000001</v>
      </c>
      <c r="AF764">
        <v>2.9123304833148498</v>
      </c>
      <c r="AG764">
        <v>-1.05942871106</v>
      </c>
      <c r="AH764">
        <v>17.209506743992399</v>
      </c>
      <c r="AI764">
        <v>93.473458761617707</v>
      </c>
      <c r="AJ764">
        <v>80.394949846663394</v>
      </c>
      <c r="AK764">
        <v>17.486314088720398</v>
      </c>
      <c r="AL764">
        <v>92.728200662107994</v>
      </c>
      <c r="AM764">
        <v>86.821820663983701</v>
      </c>
      <c r="AN764">
        <v>0.999999937148906</v>
      </c>
    </row>
    <row r="765" spans="1:40" x14ac:dyDescent="0.25">
      <c r="A765" t="str">
        <f>"20190312151514578"</f>
        <v>20190312151514578</v>
      </c>
      <c r="B765" t="str">
        <f>"1552374914568746"</f>
        <v>1552374914568746</v>
      </c>
      <c r="C765" t="s">
        <v>40</v>
      </c>
      <c r="D765">
        <v>4.5730130000000004</v>
      </c>
      <c r="E765">
        <v>0.54180830000000002</v>
      </c>
      <c r="F765" t="s">
        <v>43</v>
      </c>
      <c r="G765">
        <v>-264.5693</v>
      </c>
      <c r="H765" s="1">
        <v>-2.8631449999999999E-6</v>
      </c>
      <c r="I765">
        <v>366.5095</v>
      </c>
      <c r="J765">
        <v>-282.01190000000003</v>
      </c>
      <c r="K765">
        <v>1.0594190000000001</v>
      </c>
      <c r="L765">
        <v>369.24540000000002</v>
      </c>
      <c r="M765">
        <v>0.99980749999999996</v>
      </c>
      <c r="N765">
        <v>0</v>
      </c>
      <c r="O765">
        <v>1.236718E-2</v>
      </c>
      <c r="P765">
        <v>0.99709150000000002</v>
      </c>
      <c r="Q765">
        <v>-6.257153E-2</v>
      </c>
      <c r="R765">
        <v>-4.3516020000000002E-2</v>
      </c>
      <c r="S765">
        <v>2.9775700000000001</v>
      </c>
      <c r="T765">
        <v>-0.17870810000000001</v>
      </c>
      <c r="U765">
        <v>-0.46105960000000001</v>
      </c>
      <c r="V765">
        <v>5.5843329999999997E-2</v>
      </c>
      <c r="W765">
        <v>-4.7390630000000003E-2</v>
      </c>
      <c r="X765">
        <v>0.99731420000000004</v>
      </c>
      <c r="Y765">
        <v>0.16492019999999999</v>
      </c>
      <c r="Z765">
        <v>-5.652893E-3</v>
      </c>
      <c r="AA765">
        <v>0.98629069999999996</v>
      </c>
      <c r="AB765">
        <v>41</v>
      </c>
      <c r="AC765">
        <v>17.442599999999999</v>
      </c>
      <c r="AD765">
        <v>-1.0594218631450001</v>
      </c>
      <c r="AE765">
        <v>-2.7359000000000102</v>
      </c>
      <c r="AF765">
        <v>2.9408430845429998</v>
      </c>
      <c r="AG765">
        <v>-1.0594218631450001</v>
      </c>
      <c r="AH765">
        <v>17.3449762602311</v>
      </c>
      <c r="AI765">
        <v>93.446191057376097</v>
      </c>
      <c r="AJ765">
        <v>80.377007867472301</v>
      </c>
      <c r="AK765">
        <v>17.624390321369798</v>
      </c>
      <c r="AL765">
        <v>92.716300529486702</v>
      </c>
      <c r="AM765">
        <v>86.795142880115506</v>
      </c>
      <c r="AN765">
        <v>0.999999981419462</v>
      </c>
    </row>
    <row r="766" spans="1:40" x14ac:dyDescent="0.25">
      <c r="A766" t="str">
        <f>"20190312151514588"</f>
        <v>20190312151514588</v>
      </c>
      <c r="B766" t="str">
        <f>"1552374914578505"</f>
        <v>1552374914578505</v>
      </c>
      <c r="C766" t="s">
        <v>40</v>
      </c>
      <c r="D766">
        <v>4.6139839999999896</v>
      </c>
      <c r="E766">
        <v>0.54201100000000002</v>
      </c>
      <c r="F766" t="s">
        <v>43</v>
      </c>
      <c r="G766">
        <v>-264.3741</v>
      </c>
      <c r="H766" s="1">
        <v>-2.948846E-6</v>
      </c>
      <c r="I766">
        <v>366.49860000000001</v>
      </c>
      <c r="J766">
        <v>-281.81180000000001</v>
      </c>
      <c r="K766">
        <v>1.059412</v>
      </c>
      <c r="L766">
        <v>369.24790000000002</v>
      </c>
      <c r="M766">
        <v>0.99980769999999997</v>
      </c>
      <c r="N766">
        <v>0</v>
      </c>
      <c r="O766">
        <v>1.235995E-2</v>
      </c>
      <c r="P766">
        <v>0.99704930000000003</v>
      </c>
      <c r="Q766">
        <v>-6.3043230000000006E-2</v>
      </c>
      <c r="R766">
        <v>-4.3801069999999998E-2</v>
      </c>
      <c r="S766">
        <v>2.9772639999999999</v>
      </c>
      <c r="T766">
        <v>-0.17882960000000001</v>
      </c>
      <c r="U766">
        <v>-0.4636536</v>
      </c>
      <c r="V766">
        <v>5.6120379999999997E-2</v>
      </c>
      <c r="W766">
        <v>-4.7865610000000003E-2</v>
      </c>
      <c r="X766">
        <v>0.99727600000000005</v>
      </c>
      <c r="Y766">
        <v>0.16576550000000001</v>
      </c>
      <c r="Z766">
        <v>-5.6817049999999996E-3</v>
      </c>
      <c r="AA766">
        <v>0.98614880000000005</v>
      </c>
      <c r="AB766">
        <v>41</v>
      </c>
      <c r="AC766">
        <v>17.4377</v>
      </c>
      <c r="AD766">
        <v>-1.0594149488460001</v>
      </c>
      <c r="AE766">
        <v>-2.7492999999999999</v>
      </c>
      <c r="AF766">
        <v>2.9540050111942899</v>
      </c>
      <c r="AG766">
        <v>-1.0594149488460001</v>
      </c>
      <c r="AH766">
        <v>17.339931800885498</v>
      </c>
      <c r="AI766">
        <v>93.446709586462404</v>
      </c>
      <c r="AJ766">
        <v>80.331991508888606</v>
      </c>
      <c r="AK766">
        <v>17.6216270673102</v>
      </c>
      <c r="AL766">
        <v>92.743545701766806</v>
      </c>
      <c r="AM766">
        <v>86.779153221327704</v>
      </c>
      <c r="AN766">
        <v>1.000000016924</v>
      </c>
    </row>
    <row r="767" spans="1:40" x14ac:dyDescent="0.25">
      <c r="A767" t="str">
        <f>"20190312151514599"</f>
        <v>20190312151514599</v>
      </c>
      <c r="B767" t="str">
        <f>"1552374914588265"</f>
        <v>1552374914588265</v>
      </c>
      <c r="C767" t="s">
        <v>40</v>
      </c>
      <c r="D767">
        <v>4.595688</v>
      </c>
      <c r="E767">
        <v>0.54221090000000005</v>
      </c>
      <c r="F767" t="s">
        <v>43</v>
      </c>
      <c r="G767">
        <v>-264.31200000000001</v>
      </c>
      <c r="H767" s="1">
        <v>-2.9737980000000002E-6</v>
      </c>
      <c r="I767">
        <v>366.50799999999998</v>
      </c>
      <c r="J767">
        <v>-281.6062</v>
      </c>
      <c r="K767">
        <v>1.059404</v>
      </c>
      <c r="L767">
        <v>369.25040000000001</v>
      </c>
      <c r="M767">
        <v>0.99980789999999997</v>
      </c>
      <c r="N767">
        <v>0</v>
      </c>
      <c r="O767">
        <v>1.235224E-2</v>
      </c>
      <c r="P767">
        <v>0.99700650000000002</v>
      </c>
      <c r="Q767">
        <v>-6.3528860000000006E-2</v>
      </c>
      <c r="R767">
        <v>-4.4068400000000001E-2</v>
      </c>
      <c r="S767">
        <v>2.9770509999999999</v>
      </c>
      <c r="T767">
        <v>-0.18022630000000001</v>
      </c>
      <c r="U767">
        <v>-0.46609499999999998</v>
      </c>
      <c r="V767">
        <v>5.6379430000000001E-2</v>
      </c>
      <c r="W767">
        <v>-4.8354550000000003E-2</v>
      </c>
      <c r="X767">
        <v>0.99723779999999995</v>
      </c>
      <c r="Y767">
        <v>0.166551799999999</v>
      </c>
      <c r="Z767">
        <v>-5.7492219999999896E-3</v>
      </c>
      <c r="AA767">
        <v>0.986016</v>
      </c>
      <c r="AB767">
        <v>41</v>
      </c>
      <c r="AC767">
        <v>17.294199999999901</v>
      </c>
      <c r="AD767">
        <v>-1.0594069737980001</v>
      </c>
      <c r="AE767">
        <v>-2.7423999999999702</v>
      </c>
      <c r="AF767">
        <v>2.9450572265345398</v>
      </c>
      <c r="AG767">
        <v>-1.0594069737980001</v>
      </c>
      <c r="AH767">
        <v>17.196055598786099</v>
      </c>
      <c r="AI767">
        <v>93.474930361372699</v>
      </c>
      <c r="AJ767">
        <v>80.281607778146096</v>
      </c>
      <c r="AK767">
        <v>17.478559247267398</v>
      </c>
      <c r="AL767">
        <v>92.771592378979406</v>
      </c>
      <c r="AM767">
        <v>86.764193724408898</v>
      </c>
      <c r="AN767">
        <v>1.00000001619083</v>
      </c>
    </row>
    <row r="768" spans="1:40" x14ac:dyDescent="0.25">
      <c r="A768" t="str">
        <f>"20190312151514611"</f>
        <v>20190312151514611</v>
      </c>
      <c r="B768" t="str">
        <f>"1552374914608761"</f>
        <v>1552374914608761</v>
      </c>
      <c r="C768" t="s">
        <v>40</v>
      </c>
      <c r="D768">
        <v>4.6694829999999996</v>
      </c>
      <c r="E768">
        <v>0.54237369999999996</v>
      </c>
      <c r="F768" t="s">
        <v>43</v>
      </c>
      <c r="G768">
        <v>-264.32380000000001</v>
      </c>
      <c r="H768" s="1">
        <v>-2.9649140000000002E-6</v>
      </c>
      <c r="I768">
        <v>366.52969999999999</v>
      </c>
      <c r="J768">
        <v>-281.38760000000002</v>
      </c>
      <c r="K768">
        <v>1.0593939999999999</v>
      </c>
      <c r="L768">
        <v>369.25310000000002</v>
      </c>
      <c r="M768">
        <v>0.99980800000000003</v>
      </c>
      <c r="N768">
        <v>0</v>
      </c>
      <c r="O768">
        <v>1.2343700000000001E-2</v>
      </c>
      <c r="P768">
        <v>0.99695719999999999</v>
      </c>
      <c r="Q768">
        <v>-6.4136579999999999E-2</v>
      </c>
      <c r="R768">
        <v>-4.430825E-2</v>
      </c>
      <c r="S768">
        <v>2.9766539999999999</v>
      </c>
      <c r="T768">
        <v>-0.18246760000000001</v>
      </c>
      <c r="U768">
        <v>-0.4685974</v>
      </c>
      <c r="V768">
        <v>5.6609619999999999E-2</v>
      </c>
      <c r="W768">
        <v>-4.8965759999999997E-2</v>
      </c>
      <c r="X768">
        <v>0.9971949</v>
      </c>
      <c r="Y768">
        <v>0.16736289999999901</v>
      </c>
      <c r="Z768">
        <v>-5.8451419999999898E-3</v>
      </c>
      <c r="AA768">
        <v>0.98587809999999998</v>
      </c>
      <c r="AB768">
        <v>41</v>
      </c>
      <c r="AC768">
        <v>17.063800000000001</v>
      </c>
      <c r="AD768">
        <v>-1.059396964914</v>
      </c>
      <c r="AE768">
        <v>-2.7234000000000198</v>
      </c>
      <c r="AF768">
        <v>2.9228610232115799</v>
      </c>
      <c r="AG768">
        <v>-1.059396964914</v>
      </c>
      <c r="AH768">
        <v>16.9651115525552</v>
      </c>
      <c r="AI768">
        <v>93.521483054900898</v>
      </c>
      <c r="AJ768">
        <v>80.224671561531196</v>
      </c>
      <c r="AK768">
        <v>17.2476215311248</v>
      </c>
      <c r="AL768">
        <v>92.806653763204295</v>
      </c>
      <c r="AM768">
        <v>86.750871112508307</v>
      </c>
      <c r="AN768">
        <v>0.99999998165746495</v>
      </c>
    </row>
    <row r="769" spans="1:40" x14ac:dyDescent="0.25">
      <c r="A769" t="str">
        <f>"20190312151514622"</f>
        <v>20190312151514622</v>
      </c>
      <c r="B769" t="str">
        <f>"1552374914618521"</f>
        <v>1552374914618521</v>
      </c>
      <c r="C769" t="s">
        <v>40</v>
      </c>
      <c r="D769">
        <v>4.6225290000000001</v>
      </c>
      <c r="E769">
        <v>0.54250220000000005</v>
      </c>
      <c r="F769" t="s">
        <v>43</v>
      </c>
      <c r="G769">
        <v>-264.68979999999999</v>
      </c>
      <c r="H769" s="1">
        <v>-2.7933469999999998E-6</v>
      </c>
      <c r="I769">
        <v>366.61169999999998</v>
      </c>
      <c r="J769">
        <v>-281.20409999999998</v>
      </c>
      <c r="K769">
        <v>1.0594779999999999</v>
      </c>
      <c r="L769">
        <v>369.25540000000001</v>
      </c>
      <c r="M769">
        <v>0.99981089999999995</v>
      </c>
      <c r="N769">
        <v>0</v>
      </c>
      <c r="O769">
        <v>1.184645E-2</v>
      </c>
      <c r="P769">
        <v>0.99687429999999999</v>
      </c>
      <c r="Q769">
        <v>-6.5057299999999998E-2</v>
      </c>
      <c r="R769">
        <v>-4.482622E-2</v>
      </c>
      <c r="S769">
        <v>2.9760740000000001</v>
      </c>
      <c r="T769">
        <v>-0.18881680000000001</v>
      </c>
      <c r="U769">
        <v>-0.47076420000000002</v>
      </c>
      <c r="V769">
        <v>5.6635089999999999E-2</v>
      </c>
      <c r="W769">
        <v>-4.968156E-2</v>
      </c>
      <c r="X769">
        <v>0.99715810000000005</v>
      </c>
      <c r="Y769">
        <v>0.1675796</v>
      </c>
      <c r="Z769">
        <v>-6.0244510000000001E-3</v>
      </c>
      <c r="AA769">
        <v>0.9858401</v>
      </c>
      <c r="AB769">
        <v>41</v>
      </c>
      <c r="AC769">
        <v>16.514299999999899</v>
      </c>
      <c r="AD769">
        <v>-1.0594807933470001</v>
      </c>
      <c r="AE769">
        <v>-2.6437000000000199</v>
      </c>
      <c r="AF769">
        <v>2.8278252922997198</v>
      </c>
      <c r="AG769">
        <v>-1.0594807933470001</v>
      </c>
      <c r="AH769">
        <v>16.415940461530401</v>
      </c>
      <c r="AI769">
        <v>93.639280377326997</v>
      </c>
      <c r="AJ769">
        <v>80.226098343462496</v>
      </c>
      <c r="AK769">
        <v>16.6913809096717</v>
      </c>
      <c r="AL769">
        <v>92.847715914830005</v>
      </c>
      <c r="AM769">
        <v>86.749292681813102</v>
      </c>
      <c r="AN769">
        <v>1.0000000336094701</v>
      </c>
    </row>
    <row r="770" spans="1:40" x14ac:dyDescent="0.25">
      <c r="A770" t="str">
        <f>"20190312151514634"</f>
        <v>20190312151514634</v>
      </c>
      <c r="B770" t="str">
        <f>"1552374914628282"</f>
        <v>1552374914628282</v>
      </c>
      <c r="C770" t="s">
        <v>40</v>
      </c>
      <c r="D770">
        <v>4.611307</v>
      </c>
      <c r="E770">
        <v>0.54246000000000005</v>
      </c>
      <c r="F770" t="s">
        <v>43</v>
      </c>
      <c r="G770">
        <v>-264.81200000000001</v>
      </c>
      <c r="H770" s="1">
        <v>-2.7342809999999999E-6</v>
      </c>
      <c r="I770">
        <v>366.649</v>
      </c>
      <c r="J770">
        <v>-280.98829999999998</v>
      </c>
      <c r="K770">
        <v>1.0595889999999999</v>
      </c>
      <c r="L770">
        <v>369.25819999999999</v>
      </c>
      <c r="M770">
        <v>0.99981370000000003</v>
      </c>
      <c r="N770">
        <v>0</v>
      </c>
      <c r="O770">
        <v>1.121889E-2</v>
      </c>
      <c r="P770">
        <v>0.99680100000000005</v>
      </c>
      <c r="Q770">
        <v>-6.5660380000000004E-2</v>
      </c>
      <c r="R770">
        <v>-4.5570270000000003E-2</v>
      </c>
      <c r="S770">
        <v>2.9755859999999998</v>
      </c>
      <c r="T770">
        <v>-0.19232299999999999</v>
      </c>
      <c r="U770">
        <v>-0.47311399999999998</v>
      </c>
      <c r="V770">
        <v>5.6756330000000001E-2</v>
      </c>
      <c r="W770">
        <v>-4.999497E-2</v>
      </c>
      <c r="X770">
        <v>0.99713549999999995</v>
      </c>
      <c r="Y770">
        <v>0.16773299999999999</v>
      </c>
      <c r="Z770">
        <v>-6.1013469999999896E-3</v>
      </c>
      <c r="AA770">
        <v>0.98581359999999996</v>
      </c>
      <c r="AB770">
        <v>41</v>
      </c>
      <c r="AC770">
        <v>16.176299999999902</v>
      </c>
      <c r="AD770">
        <v>-1.059591734281</v>
      </c>
      <c r="AE770">
        <v>-2.60919999999998</v>
      </c>
      <c r="AF770">
        <v>2.77891737102911</v>
      </c>
      <c r="AG770">
        <v>-1.059591734281</v>
      </c>
      <c r="AH770">
        <v>16.078767438681201</v>
      </c>
      <c r="AI770">
        <v>93.715418540820195</v>
      </c>
      <c r="AJ770">
        <v>80.194353082038404</v>
      </c>
      <c r="AK770">
        <v>16.351509983654701</v>
      </c>
      <c r="AL770">
        <v>92.865695447773106</v>
      </c>
      <c r="AM770">
        <v>86.742275116359295</v>
      </c>
      <c r="AN770">
        <v>0.99999999169030895</v>
      </c>
    </row>
    <row r="771" spans="1:40" x14ac:dyDescent="0.25">
      <c r="A771" t="str">
        <f>"20190312151514644"</f>
        <v>20190312151514644</v>
      </c>
      <c r="B771" t="str">
        <f>"1552374914638042"</f>
        <v>1552374914638042</v>
      </c>
      <c r="C771" t="s">
        <v>40</v>
      </c>
      <c r="D771">
        <v>4.6630820000000002</v>
      </c>
      <c r="E771">
        <v>0.54246269999999996</v>
      </c>
      <c r="F771" t="s">
        <v>43</v>
      </c>
      <c r="G771">
        <v>-264.6472</v>
      </c>
      <c r="H771" s="1">
        <v>-2.804859E-6</v>
      </c>
      <c r="I771">
        <v>366.6497</v>
      </c>
      <c r="J771">
        <v>-280.78140000000002</v>
      </c>
      <c r="K771">
        <v>1.0596909999999999</v>
      </c>
      <c r="L771">
        <v>369.26089999999999</v>
      </c>
      <c r="M771">
        <v>0.99981039999999999</v>
      </c>
      <c r="N771">
        <v>0</v>
      </c>
      <c r="O771">
        <v>1.0681980000000001E-2</v>
      </c>
      <c r="P771">
        <v>0.99673239999999996</v>
      </c>
      <c r="Q771">
        <v>-6.6269010000000003E-2</v>
      </c>
      <c r="R771">
        <v>-4.6186539999999998E-2</v>
      </c>
      <c r="S771">
        <v>2.9752200000000002</v>
      </c>
      <c r="T771">
        <v>-0.1929189</v>
      </c>
      <c r="U771">
        <v>-0.47491460000000002</v>
      </c>
      <c r="V771">
        <v>5.6820540000000003E-2</v>
      </c>
      <c r="W771">
        <v>-5.0048229999999999E-2</v>
      </c>
      <c r="X771">
        <v>0.99712920000000005</v>
      </c>
      <c r="Y771">
        <v>0.16780300000000001</v>
      </c>
      <c r="Z771">
        <v>-6.0883519999999896E-3</v>
      </c>
      <c r="AA771">
        <v>0.98580179999999995</v>
      </c>
      <c r="AB771">
        <v>41</v>
      </c>
      <c r="AC771">
        <v>16.1342</v>
      </c>
      <c r="AD771">
        <v>-1.0596938048590001</v>
      </c>
      <c r="AE771">
        <v>-2.61119999999999</v>
      </c>
      <c r="AF771">
        <v>2.7717672122216102</v>
      </c>
      <c r="AG771">
        <v>-1.0596938048590001</v>
      </c>
      <c r="AH771">
        <v>16.037963166625101</v>
      </c>
      <c r="AI771">
        <v>93.725206452495598</v>
      </c>
      <c r="AJ771">
        <v>80.194692671508193</v>
      </c>
      <c r="AK771">
        <v>16.3101780178153</v>
      </c>
      <c r="AL771">
        <v>92.868750763837397</v>
      </c>
      <c r="AM771">
        <v>86.738576952424495</v>
      </c>
      <c r="AN771">
        <v>1.00000002029233</v>
      </c>
    </row>
    <row r="772" spans="1:40" x14ac:dyDescent="0.25">
      <c r="A772" t="str">
        <f>"20190312151514655"</f>
        <v>20190312151514655</v>
      </c>
      <c r="B772" t="str">
        <f>"1552374914648779"</f>
        <v>1552374914648779</v>
      </c>
      <c r="C772" t="s">
        <v>40</v>
      </c>
      <c r="D772">
        <v>4.6503059999999996</v>
      </c>
      <c r="E772">
        <v>0.54247559999999995</v>
      </c>
      <c r="F772" t="s">
        <v>43</v>
      </c>
      <c r="G772">
        <v>-264.79149999999998</v>
      </c>
      <c r="H772" s="1">
        <v>-2.7345159999999998E-6</v>
      </c>
      <c r="I772">
        <v>366.69729999999998</v>
      </c>
      <c r="J772">
        <v>-280.59429999999998</v>
      </c>
      <c r="K772">
        <v>1.0597799999999999</v>
      </c>
      <c r="L772">
        <v>369.26339999999999</v>
      </c>
      <c r="M772">
        <v>0.99980599999999997</v>
      </c>
      <c r="N772">
        <v>0</v>
      </c>
      <c r="O772">
        <v>1.032634E-2</v>
      </c>
      <c r="P772">
        <v>0.99667559999999999</v>
      </c>
      <c r="Q772">
        <v>-6.6624240000000001E-2</v>
      </c>
      <c r="R772">
        <v>-4.689985E-2</v>
      </c>
      <c r="S772">
        <v>2.9746090000000001</v>
      </c>
      <c r="T772">
        <v>-0.19713530000000001</v>
      </c>
      <c r="U772">
        <v>-0.47689819999999999</v>
      </c>
      <c r="V772">
        <v>5.7159059999999998E-2</v>
      </c>
      <c r="W772">
        <v>-4.9936929999999997E-2</v>
      </c>
      <c r="X772">
        <v>0.99711539999999999</v>
      </c>
      <c r="Y772">
        <v>0.1681087</v>
      </c>
      <c r="Z772">
        <v>-6.2087230000000002E-3</v>
      </c>
      <c r="AA772">
        <v>0.98574890000000004</v>
      </c>
      <c r="AB772">
        <v>41</v>
      </c>
      <c r="AC772">
        <v>15.8027999999999</v>
      </c>
      <c r="AD772">
        <v>-1.059782734516</v>
      </c>
      <c r="AE772">
        <v>-2.5661</v>
      </c>
      <c r="AF772">
        <v>2.7172644066253602</v>
      </c>
      <c r="AG772">
        <v>-1.059782734516</v>
      </c>
      <c r="AH772">
        <v>15.706630159503</v>
      </c>
      <c r="AI772">
        <v>93.803768140268204</v>
      </c>
      <c r="AJ772">
        <v>80.184917009009695</v>
      </c>
      <c r="AK772">
        <v>15.975133685428199</v>
      </c>
      <c r="AL772">
        <v>92.862365852285293</v>
      </c>
      <c r="AM772">
        <v>86.7191433697392</v>
      </c>
      <c r="AN772">
        <v>0.99999998801753398</v>
      </c>
    </row>
    <row r="773" spans="1:40" x14ac:dyDescent="0.25">
      <c r="A773" t="str">
        <f>"20190312151514666"</f>
        <v>20190312151514666</v>
      </c>
      <c r="B773" t="str">
        <f>"1552374914658538"</f>
        <v>1552374914658538</v>
      </c>
      <c r="C773" t="s">
        <v>40</v>
      </c>
      <c r="D773">
        <v>4.6571619999999996</v>
      </c>
      <c r="E773">
        <v>0.54249209999999903</v>
      </c>
      <c r="F773" t="s">
        <v>43</v>
      </c>
      <c r="G773">
        <v>-264.95650000000001</v>
      </c>
      <c r="H773" s="1">
        <v>-2.6555389999999998E-6</v>
      </c>
      <c r="I773">
        <v>366.74369999999999</v>
      </c>
      <c r="J773">
        <v>-280.39429999999999</v>
      </c>
      <c r="K773">
        <v>1.059868</v>
      </c>
      <c r="L773">
        <v>369.26589999999999</v>
      </c>
      <c r="M773">
        <v>0.99979850000000003</v>
      </c>
      <c r="N773">
        <v>0</v>
      </c>
      <c r="O773">
        <v>1.0322720000000001E-2</v>
      </c>
      <c r="P773">
        <v>0.9966313</v>
      </c>
      <c r="Q773">
        <v>-6.7152429999999999E-2</v>
      </c>
      <c r="R773">
        <v>-4.7085040000000002E-2</v>
      </c>
      <c r="S773">
        <v>2.97403</v>
      </c>
      <c r="T773">
        <v>-0.20155020000000001</v>
      </c>
      <c r="U773">
        <v>-0.47918699999999997</v>
      </c>
      <c r="V773">
        <v>5.7304229999999998E-2</v>
      </c>
      <c r="W773">
        <v>-5.0067979999999998E-2</v>
      </c>
      <c r="X773">
        <v>0.99710049999999995</v>
      </c>
      <c r="Y773">
        <v>0.1688558</v>
      </c>
      <c r="Z773">
        <v>-6.3731819999999998E-3</v>
      </c>
      <c r="AA773">
        <v>0.9856201</v>
      </c>
      <c r="AB773">
        <v>40</v>
      </c>
      <c r="AC773">
        <v>15.4377999999999</v>
      </c>
      <c r="AD773">
        <v>-1.0598706555390001</v>
      </c>
      <c r="AE773">
        <v>-2.52219999999999</v>
      </c>
      <c r="AF773">
        <v>2.66919536842284</v>
      </c>
      <c r="AG773">
        <v>-1.0598706555390001</v>
      </c>
      <c r="AH773">
        <v>15.3405111747993</v>
      </c>
      <c r="AI773">
        <v>93.893944564703602</v>
      </c>
      <c r="AJ773">
        <v>80.129551376432403</v>
      </c>
      <c r="AK773">
        <v>15.6070244705846</v>
      </c>
      <c r="AL773">
        <v>92.869883856458202</v>
      </c>
      <c r="AM773">
        <v>86.710780026720201</v>
      </c>
      <c r="AN773">
        <v>0.99999999224871094</v>
      </c>
    </row>
    <row r="774" spans="1:40" x14ac:dyDescent="0.25">
      <c r="A774" t="str">
        <f>"20190312151514680"</f>
        <v>20190312151514680</v>
      </c>
      <c r="B774" t="str">
        <f>"1552374914668297"</f>
        <v>1552374914668297</v>
      </c>
      <c r="C774" t="s">
        <v>40</v>
      </c>
      <c r="D774">
        <v>4.5567979999999997</v>
      </c>
      <c r="E774">
        <v>0.54257690000000003</v>
      </c>
      <c r="F774" t="s">
        <v>43</v>
      </c>
      <c r="G774">
        <v>-265.04680000000002</v>
      </c>
      <c r="H774" s="1">
        <v>-2.6085180000000002E-6</v>
      </c>
      <c r="I774">
        <v>366.79020000000003</v>
      </c>
      <c r="J774">
        <v>-280.16629999999998</v>
      </c>
      <c r="K774">
        <v>1.059993</v>
      </c>
      <c r="L774">
        <v>369.26859999999999</v>
      </c>
      <c r="M774">
        <v>0.99979229999999997</v>
      </c>
      <c r="N774">
        <v>0</v>
      </c>
      <c r="O774">
        <v>1.0797330000000001E-2</v>
      </c>
      <c r="P774">
        <v>0.99664350000000002</v>
      </c>
      <c r="Q774">
        <v>-6.7081360000000007E-2</v>
      </c>
      <c r="R774">
        <v>-4.6927110000000001E-2</v>
      </c>
      <c r="S774">
        <v>2.973633</v>
      </c>
      <c r="T774">
        <v>-0.20535310000000001</v>
      </c>
      <c r="U774">
        <v>-0.47967530000000003</v>
      </c>
      <c r="V774">
        <v>5.7581100000000003E-2</v>
      </c>
      <c r="W774">
        <v>-4.9969380000000001E-2</v>
      </c>
      <c r="X774">
        <v>0.99708949999999996</v>
      </c>
      <c r="Y774">
        <v>0.1694841</v>
      </c>
      <c r="Z774">
        <v>-6.5479989999999997E-3</v>
      </c>
      <c r="AA774">
        <v>0.98551120000000003</v>
      </c>
      <c r="AB774">
        <v>40</v>
      </c>
      <c r="AC774">
        <v>15.119499999999899</v>
      </c>
      <c r="AD774">
        <v>-1.059995608518</v>
      </c>
      <c r="AE774">
        <v>-2.4783999999999602</v>
      </c>
      <c r="AF774">
        <v>2.62894666211549</v>
      </c>
      <c r="AG774">
        <v>-1.059995608518</v>
      </c>
      <c r="AH774">
        <v>15.0199612753342</v>
      </c>
      <c r="AI774">
        <v>93.976557050834003</v>
      </c>
      <c r="AJ774">
        <v>80.072076192841294</v>
      </c>
      <c r="AK774">
        <v>15.285096923306201</v>
      </c>
      <c r="AL774">
        <v>92.864227400058795</v>
      </c>
      <c r="AM774">
        <v>86.694886660687899</v>
      </c>
      <c r="AN774">
        <v>0.99999999651252203</v>
      </c>
    </row>
    <row r="775" spans="1:40" x14ac:dyDescent="0.25">
      <c r="A775" t="str">
        <f>"20190312151514693"</f>
        <v>20190312151514693</v>
      </c>
      <c r="B775" t="str">
        <f>"1552374914688793"</f>
        <v>1552374914688793</v>
      </c>
      <c r="C775" t="s">
        <v>40</v>
      </c>
      <c r="D775">
        <v>4.5762799999999997</v>
      </c>
      <c r="E775">
        <v>0.5426356</v>
      </c>
      <c r="F775" t="s">
        <v>43</v>
      </c>
      <c r="G775">
        <v>-264.76929999999999</v>
      </c>
      <c r="H775" s="1">
        <v>-2.7287659999999999E-6</v>
      </c>
      <c r="I775">
        <v>366.78339999999997</v>
      </c>
      <c r="J775">
        <v>-279.9248</v>
      </c>
      <c r="K775">
        <v>1.060154</v>
      </c>
      <c r="L775">
        <v>369.2713</v>
      </c>
      <c r="M775">
        <v>0.99978730000000005</v>
      </c>
      <c r="N775">
        <v>0</v>
      </c>
      <c r="O775">
        <v>1.1757099999999999E-2</v>
      </c>
      <c r="P775">
        <v>0.99669770000000002</v>
      </c>
      <c r="Q775">
        <v>-6.6741399999999895E-2</v>
      </c>
      <c r="R775">
        <v>-4.6252500000000002E-2</v>
      </c>
      <c r="S775">
        <v>2.9737239999999998</v>
      </c>
      <c r="T775">
        <v>-0.20472409999999999</v>
      </c>
      <c r="U775">
        <v>-0.47998049999999998</v>
      </c>
      <c r="V775">
        <v>5.7825969999999997E-2</v>
      </c>
      <c r="W775">
        <v>-5.0015289999999997E-2</v>
      </c>
      <c r="X775">
        <v>0.99707310000000005</v>
      </c>
      <c r="Y775">
        <v>0.1705217</v>
      </c>
      <c r="Z775">
        <v>-6.6287890000000004E-3</v>
      </c>
      <c r="AA775">
        <v>0.98533159999999997</v>
      </c>
      <c r="AB775">
        <v>40</v>
      </c>
      <c r="AC775">
        <v>15.1555</v>
      </c>
      <c r="AD775">
        <v>-1.0601567287659901</v>
      </c>
      <c r="AE775">
        <v>-2.4879000000000202</v>
      </c>
      <c r="AF775">
        <v>2.6532956964994998</v>
      </c>
      <c r="AG775">
        <v>-1.0601567287659901</v>
      </c>
      <c r="AH775">
        <v>15.053469657855199</v>
      </c>
      <c r="AI775">
        <v>93.967507372342098</v>
      </c>
      <c r="AJ775">
        <v>80.003828589017502</v>
      </c>
      <c r="AK775">
        <v>15.3222341413574</v>
      </c>
      <c r="AL775">
        <v>92.866860933423695</v>
      </c>
      <c r="AM775">
        <v>86.680808186783395</v>
      </c>
      <c r="AN775">
        <v>1.00000006939191</v>
      </c>
    </row>
    <row r="776" spans="1:40" x14ac:dyDescent="0.25">
      <c r="A776" t="str">
        <f>"20190312151514706"</f>
        <v>20190312151514706</v>
      </c>
      <c r="B776" t="str">
        <f>"1552374914698554"</f>
        <v>1552374914698554</v>
      </c>
      <c r="C776" t="s">
        <v>40</v>
      </c>
      <c r="D776">
        <v>4.8046540000000002</v>
      </c>
      <c r="E776">
        <v>0.54249630000000004</v>
      </c>
      <c r="F776" t="s">
        <v>43</v>
      </c>
      <c r="G776">
        <v>-264.63189999999997</v>
      </c>
      <c r="H776" s="1">
        <v>-2.7828669999999998E-6</v>
      </c>
      <c r="I776">
        <v>366.8109</v>
      </c>
      <c r="J776">
        <v>-279.6884</v>
      </c>
      <c r="K776">
        <v>1.060692</v>
      </c>
      <c r="L776">
        <v>369.27390000000003</v>
      </c>
      <c r="M776">
        <v>0.99979870000000004</v>
      </c>
      <c r="N776">
        <v>0</v>
      </c>
      <c r="O776">
        <v>1.234903E-2</v>
      </c>
      <c r="P776">
        <v>0.99677689999999997</v>
      </c>
      <c r="Q776">
        <v>-6.5712480000000004E-2</v>
      </c>
      <c r="R776">
        <v>-4.6019409999999997E-2</v>
      </c>
      <c r="S776">
        <v>2.973938</v>
      </c>
      <c r="T776">
        <v>-0.2061625</v>
      </c>
      <c r="U776">
        <v>-0.47845460000000001</v>
      </c>
      <c r="V776">
        <v>5.8191100000000003E-2</v>
      </c>
      <c r="W776">
        <v>-5.0105150000000001E-2</v>
      </c>
      <c r="X776">
        <v>0.99704729999999997</v>
      </c>
      <c r="Y776">
        <v>0.17059349999999901</v>
      </c>
      <c r="Z776">
        <v>-6.7182500000000003E-3</v>
      </c>
      <c r="AA776">
        <v>0.98531860000000004</v>
      </c>
      <c r="AB776">
        <v>40</v>
      </c>
      <c r="AC776">
        <v>15.0565</v>
      </c>
      <c r="AD776">
        <v>-1.0606947828669999</v>
      </c>
      <c r="AE776">
        <v>-2.4630000000000201</v>
      </c>
      <c r="AF776">
        <v>2.6360272610156099</v>
      </c>
      <c r="AG776">
        <v>-1.0606947828669999</v>
      </c>
      <c r="AH776">
        <v>14.9526581044538</v>
      </c>
      <c r="AI776">
        <v>93.9961679900766</v>
      </c>
      <c r="AJ776">
        <v>80.001968876804497</v>
      </c>
      <c r="AK776">
        <v>15.2202397330629</v>
      </c>
      <c r="AL776">
        <v>92.872016124819297</v>
      </c>
      <c r="AM776">
        <v>86.6598109123521</v>
      </c>
      <c r="AN776">
        <v>1.0000000243065099</v>
      </c>
    </row>
    <row r="777" spans="1:40" x14ac:dyDescent="0.25">
      <c r="A777" t="str">
        <f>"20190312151514719"</f>
        <v>20190312151514719</v>
      </c>
      <c r="B777" t="str">
        <f>"1552374914708313"</f>
        <v>1552374914708313</v>
      </c>
      <c r="C777" t="s">
        <v>40</v>
      </c>
      <c r="D777">
        <v>4.612838</v>
      </c>
      <c r="E777">
        <v>0.54247309999999904</v>
      </c>
      <c r="F777" t="s">
        <v>43</v>
      </c>
      <c r="G777">
        <v>-264.16449999999998</v>
      </c>
      <c r="H777" s="1">
        <v>-2.9878570000000001E-6</v>
      </c>
      <c r="I777">
        <v>366.78559999999999</v>
      </c>
      <c r="J777">
        <v>-279.46159999999998</v>
      </c>
      <c r="K777">
        <v>1.0613509999999999</v>
      </c>
      <c r="L777">
        <v>369.2765</v>
      </c>
      <c r="M777">
        <v>0.99981249999999999</v>
      </c>
      <c r="N777">
        <v>0</v>
      </c>
      <c r="O777">
        <v>1.2674370000000001E-2</v>
      </c>
      <c r="P777">
        <v>0.99687119999999996</v>
      </c>
      <c r="Q777">
        <v>-6.4327400000000007E-2</v>
      </c>
      <c r="R777">
        <v>-4.593854E-2</v>
      </c>
      <c r="S777">
        <v>2.9743040000000001</v>
      </c>
      <c r="T777">
        <v>-0.2032225</v>
      </c>
      <c r="U777">
        <v>-0.47674559999999999</v>
      </c>
      <c r="V777">
        <v>5.8452839999999999E-2</v>
      </c>
      <c r="W777">
        <v>-4.9875500000000003E-2</v>
      </c>
      <c r="X777">
        <v>0.99704349999999997</v>
      </c>
      <c r="Y777">
        <v>0.1703549</v>
      </c>
      <c r="Z777">
        <v>-6.6361299999999996E-3</v>
      </c>
      <c r="AA777">
        <v>0.98536040000000003</v>
      </c>
      <c r="AB777">
        <v>40</v>
      </c>
      <c r="AC777">
        <v>15.2971</v>
      </c>
      <c r="AD777">
        <v>-1.061353987857</v>
      </c>
      <c r="AE777">
        <v>-2.4909000000000101</v>
      </c>
      <c r="AF777">
        <v>2.6720707901386702</v>
      </c>
      <c r="AG777">
        <v>-1.061353987857</v>
      </c>
      <c r="AH777">
        <v>15.1930475538637</v>
      </c>
      <c r="AI777">
        <v>93.935855428656197</v>
      </c>
      <c r="AJ777">
        <v>80.025141237641407</v>
      </c>
      <c r="AK777">
        <v>15.462701205449701</v>
      </c>
      <c r="AL777">
        <v>92.858841688400503</v>
      </c>
      <c r="AM777">
        <v>86.644808434498898</v>
      </c>
      <c r="AN777">
        <v>1.00000002044828</v>
      </c>
    </row>
    <row r="778" spans="1:40" x14ac:dyDescent="0.25">
      <c r="A778" t="str">
        <f>"20190312151514731"</f>
        <v>20190312151514731</v>
      </c>
      <c r="B778" t="str">
        <f>"1552374914728810"</f>
        <v>1552374914728810</v>
      </c>
      <c r="C778" t="s">
        <v>40</v>
      </c>
      <c r="D778">
        <v>4.6377550000000003</v>
      </c>
      <c r="E778">
        <v>0.54260869999999894</v>
      </c>
      <c r="F778" t="s">
        <v>43</v>
      </c>
      <c r="G778">
        <v>-263.79129999999998</v>
      </c>
      <c r="H778" s="1">
        <v>-3.1510099999999998E-6</v>
      </c>
      <c r="I778">
        <v>366.76830000000001</v>
      </c>
      <c r="J778">
        <v>-279.21600000000001</v>
      </c>
      <c r="K778">
        <v>1.0622419999999999</v>
      </c>
      <c r="L778">
        <v>369.27940000000001</v>
      </c>
      <c r="M778">
        <v>0.99983169999999999</v>
      </c>
      <c r="N778">
        <v>0</v>
      </c>
      <c r="O778">
        <v>1.271536E-2</v>
      </c>
      <c r="P778">
        <v>0.99695900000000004</v>
      </c>
      <c r="Q778">
        <v>-6.2757300000000002E-2</v>
      </c>
      <c r="R778">
        <v>-4.6203639999999997E-2</v>
      </c>
      <c r="S778">
        <v>2.9744570000000001</v>
      </c>
      <c r="T778">
        <v>-0.20146040000000001</v>
      </c>
      <c r="U778">
        <v>-0.4760742</v>
      </c>
      <c r="V778">
        <v>5.879065E-2</v>
      </c>
      <c r="W778">
        <v>-4.9661320000000002E-2</v>
      </c>
      <c r="X778">
        <v>0.99703430000000004</v>
      </c>
      <c r="Y778">
        <v>0.17017779999999999</v>
      </c>
      <c r="Z778">
        <v>-6.5752889999999998E-3</v>
      </c>
      <c r="AA778">
        <v>0.98539140000000003</v>
      </c>
      <c r="AB778">
        <v>41</v>
      </c>
      <c r="AC778">
        <v>15.4247</v>
      </c>
      <c r="AD778">
        <v>-1.0622451510099999</v>
      </c>
      <c r="AE778">
        <v>-2.5110999999999901</v>
      </c>
      <c r="AF778">
        <v>2.69459529685526</v>
      </c>
      <c r="AG778">
        <v>-1.0622451510099999</v>
      </c>
      <c r="AH778">
        <v>15.320736399072199</v>
      </c>
      <c r="AI778">
        <v>93.906418541538997</v>
      </c>
      <c r="AJ778">
        <v>80.0248971573902</v>
      </c>
      <c r="AK778">
        <v>15.592118919009501</v>
      </c>
      <c r="AL778">
        <v>92.846554935568193</v>
      </c>
      <c r="AM778">
        <v>86.625431764473603</v>
      </c>
      <c r="AN778">
        <v>0.99999999130402695</v>
      </c>
    </row>
    <row r="779" spans="1:40" x14ac:dyDescent="0.25">
      <c r="A779" t="str">
        <f>"20190312151514745"</f>
        <v>20190312151514745</v>
      </c>
      <c r="B779" t="str">
        <f>"1552374914738569"</f>
        <v>1552374914738569</v>
      </c>
      <c r="C779" t="s">
        <v>40</v>
      </c>
      <c r="D779">
        <v>4.6046519999999997</v>
      </c>
      <c r="E779">
        <v>0.54261599999999999</v>
      </c>
      <c r="F779" t="s">
        <v>43</v>
      </c>
      <c r="G779">
        <v>-263.30399999999997</v>
      </c>
      <c r="H779" s="1">
        <v>-3.3682339999999999E-6</v>
      </c>
      <c r="I779">
        <v>366.72230000000002</v>
      </c>
      <c r="J779">
        <v>-278.98169999999999</v>
      </c>
      <c r="K779">
        <v>1.0632029999999999</v>
      </c>
      <c r="L779">
        <v>369.2824</v>
      </c>
      <c r="M779">
        <v>0.99985049999999998</v>
      </c>
      <c r="N779">
        <v>0</v>
      </c>
      <c r="O779">
        <v>1.2461089999999999E-2</v>
      </c>
      <c r="P779">
        <v>0.9970329</v>
      </c>
      <c r="Q779">
        <v>-6.0840110000000003E-2</v>
      </c>
      <c r="R779">
        <v>-4.7160819999999999E-2</v>
      </c>
      <c r="S779">
        <v>2.9744570000000001</v>
      </c>
      <c r="T779">
        <v>-0.1985661</v>
      </c>
      <c r="U779">
        <v>-0.4779968</v>
      </c>
      <c r="V779">
        <v>5.9519530000000001E-2</v>
      </c>
      <c r="W779">
        <v>-4.8960959999999998E-2</v>
      </c>
      <c r="X779">
        <v>0.99702570000000001</v>
      </c>
      <c r="Y779">
        <v>0.1705594</v>
      </c>
      <c r="Z779">
        <v>-6.4764769999999996E-3</v>
      </c>
      <c r="AA779">
        <v>0.98532609999999998</v>
      </c>
      <c r="AB779">
        <v>41</v>
      </c>
      <c r="AC779">
        <v>15.6776999999999</v>
      </c>
      <c r="AD779">
        <v>-1.0632063682340001</v>
      </c>
      <c r="AE779">
        <v>-2.5600999999999701</v>
      </c>
      <c r="AF779">
        <v>2.7429889111625299</v>
      </c>
      <c r="AG779">
        <v>-1.0632063682340001</v>
      </c>
      <c r="AH779">
        <v>15.574809364572999</v>
      </c>
      <c r="AI779">
        <v>93.846196509236805</v>
      </c>
      <c r="AJ779">
        <v>80.011667897554602</v>
      </c>
      <c r="AK779">
        <v>15.850207654507299</v>
      </c>
      <c r="AL779">
        <v>92.806378366571295</v>
      </c>
      <c r="AM779">
        <v>86.583663327870198</v>
      </c>
      <c r="AN779">
        <v>0.999999998258016</v>
      </c>
    </row>
    <row r="780" spans="1:40" x14ac:dyDescent="0.25">
      <c r="A780" t="str">
        <f>"20190312151514756"</f>
        <v>20190312151514756</v>
      </c>
      <c r="B780" t="str">
        <f>"1552374914748329"</f>
        <v>1552374914748329</v>
      </c>
      <c r="C780" t="s">
        <v>40</v>
      </c>
      <c r="D780">
        <v>4.5318069999999997</v>
      </c>
      <c r="E780">
        <v>0.54271369999999997</v>
      </c>
      <c r="F780" t="s">
        <v>43</v>
      </c>
      <c r="G780">
        <v>-262.80599999999998</v>
      </c>
      <c r="H780" s="1">
        <v>-3.5915319999999999E-6</v>
      </c>
      <c r="I780">
        <v>366.6678</v>
      </c>
      <c r="J780">
        <v>-278.779</v>
      </c>
      <c r="K780">
        <v>1.064044</v>
      </c>
      <c r="L780">
        <v>369.28500000000003</v>
      </c>
      <c r="M780">
        <v>0.99986549999999996</v>
      </c>
      <c r="N780">
        <v>0</v>
      </c>
      <c r="O780">
        <v>1.220826E-2</v>
      </c>
      <c r="P780">
        <v>0.99708399999999997</v>
      </c>
      <c r="Q780">
        <v>-5.9537769999999997E-2</v>
      </c>
      <c r="R780">
        <v>-4.7734930000000002E-2</v>
      </c>
      <c r="S780">
        <v>2.9742739999999999</v>
      </c>
      <c r="T780">
        <v>-0.19549469999999999</v>
      </c>
      <c r="U780">
        <v>-0.48074339999999999</v>
      </c>
      <c r="V780">
        <v>5.9859389999999998E-2</v>
      </c>
      <c r="W780">
        <v>-4.8679350000000003E-2</v>
      </c>
      <c r="X780">
        <v>0.99701919999999999</v>
      </c>
      <c r="Y780">
        <v>0.171217799999999</v>
      </c>
      <c r="Z780">
        <v>-6.3813990000000003E-3</v>
      </c>
      <c r="AA780">
        <v>0.98521259999999999</v>
      </c>
      <c r="AB780">
        <v>41</v>
      </c>
      <c r="AC780">
        <v>15.973000000000001</v>
      </c>
      <c r="AD780">
        <v>-1.064047591532</v>
      </c>
      <c r="AE780">
        <v>-2.61720000000002</v>
      </c>
      <c r="AF780">
        <v>2.7999190722330498</v>
      </c>
      <c r="AG780">
        <v>-1.064047591532</v>
      </c>
      <c r="AH780">
        <v>15.871267057674199</v>
      </c>
      <c r="AI780">
        <v>93.777349863464394</v>
      </c>
      <c r="AJ780">
        <v>79.995145790171193</v>
      </c>
      <c r="AK780">
        <v>16.1514352954811</v>
      </c>
      <c r="AL780">
        <v>92.790223879719804</v>
      </c>
      <c r="AM780">
        <v>86.564180098823599</v>
      </c>
      <c r="AN780">
        <v>1.0000000554281101</v>
      </c>
    </row>
    <row r="781" spans="1:40" x14ac:dyDescent="0.25">
      <c r="A781" t="str">
        <f>"20190312151514766"</f>
        <v>20190312151514766</v>
      </c>
      <c r="B781" t="str">
        <f>"1552374914758089"</f>
        <v>1552374914758089</v>
      </c>
      <c r="C781" t="s">
        <v>40</v>
      </c>
      <c r="D781">
        <v>4.4972279999999998</v>
      </c>
      <c r="E781">
        <v>0.54278990000000005</v>
      </c>
      <c r="F781" t="s">
        <v>43</v>
      </c>
      <c r="G781">
        <v>-262.23129999999998</v>
      </c>
      <c r="H781" s="1">
        <v>-3.8508700000000003E-6</v>
      </c>
      <c r="I781">
        <v>366.5958</v>
      </c>
      <c r="J781">
        <v>-278.57780000000002</v>
      </c>
      <c r="K781">
        <v>1.0648959999999901</v>
      </c>
      <c r="L781">
        <v>369.2876</v>
      </c>
      <c r="M781">
        <v>0.99987919999999997</v>
      </c>
      <c r="N781">
        <v>0</v>
      </c>
      <c r="O781">
        <v>1.1916879999999999E-2</v>
      </c>
      <c r="P781">
        <v>0.99712120000000004</v>
      </c>
      <c r="Q781">
        <v>-5.83206E-2</v>
      </c>
      <c r="R781">
        <v>-4.846056E-2</v>
      </c>
      <c r="S781">
        <v>2.9742130000000002</v>
      </c>
      <c r="T781">
        <v>-0.19124630000000001</v>
      </c>
      <c r="U781">
        <v>-0.48333739999999997</v>
      </c>
      <c r="V781">
        <v>6.0305169999999998E-2</v>
      </c>
      <c r="W781">
        <v>-4.8413949999999997E-2</v>
      </c>
      <c r="X781">
        <v>0.99700520000000004</v>
      </c>
      <c r="Y781">
        <v>0.171787</v>
      </c>
      <c r="Z781">
        <v>-6.242254E-3</v>
      </c>
      <c r="AA781">
        <v>0.9851143</v>
      </c>
      <c r="AB781">
        <v>41</v>
      </c>
      <c r="AC781">
        <v>16.346499999999999</v>
      </c>
      <c r="AD781">
        <v>-1.0648998508699901</v>
      </c>
      <c r="AE781">
        <v>-2.6918000000000002</v>
      </c>
      <c r="AF781">
        <v>2.8745405478125101</v>
      </c>
      <c r="AG781">
        <v>-1.0648998508699901</v>
      </c>
      <c r="AH781">
        <v>16.246132540323298</v>
      </c>
      <c r="AI781">
        <v>93.693052437980697</v>
      </c>
      <c r="AJ781">
        <v>79.966110732816603</v>
      </c>
      <c r="AK781">
        <v>16.532810334941601</v>
      </c>
      <c r="AL781">
        <v>92.7749997937496</v>
      </c>
      <c r="AM781">
        <v>86.538606633176897</v>
      </c>
      <c r="AN781">
        <v>0.999999996455185</v>
      </c>
    </row>
    <row r="782" spans="1:40" x14ac:dyDescent="0.25">
      <c r="A782" t="str">
        <f>"20190312151514780"</f>
        <v>20190312151514780</v>
      </c>
      <c r="B782" t="str">
        <f>"1552374914768826"</f>
        <v>1552374914768826</v>
      </c>
      <c r="C782" t="s">
        <v>40</v>
      </c>
      <c r="D782">
        <v>4.5256220000000003</v>
      </c>
      <c r="E782">
        <v>0.54284189999999999</v>
      </c>
      <c r="F782" t="s">
        <v>43</v>
      </c>
      <c r="G782">
        <v>-261.66680000000002</v>
      </c>
      <c r="H782" s="1">
        <v>-4.1060229999999997E-6</v>
      </c>
      <c r="I782">
        <v>366.52260000000001</v>
      </c>
      <c r="J782">
        <v>-278.36070000000001</v>
      </c>
      <c r="K782">
        <v>1.065869</v>
      </c>
      <c r="L782">
        <v>369.29039999999998</v>
      </c>
      <c r="M782">
        <v>0.99989059999999996</v>
      </c>
      <c r="N782">
        <v>0</v>
      </c>
      <c r="O782">
        <v>1.1595980000000001E-2</v>
      </c>
      <c r="P782">
        <v>0.99714460000000005</v>
      </c>
      <c r="Q782">
        <v>-5.7436849999999998E-2</v>
      </c>
      <c r="R782">
        <v>-4.9031239999999997E-2</v>
      </c>
      <c r="S782">
        <v>2.9740600000000001</v>
      </c>
      <c r="T782">
        <v>-0.18727859999999999</v>
      </c>
      <c r="U782">
        <v>-0.48626710000000001</v>
      </c>
      <c r="V782">
        <v>6.056359E-2</v>
      </c>
      <c r="W782">
        <v>-4.8306870000000002E-2</v>
      </c>
      <c r="X782">
        <v>0.99699470000000001</v>
      </c>
      <c r="Y782">
        <v>0.1724386</v>
      </c>
      <c r="Z782">
        <v>-6.113126E-3</v>
      </c>
      <c r="AA782">
        <v>0.98500129999999997</v>
      </c>
      <c r="AB782">
        <v>41</v>
      </c>
      <c r="AC782">
        <v>16.6938999999999</v>
      </c>
      <c r="AD782">
        <v>-1.065873106023</v>
      </c>
      <c r="AE782">
        <v>-2.7677999999999598</v>
      </c>
      <c r="AF782">
        <v>2.94950199482152</v>
      </c>
      <c r="AG782">
        <v>-1.065873106023</v>
      </c>
      <c r="AH782">
        <v>16.594840529440798</v>
      </c>
      <c r="AI782">
        <v>93.618458074619497</v>
      </c>
      <c r="AJ782">
        <v>79.921717637299693</v>
      </c>
      <c r="AK782">
        <v>16.8885872616145</v>
      </c>
      <c r="AL782">
        <v>92.768857456411197</v>
      </c>
      <c r="AM782">
        <v>86.523773628903399</v>
      </c>
      <c r="AN782">
        <v>0.99999996697548699</v>
      </c>
    </row>
    <row r="783" spans="1:40" x14ac:dyDescent="0.25">
      <c r="A783" t="str">
        <f>"20190312151514791"</f>
        <v>20190312151514791</v>
      </c>
      <c r="B783" t="str">
        <f>"1552374914788345"</f>
        <v>1552374914788345</v>
      </c>
      <c r="C783" t="s">
        <v>40</v>
      </c>
      <c r="D783">
        <v>4.5631559999999904</v>
      </c>
      <c r="E783">
        <v>0.54286840000000003</v>
      </c>
      <c r="F783" t="s">
        <v>43</v>
      </c>
      <c r="G783">
        <v>-261.15899999999999</v>
      </c>
      <c r="H783" s="1">
        <v>-4.3338239999999997E-6</v>
      </c>
      <c r="I783">
        <v>366.46629999999999</v>
      </c>
      <c r="J783">
        <v>-278.15159999999997</v>
      </c>
      <c r="K783">
        <v>1.066856</v>
      </c>
      <c r="L783">
        <v>369.29320000000001</v>
      </c>
      <c r="M783">
        <v>0.99989899999999998</v>
      </c>
      <c r="N783">
        <v>0</v>
      </c>
      <c r="O783">
        <v>1.128154E-2</v>
      </c>
      <c r="P783">
        <v>0.99714860000000005</v>
      </c>
      <c r="Q783">
        <v>-5.6943500000000001E-2</v>
      </c>
      <c r="R783">
        <v>-4.9522169999999997E-2</v>
      </c>
      <c r="S783">
        <v>2.973938</v>
      </c>
      <c r="T783">
        <v>-0.1842752</v>
      </c>
      <c r="U783">
        <v>-0.48825069999999998</v>
      </c>
      <c r="V783">
        <v>6.0746040000000001E-2</v>
      </c>
      <c r="W783">
        <v>-4.8355269999999999E-2</v>
      </c>
      <c r="X783">
        <v>0.99698129999999996</v>
      </c>
      <c r="Y783">
        <v>0.17278640000000001</v>
      </c>
      <c r="Z783">
        <v>-6.0065379999999996E-3</v>
      </c>
      <c r="AA783">
        <v>0.98494099999999996</v>
      </c>
      <c r="AB783">
        <v>41</v>
      </c>
      <c r="AC783">
        <v>16.9925999999999</v>
      </c>
      <c r="AD783">
        <v>-1.0668603338239999</v>
      </c>
      <c r="AE783">
        <v>-2.8269000000000202</v>
      </c>
      <c r="AF783">
        <v>3.00689653362081</v>
      </c>
      <c r="AG783">
        <v>-1.0668603338239999</v>
      </c>
      <c r="AH783">
        <v>16.894822879139301</v>
      </c>
      <c r="AI783">
        <v>93.557511422862802</v>
      </c>
      <c r="AJ783">
        <v>79.9083156712706</v>
      </c>
      <c r="AK783">
        <v>17.193448108313699</v>
      </c>
      <c r="AL783">
        <v>92.771633689018103</v>
      </c>
      <c r="AM783">
        <v>86.513280420390103</v>
      </c>
      <c r="AN783">
        <v>1.00000001303107</v>
      </c>
    </row>
    <row r="784" spans="1:40" x14ac:dyDescent="0.25">
      <c r="A784" t="str">
        <f>"20190312151514802"</f>
        <v>20190312151514802</v>
      </c>
      <c r="B784" t="str">
        <f>"1552374914798106"</f>
        <v>1552374914798106</v>
      </c>
      <c r="C784" t="s">
        <v>40</v>
      </c>
      <c r="D784">
        <v>4.641667</v>
      </c>
      <c r="E784">
        <v>0.54285109999999903</v>
      </c>
      <c r="F784" t="s">
        <v>43</v>
      </c>
      <c r="G784">
        <v>-260.92720000000003</v>
      </c>
      <c r="H784" s="1">
        <v>-4.43511E-6</v>
      </c>
      <c r="I784">
        <v>366.45589999999999</v>
      </c>
      <c r="J784">
        <v>-277.95389999999998</v>
      </c>
      <c r="K784">
        <v>1.067987</v>
      </c>
      <c r="L784">
        <v>369.29570000000001</v>
      </c>
      <c r="M784">
        <v>0.99990290000000004</v>
      </c>
      <c r="N784">
        <v>0</v>
      </c>
      <c r="O784">
        <v>1.103556E-2</v>
      </c>
      <c r="P784">
        <v>0.99713589999999996</v>
      </c>
      <c r="Q784">
        <v>-5.6775949999999999E-2</v>
      </c>
      <c r="R784">
        <v>-4.9968529999999997E-2</v>
      </c>
      <c r="S784">
        <v>2.9737550000000001</v>
      </c>
      <c r="T784">
        <v>-0.1841912</v>
      </c>
      <c r="U784">
        <v>-0.48983759999999998</v>
      </c>
      <c r="V784">
        <v>6.0947080000000001E-2</v>
      </c>
      <c r="W784">
        <v>-4.831593E-2</v>
      </c>
      <c r="X784">
        <v>0.99697100000000005</v>
      </c>
      <c r="Y784">
        <v>0.17306569999999999</v>
      </c>
      <c r="Z784">
        <v>-5.9973739999999998E-3</v>
      </c>
      <c r="AA784">
        <v>0.98489199999999999</v>
      </c>
      <c r="AB784">
        <v>41</v>
      </c>
      <c r="AC784">
        <v>17.026699999999899</v>
      </c>
      <c r="AD784">
        <v>-1.0679914351099999</v>
      </c>
      <c r="AE784">
        <v>-2.8398000000000199</v>
      </c>
      <c r="AF784">
        <v>3.0159881841029601</v>
      </c>
      <c r="AG784">
        <v>-1.0679914351099999</v>
      </c>
      <c r="AH784">
        <v>16.929518970566701</v>
      </c>
      <c r="AI784">
        <v>93.553888146632801</v>
      </c>
      <c r="AJ784">
        <v>79.898748394681803</v>
      </c>
      <c r="AK784">
        <v>17.229202042082399</v>
      </c>
      <c r="AL784">
        <v>92.769376862963099</v>
      </c>
      <c r="AM784">
        <v>86.501733623248796</v>
      </c>
      <c r="AN784">
        <v>1.00000007524664</v>
      </c>
    </row>
    <row r="785" spans="1:40" x14ac:dyDescent="0.25">
      <c r="A785" t="str">
        <f>"20190312151514814"</f>
        <v>20190312151514814</v>
      </c>
      <c r="B785" t="str">
        <f>"1552374914808841"</f>
        <v>1552374914808841</v>
      </c>
      <c r="C785" t="s">
        <v>40</v>
      </c>
      <c r="D785">
        <v>4.5655060000000001</v>
      </c>
      <c r="E785">
        <v>0.5429176</v>
      </c>
      <c r="F785" t="s">
        <v>43</v>
      </c>
      <c r="G785">
        <v>-260.79930000000002</v>
      </c>
      <c r="H785" s="1">
        <v>-4.4887669999999998E-6</v>
      </c>
      <c r="I785">
        <v>366.46269999999998</v>
      </c>
      <c r="J785">
        <v>-277.72539999999998</v>
      </c>
      <c r="K785">
        <v>1.069372</v>
      </c>
      <c r="L785">
        <v>369.2987</v>
      </c>
      <c r="M785">
        <v>0.99990590000000001</v>
      </c>
      <c r="N785">
        <v>0</v>
      </c>
      <c r="O785">
        <v>1.0792309999999999E-2</v>
      </c>
      <c r="P785">
        <v>0.99711700000000003</v>
      </c>
      <c r="Q785">
        <v>-5.6706079999999999E-2</v>
      </c>
      <c r="R785">
        <v>-5.0424320000000002E-2</v>
      </c>
      <c r="S785">
        <v>2.9734799999999999</v>
      </c>
      <c r="T785">
        <v>-0.18511920000000001</v>
      </c>
      <c r="U785">
        <v>-0.4910583</v>
      </c>
      <c r="V785">
        <v>6.115831E-2</v>
      </c>
      <c r="W785">
        <v>-4.8283939999999997E-2</v>
      </c>
      <c r="X785">
        <v>0.99695959999999995</v>
      </c>
      <c r="Y785">
        <v>0.173231</v>
      </c>
      <c r="Z785">
        <v>-6.0179489999999999E-3</v>
      </c>
      <c r="AA785">
        <v>0.98486289999999999</v>
      </c>
      <c r="AB785">
        <v>40</v>
      </c>
      <c r="AC785">
        <v>16.926099999999899</v>
      </c>
      <c r="AD785">
        <v>-1.0693764887670001</v>
      </c>
      <c r="AE785">
        <v>-2.8360000000000101</v>
      </c>
      <c r="AF785">
        <v>3.0068387244785502</v>
      </c>
      <c r="AG785">
        <v>-1.0693764887670001</v>
      </c>
      <c r="AH785">
        <v>16.829165082386599</v>
      </c>
      <c r="AI785">
        <v>93.579329667764299</v>
      </c>
      <c r="AJ785">
        <v>79.869948280130103</v>
      </c>
      <c r="AK785">
        <v>17.129081778074699</v>
      </c>
      <c r="AL785">
        <v>92.767541869173698</v>
      </c>
      <c r="AM785">
        <v>86.489599579806395</v>
      </c>
      <c r="AN785">
        <v>1.0000000608880599</v>
      </c>
    </row>
    <row r="786" spans="1:40" x14ac:dyDescent="0.25">
      <c r="A786" t="str">
        <f>"20190312151514825"</f>
        <v>20190312151514825</v>
      </c>
      <c r="B786" t="str">
        <f>"1552374914818601"</f>
        <v>1552374914818601</v>
      </c>
      <c r="C786" t="s">
        <v>40</v>
      </c>
      <c r="D786">
        <v>4.556146</v>
      </c>
      <c r="E786">
        <v>0.54297200000000001</v>
      </c>
      <c r="F786" t="s">
        <v>43</v>
      </c>
      <c r="G786">
        <v>-260.53230000000002</v>
      </c>
      <c r="H786" s="1">
        <v>-4.6060660000000002E-6</v>
      </c>
      <c r="I786">
        <v>366.44720000000001</v>
      </c>
      <c r="J786">
        <v>-277.53100000000001</v>
      </c>
      <c r="K786">
        <v>1.0706709999999999</v>
      </c>
      <c r="L786">
        <v>369.30110000000002</v>
      </c>
      <c r="M786">
        <v>0.99990610000000002</v>
      </c>
      <c r="N786">
        <v>0</v>
      </c>
      <c r="O786">
        <v>1.0722850000000001E-2</v>
      </c>
      <c r="P786">
        <v>0.99710860000000001</v>
      </c>
      <c r="Q786">
        <v>-5.6678369999999999E-2</v>
      </c>
      <c r="R786">
        <v>-5.0619209999999998E-2</v>
      </c>
      <c r="S786">
        <v>2.9732669999999999</v>
      </c>
      <c r="T786">
        <v>-0.18493100000000001</v>
      </c>
      <c r="U786">
        <v>-0.49310300000000001</v>
      </c>
      <c r="V786">
        <v>6.1277930000000001E-2</v>
      </c>
      <c r="W786">
        <v>-4.8199840000000001E-2</v>
      </c>
      <c r="X786">
        <v>0.99695630000000002</v>
      </c>
      <c r="Y786">
        <v>0.17383289999999901</v>
      </c>
      <c r="Z786">
        <v>-6.0262240000000002E-3</v>
      </c>
      <c r="AA786">
        <v>0.98475670000000004</v>
      </c>
      <c r="AB786">
        <v>40</v>
      </c>
      <c r="AC786">
        <v>16.9986999999999</v>
      </c>
      <c r="AD786">
        <v>-1.0706756060660001</v>
      </c>
      <c r="AE786">
        <v>-2.8538999999999999</v>
      </c>
      <c r="AF786">
        <v>3.0243477789069702</v>
      </c>
      <c r="AG786">
        <v>-1.0706756060660001</v>
      </c>
      <c r="AH786">
        <v>16.9019045172777</v>
      </c>
      <c r="AI786">
        <v>93.568119180743295</v>
      </c>
      <c r="AJ786">
        <v>79.855124190588796</v>
      </c>
      <c r="AK786">
        <v>17.203703149391298</v>
      </c>
      <c r="AL786">
        <v>92.762717744406501</v>
      </c>
      <c r="AM786">
        <v>86.482739167683107</v>
      </c>
      <c r="AN786">
        <v>1.0000000366953901</v>
      </c>
    </row>
    <row r="787" spans="1:40" x14ac:dyDescent="0.25">
      <c r="A787" t="str">
        <f>"20190312151514837"</f>
        <v>20190312151514837</v>
      </c>
      <c r="B787" t="str">
        <f>"1552374914828361"</f>
        <v>1552374914828361</v>
      </c>
      <c r="C787" t="s">
        <v>40</v>
      </c>
      <c r="D787">
        <v>4.5326950000000004</v>
      </c>
      <c r="E787">
        <v>0.54303919999999894</v>
      </c>
      <c r="F787" t="s">
        <v>43</v>
      </c>
      <c r="G787">
        <v>-260.2826</v>
      </c>
      <c r="H787" s="1">
        <v>-4.7152110000000003E-6</v>
      </c>
      <c r="I787">
        <v>366.4359</v>
      </c>
      <c r="J787">
        <v>-277.33839999999998</v>
      </c>
      <c r="K787">
        <v>1.0719890000000001</v>
      </c>
      <c r="L787">
        <v>369.30340000000001</v>
      </c>
      <c r="M787">
        <v>0.99990630000000003</v>
      </c>
      <c r="N787">
        <v>0</v>
      </c>
      <c r="O787">
        <v>1.068616E-2</v>
      </c>
      <c r="P787">
        <v>0.99709939999999997</v>
      </c>
      <c r="Q787">
        <v>-5.6653660000000002E-2</v>
      </c>
      <c r="R787">
        <v>-5.0826540000000003E-2</v>
      </c>
      <c r="S787">
        <v>2.9731450000000001</v>
      </c>
      <c r="T787">
        <v>-0.1845533</v>
      </c>
      <c r="U787">
        <v>-0.49386600000000003</v>
      </c>
      <c r="V787">
        <v>6.1442700000000003E-2</v>
      </c>
      <c r="W787">
        <v>-4.8170770000000002E-2</v>
      </c>
      <c r="X787">
        <v>0.99694749999999999</v>
      </c>
      <c r="Y787">
        <v>0.17405029999999999</v>
      </c>
      <c r="Z787">
        <v>-6.0184879999999998E-3</v>
      </c>
      <c r="AA787">
        <v>0.98471839999999999</v>
      </c>
      <c r="AB787">
        <v>40</v>
      </c>
      <c r="AC787">
        <v>17.055799999999898</v>
      </c>
      <c r="AD787">
        <v>-1.071993715211</v>
      </c>
      <c r="AE787">
        <v>-2.8675000000000002</v>
      </c>
      <c r="AF787">
        <v>3.0379328031358699</v>
      </c>
      <c r="AG787">
        <v>-1.071993715211</v>
      </c>
      <c r="AH787">
        <v>16.959029166077102</v>
      </c>
      <c r="AI787">
        <v>93.5603757727865</v>
      </c>
      <c r="AJ787">
        <v>79.844113897680401</v>
      </c>
      <c r="AK787">
        <v>17.262296385408099</v>
      </c>
      <c r="AL787">
        <v>92.761050394878396</v>
      </c>
      <c r="AM787">
        <v>86.473274404554601</v>
      </c>
      <c r="AN787">
        <v>0.999999973110966</v>
      </c>
    </row>
    <row r="788" spans="1:40" x14ac:dyDescent="0.25">
      <c r="A788" t="str">
        <f>"20190312151514847"</f>
        <v>20190312151514847</v>
      </c>
      <c r="B788" t="str">
        <f>"1552374914838122"</f>
        <v>1552374914838122</v>
      </c>
      <c r="C788" t="s">
        <v>40</v>
      </c>
      <c r="D788">
        <v>4.5266129999999896</v>
      </c>
      <c r="E788">
        <v>0.54312569999999905</v>
      </c>
      <c r="F788" t="s">
        <v>43</v>
      </c>
      <c r="G788">
        <v>-260.03570000000002</v>
      </c>
      <c r="H788" s="1">
        <v>-4.8234890000000004E-6</v>
      </c>
      <c r="I788">
        <v>366.42250000000001</v>
      </c>
      <c r="J788">
        <v>-277.1311</v>
      </c>
      <c r="K788">
        <v>1.0734490000000001</v>
      </c>
      <c r="L788">
        <v>369.30579999999998</v>
      </c>
      <c r="M788">
        <v>0.99990679999999998</v>
      </c>
      <c r="N788">
        <v>0</v>
      </c>
      <c r="O788">
        <v>1.071397E-2</v>
      </c>
      <c r="P788">
        <v>0.99711260000000002</v>
      </c>
      <c r="Q788">
        <v>-5.6334009999999997E-2</v>
      </c>
      <c r="R788">
        <v>-5.0922240000000001E-2</v>
      </c>
      <c r="S788">
        <v>2.9730219999999998</v>
      </c>
      <c r="T788">
        <v>-0.184194</v>
      </c>
      <c r="U788">
        <v>-0.49499510000000002</v>
      </c>
      <c r="V788">
        <v>6.1559950000000002E-2</v>
      </c>
      <c r="W788">
        <v>-4.7954089999999998E-2</v>
      </c>
      <c r="X788">
        <v>0.99695069999999997</v>
      </c>
      <c r="Y788">
        <v>0.17444860000000001</v>
      </c>
      <c r="Z788">
        <v>-6.0208060000000001E-3</v>
      </c>
      <c r="AA788">
        <v>0.98464790000000002</v>
      </c>
      <c r="AB788">
        <v>40</v>
      </c>
      <c r="AC788">
        <v>17.095399999999898</v>
      </c>
      <c r="AD788">
        <v>-1.0734538234890001</v>
      </c>
      <c r="AE788">
        <v>-2.8832999999999598</v>
      </c>
      <c r="AF788">
        <v>3.0545900446897698</v>
      </c>
      <c r="AG788">
        <v>-1.0734538234890001</v>
      </c>
      <c r="AH788">
        <v>16.998358128935301</v>
      </c>
      <c r="AI788">
        <v>93.556636374481599</v>
      </c>
      <c r="AJ788">
        <v>79.812725133366598</v>
      </c>
      <c r="AK788">
        <v>17.303959157713599</v>
      </c>
      <c r="AL788">
        <v>92.748621216473893</v>
      </c>
      <c r="AM788">
        <v>86.466572764882301</v>
      </c>
      <c r="AN788">
        <v>0.99999996021110904</v>
      </c>
    </row>
    <row r="789" spans="1:40" x14ac:dyDescent="0.25">
      <c r="A789" t="str">
        <f>"20190312151514861"</f>
        <v>20190312151514861</v>
      </c>
      <c r="B789" t="str">
        <f>"1552374914847882"</f>
        <v>1552374914847882</v>
      </c>
      <c r="C789" t="s">
        <v>40</v>
      </c>
      <c r="D789">
        <v>4.6092919999999999</v>
      </c>
      <c r="E789">
        <v>0.54311350000000003</v>
      </c>
      <c r="F789" t="s">
        <v>43</v>
      </c>
      <c r="G789">
        <v>-259.7038</v>
      </c>
      <c r="H789" s="1">
        <v>-9.4300590000000003E-7</v>
      </c>
      <c r="I789">
        <v>366.39870000000002</v>
      </c>
      <c r="J789">
        <v>-276.91239999999999</v>
      </c>
      <c r="K789">
        <v>1.075045</v>
      </c>
      <c r="L789">
        <v>369.30829999999997</v>
      </c>
      <c r="M789">
        <v>0.9999074</v>
      </c>
      <c r="N789">
        <v>0</v>
      </c>
      <c r="O789">
        <v>1.076359E-2</v>
      </c>
      <c r="P789">
        <v>0.99712129999999999</v>
      </c>
      <c r="Q789">
        <v>-5.6116989999999999E-2</v>
      </c>
      <c r="R789">
        <v>-5.0989520000000003E-2</v>
      </c>
      <c r="S789">
        <v>2.9730530000000002</v>
      </c>
      <c r="T789">
        <v>-0.18312690000000001</v>
      </c>
      <c r="U789">
        <v>-0.49594120000000003</v>
      </c>
      <c r="V789">
        <v>6.1671570000000002E-2</v>
      </c>
      <c r="W789">
        <v>-4.7880489999999998E-2</v>
      </c>
      <c r="X789">
        <v>0.99694740000000004</v>
      </c>
      <c r="Y789">
        <v>0.17480390000000001</v>
      </c>
      <c r="Z789">
        <v>-5.9996679999999997E-3</v>
      </c>
      <c r="AA789">
        <v>0.98458500000000004</v>
      </c>
      <c r="AB789">
        <v>40</v>
      </c>
      <c r="AC789">
        <v>17.208599999999901</v>
      </c>
      <c r="AD789">
        <v>-1.0750459430059001</v>
      </c>
      <c r="AE789">
        <v>-2.90959999999995</v>
      </c>
      <c r="AF789">
        <v>3.0829667409288</v>
      </c>
      <c r="AG789">
        <v>-1.0750459430059001</v>
      </c>
      <c r="AH789">
        <v>17.111360074104699</v>
      </c>
      <c r="AI789">
        <v>93.538145294524796</v>
      </c>
      <c r="AJ789">
        <v>79.786549807617902</v>
      </c>
      <c r="AK789">
        <v>17.420076098884</v>
      </c>
      <c r="AL789">
        <v>92.744399230077903</v>
      </c>
      <c r="AM789">
        <v>86.460170571811503</v>
      </c>
      <c r="AN789">
        <v>1.0000000211178299</v>
      </c>
    </row>
    <row r="790" spans="1:40" x14ac:dyDescent="0.25">
      <c r="A790" t="str">
        <f>"20190312151514870"</f>
        <v>20190312151514870</v>
      </c>
      <c r="B790" t="str">
        <f>"1552374914867907"</f>
        <v>1552374914867907</v>
      </c>
      <c r="C790" t="s">
        <v>40</v>
      </c>
      <c r="D790">
        <v>4.9790150000000004</v>
      </c>
      <c r="E790">
        <v>0.54310099999999994</v>
      </c>
      <c r="F790" t="s">
        <v>43</v>
      </c>
      <c r="G790">
        <v>-259.53750000000002</v>
      </c>
      <c r="H790" s="1">
        <v>-9.9701730000000002E-7</v>
      </c>
      <c r="I790">
        <v>366.4083</v>
      </c>
      <c r="J790">
        <v>-276.71910000000003</v>
      </c>
      <c r="K790">
        <v>1.0764830000000001</v>
      </c>
      <c r="L790">
        <v>369.31040000000002</v>
      </c>
      <c r="M790">
        <v>0.99990809999999997</v>
      </c>
      <c r="N790">
        <v>0</v>
      </c>
      <c r="O790">
        <v>1.081877E-2</v>
      </c>
      <c r="P790">
        <v>0.99711539999999999</v>
      </c>
      <c r="Q790">
        <v>-5.601855E-2</v>
      </c>
      <c r="R790">
        <v>-5.1215579999999997E-2</v>
      </c>
      <c r="S790">
        <v>2.972931</v>
      </c>
      <c r="T790">
        <v>-0.18394479999999999</v>
      </c>
      <c r="U790">
        <v>-0.4961853</v>
      </c>
      <c r="V790">
        <v>6.1949039999999997E-2</v>
      </c>
      <c r="W790">
        <v>-4.7928709999999999E-2</v>
      </c>
      <c r="X790">
        <v>0.99692789999999998</v>
      </c>
      <c r="Y790">
        <v>0.17494000000000001</v>
      </c>
      <c r="Z790">
        <v>-6.0341819999999999E-3</v>
      </c>
      <c r="AA790">
        <v>0.98456060000000001</v>
      </c>
      <c r="AB790">
        <v>40</v>
      </c>
      <c r="AC790">
        <v>17.1816</v>
      </c>
      <c r="AD790">
        <v>-1.0764839970172999</v>
      </c>
      <c r="AE790">
        <v>-2.9021000000000101</v>
      </c>
      <c r="AF790">
        <v>3.0760801093627701</v>
      </c>
      <c r="AG790">
        <v>-1.0764839970172999</v>
      </c>
      <c r="AH790">
        <v>17.0839942462149</v>
      </c>
      <c r="AI790">
        <v>93.548597426294805</v>
      </c>
      <c r="AJ790">
        <v>79.792904012334503</v>
      </c>
      <c r="AK790">
        <v>17.392065605894999</v>
      </c>
      <c r="AL790">
        <v>92.747165152600999</v>
      </c>
      <c r="AM790">
        <v>86.444215724813006</v>
      </c>
      <c r="AN790">
        <v>1.0000000412987899</v>
      </c>
    </row>
    <row r="791" spans="1:40" x14ac:dyDescent="0.25">
      <c r="A791" t="str">
        <f>"20190312151514883"</f>
        <v>20190312151514883</v>
      </c>
      <c r="B791" t="str">
        <f>"1552374914878644"</f>
        <v>1552374914878644</v>
      </c>
      <c r="C791" t="s">
        <v>40</v>
      </c>
      <c r="D791">
        <v>4.9777399999999998</v>
      </c>
      <c r="E791">
        <v>0.55903119999999995</v>
      </c>
      <c r="F791" t="s">
        <v>43</v>
      </c>
      <c r="G791">
        <v>-259.39409999999998</v>
      </c>
      <c r="H791" s="1">
        <v>-1.044265E-6</v>
      </c>
      <c r="I791">
        <v>366.41419999999999</v>
      </c>
      <c r="J791">
        <v>-276.49790000000002</v>
      </c>
      <c r="K791">
        <v>1.078198</v>
      </c>
      <c r="L791">
        <v>369.31270000000001</v>
      </c>
      <c r="M791">
        <v>0.99990829999999997</v>
      </c>
      <c r="N791">
        <v>0</v>
      </c>
      <c r="O791">
        <v>1.0874389999999999E-2</v>
      </c>
      <c r="P791">
        <v>0.99713589999999996</v>
      </c>
      <c r="Q791">
        <v>-5.5824909999999998E-2</v>
      </c>
      <c r="R791">
        <v>-5.1027290000000003E-2</v>
      </c>
      <c r="S791">
        <v>2.9727779999999999</v>
      </c>
      <c r="T791">
        <v>-0.1847116</v>
      </c>
      <c r="U791">
        <v>-0.49694820000000001</v>
      </c>
      <c r="V791">
        <v>6.1815920000000003E-2</v>
      </c>
      <c r="W791">
        <v>-4.785325E-2</v>
      </c>
      <c r="X791">
        <v>0.99693969999999998</v>
      </c>
      <c r="Y791">
        <v>0.17524519999999999</v>
      </c>
      <c r="Z791">
        <v>-6.0723039999999997E-3</v>
      </c>
      <c r="AA791">
        <v>0.98450610000000005</v>
      </c>
      <c r="AB791">
        <v>40</v>
      </c>
      <c r="AC791">
        <v>17.1038</v>
      </c>
      <c r="AD791">
        <v>-1.078199044265</v>
      </c>
      <c r="AE791">
        <v>-2.8985000000000101</v>
      </c>
      <c r="AF791">
        <v>3.0724593802053</v>
      </c>
      <c r="AG791">
        <v>-1.078199044265</v>
      </c>
      <c r="AH791">
        <v>17.005576930303601</v>
      </c>
      <c r="AI791">
        <v>93.570199739695397</v>
      </c>
      <c r="AJ791">
        <v>79.758645572961598</v>
      </c>
      <c r="AK791">
        <v>17.314507401440601</v>
      </c>
      <c r="AL791">
        <v>92.742836887681904</v>
      </c>
      <c r="AM791">
        <v>86.451878966627106</v>
      </c>
      <c r="AN791">
        <v>0.99999995346854798</v>
      </c>
    </row>
    <row r="792" spans="1:40" x14ac:dyDescent="0.25">
      <c r="A792" t="str">
        <f>"20190312151514897"</f>
        <v>20190312151514897</v>
      </c>
      <c r="B792" t="str">
        <f>"1552374914888404"</f>
        <v>1552374914888404</v>
      </c>
      <c r="C792" t="s">
        <v>40</v>
      </c>
      <c r="D792">
        <v>4.5787639999999996</v>
      </c>
      <c r="E792">
        <v>0.56083899999999998</v>
      </c>
      <c r="F792" t="s">
        <v>43</v>
      </c>
      <c r="G792">
        <v>-254.971</v>
      </c>
      <c r="H792" s="1">
        <v>-2.9956580000000001E-6</v>
      </c>
      <c r="I792">
        <v>364.7912</v>
      </c>
      <c r="J792">
        <v>-276.26100000000002</v>
      </c>
      <c r="K792">
        <v>1.080055</v>
      </c>
      <c r="L792">
        <v>369.31529999999998</v>
      </c>
      <c r="M792">
        <v>0.99990849999999998</v>
      </c>
      <c r="N792">
        <v>0</v>
      </c>
      <c r="O792">
        <v>1.0923860000000001E-2</v>
      </c>
      <c r="P792">
        <v>0.99713169999999995</v>
      </c>
      <c r="Q792">
        <v>-5.5817899999999997E-2</v>
      </c>
      <c r="R792">
        <v>-5.1117250000000003E-2</v>
      </c>
      <c r="S792">
        <v>2.9683839999999999</v>
      </c>
      <c r="T792">
        <v>-0.14867449999999999</v>
      </c>
      <c r="U792">
        <v>-0.62347410000000003</v>
      </c>
      <c r="V792">
        <v>6.1955610000000001E-2</v>
      </c>
      <c r="W792">
        <v>-4.7932210000000003E-2</v>
      </c>
      <c r="X792">
        <v>0.99692729999999996</v>
      </c>
      <c r="Y792">
        <v>0.21595919999999999</v>
      </c>
      <c r="Z792">
        <v>-5.8877169999999998E-3</v>
      </c>
      <c r="AA792">
        <v>0.97638460000000005</v>
      </c>
      <c r="AB792">
        <v>40</v>
      </c>
      <c r="AC792">
        <v>21.2899999999999</v>
      </c>
      <c r="AD792">
        <v>-1.0800579956579901</v>
      </c>
      <c r="AE792">
        <v>-4.5240999999999696</v>
      </c>
      <c r="AF792">
        <v>4.7447229330620599</v>
      </c>
      <c r="AG792">
        <v>-1.0800579956579901</v>
      </c>
      <c r="AH792">
        <v>21.187135808401798</v>
      </c>
      <c r="AI792">
        <v>92.847828253784201</v>
      </c>
      <c r="AJ792">
        <v>77.377241618186204</v>
      </c>
      <c r="AK792">
        <v>21.7387590434499</v>
      </c>
      <c r="AL792">
        <v>92.747365982830303</v>
      </c>
      <c r="AM792">
        <v>86.443837449330303</v>
      </c>
      <c r="AN792">
        <v>1.0000000179256201</v>
      </c>
    </row>
    <row r="793" spans="1:40" x14ac:dyDescent="0.25">
      <c r="A793" t="str">
        <f>"20190312151514909"</f>
        <v>20190312151514909</v>
      </c>
      <c r="B793" t="str">
        <f>"1552374914898164"</f>
        <v>1552374914898164</v>
      </c>
      <c r="C793" t="s">
        <v>40</v>
      </c>
      <c r="D793">
        <v>4.5765849999999997</v>
      </c>
      <c r="E793">
        <v>0.5612781</v>
      </c>
      <c r="F793" t="s">
        <v>43</v>
      </c>
      <c r="G793">
        <v>-254.65880000000001</v>
      </c>
      <c r="H793" s="1">
        <v>-3.1511549999999998E-6</v>
      </c>
      <c r="I793">
        <v>364.6694</v>
      </c>
      <c r="J793">
        <v>-276.02080000000001</v>
      </c>
      <c r="K793">
        <v>1.081966</v>
      </c>
      <c r="L793">
        <v>369.3177</v>
      </c>
      <c r="M793">
        <v>0.99990840000000003</v>
      </c>
      <c r="N793">
        <v>0</v>
      </c>
      <c r="O793">
        <v>1.0951010000000001E-2</v>
      </c>
      <c r="P793">
        <v>0.99712230000000002</v>
      </c>
      <c r="Q793">
        <v>-5.5863049999999997E-2</v>
      </c>
      <c r="R793">
        <v>-5.1251100000000001E-2</v>
      </c>
      <c r="S793">
        <v>2.96759</v>
      </c>
      <c r="T793">
        <v>-0.1483717</v>
      </c>
      <c r="U793">
        <v>-0.63821410000000001</v>
      </c>
      <c r="V793">
        <v>6.2119750000000001E-2</v>
      </c>
      <c r="W793">
        <v>-4.7981349999999999E-2</v>
      </c>
      <c r="X793">
        <v>0.99691470000000004</v>
      </c>
      <c r="Y793">
        <v>0.22067129999999999</v>
      </c>
      <c r="Z793">
        <v>-5.9920219999999996E-3</v>
      </c>
      <c r="AA793">
        <v>0.97532980000000002</v>
      </c>
      <c r="AB793">
        <v>40</v>
      </c>
      <c r="AC793">
        <v>21.361999999999899</v>
      </c>
      <c r="AD793">
        <v>-1.081969151155</v>
      </c>
      <c r="AE793">
        <v>-4.6482999999999999</v>
      </c>
      <c r="AF793">
        <v>4.8700355971518299</v>
      </c>
      <c r="AG793">
        <v>-1.081969151155</v>
      </c>
      <c r="AH793">
        <v>21.257745642548201</v>
      </c>
      <c r="AI793">
        <v>92.840249798609193</v>
      </c>
      <c r="AJ793">
        <v>77.096512267846293</v>
      </c>
      <c r="AK793">
        <v>21.835284604622299</v>
      </c>
      <c r="AL793">
        <v>92.750184800460005</v>
      </c>
      <c r="AM793">
        <v>86.434395374664902</v>
      </c>
      <c r="AN793">
        <v>0.99999999618198698</v>
      </c>
    </row>
    <row r="794" spans="1:40" x14ac:dyDescent="0.25">
      <c r="A794" t="str">
        <f>"20190312151514925"</f>
        <v>20190312151514925</v>
      </c>
      <c r="B794" t="str">
        <f>"1552374914918659"</f>
        <v>1552374914918659</v>
      </c>
      <c r="C794" t="s">
        <v>40</v>
      </c>
      <c r="D794">
        <v>4.6900269999999997</v>
      </c>
      <c r="E794">
        <v>0.56449389999999999</v>
      </c>
      <c r="F794" t="s">
        <v>43</v>
      </c>
      <c r="G794">
        <v>-256.03899999999999</v>
      </c>
      <c r="H794" s="1">
        <v>-2.5637320000000002E-6</v>
      </c>
      <c r="I794">
        <v>364.99459999999999</v>
      </c>
      <c r="J794">
        <v>-275.75150000000002</v>
      </c>
      <c r="K794">
        <v>1.084085</v>
      </c>
      <c r="L794">
        <v>369.32060000000001</v>
      </c>
      <c r="M794">
        <v>0.99990760000000001</v>
      </c>
      <c r="N794">
        <v>0</v>
      </c>
      <c r="O794">
        <v>1.095027E-2</v>
      </c>
      <c r="P794">
        <v>0.9971082</v>
      </c>
      <c r="Q794">
        <v>-5.6090029999999999E-2</v>
      </c>
      <c r="R794">
        <v>-5.1277879999999998E-2</v>
      </c>
      <c r="S794">
        <v>2.966675</v>
      </c>
      <c r="T794">
        <v>-0.16063829999999901</v>
      </c>
      <c r="U794">
        <v>-0.64184569999999996</v>
      </c>
      <c r="V794">
        <v>6.2150839999999999E-2</v>
      </c>
      <c r="W794">
        <v>-4.8111750000000002E-2</v>
      </c>
      <c r="X794">
        <v>0.99690650000000003</v>
      </c>
      <c r="Y794">
        <v>0.22182379999999999</v>
      </c>
      <c r="Z794">
        <v>-6.5186519999999998E-3</v>
      </c>
      <c r="AA794">
        <v>0.97506499999999996</v>
      </c>
      <c r="AB794">
        <v>40</v>
      </c>
      <c r="AC794">
        <v>19.712499999999999</v>
      </c>
      <c r="AD794">
        <v>-1.084087563732</v>
      </c>
      <c r="AE794">
        <v>-4.3260000000000201</v>
      </c>
      <c r="AF794">
        <v>4.5285378231546201</v>
      </c>
      <c r="AG794">
        <v>-1.084087563732</v>
      </c>
      <c r="AH794">
        <v>19.6073690274048</v>
      </c>
      <c r="AI794">
        <v>93.083636411827698</v>
      </c>
      <c r="AJ794">
        <v>76.994950894350694</v>
      </c>
      <c r="AK794">
        <v>20.1527124933199</v>
      </c>
      <c r="AL794">
        <v>92.757664747031399</v>
      </c>
      <c r="AM794">
        <v>86.432586182920502</v>
      </c>
      <c r="AN794">
        <v>1.0000000185714999</v>
      </c>
    </row>
    <row r="795" spans="1:40" x14ac:dyDescent="0.25">
      <c r="A795" t="str">
        <f>"20190312151514938"</f>
        <v>20190312151514938</v>
      </c>
      <c r="B795" t="str">
        <f>"1552374914928421"</f>
        <v>1552374914928421</v>
      </c>
      <c r="C795" t="s">
        <v>40</v>
      </c>
      <c r="D795">
        <v>4.5623189999999996</v>
      </c>
      <c r="E795">
        <v>0.56435349999999995</v>
      </c>
      <c r="F795" t="s">
        <v>43</v>
      </c>
      <c r="G795">
        <v>-255.251</v>
      </c>
      <c r="H795" s="1">
        <v>-2.9089440000000002E-6</v>
      </c>
      <c r="I795">
        <v>364.70499999999998</v>
      </c>
      <c r="J795">
        <v>-275.51100000000002</v>
      </c>
      <c r="K795">
        <v>1.0859399999999999</v>
      </c>
      <c r="L795">
        <v>369.32299999999998</v>
      </c>
      <c r="M795">
        <v>0.99990670000000004</v>
      </c>
      <c r="N795">
        <v>0</v>
      </c>
      <c r="O795">
        <v>1.0932330000000001E-2</v>
      </c>
      <c r="P795">
        <v>0.99708359999999996</v>
      </c>
      <c r="Q795">
        <v>-5.646085E-2</v>
      </c>
      <c r="R795">
        <v>-5.134905E-2</v>
      </c>
      <c r="S795">
        <v>2.9655459999999998</v>
      </c>
      <c r="T795">
        <v>-0.1568205</v>
      </c>
      <c r="U795">
        <v>-0.66766359999999902</v>
      </c>
      <c r="V795">
        <v>6.2209029999999998E-2</v>
      </c>
      <c r="W795">
        <v>-4.8341170000000003E-2</v>
      </c>
      <c r="X795">
        <v>0.99689170000000005</v>
      </c>
      <c r="Y795">
        <v>0.2299744</v>
      </c>
      <c r="Z795">
        <v>-6.5721859999999998E-3</v>
      </c>
      <c r="AA795">
        <v>0.97317450000000005</v>
      </c>
      <c r="AB795">
        <v>40</v>
      </c>
      <c r="AC795">
        <v>20.259999999999899</v>
      </c>
      <c r="AD795">
        <v>-1.08594290894399</v>
      </c>
      <c r="AE795">
        <v>-4.6180000000000501</v>
      </c>
      <c r="AF795">
        <v>4.8260400397138303</v>
      </c>
      <c r="AG795">
        <v>-1.08594290894399</v>
      </c>
      <c r="AH795">
        <v>20.153261388731998</v>
      </c>
      <c r="AI795">
        <v>92.999708072380599</v>
      </c>
      <c r="AJ795">
        <v>76.533148338661306</v>
      </c>
      <c r="AK795">
        <v>20.751478961003301</v>
      </c>
      <c r="AL795">
        <v>92.770825056235495</v>
      </c>
      <c r="AM795">
        <v>86.429201881508405</v>
      </c>
      <c r="AN795">
        <v>0.99999994682969795</v>
      </c>
    </row>
    <row r="796" spans="1:40" x14ac:dyDescent="0.25">
      <c r="A796" t="str">
        <f>"20190312151514950"</f>
        <v>20190312151514950</v>
      </c>
      <c r="B796" t="str">
        <f>"1552374914938180"</f>
        <v>1552374914938180</v>
      </c>
      <c r="C796" t="s">
        <v>40</v>
      </c>
      <c r="D796">
        <v>4.7402550000000003</v>
      </c>
      <c r="E796">
        <v>0.56501380000000001</v>
      </c>
      <c r="F796" t="s">
        <v>43</v>
      </c>
      <c r="G796">
        <v>-254.62710000000001</v>
      </c>
      <c r="H796" s="1">
        <v>-3.1724400000000002E-6</v>
      </c>
      <c r="I796">
        <v>364.62619999999998</v>
      </c>
      <c r="J796">
        <v>-275.28859999999997</v>
      </c>
      <c r="K796">
        <v>1.087615</v>
      </c>
      <c r="L796">
        <v>369.32530000000003</v>
      </c>
      <c r="M796">
        <v>0.9999055</v>
      </c>
      <c r="N796">
        <v>0</v>
      </c>
      <c r="O796">
        <v>1.090171E-2</v>
      </c>
      <c r="P796">
        <v>0.99706439999999996</v>
      </c>
      <c r="Q796">
        <v>-5.6732209999999998E-2</v>
      </c>
      <c r="R796">
        <v>-5.1420260000000002E-2</v>
      </c>
      <c r="S796">
        <v>2.9656980000000002</v>
      </c>
      <c r="T796">
        <v>-0.15421279999999901</v>
      </c>
      <c r="U796">
        <v>-0.66699219999999904</v>
      </c>
      <c r="V796">
        <v>6.2254829999999997E-2</v>
      </c>
      <c r="W796">
        <v>-4.843629E-2</v>
      </c>
      <c r="X796">
        <v>0.99688429999999995</v>
      </c>
      <c r="Y796">
        <v>0.2297352</v>
      </c>
      <c r="Z796">
        <v>-6.4551640000000002E-3</v>
      </c>
      <c r="AA796">
        <v>0.97323179999999998</v>
      </c>
      <c r="AB796">
        <v>40</v>
      </c>
      <c r="AC796">
        <v>20.661499999999901</v>
      </c>
      <c r="AD796">
        <v>-1.08761817244</v>
      </c>
      <c r="AE796">
        <v>-4.6991000000000396</v>
      </c>
      <c r="AF796">
        <v>4.9111350795963498</v>
      </c>
      <c r="AG796">
        <v>-1.08761817244</v>
      </c>
      <c r="AH796">
        <v>20.5548866633942</v>
      </c>
      <c r="AI796">
        <v>92.946088252749604</v>
      </c>
      <c r="AJ796">
        <v>76.562364331595901</v>
      </c>
      <c r="AK796">
        <v>21.161415992415201</v>
      </c>
      <c r="AL796">
        <v>92.776281211648893</v>
      </c>
      <c r="AM796">
        <v>86.426553313884995</v>
      </c>
      <c r="AN796">
        <v>1.0000000228168899</v>
      </c>
    </row>
    <row r="797" spans="1:40" x14ac:dyDescent="0.25">
      <c r="A797" t="str">
        <f>"20190312151514963"</f>
        <v>20190312151514963</v>
      </c>
      <c r="B797" t="str">
        <f>"1552374914958677"</f>
        <v>1552374914958677</v>
      </c>
      <c r="C797" t="s">
        <v>40</v>
      </c>
      <c r="D797">
        <v>4.6918369999999996</v>
      </c>
      <c r="E797">
        <v>0.56585189999999996</v>
      </c>
      <c r="F797" t="s">
        <v>43</v>
      </c>
      <c r="G797">
        <v>-253.94560000000001</v>
      </c>
      <c r="H797" s="1">
        <v>-3.4895459999999998E-6</v>
      </c>
      <c r="I797">
        <v>364.48680000000002</v>
      </c>
      <c r="J797">
        <v>-275.07040000000001</v>
      </c>
      <c r="K797">
        <v>1.0891729999999999</v>
      </c>
      <c r="L797">
        <v>369.32760000000002</v>
      </c>
      <c r="M797">
        <v>0.99990440000000003</v>
      </c>
      <c r="N797">
        <v>0</v>
      </c>
      <c r="O797">
        <v>1.0863309999999999E-2</v>
      </c>
      <c r="P797">
        <v>0.99703920000000001</v>
      </c>
      <c r="Q797">
        <v>-5.6993910000000002E-2</v>
      </c>
      <c r="R797">
        <v>-5.1621550000000002E-2</v>
      </c>
      <c r="S797">
        <v>2.965576</v>
      </c>
      <c r="T797">
        <v>-0.1511217</v>
      </c>
      <c r="U797">
        <v>-0.67230219999999996</v>
      </c>
      <c r="V797">
        <v>6.2422449999999997E-2</v>
      </c>
      <c r="W797">
        <v>-4.8487309999999999E-2</v>
      </c>
      <c r="X797">
        <v>0.99687130000000002</v>
      </c>
      <c r="Y797">
        <v>0.23137460000000001</v>
      </c>
      <c r="Z797">
        <v>-6.3642530000000003E-3</v>
      </c>
      <c r="AA797">
        <v>0.97284389999999998</v>
      </c>
      <c r="AB797">
        <v>40</v>
      </c>
      <c r="AC797">
        <v>21.1248</v>
      </c>
      <c r="AD797">
        <v>-1.0891764895460001</v>
      </c>
      <c r="AE797">
        <v>-4.8407999999999998</v>
      </c>
      <c r="AF797">
        <v>5.0572348389333301</v>
      </c>
      <c r="AG797">
        <v>-1.0891764895460001</v>
      </c>
      <c r="AH797">
        <v>21.017879133097999</v>
      </c>
      <c r="AI797">
        <v>92.884319957052597</v>
      </c>
      <c r="AJ797">
        <v>76.470907572651697</v>
      </c>
      <c r="AK797">
        <v>21.645165115910199</v>
      </c>
      <c r="AL797">
        <v>92.779207985805897</v>
      </c>
      <c r="AM797">
        <v>86.416910301010006</v>
      </c>
      <c r="AN797">
        <v>0.99999998512936406</v>
      </c>
    </row>
    <row r="798" spans="1:40" x14ac:dyDescent="0.25">
      <c r="A798" t="str">
        <f>"20190312151514975"</f>
        <v>20190312151514975</v>
      </c>
      <c r="B798" t="str">
        <f>"1552374914968944"</f>
        <v>1552374914968944</v>
      </c>
      <c r="C798" t="s">
        <v>40</v>
      </c>
      <c r="D798">
        <v>4.7166230000000002</v>
      </c>
      <c r="E798">
        <v>0.56614609999999999</v>
      </c>
      <c r="F798" t="s">
        <v>43</v>
      </c>
      <c r="G798">
        <v>-253.86940000000001</v>
      </c>
      <c r="H798" s="1">
        <v>-3.525332E-6</v>
      </c>
      <c r="I798">
        <v>364.46929999999998</v>
      </c>
      <c r="J798">
        <v>-274.83940000000001</v>
      </c>
      <c r="K798">
        <v>1.090778</v>
      </c>
      <c r="L798">
        <v>369.33</v>
      </c>
      <c r="M798">
        <v>0.99990279999999998</v>
      </c>
      <c r="N798">
        <v>0</v>
      </c>
      <c r="O798">
        <v>1.082143E-2</v>
      </c>
      <c r="P798">
        <v>0.99700160000000004</v>
      </c>
      <c r="Q798">
        <v>-5.7366519999999997E-2</v>
      </c>
      <c r="R798">
        <v>-5.1933790000000001E-2</v>
      </c>
      <c r="S798">
        <v>2.9650270000000001</v>
      </c>
      <c r="T798">
        <v>-0.15232419999999999</v>
      </c>
      <c r="U798">
        <v>-0.67944340000000003</v>
      </c>
      <c r="V798">
        <v>6.2697089999999997E-2</v>
      </c>
      <c r="W798">
        <v>-4.8622190000000003E-2</v>
      </c>
      <c r="X798">
        <v>0.9968475</v>
      </c>
      <c r="Y798">
        <v>0.23359189999999999</v>
      </c>
      <c r="Z798">
        <v>-6.4683659999999997E-3</v>
      </c>
      <c r="AA798">
        <v>0.97231319999999999</v>
      </c>
      <c r="AB798">
        <v>40</v>
      </c>
      <c r="AC798">
        <v>20.97</v>
      </c>
      <c r="AD798">
        <v>-1.0907815253319999</v>
      </c>
      <c r="AE798">
        <v>-4.8606999999999996</v>
      </c>
      <c r="AF798">
        <v>5.0743200164638997</v>
      </c>
      <c r="AG798">
        <v>-1.0907815253319999</v>
      </c>
      <c r="AH798">
        <v>20.862600658019801</v>
      </c>
      <c r="AI798">
        <v>92.908293447095701</v>
      </c>
      <c r="AJ798">
        <v>76.329643515240207</v>
      </c>
      <c r="AK798">
        <v>21.4985263258089</v>
      </c>
      <c r="AL798">
        <v>92.786945151921401</v>
      </c>
      <c r="AM798">
        <v>86.401101427640995</v>
      </c>
      <c r="AN798">
        <v>0.99999999035555698</v>
      </c>
    </row>
    <row r="799" spans="1:40" x14ac:dyDescent="0.25">
      <c r="A799" t="str">
        <f>"20190312151514994"</f>
        <v>20190312151514994</v>
      </c>
      <c r="B799" t="str">
        <f>"1552374914988464"</f>
        <v>1552374914988464</v>
      </c>
      <c r="C799" t="s">
        <v>40</v>
      </c>
      <c r="D799">
        <v>4.6818379999999999</v>
      </c>
      <c r="E799">
        <v>0.56669859999999905</v>
      </c>
      <c r="F799" t="s">
        <v>43</v>
      </c>
      <c r="G799">
        <v>-253.45349999999999</v>
      </c>
      <c r="H799" s="1">
        <v>-3.7152640000000001E-6</v>
      </c>
      <c r="I799">
        <v>364.40429999999998</v>
      </c>
      <c r="J799">
        <v>-274.50990000000002</v>
      </c>
      <c r="K799">
        <v>1.0929089999999999</v>
      </c>
      <c r="L799">
        <v>369.33350000000002</v>
      </c>
      <c r="M799">
        <v>0.99990000000000001</v>
      </c>
      <c r="N799">
        <v>0</v>
      </c>
      <c r="O799">
        <v>1.076473E-2</v>
      </c>
      <c r="P799">
        <v>0.99694050000000001</v>
      </c>
      <c r="Q799">
        <v>-5.759417E-2</v>
      </c>
      <c r="R799">
        <v>-5.284494E-2</v>
      </c>
      <c r="S799">
        <v>2.9647519999999998</v>
      </c>
      <c r="T799">
        <v>-0.15121599999999999</v>
      </c>
      <c r="U799">
        <v>-0.6828613</v>
      </c>
      <c r="V799">
        <v>6.3556459999999995E-2</v>
      </c>
      <c r="W799">
        <v>-4.8479540000000002E-2</v>
      </c>
      <c r="X799">
        <v>0.99680000000000002</v>
      </c>
      <c r="Y799">
        <v>0.23462440000000001</v>
      </c>
      <c r="Z799">
        <v>-6.4442509999999998E-3</v>
      </c>
      <c r="AA799">
        <v>0.9720647</v>
      </c>
      <c r="AB799">
        <v>40</v>
      </c>
      <c r="AC799">
        <v>21.0564</v>
      </c>
      <c r="AD799">
        <v>-1.0929127152639999</v>
      </c>
      <c r="AE799">
        <v>-4.92920000000003</v>
      </c>
      <c r="AF799">
        <v>5.1424561847040202</v>
      </c>
      <c r="AG799">
        <v>-1.0929127152639999</v>
      </c>
      <c r="AH799">
        <v>20.948611951511399</v>
      </c>
      <c r="AI799">
        <v>92.9005169543167</v>
      </c>
      <c r="AJ799">
        <v>76.207780963119802</v>
      </c>
      <c r="AK799">
        <v>21.598232717280201</v>
      </c>
      <c r="AL799">
        <v>92.778762330233107</v>
      </c>
      <c r="AM799">
        <v>86.3517313610039</v>
      </c>
      <c r="AN799">
        <v>0.99999996470317098</v>
      </c>
    </row>
    <row r="800" spans="1:40" x14ac:dyDescent="0.25">
      <c r="A800" t="str">
        <f>"20190312151515007"</f>
        <v>20190312151515007</v>
      </c>
      <c r="B800" t="str">
        <f>"1552374914998225"</f>
        <v>1552374914998225</v>
      </c>
      <c r="C800" t="s">
        <v>40</v>
      </c>
      <c r="D800">
        <v>4.6433999999999997</v>
      </c>
      <c r="E800">
        <v>0.56671300000000002</v>
      </c>
      <c r="F800" t="s">
        <v>43</v>
      </c>
      <c r="G800">
        <v>-252.90729999999999</v>
      </c>
      <c r="H800" s="1">
        <v>-3.9672400000000002E-6</v>
      </c>
      <c r="I800">
        <v>364.30470000000003</v>
      </c>
      <c r="J800">
        <v>-274.28039999999999</v>
      </c>
      <c r="K800">
        <v>1.094266</v>
      </c>
      <c r="L800">
        <v>369.33589999999998</v>
      </c>
      <c r="M800">
        <v>0.99989779999999995</v>
      </c>
      <c r="N800">
        <v>0</v>
      </c>
      <c r="O800">
        <v>1.0733889999999999E-2</v>
      </c>
      <c r="P800">
        <v>0.99691090000000004</v>
      </c>
      <c r="Q800">
        <v>-5.7794650000000003E-2</v>
      </c>
      <c r="R800">
        <v>-5.3183500000000002E-2</v>
      </c>
      <c r="S800">
        <v>2.9639890000000002</v>
      </c>
      <c r="T800">
        <v>-0.149953</v>
      </c>
      <c r="U800">
        <v>-0.68997189999999997</v>
      </c>
      <c r="V800">
        <v>6.3866679999999995E-2</v>
      </c>
      <c r="W800">
        <v>-4.8410790000000002E-2</v>
      </c>
      <c r="X800">
        <v>0.99678359999999999</v>
      </c>
      <c r="Y800">
        <v>0.2368643</v>
      </c>
      <c r="Z800">
        <v>-6.4447319999999999E-3</v>
      </c>
      <c r="AA800">
        <v>0.97152139999999998</v>
      </c>
      <c r="AB800">
        <v>40</v>
      </c>
      <c r="AC800">
        <v>21.373099999999901</v>
      </c>
      <c r="AD800">
        <v>-1.09426996724</v>
      </c>
      <c r="AE800">
        <v>-5.0311999999999504</v>
      </c>
      <c r="AF800">
        <v>5.2473043556122203</v>
      </c>
      <c r="AG800">
        <v>-1.09426996724</v>
      </c>
      <c r="AH800">
        <v>21.265046744980399</v>
      </c>
      <c r="AI800">
        <v>92.860123754574502</v>
      </c>
      <c r="AJ800">
        <v>76.138756486883906</v>
      </c>
      <c r="AK800">
        <v>21.930203893895602</v>
      </c>
      <c r="AL800">
        <v>92.774818374190502</v>
      </c>
      <c r="AM800">
        <v>86.333912401210299</v>
      </c>
      <c r="AN800">
        <v>1.0000000513158001</v>
      </c>
    </row>
    <row r="801" spans="1:40" x14ac:dyDescent="0.25">
      <c r="A801" t="str">
        <f>"20190312151515018"</f>
        <v>20190312151515018</v>
      </c>
      <c r="B801" t="str">
        <f>"1552374915007984"</f>
        <v>1552374915007984</v>
      </c>
      <c r="C801" t="s">
        <v>40</v>
      </c>
      <c r="D801">
        <v>4.6171369999999996</v>
      </c>
      <c r="E801">
        <v>0.56657270000000004</v>
      </c>
      <c r="F801" t="s">
        <v>43</v>
      </c>
      <c r="G801">
        <v>-252.8356</v>
      </c>
      <c r="H801" s="1">
        <v>-3.9923319999999999E-6</v>
      </c>
      <c r="I801">
        <v>364.33659999999998</v>
      </c>
      <c r="J801">
        <v>-274.06700000000001</v>
      </c>
      <c r="K801">
        <v>1.0954600000000001</v>
      </c>
      <c r="L801">
        <v>369.33819999999997</v>
      </c>
      <c r="M801">
        <v>0.9998958</v>
      </c>
      <c r="N801">
        <v>0</v>
      </c>
      <c r="O801">
        <v>1.0710030000000001E-2</v>
      </c>
      <c r="P801">
        <v>0.99689249999999996</v>
      </c>
      <c r="Q801">
        <v>-5.796287E-2</v>
      </c>
      <c r="R801">
        <v>-5.3348010000000001E-2</v>
      </c>
      <c r="S801">
        <v>2.9636230000000001</v>
      </c>
      <c r="T801">
        <v>-0.15122529999999901</v>
      </c>
      <c r="U801">
        <v>-0.69088749999999999</v>
      </c>
      <c r="V801">
        <v>6.4009280000000002E-2</v>
      </c>
      <c r="W801">
        <v>-4.8327849999999999E-2</v>
      </c>
      <c r="X801">
        <v>0.99677839999999995</v>
      </c>
      <c r="Y801">
        <v>0.23714679999999999</v>
      </c>
      <c r="Z801">
        <v>-6.5058099999999999E-3</v>
      </c>
      <c r="AA801">
        <v>0.97145210000000004</v>
      </c>
      <c r="AB801">
        <v>40</v>
      </c>
      <c r="AC801">
        <v>21.231400000000001</v>
      </c>
      <c r="AD801">
        <v>-1.095463992332</v>
      </c>
      <c r="AE801">
        <v>-5.0015999999999901</v>
      </c>
      <c r="AF801">
        <v>5.2155579266208596</v>
      </c>
      <c r="AG801">
        <v>-1.095463992332</v>
      </c>
      <c r="AH801">
        <v>21.123334754952801</v>
      </c>
      <c r="AI801">
        <v>92.882313885181503</v>
      </c>
      <c r="AJ801">
        <v>76.130518814975403</v>
      </c>
      <c r="AK801">
        <v>21.785255495729899</v>
      </c>
      <c r="AL801">
        <v>92.770060908435099</v>
      </c>
      <c r="AM801">
        <v>86.325730130938993</v>
      </c>
      <c r="AN801">
        <v>0.99999997385914996</v>
      </c>
    </row>
    <row r="802" spans="1:40" x14ac:dyDescent="0.25">
      <c r="A802" t="str">
        <f>"20190312151515029"</f>
        <v>20190312151515029</v>
      </c>
      <c r="B802" t="str">
        <f>"1552374915018721"</f>
        <v>1552374915018721</v>
      </c>
      <c r="C802" t="s">
        <v>40</v>
      </c>
      <c r="D802">
        <v>4.3948539999999996</v>
      </c>
      <c r="E802">
        <v>0.56656130000000005</v>
      </c>
      <c r="F802" t="s">
        <v>43</v>
      </c>
      <c r="G802">
        <v>-252.59829999999999</v>
      </c>
      <c r="H802" s="1">
        <v>-4.0943620000000004E-6</v>
      </c>
      <c r="I802">
        <v>364.33550000000002</v>
      </c>
      <c r="J802">
        <v>-273.86360000000002</v>
      </c>
      <c r="K802">
        <v>1.0965389999999999</v>
      </c>
      <c r="L802">
        <v>369.34039999999999</v>
      </c>
      <c r="M802">
        <v>0.99989349999999999</v>
      </c>
      <c r="N802">
        <v>0</v>
      </c>
      <c r="O802">
        <v>1.0692220000000001E-2</v>
      </c>
      <c r="P802">
        <v>0.99686980000000003</v>
      </c>
      <c r="Q802">
        <v>-5.8265980000000002E-2</v>
      </c>
      <c r="R802">
        <v>-5.3437390000000001E-2</v>
      </c>
      <c r="S802">
        <v>2.9636230000000001</v>
      </c>
      <c r="T802">
        <v>-0.15122099999999999</v>
      </c>
      <c r="U802">
        <v>-0.69058229999999998</v>
      </c>
      <c r="V802">
        <v>6.4082180000000002E-2</v>
      </c>
      <c r="W802">
        <v>-4.8390719999999998E-2</v>
      </c>
      <c r="X802">
        <v>0.99677070000000001</v>
      </c>
      <c r="Y802">
        <v>0.23703479999999999</v>
      </c>
      <c r="Z802">
        <v>-6.5019880000000002E-3</v>
      </c>
      <c r="AA802">
        <v>0.97147939999999999</v>
      </c>
      <c r="AB802">
        <v>40</v>
      </c>
      <c r="AC802">
        <v>21.2653</v>
      </c>
      <c r="AD802">
        <v>-1.096543094362</v>
      </c>
      <c r="AE802">
        <v>-5.0048999999999602</v>
      </c>
      <c r="AF802">
        <v>5.2188500655550403</v>
      </c>
      <c r="AG802">
        <v>-1.096543094362</v>
      </c>
      <c r="AH802">
        <v>21.157264854468298</v>
      </c>
      <c r="AI802">
        <v>92.880690011352002</v>
      </c>
      <c r="AJ802">
        <v>76.143500263939501</v>
      </c>
      <c r="AK802">
        <v>21.818997659990199</v>
      </c>
      <c r="AL802">
        <v>92.7736672189572</v>
      </c>
      <c r="AM802">
        <v>86.321528659606798</v>
      </c>
      <c r="AN802">
        <v>1.0000000079770801</v>
      </c>
    </row>
    <row r="803" spans="1:40" x14ac:dyDescent="0.25">
      <c r="A803" t="str">
        <f>"20190312151515041"</f>
        <v>20190312151515041</v>
      </c>
      <c r="B803" t="str">
        <f>"1552374915038240"</f>
        <v>1552374915038240</v>
      </c>
      <c r="C803" t="s">
        <v>40</v>
      </c>
      <c r="D803">
        <v>4.7600239999999996</v>
      </c>
      <c r="E803">
        <v>0.56671729999999998</v>
      </c>
      <c r="F803" t="s">
        <v>43</v>
      </c>
      <c r="G803">
        <v>-251.75219999999999</v>
      </c>
      <c r="H803" s="1">
        <v>-4.4838180000000002E-6</v>
      </c>
      <c r="I803">
        <v>364.18619999999999</v>
      </c>
      <c r="J803">
        <v>-273.66019999999997</v>
      </c>
      <c r="K803">
        <v>1.0975250000000001</v>
      </c>
      <c r="L803">
        <v>369.34249999999997</v>
      </c>
      <c r="M803">
        <v>0.99989130000000004</v>
      </c>
      <c r="N803">
        <v>0</v>
      </c>
      <c r="O803">
        <v>1.0679839999999999E-2</v>
      </c>
      <c r="P803">
        <v>0.99685389999999996</v>
      </c>
      <c r="Q803">
        <v>-5.8275750000000001E-2</v>
      </c>
      <c r="R803">
        <v>-5.3722640000000002E-2</v>
      </c>
      <c r="S803">
        <v>2.9638059999999999</v>
      </c>
      <c r="T803">
        <v>-0.14697969999999999</v>
      </c>
      <c r="U803">
        <v>-0.6908569</v>
      </c>
      <c r="V803">
        <v>6.4356129999999998E-2</v>
      </c>
      <c r="W803">
        <v>-4.8163829999999998E-2</v>
      </c>
      <c r="X803">
        <v>0.99676399999999998</v>
      </c>
      <c r="Y803">
        <v>0.23711170000000001</v>
      </c>
      <c r="Z803">
        <v>-6.3206750000000004E-3</v>
      </c>
      <c r="AA803">
        <v>0.97146180000000004</v>
      </c>
      <c r="AB803">
        <v>40</v>
      </c>
      <c r="AC803">
        <v>21.907999999999902</v>
      </c>
      <c r="AD803">
        <v>-1.0975294838179901</v>
      </c>
      <c r="AE803">
        <v>-5.1562999999999803</v>
      </c>
      <c r="AF803">
        <v>5.3772049297490803</v>
      </c>
      <c r="AG803">
        <v>-1.0975294838179901</v>
      </c>
      <c r="AH803">
        <v>21.799839108156998</v>
      </c>
      <c r="AI803">
        <v>92.798430756513994</v>
      </c>
      <c r="AJ803">
        <v>76.143868296714203</v>
      </c>
      <c r="AK803">
        <v>22.4800331175446</v>
      </c>
      <c r="AL803">
        <v>92.760652311875106</v>
      </c>
      <c r="AM803">
        <v>86.305821960208206</v>
      </c>
      <c r="AN803">
        <v>0.99999996884242204</v>
      </c>
    </row>
    <row r="804" spans="1:40" x14ac:dyDescent="0.25">
      <c r="A804" t="str">
        <f>"20190312151515052"</f>
        <v>20190312151515052</v>
      </c>
      <c r="B804" t="str">
        <f>"1552374915048000"</f>
        <v>1552374915048000</v>
      </c>
      <c r="C804" t="s">
        <v>40</v>
      </c>
      <c r="D804">
        <v>4.79636</v>
      </c>
      <c r="E804">
        <v>0.56709339999999997</v>
      </c>
      <c r="F804" t="s">
        <v>43</v>
      </c>
      <c r="G804">
        <v>-251.63399999999999</v>
      </c>
      <c r="H804" s="1">
        <v>-4.5332089999999997E-6</v>
      </c>
      <c r="I804">
        <v>364.1936</v>
      </c>
      <c r="J804">
        <v>-273.44799999999998</v>
      </c>
      <c r="K804">
        <v>1.0985229999999999</v>
      </c>
      <c r="L804">
        <v>369.34480000000002</v>
      </c>
      <c r="M804">
        <v>0.99988900000000003</v>
      </c>
      <c r="N804">
        <v>0</v>
      </c>
      <c r="O804">
        <v>1.0669100000000001E-2</v>
      </c>
      <c r="P804">
        <v>0.99681509999999995</v>
      </c>
      <c r="Q804">
        <v>-5.8580260000000002E-2</v>
      </c>
      <c r="R804">
        <v>-5.4111119999999999E-2</v>
      </c>
      <c r="S804">
        <v>2.9635310000000001</v>
      </c>
      <c r="T804">
        <v>-0.1476674</v>
      </c>
      <c r="U804">
        <v>-0.69274899999999995</v>
      </c>
      <c r="V804">
        <v>6.4734310000000003E-2</v>
      </c>
      <c r="W804">
        <v>-4.8223200000000001E-2</v>
      </c>
      <c r="X804">
        <v>0.99673659999999997</v>
      </c>
      <c r="Y804">
        <v>0.237706</v>
      </c>
      <c r="Z804">
        <v>-6.3644060000000004E-3</v>
      </c>
      <c r="AA804">
        <v>0.97131630000000002</v>
      </c>
      <c r="AB804">
        <v>40</v>
      </c>
      <c r="AC804">
        <v>21.813999999999901</v>
      </c>
      <c r="AD804">
        <v>-1.0985275332090001</v>
      </c>
      <c r="AE804">
        <v>-5.15120000000001</v>
      </c>
      <c r="AF804">
        <v>5.3707542116756697</v>
      </c>
      <c r="AG804">
        <v>-1.0985275332090001</v>
      </c>
      <c r="AH804">
        <v>21.705658238261801</v>
      </c>
      <c r="AI804">
        <v>92.812599917893493</v>
      </c>
      <c r="AJ804">
        <v>76.102122066473299</v>
      </c>
      <c r="AK804">
        <v>22.387214277343102</v>
      </c>
      <c r="AL804">
        <v>92.764058030310807</v>
      </c>
      <c r="AM804">
        <v>86.284072408774804</v>
      </c>
      <c r="AN804">
        <v>0.99999992884448496</v>
      </c>
    </row>
    <row r="805" spans="1:40" x14ac:dyDescent="0.25">
      <c r="A805" t="str">
        <f>"20190312151515063"</f>
        <v>20190312151515063</v>
      </c>
      <c r="B805" t="str">
        <f>"1552374915058736"</f>
        <v>1552374915058736</v>
      </c>
      <c r="C805" t="s">
        <v>40</v>
      </c>
      <c r="D805">
        <v>4.7279819999999999</v>
      </c>
      <c r="E805">
        <v>0.56738140000000004</v>
      </c>
      <c r="F805" t="s">
        <v>43</v>
      </c>
      <c r="G805">
        <v>-251.4975</v>
      </c>
      <c r="H805" s="1">
        <v>-4.5939059999999999E-6</v>
      </c>
      <c r="I805">
        <v>364.18150000000003</v>
      </c>
      <c r="J805">
        <v>-273.25130000000001</v>
      </c>
      <c r="K805">
        <v>1.099345</v>
      </c>
      <c r="L805">
        <v>369.34679999999997</v>
      </c>
      <c r="M805">
        <v>0.99988690000000002</v>
      </c>
      <c r="N805">
        <v>0</v>
      </c>
      <c r="O805">
        <v>1.066279E-2</v>
      </c>
      <c r="P805">
        <v>0.99678670000000003</v>
      </c>
      <c r="Q805">
        <v>-5.8810510000000003E-2</v>
      </c>
      <c r="R805">
        <v>-5.4387209999999998E-2</v>
      </c>
      <c r="S805">
        <v>2.9630130000000001</v>
      </c>
      <c r="T805">
        <v>-0.14828520000000001</v>
      </c>
      <c r="U805">
        <v>-0.69696040000000004</v>
      </c>
      <c r="V805">
        <v>6.5004389999999995E-2</v>
      </c>
      <c r="W805">
        <v>-4.823438E-2</v>
      </c>
      <c r="X805">
        <v>0.99671849999999995</v>
      </c>
      <c r="Y805">
        <v>0.2390419</v>
      </c>
      <c r="Z805">
        <v>-6.4237139999999996E-3</v>
      </c>
      <c r="AA805">
        <v>0.97098799999999996</v>
      </c>
      <c r="AB805">
        <v>40</v>
      </c>
      <c r="AC805">
        <v>21.753799999999998</v>
      </c>
      <c r="AD805">
        <v>-1.0993495939060001</v>
      </c>
      <c r="AE805">
        <v>-5.1652999999999398</v>
      </c>
      <c r="AF805">
        <v>5.38395940288029</v>
      </c>
      <c r="AG805">
        <v>-1.0993495939060001</v>
      </c>
      <c r="AH805">
        <v>21.6451546056235</v>
      </c>
      <c r="AI805">
        <v>92.821699228781299</v>
      </c>
      <c r="AJ805">
        <v>76.031863183451904</v>
      </c>
      <c r="AK805">
        <v>22.3317779471951</v>
      </c>
      <c r="AL805">
        <v>92.764699292705103</v>
      </c>
      <c r="AM805">
        <v>86.268545212369901</v>
      </c>
      <c r="AN805">
        <v>0.99999994718775098</v>
      </c>
    </row>
    <row r="806" spans="1:40" x14ac:dyDescent="0.25">
      <c r="A806" t="str">
        <f>"20190312151515075"</f>
        <v>20190312151515075</v>
      </c>
      <c r="B806" t="str">
        <f>"1552374915068496"</f>
        <v>1552374915068496</v>
      </c>
      <c r="C806" t="s">
        <v>40</v>
      </c>
      <c r="D806">
        <v>4.7215889999999998</v>
      </c>
      <c r="E806">
        <v>0.56762389999999996</v>
      </c>
      <c r="F806" t="s">
        <v>43</v>
      </c>
      <c r="G806">
        <v>-251.3835</v>
      </c>
      <c r="H806" s="1">
        <v>-4.6431020000000001E-6</v>
      </c>
      <c r="I806">
        <v>364.17989999999998</v>
      </c>
      <c r="J806">
        <v>-273.06</v>
      </c>
      <c r="K806">
        <v>1.1001270000000001</v>
      </c>
      <c r="L806">
        <v>369.34879999999998</v>
      </c>
      <c r="M806">
        <v>0.99988460000000001</v>
      </c>
      <c r="N806">
        <v>0</v>
      </c>
      <c r="O806">
        <v>1.065661E-2</v>
      </c>
      <c r="P806">
        <v>0.99676109999999896</v>
      </c>
      <c r="Q806">
        <v>-5.8989390000000003E-2</v>
      </c>
      <c r="R806">
        <v>-5.4660960000000001E-2</v>
      </c>
      <c r="S806">
        <v>2.9626769999999998</v>
      </c>
      <c r="T806">
        <v>-0.14894060000000001</v>
      </c>
      <c r="U806">
        <v>-0.70001219999999997</v>
      </c>
      <c r="V806">
        <v>6.5272289999999997E-2</v>
      </c>
      <c r="W806">
        <v>-4.8202269999999998E-2</v>
      </c>
      <c r="X806">
        <v>0.99670259999999999</v>
      </c>
      <c r="Y806">
        <v>0.2400041</v>
      </c>
      <c r="Z806">
        <v>-6.4755719999999998E-3</v>
      </c>
      <c r="AA806">
        <v>0.97075029999999995</v>
      </c>
      <c r="AB806">
        <v>40</v>
      </c>
      <c r="AC806">
        <v>21.676500000000001</v>
      </c>
      <c r="AD806">
        <v>-1.1001316431020001</v>
      </c>
      <c r="AE806">
        <v>-5.1688999999999998</v>
      </c>
      <c r="AF806">
        <v>5.3864899987207</v>
      </c>
      <c r="AG806">
        <v>-1.1001316431020001</v>
      </c>
      <c r="AH806">
        <v>21.567618000371201</v>
      </c>
      <c r="AI806">
        <v>92.833166582919702</v>
      </c>
      <c r="AJ806">
        <v>75.9772951903159</v>
      </c>
      <c r="AK806">
        <v>22.257284433380601</v>
      </c>
      <c r="AL806">
        <v>92.762857231759895</v>
      </c>
      <c r="AM806">
        <v>86.253151030811793</v>
      </c>
      <c r="AN806">
        <v>1.0000000017608699</v>
      </c>
    </row>
    <row r="807" spans="1:40" x14ac:dyDescent="0.25">
      <c r="A807" t="str">
        <f>"20190312151515088"</f>
        <v>20190312151515088</v>
      </c>
      <c r="B807" t="str">
        <f>"1552374915078257"</f>
        <v>1552374915078257</v>
      </c>
      <c r="C807" t="s">
        <v>40</v>
      </c>
      <c r="D807">
        <v>4.979336</v>
      </c>
      <c r="E807">
        <v>0.56817359999999995</v>
      </c>
      <c r="F807" t="s">
        <v>43</v>
      </c>
      <c r="G807">
        <v>-251.22669999999999</v>
      </c>
      <c r="H807" s="1">
        <v>-4.7122780000000004E-6</v>
      </c>
      <c r="I807">
        <v>364.16919999999999</v>
      </c>
      <c r="J807">
        <v>-272.81830000000002</v>
      </c>
      <c r="K807">
        <v>1.1010200000000001</v>
      </c>
      <c r="L807">
        <v>369.35140000000001</v>
      </c>
      <c r="M807">
        <v>0.99988189999999999</v>
      </c>
      <c r="N807">
        <v>0</v>
      </c>
      <c r="O807">
        <v>1.064886E-2</v>
      </c>
      <c r="P807">
        <v>0.9967357</v>
      </c>
      <c r="Q807">
        <v>-5.9184470000000003E-2</v>
      </c>
      <c r="R807">
        <v>-5.4914560000000001E-2</v>
      </c>
      <c r="S807">
        <v>2.962402</v>
      </c>
      <c r="T807">
        <v>-0.14926800000000001</v>
      </c>
      <c r="U807">
        <v>-0.70278929999999995</v>
      </c>
      <c r="V807">
        <v>6.5518359999999998E-2</v>
      </c>
      <c r="W807">
        <v>-4.814152E-2</v>
      </c>
      <c r="X807">
        <v>0.99668939999999995</v>
      </c>
      <c r="Y807">
        <v>0.24087610000000001</v>
      </c>
      <c r="Z807">
        <v>-6.5109579999999998E-3</v>
      </c>
      <c r="AA807">
        <v>0.97053400000000001</v>
      </c>
      <c r="AB807">
        <v>40</v>
      </c>
      <c r="AC807">
        <v>21.5916</v>
      </c>
      <c r="AD807">
        <v>-1.1010247122779999</v>
      </c>
      <c r="AE807">
        <v>-5.1822000000000203</v>
      </c>
      <c r="AF807">
        <v>5.3985728380842204</v>
      </c>
      <c r="AG807">
        <v>-1.1010247122779999</v>
      </c>
      <c r="AH807">
        <v>21.482369522005001</v>
      </c>
      <c r="AI807">
        <v>92.845655646402193</v>
      </c>
      <c r="AJ807">
        <v>75.893541026123998</v>
      </c>
      <c r="AK807">
        <v>22.177669949413499</v>
      </c>
      <c r="AL807">
        <v>92.759372442711793</v>
      </c>
      <c r="AM807">
        <v>86.239016582515205</v>
      </c>
      <c r="AN807">
        <v>1.0000000107586799</v>
      </c>
    </row>
    <row r="808" spans="1:40" x14ac:dyDescent="0.25">
      <c r="A808" t="str">
        <f>"20190312151515103"</f>
        <v>20190312151515103</v>
      </c>
      <c r="B808" t="str">
        <f>"1552374915098752"</f>
        <v>1552374915098752</v>
      </c>
      <c r="C808" t="s">
        <v>40</v>
      </c>
      <c r="D808">
        <v>4.5918279999999996</v>
      </c>
      <c r="E808">
        <v>0.56836450000000005</v>
      </c>
      <c r="F808" t="s">
        <v>43</v>
      </c>
      <c r="G808">
        <v>-250.8579</v>
      </c>
      <c r="H808" s="1">
        <v>-4.8821390000000003E-6</v>
      </c>
      <c r="I808">
        <v>364.1035</v>
      </c>
      <c r="J808">
        <v>-272.55470000000003</v>
      </c>
      <c r="K808">
        <v>1.1019080000000001</v>
      </c>
      <c r="L808">
        <v>369.35419999999999</v>
      </c>
      <c r="M808">
        <v>0.99987899999999996</v>
      </c>
      <c r="N808">
        <v>0</v>
      </c>
      <c r="O808">
        <v>1.063952E-2</v>
      </c>
      <c r="P808">
        <v>0.99671399999999999</v>
      </c>
      <c r="Q808">
        <v>-5.9295970000000003E-2</v>
      </c>
      <c r="R808">
        <v>-5.518489E-2</v>
      </c>
      <c r="S808">
        <v>2.9619749999999998</v>
      </c>
      <c r="T808">
        <v>-0.14850329999999901</v>
      </c>
      <c r="U808">
        <v>-0.70782469999999997</v>
      </c>
      <c r="V808">
        <v>6.5779790000000005E-2</v>
      </c>
      <c r="W808">
        <v>-4.7985809999999997E-2</v>
      </c>
      <c r="X808">
        <v>0.99667969999999895</v>
      </c>
      <c r="Y808">
        <v>0.2424608</v>
      </c>
      <c r="Z808">
        <v>-6.5159850000000002E-3</v>
      </c>
      <c r="AA808">
        <v>0.97013930000000004</v>
      </c>
      <c r="AB808">
        <v>40</v>
      </c>
      <c r="AC808">
        <v>21.6968</v>
      </c>
      <c r="AD808">
        <v>-1.1019128821389901</v>
      </c>
      <c r="AE808">
        <v>-5.2506999999999904</v>
      </c>
      <c r="AF808">
        <v>5.46793795735522</v>
      </c>
      <c r="AG808">
        <v>-1.1019128821389901</v>
      </c>
      <c r="AH808">
        <v>21.5871039777597</v>
      </c>
      <c r="AI808">
        <v>92.832814544328201</v>
      </c>
      <c r="AJ808">
        <v>75.786129479691496</v>
      </c>
      <c r="AK808">
        <v>22.296089694202401</v>
      </c>
      <c r="AL808">
        <v>92.750440564463801</v>
      </c>
      <c r="AM808">
        <v>86.224016270496193</v>
      </c>
      <c r="AN808">
        <v>1.0000000215629401</v>
      </c>
    </row>
    <row r="809" spans="1:40" x14ac:dyDescent="0.25">
      <c r="A809" t="str">
        <f>"20190312151515118"</f>
        <v>20190312151515118</v>
      </c>
      <c r="B809" t="str">
        <f>"1552374915108512"</f>
        <v>1552374915108512</v>
      </c>
      <c r="C809" t="s">
        <v>40</v>
      </c>
      <c r="D809">
        <v>4.7526900000000003</v>
      </c>
      <c r="E809">
        <v>0.56853619999999905</v>
      </c>
      <c r="F809" t="s">
        <v>43</v>
      </c>
      <c r="G809">
        <v>-249.16569999999999</v>
      </c>
      <c r="H809" s="1">
        <v>-1.8670929999999999E-6</v>
      </c>
      <c r="I809">
        <v>363.74400000000003</v>
      </c>
      <c r="J809">
        <v>-272.29149999999998</v>
      </c>
      <c r="K809">
        <v>1.1027209999999901</v>
      </c>
      <c r="L809">
        <v>369.3569</v>
      </c>
      <c r="M809">
        <v>0.99987610000000005</v>
      </c>
      <c r="N809">
        <v>0</v>
      </c>
      <c r="O809">
        <v>1.0628840000000001E-2</v>
      </c>
      <c r="P809">
        <v>0.99670080000000005</v>
      </c>
      <c r="Q809">
        <v>-5.9632930000000001E-2</v>
      </c>
      <c r="R809">
        <v>-5.5060070000000003E-2</v>
      </c>
      <c r="S809">
        <v>2.96225</v>
      </c>
      <c r="T809">
        <v>-0.1395583</v>
      </c>
      <c r="U809">
        <v>-0.71054079999999997</v>
      </c>
      <c r="V809">
        <v>6.5644839999999996E-2</v>
      </c>
      <c r="W809">
        <v>-4.8066940000000002E-2</v>
      </c>
      <c r="X809">
        <v>0.99668469999999998</v>
      </c>
      <c r="Y809">
        <v>0.24330570000000001</v>
      </c>
      <c r="Z809">
        <v>-6.1418559999999898E-3</v>
      </c>
      <c r="AA809">
        <v>0.96993019999999996</v>
      </c>
      <c r="AB809">
        <v>40</v>
      </c>
      <c r="AC809">
        <v>23.125800000000002</v>
      </c>
      <c r="AD809">
        <v>-1.1027228670929901</v>
      </c>
      <c r="AE809">
        <v>-5.6128999999999598</v>
      </c>
      <c r="AF809">
        <v>5.8458474571013896</v>
      </c>
      <c r="AG809">
        <v>-1.1027228670929901</v>
      </c>
      <c r="AH809">
        <v>23.015411246954901</v>
      </c>
      <c r="AI809">
        <v>92.658781135331196</v>
      </c>
      <c r="AJ809">
        <v>75.748415296501904</v>
      </c>
      <c r="AK809">
        <v>23.771812826954701</v>
      </c>
      <c r="AL809">
        <v>92.755094308249696</v>
      </c>
      <c r="AM809">
        <v>86.2317593670018</v>
      </c>
      <c r="AN809">
        <v>1.00000003347683</v>
      </c>
    </row>
    <row r="810" spans="1:40" x14ac:dyDescent="0.25">
      <c r="A810" t="str">
        <f>"20190312151515130"</f>
        <v>20190312151515130</v>
      </c>
      <c r="B810" t="str">
        <f>"1552374915128033"</f>
        <v>1552374915128033</v>
      </c>
      <c r="C810" t="s">
        <v>40</v>
      </c>
      <c r="D810">
        <v>4.7563219999999999</v>
      </c>
      <c r="E810">
        <v>0.56880839999999999</v>
      </c>
      <c r="F810" t="s">
        <v>43</v>
      </c>
      <c r="G810">
        <v>-249.0719</v>
      </c>
      <c r="H810" s="1">
        <v>-1.893908E-6</v>
      </c>
      <c r="I810">
        <v>363.77859999999998</v>
      </c>
      <c r="J810">
        <v>-272.0573</v>
      </c>
      <c r="K810">
        <v>1.10338</v>
      </c>
      <c r="L810">
        <v>369.35939999999999</v>
      </c>
      <c r="M810">
        <v>0.99987380000000003</v>
      </c>
      <c r="N810">
        <v>0</v>
      </c>
      <c r="O810">
        <v>1.0618239999999999E-2</v>
      </c>
      <c r="P810">
        <v>0.99668100000000004</v>
      </c>
      <c r="Q810">
        <v>-5.9853040000000003E-2</v>
      </c>
      <c r="R810">
        <v>-5.5183709999999997E-2</v>
      </c>
      <c r="S810">
        <v>2.962189</v>
      </c>
      <c r="T810">
        <v>-0.1406771</v>
      </c>
      <c r="U810">
        <v>-0.71163940000000003</v>
      </c>
      <c r="V810">
        <v>6.575802E-2</v>
      </c>
      <c r="W810">
        <v>-4.8069899999999999E-2</v>
      </c>
      <c r="X810">
        <v>0.99667700000000004</v>
      </c>
      <c r="Y810">
        <v>0.2436355</v>
      </c>
      <c r="Z810">
        <v>-6.1981199999999997E-3</v>
      </c>
      <c r="AA810">
        <v>0.96984709999999996</v>
      </c>
      <c r="AB810">
        <v>40</v>
      </c>
      <c r="AC810">
        <v>22.985399999999998</v>
      </c>
      <c r="AD810">
        <v>-1.103381893908</v>
      </c>
      <c r="AE810">
        <v>-5.5808000000000098</v>
      </c>
      <c r="AF810">
        <v>5.8119197590556499</v>
      </c>
      <c r="AG810">
        <v>-1.103381893908</v>
      </c>
      <c r="AH810">
        <v>22.875063979594501</v>
      </c>
      <c r="AI810">
        <v>92.676618584271694</v>
      </c>
      <c r="AJ810">
        <v>75.744368098501397</v>
      </c>
      <c r="AK810">
        <v>23.627619748084001</v>
      </c>
      <c r="AL810">
        <v>92.755264364931406</v>
      </c>
      <c r="AM810">
        <v>86.225252132853299</v>
      </c>
      <c r="AN810">
        <v>0.99999993740466298</v>
      </c>
    </row>
    <row r="811" spans="1:40" x14ac:dyDescent="0.25">
      <c r="A811" t="str">
        <f>"20190312151515141"</f>
        <v>20190312151515141</v>
      </c>
      <c r="B811" t="str">
        <f>"1552374915138769"</f>
        <v>1552374915138769</v>
      </c>
      <c r="C811" t="s">
        <v>40</v>
      </c>
      <c r="D811">
        <v>4.7720799999999999</v>
      </c>
      <c r="E811">
        <v>0.56895709999999999</v>
      </c>
      <c r="F811" t="s">
        <v>43</v>
      </c>
      <c r="G811">
        <v>-248.8374</v>
      </c>
      <c r="H811" s="1">
        <v>-1.9880529999999998E-6</v>
      </c>
      <c r="I811">
        <v>363.76319999999998</v>
      </c>
      <c r="J811">
        <v>-271.87490000000003</v>
      </c>
      <c r="K811">
        <v>1.103837</v>
      </c>
      <c r="L811">
        <v>369.36130000000003</v>
      </c>
      <c r="M811">
        <v>0.99987179999999998</v>
      </c>
      <c r="N811">
        <v>0</v>
      </c>
      <c r="O811">
        <v>1.060908E-2</v>
      </c>
      <c r="P811">
        <v>0.9966682</v>
      </c>
      <c r="Q811">
        <v>-6.0055110000000002E-2</v>
      </c>
      <c r="R811">
        <v>-5.5187519999999997E-2</v>
      </c>
      <c r="S811">
        <v>2.9620060000000001</v>
      </c>
      <c r="T811">
        <v>-0.14075099999999999</v>
      </c>
      <c r="U811">
        <v>-0.71386719999999904</v>
      </c>
      <c r="V811">
        <v>6.575317E-2</v>
      </c>
      <c r="W811">
        <v>-4.8113320000000001E-2</v>
      </c>
      <c r="X811">
        <v>0.99667530000000004</v>
      </c>
      <c r="Y811">
        <v>0.24432870000000001</v>
      </c>
      <c r="Z811">
        <v>-6.2170109999999997E-3</v>
      </c>
      <c r="AA811">
        <v>0.9696726</v>
      </c>
      <c r="AB811">
        <v>40</v>
      </c>
      <c r="AC811">
        <v>23.037500000000001</v>
      </c>
      <c r="AD811">
        <v>-1.103838988053</v>
      </c>
      <c r="AE811">
        <v>-5.5981000000000396</v>
      </c>
      <c r="AF811">
        <v>5.8295716560312298</v>
      </c>
      <c r="AG811">
        <v>-1.103838988053</v>
      </c>
      <c r="AH811">
        <v>22.927106327224099</v>
      </c>
      <c r="AI811">
        <v>92.671533391580098</v>
      </c>
      <c r="AJ811">
        <v>75.733970596614199</v>
      </c>
      <c r="AK811">
        <v>23.682368351670199</v>
      </c>
      <c r="AL811">
        <v>92.757754823067103</v>
      </c>
      <c r="AM811">
        <v>86.225523316164001</v>
      </c>
      <c r="AN811">
        <v>1.0000000122782799</v>
      </c>
    </row>
    <row r="812" spans="1:40" x14ac:dyDescent="0.25">
      <c r="A812" t="str">
        <f>"20190312151515153"</f>
        <v>20190312151515153</v>
      </c>
      <c r="B812" t="str">
        <f>"1552374915148529"</f>
        <v>1552374915148529</v>
      </c>
      <c r="C812" t="s">
        <v>40</v>
      </c>
      <c r="D812">
        <v>4.7710759999999999</v>
      </c>
      <c r="E812">
        <v>0.56908199999999998</v>
      </c>
      <c r="F812" t="s">
        <v>43</v>
      </c>
      <c r="G812">
        <v>-248.7045</v>
      </c>
      <c r="H812" s="1">
        <v>-2.0383699999999998E-6</v>
      </c>
      <c r="I812">
        <v>363.76589999999999</v>
      </c>
      <c r="J812">
        <v>-271.6601</v>
      </c>
      <c r="K812">
        <v>1.10436</v>
      </c>
      <c r="L812">
        <v>369.36360000000002</v>
      </c>
      <c r="M812">
        <v>0.99986980000000003</v>
      </c>
      <c r="N812">
        <v>0</v>
      </c>
      <c r="O812">
        <v>1.0598089999999999E-2</v>
      </c>
      <c r="P812">
        <v>0.99664350000000002</v>
      </c>
      <c r="Q812">
        <v>-6.0531880000000003E-2</v>
      </c>
      <c r="R812">
        <v>-5.5116119999999998E-2</v>
      </c>
      <c r="S812">
        <v>2.9619140000000002</v>
      </c>
      <c r="T812">
        <v>-0.14110539999999999</v>
      </c>
      <c r="U812">
        <v>-0.71527099999999999</v>
      </c>
      <c r="V812">
        <v>6.5670660000000006E-2</v>
      </c>
      <c r="W812">
        <v>-4.8406350000000001E-2</v>
      </c>
      <c r="X812">
        <v>0.99666659999999996</v>
      </c>
      <c r="Y812">
        <v>0.24475740000000001</v>
      </c>
      <c r="Z812">
        <v>-6.2420399999999999E-3</v>
      </c>
      <c r="AA812">
        <v>0.96956430000000005</v>
      </c>
      <c r="AB812">
        <v>40</v>
      </c>
      <c r="AC812">
        <v>22.9556</v>
      </c>
      <c r="AD812">
        <v>-1.1043620383699999</v>
      </c>
      <c r="AE812">
        <v>-5.5977000000000299</v>
      </c>
      <c r="AF812">
        <v>5.8279576965822599</v>
      </c>
      <c r="AG812">
        <v>-1.1043620383699999</v>
      </c>
      <c r="AH812">
        <v>22.845075276619401</v>
      </c>
      <c r="AI812">
        <v>92.681841247343797</v>
      </c>
      <c r="AJ812">
        <v>75.688647034397405</v>
      </c>
      <c r="AK812">
        <v>23.602588222891001</v>
      </c>
      <c r="AL812">
        <v>92.774563655649303</v>
      </c>
      <c r="AM812">
        <v>86.230213219901401</v>
      </c>
      <c r="AN812">
        <v>1.0000000609303501</v>
      </c>
    </row>
    <row r="813" spans="1:40" x14ac:dyDescent="0.25">
      <c r="A813" t="str">
        <f>"20190312151515164"</f>
        <v>20190312151515164</v>
      </c>
      <c r="B813" t="str">
        <f>"1552374915158288"</f>
        <v>1552374915158288</v>
      </c>
      <c r="C813" t="s">
        <v>40</v>
      </c>
      <c r="D813">
        <v>4.7935019999999904</v>
      </c>
      <c r="E813">
        <v>0.56924069999999904</v>
      </c>
      <c r="F813" t="s">
        <v>43</v>
      </c>
      <c r="G813">
        <v>-248.75479999999999</v>
      </c>
      <c r="H813" s="1">
        <v>-2.0026169999999999E-6</v>
      </c>
      <c r="I813">
        <v>363.82760000000002</v>
      </c>
      <c r="J813">
        <v>-271.46300000000002</v>
      </c>
      <c r="K813">
        <v>1.104776</v>
      </c>
      <c r="L813">
        <v>369.3657</v>
      </c>
      <c r="M813">
        <v>0.99986790000000003</v>
      </c>
      <c r="N813">
        <v>0</v>
      </c>
      <c r="O813">
        <v>1.058808E-2</v>
      </c>
      <c r="P813">
        <v>0.99662980000000001</v>
      </c>
      <c r="Q813">
        <v>-6.0724199999999999E-2</v>
      </c>
      <c r="R813">
        <v>-5.5152699999999902E-2</v>
      </c>
      <c r="S813">
        <v>2.9618530000000001</v>
      </c>
      <c r="T813">
        <v>-0.14280370000000001</v>
      </c>
      <c r="U813">
        <v>-0.71585080000000001</v>
      </c>
      <c r="V813">
        <v>6.5697259999999993E-2</v>
      </c>
      <c r="W813">
        <v>-4.8442840000000001E-2</v>
      </c>
      <c r="X813">
        <v>0.99666299999999997</v>
      </c>
      <c r="Y813">
        <v>0.2449248</v>
      </c>
      <c r="Z813">
        <v>-6.3205680000000004E-3</v>
      </c>
      <c r="AA813">
        <v>0.96952150000000004</v>
      </c>
      <c r="AB813">
        <v>40</v>
      </c>
      <c r="AC813">
        <v>22.708199999999898</v>
      </c>
      <c r="AD813">
        <v>-1.104778002617</v>
      </c>
      <c r="AE813">
        <v>-5.5380999999999796</v>
      </c>
      <c r="AF813">
        <v>5.7653639303112199</v>
      </c>
      <c r="AG813">
        <v>-1.104778002617</v>
      </c>
      <c r="AH813">
        <v>22.5977999954235</v>
      </c>
      <c r="AI813">
        <v>92.712149243495006</v>
      </c>
      <c r="AJ813">
        <v>75.687485113139104</v>
      </c>
      <c r="AK813">
        <v>23.347816178759899</v>
      </c>
      <c r="AL813">
        <v>92.776657039187299</v>
      </c>
      <c r="AM813">
        <v>86.228677084874306</v>
      </c>
      <c r="AN813">
        <v>0.99999998714388605</v>
      </c>
    </row>
    <row r="814" spans="1:40" x14ac:dyDescent="0.25">
      <c r="A814" t="str">
        <f>"20190312151515175"</f>
        <v>20190312151515175</v>
      </c>
      <c r="B814" t="str">
        <f>"1552374915168048"</f>
        <v>1552374915168048</v>
      </c>
      <c r="C814" t="s">
        <v>40</v>
      </c>
      <c r="D814">
        <v>4.6590089999999904</v>
      </c>
      <c r="E814">
        <v>0.56927190000000005</v>
      </c>
      <c r="F814" t="s">
        <v>43</v>
      </c>
      <c r="G814">
        <v>-248.5829</v>
      </c>
      <c r="H814" s="1">
        <v>-2.0695100000000001E-6</v>
      </c>
      <c r="I814">
        <v>363.82440000000003</v>
      </c>
      <c r="J814">
        <v>-271.27030000000002</v>
      </c>
      <c r="K814">
        <v>1.10517</v>
      </c>
      <c r="L814">
        <v>369.36770000000001</v>
      </c>
      <c r="M814">
        <v>0.99986629999999999</v>
      </c>
      <c r="N814">
        <v>0</v>
      </c>
      <c r="O814">
        <v>1.0577919999999999E-2</v>
      </c>
      <c r="P814">
        <v>0.99662030000000001</v>
      </c>
      <c r="Q814">
        <v>-6.0982719999999997E-2</v>
      </c>
      <c r="R814">
        <v>-5.5041680000000003E-2</v>
      </c>
      <c r="S814">
        <v>2.9617</v>
      </c>
      <c r="T814">
        <v>-0.1430072</v>
      </c>
      <c r="U814">
        <v>-0.71728519999999996</v>
      </c>
      <c r="V814">
        <v>6.5576289999999995E-2</v>
      </c>
      <c r="W814">
        <v>-4.8551799999999999E-2</v>
      </c>
      <c r="X814">
        <v>0.99666569999999999</v>
      </c>
      <c r="Y814">
        <v>0.2453687</v>
      </c>
      <c r="Z814">
        <v>-6.3396019999999997E-3</v>
      </c>
      <c r="AA814">
        <v>0.96940910000000002</v>
      </c>
      <c r="AB814">
        <v>40</v>
      </c>
      <c r="AC814">
        <v>22.6874</v>
      </c>
      <c r="AD814">
        <v>-1.10517206951</v>
      </c>
      <c r="AE814">
        <v>-5.5432999999999799</v>
      </c>
      <c r="AF814">
        <v>5.77007318678519</v>
      </c>
      <c r="AG814">
        <v>-1.10517206951</v>
      </c>
      <c r="AH814">
        <v>22.576933344167301</v>
      </c>
      <c r="AI814">
        <v>92.715330193982197</v>
      </c>
      <c r="AJ814">
        <v>75.663582053339496</v>
      </c>
      <c r="AK814">
        <v>23.328803422187299</v>
      </c>
      <c r="AL814">
        <v>92.7829072440761</v>
      </c>
      <c r="AM814">
        <v>86.235611499259903</v>
      </c>
      <c r="AN814">
        <v>1.0000000223249399</v>
      </c>
    </row>
    <row r="815" spans="1:40" x14ac:dyDescent="0.25">
      <c r="A815" t="str">
        <f>"20190312151515186"</f>
        <v>20190312151515186</v>
      </c>
      <c r="B815" t="str">
        <f>"1552374915178785"</f>
        <v>1552374915178785</v>
      </c>
      <c r="C815" t="s">
        <v>40</v>
      </c>
      <c r="D815">
        <v>4.7819919999999998</v>
      </c>
      <c r="E815">
        <v>0.56940009999999996</v>
      </c>
      <c r="F815" t="s">
        <v>43</v>
      </c>
      <c r="G815">
        <v>-248.39169999999999</v>
      </c>
      <c r="H815" s="1">
        <v>-2.142083E-6</v>
      </c>
      <c r="I815">
        <v>363.82749999999999</v>
      </c>
      <c r="J815">
        <v>-271.06360000000001</v>
      </c>
      <c r="K815">
        <v>1.1055459999999999</v>
      </c>
      <c r="L815">
        <v>369.36989999999997</v>
      </c>
      <c r="M815">
        <v>0.99986450000000004</v>
      </c>
      <c r="N815">
        <v>0</v>
      </c>
      <c r="O815">
        <v>1.05678E-2</v>
      </c>
      <c r="P815">
        <v>0.99658619999999998</v>
      </c>
      <c r="Q815">
        <v>-6.1276440000000001E-2</v>
      </c>
      <c r="R815">
        <v>-5.5331949999999998E-2</v>
      </c>
      <c r="S815">
        <v>2.9618229999999999</v>
      </c>
      <c r="T815">
        <v>-0.1430739</v>
      </c>
      <c r="U815">
        <v>-0.71722410000000003</v>
      </c>
      <c r="V815">
        <v>6.5856129999999999E-2</v>
      </c>
      <c r="W815">
        <v>-4.8695870000000002E-2</v>
      </c>
      <c r="X815">
        <v>0.99664019999999998</v>
      </c>
      <c r="Y815">
        <v>0.24533070000000001</v>
      </c>
      <c r="Z815">
        <v>-6.3409340000000003E-3</v>
      </c>
      <c r="AA815">
        <v>0.96941869999999997</v>
      </c>
      <c r="AB815">
        <v>40</v>
      </c>
      <c r="AC815">
        <v>22.671900000000001</v>
      </c>
      <c r="AD815">
        <v>-1.105548142083</v>
      </c>
      <c r="AE815">
        <v>-5.5423999999999802</v>
      </c>
      <c r="AF815">
        <v>5.7687580892366102</v>
      </c>
      <c r="AG815">
        <v>-1.105548142083</v>
      </c>
      <c r="AH815">
        <v>22.561436272287299</v>
      </c>
      <c r="AI815">
        <v>92.718039382582305</v>
      </c>
      <c r="AJ815">
        <v>75.657275673576393</v>
      </c>
      <c r="AK815">
        <v>23.313498520279602</v>
      </c>
      <c r="AL815">
        <v>92.791171676439404</v>
      </c>
      <c r="AM815">
        <v>86.219497401499694</v>
      </c>
      <c r="AN815">
        <v>1.0000000029348299</v>
      </c>
    </row>
    <row r="816" spans="1:40" x14ac:dyDescent="0.25">
      <c r="A816" t="str">
        <f>"20190312151515198"</f>
        <v>20190312151515198</v>
      </c>
      <c r="B816" t="str">
        <f>"1552374915188544"</f>
        <v>1552374915188544</v>
      </c>
      <c r="C816" t="s">
        <v>40</v>
      </c>
      <c r="D816">
        <v>4.7637010000000002</v>
      </c>
      <c r="E816">
        <v>0.56949989999999995</v>
      </c>
      <c r="F816" t="s">
        <v>43</v>
      </c>
      <c r="G816">
        <v>-248.3186</v>
      </c>
      <c r="H816" s="1">
        <v>-2.1652789999999999E-6</v>
      </c>
      <c r="I816">
        <v>363.84589999999997</v>
      </c>
      <c r="J816">
        <v>-270.87009999999998</v>
      </c>
      <c r="K816">
        <v>1.105877</v>
      </c>
      <c r="L816">
        <v>369.37189999999998</v>
      </c>
      <c r="M816">
        <v>0.99986269999999999</v>
      </c>
      <c r="N816">
        <v>0</v>
      </c>
      <c r="O816">
        <v>1.055854E-2</v>
      </c>
      <c r="P816">
        <v>0.99655360000000004</v>
      </c>
      <c r="Q816">
        <v>-6.140056E-2</v>
      </c>
      <c r="R816">
        <v>-5.5774520000000001E-2</v>
      </c>
      <c r="S816">
        <v>2.961487</v>
      </c>
      <c r="T816">
        <v>-0.14394650000000001</v>
      </c>
      <c r="U816">
        <v>-0.7192383</v>
      </c>
      <c r="V816">
        <v>6.6289600000000004E-2</v>
      </c>
      <c r="W816">
        <v>-4.8685600000000002E-2</v>
      </c>
      <c r="X816">
        <v>0.99661200000000005</v>
      </c>
      <c r="Y816">
        <v>0.2459654</v>
      </c>
      <c r="Z816">
        <v>-6.3945149999999999E-3</v>
      </c>
      <c r="AA816">
        <v>0.96925749999999999</v>
      </c>
      <c r="AB816">
        <v>40</v>
      </c>
      <c r="AC816">
        <v>22.551499999999901</v>
      </c>
      <c r="AD816">
        <v>-1.1058791652789901</v>
      </c>
      <c r="AE816">
        <v>-5.5260000000000096</v>
      </c>
      <c r="AF816">
        <v>5.7507765604457797</v>
      </c>
      <c r="AG816">
        <v>-1.1058791652789901</v>
      </c>
      <c r="AH816">
        <v>22.440983881936301</v>
      </c>
      <c r="AI816">
        <v>92.733048953426703</v>
      </c>
      <c r="AJ816">
        <v>75.626563797519196</v>
      </c>
      <c r="AK816">
        <v>23.192502179922201</v>
      </c>
      <c r="AL816">
        <v>92.790582450335805</v>
      </c>
      <c r="AM816">
        <v>86.194579362375407</v>
      </c>
      <c r="AN816">
        <v>1.0000000386297501</v>
      </c>
    </row>
    <row r="817" spans="1:40" x14ac:dyDescent="0.25">
      <c r="A817" t="str">
        <f>"20190312151515208"</f>
        <v>20190312151515208</v>
      </c>
      <c r="B817" t="str">
        <f>"1552374915198304"</f>
        <v>1552374915198304</v>
      </c>
      <c r="C817" t="s">
        <v>40</v>
      </c>
      <c r="D817">
        <v>4.8185570000000002</v>
      </c>
      <c r="E817">
        <v>0.56962500000000005</v>
      </c>
      <c r="F817" t="s">
        <v>43</v>
      </c>
      <c r="G817">
        <v>-248.11</v>
      </c>
      <c r="H817" s="1">
        <v>-2.2501369999999998E-6</v>
      </c>
      <c r="I817">
        <v>363.82799999999997</v>
      </c>
      <c r="J817">
        <v>-270.6807</v>
      </c>
      <c r="K817">
        <v>1.1061719999999999</v>
      </c>
      <c r="L817">
        <v>369.37389999999999</v>
      </c>
      <c r="M817">
        <v>0.99986129999999995</v>
      </c>
      <c r="N817">
        <v>0</v>
      </c>
      <c r="O817">
        <v>1.05495E-2</v>
      </c>
      <c r="P817">
        <v>0.99652890000000005</v>
      </c>
      <c r="Q817">
        <v>-6.1322260000000003E-2</v>
      </c>
      <c r="R817">
        <v>-5.6303579999999999E-2</v>
      </c>
      <c r="S817">
        <v>2.961182</v>
      </c>
      <c r="T817">
        <v>-0.14387929999999999</v>
      </c>
      <c r="U817">
        <v>-0.72128300000000001</v>
      </c>
      <c r="V817">
        <v>6.6809309999999997E-2</v>
      </c>
      <c r="W817">
        <v>-4.8482110000000002E-2</v>
      </c>
      <c r="X817">
        <v>0.99658720000000001</v>
      </c>
      <c r="Y817">
        <v>0.24661089999999999</v>
      </c>
      <c r="Z817">
        <v>-6.4066749999999997E-3</v>
      </c>
      <c r="AA817">
        <v>0.96909339999999999</v>
      </c>
      <c r="AB817">
        <v>40</v>
      </c>
      <c r="AC817">
        <v>22.570699999999899</v>
      </c>
      <c r="AD817">
        <v>-1.106174250137</v>
      </c>
      <c r="AE817">
        <v>-5.5458999999999596</v>
      </c>
      <c r="AF817">
        <v>5.7706492996537602</v>
      </c>
      <c r="AG817">
        <v>-1.106174250137</v>
      </c>
      <c r="AH817">
        <v>22.460056968937501</v>
      </c>
      <c r="AI817">
        <v>92.731021075858493</v>
      </c>
      <c r="AJ817">
        <v>75.5906983117507</v>
      </c>
      <c r="AK817">
        <v>23.215903468510099</v>
      </c>
      <c r="AL817">
        <v>92.778909591481906</v>
      </c>
      <c r="AM817">
        <v>86.164738428601893</v>
      </c>
      <c r="AN817">
        <v>1.00000002304828</v>
      </c>
    </row>
    <row r="818" spans="1:40" x14ac:dyDescent="0.25">
      <c r="A818" t="str">
        <f>"20190312151515219"</f>
        <v>20190312151515219</v>
      </c>
      <c r="B818" t="str">
        <f>"1552374915208065"</f>
        <v>1552374915208065</v>
      </c>
      <c r="C818" t="s">
        <v>40</v>
      </c>
      <c r="D818">
        <v>4.7903289999999998</v>
      </c>
      <c r="E818">
        <v>0.56972909999999999</v>
      </c>
      <c r="F818" t="s">
        <v>43</v>
      </c>
      <c r="G818">
        <v>-247.93430000000001</v>
      </c>
      <c r="H818" s="1">
        <v>-2.3219000000000002E-6</v>
      </c>
      <c r="I818">
        <v>363.81189999999998</v>
      </c>
      <c r="J818">
        <v>-270.48649999999998</v>
      </c>
      <c r="K818">
        <v>1.106449</v>
      </c>
      <c r="L818">
        <v>369.3759</v>
      </c>
      <c r="M818">
        <v>0.99985970000000002</v>
      </c>
      <c r="N818">
        <v>0</v>
      </c>
      <c r="O818">
        <v>1.054066E-2</v>
      </c>
      <c r="P818">
        <v>0.99651449999999997</v>
      </c>
      <c r="Q818">
        <v>-6.107075E-2</v>
      </c>
      <c r="R818">
        <v>-5.6825769999999998E-2</v>
      </c>
      <c r="S818">
        <v>2.9607239999999999</v>
      </c>
      <c r="T818">
        <v>-0.14398250000000001</v>
      </c>
      <c r="U818">
        <v>-0.72396850000000001</v>
      </c>
      <c r="V818">
        <v>6.7322750000000001E-2</v>
      </c>
      <c r="W818">
        <v>-4.8109119999999998E-2</v>
      </c>
      <c r="X818">
        <v>0.99657070000000003</v>
      </c>
      <c r="Y818">
        <v>0.24746489999999999</v>
      </c>
      <c r="Z818">
        <v>-6.4315800000000001E-3</v>
      </c>
      <c r="AA818">
        <v>0.9688755</v>
      </c>
      <c r="AB818">
        <v>40</v>
      </c>
      <c r="AC818">
        <v>22.5521999999999</v>
      </c>
      <c r="AD818">
        <v>-1.1064513219000001</v>
      </c>
      <c r="AE818">
        <v>-5.5640000000000196</v>
      </c>
      <c r="AF818">
        <v>5.7882927121808398</v>
      </c>
      <c r="AG818">
        <v>-1.1064513219000001</v>
      </c>
      <c r="AH818">
        <v>22.441375343469701</v>
      </c>
      <c r="AI818">
        <v>92.733315656081999</v>
      </c>
      <c r="AJ818">
        <v>75.536958994670698</v>
      </c>
      <c r="AK818">
        <v>23.202238994461499</v>
      </c>
      <c r="AL818">
        <v>92.757513935422693</v>
      </c>
      <c r="AM818">
        <v>86.135289029546101</v>
      </c>
      <c r="AN818">
        <v>1.0000000000966101</v>
      </c>
    </row>
    <row r="819" spans="1:40" x14ac:dyDescent="0.25">
      <c r="A819" t="str">
        <f>"20190312151515231"</f>
        <v>20190312151515231</v>
      </c>
      <c r="B819" t="str">
        <f>"1552374915228560"</f>
        <v>1552374915228560</v>
      </c>
      <c r="C819" t="s">
        <v>40</v>
      </c>
      <c r="D819">
        <v>4.8537650000000001</v>
      </c>
      <c r="E819">
        <v>0.5698761</v>
      </c>
      <c r="F819" t="s">
        <v>43</v>
      </c>
      <c r="G819">
        <v>-247.62379999999999</v>
      </c>
      <c r="H819" s="1">
        <v>-2.4527580000000002E-6</v>
      </c>
      <c r="I819">
        <v>363.76819999999998</v>
      </c>
      <c r="J819">
        <v>-270.2792</v>
      </c>
      <c r="K819">
        <v>1.1067290000000001</v>
      </c>
      <c r="L819">
        <v>369.37810000000002</v>
      </c>
      <c r="M819">
        <v>0.99985829999999998</v>
      </c>
      <c r="N819">
        <v>0</v>
      </c>
      <c r="O819">
        <v>1.053131E-2</v>
      </c>
      <c r="P819">
        <v>0.99651149999999999</v>
      </c>
      <c r="Q819">
        <v>-6.0957030000000002E-2</v>
      </c>
      <c r="R819">
        <v>-5.7001400000000001E-2</v>
      </c>
      <c r="S819">
        <v>2.9602970000000002</v>
      </c>
      <c r="T819">
        <v>-0.14326549999999999</v>
      </c>
      <c r="U819">
        <v>-0.72610469999999905</v>
      </c>
      <c r="V819">
        <v>6.7489069999999998E-2</v>
      </c>
      <c r="W819">
        <v>-4.7870280000000001E-2</v>
      </c>
      <c r="X819">
        <v>0.99657090000000004</v>
      </c>
      <c r="Y819">
        <v>0.2481498</v>
      </c>
      <c r="Z819">
        <v>-6.4158169999999999E-3</v>
      </c>
      <c r="AA819">
        <v>0.96870040000000002</v>
      </c>
      <c r="AB819">
        <v>40</v>
      </c>
      <c r="AC819">
        <v>22.6554</v>
      </c>
      <c r="AD819">
        <v>-1.1067314527579999</v>
      </c>
      <c r="AE819">
        <v>-5.6099000000000396</v>
      </c>
      <c r="AF819">
        <v>5.8350801694775196</v>
      </c>
      <c r="AG819">
        <v>-1.1067314527579999</v>
      </c>
      <c r="AH819">
        <v>22.544367260950398</v>
      </c>
      <c r="AI819">
        <v>92.720945038451703</v>
      </c>
      <c r="AJ819">
        <v>75.488779800830599</v>
      </c>
      <c r="AK819">
        <v>23.313547784268401</v>
      </c>
      <c r="AL819">
        <v>92.743813768010398</v>
      </c>
      <c r="AM819">
        <v>86.125771125738197</v>
      </c>
      <c r="AN819">
        <v>0.99999994850177498</v>
      </c>
    </row>
    <row r="820" spans="1:40" x14ac:dyDescent="0.25">
      <c r="A820" t="str">
        <f>"20190312151515242"</f>
        <v>20190312151515242</v>
      </c>
      <c r="B820" t="str">
        <f>"1552374915238321"</f>
        <v>1552374915238321</v>
      </c>
      <c r="C820" t="s">
        <v>40</v>
      </c>
      <c r="D820">
        <v>4.8439860000000001</v>
      </c>
      <c r="E820">
        <v>0.5698761</v>
      </c>
      <c r="F820" t="s">
        <v>43</v>
      </c>
      <c r="G820">
        <v>-247.33029999999999</v>
      </c>
      <c r="H820" s="1">
        <v>-2.5743850000000001E-6</v>
      </c>
      <c r="I820">
        <v>363.73469999999998</v>
      </c>
      <c r="J820">
        <v>-270.08929999999998</v>
      </c>
      <c r="K820">
        <v>1.1069610000000001</v>
      </c>
      <c r="L820">
        <v>369.38010000000003</v>
      </c>
      <c r="M820">
        <v>0.99985690000000005</v>
      </c>
      <c r="N820">
        <v>0</v>
      </c>
      <c r="O820">
        <v>1.0523040000000001E-2</v>
      </c>
      <c r="P820">
        <v>0.99650649999999996</v>
      </c>
      <c r="Q820">
        <v>-6.0844389999999998E-2</v>
      </c>
      <c r="R820">
        <v>-5.7209870000000003E-2</v>
      </c>
      <c r="S820">
        <v>2.9601440000000001</v>
      </c>
      <c r="T820">
        <v>-0.14275560000000001</v>
      </c>
      <c r="U820">
        <v>-0.72793580000000002</v>
      </c>
      <c r="V820">
        <v>6.7689440000000003E-2</v>
      </c>
      <c r="W820">
        <v>-4.7652140000000003E-2</v>
      </c>
      <c r="X820">
        <v>0.9965678</v>
      </c>
      <c r="Y820">
        <v>0.24871989999999999</v>
      </c>
      <c r="Z820">
        <v>-6.4060109999999996E-3</v>
      </c>
      <c r="AA820">
        <v>0.96855429999999998</v>
      </c>
      <c r="AB820">
        <v>40</v>
      </c>
      <c r="AC820">
        <v>22.758999999999901</v>
      </c>
      <c r="AD820">
        <v>-1.1069635743849999</v>
      </c>
      <c r="AE820">
        <v>-5.6454000000000502</v>
      </c>
      <c r="AF820">
        <v>5.87151709925483</v>
      </c>
      <c r="AG820">
        <v>-1.1069635743849999</v>
      </c>
      <c r="AH820">
        <v>22.6478550998111</v>
      </c>
      <c r="AI820">
        <v>92.708817828661097</v>
      </c>
      <c r="AJ820">
        <v>75.465898216839904</v>
      </c>
      <c r="AK820">
        <v>23.422754364589501</v>
      </c>
      <c r="AL820">
        <v>92.731300890892697</v>
      </c>
      <c r="AM820">
        <v>86.114291963990496</v>
      </c>
      <c r="AN820">
        <v>0.99999998336546603</v>
      </c>
    </row>
    <row r="821" spans="1:40" x14ac:dyDescent="0.25">
      <c r="A821" t="str">
        <f>"20190312151515252"</f>
        <v>20190312151515252</v>
      </c>
      <c r="B821" t="str">
        <f>"1552374915248081"</f>
        <v>1552374915248081</v>
      </c>
      <c r="C821" t="s">
        <v>40</v>
      </c>
      <c r="D821">
        <v>4.8171720000000002</v>
      </c>
      <c r="E821">
        <v>0.54962419999999901</v>
      </c>
      <c r="F821" t="s">
        <v>43</v>
      </c>
      <c r="G821">
        <v>-247.1003</v>
      </c>
      <c r="H821" s="1">
        <v>-2.6663059999999999E-6</v>
      </c>
      <c r="I821">
        <v>363.72109999999998</v>
      </c>
      <c r="J821">
        <v>-269.8922</v>
      </c>
      <c r="K821">
        <v>1.1071879999999901</v>
      </c>
      <c r="L821">
        <v>369.38209999999998</v>
      </c>
      <c r="M821">
        <v>0.99985559999999996</v>
      </c>
      <c r="N821">
        <v>0</v>
      </c>
      <c r="O821">
        <v>1.0514269999999999E-2</v>
      </c>
      <c r="P821">
        <v>0.9964885</v>
      </c>
      <c r="Q821">
        <v>-6.0802950000000001E-2</v>
      </c>
      <c r="R821">
        <v>-5.7568620000000001E-2</v>
      </c>
      <c r="S821">
        <v>2.959991</v>
      </c>
      <c r="T821">
        <v>-0.1425294</v>
      </c>
      <c r="U821">
        <v>-0.72863769999999894</v>
      </c>
      <c r="V821">
        <v>6.8039199999999994E-2</v>
      </c>
      <c r="W821">
        <v>-4.7503200000000002E-2</v>
      </c>
      <c r="X821">
        <v>0.99655110000000002</v>
      </c>
      <c r="Y821">
        <v>0.2489402</v>
      </c>
      <c r="Z821">
        <v>-6.4008199999999998E-3</v>
      </c>
      <c r="AA821">
        <v>0.96849770000000002</v>
      </c>
      <c r="AB821">
        <v>40</v>
      </c>
      <c r="AC821">
        <v>22.791899999999998</v>
      </c>
      <c r="AD821">
        <v>-1.1071906663059901</v>
      </c>
      <c r="AE821">
        <v>-5.6609999999999996</v>
      </c>
      <c r="AF821">
        <v>5.8872628156465998</v>
      </c>
      <c r="AG821">
        <v>-1.1071906663059901</v>
      </c>
      <c r="AH821">
        <v>22.680700407300499</v>
      </c>
      <c r="AI821">
        <v>92.705245624133696</v>
      </c>
      <c r="AJ821">
        <v>75.448784311653498</v>
      </c>
      <c r="AK821">
        <v>23.458471936547198</v>
      </c>
      <c r="AL821">
        <v>92.7227575620621</v>
      </c>
      <c r="AM821">
        <v>86.094210747142597</v>
      </c>
      <c r="AN821">
        <v>0.999999990829045</v>
      </c>
    </row>
    <row r="822" spans="1:40" x14ac:dyDescent="0.25">
      <c r="A822" t="str">
        <f>"20190312151515263"</f>
        <v>20190312151515263</v>
      </c>
      <c r="B822" t="str">
        <f>"1552374915258817"</f>
        <v>1552374915258817</v>
      </c>
      <c r="C822" t="s">
        <v>40</v>
      </c>
      <c r="D822">
        <v>4.7561119999999999</v>
      </c>
      <c r="E822">
        <v>0.54768479999999997</v>
      </c>
      <c r="F822" t="s">
        <v>43</v>
      </c>
      <c r="G822">
        <v>-254.96170000000001</v>
      </c>
      <c r="H822" s="1">
        <v>-2.692052E-6</v>
      </c>
      <c r="I822">
        <v>366.52519999999998</v>
      </c>
      <c r="J822">
        <v>-269.69200000000001</v>
      </c>
      <c r="K822">
        <v>1.1073850000000001</v>
      </c>
      <c r="L822">
        <v>369.38420000000002</v>
      </c>
      <c r="M822">
        <v>0.99985429999999997</v>
      </c>
      <c r="N822">
        <v>0</v>
      </c>
      <c r="O822">
        <v>1.0505550000000001E-2</v>
      </c>
      <c r="P822">
        <v>0.99646380000000001</v>
      </c>
      <c r="Q822">
        <v>-6.0916730000000002E-2</v>
      </c>
      <c r="R822">
        <v>-5.7871470000000001E-2</v>
      </c>
      <c r="S822">
        <v>2.9643860000000002</v>
      </c>
      <c r="T822">
        <v>-0.2198273</v>
      </c>
      <c r="U822">
        <v>-0.56723020000000002</v>
      </c>
      <c r="V822">
        <v>6.8333160000000004E-2</v>
      </c>
      <c r="W822">
        <v>-4.7518009999999999E-2</v>
      </c>
      <c r="X822">
        <v>0.99653029999999998</v>
      </c>
      <c r="Y822">
        <v>0.1976957</v>
      </c>
      <c r="Z822">
        <v>-8.0258489999999998E-3</v>
      </c>
      <c r="AA822">
        <v>0.98023059999999995</v>
      </c>
      <c r="AB822">
        <v>40</v>
      </c>
      <c r="AC822">
        <v>14.7303</v>
      </c>
      <c r="AD822">
        <v>-1.107387692052</v>
      </c>
      <c r="AE822">
        <v>-2.8590000000000302</v>
      </c>
      <c r="AF822">
        <v>2.99728144984415</v>
      </c>
      <c r="AG822">
        <v>-1.107387692052</v>
      </c>
      <c r="AH822">
        <v>14.619822183698901</v>
      </c>
      <c r="AI822">
        <v>94.243700391346195</v>
      </c>
      <c r="AJ822">
        <v>78.414054249182001</v>
      </c>
      <c r="AK822">
        <v>14.9649324847479</v>
      </c>
      <c r="AL822">
        <v>92.723607018478106</v>
      </c>
      <c r="AM822">
        <v>86.077306926102395</v>
      </c>
      <c r="AN822">
        <v>1.0000000104240101</v>
      </c>
    </row>
    <row r="823" spans="1:40" x14ac:dyDescent="0.25">
      <c r="A823" t="str">
        <f>"20190312151515274"</f>
        <v>20190312151515274</v>
      </c>
      <c r="B823" t="str">
        <f>"1552374915268576"</f>
        <v>1552374915268576</v>
      </c>
      <c r="C823" t="s">
        <v>40</v>
      </c>
      <c r="D823">
        <v>4.7770859999999997</v>
      </c>
      <c r="E823">
        <v>0.54650489999999996</v>
      </c>
      <c r="F823" t="s">
        <v>43</v>
      </c>
      <c r="G823">
        <v>-253.67320000000001</v>
      </c>
      <c r="H823" s="1">
        <v>-3.267468E-6</v>
      </c>
      <c r="I823">
        <v>366.39749999999998</v>
      </c>
      <c r="J823">
        <v>-269.50979999999998</v>
      </c>
      <c r="K823">
        <v>1.107559</v>
      </c>
      <c r="L823">
        <v>369.3861</v>
      </c>
      <c r="M823">
        <v>0.99985329999999994</v>
      </c>
      <c r="N823">
        <v>0</v>
      </c>
      <c r="O823">
        <v>1.049755E-2</v>
      </c>
      <c r="P823">
        <v>0.99643099999999996</v>
      </c>
      <c r="Q823">
        <v>-6.1221820000000003E-2</v>
      </c>
      <c r="R823">
        <v>-5.8115630000000001E-2</v>
      </c>
      <c r="S823">
        <v>2.9660030000000002</v>
      </c>
      <c r="T823">
        <v>-0.2050399</v>
      </c>
      <c r="U823">
        <v>-0.55300899999999997</v>
      </c>
      <c r="V823">
        <v>6.8569060000000001E-2</v>
      </c>
      <c r="W823">
        <v>-4.7734720000000001E-2</v>
      </c>
      <c r="X823">
        <v>0.99650369999999999</v>
      </c>
      <c r="Y823">
        <v>0.1931312</v>
      </c>
      <c r="Z823">
        <v>-7.329754E-3</v>
      </c>
      <c r="AA823">
        <v>0.98114559999999995</v>
      </c>
      <c r="AB823">
        <v>40</v>
      </c>
      <c r="AC823">
        <v>15.836599999999899</v>
      </c>
      <c r="AD823">
        <v>-1.1075622674679999</v>
      </c>
      <c r="AE823">
        <v>-2.9886000000000101</v>
      </c>
      <c r="AF823">
        <v>3.13986654190888</v>
      </c>
      <c r="AG823">
        <v>-1.1075622674679999</v>
      </c>
      <c r="AH823">
        <v>15.730058847967801</v>
      </c>
      <c r="AI823">
        <v>93.949913585255203</v>
      </c>
      <c r="AJ823">
        <v>78.711591850577605</v>
      </c>
      <c r="AK823">
        <v>16.078563599956599</v>
      </c>
      <c r="AL823">
        <v>92.736037798583695</v>
      </c>
      <c r="AM823">
        <v>86.063702745580997</v>
      </c>
      <c r="AN823">
        <v>0.99999997179822497</v>
      </c>
    </row>
    <row r="824" spans="1:40" x14ac:dyDescent="0.25">
      <c r="A824" t="str">
        <f>"20190312151515286"</f>
        <v>20190312151515286</v>
      </c>
      <c r="B824" t="str">
        <f>"1552374915278337"</f>
        <v>1552374915278337</v>
      </c>
      <c r="C824" t="s">
        <v>40</v>
      </c>
      <c r="D824">
        <v>4.781714</v>
      </c>
      <c r="E824">
        <v>0.54596369999999905</v>
      </c>
      <c r="F824" t="s">
        <v>43</v>
      </c>
      <c r="G824">
        <v>-252.87819999999999</v>
      </c>
      <c r="H824" s="1">
        <v>-3.6196320000000001E-6</v>
      </c>
      <c r="I824">
        <v>366.33479999999997</v>
      </c>
      <c r="J824">
        <v>-269.30680000000001</v>
      </c>
      <c r="K824">
        <v>1.1077269999999999</v>
      </c>
      <c r="L824">
        <v>369.38830000000002</v>
      </c>
      <c r="M824">
        <v>0.99985210000000002</v>
      </c>
      <c r="N824">
        <v>0</v>
      </c>
      <c r="O824">
        <v>1.0488529999999999E-2</v>
      </c>
      <c r="P824">
        <v>0.99639560000000005</v>
      </c>
      <c r="Q824">
        <v>-6.1469679999999999E-2</v>
      </c>
      <c r="R824">
        <v>-5.8456279999999999E-2</v>
      </c>
      <c r="S824">
        <v>2.9668580000000002</v>
      </c>
      <c r="T824">
        <v>-0.19757340000000001</v>
      </c>
      <c r="U824">
        <v>-0.54431149999999995</v>
      </c>
      <c r="V824">
        <v>6.8900439999999993E-2</v>
      </c>
      <c r="W824">
        <v>-4.7891990000000002E-2</v>
      </c>
      <c r="X824">
        <v>0.99647330000000001</v>
      </c>
      <c r="Y824">
        <v>0.190329</v>
      </c>
      <c r="Z824">
        <v>-6.9702649999999998E-3</v>
      </c>
      <c r="AA824">
        <v>0.9816956</v>
      </c>
      <c r="AB824">
        <v>40</v>
      </c>
      <c r="AC824">
        <v>16.428599999999999</v>
      </c>
      <c r="AD824">
        <v>-1.107730619632</v>
      </c>
      <c r="AE824">
        <v>-3.0535000000000401</v>
      </c>
      <c r="AF824">
        <v>3.2115464766605002</v>
      </c>
      <c r="AG824">
        <v>-1.107730619632</v>
      </c>
      <c r="AH824">
        <v>16.3239296204531</v>
      </c>
      <c r="AI824">
        <v>93.809300125640505</v>
      </c>
      <c r="AJ824">
        <v>78.869859030998896</v>
      </c>
      <c r="AK824">
        <v>16.6736851400921</v>
      </c>
      <c r="AL824">
        <v>92.745059013677405</v>
      </c>
      <c r="AM824">
        <v>86.0446193920056</v>
      </c>
      <c r="AN824">
        <v>0.99999997547562103</v>
      </c>
    </row>
    <row r="825" spans="1:40" x14ac:dyDescent="0.25">
      <c r="A825" t="str">
        <f>"20190312151515299"</f>
        <v>20190312151515299</v>
      </c>
      <c r="B825" t="str">
        <f>"1552374915288096"</f>
        <v>1552374915288096</v>
      </c>
      <c r="C825" t="s">
        <v>40</v>
      </c>
      <c r="D825">
        <v>4.7624190000000004</v>
      </c>
      <c r="E825">
        <v>0.54571059999999905</v>
      </c>
      <c r="F825" t="s">
        <v>43</v>
      </c>
      <c r="G825">
        <v>-252.67769999999999</v>
      </c>
      <c r="H825" s="1">
        <v>-3.7020229999999999E-6</v>
      </c>
      <c r="I825">
        <v>366.3553</v>
      </c>
      <c r="J825">
        <v>-269.08749999999998</v>
      </c>
      <c r="K825">
        <v>1.1078969999999999</v>
      </c>
      <c r="L825">
        <v>369.39060000000001</v>
      </c>
      <c r="M825">
        <v>0.99985089999999999</v>
      </c>
      <c r="N825">
        <v>0</v>
      </c>
      <c r="O825">
        <v>1.0478700000000001E-2</v>
      </c>
      <c r="P825">
        <v>0.99638110000000002</v>
      </c>
      <c r="Q825">
        <v>-6.1531170000000003E-2</v>
      </c>
      <c r="R825">
        <v>-5.8641659999999998E-2</v>
      </c>
      <c r="S825">
        <v>2.9669189999999999</v>
      </c>
      <c r="T825">
        <v>-0.1976378</v>
      </c>
      <c r="U825">
        <v>-0.54113769999999894</v>
      </c>
      <c r="V825">
        <v>6.9075949999999997E-2</v>
      </c>
      <c r="W825">
        <v>-4.7859850000000002E-2</v>
      </c>
      <c r="X825">
        <v>0.99646270000000003</v>
      </c>
      <c r="Y825">
        <v>0.18930140000000001</v>
      </c>
      <c r="Z825">
        <v>-6.9384950000000003E-3</v>
      </c>
      <c r="AA825">
        <v>0.9818945</v>
      </c>
      <c r="AB825">
        <v>40</v>
      </c>
      <c r="AC825">
        <v>16.409799999999901</v>
      </c>
      <c r="AD825">
        <v>-1.1079007020229901</v>
      </c>
      <c r="AE825">
        <v>-3.0352999999999999</v>
      </c>
      <c r="AF825">
        <v>3.1930298512591402</v>
      </c>
      <c r="AG825">
        <v>-1.1079007020229901</v>
      </c>
      <c r="AH825">
        <v>16.305225828477401</v>
      </c>
      <c r="AI825">
        <v>93.814894825525201</v>
      </c>
      <c r="AJ825">
        <v>78.920060928567295</v>
      </c>
      <c r="AK825">
        <v>16.651824912429898</v>
      </c>
      <c r="AL825">
        <v>92.7432153944672</v>
      </c>
      <c r="AM825">
        <v>86.034533911060294</v>
      </c>
      <c r="AN825">
        <v>0.99999998230085696</v>
      </c>
    </row>
    <row r="826" spans="1:40" x14ac:dyDescent="0.25">
      <c r="A826" t="str">
        <f>"20190312151515314"</f>
        <v>20190312151515314</v>
      </c>
      <c r="B826" t="str">
        <f>"1552374915308592"</f>
        <v>1552374915308592</v>
      </c>
      <c r="C826" t="s">
        <v>40</v>
      </c>
      <c r="D826">
        <v>4.8088899999999999</v>
      </c>
      <c r="E826">
        <v>0.5452939</v>
      </c>
      <c r="F826" t="s">
        <v>43</v>
      </c>
      <c r="G826">
        <v>-252.4057</v>
      </c>
      <c r="H826" s="1">
        <v>-3.8185820000000001E-6</v>
      </c>
      <c r="I826">
        <v>366.35599999999999</v>
      </c>
      <c r="J826">
        <v>-268.82319999999999</v>
      </c>
      <c r="K826">
        <v>1.108087</v>
      </c>
      <c r="L826">
        <v>369.39330000000001</v>
      </c>
      <c r="M826">
        <v>0.99984960000000001</v>
      </c>
      <c r="N826">
        <v>0</v>
      </c>
      <c r="O826">
        <v>1.046687E-2</v>
      </c>
      <c r="P826">
        <v>0.99636170000000002</v>
      </c>
      <c r="Q826">
        <v>-6.1654090000000002E-2</v>
      </c>
      <c r="R826">
        <v>-5.8842119999999998E-2</v>
      </c>
      <c r="S826">
        <v>2.9669490000000001</v>
      </c>
      <c r="T826">
        <v>-0.1970451</v>
      </c>
      <c r="U826">
        <v>-0.53970340000000006</v>
      </c>
      <c r="V826">
        <v>6.9264329999999999E-2</v>
      </c>
      <c r="W826">
        <v>-4.7876780000000001E-2</v>
      </c>
      <c r="X826">
        <v>0.99644880000000002</v>
      </c>
      <c r="Y826">
        <v>0.1888321</v>
      </c>
      <c r="Z826">
        <v>-6.9017419999999998E-3</v>
      </c>
      <c r="AA826">
        <v>0.9819852</v>
      </c>
      <c r="AB826">
        <v>39</v>
      </c>
      <c r="AC826">
        <v>16.417499999999901</v>
      </c>
      <c r="AD826">
        <v>-1.108090818582</v>
      </c>
      <c r="AE826">
        <v>-3.0373000000000099</v>
      </c>
      <c r="AF826">
        <v>3.1949170541015799</v>
      </c>
      <c r="AG826">
        <v>-1.108090818582</v>
      </c>
      <c r="AH826">
        <v>16.312951988338099</v>
      </c>
      <c r="AI826">
        <v>93.8137292896361</v>
      </c>
      <c r="AJ826">
        <v>78.918795177614498</v>
      </c>
      <c r="AK826">
        <v>16.659764788815</v>
      </c>
      <c r="AL826">
        <v>92.744186552891904</v>
      </c>
      <c r="AM826">
        <v>86.023698870961397</v>
      </c>
      <c r="AN826">
        <v>0.99999997224747805</v>
      </c>
    </row>
    <row r="827" spans="1:40" x14ac:dyDescent="0.25">
      <c r="A827" t="str">
        <f>"20190312151515326"</f>
        <v>20190312151515326</v>
      </c>
      <c r="B827" t="str">
        <f>"1552374915318352"</f>
        <v>1552374915318352</v>
      </c>
      <c r="C827" t="s">
        <v>40</v>
      </c>
      <c r="D827">
        <v>4.7887339999999998</v>
      </c>
      <c r="E827">
        <v>0.54524150000000005</v>
      </c>
      <c r="F827" t="s">
        <v>43</v>
      </c>
      <c r="G827">
        <v>-252.17070000000001</v>
      </c>
      <c r="H827" s="1">
        <v>-3.9151110000000001E-6</v>
      </c>
      <c r="I827">
        <v>366.38</v>
      </c>
      <c r="J827">
        <v>-268.6003</v>
      </c>
      <c r="K827">
        <v>1.1082209999999999</v>
      </c>
      <c r="L827">
        <v>369.39569999999998</v>
      </c>
      <c r="M827">
        <v>0.99984850000000003</v>
      </c>
      <c r="N827">
        <v>0</v>
      </c>
      <c r="O827">
        <v>1.0456770000000001E-2</v>
      </c>
      <c r="P827">
        <v>0.99632390000000004</v>
      </c>
      <c r="Q827">
        <v>-6.15893E-2</v>
      </c>
      <c r="R827">
        <v>-5.9542190000000002E-2</v>
      </c>
      <c r="S827">
        <v>2.9670719999999999</v>
      </c>
      <c r="T827">
        <v>-0.197435</v>
      </c>
      <c r="U827">
        <v>-0.53689580000000003</v>
      </c>
      <c r="V827">
        <v>6.9954119999999995E-2</v>
      </c>
      <c r="W827">
        <v>-4.7731599999999999E-2</v>
      </c>
      <c r="X827">
        <v>0.99640759999999995</v>
      </c>
      <c r="Y827">
        <v>0.18791569999999999</v>
      </c>
      <c r="Z827">
        <v>-6.8847880000000002E-3</v>
      </c>
      <c r="AA827">
        <v>0.98216099999999995</v>
      </c>
      <c r="AB827">
        <v>39</v>
      </c>
      <c r="AC827">
        <v>16.429599999999901</v>
      </c>
      <c r="AD827">
        <v>-1.108224915111</v>
      </c>
      <c r="AE827">
        <v>-3.0156999999999798</v>
      </c>
      <c r="AF827">
        <v>3.1733842964781198</v>
      </c>
      <c r="AG827">
        <v>-1.108224915111</v>
      </c>
      <c r="AH827">
        <v>16.325306515466998</v>
      </c>
      <c r="AI827">
        <v>93.812359606611594</v>
      </c>
      <c r="AJ827">
        <v>78.9997762256953</v>
      </c>
      <c r="AK827">
        <v>16.6677581929771</v>
      </c>
      <c r="AL827">
        <v>92.735858768383807</v>
      </c>
      <c r="AM827">
        <v>85.984063079536298</v>
      </c>
      <c r="AN827">
        <v>0.99999999494064695</v>
      </c>
    </row>
    <row r="828" spans="1:40" x14ac:dyDescent="0.25">
      <c r="A828" t="str">
        <f>"20190312151515341"</f>
        <v>20190312151515341</v>
      </c>
      <c r="B828" t="str">
        <f>"1552374915338849"</f>
        <v>1552374915338849</v>
      </c>
      <c r="C828" t="s">
        <v>40</v>
      </c>
      <c r="D828">
        <v>4.7850590000000004</v>
      </c>
      <c r="E828">
        <v>0.54514549999999995</v>
      </c>
      <c r="F828" t="s">
        <v>43</v>
      </c>
      <c r="G828">
        <v>-251.92590000000001</v>
      </c>
      <c r="H828" s="1">
        <v>-4.0222210000000002E-6</v>
      </c>
      <c r="I828">
        <v>366.36829999999998</v>
      </c>
      <c r="J828">
        <v>-268.34089999999998</v>
      </c>
      <c r="K828">
        <v>1.1083639999999999</v>
      </c>
      <c r="L828">
        <v>369.39830000000001</v>
      </c>
      <c r="M828">
        <v>0.99984740000000005</v>
      </c>
      <c r="N828">
        <v>0</v>
      </c>
      <c r="O828">
        <v>1.0445050000000001E-2</v>
      </c>
      <c r="P828">
        <v>0.99629990000000002</v>
      </c>
      <c r="Q828">
        <v>-6.1765349999999997E-2</v>
      </c>
      <c r="R828">
        <v>-5.9765190000000003E-2</v>
      </c>
      <c r="S828">
        <v>2.966736</v>
      </c>
      <c r="T828">
        <v>-0.19717680000000001</v>
      </c>
      <c r="U828">
        <v>-0.53863530000000004</v>
      </c>
      <c r="V828">
        <v>7.0165179999999994E-2</v>
      </c>
      <c r="W828">
        <v>-4.781883E-2</v>
      </c>
      <c r="X828">
        <v>0.99638859999999996</v>
      </c>
      <c r="Y828">
        <v>0.18848100000000001</v>
      </c>
      <c r="Z828">
        <v>-6.894056E-3</v>
      </c>
      <c r="AA828">
        <v>0.98205260000000005</v>
      </c>
      <c r="AB828">
        <v>39</v>
      </c>
      <c r="AC828">
        <v>16.4149999999999</v>
      </c>
      <c r="AD828">
        <v>-1.1083680222209999</v>
      </c>
      <c r="AE828">
        <v>-3.0300000000000198</v>
      </c>
      <c r="AF828">
        <v>3.1872545378202601</v>
      </c>
      <c r="AG828">
        <v>-1.1083680222209999</v>
      </c>
      <c r="AH828">
        <v>16.310540398373099</v>
      </c>
      <c r="AI828">
        <v>93.815558857816896</v>
      </c>
      <c r="AJ828">
        <v>78.943121947931999</v>
      </c>
      <c r="AK828">
        <v>16.655953867866501</v>
      </c>
      <c r="AL828">
        <v>92.740862330684706</v>
      </c>
      <c r="AM828">
        <v>85.971909781702095</v>
      </c>
      <c r="AN828">
        <v>1.00000001759848</v>
      </c>
    </row>
    <row r="829" spans="1:40" x14ac:dyDescent="0.25">
      <c r="A829" t="str">
        <f>"20190312151515354"</f>
        <v>20190312151515354</v>
      </c>
      <c r="B829" t="str">
        <f>"1552374915348608"</f>
        <v>1552374915348608</v>
      </c>
      <c r="C829" t="s">
        <v>40</v>
      </c>
      <c r="D829">
        <v>4.7940449999999997</v>
      </c>
      <c r="E829">
        <v>0.54507260000000002</v>
      </c>
      <c r="F829" t="s">
        <v>43</v>
      </c>
      <c r="G829">
        <v>-251.77879999999999</v>
      </c>
      <c r="H829" s="1">
        <v>-4.081087E-6</v>
      </c>
      <c r="I829">
        <v>366.3922</v>
      </c>
      <c r="J829">
        <v>-268.11110000000002</v>
      </c>
      <c r="K829">
        <v>1.108482</v>
      </c>
      <c r="L829">
        <v>369.4008</v>
      </c>
      <c r="M829">
        <v>0.99984649999999997</v>
      </c>
      <c r="N829">
        <v>0</v>
      </c>
      <c r="O829">
        <v>1.043498E-2</v>
      </c>
      <c r="P829">
        <v>0.99628490000000003</v>
      </c>
      <c r="Q829">
        <v>-6.1783869999999998E-2</v>
      </c>
      <c r="R829">
        <v>-5.9995340000000001E-2</v>
      </c>
      <c r="S829">
        <v>2.9665219999999999</v>
      </c>
      <c r="T829">
        <v>-0.19852539999999999</v>
      </c>
      <c r="U829">
        <v>-0.53845209999999999</v>
      </c>
      <c r="V829">
        <v>7.0385050000000005E-2</v>
      </c>
      <c r="W829">
        <v>-4.7763060000000003E-2</v>
      </c>
      <c r="X829">
        <v>0.99637569999999998</v>
      </c>
      <c r="Y829">
        <v>0.18841920000000001</v>
      </c>
      <c r="Z829">
        <v>-6.9389179999999996E-3</v>
      </c>
      <c r="AA829">
        <v>0.98206420000000005</v>
      </c>
      <c r="AB829">
        <v>39</v>
      </c>
      <c r="AC829">
        <v>16.3323</v>
      </c>
      <c r="AD829">
        <v>-1.1084860810870001</v>
      </c>
      <c r="AE829">
        <v>-3.0085999999999999</v>
      </c>
      <c r="AF829">
        <v>3.1647803501512799</v>
      </c>
      <c r="AG829">
        <v>-1.1084860810870001</v>
      </c>
      <c r="AH829">
        <v>16.227714129480798</v>
      </c>
      <c r="AI829">
        <v>93.835661469627993</v>
      </c>
      <c r="AJ829">
        <v>78.964511753815302</v>
      </c>
      <c r="AK829">
        <v>16.570554665575301</v>
      </c>
      <c r="AL829">
        <v>92.737663473989002</v>
      </c>
      <c r="AM829">
        <v>85.959276939936103</v>
      </c>
      <c r="AN829">
        <v>0.99999995035727596</v>
      </c>
    </row>
    <row r="830" spans="1:40" x14ac:dyDescent="0.25">
      <c r="A830" t="str">
        <f>"20190312151515365"</f>
        <v>20190312151515365</v>
      </c>
      <c r="B830" t="str">
        <f>"1552374915358369"</f>
        <v>1552374915358369</v>
      </c>
      <c r="C830" t="s">
        <v>40</v>
      </c>
      <c r="D830">
        <v>4.809196</v>
      </c>
      <c r="E830">
        <v>0.54505990000000004</v>
      </c>
      <c r="F830" t="s">
        <v>43</v>
      </c>
      <c r="G830">
        <v>-251.565</v>
      </c>
      <c r="H830" s="1">
        <v>-4.1719669999999998E-6</v>
      </c>
      <c r="I830">
        <v>366.39699999999999</v>
      </c>
      <c r="J830">
        <v>-267.90969999999999</v>
      </c>
      <c r="K830">
        <v>1.1085670000000001</v>
      </c>
      <c r="L830">
        <v>369.40289999999999</v>
      </c>
      <c r="M830">
        <v>0.99984569999999995</v>
      </c>
      <c r="N830">
        <v>0</v>
      </c>
      <c r="O830">
        <v>1.042598E-2</v>
      </c>
      <c r="P830">
        <v>0.99628629999999996</v>
      </c>
      <c r="Q830">
        <v>-6.1518969999999999E-2</v>
      </c>
      <c r="R830">
        <v>-6.0245060000000003E-2</v>
      </c>
      <c r="S830">
        <v>2.9664000000000001</v>
      </c>
      <c r="T830">
        <v>-0.19872880000000001</v>
      </c>
      <c r="U830">
        <v>-0.53851319999999903</v>
      </c>
      <c r="V830">
        <v>7.0625869999999993E-2</v>
      </c>
      <c r="W830">
        <v>-4.7439059999999998E-2</v>
      </c>
      <c r="X830">
        <v>0.99637419999999999</v>
      </c>
      <c r="Y830">
        <v>0.1884361</v>
      </c>
      <c r="Z830">
        <v>-6.9462409999999997E-3</v>
      </c>
      <c r="AA830">
        <v>0.98206090000000001</v>
      </c>
      <c r="AB830">
        <v>39</v>
      </c>
      <c r="AC830">
        <v>16.3446999999999</v>
      </c>
      <c r="AD830">
        <v>-1.1085711719669999</v>
      </c>
      <c r="AE830">
        <v>-3.0058999999999898</v>
      </c>
      <c r="AF830">
        <v>3.16209287497654</v>
      </c>
      <c r="AG830">
        <v>-1.1085711719669999</v>
      </c>
      <c r="AH830">
        <v>16.2402053455403</v>
      </c>
      <c r="AI830">
        <v>93.833239739460495</v>
      </c>
      <c r="AJ830">
        <v>78.981926469233798</v>
      </c>
      <c r="AK830">
        <v>16.582280635021501</v>
      </c>
      <c r="AL830">
        <v>92.719078404863197</v>
      </c>
      <c r="AM830">
        <v>85.945491692680093</v>
      </c>
      <c r="AN830">
        <v>1.00000001217629</v>
      </c>
    </row>
    <row r="831" spans="1:40" x14ac:dyDescent="0.25">
      <c r="A831" t="str">
        <f>"20190312151515382"</f>
        <v>20190312151515382</v>
      </c>
      <c r="B831" t="str">
        <f>"1552374915377888"</f>
        <v>1552374915377888</v>
      </c>
      <c r="C831" t="s">
        <v>40</v>
      </c>
      <c r="D831">
        <v>4.9148489999999896</v>
      </c>
      <c r="E831">
        <v>0.54470280000000004</v>
      </c>
      <c r="F831" t="s">
        <v>43</v>
      </c>
      <c r="G831">
        <v>-251.2587</v>
      </c>
      <c r="H831" s="1">
        <v>-4.3072110000000001E-6</v>
      </c>
      <c r="I831">
        <v>366.37520000000001</v>
      </c>
      <c r="J831">
        <v>-267.62200000000001</v>
      </c>
      <c r="K831">
        <v>1.108676</v>
      </c>
      <c r="L831">
        <v>369.40589999999997</v>
      </c>
      <c r="M831">
        <v>0.99984470000000003</v>
      </c>
      <c r="N831">
        <v>0</v>
      </c>
      <c r="O831">
        <v>1.0413189999999999E-2</v>
      </c>
      <c r="P831">
        <v>0.99626409999999999</v>
      </c>
      <c r="Q831">
        <v>-6.1713829999999997E-2</v>
      </c>
      <c r="R831">
        <v>-6.041241E-2</v>
      </c>
      <c r="S831">
        <v>2.9664000000000001</v>
      </c>
      <c r="T831">
        <v>-0.19749330000000001</v>
      </c>
      <c r="U831">
        <v>-0.53936770000000001</v>
      </c>
      <c r="V831">
        <v>7.0780259999999998E-2</v>
      </c>
      <c r="W831">
        <v>-4.7554689999999997E-2</v>
      </c>
      <c r="X831">
        <v>0.99635770000000001</v>
      </c>
      <c r="Y831">
        <v>0.18870219999999999</v>
      </c>
      <c r="Z831">
        <v>-6.9109089999999998E-3</v>
      </c>
      <c r="AA831">
        <v>0.9820101</v>
      </c>
      <c r="AB831">
        <v>39</v>
      </c>
      <c r="AC831">
        <v>16.363299999999999</v>
      </c>
      <c r="AD831">
        <v>-1.1086803072110001</v>
      </c>
      <c r="AE831">
        <v>-3.03069999999996</v>
      </c>
      <c r="AF831">
        <v>3.18680283855449</v>
      </c>
      <c r="AG831">
        <v>-1.1086803072110001</v>
      </c>
      <c r="AH831">
        <v>16.258688237731199</v>
      </c>
      <c r="AI831">
        <v>93.828338161580703</v>
      </c>
      <c r="AJ831">
        <v>78.910265290813498</v>
      </c>
      <c r="AK831">
        <v>16.6051145002723</v>
      </c>
      <c r="AL831">
        <v>92.725711089047394</v>
      </c>
      <c r="AM831">
        <v>85.936591022789102</v>
      </c>
      <c r="AN831">
        <v>0.99999998004797597</v>
      </c>
    </row>
    <row r="832" spans="1:40" x14ac:dyDescent="0.25">
      <c r="A832" t="str">
        <f>"20190312151515393"</f>
        <v>20190312151515393</v>
      </c>
      <c r="B832" t="str">
        <f>"1552374915388625"</f>
        <v>1552374915388625</v>
      </c>
      <c r="C832" t="s">
        <v>40</v>
      </c>
      <c r="D832">
        <v>4.8496930000000003</v>
      </c>
      <c r="E832">
        <v>0.54468039999999995</v>
      </c>
      <c r="F832" t="s">
        <v>43</v>
      </c>
      <c r="G832">
        <v>-250.41069999999999</v>
      </c>
      <c r="H832" s="1">
        <v>-4.6858439999999996E-6</v>
      </c>
      <c r="I832">
        <v>366.29160000000002</v>
      </c>
      <c r="J832">
        <v>-267.42340000000002</v>
      </c>
      <c r="K832">
        <v>1.108746</v>
      </c>
      <c r="L832">
        <v>369.40789999999998</v>
      </c>
      <c r="M832">
        <v>0.99984410000000001</v>
      </c>
      <c r="N832">
        <v>0</v>
      </c>
      <c r="O832">
        <v>1.0404409999999999E-2</v>
      </c>
      <c r="P832">
        <v>0.99623019999999995</v>
      </c>
      <c r="Q832">
        <v>-6.197039E-2</v>
      </c>
      <c r="R832">
        <v>-6.0706759999999999E-2</v>
      </c>
      <c r="S832">
        <v>2.966888</v>
      </c>
      <c r="T832">
        <v>-0.19111359999999999</v>
      </c>
      <c r="U832">
        <v>-0.5368347</v>
      </c>
      <c r="V832">
        <v>7.1065420000000004E-2</v>
      </c>
      <c r="W832">
        <v>-4.7759740000000002E-2</v>
      </c>
      <c r="X832">
        <v>0.99632759999999998</v>
      </c>
      <c r="Y832">
        <v>0.1878822</v>
      </c>
      <c r="Z832">
        <v>-6.6608129999999998E-3</v>
      </c>
      <c r="AA832">
        <v>0.98216899999999996</v>
      </c>
      <c r="AB832">
        <v>39</v>
      </c>
      <c r="AC832">
        <v>17.012699999999999</v>
      </c>
      <c r="AD832">
        <v>-1.1087506858439999</v>
      </c>
      <c r="AE832">
        <v>-3.1162999999999599</v>
      </c>
      <c r="AF832">
        <v>3.2796785845966201</v>
      </c>
      <c r="AG832">
        <v>-1.1087506858439999</v>
      </c>
      <c r="AH832">
        <v>16.9098613930441</v>
      </c>
      <c r="AI832">
        <v>93.682978991423496</v>
      </c>
      <c r="AJ832">
        <v>79.023723360004198</v>
      </c>
      <c r="AK832">
        <v>17.260620847280801</v>
      </c>
      <c r="AL832">
        <v>92.737472935359307</v>
      </c>
      <c r="AM832">
        <v>85.920152664132502</v>
      </c>
      <c r="AN832">
        <v>0.999999986603201</v>
      </c>
    </row>
    <row r="833" spans="1:40" x14ac:dyDescent="0.25">
      <c r="A833" t="str">
        <f>"20190312151515404"</f>
        <v>20190312151515404</v>
      </c>
      <c r="B833" t="str">
        <f>"1552374915398384"</f>
        <v>1552374915398384</v>
      </c>
      <c r="C833" t="s">
        <v>40</v>
      </c>
      <c r="D833">
        <v>4.842714</v>
      </c>
      <c r="E833">
        <v>0.54459399999999902</v>
      </c>
      <c r="F833" t="s">
        <v>43</v>
      </c>
      <c r="G833">
        <v>-250.08250000000001</v>
      </c>
      <c r="H833" s="1">
        <v>-4.8315640000000003E-6</v>
      </c>
      <c r="I833">
        <v>366.26400000000001</v>
      </c>
      <c r="J833">
        <v>-267.22019999999998</v>
      </c>
      <c r="K833">
        <v>1.1088</v>
      </c>
      <c r="L833">
        <v>369.41</v>
      </c>
      <c r="M833">
        <v>0.99984340000000005</v>
      </c>
      <c r="N833">
        <v>0</v>
      </c>
      <c r="O833">
        <v>1.039548E-2</v>
      </c>
      <c r="P833">
        <v>0.99620750000000002</v>
      </c>
      <c r="Q833">
        <v>-6.240246E-2</v>
      </c>
      <c r="R833">
        <v>-6.0636519999999999E-2</v>
      </c>
      <c r="S833">
        <v>2.966736</v>
      </c>
      <c r="T833">
        <v>-0.18968750000000001</v>
      </c>
      <c r="U833">
        <v>-0.53787229999999997</v>
      </c>
      <c r="V833">
        <v>7.0986030000000006E-2</v>
      </c>
      <c r="W833">
        <v>-4.8144439999999997E-2</v>
      </c>
      <c r="X833">
        <v>0.99631479999999994</v>
      </c>
      <c r="Y833">
        <v>0.1882201</v>
      </c>
      <c r="Z833">
        <v>-6.6214780000000001E-3</v>
      </c>
      <c r="AA833">
        <v>0.98210450000000005</v>
      </c>
      <c r="AB833">
        <v>39</v>
      </c>
      <c r="AC833">
        <v>17.137699999999899</v>
      </c>
      <c r="AD833">
        <v>-1.108804831564</v>
      </c>
      <c r="AE833">
        <v>-3.1460000000000101</v>
      </c>
      <c r="AF833">
        <v>3.3105963014936801</v>
      </c>
      <c r="AG833">
        <v>-1.108804831564</v>
      </c>
      <c r="AH833">
        <v>17.035081131473898</v>
      </c>
      <c r="AI833">
        <v>93.655892729513994</v>
      </c>
      <c r="AJ833">
        <v>79.002229900132505</v>
      </c>
      <c r="AK833">
        <v>17.38917724281</v>
      </c>
      <c r="AL833">
        <v>92.759539853974104</v>
      </c>
      <c r="AM833">
        <v>85.924642877848896</v>
      </c>
      <c r="AN833">
        <v>1.00000004212855</v>
      </c>
    </row>
    <row r="834" spans="1:40" x14ac:dyDescent="0.25">
      <c r="A834" t="str">
        <f>"20190312151515415"</f>
        <v>20190312151515415</v>
      </c>
      <c r="B834" t="str">
        <f>"1552374915408145"</f>
        <v>1552374915408145</v>
      </c>
      <c r="C834" t="s">
        <v>40</v>
      </c>
      <c r="D834">
        <v>4.8721719999999999</v>
      </c>
      <c r="E834">
        <v>0.54457990000000001</v>
      </c>
      <c r="F834" t="s">
        <v>43</v>
      </c>
      <c r="G834">
        <v>-249.82320000000001</v>
      </c>
      <c r="H834" s="1">
        <v>-9.4484259999999999E-7</v>
      </c>
      <c r="I834">
        <v>366.26119999999997</v>
      </c>
      <c r="J834">
        <v>-267.02289999999999</v>
      </c>
      <c r="K834">
        <v>1.108854</v>
      </c>
      <c r="L834">
        <v>369.41210000000001</v>
      </c>
      <c r="M834">
        <v>0.99984289999999998</v>
      </c>
      <c r="N834">
        <v>0</v>
      </c>
      <c r="O834">
        <v>1.038681E-2</v>
      </c>
      <c r="P834">
        <v>0.99618790000000002</v>
      </c>
      <c r="Q834">
        <v>-6.2672160000000005E-2</v>
      </c>
      <c r="R834">
        <v>-6.068308E-2</v>
      </c>
      <c r="S834">
        <v>2.9668580000000002</v>
      </c>
      <c r="T834">
        <v>-0.18909319999999999</v>
      </c>
      <c r="U834">
        <v>-0.53698729999999995</v>
      </c>
      <c r="V834">
        <v>7.1023699999999995E-2</v>
      </c>
      <c r="W834">
        <v>-4.8369580000000002E-2</v>
      </c>
      <c r="X834">
        <v>0.9963012</v>
      </c>
      <c r="Y834">
        <v>0.1879239</v>
      </c>
      <c r="Z834">
        <v>-6.5907789999999997E-3</v>
      </c>
      <c r="AA834">
        <v>0.98216150000000002</v>
      </c>
      <c r="AB834">
        <v>39</v>
      </c>
      <c r="AC834">
        <v>17.199699999999901</v>
      </c>
      <c r="AD834">
        <v>-1.1088549448425999</v>
      </c>
      <c r="AE834">
        <v>-3.1509000000000298</v>
      </c>
      <c r="AF834">
        <v>3.3160633862347799</v>
      </c>
      <c r="AG834">
        <v>-1.1088549448425999</v>
      </c>
      <c r="AH834">
        <v>17.097286634699302</v>
      </c>
      <c r="AI834">
        <v>93.643054732601897</v>
      </c>
      <c r="AJ834">
        <v>79.023614990147294</v>
      </c>
      <c r="AK834">
        <v>17.451161736093599</v>
      </c>
      <c r="AL834">
        <v>92.772454500409196</v>
      </c>
      <c r="AM834">
        <v>85.922432037465001</v>
      </c>
      <c r="AN834">
        <v>1.0000000316762501</v>
      </c>
    </row>
    <row r="835" spans="1:40" x14ac:dyDescent="0.25">
      <c r="A835" t="str">
        <f>"20190312151515428"</f>
        <v>20190312151515428</v>
      </c>
      <c r="B835" t="str">
        <f>"1552374915418881"</f>
        <v>1552374915418881</v>
      </c>
      <c r="C835" t="s">
        <v>40</v>
      </c>
      <c r="D835">
        <v>4.8426660000000004</v>
      </c>
      <c r="E835">
        <v>0.54459990000000003</v>
      </c>
      <c r="F835" t="s">
        <v>43</v>
      </c>
      <c r="G835">
        <v>-249.51179999999999</v>
      </c>
      <c r="H835" s="1">
        <v>-1.0692489999999999E-6</v>
      </c>
      <c r="I835">
        <v>366.24310000000003</v>
      </c>
      <c r="J835">
        <v>-266.80900000000003</v>
      </c>
      <c r="K835">
        <v>1.1089070000000001</v>
      </c>
      <c r="L835">
        <v>369.41430000000003</v>
      </c>
      <c r="M835">
        <v>0.99984229999999996</v>
      </c>
      <c r="N835">
        <v>0</v>
      </c>
      <c r="O835">
        <v>1.0377600000000001E-2</v>
      </c>
      <c r="P835">
        <v>0.99618010000000001</v>
      </c>
      <c r="Q835">
        <v>-6.2820059999999997E-2</v>
      </c>
      <c r="R835">
        <v>-6.065454E-2</v>
      </c>
      <c r="S835">
        <v>2.9669189999999999</v>
      </c>
      <c r="T835">
        <v>-0.1878744</v>
      </c>
      <c r="U835">
        <v>-0.53692629999999997</v>
      </c>
      <c r="V835">
        <v>7.0985999999999994E-2</v>
      </c>
      <c r="W835">
        <v>-4.8472840000000003E-2</v>
      </c>
      <c r="X835">
        <v>0.99629880000000004</v>
      </c>
      <c r="Y835">
        <v>0.18789690000000001</v>
      </c>
      <c r="Z835">
        <v>-6.546835E-3</v>
      </c>
      <c r="AA835">
        <v>0.98216689999999995</v>
      </c>
      <c r="AB835">
        <v>39</v>
      </c>
      <c r="AC835">
        <v>17.2972</v>
      </c>
      <c r="AD835">
        <v>-1.1089080692490001</v>
      </c>
      <c r="AE835">
        <v>-3.17119999999999</v>
      </c>
      <c r="AF835">
        <v>3.3372811497868802</v>
      </c>
      <c r="AG835">
        <v>-1.1089080692490001</v>
      </c>
      <c r="AH835">
        <v>17.1949826692953</v>
      </c>
      <c r="AI835">
        <v>93.622495334577096</v>
      </c>
      <c r="AJ835">
        <v>79.016327521145897</v>
      </c>
      <c r="AK835">
        <v>17.5509131265622</v>
      </c>
      <c r="AL835">
        <v>92.7783779995858</v>
      </c>
      <c r="AM835">
        <v>85.924579366970804</v>
      </c>
      <c r="AN835">
        <v>0.99999996364755195</v>
      </c>
    </row>
    <row r="836" spans="1:40" x14ac:dyDescent="0.25">
      <c r="A836" t="str">
        <f>"20190312151515440"</f>
        <v>20190312151515440</v>
      </c>
      <c r="B836" t="str">
        <f>"1552374915428641"</f>
        <v>1552374915428641</v>
      </c>
      <c r="C836" t="s">
        <v>40</v>
      </c>
      <c r="D836">
        <v>4.854438</v>
      </c>
      <c r="E836">
        <v>0.54460050000000004</v>
      </c>
      <c r="F836" t="s">
        <v>43</v>
      </c>
      <c r="G836">
        <v>-249.2175</v>
      </c>
      <c r="H836" s="1">
        <v>-1.1856200000000001E-6</v>
      </c>
      <c r="I836">
        <v>366.23050000000001</v>
      </c>
      <c r="J836">
        <v>-266.61559999999997</v>
      </c>
      <c r="K836">
        <v>1.1089530000000001</v>
      </c>
      <c r="L836">
        <v>369.41629999999998</v>
      </c>
      <c r="M836">
        <v>0.9998418</v>
      </c>
      <c r="N836">
        <v>0</v>
      </c>
      <c r="O836">
        <v>1.0369099999999999E-2</v>
      </c>
      <c r="P836">
        <v>0.99617389999999995</v>
      </c>
      <c r="Q836">
        <v>-6.2957700000000005E-2</v>
      </c>
      <c r="R836">
        <v>-6.0612430000000002E-2</v>
      </c>
      <c r="S836">
        <v>2.9670100000000001</v>
      </c>
      <c r="T836">
        <v>-0.18703040000000001</v>
      </c>
      <c r="U836">
        <v>-0.53698729999999995</v>
      </c>
      <c r="V836">
        <v>7.0935509999999993E-2</v>
      </c>
      <c r="W836">
        <v>-4.857268E-2</v>
      </c>
      <c r="X836">
        <v>0.99629760000000001</v>
      </c>
      <c r="Y836">
        <v>0.1879062</v>
      </c>
      <c r="Z836">
        <v>-6.5170330000000002E-3</v>
      </c>
      <c r="AA836">
        <v>0.98216530000000002</v>
      </c>
      <c r="AB836">
        <v>39</v>
      </c>
      <c r="AC836">
        <v>17.3980999999999</v>
      </c>
      <c r="AD836">
        <v>-1.10895418562</v>
      </c>
      <c r="AE836">
        <v>-3.1857999999999702</v>
      </c>
      <c r="AF836">
        <v>3.3528701199383799</v>
      </c>
      <c r="AG836">
        <v>-1.10895418562</v>
      </c>
      <c r="AH836">
        <v>17.296136432702699</v>
      </c>
      <c r="AI836">
        <v>93.601672008508004</v>
      </c>
      <c r="AJ836">
        <v>79.029236212556498</v>
      </c>
      <c r="AK836">
        <v>17.6529842498555</v>
      </c>
      <c r="AL836">
        <v>92.784104972269901</v>
      </c>
      <c r="AM836">
        <v>85.927463433614506</v>
      </c>
      <c r="AN836">
        <v>1.0000000297935501</v>
      </c>
    </row>
    <row r="837" spans="1:40" x14ac:dyDescent="0.25">
      <c r="A837" t="str">
        <f>"20190312151515452"</f>
        <v>20190312151515452</v>
      </c>
      <c r="B837" t="str">
        <f>"1552374915448162"</f>
        <v>1552374915448162</v>
      </c>
      <c r="C837" t="s">
        <v>40</v>
      </c>
      <c r="D837">
        <v>5.1506449999999999</v>
      </c>
      <c r="E837">
        <v>0.54459939999999996</v>
      </c>
      <c r="F837" t="s">
        <v>43</v>
      </c>
      <c r="G837">
        <v>-248.9545</v>
      </c>
      <c r="H837" s="1">
        <v>-1.2891850000000001E-6</v>
      </c>
      <c r="I837">
        <v>366.22089999999997</v>
      </c>
      <c r="J837">
        <v>-266.39870000000002</v>
      </c>
      <c r="K837">
        <v>1.1090009999999999</v>
      </c>
      <c r="L837">
        <v>369.41849999999999</v>
      </c>
      <c r="M837">
        <v>0.99984139999999999</v>
      </c>
      <c r="N837">
        <v>0</v>
      </c>
      <c r="O837">
        <v>1.035939E-2</v>
      </c>
      <c r="P837">
        <v>0.99614780000000003</v>
      </c>
      <c r="Q837">
        <v>-6.3165079999999998E-2</v>
      </c>
      <c r="R837">
        <v>-6.0825740000000003E-2</v>
      </c>
      <c r="S837">
        <v>2.9671020000000001</v>
      </c>
      <c r="T837">
        <v>-0.18630620000000001</v>
      </c>
      <c r="U837">
        <v>-0.5368347</v>
      </c>
      <c r="V837">
        <v>7.1138839999999995E-2</v>
      </c>
      <c r="W837">
        <v>-4.8740020000000002E-2</v>
      </c>
      <c r="X837">
        <v>0.99627489999999996</v>
      </c>
      <c r="Y837">
        <v>0.1878456</v>
      </c>
      <c r="Z837">
        <v>-6.4891890000000002E-3</v>
      </c>
      <c r="AA837">
        <v>0.98217710000000003</v>
      </c>
      <c r="AB837">
        <v>39</v>
      </c>
      <c r="AC837">
        <v>17.444199999999999</v>
      </c>
      <c r="AD837">
        <v>-1.109002289185</v>
      </c>
      <c r="AE837">
        <v>-3.19760000000002</v>
      </c>
      <c r="AF837">
        <v>3.3650004565576501</v>
      </c>
      <c r="AG837">
        <v>-1.109002289185</v>
      </c>
      <c r="AH837">
        <v>17.342321412833201</v>
      </c>
      <c r="AI837">
        <v>93.592138126014206</v>
      </c>
      <c r="AJ837">
        <v>79.019119404805807</v>
      </c>
      <c r="AK837">
        <v>17.700543102855999</v>
      </c>
      <c r="AL837">
        <v>92.793704299926702</v>
      </c>
      <c r="AM837">
        <v>85.915736593405697</v>
      </c>
      <c r="AN837">
        <v>1.00000000023807</v>
      </c>
    </row>
    <row r="838" spans="1:40" x14ac:dyDescent="0.25">
      <c r="A838" t="str">
        <f>"20190312151515463"</f>
        <v>20190312151515463</v>
      </c>
      <c r="B838" t="str">
        <f>"1552374915457921"</f>
        <v>1552374915457921</v>
      </c>
      <c r="C838" t="s">
        <v>40</v>
      </c>
      <c r="D838">
        <v>4.9193110000000004</v>
      </c>
      <c r="E838">
        <v>0.54458640000000003</v>
      </c>
      <c r="F838" t="s">
        <v>43</v>
      </c>
      <c r="G838">
        <v>-248.85050000000001</v>
      </c>
      <c r="H838" s="1">
        <v>-1.324131E-6</v>
      </c>
      <c r="I838">
        <v>366.23950000000002</v>
      </c>
      <c r="J838">
        <v>-266.19240000000002</v>
      </c>
      <c r="K838">
        <v>1.109038</v>
      </c>
      <c r="L838">
        <v>369.42059999999998</v>
      </c>
      <c r="M838">
        <v>0.99984099999999998</v>
      </c>
      <c r="N838">
        <v>0</v>
      </c>
      <c r="O838">
        <v>1.03499E-2</v>
      </c>
      <c r="P838">
        <v>0.99615050000000005</v>
      </c>
      <c r="Q838">
        <v>-6.3049869999999994E-2</v>
      </c>
      <c r="R838">
        <v>-6.0902850000000001E-2</v>
      </c>
      <c r="S838">
        <v>2.966888</v>
      </c>
      <c r="T838">
        <v>-0.18750040000000001</v>
      </c>
      <c r="U838">
        <v>-0.53747559999999905</v>
      </c>
      <c r="V838">
        <v>7.1206569999999997E-2</v>
      </c>
      <c r="W838">
        <v>-4.859028E-2</v>
      </c>
      <c r="X838">
        <v>0.99627739999999998</v>
      </c>
      <c r="Y838">
        <v>0.18804879999999999</v>
      </c>
      <c r="Z838">
        <v>-6.5368079999999999E-3</v>
      </c>
      <c r="AA838">
        <v>0.98213790000000001</v>
      </c>
      <c r="AB838">
        <v>39</v>
      </c>
      <c r="AC838">
        <v>17.341899999999999</v>
      </c>
      <c r="AD838">
        <v>-1.1090393241309999</v>
      </c>
      <c r="AE838">
        <v>-3.1810999999999501</v>
      </c>
      <c r="AF838">
        <v>3.3471917643348998</v>
      </c>
      <c r="AG838">
        <v>-1.1090393241309999</v>
      </c>
      <c r="AH838">
        <v>17.239831399778598</v>
      </c>
      <c r="AI838">
        <v>93.613475912818203</v>
      </c>
      <c r="AJ838">
        <v>79.012464450539397</v>
      </c>
      <c r="AK838">
        <v>17.596745370167</v>
      </c>
      <c r="AL838">
        <v>92.785114585280596</v>
      </c>
      <c r="AM838">
        <v>85.911871442176206</v>
      </c>
      <c r="AN838">
        <v>1.0000000243361999</v>
      </c>
    </row>
    <row r="839" spans="1:40" x14ac:dyDescent="0.25">
      <c r="A839" t="str">
        <f>"20190312151515474"</f>
        <v>20190312151515474</v>
      </c>
      <c r="B839" t="str">
        <f>"1552374915468657"</f>
        <v>1552374915468657</v>
      </c>
      <c r="C839" t="s">
        <v>40</v>
      </c>
      <c r="D839">
        <v>4.9362510000000004</v>
      </c>
      <c r="E839">
        <v>0.54447449999999997</v>
      </c>
      <c r="F839" t="s">
        <v>43</v>
      </c>
      <c r="G839">
        <v>-248.56120000000001</v>
      </c>
      <c r="H839" s="1">
        <v>-1.4386690000000001E-6</v>
      </c>
      <c r="I839">
        <v>366.22660000000002</v>
      </c>
      <c r="J839">
        <v>-266.00529999999998</v>
      </c>
      <c r="K839">
        <v>1.109065</v>
      </c>
      <c r="L839">
        <v>369.42259999999999</v>
      </c>
      <c r="M839">
        <v>0.99984070000000003</v>
      </c>
      <c r="N839">
        <v>0</v>
      </c>
      <c r="O839">
        <v>1.0341329999999999E-2</v>
      </c>
      <c r="P839">
        <v>0.99615989999999999</v>
      </c>
      <c r="Q839">
        <v>-6.2991340000000007E-2</v>
      </c>
      <c r="R839">
        <v>-6.0810379999999997E-2</v>
      </c>
      <c r="S839">
        <v>2.966888</v>
      </c>
      <c r="T839">
        <v>-0.18662380000000001</v>
      </c>
      <c r="U839">
        <v>-0.53747559999999905</v>
      </c>
      <c r="V839">
        <v>7.1105699999999994E-2</v>
      </c>
      <c r="W839">
        <v>-4.850115E-2</v>
      </c>
      <c r="X839">
        <v>0.99628890000000003</v>
      </c>
      <c r="Y839">
        <v>0.18804399999999999</v>
      </c>
      <c r="Z839">
        <v>-6.5056239999999998E-3</v>
      </c>
      <c r="AA839">
        <v>0.98213910000000004</v>
      </c>
      <c r="AB839">
        <v>39</v>
      </c>
      <c r="AC839">
        <v>17.444099999999899</v>
      </c>
      <c r="AD839">
        <v>-1.1090664386689999</v>
      </c>
      <c r="AE839">
        <v>-3.1959999999999602</v>
      </c>
      <c r="AF839">
        <v>3.36309056331983</v>
      </c>
      <c r="AG839">
        <v>-1.1090664386689999</v>
      </c>
      <c r="AH839">
        <v>17.342288277247398</v>
      </c>
      <c r="AI839">
        <v>93.592425730980196</v>
      </c>
      <c r="AJ839">
        <v>79.025180054878007</v>
      </c>
      <c r="AK839">
        <v>17.700151671486498</v>
      </c>
      <c r="AL839">
        <v>92.780001915547203</v>
      </c>
      <c r="AM839">
        <v>85.917689983570696</v>
      </c>
      <c r="AN839">
        <v>0.99999997719351097</v>
      </c>
    </row>
    <row r="840" spans="1:40" x14ac:dyDescent="0.25">
      <c r="A840" t="str">
        <f>"20190312151515486"</f>
        <v>20190312151515486</v>
      </c>
      <c r="B840" t="str">
        <f>"1552374915478417"</f>
        <v>1552374915478417</v>
      </c>
      <c r="C840" t="s">
        <v>40</v>
      </c>
      <c r="D840">
        <v>4.8344259999999997</v>
      </c>
      <c r="E840">
        <v>0.54448629999999998</v>
      </c>
      <c r="F840" t="s">
        <v>43</v>
      </c>
      <c r="G840">
        <v>-248.38890000000001</v>
      </c>
      <c r="H840" s="1">
        <v>-1.502347E-6</v>
      </c>
      <c r="I840">
        <v>366.23599999999999</v>
      </c>
      <c r="J840">
        <v>-265.80399999999997</v>
      </c>
      <c r="K840">
        <v>1.1090979999999999</v>
      </c>
      <c r="L840">
        <v>369.42469999999997</v>
      </c>
      <c r="M840">
        <v>0.99984030000000002</v>
      </c>
      <c r="N840">
        <v>0</v>
      </c>
      <c r="O840">
        <v>1.0332350000000001E-2</v>
      </c>
      <c r="P840">
        <v>0.99614539999999996</v>
      </c>
      <c r="Q840">
        <v>-6.3126860000000007E-2</v>
      </c>
      <c r="R840">
        <v>-6.0906439999999999E-2</v>
      </c>
      <c r="S840">
        <v>2.96698</v>
      </c>
      <c r="T840">
        <v>-0.18679000000000001</v>
      </c>
      <c r="U840">
        <v>-0.53668209999999905</v>
      </c>
      <c r="V840">
        <v>7.1192580000000005E-2</v>
      </c>
      <c r="W840">
        <v>-4.8607400000000002E-2</v>
      </c>
      <c r="X840">
        <v>0.99627750000000004</v>
      </c>
      <c r="Y840">
        <v>0.18777540000000001</v>
      </c>
      <c r="Z840">
        <v>-6.5024230000000002E-3</v>
      </c>
      <c r="AA840">
        <v>0.98219049999999997</v>
      </c>
      <c r="AB840">
        <v>39</v>
      </c>
      <c r="AC840">
        <v>17.415099999999999</v>
      </c>
      <c r="AD840">
        <v>-1.1090995023469901</v>
      </c>
      <c r="AE840">
        <v>-3.1886999999999799</v>
      </c>
      <c r="AF840">
        <v>3.3553203354231602</v>
      </c>
      <c r="AG840">
        <v>-1.1090995023469901</v>
      </c>
      <c r="AH840">
        <v>17.313276535109999</v>
      </c>
      <c r="AI840">
        <v>93.5986197749274</v>
      </c>
      <c r="AJ840">
        <v>79.032018781537502</v>
      </c>
      <c r="AK840">
        <v>17.6702524215304</v>
      </c>
      <c r="AL840">
        <v>92.786096829114101</v>
      </c>
      <c r="AM840">
        <v>85.912672325775702</v>
      </c>
      <c r="AN840">
        <v>0.99999995989403201</v>
      </c>
    </row>
    <row r="841" spans="1:40" x14ac:dyDescent="0.25">
      <c r="A841" t="str">
        <f>"20190312151515505"</f>
        <v>20190312151515505</v>
      </c>
      <c r="B841" t="str">
        <f>"1552374915497936"</f>
        <v>1552374915497936</v>
      </c>
      <c r="C841" t="s">
        <v>40</v>
      </c>
      <c r="D841">
        <v>4.9751209999999997</v>
      </c>
      <c r="E841">
        <v>0.54436110000000004</v>
      </c>
      <c r="F841" t="s">
        <v>43</v>
      </c>
      <c r="G841">
        <v>-248.14570000000001</v>
      </c>
      <c r="H841" s="1">
        <v>-1.5974839999999999E-6</v>
      </c>
      <c r="I841">
        <v>366.2294</v>
      </c>
      <c r="J841">
        <v>-265.46559999999999</v>
      </c>
      <c r="K841">
        <v>1.1091439999999999</v>
      </c>
      <c r="L841">
        <v>369.42809999999997</v>
      </c>
      <c r="M841">
        <v>0.9998397</v>
      </c>
      <c r="N841">
        <v>0</v>
      </c>
      <c r="O841">
        <v>1.031747E-2</v>
      </c>
      <c r="P841">
        <v>0.99611090000000002</v>
      </c>
      <c r="Q841">
        <v>-6.3229629999999995E-2</v>
      </c>
      <c r="R841">
        <v>-6.1362439999999997E-2</v>
      </c>
      <c r="S841">
        <v>2.96698</v>
      </c>
      <c r="T841">
        <v>-0.1863525</v>
      </c>
      <c r="U841">
        <v>-0.53686519999999904</v>
      </c>
      <c r="V841">
        <v>7.1633370000000002E-2</v>
      </c>
      <c r="W841">
        <v>-4.8664880000000001E-2</v>
      </c>
      <c r="X841">
        <v>0.99624310000000005</v>
      </c>
      <c r="Y841">
        <v>0.18782119999999999</v>
      </c>
      <c r="Z841">
        <v>-6.4876860000000003E-3</v>
      </c>
      <c r="AA841">
        <v>0.98218179999999999</v>
      </c>
      <c r="AB841">
        <v>39</v>
      </c>
      <c r="AC841">
        <v>17.319899999999901</v>
      </c>
      <c r="AD841">
        <v>-1.1091455974840001</v>
      </c>
      <c r="AE841">
        <v>-3.1986999999999699</v>
      </c>
      <c r="AF841">
        <v>3.3639061302689099</v>
      </c>
      <c r="AG841">
        <v>-1.1091455974840001</v>
      </c>
      <c r="AH841">
        <v>17.217691605054299</v>
      </c>
      <c r="AI841">
        <v>93.617629476291597</v>
      </c>
      <c r="AJ841">
        <v>78.945094788513202</v>
      </c>
      <c r="AK841">
        <v>17.578252831735998</v>
      </c>
      <c r="AL841">
        <v>92.789394086124602</v>
      </c>
      <c r="AM841">
        <v>85.8873106183094</v>
      </c>
      <c r="AN841">
        <v>0.99999996227028998</v>
      </c>
    </row>
    <row r="842" spans="1:40" x14ac:dyDescent="0.25">
      <c r="A842" t="str">
        <f>"20190312151515519"</f>
        <v>20190312151515519</v>
      </c>
      <c r="B842" t="str">
        <f>"1552374915508673"</f>
        <v>1552374915508673</v>
      </c>
      <c r="C842" t="s">
        <v>40</v>
      </c>
      <c r="D842">
        <v>4.8872049999999998</v>
      </c>
      <c r="E842">
        <v>0.544371099999999</v>
      </c>
      <c r="F842" t="s">
        <v>43</v>
      </c>
      <c r="G842">
        <v>-247.9393</v>
      </c>
      <c r="H842" s="1">
        <v>-1.67032E-6</v>
      </c>
      <c r="I842">
        <v>366.25360000000001</v>
      </c>
      <c r="J842">
        <v>-265.23039999999997</v>
      </c>
      <c r="K842">
        <v>1.109173</v>
      </c>
      <c r="L842">
        <v>369.43049999999999</v>
      </c>
      <c r="M842">
        <v>0.99983940000000004</v>
      </c>
      <c r="N842">
        <v>0</v>
      </c>
      <c r="O842">
        <v>1.0307180000000001E-2</v>
      </c>
      <c r="P842">
        <v>0.99607239999999997</v>
      </c>
      <c r="Q842">
        <v>-6.3373269999999995E-2</v>
      </c>
      <c r="R842">
        <v>-6.18335E-2</v>
      </c>
      <c r="S842">
        <v>2.966675</v>
      </c>
      <c r="T842">
        <v>-0.18774460000000001</v>
      </c>
      <c r="U842">
        <v>-0.53735350000000004</v>
      </c>
      <c r="V842">
        <v>7.2094019999999995E-2</v>
      </c>
      <c r="W842">
        <v>-4.8780339999999998E-2</v>
      </c>
      <c r="X842">
        <v>0.99620430000000004</v>
      </c>
      <c r="Y842">
        <v>0.18797939999999999</v>
      </c>
      <c r="Z842">
        <v>-6.5409359999999998E-3</v>
      </c>
      <c r="AA842">
        <v>0.9821512</v>
      </c>
      <c r="AB842">
        <v>39</v>
      </c>
      <c r="AC842">
        <v>17.291099999999901</v>
      </c>
      <c r="AD842">
        <v>-1.1091746703200001</v>
      </c>
      <c r="AE842">
        <v>-3.1768999999999799</v>
      </c>
      <c r="AF842">
        <v>3.3416713615293099</v>
      </c>
      <c r="AG842">
        <v>-1.1091746703200001</v>
      </c>
      <c r="AH842">
        <v>17.189012247713901</v>
      </c>
      <c r="AI842">
        <v>93.624400675636096</v>
      </c>
      <c r="AJ842">
        <v>78.998503743651199</v>
      </c>
      <c r="AK842">
        <v>17.545916276723801</v>
      </c>
      <c r="AL842">
        <v>92.796017110389798</v>
      </c>
      <c r="AM842">
        <v>85.860794280065306</v>
      </c>
      <c r="AN842">
        <v>1.0000000383143799</v>
      </c>
    </row>
    <row r="843" spans="1:40" x14ac:dyDescent="0.25">
      <c r="A843" t="str">
        <f>"20190312151515533"</f>
        <v>20190312151515533</v>
      </c>
      <c r="B843" t="str">
        <f>"1552374915528193"</f>
        <v>1552374915528193</v>
      </c>
      <c r="C843" t="s">
        <v>40</v>
      </c>
      <c r="D843">
        <v>4.9301389999999996</v>
      </c>
      <c r="E843">
        <v>0.54426619999999903</v>
      </c>
      <c r="F843" t="s">
        <v>43</v>
      </c>
      <c r="G843">
        <v>-247.6524</v>
      </c>
      <c r="H843" s="1">
        <v>-1.7844180000000001E-6</v>
      </c>
      <c r="I843">
        <v>366.23880000000003</v>
      </c>
      <c r="J843">
        <v>-264.97879999999998</v>
      </c>
      <c r="K843">
        <v>1.1092</v>
      </c>
      <c r="L843">
        <v>369.43310000000002</v>
      </c>
      <c r="M843">
        <v>0.99983920000000004</v>
      </c>
      <c r="N843">
        <v>0</v>
      </c>
      <c r="O843">
        <v>1.029541E-2</v>
      </c>
      <c r="P843">
        <v>0.99604510000000002</v>
      </c>
      <c r="Q843">
        <v>-6.3473180000000004E-2</v>
      </c>
      <c r="R843">
        <v>-6.217371E-2</v>
      </c>
      <c r="S843">
        <v>2.9664609999999998</v>
      </c>
      <c r="T843">
        <v>-0.18718460000000001</v>
      </c>
      <c r="U843">
        <v>-0.53863530000000004</v>
      </c>
      <c r="V843">
        <v>7.2421940000000004E-2</v>
      </c>
      <c r="W843">
        <v>-4.8852140000000002E-2</v>
      </c>
      <c r="X843">
        <v>0.99617699999999998</v>
      </c>
      <c r="Y843">
        <v>0.18839249999999999</v>
      </c>
      <c r="Z843">
        <v>-6.5338559999999898E-3</v>
      </c>
      <c r="AA843">
        <v>0.9820721</v>
      </c>
      <c r="AB843">
        <v>39</v>
      </c>
      <c r="AC843">
        <v>17.3263999999999</v>
      </c>
      <c r="AD843">
        <v>-1.109201784418</v>
      </c>
      <c r="AE843">
        <v>-3.1942999999999899</v>
      </c>
      <c r="AF843">
        <v>3.3592177315227501</v>
      </c>
      <c r="AG843">
        <v>-1.109201784418</v>
      </c>
      <c r="AH843">
        <v>17.224321208806199</v>
      </c>
      <c r="AI843">
        <v>93.616659075601802</v>
      </c>
      <c r="AJ843">
        <v>78.964268516564701</v>
      </c>
      <c r="AK843">
        <v>17.5838537718687</v>
      </c>
      <c r="AL843">
        <v>92.800135846912696</v>
      </c>
      <c r="AM843">
        <v>85.841919417529994</v>
      </c>
      <c r="AN843">
        <v>1.00000004215247</v>
      </c>
    </row>
    <row r="844" spans="1:40" x14ac:dyDescent="0.25">
      <c r="A844" t="str">
        <f>"20190312151515549"</f>
        <v>20190312151515549</v>
      </c>
      <c r="B844" t="str">
        <f>"1552374915537952"</f>
        <v>1552374915537952</v>
      </c>
      <c r="C844" t="s">
        <v>40</v>
      </c>
      <c r="D844">
        <v>5.0223089999999999</v>
      </c>
      <c r="E844">
        <v>0.54419340000000005</v>
      </c>
      <c r="F844" t="s">
        <v>43</v>
      </c>
      <c r="G844">
        <v>-247.45400000000001</v>
      </c>
      <c r="H844" s="1">
        <v>-1.8580010000000001E-6</v>
      </c>
      <c r="I844">
        <v>366.24849999999998</v>
      </c>
      <c r="J844">
        <v>-264.6866</v>
      </c>
      <c r="K844">
        <v>1.1092229999999901</v>
      </c>
      <c r="L844">
        <v>369.43610000000001</v>
      </c>
      <c r="M844">
        <v>0.99983889999999997</v>
      </c>
      <c r="N844">
        <v>0</v>
      </c>
      <c r="O844">
        <v>1.028244E-2</v>
      </c>
      <c r="P844">
        <v>0.99600370000000005</v>
      </c>
      <c r="Q844">
        <v>-6.3414419999999999E-2</v>
      </c>
      <c r="R844">
        <v>-6.2892660000000003E-2</v>
      </c>
      <c r="S844">
        <v>2.9663089999999999</v>
      </c>
      <c r="T844">
        <v>-0.18774759999999999</v>
      </c>
      <c r="U844">
        <v>-0.53903199999999996</v>
      </c>
      <c r="V844">
        <v>7.3127689999999995E-2</v>
      </c>
      <c r="W844">
        <v>-4.8765019999999999E-2</v>
      </c>
      <c r="X844">
        <v>0.99612970000000001</v>
      </c>
      <c r="Y844">
        <v>0.18851329999999999</v>
      </c>
      <c r="Z844">
        <v>-6.5566969999999898E-3</v>
      </c>
      <c r="AA844">
        <v>0.9820487</v>
      </c>
      <c r="AB844">
        <v>39</v>
      </c>
      <c r="AC844">
        <v>17.232599999999898</v>
      </c>
      <c r="AD844">
        <v>-1.10922485800099</v>
      </c>
      <c r="AE844">
        <v>-3.18760000000003</v>
      </c>
      <c r="AF844">
        <v>3.3512183445819002</v>
      </c>
      <c r="AG844">
        <v>-1.10922485800099</v>
      </c>
      <c r="AH844">
        <v>17.130282577774601</v>
      </c>
      <c r="AI844">
        <v>93.636123551103196</v>
      </c>
      <c r="AJ844">
        <v>78.930952880710194</v>
      </c>
      <c r="AK844">
        <v>17.4902151322697</v>
      </c>
      <c r="AL844">
        <v>92.795138308851307</v>
      </c>
      <c r="AM844">
        <v>85.801344578915007</v>
      </c>
      <c r="AN844">
        <v>1.00000003272121</v>
      </c>
    </row>
    <row r="845" spans="1:40" x14ac:dyDescent="0.25">
      <c r="A845" t="str">
        <f>"20190312151515561"</f>
        <v>20190312151515561</v>
      </c>
      <c r="B845" t="str">
        <f>"1552374915558449"</f>
        <v>1552374915558449</v>
      </c>
      <c r="C845" t="s">
        <v>40</v>
      </c>
      <c r="D845">
        <v>4.9472860000000001</v>
      </c>
      <c r="E845">
        <v>0.54414649999999998</v>
      </c>
      <c r="F845" t="s">
        <v>43</v>
      </c>
      <c r="G845">
        <v>-247.19</v>
      </c>
      <c r="H845" s="1">
        <v>-1.9596499999999999E-6</v>
      </c>
      <c r="I845">
        <v>366.24759999999998</v>
      </c>
      <c r="J845">
        <v>-264.49509999999998</v>
      </c>
      <c r="K845">
        <v>1.109237</v>
      </c>
      <c r="L845">
        <v>369.43810000000002</v>
      </c>
      <c r="M845">
        <v>0.99983869999999997</v>
      </c>
      <c r="N845">
        <v>0</v>
      </c>
      <c r="O845">
        <v>1.027372E-2</v>
      </c>
      <c r="P845">
        <v>0.99599760000000004</v>
      </c>
      <c r="Q845">
        <v>-6.3251349999999998E-2</v>
      </c>
      <c r="R845">
        <v>-6.3151990000000005E-2</v>
      </c>
      <c r="S845">
        <v>2.9659420000000001</v>
      </c>
      <c r="T845">
        <v>-0.1880298</v>
      </c>
      <c r="U845">
        <v>-0.5404968</v>
      </c>
      <c r="V845">
        <v>7.3378269999999995E-2</v>
      </c>
      <c r="W845">
        <v>-4.8584700000000001E-2</v>
      </c>
      <c r="X845">
        <v>0.99612000000000001</v>
      </c>
      <c r="Y845">
        <v>0.1889933</v>
      </c>
      <c r="Z845">
        <v>-6.5815730000000003E-3</v>
      </c>
      <c r="AA845">
        <v>0.9819563</v>
      </c>
      <c r="AB845">
        <v>39</v>
      </c>
      <c r="AC845">
        <v>17.3050999999999</v>
      </c>
      <c r="AD845">
        <v>-1.1092389596500001</v>
      </c>
      <c r="AE845">
        <v>-3.1905000000000401</v>
      </c>
      <c r="AF845">
        <v>3.3548079356001201</v>
      </c>
      <c r="AG845">
        <v>-1.1092389596500001</v>
      </c>
      <c r="AH845">
        <v>17.203046475115698</v>
      </c>
      <c r="AI845">
        <v>93.621251167132598</v>
      </c>
      <c r="AJ845">
        <v>78.9651047752712</v>
      </c>
      <c r="AK845">
        <v>17.562173993539702</v>
      </c>
      <c r="AL845">
        <v>92.784794706777902</v>
      </c>
      <c r="AM845">
        <v>85.786968265460601</v>
      </c>
      <c r="AN845">
        <v>0.99999994899113998</v>
      </c>
    </row>
    <row r="846" spans="1:40" x14ac:dyDescent="0.25">
      <c r="A846" t="str">
        <f>"20190312151515572"</f>
        <v>20190312151515572</v>
      </c>
      <c r="B846" t="str">
        <f>"1552374915568208"</f>
        <v>1552374915568208</v>
      </c>
      <c r="C846" t="s">
        <v>40</v>
      </c>
      <c r="D846">
        <v>4.9887290000000002</v>
      </c>
      <c r="E846">
        <v>0.54413020000000001</v>
      </c>
      <c r="F846" t="s">
        <v>43</v>
      </c>
      <c r="G846">
        <v>-246.82159999999999</v>
      </c>
      <c r="H846" s="1">
        <v>-2.1095779999999999E-6</v>
      </c>
      <c r="I846">
        <v>366.2158</v>
      </c>
      <c r="J846">
        <v>-264.30430000000001</v>
      </c>
      <c r="K846">
        <v>1.1092519999999999</v>
      </c>
      <c r="L846">
        <v>369.44</v>
      </c>
      <c r="M846">
        <v>0.99983849999999996</v>
      </c>
      <c r="N846">
        <v>0</v>
      </c>
      <c r="O846">
        <v>1.026525E-2</v>
      </c>
      <c r="P846">
        <v>0.99595820000000002</v>
      </c>
      <c r="Q846">
        <v>-6.3321810000000006E-2</v>
      </c>
      <c r="R846">
        <v>-6.3698900000000003E-2</v>
      </c>
      <c r="S846">
        <v>2.965973</v>
      </c>
      <c r="T846">
        <v>-0.1861535</v>
      </c>
      <c r="U846">
        <v>-0.54077149999999996</v>
      </c>
      <c r="V846">
        <v>7.3916350000000006E-2</v>
      </c>
      <c r="W846">
        <v>-4.8639090000000003E-2</v>
      </c>
      <c r="X846">
        <v>0.99607760000000001</v>
      </c>
      <c r="Y846">
        <v>0.18907879999999999</v>
      </c>
      <c r="Z846">
        <v>-6.5180380000000003E-3</v>
      </c>
      <c r="AA846">
        <v>0.98194029999999999</v>
      </c>
      <c r="AB846">
        <v>39</v>
      </c>
      <c r="AC846">
        <v>17.482700000000001</v>
      </c>
      <c r="AD846">
        <v>-1.109254109578</v>
      </c>
      <c r="AE846">
        <v>-3.22419999999999</v>
      </c>
      <c r="AF846">
        <v>3.3903143322101199</v>
      </c>
      <c r="AG846">
        <v>-1.109254109578</v>
      </c>
      <c r="AH846">
        <v>17.381008071675499</v>
      </c>
      <c r="AI846">
        <v>93.584288707254998</v>
      </c>
      <c r="AJ846">
        <v>78.962558934590504</v>
      </c>
      <c r="AK846">
        <v>17.7432837304275</v>
      </c>
      <c r="AL846">
        <v>92.787914608247902</v>
      </c>
      <c r="AM846">
        <v>85.756006741658396</v>
      </c>
      <c r="AN846">
        <v>0.99999998654755495</v>
      </c>
    </row>
    <row r="847" spans="1:40" x14ac:dyDescent="0.25">
      <c r="A847" t="str">
        <f>"20190312151515584"</f>
        <v>20190312151515584</v>
      </c>
      <c r="B847" t="str">
        <f>"1552374915577969"</f>
        <v>1552374915577969</v>
      </c>
      <c r="C847" t="s">
        <v>40</v>
      </c>
      <c r="D847">
        <v>5.2227699999999997</v>
      </c>
      <c r="E847">
        <v>0.54409160000000001</v>
      </c>
      <c r="F847" t="s">
        <v>43</v>
      </c>
      <c r="G847">
        <v>-246.6764</v>
      </c>
      <c r="H847" s="1">
        <v>-2.1648789999999999E-6</v>
      </c>
      <c r="I847">
        <v>366.21749999999997</v>
      </c>
      <c r="J847">
        <v>-264.09219999999999</v>
      </c>
      <c r="K847">
        <v>1.1092649999999999</v>
      </c>
      <c r="L847">
        <v>369.44220000000001</v>
      </c>
      <c r="M847">
        <v>0.99983840000000002</v>
      </c>
      <c r="N847">
        <v>0</v>
      </c>
      <c r="O847">
        <v>1.0255709999999999E-2</v>
      </c>
      <c r="P847">
        <v>0.99593779999999998</v>
      </c>
      <c r="Q847">
        <v>-6.3396729999999998E-2</v>
      </c>
      <c r="R847">
        <v>-6.3944570000000006E-2</v>
      </c>
      <c r="S847">
        <v>2.965668</v>
      </c>
      <c r="T847">
        <v>-0.1866177</v>
      </c>
      <c r="U847">
        <v>-0.54214479999999998</v>
      </c>
      <c r="V847">
        <v>7.4152300000000004E-2</v>
      </c>
      <c r="W847">
        <v>-4.8697890000000001E-2</v>
      </c>
      <c r="X847">
        <v>0.99605719999999998</v>
      </c>
      <c r="Y847">
        <v>0.18952450000000001</v>
      </c>
      <c r="Z847">
        <v>-6.5479509999999998E-3</v>
      </c>
      <c r="AA847">
        <v>0.98185409999999995</v>
      </c>
      <c r="AB847">
        <v>39</v>
      </c>
      <c r="AC847">
        <v>17.415799999999901</v>
      </c>
      <c r="AD847">
        <v>-1.109267164879</v>
      </c>
      <c r="AE847">
        <v>-3.2247000000000399</v>
      </c>
      <c r="AF847">
        <v>3.3898650222117199</v>
      </c>
      <c r="AG847">
        <v>-1.109267164879</v>
      </c>
      <c r="AH847">
        <v>17.313897632935198</v>
      </c>
      <c r="AI847">
        <v>93.5976944075407</v>
      </c>
      <c r="AJ847">
        <v>78.922265198980895</v>
      </c>
      <c r="AK847">
        <v>17.6774633292125</v>
      </c>
      <c r="AL847">
        <v>92.791287568304895</v>
      </c>
      <c r="AM847">
        <v>85.742422256360001</v>
      </c>
      <c r="AN847">
        <v>0.99999999687879104</v>
      </c>
    </row>
    <row r="848" spans="1:40" x14ac:dyDescent="0.25">
      <c r="A848" t="str">
        <f>"20190312151515595"</f>
        <v>20190312151515595</v>
      </c>
      <c r="B848" t="str">
        <f>"1552374915588705"</f>
        <v>1552374915588705</v>
      </c>
      <c r="C848" t="s">
        <v>40</v>
      </c>
      <c r="D848">
        <v>4.997617</v>
      </c>
      <c r="E848">
        <v>0.54408970000000001</v>
      </c>
      <c r="F848" t="s">
        <v>43</v>
      </c>
      <c r="G848">
        <v>-246.2672</v>
      </c>
      <c r="H848" s="1">
        <v>-2.354521E-6</v>
      </c>
      <c r="I848">
        <v>366.18009999999998</v>
      </c>
      <c r="J848">
        <v>-263.89879999999999</v>
      </c>
      <c r="K848">
        <v>1.1092759999999999</v>
      </c>
      <c r="L848">
        <v>369.44409999999999</v>
      </c>
      <c r="M848">
        <v>0.99983829999999996</v>
      </c>
      <c r="N848">
        <v>0</v>
      </c>
      <c r="O848">
        <v>1.024708E-2</v>
      </c>
      <c r="P848">
        <v>0.99591359999999995</v>
      </c>
      <c r="Q848">
        <v>-6.3425819999999994E-2</v>
      </c>
      <c r="R848">
        <v>-6.4291669999999995E-2</v>
      </c>
      <c r="S848">
        <v>2.9656370000000001</v>
      </c>
      <c r="T848">
        <v>-0.18455479999999999</v>
      </c>
      <c r="U848">
        <v>-0.5427246</v>
      </c>
      <c r="V848">
        <v>7.449045E-2</v>
      </c>
      <c r="W848">
        <v>-4.8712980000000003E-2</v>
      </c>
      <c r="X848">
        <v>0.99603120000000001</v>
      </c>
      <c r="Y848">
        <v>0.18971170000000001</v>
      </c>
      <c r="Z848">
        <v>-6.4808969999999898E-3</v>
      </c>
      <c r="AA848">
        <v>0.98181839999999998</v>
      </c>
      <c r="AB848">
        <v>39</v>
      </c>
      <c r="AC848">
        <v>17.631599999999899</v>
      </c>
      <c r="AD848">
        <v>-1.1092783545210001</v>
      </c>
      <c r="AE848">
        <v>-3.2639999999999998</v>
      </c>
      <c r="AF848">
        <v>3.4313886595007199</v>
      </c>
      <c r="AG848">
        <v>-1.1092783545210001</v>
      </c>
      <c r="AH848">
        <v>17.530135346498898</v>
      </c>
      <c r="AI848">
        <v>93.5534973010502</v>
      </c>
      <c r="AJ848">
        <v>78.924825154816105</v>
      </c>
      <c r="AK848">
        <v>17.897222462352399</v>
      </c>
      <c r="AL848">
        <v>92.792153273931206</v>
      </c>
      <c r="AM848">
        <v>85.722967462477499</v>
      </c>
      <c r="AN848">
        <v>0.99999996646755995</v>
      </c>
    </row>
    <row r="849" spans="1:40" x14ac:dyDescent="0.25">
      <c r="A849" t="str">
        <f>"20190312151515606"</f>
        <v>20190312151515606</v>
      </c>
      <c r="B849" t="str">
        <f>"1552374915598464"</f>
        <v>1552374915598464</v>
      </c>
      <c r="C849" t="s">
        <v>40</v>
      </c>
      <c r="D849">
        <v>5.0092619999999997</v>
      </c>
      <c r="E849">
        <v>0.54401069999999996</v>
      </c>
      <c r="F849" t="s">
        <v>43</v>
      </c>
      <c r="G849">
        <v>-245.86840000000001</v>
      </c>
      <c r="H849" s="1">
        <v>-2.5505040000000001E-6</v>
      </c>
      <c r="I849">
        <v>366.13810000000001</v>
      </c>
      <c r="J849">
        <v>-263.70839999999998</v>
      </c>
      <c r="K849">
        <v>1.1092930000000001</v>
      </c>
      <c r="L849">
        <v>369.4461</v>
      </c>
      <c r="M849">
        <v>0.99983829999999996</v>
      </c>
      <c r="N849">
        <v>0</v>
      </c>
      <c r="O849">
        <v>1.0238580000000001E-2</v>
      </c>
      <c r="P849">
        <v>0.99589720000000004</v>
      </c>
      <c r="Q849">
        <v>-6.3421089999999999E-2</v>
      </c>
      <c r="R849">
        <v>-6.4550789999999997E-2</v>
      </c>
      <c r="S849">
        <v>2.965576</v>
      </c>
      <c r="T849">
        <v>-0.18245040000000001</v>
      </c>
      <c r="U849">
        <v>-0.54376219999999997</v>
      </c>
      <c r="V849">
        <v>7.4741000000000002E-2</v>
      </c>
      <c r="W849">
        <v>-4.8695790000000003E-2</v>
      </c>
      <c r="X849">
        <v>0.99601329999999999</v>
      </c>
      <c r="Y849">
        <v>0.1900472</v>
      </c>
      <c r="Z849">
        <v>-6.4167709999999999E-3</v>
      </c>
      <c r="AA849">
        <v>0.98175400000000002</v>
      </c>
      <c r="AB849">
        <v>39</v>
      </c>
      <c r="AC849">
        <v>17.8399999999999</v>
      </c>
      <c r="AD849">
        <v>-1.1092955505040001</v>
      </c>
      <c r="AE849">
        <v>-3.3079999999999901</v>
      </c>
      <c r="AF849">
        <v>3.4775043610198799</v>
      </c>
      <c r="AG849">
        <v>-1.1092955505040001</v>
      </c>
      <c r="AH849">
        <v>17.738886224030701</v>
      </c>
      <c r="AI849">
        <v>93.511643646323094</v>
      </c>
      <c r="AJ849">
        <v>78.908481088147795</v>
      </c>
      <c r="AK849">
        <v>18.110539960707602</v>
      </c>
      <c r="AL849">
        <v>92.791167108350194</v>
      </c>
      <c r="AM849">
        <v>85.7085584011853</v>
      </c>
      <c r="AN849">
        <v>0.99999999541080697</v>
      </c>
    </row>
    <row r="850" spans="1:40" x14ac:dyDescent="0.25">
      <c r="A850" t="str">
        <f>"20190312151515617"</f>
        <v>20190312151515617</v>
      </c>
      <c r="B850" t="str">
        <f>"1552374915608225"</f>
        <v>1552374915608225</v>
      </c>
      <c r="C850" t="s">
        <v>40</v>
      </c>
      <c r="D850">
        <v>5.0116519999999998</v>
      </c>
      <c r="E850">
        <v>0.54401390000000005</v>
      </c>
      <c r="F850" t="s">
        <v>43</v>
      </c>
      <c r="G850">
        <v>-245.4254</v>
      </c>
      <c r="H850" s="1">
        <v>-2.7682450000000002E-6</v>
      </c>
      <c r="I850">
        <v>366.09100000000001</v>
      </c>
      <c r="J850">
        <v>-263.5283</v>
      </c>
      <c r="K850">
        <v>1.1093010000000001</v>
      </c>
      <c r="L850">
        <v>369.4479</v>
      </c>
      <c r="M850">
        <v>0.99983809999999995</v>
      </c>
      <c r="N850">
        <v>0</v>
      </c>
      <c r="O850">
        <v>1.0230629999999999E-2</v>
      </c>
      <c r="P850">
        <v>0.9958882</v>
      </c>
      <c r="Q850">
        <v>-6.3407749999999999E-2</v>
      </c>
      <c r="R850">
        <v>-6.4701620000000001E-2</v>
      </c>
      <c r="S850">
        <v>2.9656370000000001</v>
      </c>
      <c r="T850">
        <v>-0.17993629999999999</v>
      </c>
      <c r="U850">
        <v>-0.54422000000000004</v>
      </c>
      <c r="V850">
        <v>7.4883859999999997E-2</v>
      </c>
      <c r="W850">
        <v>-4.867117E-2</v>
      </c>
      <c r="X850">
        <v>0.99600379999999999</v>
      </c>
      <c r="Y850">
        <v>0.19019220000000001</v>
      </c>
      <c r="Z850">
        <v>-6.3321749999999998E-3</v>
      </c>
      <c r="AA850">
        <v>0.98172649999999995</v>
      </c>
      <c r="AB850">
        <v>39</v>
      </c>
      <c r="AC850">
        <v>18.102900000000002</v>
      </c>
      <c r="AD850">
        <v>-1.109303768245</v>
      </c>
      <c r="AE850">
        <v>-3.3568999999999898</v>
      </c>
      <c r="AF850">
        <v>3.52913742098883</v>
      </c>
      <c r="AG850">
        <v>-1.109303768245</v>
      </c>
      <c r="AH850">
        <v>18.002254915183102</v>
      </c>
      <c r="AI850">
        <v>93.4604203752004</v>
      </c>
      <c r="AJ850">
        <v>78.908472932248301</v>
      </c>
      <c r="AK850">
        <v>18.378426151814502</v>
      </c>
      <c r="AL850">
        <v>92.789754736148893</v>
      </c>
      <c r="AM850">
        <v>85.700345611231597</v>
      </c>
      <c r="AN850">
        <v>1.0000000224460499</v>
      </c>
    </row>
    <row r="851" spans="1:40" x14ac:dyDescent="0.25">
      <c r="A851" t="str">
        <f>"20190312151515627"</f>
        <v>20190312151515627</v>
      </c>
      <c r="B851" t="str">
        <f>"1552374915618961"</f>
        <v>1552374915618961</v>
      </c>
      <c r="C851" t="s">
        <v>40</v>
      </c>
      <c r="D851">
        <v>5.0208199999999996</v>
      </c>
      <c r="E851">
        <v>0.54396069999999996</v>
      </c>
      <c r="F851" t="s">
        <v>43</v>
      </c>
      <c r="G851">
        <v>-245.28639999999999</v>
      </c>
      <c r="H851" s="1">
        <v>-2.8329469999999998E-6</v>
      </c>
      <c r="I851">
        <v>366.09679999999997</v>
      </c>
      <c r="J851">
        <v>-263.33710000000002</v>
      </c>
      <c r="K851">
        <v>1.10931</v>
      </c>
      <c r="L851">
        <v>369.44990000000001</v>
      </c>
      <c r="M851">
        <v>0.999838</v>
      </c>
      <c r="N851">
        <v>0</v>
      </c>
      <c r="O851">
        <v>1.022196E-2</v>
      </c>
      <c r="P851">
        <v>0.99587930000000002</v>
      </c>
      <c r="Q851">
        <v>-6.3315969999999999E-2</v>
      </c>
      <c r="R851">
        <v>-6.4930740000000001E-2</v>
      </c>
      <c r="S851">
        <v>2.9655149999999999</v>
      </c>
      <c r="T851">
        <v>-0.18033479999999999</v>
      </c>
      <c r="U851">
        <v>-0.54476930000000001</v>
      </c>
      <c r="V851">
        <v>7.5104030000000002E-2</v>
      </c>
      <c r="W851">
        <v>-4.8568489999999999E-2</v>
      </c>
      <c r="X851">
        <v>0.99599219999999999</v>
      </c>
      <c r="Y851">
        <v>0.1903649</v>
      </c>
      <c r="Z851">
        <v>-6.3510069999999997E-3</v>
      </c>
      <c r="AA851">
        <v>0.98169289999999998</v>
      </c>
      <c r="AB851">
        <v>39</v>
      </c>
      <c r="AC851">
        <v>18.050699999999999</v>
      </c>
      <c r="AD851">
        <v>-1.1093128329469999</v>
      </c>
      <c r="AE851">
        <v>-3.3531000000000399</v>
      </c>
      <c r="AF851">
        <v>3.5245910277334098</v>
      </c>
      <c r="AG851">
        <v>-1.1093128329469999</v>
      </c>
      <c r="AH851">
        <v>17.9499462579154</v>
      </c>
      <c r="AI851">
        <v>93.470300215654206</v>
      </c>
      <c r="AJ851">
        <v>78.890928104273101</v>
      </c>
      <c r="AK851">
        <v>18.3263168022429</v>
      </c>
      <c r="AL851">
        <v>92.783864735718694</v>
      </c>
      <c r="AM851">
        <v>85.687701551485802</v>
      </c>
      <c r="AN851">
        <v>0.99999998800197998</v>
      </c>
    </row>
    <row r="852" spans="1:40" x14ac:dyDescent="0.25">
      <c r="A852" t="str">
        <f>"20190312151515639"</f>
        <v>20190312151515639</v>
      </c>
      <c r="B852" t="str">
        <f>"1552374915628721"</f>
        <v>1552374915628721</v>
      </c>
      <c r="C852" t="s">
        <v>40</v>
      </c>
      <c r="D852">
        <v>4.9984349999999997</v>
      </c>
      <c r="E852">
        <v>0.54397299999999904</v>
      </c>
      <c r="F852" t="s">
        <v>43</v>
      </c>
      <c r="G852">
        <v>-245.07339999999999</v>
      </c>
      <c r="H852" s="1">
        <v>-2.9337029999999998E-6</v>
      </c>
      <c r="I852">
        <v>366.09629999999999</v>
      </c>
      <c r="J852">
        <v>-263.14640000000003</v>
      </c>
      <c r="K852">
        <v>1.109321</v>
      </c>
      <c r="L852">
        <v>369.45179999999999</v>
      </c>
      <c r="M852">
        <v>0.99983789999999995</v>
      </c>
      <c r="N852">
        <v>0</v>
      </c>
      <c r="O852">
        <v>1.021348E-2</v>
      </c>
      <c r="P852">
        <v>0.99587139999999996</v>
      </c>
      <c r="Q852">
        <v>-6.3229090000000002E-2</v>
      </c>
      <c r="R852">
        <v>-6.5134789999999998E-2</v>
      </c>
      <c r="S852">
        <v>2.9654850000000001</v>
      </c>
      <c r="T852">
        <v>-0.1801198</v>
      </c>
      <c r="U852">
        <v>-0.54452509999999998</v>
      </c>
      <c r="V852">
        <v>7.5299699999999997E-2</v>
      </c>
      <c r="W852">
        <v>-4.8471510000000002E-2</v>
      </c>
      <c r="X852">
        <v>0.99598220000000004</v>
      </c>
      <c r="Y852">
        <v>0.19028120000000001</v>
      </c>
      <c r="Z852">
        <v>-6.3405270000000003E-3</v>
      </c>
      <c r="AA852">
        <v>0.98170919999999895</v>
      </c>
      <c r="AB852">
        <v>39</v>
      </c>
      <c r="AC852">
        <v>18.073</v>
      </c>
      <c r="AD852">
        <v>-1.1093239337029901</v>
      </c>
      <c r="AE852">
        <v>-3.3555000000000001</v>
      </c>
      <c r="AF852">
        <v>3.5270878662439</v>
      </c>
      <c r="AG852">
        <v>-1.1093239337029901</v>
      </c>
      <c r="AH852">
        <v>17.972327109430601</v>
      </c>
      <c r="AI852">
        <v>93.466092820926704</v>
      </c>
      <c r="AJ852">
        <v>78.896753766337895</v>
      </c>
      <c r="AK852">
        <v>18.348719032522801</v>
      </c>
      <c r="AL852">
        <v>92.778301501423101</v>
      </c>
      <c r="AM852">
        <v>85.676465935985107</v>
      </c>
      <c r="AN852">
        <v>1.0000000374093001</v>
      </c>
    </row>
    <row r="853" spans="1:40" x14ac:dyDescent="0.25">
      <c r="A853" t="str">
        <f>"20190312151515650"</f>
        <v>20190312151515650</v>
      </c>
      <c r="B853" t="str">
        <f>"1552374915638481"</f>
        <v>1552374915638481</v>
      </c>
      <c r="C853" t="s">
        <v>40</v>
      </c>
      <c r="D853">
        <v>5.0786530000000001</v>
      </c>
      <c r="E853">
        <v>0.5439638</v>
      </c>
      <c r="F853" t="s">
        <v>43</v>
      </c>
      <c r="G853">
        <v>-244.90350000000001</v>
      </c>
      <c r="H853" s="1">
        <v>-3.0143979999999998E-6</v>
      </c>
      <c r="I853">
        <v>366.09429999999998</v>
      </c>
      <c r="J853">
        <v>-262.94380000000001</v>
      </c>
      <c r="K853">
        <v>1.1093299999999999</v>
      </c>
      <c r="L853">
        <v>369.45389999999998</v>
      </c>
      <c r="M853">
        <v>0.999838</v>
      </c>
      <c r="N853">
        <v>0</v>
      </c>
      <c r="O853">
        <v>1.0204400000000001E-2</v>
      </c>
      <c r="P853">
        <v>0.99587780000000004</v>
      </c>
      <c r="Q853">
        <v>-6.3092499999999996E-2</v>
      </c>
      <c r="R853">
        <v>-6.5170859999999997E-2</v>
      </c>
      <c r="S853">
        <v>2.965271</v>
      </c>
      <c r="T853">
        <v>-0.1803139</v>
      </c>
      <c r="U853">
        <v>-0.54574579999999995</v>
      </c>
      <c r="V853">
        <v>7.5326799999999999E-2</v>
      </c>
      <c r="W853">
        <v>-4.8324689999999997E-2</v>
      </c>
      <c r="X853">
        <v>0.99598719999999996</v>
      </c>
      <c r="Y853">
        <v>0.19067419999999999</v>
      </c>
      <c r="Z853">
        <v>-6.35886E-3</v>
      </c>
      <c r="AA853">
        <v>0.98163279999999997</v>
      </c>
      <c r="AB853">
        <v>39</v>
      </c>
      <c r="AC853">
        <v>18.040299999999998</v>
      </c>
      <c r="AD853">
        <v>-1.109333014398</v>
      </c>
      <c r="AE853">
        <v>-3.3595999999999999</v>
      </c>
      <c r="AF853">
        <v>3.5306329567290899</v>
      </c>
      <c r="AG853">
        <v>-1.109333014398</v>
      </c>
      <c r="AH853">
        <v>17.939513767699399</v>
      </c>
      <c r="AI853">
        <v>93.472080750876202</v>
      </c>
      <c r="AJ853">
        <v>78.866050075735799</v>
      </c>
      <c r="AK853">
        <v>18.317263524704</v>
      </c>
      <c r="AL853">
        <v>92.769879701148795</v>
      </c>
      <c r="AM853">
        <v>85.674937450323995</v>
      </c>
      <c r="AN853">
        <v>0.99999995251283602</v>
      </c>
    </row>
    <row r="854" spans="1:40" x14ac:dyDescent="0.25">
      <c r="A854" t="str">
        <f>"20190312151515661"</f>
        <v>20190312151515661</v>
      </c>
      <c r="B854" t="str">
        <f>"1552374915658001"</f>
        <v>1552374915658001</v>
      </c>
      <c r="C854" t="s">
        <v>40</v>
      </c>
      <c r="D854">
        <v>5.0281599999999997</v>
      </c>
      <c r="E854">
        <v>0.54397459999999997</v>
      </c>
      <c r="F854" t="s">
        <v>43</v>
      </c>
      <c r="G854">
        <v>-244.73150000000001</v>
      </c>
      <c r="H854" s="1">
        <v>-3.094078E-6</v>
      </c>
      <c r="I854">
        <v>366.1035</v>
      </c>
      <c r="J854">
        <v>-262.75599999999997</v>
      </c>
      <c r="K854">
        <v>1.109337</v>
      </c>
      <c r="L854">
        <v>369.45580000000001</v>
      </c>
      <c r="M854">
        <v>0.99983789999999995</v>
      </c>
      <c r="N854">
        <v>0</v>
      </c>
      <c r="O854">
        <v>1.0195569999999999E-2</v>
      </c>
      <c r="P854">
        <v>0.9958515</v>
      </c>
      <c r="Q854">
        <v>-6.3290910000000006E-2</v>
      </c>
      <c r="R854">
        <v>-6.5379190000000004E-2</v>
      </c>
      <c r="S854">
        <v>2.9652400000000001</v>
      </c>
      <c r="T854">
        <v>-0.18061550000000001</v>
      </c>
      <c r="U854">
        <v>-0.54550169999999998</v>
      </c>
      <c r="V854">
        <v>7.5525949999999994E-2</v>
      </c>
      <c r="W854">
        <v>-4.8515200000000001E-2</v>
      </c>
      <c r="X854">
        <v>0.99596289999999998</v>
      </c>
      <c r="Y854">
        <v>0.19058820000000001</v>
      </c>
      <c r="Z854">
        <v>-6.36646E-3</v>
      </c>
      <c r="AA854">
        <v>0.98164949999999995</v>
      </c>
      <c r="AB854">
        <v>39</v>
      </c>
      <c r="AC854">
        <v>18.0244999999999</v>
      </c>
      <c r="AD854">
        <v>-1.109340094078</v>
      </c>
      <c r="AE854">
        <v>-3.3523000000000098</v>
      </c>
      <c r="AF854">
        <v>3.5230172163009001</v>
      </c>
      <c r="AG854">
        <v>-1.109340094078</v>
      </c>
      <c r="AH854">
        <v>17.923756464725699</v>
      </c>
      <c r="AI854">
        <v>93.475313149444403</v>
      </c>
      <c r="AJ854">
        <v>78.879944096578797</v>
      </c>
      <c r="AK854">
        <v>18.300364246579299</v>
      </c>
      <c r="AL854">
        <v>92.780807817806902</v>
      </c>
      <c r="AM854">
        <v>85.663440952938501</v>
      </c>
      <c r="AN854">
        <v>0.99999999596542599</v>
      </c>
    </row>
    <row r="855" spans="1:40" x14ac:dyDescent="0.25">
      <c r="A855" t="str">
        <f>"20190312151515672"</f>
        <v>20190312151515672</v>
      </c>
      <c r="B855" t="str">
        <f>"1552374915668738"</f>
        <v>1552374915668738</v>
      </c>
      <c r="C855" t="s">
        <v>40</v>
      </c>
      <c r="D855">
        <v>5.3186900000000001</v>
      </c>
      <c r="E855">
        <v>0.54414090000000004</v>
      </c>
      <c r="F855" t="s">
        <v>43</v>
      </c>
      <c r="G855">
        <v>-244.66820000000001</v>
      </c>
      <c r="H855" s="1">
        <v>-3.12056E-6</v>
      </c>
      <c r="I855">
        <v>366.12290000000002</v>
      </c>
      <c r="J855">
        <v>-262.56009999999998</v>
      </c>
      <c r="K855">
        <v>1.10934</v>
      </c>
      <c r="L855">
        <v>369.45780000000002</v>
      </c>
      <c r="M855">
        <v>0.9998378</v>
      </c>
      <c r="N855">
        <v>0</v>
      </c>
      <c r="O855">
        <v>1.0186260000000001E-2</v>
      </c>
      <c r="P855">
        <v>0.9958456</v>
      </c>
      <c r="Q855">
        <v>-6.3127169999999996E-2</v>
      </c>
      <c r="R855">
        <v>-6.5625580000000003E-2</v>
      </c>
      <c r="S855">
        <v>2.9650880000000002</v>
      </c>
      <c r="T855">
        <v>-0.18185109999999999</v>
      </c>
      <c r="U855">
        <v>-0.54635619999999996</v>
      </c>
      <c r="V855">
        <v>7.5763090000000005E-2</v>
      </c>
      <c r="W855">
        <v>-4.8343289999999997E-2</v>
      </c>
      <c r="X855">
        <v>0.99595330000000004</v>
      </c>
      <c r="Y855">
        <v>0.1908562</v>
      </c>
      <c r="Z855">
        <v>-6.417669E-3</v>
      </c>
      <c r="AA855">
        <v>0.98159700000000005</v>
      </c>
      <c r="AB855">
        <v>39</v>
      </c>
      <c r="AC855">
        <v>17.8918999999999</v>
      </c>
      <c r="AD855">
        <v>-1.10934312056</v>
      </c>
      <c r="AE855">
        <v>-3.3349000000000002</v>
      </c>
      <c r="AF855">
        <v>3.5039804672066399</v>
      </c>
      <c r="AG855">
        <v>-1.10934312056</v>
      </c>
      <c r="AH855">
        <v>17.790900172489401</v>
      </c>
      <c r="AI855">
        <v>93.500947649258407</v>
      </c>
      <c r="AJ855">
        <v>78.858002231367294</v>
      </c>
      <c r="AK855">
        <v>18.166580586923398</v>
      </c>
      <c r="AL855">
        <v>92.770946385924901</v>
      </c>
      <c r="AM855">
        <v>85.649835231715102</v>
      </c>
      <c r="AN855">
        <v>1.0000000476376301</v>
      </c>
    </row>
    <row r="856" spans="1:40" x14ac:dyDescent="0.25">
      <c r="A856" t="str">
        <f>"20190312151515684"</f>
        <v>20190312151515684</v>
      </c>
      <c r="B856" t="str">
        <f>"1552374915678497"</f>
        <v>1552374915678497</v>
      </c>
      <c r="C856" t="s">
        <v>40</v>
      </c>
      <c r="D856">
        <v>5.1689439999999998</v>
      </c>
      <c r="E856">
        <v>0.54426940000000001</v>
      </c>
      <c r="F856" t="s">
        <v>43</v>
      </c>
      <c r="G856">
        <v>-244.42179999999999</v>
      </c>
      <c r="H856" s="1">
        <v>-3.240494E-6</v>
      </c>
      <c r="I856">
        <v>366.10320000000002</v>
      </c>
      <c r="J856">
        <v>-262.35840000000002</v>
      </c>
      <c r="K856">
        <v>1.1093470000000001</v>
      </c>
      <c r="L856">
        <v>369.45979999999997</v>
      </c>
      <c r="M856">
        <v>0.99983789999999995</v>
      </c>
      <c r="N856">
        <v>0</v>
      </c>
      <c r="O856">
        <v>1.017498E-2</v>
      </c>
      <c r="P856">
        <v>0.99585349999999995</v>
      </c>
      <c r="Q856">
        <v>-6.2949000000000005E-2</v>
      </c>
      <c r="R856">
        <v>-6.5673750000000003E-2</v>
      </c>
      <c r="S856">
        <v>2.9649049999999999</v>
      </c>
      <c r="T856">
        <v>-0.181335</v>
      </c>
      <c r="U856">
        <v>-0.54833980000000004</v>
      </c>
      <c r="V856">
        <v>7.5800140000000002E-2</v>
      </c>
      <c r="W856">
        <v>-4.8157720000000001E-2</v>
      </c>
      <c r="X856">
        <v>0.99595940000000005</v>
      </c>
      <c r="Y856">
        <v>0.19149189999999999</v>
      </c>
      <c r="Z856">
        <v>-6.4180649999999997E-3</v>
      </c>
      <c r="AA856">
        <v>0.98147320000000005</v>
      </c>
      <c r="AB856">
        <v>39</v>
      </c>
      <c r="AC856">
        <v>17.936599999999999</v>
      </c>
      <c r="AD856">
        <v>-1.1093502404940001</v>
      </c>
      <c r="AE856">
        <v>-3.3565999999999501</v>
      </c>
      <c r="AF856">
        <v>3.5259197972275498</v>
      </c>
      <c r="AG856">
        <v>-1.1093502404940001</v>
      </c>
      <c r="AH856">
        <v>17.835597401099299</v>
      </c>
      <c r="AI856">
        <v>93.491730875145393</v>
      </c>
      <c r="AJ856">
        <v>78.817384925474599</v>
      </c>
      <c r="AK856">
        <v>18.21459038866</v>
      </c>
      <c r="AL856">
        <v>92.760301805872402</v>
      </c>
      <c r="AM856">
        <v>85.647742621178693</v>
      </c>
      <c r="AN856">
        <v>0.999999976833988</v>
      </c>
    </row>
    <row r="857" spans="1:40" x14ac:dyDescent="0.25">
      <c r="A857" t="str">
        <f>"20190312151515698"</f>
        <v>20190312151515698</v>
      </c>
      <c r="B857" t="str">
        <f>"1552374915688257"</f>
        <v>1552374915688257</v>
      </c>
      <c r="C857" t="s">
        <v>40</v>
      </c>
      <c r="D857">
        <v>5.1113629999999999</v>
      </c>
      <c r="E857">
        <v>0.54428319999999997</v>
      </c>
      <c r="F857" t="s">
        <v>43</v>
      </c>
      <c r="G857">
        <v>-244.25299999999999</v>
      </c>
      <c r="H857" s="1">
        <v>-3.319956E-6</v>
      </c>
      <c r="I857">
        <v>366.10509999999999</v>
      </c>
      <c r="J857">
        <v>-262.13909999999998</v>
      </c>
      <c r="K857">
        <v>1.109354</v>
      </c>
      <c r="L857">
        <v>369.46199999999999</v>
      </c>
      <c r="M857">
        <v>0.99983789999999995</v>
      </c>
      <c r="N857">
        <v>0</v>
      </c>
      <c r="O857">
        <v>1.0161969999999999E-2</v>
      </c>
      <c r="P857">
        <v>0.99584130000000004</v>
      </c>
      <c r="Q857">
        <v>-6.3092159999999994E-2</v>
      </c>
      <c r="R857">
        <v>-6.5726619999999999E-2</v>
      </c>
      <c r="S857">
        <v>2.9647830000000002</v>
      </c>
      <c r="T857">
        <v>-0.18165809999999999</v>
      </c>
      <c r="U857">
        <v>-0.54934689999999997</v>
      </c>
      <c r="V857">
        <v>7.5839580000000004E-2</v>
      </c>
      <c r="W857">
        <v>-4.8293580000000003E-2</v>
      </c>
      <c r="X857">
        <v>0.99594990000000005</v>
      </c>
      <c r="Y857">
        <v>0.1918069</v>
      </c>
      <c r="Z857">
        <v>-6.4383130000000002E-3</v>
      </c>
      <c r="AA857">
        <v>0.98141160000000005</v>
      </c>
      <c r="AB857">
        <v>39</v>
      </c>
      <c r="AC857">
        <v>17.886099999999999</v>
      </c>
      <c r="AD857">
        <v>-1.1093573199560001</v>
      </c>
      <c r="AE857">
        <v>-3.3568999999999898</v>
      </c>
      <c r="AF857">
        <v>3.5254042795060698</v>
      </c>
      <c r="AG857">
        <v>-1.1093573199560001</v>
      </c>
      <c r="AH857">
        <v>17.7849706238006</v>
      </c>
      <c r="AI857">
        <v>93.501312911010302</v>
      </c>
      <c r="AJ857">
        <v>78.787956006684396</v>
      </c>
      <c r="AK857">
        <v>18.164920288477798</v>
      </c>
      <c r="AL857">
        <v>92.768094854830693</v>
      </c>
      <c r="AM857">
        <v>85.645445404997005</v>
      </c>
      <c r="AN857">
        <v>1.0000000575368999</v>
      </c>
    </row>
    <row r="858" spans="1:40" x14ac:dyDescent="0.25">
      <c r="A858" t="str">
        <f>"20190312151515710"</f>
        <v>20190312151515710</v>
      </c>
      <c r="B858" t="str">
        <f>"1552374915708752"</f>
        <v>1552374915708752</v>
      </c>
      <c r="C858" t="s">
        <v>40</v>
      </c>
      <c r="D858">
        <v>5.0822669999999999</v>
      </c>
      <c r="E858">
        <v>0.54431619999999903</v>
      </c>
      <c r="F858" t="s">
        <v>43</v>
      </c>
      <c r="G858">
        <v>-244.1455</v>
      </c>
      <c r="H858" s="1">
        <v>-3.3670589999999998E-6</v>
      </c>
      <c r="I858">
        <v>366.12619999999998</v>
      </c>
      <c r="J858">
        <v>-261.90010000000001</v>
      </c>
      <c r="K858">
        <v>1.109354</v>
      </c>
      <c r="L858">
        <v>369.46440000000001</v>
      </c>
      <c r="M858">
        <v>0.9998378</v>
      </c>
      <c r="N858">
        <v>0</v>
      </c>
      <c r="O858">
        <v>1.014615E-2</v>
      </c>
      <c r="P858">
        <v>0.99584700000000004</v>
      </c>
      <c r="Q858">
        <v>-6.2990249999999998E-2</v>
      </c>
      <c r="R858">
        <v>-6.573474E-2</v>
      </c>
      <c r="S858">
        <v>2.964661</v>
      </c>
      <c r="T858">
        <v>-0.1827799</v>
      </c>
      <c r="U858">
        <v>-0.54962159999999904</v>
      </c>
      <c r="V858">
        <v>7.5831720000000005E-2</v>
      </c>
      <c r="W858">
        <v>-4.8184400000000002E-2</v>
      </c>
      <c r="X858">
        <v>0.9959557</v>
      </c>
      <c r="Y858">
        <v>0.19188179999999999</v>
      </c>
      <c r="Z858">
        <v>-6.479528E-3</v>
      </c>
      <c r="AA858">
        <v>0.98139670000000001</v>
      </c>
      <c r="AB858">
        <v>39</v>
      </c>
      <c r="AC858">
        <v>17.7546</v>
      </c>
      <c r="AD858">
        <v>-1.109357367059</v>
      </c>
      <c r="AE858">
        <v>-3.33820000000002</v>
      </c>
      <c r="AF858">
        <v>3.5049723652770099</v>
      </c>
      <c r="AG858">
        <v>-1.109357367059</v>
      </c>
      <c r="AH858">
        <v>17.653245418058798</v>
      </c>
      <c r="AI858">
        <v>93.527157434633494</v>
      </c>
      <c r="AJ858">
        <v>78.770221574381196</v>
      </c>
      <c r="AK858">
        <v>18.031987656368301</v>
      </c>
      <c r="AL858">
        <v>92.761832249379196</v>
      </c>
      <c r="AM858">
        <v>85.645920233465603</v>
      </c>
      <c r="AN858">
        <v>0.99999997126200302</v>
      </c>
    </row>
    <row r="859" spans="1:40" x14ac:dyDescent="0.25">
      <c r="A859" t="str">
        <f>"20190312151515724"</f>
        <v>20190312151515724</v>
      </c>
      <c r="B859" t="str">
        <f>"1552374915718513"</f>
        <v>1552374915718513</v>
      </c>
      <c r="C859" t="s">
        <v>40</v>
      </c>
      <c r="D859">
        <v>5.045992</v>
      </c>
      <c r="E859">
        <v>0.54430859999999903</v>
      </c>
      <c r="F859" t="s">
        <v>43</v>
      </c>
      <c r="G859">
        <v>-243.93790000000001</v>
      </c>
      <c r="H859" s="1">
        <v>-3.4639439999999999E-6</v>
      </c>
      <c r="I859">
        <v>366.13330000000002</v>
      </c>
      <c r="J859">
        <v>-261.67140000000001</v>
      </c>
      <c r="K859">
        <v>1.109356</v>
      </c>
      <c r="L859">
        <v>369.46679999999998</v>
      </c>
      <c r="M859">
        <v>0.99983789999999995</v>
      </c>
      <c r="N859">
        <v>0</v>
      </c>
      <c r="O859">
        <v>1.0128409999999999E-2</v>
      </c>
      <c r="P859">
        <v>0.99586300000000005</v>
      </c>
      <c r="Q859">
        <v>-6.2752939999999993E-2</v>
      </c>
      <c r="R859">
        <v>-6.5718579999999999E-2</v>
      </c>
      <c r="S859">
        <v>2.9646300000000001</v>
      </c>
      <c r="T859">
        <v>-0.1830966</v>
      </c>
      <c r="U859">
        <v>-0.54980469999999904</v>
      </c>
      <c r="V859">
        <v>7.5797920000000005E-2</v>
      </c>
      <c r="W859">
        <v>-4.7941159999999997E-2</v>
      </c>
      <c r="X859">
        <v>0.99597000000000002</v>
      </c>
      <c r="Y859">
        <v>0.1919235</v>
      </c>
      <c r="Z859">
        <v>-6.4909529999999998E-3</v>
      </c>
      <c r="AA859">
        <v>0.98138840000000005</v>
      </c>
      <c r="AB859">
        <v>39</v>
      </c>
      <c r="AC859">
        <v>17.7334999999999</v>
      </c>
      <c r="AD859">
        <v>-1.1093594639440001</v>
      </c>
      <c r="AE859">
        <v>-3.3334999999999502</v>
      </c>
      <c r="AF859">
        <v>3.4997325735228801</v>
      </c>
      <c r="AG859">
        <v>-1.1093594639440001</v>
      </c>
      <c r="AH859">
        <v>17.632176408785799</v>
      </c>
      <c r="AI859">
        <v>93.531408413790999</v>
      </c>
      <c r="AJ859">
        <v>78.773524930653707</v>
      </c>
      <c r="AK859">
        <v>18.0103429011488</v>
      </c>
      <c r="AL859">
        <v>92.747879528996904</v>
      </c>
      <c r="AM859">
        <v>85.647915739656497</v>
      </c>
      <c r="AN859">
        <v>0.99999996019923498</v>
      </c>
    </row>
    <row r="860" spans="1:40" x14ac:dyDescent="0.25">
      <c r="A860" t="str">
        <f>"20190312151515740"</f>
        <v>20190312151515740</v>
      </c>
      <c r="B860" t="str">
        <f>"1552374915738033"</f>
        <v>1552374915738033</v>
      </c>
      <c r="C860" t="s">
        <v>40</v>
      </c>
      <c r="D860">
        <v>5.3555799999999998</v>
      </c>
      <c r="E860">
        <v>0.544604599999999</v>
      </c>
      <c r="F860" t="s">
        <v>43</v>
      </c>
      <c r="G860">
        <v>-243.721</v>
      </c>
      <c r="H860" s="1">
        <v>-3.5656319999999998E-6</v>
      </c>
      <c r="I860">
        <v>366.13780000000003</v>
      </c>
      <c r="J860">
        <v>-261.38560000000001</v>
      </c>
      <c r="K860">
        <v>1.1093660000000001</v>
      </c>
      <c r="L860">
        <v>369.46960000000001</v>
      </c>
      <c r="M860">
        <v>0.99983809999999995</v>
      </c>
      <c r="N860">
        <v>0</v>
      </c>
      <c r="O860">
        <v>1.010313E-2</v>
      </c>
      <c r="P860">
        <v>0.99588220000000005</v>
      </c>
      <c r="Q860">
        <v>-6.2425719999999997E-2</v>
      </c>
      <c r="R860">
        <v>-6.5740740000000006E-2</v>
      </c>
      <c r="S860">
        <v>2.9646300000000001</v>
      </c>
      <c r="T860">
        <v>-0.18321809999999999</v>
      </c>
      <c r="U860">
        <v>-0.54980469999999904</v>
      </c>
      <c r="V860">
        <v>7.5794650000000005E-2</v>
      </c>
      <c r="W860">
        <v>-4.7607509999999999E-2</v>
      </c>
      <c r="X860">
        <v>0.99598629999999999</v>
      </c>
      <c r="Y860">
        <v>0.19189829999999999</v>
      </c>
      <c r="Z860">
        <v>-6.4929319999999999E-3</v>
      </c>
      <c r="AA860">
        <v>0.98139330000000002</v>
      </c>
      <c r="AB860">
        <v>39</v>
      </c>
      <c r="AC860">
        <v>17.6646</v>
      </c>
      <c r="AD860">
        <v>-1.109369565632</v>
      </c>
      <c r="AE860">
        <v>-3.3317999999999799</v>
      </c>
      <c r="AF860">
        <v>3.4967996080533599</v>
      </c>
      <c r="AG860">
        <v>-1.109369565632</v>
      </c>
      <c r="AH860">
        <v>17.5631422540534</v>
      </c>
      <c r="AI860">
        <v>93.544871289667</v>
      </c>
      <c r="AJ860">
        <v>78.739728062566698</v>
      </c>
      <c r="AK860">
        <v>17.942192568583899</v>
      </c>
      <c r="AL860">
        <v>92.728740810514793</v>
      </c>
      <c r="AM860">
        <v>85.648173719917395</v>
      </c>
      <c r="AN860">
        <v>1.00000000688235</v>
      </c>
    </row>
    <row r="861" spans="1:40" x14ac:dyDescent="0.25">
      <c r="A861" t="str">
        <f>"20190312151515752"</f>
        <v>20190312151515752</v>
      </c>
      <c r="B861" t="str">
        <f>"1552374915748768"</f>
        <v>1552374915748768</v>
      </c>
      <c r="C861" t="s">
        <v>40</v>
      </c>
      <c r="D861">
        <v>5.1601129999999999</v>
      </c>
      <c r="E861">
        <v>0.54468269999999996</v>
      </c>
      <c r="F861" t="s">
        <v>43</v>
      </c>
      <c r="G861">
        <v>-243.61869999999999</v>
      </c>
      <c r="H861" s="1">
        <v>-3.610093E-6</v>
      </c>
      <c r="I861">
        <v>366.15969999999999</v>
      </c>
      <c r="J861">
        <v>-261.1848</v>
      </c>
      <c r="K861">
        <v>1.109369</v>
      </c>
      <c r="L861">
        <v>369.47160000000002</v>
      </c>
      <c r="M861">
        <v>0.99983829999999996</v>
      </c>
      <c r="N861">
        <v>0</v>
      </c>
      <c r="O861">
        <v>1.008326E-2</v>
      </c>
      <c r="P861">
        <v>0.99586669999999999</v>
      </c>
      <c r="Q861">
        <v>-6.2371950000000002E-2</v>
      </c>
      <c r="R861">
        <v>-6.6026409999999994E-2</v>
      </c>
      <c r="S861">
        <v>2.9643250000000001</v>
      </c>
      <c r="T861">
        <v>-0.1850936</v>
      </c>
      <c r="U861">
        <v>-0.55224609999999996</v>
      </c>
      <c r="V861">
        <v>7.6060119999999995E-2</v>
      </c>
      <c r="W861">
        <v>-4.7550219999999997E-2</v>
      </c>
      <c r="X861">
        <v>0.99596879999999999</v>
      </c>
      <c r="Y861">
        <v>0.19266900000000001</v>
      </c>
      <c r="Z861">
        <v>-6.582053E-3</v>
      </c>
      <c r="AA861">
        <v>0.98124169999999999</v>
      </c>
      <c r="AB861">
        <v>39</v>
      </c>
      <c r="AC861">
        <v>17.566099999999999</v>
      </c>
      <c r="AD861">
        <v>-1.1093726100929999</v>
      </c>
      <c r="AE861">
        <v>-3.3119000000000298</v>
      </c>
      <c r="AF861">
        <v>3.47548880369997</v>
      </c>
      <c r="AG861">
        <v>-1.1093726100929999</v>
      </c>
      <c r="AH861">
        <v>17.464542962764298</v>
      </c>
      <c r="AI861">
        <v>93.564908287125306</v>
      </c>
      <c r="AJ861">
        <v>78.745028969894804</v>
      </c>
      <c r="AK861">
        <v>17.841524343814001</v>
      </c>
      <c r="AL861">
        <v>92.725454610816101</v>
      </c>
      <c r="AM861">
        <v>85.6329139171458</v>
      </c>
      <c r="AN861">
        <v>1.00000000792495</v>
      </c>
    </row>
    <row r="862" spans="1:40" x14ac:dyDescent="0.25">
      <c r="A862" t="str">
        <f>"20190312151515764"</f>
        <v>20190312151515764</v>
      </c>
      <c r="B862" t="str">
        <f>"1552374915758529"</f>
        <v>1552374915758529</v>
      </c>
      <c r="C862" t="s">
        <v>40</v>
      </c>
      <c r="D862">
        <v>5.068778</v>
      </c>
      <c r="E862">
        <v>0.54470730000000001</v>
      </c>
      <c r="F862" t="s">
        <v>43</v>
      </c>
      <c r="G862">
        <v>-243.44049999999999</v>
      </c>
      <c r="H862" s="1">
        <v>-3.6948260000000001E-6</v>
      </c>
      <c r="I862">
        <v>366.15719999999999</v>
      </c>
      <c r="J862">
        <v>-260.99059999999997</v>
      </c>
      <c r="K862">
        <v>1.109369</v>
      </c>
      <c r="L862">
        <v>369.47359999999998</v>
      </c>
      <c r="M862">
        <v>0.99983840000000002</v>
      </c>
      <c r="N862">
        <v>0</v>
      </c>
      <c r="O862">
        <v>1.0060700000000001E-2</v>
      </c>
      <c r="P862">
        <v>0.99588779999999999</v>
      </c>
      <c r="Q862">
        <v>-6.1998409999999997E-2</v>
      </c>
      <c r="R862">
        <v>-6.6060560000000004E-2</v>
      </c>
      <c r="S862">
        <v>2.964172</v>
      </c>
      <c r="T862">
        <v>-0.1853195</v>
      </c>
      <c r="U862">
        <v>-0.55368039999999996</v>
      </c>
      <c r="V862">
        <v>7.6071529999999998E-2</v>
      </c>
      <c r="W862">
        <v>-4.7173350000000003E-2</v>
      </c>
      <c r="X862">
        <v>0.99598589999999998</v>
      </c>
      <c r="Y862">
        <v>0.19311310000000001</v>
      </c>
      <c r="Z862">
        <v>-6.6024680000000002E-3</v>
      </c>
      <c r="AA862">
        <v>0.98115430000000003</v>
      </c>
      <c r="AB862">
        <v>39</v>
      </c>
      <c r="AC862">
        <v>17.550099999999901</v>
      </c>
      <c r="AD862">
        <v>-1.1093726948260001</v>
      </c>
      <c r="AE862">
        <v>-3.3163999999999798</v>
      </c>
      <c r="AF862">
        <v>3.47939463131768</v>
      </c>
      <c r="AG862">
        <v>-1.1093726948260001</v>
      </c>
      <c r="AH862">
        <v>17.4485268024339</v>
      </c>
      <c r="AI862">
        <v>93.567895176764694</v>
      </c>
      <c r="AJ862">
        <v>78.722626387941702</v>
      </c>
      <c r="AK862">
        <v>17.826608829267599</v>
      </c>
      <c r="AL862">
        <v>92.703837156510602</v>
      </c>
      <c r="AM862">
        <v>85.632336031916495</v>
      </c>
      <c r="AN862">
        <v>1.0000000578127799</v>
      </c>
    </row>
    <row r="863" spans="1:40" x14ac:dyDescent="0.25">
      <c r="A863" t="str">
        <f>"20190312151515775"</f>
        <v>20190312151515775</v>
      </c>
      <c r="B863" t="str">
        <f>"1552374915768289"</f>
        <v>1552374915768289</v>
      </c>
      <c r="C863" t="s">
        <v>40</v>
      </c>
      <c r="D863">
        <v>5.036613</v>
      </c>
      <c r="E863">
        <v>0.54485479999999997</v>
      </c>
      <c r="F863" t="s">
        <v>43</v>
      </c>
      <c r="G863">
        <v>-243.25059999999999</v>
      </c>
      <c r="H863" s="1">
        <v>-3.7844000000000001E-6</v>
      </c>
      <c r="I863">
        <v>366.15809999999999</v>
      </c>
      <c r="J863">
        <v>-260.8005</v>
      </c>
      <c r="K863">
        <v>1.10937</v>
      </c>
      <c r="L863">
        <v>369.47550000000001</v>
      </c>
      <c r="M863">
        <v>0.99983869999999997</v>
      </c>
      <c r="N863">
        <v>0</v>
      </c>
      <c r="O863">
        <v>1.0037610000000001E-2</v>
      </c>
      <c r="P863">
        <v>0.99588650000000001</v>
      </c>
      <c r="Q863">
        <v>-6.1835359999999999E-2</v>
      </c>
      <c r="R863">
        <v>-6.6232029999999997E-2</v>
      </c>
      <c r="S863">
        <v>2.9641109999999999</v>
      </c>
      <c r="T863">
        <v>-0.18536130000000001</v>
      </c>
      <c r="U863">
        <v>-0.55398559999999997</v>
      </c>
      <c r="V863">
        <v>7.6219839999999997E-2</v>
      </c>
      <c r="W863">
        <v>-4.7007550000000002E-2</v>
      </c>
      <c r="X863">
        <v>0.99598229999999999</v>
      </c>
      <c r="Y863">
        <v>0.19319140000000001</v>
      </c>
      <c r="Z863">
        <v>-6.6050149999999997E-3</v>
      </c>
      <c r="AA863">
        <v>0.98113890000000004</v>
      </c>
      <c r="AB863">
        <v>38</v>
      </c>
      <c r="AC863">
        <v>17.549900000000001</v>
      </c>
      <c r="AD863">
        <v>-1.1093737844</v>
      </c>
      <c r="AE863">
        <v>-3.3174000000000201</v>
      </c>
      <c r="AF863">
        <v>3.4799857311131999</v>
      </c>
      <c r="AG863">
        <v>-1.1093737844</v>
      </c>
      <c r="AH863">
        <v>17.448397717972998</v>
      </c>
      <c r="AI863">
        <v>93.567900869500306</v>
      </c>
      <c r="AJ863">
        <v>78.720678328593394</v>
      </c>
      <c r="AK863">
        <v>17.826597931373001</v>
      </c>
      <c r="AL863">
        <v>92.694327236039797</v>
      </c>
      <c r="AM863">
        <v>85.623838069664004</v>
      </c>
      <c r="AN863">
        <v>0.99999995783995799</v>
      </c>
    </row>
    <row r="864" spans="1:40" x14ac:dyDescent="0.25">
      <c r="A864" t="str">
        <f>"20190312151515785"</f>
        <v>20190312151515785</v>
      </c>
      <c r="B864" t="str">
        <f>"1552374915778049"</f>
        <v>1552374915778049</v>
      </c>
      <c r="C864" t="s">
        <v>40</v>
      </c>
      <c r="D864">
        <v>5.0623889999999996</v>
      </c>
      <c r="E864">
        <v>0.54485479999999997</v>
      </c>
      <c r="F864" t="s">
        <v>43</v>
      </c>
      <c r="G864">
        <v>-243.07140000000001</v>
      </c>
      <c r="H864" s="1">
        <v>-3.870137E-6</v>
      </c>
      <c r="I864">
        <v>366.15230000000003</v>
      </c>
      <c r="J864">
        <v>-260.60500000000002</v>
      </c>
      <c r="K864">
        <v>1.109369</v>
      </c>
      <c r="L864">
        <v>369.47739999999999</v>
      </c>
      <c r="M864">
        <v>0.99983880000000003</v>
      </c>
      <c r="N864">
        <v>0</v>
      </c>
      <c r="O864">
        <v>1.001003E-2</v>
      </c>
      <c r="P864">
        <v>0.99588759999999998</v>
      </c>
      <c r="Q864">
        <v>-6.1747429999999999E-2</v>
      </c>
      <c r="R864">
        <v>-6.6296640000000004E-2</v>
      </c>
      <c r="S864">
        <v>2.9639280000000001</v>
      </c>
      <c r="T864">
        <v>-0.18546370000000001</v>
      </c>
      <c r="U864">
        <v>-0.55557250000000002</v>
      </c>
      <c r="V864">
        <v>7.6256450000000003E-2</v>
      </c>
      <c r="W864">
        <v>-4.6917449999999999E-2</v>
      </c>
      <c r="X864">
        <v>0.99598379999999997</v>
      </c>
      <c r="Y864">
        <v>0.19368150000000001</v>
      </c>
      <c r="Z864">
        <v>-6.6222140000000004E-3</v>
      </c>
      <c r="AA864">
        <v>0.98104210000000003</v>
      </c>
      <c r="AB864">
        <v>38</v>
      </c>
      <c r="AC864">
        <v>17.5336</v>
      </c>
      <c r="AD864">
        <v>-1.109372870137</v>
      </c>
      <c r="AE864">
        <v>-3.32509999999996</v>
      </c>
      <c r="AF864">
        <v>3.4869900368596398</v>
      </c>
      <c r="AG864">
        <v>-1.109372870137</v>
      </c>
      <c r="AH864">
        <v>17.432070942872802</v>
      </c>
      <c r="AI864">
        <v>93.570828281040406</v>
      </c>
      <c r="AJ864">
        <v>78.688247633932505</v>
      </c>
      <c r="AK864">
        <v>17.811987677951699</v>
      </c>
      <c r="AL864">
        <v>92.689159039331997</v>
      </c>
      <c r="AM864">
        <v>85.621750845918896</v>
      </c>
      <c r="AN864">
        <v>1.00000001157177</v>
      </c>
    </row>
    <row r="865" spans="1:40" x14ac:dyDescent="0.25">
      <c r="A865" t="str">
        <f>"20190312151515798"</f>
        <v>20190312151515798</v>
      </c>
      <c r="B865" t="str">
        <f>"1552374915788785"</f>
        <v>1552374915788785</v>
      </c>
      <c r="C865" t="s">
        <v>40</v>
      </c>
      <c r="D865">
        <v>5.0206169999999997</v>
      </c>
      <c r="E865">
        <v>0.56986919999999996</v>
      </c>
      <c r="F865" t="s">
        <v>43</v>
      </c>
      <c r="G865">
        <v>-242.84790000000001</v>
      </c>
      <c r="H865" s="1">
        <v>-3.9766880000000001E-6</v>
      </c>
      <c r="I865">
        <v>366.1472</v>
      </c>
      <c r="J865">
        <v>-260.40530000000001</v>
      </c>
      <c r="K865">
        <v>1.109367</v>
      </c>
      <c r="L865">
        <v>369.4794</v>
      </c>
      <c r="M865">
        <v>0.99983909999999998</v>
      </c>
      <c r="N865">
        <v>0</v>
      </c>
      <c r="O865">
        <v>9.9795920000000007E-3</v>
      </c>
      <c r="P865">
        <v>0.99589459999999996</v>
      </c>
      <c r="Q865">
        <v>-6.1563949999999999E-2</v>
      </c>
      <c r="R865">
        <v>-6.6362160000000003E-2</v>
      </c>
      <c r="S865">
        <v>2.963959</v>
      </c>
      <c r="T865">
        <v>-0.1851729</v>
      </c>
      <c r="U865">
        <v>-0.55587769999999903</v>
      </c>
      <c r="V865">
        <v>7.6291289999999998E-2</v>
      </c>
      <c r="W865">
        <v>-4.6732000000000003E-2</v>
      </c>
      <c r="X865">
        <v>0.99598989999999998</v>
      </c>
      <c r="Y865">
        <v>0.19374849999999999</v>
      </c>
      <c r="Z865">
        <v>-6.6119129999999996E-3</v>
      </c>
      <c r="AA865">
        <v>0.98102900000000004</v>
      </c>
      <c r="AB865">
        <v>38</v>
      </c>
      <c r="AC865">
        <v>17.557400000000001</v>
      </c>
      <c r="AD865">
        <v>-1.109370976688</v>
      </c>
      <c r="AE865">
        <v>-3.3321999999999998</v>
      </c>
      <c r="AF865">
        <v>3.4938055029872901</v>
      </c>
      <c r="AG865">
        <v>-1.109370976688</v>
      </c>
      <c r="AH865">
        <v>17.455999596081899</v>
      </c>
      <c r="AI865">
        <v>93.565860430661104</v>
      </c>
      <c r="AJ865">
        <v>78.681844396261397</v>
      </c>
      <c r="AK865">
        <v>17.836740250254099</v>
      </c>
      <c r="AL865">
        <v>92.678521737410904</v>
      </c>
      <c r="AM865">
        <v>85.619785019936003</v>
      </c>
      <c r="AN865">
        <v>1.00000006082793</v>
      </c>
    </row>
    <row r="866" spans="1:40" x14ac:dyDescent="0.25">
      <c r="A866" t="str">
        <f>"20190312151515809"</f>
        <v>20190312151515809</v>
      </c>
      <c r="B866" t="str">
        <f>"1552374915798545"</f>
        <v>1552374915798545</v>
      </c>
      <c r="C866" t="s">
        <v>40</v>
      </c>
      <c r="D866">
        <v>4.9970230000000004</v>
      </c>
      <c r="E866">
        <v>0.57159439999999995</v>
      </c>
      <c r="F866" t="s">
        <v>43</v>
      </c>
      <c r="G866">
        <v>-244.4496</v>
      </c>
      <c r="H866" s="1">
        <v>-3.3528759999999999E-6</v>
      </c>
      <c r="I866">
        <v>365.39569999999998</v>
      </c>
      <c r="J866">
        <v>-260.20749999999998</v>
      </c>
      <c r="K866">
        <v>1.1093569999999999</v>
      </c>
      <c r="L866">
        <v>369.48140000000001</v>
      </c>
      <c r="M866">
        <v>0.99983940000000004</v>
      </c>
      <c r="N866">
        <v>0</v>
      </c>
      <c r="O866">
        <v>9.9467670000000005E-3</v>
      </c>
      <c r="P866">
        <v>0.99589550000000004</v>
      </c>
      <c r="Q866">
        <v>-6.1391550000000003E-2</v>
      </c>
      <c r="R866">
        <v>-6.6509460000000006E-2</v>
      </c>
      <c r="S866">
        <v>2.9494020000000001</v>
      </c>
      <c r="T866">
        <v>-0.20506669999999999</v>
      </c>
      <c r="U866">
        <v>-0.75488279999999996</v>
      </c>
      <c r="V866">
        <v>7.6405319999999999E-2</v>
      </c>
      <c r="W866">
        <v>-4.6558229999999999E-2</v>
      </c>
      <c r="X866">
        <v>0.99598929999999997</v>
      </c>
      <c r="Y866">
        <v>0.25697160000000002</v>
      </c>
      <c r="Z866">
        <v>-9.4616949999999991E-3</v>
      </c>
      <c r="AA866">
        <v>0.96637260000000003</v>
      </c>
      <c r="AB866">
        <v>38</v>
      </c>
      <c r="AC866">
        <v>15.7578999999999</v>
      </c>
      <c r="AD866">
        <v>-1.1093603528760001</v>
      </c>
      <c r="AE866">
        <v>-4.0857000000000303</v>
      </c>
      <c r="AF866">
        <v>4.2226454455072604</v>
      </c>
      <c r="AG866">
        <v>-1.1093603528760001</v>
      </c>
      <c r="AH866">
        <v>15.643826317232399</v>
      </c>
      <c r="AI866">
        <v>93.916551023491905</v>
      </c>
      <c r="AJ866">
        <v>74.894479224334802</v>
      </c>
      <c r="AK866">
        <v>16.241635286963302</v>
      </c>
      <c r="AL866">
        <v>92.668554593717303</v>
      </c>
      <c r="AM866">
        <v>85.613260965162993</v>
      </c>
      <c r="AN866">
        <v>1.0000000637097599</v>
      </c>
    </row>
    <row r="867" spans="1:40" x14ac:dyDescent="0.25">
      <c r="A867" t="str">
        <f>"20190312151515820"</f>
        <v>20190312151515820</v>
      </c>
      <c r="B867" t="str">
        <f>"1552374915818065"</f>
        <v>1552374915818065</v>
      </c>
      <c r="C867" t="s">
        <v>40</v>
      </c>
      <c r="D867">
        <v>4.9877089999999997</v>
      </c>
      <c r="E867">
        <v>0.57341980000000004</v>
      </c>
      <c r="F867" t="s">
        <v>43</v>
      </c>
      <c r="G867">
        <v>-242.78909999999999</v>
      </c>
      <c r="H867" s="1">
        <v>-4.2187150000000001E-6</v>
      </c>
      <c r="I867">
        <v>364.93950000000001</v>
      </c>
      <c r="J867">
        <v>-260.01749999999998</v>
      </c>
      <c r="K867">
        <v>1.109354</v>
      </c>
      <c r="L867">
        <v>369.48320000000001</v>
      </c>
      <c r="M867">
        <v>0.99983979999999995</v>
      </c>
      <c r="N867">
        <v>0</v>
      </c>
      <c r="O867">
        <v>9.9109060000000006E-3</v>
      </c>
      <c r="P867">
        <v>0.99589050000000001</v>
      </c>
      <c r="Q867">
        <v>-6.1266000000000001E-2</v>
      </c>
      <c r="R867">
        <v>-6.6701140000000006E-2</v>
      </c>
      <c r="S867">
        <v>2.9494319999999998</v>
      </c>
      <c r="T867">
        <v>-0.18784680000000001</v>
      </c>
      <c r="U867">
        <v>-0.76907349999999997</v>
      </c>
      <c r="V867">
        <v>7.656077E-2</v>
      </c>
      <c r="W867">
        <v>-4.6431890000000003E-2</v>
      </c>
      <c r="X867">
        <v>0.99598319999999996</v>
      </c>
      <c r="Y867">
        <v>0.26138030000000001</v>
      </c>
      <c r="Z867">
        <v>-8.7992839999999992E-3</v>
      </c>
      <c r="AA867">
        <v>0.96519580000000005</v>
      </c>
      <c r="AB867">
        <v>38</v>
      </c>
      <c r="AC867">
        <v>17.228399999999901</v>
      </c>
      <c r="AD867">
        <v>-1.109358218715</v>
      </c>
      <c r="AE867">
        <v>-4.5437000000000003</v>
      </c>
      <c r="AF867">
        <v>4.6960401621372796</v>
      </c>
      <c r="AG867">
        <v>-1.109358218715</v>
      </c>
      <c r="AH867">
        <v>17.116164015504499</v>
      </c>
      <c r="AI867">
        <v>93.5765444433722</v>
      </c>
      <c r="AJ867">
        <v>74.657691684153704</v>
      </c>
      <c r="AK867">
        <v>17.783321946910998</v>
      </c>
      <c r="AL867">
        <v>92.661308169245501</v>
      </c>
      <c r="AM867">
        <v>85.604344078153105</v>
      </c>
      <c r="AN867">
        <v>1.0000000032970999</v>
      </c>
    </row>
    <row r="868" spans="1:40" x14ac:dyDescent="0.25">
      <c r="A868" t="str">
        <f>"20190312151515831"</f>
        <v>20190312151515831</v>
      </c>
      <c r="B868" t="str">
        <f>"1552374915828801"</f>
        <v>1552374915828801</v>
      </c>
      <c r="C868" t="s">
        <v>40</v>
      </c>
      <c r="D868">
        <v>4.934018</v>
      </c>
      <c r="E868">
        <v>0.5738103</v>
      </c>
      <c r="F868" t="s">
        <v>43</v>
      </c>
      <c r="G868">
        <v>-241.81639999999999</v>
      </c>
      <c r="H868" s="1">
        <v>-4.7313230000000003E-6</v>
      </c>
      <c r="I868">
        <v>364.64179999999999</v>
      </c>
      <c r="J868">
        <v>-259.82330000000002</v>
      </c>
      <c r="K868">
        <v>1.1093519999999999</v>
      </c>
      <c r="L868">
        <v>369.48509999999999</v>
      </c>
      <c r="M868">
        <v>0.99984010000000001</v>
      </c>
      <c r="N868">
        <v>0</v>
      </c>
      <c r="O868">
        <v>9.8728970000000003E-3</v>
      </c>
      <c r="P868">
        <v>0.99585919999999895</v>
      </c>
      <c r="Q868">
        <v>-6.1324740000000003E-2</v>
      </c>
      <c r="R868">
        <v>-6.7112740000000004E-2</v>
      </c>
      <c r="S868">
        <v>2.9487920000000001</v>
      </c>
      <c r="T868">
        <v>-0.17972929999999901</v>
      </c>
      <c r="U868">
        <v>-0.78436280000000003</v>
      </c>
      <c r="V868">
        <v>7.6933719999999997E-2</v>
      </c>
      <c r="W868">
        <v>-4.6490450000000003E-2</v>
      </c>
      <c r="X868">
        <v>0.9959517</v>
      </c>
      <c r="Y868">
        <v>0.26610729999999999</v>
      </c>
      <c r="Z868">
        <v>-8.5552379999999997E-3</v>
      </c>
      <c r="AA868">
        <v>0.96390549999999997</v>
      </c>
      <c r="AB868">
        <v>38</v>
      </c>
      <c r="AC868">
        <v>18.006900000000002</v>
      </c>
      <c r="AD868">
        <v>-1.1093567313229999</v>
      </c>
      <c r="AE868">
        <v>-4.8432999999999904</v>
      </c>
      <c r="AF868">
        <v>5.00315573188802</v>
      </c>
      <c r="AG868">
        <v>-1.1093567313229999</v>
      </c>
      <c r="AH868">
        <v>17.8948622977287</v>
      </c>
      <c r="AI868">
        <v>93.416700977820199</v>
      </c>
      <c r="AJ868">
        <v>74.379743674355694</v>
      </c>
      <c r="AK868">
        <v>18.614197170158299</v>
      </c>
      <c r="AL868">
        <v>92.664667115529596</v>
      </c>
      <c r="AM868">
        <v>85.582876930977307</v>
      </c>
      <c r="AN868">
        <v>0.99999997397356499</v>
      </c>
    </row>
    <row r="869" spans="1:40" x14ac:dyDescent="0.25">
      <c r="A869" t="str">
        <f>"20190312151515843"</f>
        <v>20190312151515843</v>
      </c>
      <c r="B869" t="str">
        <f>"1552374915838561"</f>
        <v>1552374915838561</v>
      </c>
      <c r="C869" t="s">
        <v>40</v>
      </c>
      <c r="D869">
        <v>4.9810150000000002</v>
      </c>
      <c r="E869">
        <v>0.57419679999999995</v>
      </c>
      <c r="F869" t="s">
        <v>43</v>
      </c>
      <c r="G869">
        <v>-240.9349</v>
      </c>
      <c r="H869" s="1">
        <v>-5.1849899999999996E-6</v>
      </c>
      <c r="I869">
        <v>364.43329999999997</v>
      </c>
      <c r="J869">
        <v>-259.62990000000002</v>
      </c>
      <c r="K869">
        <v>1.109348</v>
      </c>
      <c r="L869">
        <v>369.48700000000002</v>
      </c>
      <c r="M869">
        <v>0.99984039999999996</v>
      </c>
      <c r="N869">
        <v>0</v>
      </c>
      <c r="O869">
        <v>9.8298770000000008E-3</v>
      </c>
      <c r="P869">
        <v>0.99582559999999998</v>
      </c>
      <c r="Q869">
        <v>-6.1503460000000003E-2</v>
      </c>
      <c r="R869">
        <v>-6.7444500000000004E-2</v>
      </c>
      <c r="S869">
        <v>2.9486690000000002</v>
      </c>
      <c r="T869">
        <v>-0.17318149999999999</v>
      </c>
      <c r="U869">
        <v>-0.78863530000000004</v>
      </c>
      <c r="V869">
        <v>7.7221700000000004E-2</v>
      </c>
      <c r="W869">
        <v>-4.6669490000000001E-2</v>
      </c>
      <c r="X869">
        <v>0.9959211</v>
      </c>
      <c r="Y869">
        <v>0.26741169999999997</v>
      </c>
      <c r="Z869">
        <v>-8.2780289999999992E-3</v>
      </c>
      <c r="AA869">
        <v>0.96354680000000004</v>
      </c>
      <c r="AB869">
        <v>38</v>
      </c>
      <c r="AC869">
        <v>18.695</v>
      </c>
      <c r="AD869">
        <v>-1.10935318499</v>
      </c>
      <c r="AE869">
        <v>-5.0536999999999903</v>
      </c>
      <c r="AF869">
        <v>5.2201165097693698</v>
      </c>
      <c r="AG869">
        <v>-1.10935318499</v>
      </c>
      <c r="AH869">
        <v>18.583434167083301</v>
      </c>
      <c r="AI869">
        <v>93.289252979607198</v>
      </c>
      <c r="AJ869">
        <v>74.309862093709199</v>
      </c>
      <c r="AK869">
        <v>19.3345366199176</v>
      </c>
      <c r="AL869">
        <v>92.674936336009495</v>
      </c>
      <c r="AM869">
        <v>85.566272779248095</v>
      </c>
      <c r="AN869">
        <v>1.0000000348364699</v>
      </c>
    </row>
    <row r="870" spans="1:40" x14ac:dyDescent="0.25">
      <c r="A870" t="str">
        <f>"20190312151515855"</f>
        <v>20190312151515855</v>
      </c>
      <c r="B870" t="str">
        <f>"1552374915848322"</f>
        <v>1552374915848322</v>
      </c>
      <c r="C870" t="s">
        <v>40</v>
      </c>
      <c r="D870">
        <v>5.0677219999999998</v>
      </c>
      <c r="E870">
        <v>0.57478839999999998</v>
      </c>
      <c r="F870" t="s">
        <v>43</v>
      </c>
      <c r="G870">
        <v>-240.81780000000001</v>
      </c>
      <c r="H870" s="1">
        <v>-5.2413500000000002E-6</v>
      </c>
      <c r="I870">
        <v>364.42759999999998</v>
      </c>
      <c r="J870">
        <v>-259.42809999999997</v>
      </c>
      <c r="K870">
        <v>1.1093440000000001</v>
      </c>
      <c r="L870">
        <v>369.4889</v>
      </c>
      <c r="M870">
        <v>0.99984090000000003</v>
      </c>
      <c r="N870">
        <v>0</v>
      </c>
      <c r="O870">
        <v>9.7829760000000005E-3</v>
      </c>
      <c r="P870">
        <v>0.99578290000000003</v>
      </c>
      <c r="Q870">
        <v>-6.1600450000000001E-2</v>
      </c>
      <c r="R870">
        <v>-6.7985859999999995E-2</v>
      </c>
      <c r="S870">
        <v>2.9481510000000002</v>
      </c>
      <c r="T870">
        <v>-0.173852799999999</v>
      </c>
      <c r="U870">
        <v>-0.79287719999999995</v>
      </c>
      <c r="V870">
        <v>7.771525E-2</v>
      </c>
      <c r="W870">
        <v>-4.6767160000000002E-2</v>
      </c>
      <c r="X870">
        <v>0.99587809999999999</v>
      </c>
      <c r="Y870">
        <v>0.26869660000000001</v>
      </c>
      <c r="Z870">
        <v>-8.3444319999999902E-3</v>
      </c>
      <c r="AA870">
        <v>0.96318870000000001</v>
      </c>
      <c r="AB870">
        <v>38</v>
      </c>
      <c r="AC870">
        <v>18.610299999999899</v>
      </c>
      <c r="AD870">
        <v>-1.1093492413499999</v>
      </c>
      <c r="AE870">
        <v>-5.0613000000000099</v>
      </c>
      <c r="AF870">
        <v>5.2258520170168801</v>
      </c>
      <c r="AG870">
        <v>-1.1093492413499999</v>
      </c>
      <c r="AH870">
        <v>18.498684938803201</v>
      </c>
      <c r="AI870">
        <v>93.302903359993607</v>
      </c>
      <c r="AJ870">
        <v>74.225089994008997</v>
      </c>
      <c r="AK870">
        <v>19.254649555578801</v>
      </c>
      <c r="AL870">
        <v>92.680538601737894</v>
      </c>
      <c r="AM870">
        <v>85.537857520033498</v>
      </c>
      <c r="AN870">
        <v>1.0000000086983101</v>
      </c>
    </row>
    <row r="871" spans="1:40" x14ac:dyDescent="0.25">
      <c r="A871" t="str">
        <f>"20190312151515866"</f>
        <v>20190312151515866</v>
      </c>
      <c r="B871" t="str">
        <f>"1552374915858081"</f>
        <v>1552374915858081</v>
      </c>
      <c r="C871" t="s">
        <v>40</v>
      </c>
      <c r="D871">
        <v>4.9695269999999896</v>
      </c>
      <c r="E871">
        <v>0.57496040000000004</v>
      </c>
      <c r="F871" t="s">
        <v>43</v>
      </c>
      <c r="G871">
        <v>-240.4896</v>
      </c>
      <c r="H871" s="1">
        <v>-5.4095520000000002E-6</v>
      </c>
      <c r="I871">
        <v>364.35410000000002</v>
      </c>
      <c r="J871">
        <v>-259.22109999999998</v>
      </c>
      <c r="K871">
        <v>1.10934</v>
      </c>
      <c r="L871">
        <v>369.49090000000001</v>
      </c>
      <c r="M871">
        <v>0.99984130000000004</v>
      </c>
      <c r="N871">
        <v>0</v>
      </c>
      <c r="O871">
        <v>9.7298119999999991E-3</v>
      </c>
      <c r="P871">
        <v>0.99575899999999995</v>
      </c>
      <c r="Q871">
        <v>-6.1631900000000003E-2</v>
      </c>
      <c r="R871">
        <v>-6.8303999999999906E-2</v>
      </c>
      <c r="S871">
        <v>2.9474179999999999</v>
      </c>
      <c r="T871">
        <v>-0.17264889999999999</v>
      </c>
      <c r="U871">
        <v>-0.79913330000000005</v>
      </c>
      <c r="V871">
        <v>7.7979640000000003E-2</v>
      </c>
      <c r="W871">
        <v>-4.6799340000000002E-2</v>
      </c>
      <c r="X871">
        <v>0.99585590000000002</v>
      </c>
      <c r="Y871">
        <v>0.27061370000000001</v>
      </c>
      <c r="Z871">
        <v>-8.3385300000000002E-3</v>
      </c>
      <c r="AA871">
        <v>0.9626519</v>
      </c>
      <c r="AB871">
        <v>38</v>
      </c>
      <c r="AC871">
        <v>18.731499999999901</v>
      </c>
      <c r="AD871">
        <v>-1.1093454095519999</v>
      </c>
      <c r="AE871">
        <v>-5.1367999999999903</v>
      </c>
      <c r="AF871">
        <v>5.3015369043648599</v>
      </c>
      <c r="AG871">
        <v>-1.1093454095519999</v>
      </c>
      <c r="AH871">
        <v>18.619887480588002</v>
      </c>
      <c r="AI871">
        <v>93.279527034329803</v>
      </c>
      <c r="AJ871">
        <v>74.107051853102405</v>
      </c>
      <c r="AK871">
        <v>19.391677353333701</v>
      </c>
      <c r="AL871">
        <v>92.682384456440701</v>
      </c>
      <c r="AM871">
        <v>85.522639370248996</v>
      </c>
      <c r="AN871">
        <v>0.99999998802188705</v>
      </c>
    </row>
    <row r="872" spans="1:40" x14ac:dyDescent="0.25">
      <c r="A872" t="str">
        <f>"20190312151515878"</f>
        <v>20190312151515878</v>
      </c>
      <c r="B872" t="str">
        <f>"1552374915868817"</f>
        <v>1552374915868817</v>
      </c>
      <c r="C872" t="s">
        <v>40</v>
      </c>
      <c r="D872">
        <v>5.0063339999999998</v>
      </c>
      <c r="E872">
        <v>0.57505419999999996</v>
      </c>
      <c r="F872" t="s">
        <v>43</v>
      </c>
      <c r="G872">
        <v>-239.7636</v>
      </c>
      <c r="H872" s="1">
        <v>-1.508167E-6</v>
      </c>
      <c r="I872">
        <v>364.19819999999999</v>
      </c>
      <c r="J872">
        <v>-259.03949999999998</v>
      </c>
      <c r="K872">
        <v>1.1093360000000001</v>
      </c>
      <c r="L872">
        <v>369.49259999999998</v>
      </c>
      <c r="M872">
        <v>0.99984189999999995</v>
      </c>
      <c r="N872">
        <v>0</v>
      </c>
      <c r="O872">
        <v>9.6808959999999996E-3</v>
      </c>
      <c r="P872">
        <v>0.99571690000000002</v>
      </c>
      <c r="Q872">
        <v>-6.1835210000000002E-2</v>
      </c>
      <c r="R872">
        <v>-6.8733890000000006E-2</v>
      </c>
      <c r="S872">
        <v>2.9473880000000001</v>
      </c>
      <c r="T872">
        <v>-0.16804079999999999</v>
      </c>
      <c r="U872">
        <v>-0.80172730000000003</v>
      </c>
      <c r="V872">
        <v>7.8359620000000005E-2</v>
      </c>
      <c r="W872">
        <v>-4.7003789999999997E-2</v>
      </c>
      <c r="X872">
        <v>0.99581649999999999</v>
      </c>
      <c r="Y872">
        <v>0.27138060000000003</v>
      </c>
      <c r="Z872">
        <v>-8.1341950000000003E-3</v>
      </c>
      <c r="AA872">
        <v>0.96243769999999995</v>
      </c>
      <c r="AB872">
        <v>38</v>
      </c>
      <c r="AC872">
        <v>19.275899999999901</v>
      </c>
      <c r="AD872">
        <v>-1.1093375081670001</v>
      </c>
      <c r="AE872">
        <v>-5.2943999999999898</v>
      </c>
      <c r="AF872">
        <v>5.4639531227123497</v>
      </c>
      <c r="AG872">
        <v>-1.1093375081670001</v>
      </c>
      <c r="AH872">
        <v>19.1647142560576</v>
      </c>
      <c r="AI872">
        <v>93.186148046475495</v>
      </c>
      <c r="AJ872">
        <v>74.086891674358199</v>
      </c>
      <c r="AK872">
        <v>19.9592506359974</v>
      </c>
      <c r="AL872">
        <v>92.694111333215602</v>
      </c>
      <c r="AM872">
        <v>85.500734120477006</v>
      </c>
      <c r="AN872">
        <v>1.0000000439965699</v>
      </c>
    </row>
    <row r="873" spans="1:40" x14ac:dyDescent="0.25">
      <c r="A873" t="str">
        <f>"20190312151515897"</f>
        <v>20190312151515897</v>
      </c>
      <c r="B873" t="str">
        <f>"1552374915888337"</f>
        <v>1552374915888337</v>
      </c>
      <c r="C873" t="s">
        <v>40</v>
      </c>
      <c r="D873">
        <v>4.9361540000000002</v>
      </c>
      <c r="E873">
        <v>0.5753876</v>
      </c>
      <c r="F873" t="s">
        <v>43</v>
      </c>
      <c r="G873">
        <v>-239.16579999999999</v>
      </c>
      <c r="H873" s="1">
        <v>-1.744977E-6</v>
      </c>
      <c r="I873">
        <v>364.07279999999997</v>
      </c>
      <c r="J873">
        <v>-258.72089999999997</v>
      </c>
      <c r="K873">
        <v>1.1093280000000001</v>
      </c>
      <c r="L873">
        <v>369.49560000000002</v>
      </c>
      <c r="M873">
        <v>0.99984289999999998</v>
      </c>
      <c r="N873">
        <v>0</v>
      </c>
      <c r="O873">
        <v>9.5884579999999994E-3</v>
      </c>
      <c r="P873">
        <v>0.9956855</v>
      </c>
      <c r="Q873">
        <v>-6.1359740000000003E-2</v>
      </c>
      <c r="R873">
        <v>-6.9611599999999996E-2</v>
      </c>
      <c r="S873">
        <v>2.947235</v>
      </c>
      <c r="T873">
        <v>-0.16451199999999999</v>
      </c>
      <c r="U873">
        <v>-0.8037415</v>
      </c>
      <c r="V873">
        <v>7.9144019999999995E-2</v>
      </c>
      <c r="W873">
        <v>-4.6530170000000003E-2</v>
      </c>
      <c r="X873">
        <v>0.99577669999999996</v>
      </c>
      <c r="Y873">
        <v>0.2719336</v>
      </c>
      <c r="Z873">
        <v>-7.9734130000000004E-3</v>
      </c>
      <c r="AA873">
        <v>0.962283</v>
      </c>
      <c r="AB873">
        <v>38</v>
      </c>
      <c r="AC873">
        <v>19.5550999999999</v>
      </c>
      <c r="AD873">
        <v>-1.1093297449770001</v>
      </c>
      <c r="AE873">
        <v>-5.4228000000000502</v>
      </c>
      <c r="AF873">
        <v>5.59336005056615</v>
      </c>
      <c r="AG873">
        <v>-1.1093297449770001</v>
      </c>
      <c r="AH873">
        <v>19.444093776603999</v>
      </c>
      <c r="AI873">
        <v>93.138316787016706</v>
      </c>
      <c r="AJ873">
        <v>73.951393573645205</v>
      </c>
      <c r="AK873">
        <v>20.262997604790101</v>
      </c>
      <c r="AL873">
        <v>92.666945208071397</v>
      </c>
      <c r="AM873">
        <v>85.455702144850406</v>
      </c>
      <c r="AN873">
        <v>1.00000003444243</v>
      </c>
    </row>
    <row r="874" spans="1:40" x14ac:dyDescent="0.25">
      <c r="A874" t="str">
        <f>"20190312151515909"</f>
        <v>20190312151515909</v>
      </c>
      <c r="B874" t="str">
        <f>"1552374915899074"</f>
        <v>1552374915899074</v>
      </c>
      <c r="C874" t="s">
        <v>40</v>
      </c>
      <c r="D874">
        <v>5.0191290000000004</v>
      </c>
      <c r="E874">
        <v>0.57543299999999997</v>
      </c>
      <c r="F874" t="s">
        <v>43</v>
      </c>
      <c r="G874">
        <v>-238.85470000000001</v>
      </c>
      <c r="H874" s="1">
        <v>-1.859371E-6</v>
      </c>
      <c r="I874">
        <v>364.04070000000002</v>
      </c>
      <c r="J874">
        <v>-258.48910000000001</v>
      </c>
      <c r="K874">
        <v>1.1093299999999999</v>
      </c>
      <c r="L874">
        <v>369.49779999999998</v>
      </c>
      <c r="M874">
        <v>0.9998435</v>
      </c>
      <c r="N874">
        <v>0</v>
      </c>
      <c r="O874">
        <v>9.5165140000000002E-3</v>
      </c>
      <c r="P874">
        <v>0.99563990000000002</v>
      </c>
      <c r="Q874">
        <v>-6.1386209999999997E-2</v>
      </c>
      <c r="R874">
        <v>-7.0236240000000005E-2</v>
      </c>
      <c r="S874">
        <v>2.946304</v>
      </c>
      <c r="T874">
        <v>-0.164520899999999</v>
      </c>
      <c r="U874">
        <v>-0.80899049999999995</v>
      </c>
      <c r="V874">
        <v>7.9695989999999994E-2</v>
      </c>
      <c r="W874">
        <v>-4.6558469999999998E-2</v>
      </c>
      <c r="X874">
        <v>0.99573129999999999</v>
      </c>
      <c r="Y874">
        <v>0.27353379999999999</v>
      </c>
      <c r="Z874">
        <v>-8.0143190000000007E-3</v>
      </c>
      <c r="AA874">
        <v>0.96182900000000005</v>
      </c>
      <c r="AB874">
        <v>38</v>
      </c>
      <c r="AC874">
        <v>19.634399999999999</v>
      </c>
      <c r="AD874">
        <v>-1.109331859371</v>
      </c>
      <c r="AE874">
        <v>-5.4570999999999596</v>
      </c>
      <c r="AF874">
        <v>5.6270501604268697</v>
      </c>
      <c r="AG874">
        <v>-1.109331859371</v>
      </c>
      <c r="AH874">
        <v>19.523718211938</v>
      </c>
      <c r="AI874">
        <v>93.125090882240897</v>
      </c>
      <c r="AJ874">
        <v>73.922166177250304</v>
      </c>
      <c r="AK874">
        <v>20.348707170268501</v>
      </c>
      <c r="AL874">
        <v>92.668568578170706</v>
      </c>
      <c r="AM874">
        <v>85.423935466342499</v>
      </c>
      <c r="AN874">
        <v>0.99999998187525496</v>
      </c>
    </row>
    <row r="875" spans="1:40" x14ac:dyDescent="0.25">
      <c r="A875" t="str">
        <f>"20190312151515931"</f>
        <v>20190312151515931</v>
      </c>
      <c r="B875" t="str">
        <f>"1552374915918593"</f>
        <v>1552374915918593</v>
      </c>
      <c r="C875" t="s">
        <v>40</v>
      </c>
      <c r="D875">
        <v>4.9596049999999998</v>
      </c>
      <c r="E875">
        <v>0.57591939999999997</v>
      </c>
      <c r="F875" t="s">
        <v>43</v>
      </c>
      <c r="G875">
        <v>-238.90029999999999</v>
      </c>
      <c r="H875" s="1">
        <v>-1.8274559999999999E-6</v>
      </c>
      <c r="I875">
        <v>364.10230000000001</v>
      </c>
      <c r="J875">
        <v>-258.14269999999999</v>
      </c>
      <c r="K875">
        <v>1.1093219999999999</v>
      </c>
      <c r="L875">
        <v>369.50099999999998</v>
      </c>
      <c r="M875">
        <v>0.99984439999999997</v>
      </c>
      <c r="N875">
        <v>0</v>
      </c>
      <c r="O875">
        <v>9.4016039999999992E-3</v>
      </c>
      <c r="P875">
        <v>0.99559770000000003</v>
      </c>
      <c r="Q875">
        <v>-6.1000619999999998E-2</v>
      </c>
      <c r="R875">
        <v>-7.11648E-2</v>
      </c>
      <c r="S875">
        <v>2.9455870000000002</v>
      </c>
      <c r="T875">
        <v>-0.16681019999999999</v>
      </c>
      <c r="U875">
        <v>-0.81130979999999997</v>
      </c>
      <c r="V875">
        <v>8.0508629999999998E-2</v>
      </c>
      <c r="W875">
        <v>-4.6175689999999998E-2</v>
      </c>
      <c r="X875">
        <v>0.99568380000000001</v>
      </c>
      <c r="Y875">
        <v>0.27417469999999999</v>
      </c>
      <c r="Z875">
        <v>-8.138157E-3</v>
      </c>
      <c r="AA875">
        <v>0.96164550000000004</v>
      </c>
      <c r="AB875">
        <v>38</v>
      </c>
      <c r="AC875">
        <v>19.2424</v>
      </c>
      <c r="AD875">
        <v>-1.109323827456</v>
      </c>
      <c r="AE875">
        <v>-5.3986999999999599</v>
      </c>
      <c r="AF875">
        <v>5.5622536375456297</v>
      </c>
      <c r="AG875">
        <v>-1.109323827456</v>
      </c>
      <c r="AH875">
        <v>19.131842124746399</v>
      </c>
      <c r="AI875">
        <v>93.186809628859905</v>
      </c>
      <c r="AJ875">
        <v>73.789120444679</v>
      </c>
      <c r="AK875">
        <v>19.954865270624499</v>
      </c>
      <c r="AL875">
        <v>92.646613153542205</v>
      </c>
      <c r="AM875">
        <v>85.3772561193136</v>
      </c>
      <c r="AN875">
        <v>1.00000003171694</v>
      </c>
    </row>
    <row r="876" spans="1:40" x14ac:dyDescent="0.25">
      <c r="A876" t="str">
        <f>"20190312151515945"</f>
        <v>20190312151515945</v>
      </c>
      <c r="B876" t="str">
        <f>"1552374915939089"</f>
        <v>1552374915939089</v>
      </c>
      <c r="C876" t="s">
        <v>40</v>
      </c>
      <c r="D876">
        <v>4.9888519999999996</v>
      </c>
      <c r="E876">
        <v>0.57599840000000002</v>
      </c>
      <c r="F876" t="s">
        <v>43</v>
      </c>
      <c r="G876">
        <v>-238.9024</v>
      </c>
      <c r="H876" s="1">
        <v>-1.811748E-6</v>
      </c>
      <c r="I876">
        <v>364.15870000000001</v>
      </c>
      <c r="J876">
        <v>-257.89519999999999</v>
      </c>
      <c r="K876">
        <v>1.109321</v>
      </c>
      <c r="L876">
        <v>369.50319999999999</v>
      </c>
      <c r="M876">
        <v>0.9998454</v>
      </c>
      <c r="N876">
        <v>0</v>
      </c>
      <c r="O876">
        <v>9.312552E-3</v>
      </c>
      <c r="P876">
        <v>0.99557580000000001</v>
      </c>
      <c r="Q876">
        <v>-6.102668E-2</v>
      </c>
      <c r="R876">
        <v>-7.1448429999999993E-2</v>
      </c>
      <c r="S876">
        <v>2.9443969999999999</v>
      </c>
      <c r="T876">
        <v>-0.1697621</v>
      </c>
      <c r="U876">
        <v>-0.81753540000000002</v>
      </c>
      <c r="V876">
        <v>8.0702670000000004E-2</v>
      </c>
      <c r="W876">
        <v>-4.620378E-2</v>
      </c>
      <c r="X876">
        <v>0.99566670000000002</v>
      </c>
      <c r="Y876">
        <v>0.2760589</v>
      </c>
      <c r="Z876">
        <v>-8.3311199999999992E-3</v>
      </c>
      <c r="AA876">
        <v>0.96110459999999998</v>
      </c>
      <c r="AB876">
        <v>38</v>
      </c>
      <c r="AC876">
        <v>18.9927999999999</v>
      </c>
      <c r="AD876">
        <v>-1.1093228117479901</v>
      </c>
      <c r="AE876">
        <v>-5.3444999999999796</v>
      </c>
      <c r="AF876">
        <v>5.5037611997650897</v>
      </c>
      <c r="AG876">
        <v>-1.1093228117479901</v>
      </c>
      <c r="AH876">
        <v>18.882509679223201</v>
      </c>
      <c r="AI876">
        <v>93.228157311900404</v>
      </c>
      <c r="AJ876">
        <v>73.749967744778104</v>
      </c>
      <c r="AK876">
        <v>19.699521725937</v>
      </c>
      <c r="AL876">
        <v>92.648224544381705</v>
      </c>
      <c r="AM876">
        <v>85.366083716823894</v>
      </c>
      <c r="AN876">
        <v>0.99999994386015201</v>
      </c>
    </row>
    <row r="877" spans="1:40" x14ac:dyDescent="0.25">
      <c r="A877" t="str">
        <f>"20190312151515964"</f>
        <v>20190312151515964</v>
      </c>
      <c r="B877" t="str">
        <f>"1552374915958609"</f>
        <v>1552374915958609</v>
      </c>
      <c r="C877" t="s">
        <v>40</v>
      </c>
      <c r="D877">
        <v>5.0063149999999998</v>
      </c>
      <c r="E877">
        <v>0.57613139999999996</v>
      </c>
      <c r="F877" t="s">
        <v>43</v>
      </c>
      <c r="G877">
        <v>-239.023</v>
      </c>
      <c r="H877" s="1">
        <v>-1.7455099999999999E-6</v>
      </c>
      <c r="I877">
        <v>364.25330000000002</v>
      </c>
      <c r="J877">
        <v>-257.57339999999999</v>
      </c>
      <c r="K877">
        <v>1.1093139999999999</v>
      </c>
      <c r="L877">
        <v>369.5061</v>
      </c>
      <c r="M877">
        <v>0.99984649999999997</v>
      </c>
      <c r="N877">
        <v>0</v>
      </c>
      <c r="O877">
        <v>9.1914030000000008E-3</v>
      </c>
      <c r="P877">
        <v>0.99553749999999996</v>
      </c>
      <c r="Q877">
        <v>-6.085492E-2</v>
      </c>
      <c r="R877">
        <v>-7.2124899999999895E-2</v>
      </c>
      <c r="S877">
        <v>2.943924</v>
      </c>
      <c r="T877">
        <v>-0.17304600000000001</v>
      </c>
      <c r="U877">
        <v>-0.81893919999999998</v>
      </c>
      <c r="V877">
        <v>8.1257259999999998E-2</v>
      </c>
      <c r="W877">
        <v>-4.6035270000000003E-2</v>
      </c>
      <c r="X877">
        <v>0.9956294</v>
      </c>
      <c r="Y877">
        <v>0.27639010000000003</v>
      </c>
      <c r="Z877">
        <v>-8.4953570000000003E-3</v>
      </c>
      <c r="AA877">
        <v>0.96100799999999997</v>
      </c>
      <c r="AB877">
        <v>38</v>
      </c>
      <c r="AC877">
        <v>18.5504</v>
      </c>
      <c r="AD877">
        <v>-1.10931574551</v>
      </c>
      <c r="AE877">
        <v>-5.2527999999999704</v>
      </c>
      <c r="AF877">
        <v>5.4052067473048497</v>
      </c>
      <c r="AG877">
        <v>-1.10931574551</v>
      </c>
      <c r="AH877">
        <v>18.440281812978501</v>
      </c>
      <c r="AI877">
        <v>93.303922002421402</v>
      </c>
      <c r="AJ877">
        <v>73.663108568623798</v>
      </c>
      <c r="AK877">
        <v>19.2481384748347</v>
      </c>
      <c r="AL877">
        <v>92.638559343850901</v>
      </c>
      <c r="AM877">
        <v>85.334205460862904</v>
      </c>
      <c r="AN877">
        <v>0.99999994526551805</v>
      </c>
    </row>
    <row r="878" spans="1:40" x14ac:dyDescent="0.25">
      <c r="A878" t="str">
        <f>"20190312151515977"</f>
        <v>20190312151515977</v>
      </c>
      <c r="B878" t="str">
        <f>"1552374915968370"</f>
        <v>1552374915968370</v>
      </c>
      <c r="C878" t="s">
        <v>40</v>
      </c>
      <c r="D878">
        <v>4.9959499999999997</v>
      </c>
      <c r="E878">
        <v>0.57625999999999999</v>
      </c>
      <c r="F878" t="s">
        <v>43</v>
      </c>
      <c r="G878">
        <v>-238.74340000000001</v>
      </c>
      <c r="H878" s="1">
        <v>-1.842662E-6</v>
      </c>
      <c r="I878">
        <v>364.24590000000001</v>
      </c>
      <c r="J878">
        <v>-257.35599999999999</v>
      </c>
      <c r="K878">
        <v>1.1093120000000001</v>
      </c>
      <c r="L878">
        <v>369.50799999999998</v>
      </c>
      <c r="M878">
        <v>0.99984740000000005</v>
      </c>
      <c r="N878">
        <v>0</v>
      </c>
      <c r="O878">
        <v>9.1058909999999996E-3</v>
      </c>
      <c r="P878">
        <v>0.99552929999999995</v>
      </c>
      <c r="Q878">
        <v>-6.064775E-2</v>
      </c>
      <c r="R878">
        <v>-7.2413809999999995E-2</v>
      </c>
      <c r="S878">
        <v>2.9432830000000001</v>
      </c>
      <c r="T878">
        <v>-0.17339379999999999</v>
      </c>
      <c r="U878">
        <v>-0.82220459999999995</v>
      </c>
      <c r="V878">
        <v>8.1460379999999999E-2</v>
      </c>
      <c r="W878">
        <v>-4.5830099999999999E-2</v>
      </c>
      <c r="X878">
        <v>0.99562229999999996</v>
      </c>
      <c r="Y878">
        <v>0.27734779999999998</v>
      </c>
      <c r="Z878">
        <v>-8.5356609999999999E-3</v>
      </c>
      <c r="AA878">
        <v>0.96073169999999997</v>
      </c>
      <c r="AB878">
        <v>38</v>
      </c>
      <c r="AC878">
        <v>18.612599999999901</v>
      </c>
      <c r="AD878">
        <v>-1.1093138426619999</v>
      </c>
      <c r="AE878">
        <v>-5.2621000000000304</v>
      </c>
      <c r="AF878">
        <v>5.4135782090275804</v>
      </c>
      <c r="AG878">
        <v>-1.1093138426619999</v>
      </c>
      <c r="AH878">
        <v>18.503045203636301</v>
      </c>
      <c r="AI878">
        <v>93.293214164729505</v>
      </c>
      <c r="AJ878">
        <v>73.691701636872097</v>
      </c>
      <c r="AK878">
        <v>19.310621119855</v>
      </c>
      <c r="AL878">
        <v>92.626791461804203</v>
      </c>
      <c r="AM878">
        <v>85.322560782184496</v>
      </c>
      <c r="AN878">
        <v>0.99999997791652095</v>
      </c>
    </row>
    <row r="879" spans="1:40" x14ac:dyDescent="0.25">
      <c r="A879" t="str">
        <f>"20190312151515990"</f>
        <v>20190312151515990</v>
      </c>
      <c r="B879" t="str">
        <f>"1552374915979106"</f>
        <v>1552374915979106</v>
      </c>
      <c r="C879" t="s">
        <v>40</v>
      </c>
      <c r="D879">
        <v>4.9755940000000001</v>
      </c>
      <c r="E879">
        <v>0.5764049</v>
      </c>
      <c r="F879" t="s">
        <v>43</v>
      </c>
      <c r="G879">
        <v>-238.45689999999999</v>
      </c>
      <c r="H879" s="1">
        <v>-1.947847E-6</v>
      </c>
      <c r="I879">
        <v>364.21690000000001</v>
      </c>
      <c r="J879">
        <v>-257.1157</v>
      </c>
      <c r="K879">
        <v>1.1093029999999999</v>
      </c>
      <c r="L879">
        <v>369.51010000000002</v>
      </c>
      <c r="M879">
        <v>0.99984819999999996</v>
      </c>
      <c r="N879">
        <v>0</v>
      </c>
      <c r="O879">
        <v>9.0077969999999997E-3</v>
      </c>
      <c r="P879">
        <v>0.99552940000000001</v>
      </c>
      <c r="Q879">
        <v>-6.0288359999999999E-2</v>
      </c>
      <c r="R879">
        <v>-7.2710919999999998E-2</v>
      </c>
      <c r="S879">
        <v>2.9430390000000002</v>
      </c>
      <c r="T879">
        <v>-0.17274619999999999</v>
      </c>
      <c r="U879">
        <v>-0.82394409999999896</v>
      </c>
      <c r="V879">
        <v>8.1659430000000005E-2</v>
      </c>
      <c r="W879">
        <v>-4.547296E-2</v>
      </c>
      <c r="X879">
        <v>0.99562240000000002</v>
      </c>
      <c r="Y879">
        <v>0.27780379999999999</v>
      </c>
      <c r="Z879">
        <v>-8.5113150000000002E-3</v>
      </c>
      <c r="AA879">
        <v>0.96060009999999996</v>
      </c>
      <c r="AB879">
        <v>38</v>
      </c>
      <c r="AC879">
        <v>18.658799999999999</v>
      </c>
      <c r="AD879">
        <v>-1.1093049478470001</v>
      </c>
      <c r="AE879">
        <v>-5.2932000000000103</v>
      </c>
      <c r="AF879">
        <v>5.4432720548295004</v>
      </c>
      <c r="AG879">
        <v>-1.1093049478470001</v>
      </c>
      <c r="AH879">
        <v>18.549676066076799</v>
      </c>
      <c r="AI879">
        <v>93.284162201818205</v>
      </c>
      <c r="AJ879">
        <v>73.646044540015893</v>
      </c>
      <c r="AK879">
        <v>19.363632156354001</v>
      </c>
      <c r="AL879">
        <v>92.606307412042696</v>
      </c>
      <c r="AM879">
        <v>85.311182737317793</v>
      </c>
      <c r="AN879">
        <v>1.0000000079904201</v>
      </c>
    </row>
    <row r="880" spans="1:40" x14ac:dyDescent="0.25">
      <c r="A880" t="str">
        <f>"20190312151516007"</f>
        <v>20190312151516007</v>
      </c>
      <c r="B880" t="str">
        <f>"1552374915998625"</f>
        <v>1552374915998625</v>
      </c>
      <c r="C880" t="s">
        <v>40</v>
      </c>
      <c r="D880">
        <v>4.9867920000000003</v>
      </c>
      <c r="E880">
        <v>0.57653809999999905</v>
      </c>
      <c r="F880" t="s">
        <v>43</v>
      </c>
      <c r="G880">
        <v>-238.12549999999999</v>
      </c>
      <c r="H880" s="1">
        <v>-2.0703610000000001E-6</v>
      </c>
      <c r="I880">
        <v>364.18040000000002</v>
      </c>
      <c r="J880">
        <v>-256.83409999999998</v>
      </c>
      <c r="K880">
        <v>1.1092959999999901</v>
      </c>
      <c r="L880">
        <v>369.51260000000002</v>
      </c>
      <c r="M880">
        <v>0.99984930000000005</v>
      </c>
      <c r="N880">
        <v>0</v>
      </c>
      <c r="O880">
        <v>8.8873349999999997E-3</v>
      </c>
      <c r="P880">
        <v>0.99550830000000001</v>
      </c>
      <c r="Q880">
        <v>-6.0187369999999997E-2</v>
      </c>
      <c r="R880">
        <v>-7.3080419999999993E-2</v>
      </c>
      <c r="S880">
        <v>2.9427340000000002</v>
      </c>
      <c r="T880">
        <v>-0.1718982</v>
      </c>
      <c r="U880">
        <v>-0.8258972</v>
      </c>
      <c r="V880">
        <v>8.1908019999999998E-2</v>
      </c>
      <c r="W880">
        <v>-4.5375070000000003E-2</v>
      </c>
      <c r="X880">
        <v>0.9956064</v>
      </c>
      <c r="Y880">
        <v>0.27830880000000002</v>
      </c>
      <c r="Z880">
        <v>-8.4772649999999995E-3</v>
      </c>
      <c r="AA880">
        <v>0.96045420000000004</v>
      </c>
      <c r="AB880">
        <v>38</v>
      </c>
      <c r="AC880">
        <v>18.708599999999901</v>
      </c>
      <c r="AD880">
        <v>-1.10929807036099</v>
      </c>
      <c r="AE880">
        <v>-5.3322000000000003</v>
      </c>
      <c r="AF880">
        <v>5.4804572947028003</v>
      </c>
      <c r="AG880">
        <v>-1.10929807036099</v>
      </c>
      <c r="AH880">
        <v>18.599987258656601</v>
      </c>
      <c r="AI880">
        <v>93.2742118836982</v>
      </c>
      <c r="AJ880">
        <v>73.582472663305893</v>
      </c>
      <c r="AK880">
        <v>19.422293386471001</v>
      </c>
      <c r="AL880">
        <v>92.600693052063306</v>
      </c>
      <c r="AM880">
        <v>85.296897594755293</v>
      </c>
      <c r="AN880">
        <v>0.99999996221939202</v>
      </c>
    </row>
    <row r="881" spans="1:40" x14ac:dyDescent="0.25">
      <c r="A881" t="str">
        <f>"20190312151516020"</f>
        <v>20190312151516020</v>
      </c>
      <c r="B881" t="str">
        <f>"1552374916008385"</f>
        <v>1552374916008385</v>
      </c>
      <c r="C881" t="s">
        <v>40</v>
      </c>
      <c r="D881">
        <v>5.0470680000000003</v>
      </c>
      <c r="E881">
        <v>0.57666399999999995</v>
      </c>
      <c r="F881" t="s">
        <v>43</v>
      </c>
      <c r="G881">
        <v>-237.8623</v>
      </c>
      <c r="H881" s="1">
        <v>-2.1617489999999999E-6</v>
      </c>
      <c r="I881">
        <v>364.17360000000002</v>
      </c>
      <c r="J881">
        <v>-256.62880000000001</v>
      </c>
      <c r="K881">
        <v>1.1092919999999999</v>
      </c>
      <c r="L881">
        <v>369.51429999999999</v>
      </c>
      <c r="M881">
        <v>0.99985020000000002</v>
      </c>
      <c r="N881">
        <v>0</v>
      </c>
      <c r="O881">
        <v>8.7957529999999999E-3</v>
      </c>
      <c r="P881">
        <v>0.99549189999999999</v>
      </c>
      <c r="Q881">
        <v>-6.0120529999999998E-2</v>
      </c>
      <c r="R881">
        <v>-7.3358989999999999E-2</v>
      </c>
      <c r="S881">
        <v>2.942383</v>
      </c>
      <c r="T881">
        <v>-0.17204239999999901</v>
      </c>
      <c r="U881">
        <v>-0.82803340000000003</v>
      </c>
      <c r="V881">
        <v>8.2095000000000001E-2</v>
      </c>
      <c r="W881">
        <v>-4.5310639999999999E-2</v>
      </c>
      <c r="X881">
        <v>0.99559399999999998</v>
      </c>
      <c r="Y881">
        <v>0.27889530000000001</v>
      </c>
      <c r="Z881">
        <v>-8.4960720000000003E-3</v>
      </c>
      <c r="AA881">
        <v>0.96028389999999997</v>
      </c>
      <c r="AB881">
        <v>38</v>
      </c>
      <c r="AC881">
        <v>18.766500000000001</v>
      </c>
      <c r="AD881">
        <v>-1.109294161749</v>
      </c>
      <c r="AE881">
        <v>-5.3406999999999698</v>
      </c>
      <c r="AF881">
        <v>5.4878391154477297</v>
      </c>
      <c r="AG881">
        <v>-1.109294161749</v>
      </c>
      <c r="AH881">
        <v>18.658484249216901</v>
      </c>
      <c r="AI881">
        <v>93.264423535871401</v>
      </c>
      <c r="AJ881">
        <v>73.610319396936802</v>
      </c>
      <c r="AK881">
        <v>19.480399024984202</v>
      </c>
      <c r="AL881">
        <v>92.596997513208294</v>
      </c>
      <c r="AM881">
        <v>85.286151211794504</v>
      </c>
      <c r="AN881">
        <v>1.0000000279790999</v>
      </c>
    </row>
    <row r="882" spans="1:40" x14ac:dyDescent="0.25">
      <c r="A882" t="str">
        <f>"20190312151516031"</f>
        <v>20190312151516031</v>
      </c>
      <c r="B882" t="str">
        <f>"1552374916028881"</f>
        <v>1552374916028881</v>
      </c>
      <c r="C882" t="s">
        <v>40</v>
      </c>
      <c r="D882">
        <v>5.0159310000000001</v>
      </c>
      <c r="E882">
        <v>0.57688669999999997</v>
      </c>
      <c r="F882" t="s">
        <v>43</v>
      </c>
      <c r="G882">
        <v>-237.85310000000001</v>
      </c>
      <c r="H882" s="1">
        <v>-2.1532060000000001E-6</v>
      </c>
      <c r="I882">
        <v>364.2174</v>
      </c>
      <c r="J882">
        <v>-256.41419999999999</v>
      </c>
      <c r="K882">
        <v>1.1092879999999901</v>
      </c>
      <c r="L882">
        <v>369.51620000000003</v>
      </c>
      <c r="M882">
        <v>0.99985100000000005</v>
      </c>
      <c r="N882">
        <v>0</v>
      </c>
      <c r="O882">
        <v>8.6978469999999999E-3</v>
      </c>
      <c r="P882">
        <v>0.99547229999999998</v>
      </c>
      <c r="Q882">
        <v>-6.0194589999999999E-2</v>
      </c>
      <c r="R882">
        <v>-7.35648E-2</v>
      </c>
      <c r="S882">
        <v>2.9419559999999998</v>
      </c>
      <c r="T882">
        <v>-0.1738132</v>
      </c>
      <c r="U882">
        <v>-0.82995609999999997</v>
      </c>
      <c r="V882">
        <v>8.2202269999999994E-2</v>
      </c>
      <c r="W882">
        <v>-4.5387240000000002E-2</v>
      </c>
      <c r="X882">
        <v>0.99558159999999896</v>
      </c>
      <c r="Y882">
        <v>0.27940890000000002</v>
      </c>
      <c r="Z882">
        <v>-8.5930280000000008E-3</v>
      </c>
      <c r="AA882">
        <v>0.96013369999999998</v>
      </c>
      <c r="AB882">
        <v>38</v>
      </c>
      <c r="AC882">
        <v>18.5610999999999</v>
      </c>
      <c r="AD882">
        <v>-1.10929015320599</v>
      </c>
      <c r="AE882">
        <v>-5.2988000000000204</v>
      </c>
      <c r="AF882">
        <v>5.4420859943744802</v>
      </c>
      <c r="AG882">
        <v>-1.10929015320599</v>
      </c>
      <c r="AH882">
        <v>18.453360229248101</v>
      </c>
      <c r="AI882">
        <v>93.299913548444593</v>
      </c>
      <c r="AJ882">
        <v>73.568668889037099</v>
      </c>
      <c r="AK882">
        <v>19.271048968973201</v>
      </c>
      <c r="AL882">
        <v>92.6013910444956</v>
      </c>
      <c r="AM882">
        <v>85.279961117344897</v>
      </c>
      <c r="AN882">
        <v>0.999999968503264</v>
      </c>
    </row>
    <row r="883" spans="1:40" x14ac:dyDescent="0.25">
      <c r="A883" t="str">
        <f>"20190312151516044"</f>
        <v>20190312151516044</v>
      </c>
      <c r="B883" t="str">
        <f>"1552374916038642"</f>
        <v>1552374916038642</v>
      </c>
      <c r="C883" t="s">
        <v>40</v>
      </c>
      <c r="D883">
        <v>5.0049080000000004</v>
      </c>
      <c r="E883">
        <v>0.57698660000000002</v>
      </c>
      <c r="F883" t="s">
        <v>43</v>
      </c>
      <c r="G883">
        <v>-237.7431</v>
      </c>
      <c r="H883" s="1">
        <v>-2.18674E-6</v>
      </c>
      <c r="I883">
        <v>364.23200000000003</v>
      </c>
      <c r="J883">
        <v>-256.21390000000002</v>
      </c>
      <c r="K883">
        <v>1.109278</v>
      </c>
      <c r="L883">
        <v>369.51780000000002</v>
      </c>
      <c r="M883">
        <v>0.99985190000000002</v>
      </c>
      <c r="N883">
        <v>0</v>
      </c>
      <c r="O883">
        <v>8.6017319999999904E-3</v>
      </c>
      <c r="P883">
        <v>0.99547399999999997</v>
      </c>
      <c r="Q883">
        <v>-6.0129740000000001E-2</v>
      </c>
      <c r="R883">
        <v>-7.359781E-2</v>
      </c>
      <c r="S883">
        <v>2.9415589999999998</v>
      </c>
      <c r="T883">
        <v>-0.17476329999999901</v>
      </c>
      <c r="U883">
        <v>-0.83248899999999904</v>
      </c>
      <c r="V883">
        <v>8.2138829999999996E-2</v>
      </c>
      <c r="W883">
        <v>-4.5324589999999998E-2</v>
      </c>
      <c r="X883">
        <v>0.99558970000000002</v>
      </c>
      <c r="Y883">
        <v>0.28011000000000003</v>
      </c>
      <c r="Z883">
        <v>-8.6548619999999993E-3</v>
      </c>
      <c r="AA883">
        <v>0.95992889999999997</v>
      </c>
      <c r="AB883">
        <v>38</v>
      </c>
      <c r="AC883">
        <v>18.470800000000001</v>
      </c>
      <c r="AD883">
        <v>-1.10928018674</v>
      </c>
      <c r="AE883">
        <v>-5.2858000000000498</v>
      </c>
      <c r="AF883">
        <v>5.4264128965781699</v>
      </c>
      <c r="AG883">
        <v>-1.10928018674</v>
      </c>
      <c r="AH883">
        <v>18.363426265164101</v>
      </c>
      <c r="AI883">
        <v>93.315478247077706</v>
      </c>
      <c r="AJ883">
        <v>73.537531314998702</v>
      </c>
      <c r="AK883">
        <v>19.180507909149899</v>
      </c>
      <c r="AL883">
        <v>92.597797740454197</v>
      </c>
      <c r="AM883">
        <v>85.283625589734299</v>
      </c>
      <c r="AN883">
        <v>0.99999997829926301</v>
      </c>
    </row>
    <row r="884" spans="1:40" x14ac:dyDescent="0.25">
      <c r="A884" t="str">
        <f>"20190312151516056"</f>
        <v>20190312151516056</v>
      </c>
      <c r="B884" t="str">
        <f>"1552374916048401"</f>
        <v>1552374916048401</v>
      </c>
      <c r="C884" t="s">
        <v>40</v>
      </c>
      <c r="D884">
        <v>4.9645449999999904</v>
      </c>
      <c r="E884">
        <v>0.57715930000000004</v>
      </c>
      <c r="F884" t="s">
        <v>43</v>
      </c>
      <c r="G884">
        <v>-237.7261</v>
      </c>
      <c r="H884" s="1">
        <v>-2.1793189999999999E-6</v>
      </c>
      <c r="I884">
        <v>364.2817</v>
      </c>
      <c r="J884">
        <v>-256.01369999999997</v>
      </c>
      <c r="K884">
        <v>1.109273</v>
      </c>
      <c r="L884">
        <v>369.51940000000002</v>
      </c>
      <c r="M884">
        <v>0.99985270000000004</v>
      </c>
      <c r="N884">
        <v>0</v>
      </c>
      <c r="O884">
        <v>8.5039480000000008E-3</v>
      </c>
      <c r="P884">
        <v>0.99545260000000002</v>
      </c>
      <c r="Q884">
        <v>-5.99955E-2</v>
      </c>
      <c r="R884">
        <v>-7.3991399999999999E-2</v>
      </c>
      <c r="S884">
        <v>2.94136</v>
      </c>
      <c r="T884">
        <v>-0.17648269999999999</v>
      </c>
      <c r="U884">
        <v>-0.83303830000000001</v>
      </c>
      <c r="V884">
        <v>8.243462E-2</v>
      </c>
      <c r="W884">
        <v>-4.5193150000000001E-2</v>
      </c>
      <c r="X884">
        <v>0.99557130000000005</v>
      </c>
      <c r="Y884">
        <v>0.28018969999999999</v>
      </c>
      <c r="Z884">
        <v>-8.7368050000000003E-3</v>
      </c>
      <c r="AA884">
        <v>0.95990489999999995</v>
      </c>
      <c r="AB884">
        <v>38</v>
      </c>
      <c r="AC884">
        <v>18.287599999999902</v>
      </c>
      <c r="AD884">
        <v>-1.1092751793190001</v>
      </c>
      <c r="AE884">
        <v>-5.23770000000001</v>
      </c>
      <c r="AF884">
        <v>5.3747684479800899</v>
      </c>
      <c r="AG884">
        <v>-1.1092751793190001</v>
      </c>
      <c r="AH884">
        <v>18.1805718294084</v>
      </c>
      <c r="AI884">
        <v>93.3486143345269</v>
      </c>
      <c r="AJ884">
        <v>73.530606602654998</v>
      </c>
      <c r="AK884">
        <v>18.990835140591798</v>
      </c>
      <c r="AL884">
        <v>92.590258871238404</v>
      </c>
      <c r="AM884">
        <v>85.266631410398503</v>
      </c>
      <c r="AN884">
        <v>1.0000000503825699</v>
      </c>
    </row>
    <row r="885" spans="1:40" x14ac:dyDescent="0.25">
      <c r="A885" t="str">
        <f>"20190312151516068"</f>
        <v>20190312151516068</v>
      </c>
      <c r="B885" t="str">
        <f>"1552374916058161"</f>
        <v>1552374916058161</v>
      </c>
      <c r="C885" t="s">
        <v>40</v>
      </c>
      <c r="D885">
        <v>4.9840920000000004</v>
      </c>
      <c r="E885">
        <v>0.57729119999999901</v>
      </c>
      <c r="F885" t="s">
        <v>43</v>
      </c>
      <c r="G885">
        <v>-237.5214</v>
      </c>
      <c r="H885" s="1">
        <v>-2.2534739999999998E-6</v>
      </c>
      <c r="I885">
        <v>364.26479999999998</v>
      </c>
      <c r="J885">
        <v>-255.79650000000001</v>
      </c>
      <c r="K885">
        <v>1.109267</v>
      </c>
      <c r="L885">
        <v>369.52109999999999</v>
      </c>
      <c r="M885">
        <v>0.99985360000000001</v>
      </c>
      <c r="N885">
        <v>0</v>
      </c>
      <c r="O885">
        <v>8.3928679999999995E-3</v>
      </c>
      <c r="P885">
        <v>0.9954518</v>
      </c>
      <c r="Q885">
        <v>-5.9763530000000002E-2</v>
      </c>
      <c r="R885">
        <v>-7.4191229999999997E-2</v>
      </c>
      <c r="S885">
        <v>2.9409640000000001</v>
      </c>
      <c r="T885">
        <v>-0.1764146</v>
      </c>
      <c r="U885">
        <v>-0.83566280000000004</v>
      </c>
      <c r="V885">
        <v>8.2523230000000003E-2</v>
      </c>
      <c r="W885">
        <v>-4.4963799999999998E-2</v>
      </c>
      <c r="X885">
        <v>0.99557430000000002</v>
      </c>
      <c r="Y885">
        <v>0.28090920000000003</v>
      </c>
      <c r="Z885">
        <v>-8.74814199999999E-3</v>
      </c>
      <c r="AA885">
        <v>0.95969450000000001</v>
      </c>
      <c r="AB885">
        <v>38</v>
      </c>
      <c r="AC885">
        <v>18.275099999999998</v>
      </c>
      <c r="AD885">
        <v>-1.1092692534739901</v>
      </c>
      <c r="AE885">
        <v>-5.2563000000000004</v>
      </c>
      <c r="AF885">
        <v>5.3911673395777298</v>
      </c>
      <c r="AG885">
        <v>-1.1092692534739901</v>
      </c>
      <c r="AH885">
        <v>18.1685121106458</v>
      </c>
      <c r="AI885">
        <v>93.349813970283705</v>
      </c>
      <c r="AJ885">
        <v>73.472725716762397</v>
      </c>
      <c r="AK885">
        <v>18.9839404727974</v>
      </c>
      <c r="AL885">
        <v>92.577104825332995</v>
      </c>
      <c r="AM885">
        <v>85.261580822332903</v>
      </c>
      <c r="AN885">
        <v>1.0000000068102799</v>
      </c>
    </row>
    <row r="886" spans="1:40" x14ac:dyDescent="0.25">
      <c r="A886" t="str">
        <f>"20190312151516082"</f>
        <v>20190312151516082</v>
      </c>
      <c r="B886" t="str">
        <f>"1552374916078658"</f>
        <v>1552374916078658</v>
      </c>
      <c r="C886" t="s">
        <v>40</v>
      </c>
      <c r="D886">
        <v>4.9759840000000004</v>
      </c>
      <c r="E886">
        <v>0.57756949999999996</v>
      </c>
      <c r="F886" t="s">
        <v>43</v>
      </c>
      <c r="G886">
        <v>-237.31649999999999</v>
      </c>
      <c r="H886" s="1">
        <v>-2.3244780000000002E-6</v>
      </c>
      <c r="I886">
        <v>364.26010000000002</v>
      </c>
      <c r="J886">
        <v>-255.57390000000001</v>
      </c>
      <c r="K886">
        <v>1.109262</v>
      </c>
      <c r="L886">
        <v>369.52289999999999</v>
      </c>
      <c r="M886">
        <v>0.99985469999999999</v>
      </c>
      <c r="N886">
        <v>0</v>
      </c>
      <c r="O886">
        <v>8.2751049999999996E-3</v>
      </c>
      <c r="P886">
        <v>0.99544560000000004</v>
      </c>
      <c r="Q886">
        <v>-5.966312E-2</v>
      </c>
      <c r="R886">
        <v>-7.4355690000000002E-2</v>
      </c>
      <c r="S886">
        <v>2.9407350000000001</v>
      </c>
      <c r="T886">
        <v>-0.1765177</v>
      </c>
      <c r="U886">
        <v>-0.83718869999999901</v>
      </c>
      <c r="V886">
        <v>8.2569829999999997E-2</v>
      </c>
      <c r="W886">
        <v>-4.486623E-2</v>
      </c>
      <c r="X886">
        <v>0.99557479999999998</v>
      </c>
      <c r="Y886">
        <v>0.28127550000000001</v>
      </c>
      <c r="Z886">
        <v>-8.7571339999999998E-3</v>
      </c>
      <c r="AA886">
        <v>0.95958710000000003</v>
      </c>
      <c r="AB886">
        <v>38</v>
      </c>
      <c r="AC886">
        <v>18.257400000000001</v>
      </c>
      <c r="AD886">
        <v>-1.1092643244780001</v>
      </c>
      <c r="AE886">
        <v>-5.2627999999999604</v>
      </c>
      <c r="AF886">
        <v>5.3953299969456401</v>
      </c>
      <c r="AG886">
        <v>-1.1092643244780001</v>
      </c>
      <c r="AH886">
        <v>18.151355935786999</v>
      </c>
      <c r="AI886">
        <v>93.352492638643895</v>
      </c>
      <c r="AJ886">
        <v>73.445884181122196</v>
      </c>
      <c r="AK886">
        <v>18.968705159423202</v>
      </c>
      <c r="AL886">
        <v>92.571508926278298</v>
      </c>
      <c r="AM886">
        <v>85.258919651060594</v>
      </c>
      <c r="AN886">
        <v>0.99999996890784004</v>
      </c>
    </row>
    <row r="887" spans="1:40" x14ac:dyDescent="0.25">
      <c r="A887" t="str">
        <f>"20190312151516094"</f>
        <v>20190312151516094</v>
      </c>
      <c r="B887" t="str">
        <f>"1552374916088417"</f>
        <v>1552374916088417</v>
      </c>
      <c r="C887" t="s">
        <v>40</v>
      </c>
      <c r="D887">
        <v>5.0672860000000002</v>
      </c>
      <c r="E887">
        <v>0.57741450000000005</v>
      </c>
      <c r="F887" t="s">
        <v>43</v>
      </c>
      <c r="G887">
        <v>-237.11840000000001</v>
      </c>
      <c r="H887" s="1">
        <v>-2.3940989999999998E-6</v>
      </c>
      <c r="I887">
        <v>364.25170000000003</v>
      </c>
      <c r="J887">
        <v>-255.36770000000001</v>
      </c>
      <c r="K887">
        <v>1.1092569999999999</v>
      </c>
      <c r="L887">
        <v>369.52449999999999</v>
      </c>
      <c r="M887">
        <v>0.99985559999999996</v>
      </c>
      <c r="N887">
        <v>0</v>
      </c>
      <c r="O887">
        <v>8.1635470000000002E-3</v>
      </c>
      <c r="P887">
        <v>0.99544449999999995</v>
      </c>
      <c r="Q887">
        <v>-5.9509140000000002E-2</v>
      </c>
      <c r="R887">
        <v>-7.4494599999999994E-2</v>
      </c>
      <c r="S887">
        <v>2.9403839999999999</v>
      </c>
      <c r="T887">
        <v>-0.17673029999999901</v>
      </c>
      <c r="U887">
        <v>-0.83981319999999904</v>
      </c>
      <c r="V887">
        <v>8.2597110000000001E-2</v>
      </c>
      <c r="W887">
        <v>-4.471489E-2</v>
      </c>
      <c r="X887">
        <v>0.9955794</v>
      </c>
      <c r="Y887">
        <v>0.28198839999999997</v>
      </c>
      <c r="Z887">
        <v>-8.7820339999999993E-3</v>
      </c>
      <c r="AA887">
        <v>0.95937760000000005</v>
      </c>
      <c r="AB887">
        <v>38</v>
      </c>
      <c r="AC887">
        <v>18.249300000000002</v>
      </c>
      <c r="AD887">
        <v>-1.1092593940990001</v>
      </c>
      <c r="AE887">
        <v>-5.2727999999999602</v>
      </c>
      <c r="AF887">
        <v>5.4031950194836602</v>
      </c>
      <c r="AG887">
        <v>-1.1092593940990001</v>
      </c>
      <c r="AH887">
        <v>18.143772254573001</v>
      </c>
      <c r="AI887">
        <v>93.353365773037496</v>
      </c>
      <c r="AJ887">
        <v>73.416527582035002</v>
      </c>
      <c r="AK887">
        <v>18.963687522414599</v>
      </c>
      <c r="AL887">
        <v>92.562828933318301</v>
      </c>
      <c r="AM887">
        <v>85.257382216649702</v>
      </c>
      <c r="AN887">
        <v>1.00000002283621</v>
      </c>
    </row>
    <row r="888" spans="1:40" x14ac:dyDescent="0.25">
      <c r="A888" t="str">
        <f>"20190312151516108"</f>
        <v>20190312151516108</v>
      </c>
      <c r="B888" t="str">
        <f>"1552374916098177"</f>
        <v>1552374916098177</v>
      </c>
      <c r="C888" t="s">
        <v>40</v>
      </c>
      <c r="D888">
        <v>4.8937949999999999</v>
      </c>
      <c r="E888">
        <v>0.57741450000000005</v>
      </c>
      <c r="F888" t="s">
        <v>43</v>
      </c>
      <c r="G888">
        <v>-237.22040000000001</v>
      </c>
      <c r="H888" s="1">
        <v>-2.334527E-6</v>
      </c>
      <c r="I888">
        <v>364.3451</v>
      </c>
      <c r="J888">
        <v>-255.1241</v>
      </c>
      <c r="K888">
        <v>1.1092550000000001</v>
      </c>
      <c r="L888">
        <v>369.52640000000002</v>
      </c>
      <c r="M888">
        <v>0.99985679999999999</v>
      </c>
      <c r="N888">
        <v>0</v>
      </c>
      <c r="O888">
        <v>8.0249060000000001E-3</v>
      </c>
      <c r="P888">
        <v>0.9954288</v>
      </c>
      <c r="Q888">
        <v>-5.8977830000000002E-2</v>
      </c>
      <c r="R888">
        <v>-7.5121430000000003E-2</v>
      </c>
      <c r="S888">
        <v>2.9401860000000002</v>
      </c>
      <c r="T888">
        <v>-0.1797192</v>
      </c>
      <c r="U888">
        <v>-0.83914179999999905</v>
      </c>
      <c r="V888">
        <v>8.3085539999999999E-2</v>
      </c>
      <c r="W888">
        <v>-4.4187369999999997E-2</v>
      </c>
      <c r="X888">
        <v>0.99556230000000001</v>
      </c>
      <c r="Y888">
        <v>0.28165410000000002</v>
      </c>
      <c r="Z888">
        <v>-8.9128360000000004E-3</v>
      </c>
      <c r="AA888">
        <v>0.95947459999999996</v>
      </c>
      <c r="AB888">
        <v>38</v>
      </c>
      <c r="AC888">
        <v>17.903699999999901</v>
      </c>
      <c r="AD888">
        <v>-1.10925733452699</v>
      </c>
      <c r="AE888">
        <v>-5.1813000000000198</v>
      </c>
      <c r="AF888">
        <v>5.30603058767195</v>
      </c>
      <c r="AG888">
        <v>-1.10925733452699</v>
      </c>
      <c r="AH888">
        <v>17.798496915310398</v>
      </c>
      <c r="AI888">
        <v>93.417962364674494</v>
      </c>
      <c r="AJ888">
        <v>73.399798345030504</v>
      </c>
      <c r="AK888">
        <v>18.605668622111502</v>
      </c>
      <c r="AL888">
        <v>92.532574386924395</v>
      </c>
      <c r="AM888">
        <v>85.229384701821601</v>
      </c>
      <c r="AN888">
        <v>1.00000001190294</v>
      </c>
    </row>
    <row r="889" spans="1:40" x14ac:dyDescent="0.25">
      <c r="A889" t="str">
        <f>"20190312151516123"</f>
        <v>20190312151516123</v>
      </c>
      <c r="B889" t="str">
        <f>"1552374916118673"</f>
        <v>1552374916118673</v>
      </c>
      <c r="C889" t="s">
        <v>40</v>
      </c>
      <c r="D889">
        <v>6.2597500000000004</v>
      </c>
      <c r="E889">
        <v>0.54931430000000003</v>
      </c>
      <c r="F889" t="s">
        <v>43</v>
      </c>
      <c r="G889">
        <v>-236.8528</v>
      </c>
      <c r="H889" s="1">
        <v>-2.4717239999999998E-6</v>
      </c>
      <c r="I889">
        <v>364.29969999999997</v>
      </c>
      <c r="J889">
        <v>-254.88849999999999</v>
      </c>
      <c r="K889">
        <v>1.1092489999999999</v>
      </c>
      <c r="L889">
        <v>369.52820000000003</v>
      </c>
      <c r="M889">
        <v>0.99985789999999997</v>
      </c>
      <c r="N889">
        <v>0</v>
      </c>
      <c r="O889">
        <v>7.8854279999999999E-3</v>
      </c>
      <c r="P889">
        <v>0.99542470000000005</v>
      </c>
      <c r="Q889">
        <v>-5.8791490000000002E-2</v>
      </c>
      <c r="R889">
        <v>-7.5325130000000004E-2</v>
      </c>
      <c r="S889">
        <v>2.9397579999999999</v>
      </c>
      <c r="T889">
        <v>-0.1784731</v>
      </c>
      <c r="U889">
        <v>-0.84094239999999998</v>
      </c>
      <c r="V889">
        <v>8.314945E-2</v>
      </c>
      <c r="W889">
        <v>-4.4004410000000001E-2</v>
      </c>
      <c r="X889">
        <v>0.99556509999999998</v>
      </c>
      <c r="Y889">
        <v>0.28210669999999999</v>
      </c>
      <c r="Z889">
        <v>-8.8568120000000004E-3</v>
      </c>
      <c r="AA889">
        <v>0.95934209999999998</v>
      </c>
      <c r="AB889">
        <v>38</v>
      </c>
      <c r="AC889">
        <v>18.035699999999899</v>
      </c>
      <c r="AD889">
        <v>-1.1092514717239901</v>
      </c>
      <c r="AE889">
        <v>-5.2285000000000501</v>
      </c>
      <c r="AF889">
        <v>5.3518975937297997</v>
      </c>
      <c r="AG889">
        <v>-1.1092514717239901</v>
      </c>
      <c r="AH889">
        <v>17.931336313263898</v>
      </c>
      <c r="AI889">
        <v>93.392358865079203</v>
      </c>
      <c r="AJ889">
        <v>73.381414495640698</v>
      </c>
      <c r="AK889">
        <v>18.7458280334764</v>
      </c>
      <c r="AL889">
        <v>92.522081264327696</v>
      </c>
      <c r="AM889">
        <v>85.225745431465697</v>
      </c>
      <c r="AN889">
        <v>1.0000000437363701</v>
      </c>
    </row>
    <row r="890" spans="1:40" x14ac:dyDescent="0.25">
      <c r="A890" t="str">
        <f>"20190312151516143"</f>
        <v>20190312151516143</v>
      </c>
      <c r="B890" t="str">
        <f>"1552374916138193"</f>
        <v>1552374916138193</v>
      </c>
      <c r="C890" t="s">
        <v>40</v>
      </c>
      <c r="D890">
        <v>4.9813700000000001</v>
      </c>
      <c r="E890">
        <v>0.53777559999999902</v>
      </c>
      <c r="F890" t="s">
        <v>43</v>
      </c>
      <c r="G890">
        <v>-239.7715</v>
      </c>
      <c r="H890" s="1">
        <v>-9.2821240000000005E-7</v>
      </c>
      <c r="I890">
        <v>366.36770000000001</v>
      </c>
      <c r="J890">
        <v>-254.55670000000001</v>
      </c>
      <c r="K890">
        <v>1.1092409999999999</v>
      </c>
      <c r="L890">
        <v>369.53050000000002</v>
      </c>
      <c r="M890">
        <v>0.99985950000000001</v>
      </c>
      <c r="N890">
        <v>0</v>
      </c>
      <c r="O890">
        <v>7.6791849999999998E-3</v>
      </c>
      <c r="P890">
        <v>0.99539339999999998</v>
      </c>
      <c r="Q890">
        <v>-5.8231440000000002E-2</v>
      </c>
      <c r="R890">
        <v>-7.6166399999999995E-2</v>
      </c>
      <c r="S890">
        <v>2.9542540000000002</v>
      </c>
      <c r="T890">
        <v>-0.2167742</v>
      </c>
      <c r="U890">
        <v>-0.61761469999999996</v>
      </c>
      <c r="V890">
        <v>8.378439E-2</v>
      </c>
      <c r="W890">
        <v>-4.3450170000000003E-2</v>
      </c>
      <c r="X890">
        <v>0.99553610000000003</v>
      </c>
      <c r="Y890">
        <v>0.21158189999999999</v>
      </c>
      <c r="Z890">
        <v>-8.2265129999999995E-3</v>
      </c>
      <c r="AA890">
        <v>0.97732569999999996</v>
      </c>
      <c r="AB890">
        <v>38</v>
      </c>
      <c r="AC890">
        <v>14.7852</v>
      </c>
      <c r="AD890">
        <v>-1.1092419282124</v>
      </c>
      <c r="AE890">
        <v>-3.1627999999999998</v>
      </c>
      <c r="AF890">
        <v>3.2587182922396098</v>
      </c>
      <c r="AG890">
        <v>-1.1092419282124</v>
      </c>
      <c r="AH890">
        <v>14.681453891976499</v>
      </c>
      <c r="AI890">
        <v>94.218432725873797</v>
      </c>
      <c r="AJ890">
        <v>77.485425539177498</v>
      </c>
      <c r="AK890">
        <v>15.079613753200499</v>
      </c>
      <c r="AL890">
        <v>92.490295523137604</v>
      </c>
      <c r="AM890">
        <v>85.189319573801896</v>
      </c>
      <c r="AN890">
        <v>0.99999993384195296</v>
      </c>
    </row>
    <row r="891" spans="1:40" x14ac:dyDescent="0.25">
      <c r="A891" t="str">
        <f>"20190312151516156"</f>
        <v>20190312151516156</v>
      </c>
      <c r="B891" t="str">
        <f>"1552374916148930"</f>
        <v>1552374916148930</v>
      </c>
      <c r="C891" t="s">
        <v>40</v>
      </c>
      <c r="D891">
        <v>4.9293089999999999</v>
      </c>
      <c r="E891">
        <v>0.53822879999999995</v>
      </c>
      <c r="F891" t="s">
        <v>43</v>
      </c>
      <c r="G891">
        <v>-232.98230000000001</v>
      </c>
      <c r="H891" s="1">
        <v>-3.6913140000000001E-6</v>
      </c>
      <c r="I891">
        <v>365.67910000000001</v>
      </c>
      <c r="J891">
        <v>-254.32490000000001</v>
      </c>
      <c r="K891">
        <v>1.109237</v>
      </c>
      <c r="L891">
        <v>369.53230000000002</v>
      </c>
      <c r="M891">
        <v>0.99986070000000005</v>
      </c>
      <c r="N891">
        <v>0</v>
      </c>
      <c r="O891">
        <v>7.5280619999999899E-3</v>
      </c>
      <c r="P891">
        <v>0.99536420000000003</v>
      </c>
      <c r="Q891">
        <v>-5.8181440000000001E-2</v>
      </c>
      <c r="R891">
        <v>-7.6583709999999999E-2</v>
      </c>
      <c r="S891">
        <v>2.9644780000000002</v>
      </c>
      <c r="T891">
        <v>-0.1524171</v>
      </c>
      <c r="U891">
        <v>-0.52920529999999999</v>
      </c>
      <c r="V891">
        <v>8.4050230000000004E-2</v>
      </c>
      <c r="W891">
        <v>-4.3404379999999999E-2</v>
      </c>
      <c r="X891">
        <v>0.99551579999999995</v>
      </c>
      <c r="Y891">
        <v>0.18290020000000001</v>
      </c>
      <c r="Z891">
        <v>-5.0458500000000002E-3</v>
      </c>
      <c r="AA891">
        <v>0.98311850000000001</v>
      </c>
      <c r="AB891">
        <v>38</v>
      </c>
      <c r="AC891">
        <v>21.342600000000001</v>
      </c>
      <c r="AD891">
        <v>-1.109240691314</v>
      </c>
      <c r="AE891">
        <v>-3.85320000000001</v>
      </c>
      <c r="AF891">
        <v>4.0033046504305396</v>
      </c>
      <c r="AG891">
        <v>-1.109240691314</v>
      </c>
      <c r="AH891">
        <v>21.257376826433301</v>
      </c>
      <c r="AI891">
        <v>92.935556800475098</v>
      </c>
      <c r="AJ891">
        <v>79.334664058398303</v>
      </c>
      <c r="AK891">
        <v>21.659476738287299</v>
      </c>
      <c r="AL891">
        <v>92.487669195807499</v>
      </c>
      <c r="AM891">
        <v>85.174029769737402</v>
      </c>
      <c r="AN891">
        <v>1.00000004470793</v>
      </c>
    </row>
    <row r="892" spans="1:40" x14ac:dyDescent="0.25">
      <c r="A892" t="str">
        <f>"20190312151516168"</f>
        <v>20190312151516168</v>
      </c>
      <c r="B892" t="str">
        <f>"1552374916158690"</f>
        <v>1552374916158690</v>
      </c>
      <c r="C892" t="s">
        <v>40</v>
      </c>
      <c r="D892">
        <v>4.8695559999999896</v>
      </c>
      <c r="E892">
        <v>0.53846119999999897</v>
      </c>
      <c r="F892" t="s">
        <v>43</v>
      </c>
      <c r="G892">
        <v>-233.2467</v>
      </c>
      <c r="H892" s="1">
        <v>-3.567956E-6</v>
      </c>
      <c r="I892">
        <v>365.73509999999999</v>
      </c>
      <c r="J892">
        <v>-254.11850000000001</v>
      </c>
      <c r="K892">
        <v>1.1092299999999999</v>
      </c>
      <c r="L892">
        <v>369.53359999999998</v>
      </c>
      <c r="M892">
        <v>0.99986169999999996</v>
      </c>
      <c r="N892">
        <v>0</v>
      </c>
      <c r="O892">
        <v>7.3873139999999999E-3</v>
      </c>
      <c r="P892">
        <v>0.99535229999999997</v>
      </c>
      <c r="Q892">
        <v>-5.804347E-2</v>
      </c>
      <c r="R892">
        <v>-7.6841019999999996E-2</v>
      </c>
      <c r="S892">
        <v>2.9637910000000001</v>
      </c>
      <c r="T892">
        <v>-0.15596879999999999</v>
      </c>
      <c r="U892">
        <v>-0.53390499999999996</v>
      </c>
      <c r="V892">
        <v>8.4166850000000001E-2</v>
      </c>
      <c r="W892">
        <v>-4.3270059999999999E-2</v>
      </c>
      <c r="X892">
        <v>0.99551179999999995</v>
      </c>
      <c r="Y892">
        <v>0.1842982</v>
      </c>
      <c r="Z892">
        <v>-5.1928570000000004E-3</v>
      </c>
      <c r="AA892">
        <v>0.98285659999999997</v>
      </c>
      <c r="AB892">
        <v>38</v>
      </c>
      <c r="AC892">
        <v>20.8718</v>
      </c>
      <c r="AD892">
        <v>-1.1092335679559999</v>
      </c>
      <c r="AE892">
        <v>-3.79849999999999</v>
      </c>
      <c r="AF892">
        <v>3.9418236256499801</v>
      </c>
      <c r="AG892">
        <v>-1.1092335679559999</v>
      </c>
      <c r="AH892">
        <v>20.7863397524889</v>
      </c>
      <c r="AI892">
        <v>93.001223499211406</v>
      </c>
      <c r="AJ892">
        <v>79.262202372911204</v>
      </c>
      <c r="AK892">
        <v>21.185851243457599</v>
      </c>
      <c r="AL892">
        <v>92.479965975926305</v>
      </c>
      <c r="AM892">
        <v>85.167346083577002</v>
      </c>
      <c r="AN892">
        <v>1.0000000503352799</v>
      </c>
    </row>
    <row r="893" spans="1:40" x14ac:dyDescent="0.25">
      <c r="A893" t="str">
        <f>"20190312151516181"</f>
        <v>20190312151516181</v>
      </c>
      <c r="B893" t="str">
        <f>"1552374916168450"</f>
        <v>1552374916168450</v>
      </c>
      <c r="C893" t="s">
        <v>40</v>
      </c>
      <c r="D893">
        <v>7.7229960000000002</v>
      </c>
      <c r="E893">
        <v>0.53866599999999998</v>
      </c>
      <c r="F893" t="s">
        <v>43</v>
      </c>
      <c r="G893">
        <v>-231.3211</v>
      </c>
      <c r="H893" s="1">
        <v>-4.4525350000000001E-6</v>
      </c>
      <c r="I893">
        <v>365.40519999999998</v>
      </c>
      <c r="J893">
        <v>-253.9171</v>
      </c>
      <c r="K893">
        <v>1.1092200000000001</v>
      </c>
      <c r="L893">
        <v>369.53500000000003</v>
      </c>
      <c r="M893">
        <v>0.99986299999999995</v>
      </c>
      <c r="N893">
        <v>0</v>
      </c>
      <c r="O893">
        <v>7.244421E-3</v>
      </c>
      <c r="P893">
        <v>0.99532960000000004</v>
      </c>
      <c r="Q893">
        <v>-5.7706559999999997E-2</v>
      </c>
      <c r="R893">
        <v>-7.7388990000000005E-2</v>
      </c>
      <c r="S893">
        <v>2.964127</v>
      </c>
      <c r="T893">
        <v>-0.1442225</v>
      </c>
      <c r="U893">
        <v>-0.53677369999999902</v>
      </c>
      <c r="V893">
        <v>8.4571709999999994E-2</v>
      </c>
      <c r="W893">
        <v>-4.2937139999999999E-2</v>
      </c>
      <c r="X893">
        <v>0.99549189999999999</v>
      </c>
      <c r="Y893">
        <v>0.18509600000000001</v>
      </c>
      <c r="Z893">
        <v>-4.8136460000000004E-3</v>
      </c>
      <c r="AA893">
        <v>0.98270860000000004</v>
      </c>
      <c r="AB893">
        <v>38</v>
      </c>
      <c r="AC893">
        <v>22.596</v>
      </c>
      <c r="AD893">
        <v>-1.1092244525349999</v>
      </c>
      <c r="AE893">
        <v>-4.1298000000000403</v>
      </c>
      <c r="AF893">
        <v>4.2834162727152796</v>
      </c>
      <c r="AG893">
        <v>-1.1092244525349999</v>
      </c>
      <c r="AH893">
        <v>22.5129880712648</v>
      </c>
      <c r="AI893">
        <v>92.771074654608896</v>
      </c>
      <c r="AJ893">
        <v>79.227422007473095</v>
      </c>
      <c r="AK893">
        <v>22.943684659364902</v>
      </c>
      <c r="AL893">
        <v>92.460873328194097</v>
      </c>
      <c r="AM893">
        <v>85.144114298344405</v>
      </c>
      <c r="AN893">
        <v>1.00000004754465</v>
      </c>
    </row>
    <row r="894" spans="1:40" x14ac:dyDescent="0.25">
      <c r="A894" t="str">
        <f>"20190312151516191"</f>
        <v>20190312151516191</v>
      </c>
      <c r="B894" t="str">
        <f>"1552374916188946"</f>
        <v>1552374916188946</v>
      </c>
      <c r="C894" t="s">
        <v>40</v>
      </c>
      <c r="D894">
        <v>4.9139299999999997</v>
      </c>
      <c r="E894">
        <v>0.53878789999999999</v>
      </c>
      <c r="F894" t="s">
        <v>43</v>
      </c>
      <c r="G894">
        <v>-230.25030000000001</v>
      </c>
      <c r="H894" s="1">
        <v>-4.944766E-6</v>
      </c>
      <c r="I894">
        <v>365.22</v>
      </c>
      <c r="J894">
        <v>-253.72149999999999</v>
      </c>
      <c r="K894">
        <v>1.1092120000000001</v>
      </c>
      <c r="L894">
        <v>369.53629999999998</v>
      </c>
      <c r="M894">
        <v>0.99986390000000003</v>
      </c>
      <c r="N894">
        <v>0</v>
      </c>
      <c r="O894">
        <v>7.1028419999999998E-3</v>
      </c>
      <c r="P894">
        <v>0.99529449999999997</v>
      </c>
      <c r="Q894">
        <v>-5.7705720000000002E-2</v>
      </c>
      <c r="R894">
        <v>-7.7839939999999996E-2</v>
      </c>
      <c r="S894">
        <v>2.9639890000000002</v>
      </c>
      <c r="T894">
        <v>-0.1389167</v>
      </c>
      <c r="U894">
        <v>-0.54040529999999998</v>
      </c>
      <c r="V894">
        <v>8.4880520000000001E-2</v>
      </c>
      <c r="W894">
        <v>-4.2940319999999997E-2</v>
      </c>
      <c r="X894">
        <v>0.9954655</v>
      </c>
      <c r="Y894">
        <v>0.18614530000000001</v>
      </c>
      <c r="Z894">
        <v>-4.6542529999999997E-3</v>
      </c>
      <c r="AA894">
        <v>0.98251120000000003</v>
      </c>
      <c r="AB894">
        <v>38</v>
      </c>
      <c r="AC894">
        <v>23.4711999999999</v>
      </c>
      <c r="AD894">
        <v>-1.1092169447660001</v>
      </c>
      <c r="AE894">
        <v>-4.3162999999999503</v>
      </c>
      <c r="AF894">
        <v>4.4732581352802701</v>
      </c>
      <c r="AG894">
        <v>-1.1092169447660001</v>
      </c>
      <c r="AH894">
        <v>23.389417764179001</v>
      </c>
      <c r="AI894">
        <v>92.666890095899703</v>
      </c>
      <c r="AJ894">
        <v>79.1728488566728</v>
      </c>
      <c r="AK894">
        <v>23.839154010213999</v>
      </c>
      <c r="AL894">
        <v>92.461055647269305</v>
      </c>
      <c r="AM894">
        <v>85.126339859306995</v>
      </c>
      <c r="AN894">
        <v>1.0000000677237</v>
      </c>
    </row>
    <row r="895" spans="1:40" x14ac:dyDescent="0.25">
      <c r="A895" t="str">
        <f>"20190312151516204"</f>
        <v>20190312151516204</v>
      </c>
      <c r="B895" t="str">
        <f>"1552374916198705"</f>
        <v>1552374916198705</v>
      </c>
      <c r="C895" t="s">
        <v>40</v>
      </c>
      <c r="D895">
        <v>4.8775440000000003</v>
      </c>
      <c r="E895">
        <v>0.53859749999999995</v>
      </c>
      <c r="F895" t="s">
        <v>43</v>
      </c>
      <c r="G895">
        <v>-229.40180000000001</v>
      </c>
      <c r="H895" s="1">
        <v>-1.395094E-6</v>
      </c>
      <c r="I895">
        <v>365.08580000000001</v>
      </c>
      <c r="J895">
        <v>-253.51949999999999</v>
      </c>
      <c r="K895">
        <v>1.1092040000000001</v>
      </c>
      <c r="L895">
        <v>369.5376</v>
      </c>
      <c r="M895">
        <v>0.99986509999999995</v>
      </c>
      <c r="N895">
        <v>0</v>
      </c>
      <c r="O895">
        <v>6.9484990000000003E-3</v>
      </c>
      <c r="P895">
        <v>0.99527580000000004</v>
      </c>
      <c r="Q895">
        <v>-5.7713649999999998E-2</v>
      </c>
      <c r="R895">
        <v>-7.8073080000000003E-2</v>
      </c>
      <c r="S895">
        <v>2.9639129999999998</v>
      </c>
      <c r="T895">
        <v>-0.1351831</v>
      </c>
      <c r="U895">
        <v>-0.54238889999999995</v>
      </c>
      <c r="V895">
        <v>8.4959019999999996E-2</v>
      </c>
      <c r="W895">
        <v>-4.2952079999999997E-2</v>
      </c>
      <c r="X895">
        <v>0.99545819999999996</v>
      </c>
      <c r="Y895">
        <v>0.18664500000000001</v>
      </c>
      <c r="Z895">
        <v>-4.5334520000000003E-3</v>
      </c>
      <c r="AA895">
        <v>0.98241699999999998</v>
      </c>
      <c r="AB895">
        <v>38</v>
      </c>
      <c r="AC895">
        <v>24.1176999999999</v>
      </c>
      <c r="AD895">
        <v>-1.109205395094</v>
      </c>
      <c r="AE895">
        <v>-4.4517999999999898</v>
      </c>
      <c r="AF895">
        <v>4.6098633663440802</v>
      </c>
      <c r="AG895">
        <v>-1.109205395094</v>
      </c>
      <c r="AH895">
        <v>24.037012969800902</v>
      </c>
      <c r="AI895">
        <v>92.594858475942601</v>
      </c>
      <c r="AJ895">
        <v>79.143528571134098</v>
      </c>
      <c r="AK895">
        <v>24.500187129392401</v>
      </c>
      <c r="AL895">
        <v>92.461730303361406</v>
      </c>
      <c r="AM895">
        <v>85.121818694910701</v>
      </c>
      <c r="AN895">
        <v>0.99999997210146296</v>
      </c>
    </row>
    <row r="896" spans="1:40" x14ac:dyDescent="0.25">
      <c r="A896" t="str">
        <f>"20190312151516216"</f>
        <v>20190312151516216</v>
      </c>
      <c r="B896" t="str">
        <f>"1552374916208465"</f>
        <v>1552374916208465</v>
      </c>
      <c r="C896" t="s">
        <v>40</v>
      </c>
      <c r="D896">
        <v>5.0153559999999997</v>
      </c>
      <c r="E896">
        <v>0.53880850000000002</v>
      </c>
      <c r="F896" t="s">
        <v>43</v>
      </c>
      <c r="G896">
        <v>-229.28819999999999</v>
      </c>
      <c r="H896" s="1">
        <v>-1.42775E-6</v>
      </c>
      <c r="I896">
        <v>365.10849999999999</v>
      </c>
      <c r="J896">
        <v>-253.32259999999999</v>
      </c>
      <c r="K896">
        <v>1.1091930000000001</v>
      </c>
      <c r="L896">
        <v>369.53879999999998</v>
      </c>
      <c r="M896">
        <v>0.99986609999999998</v>
      </c>
      <c r="N896">
        <v>0</v>
      </c>
      <c r="O896">
        <v>6.795293E-3</v>
      </c>
      <c r="P896">
        <v>0.99523399999999995</v>
      </c>
      <c r="Q896">
        <v>-5.7803149999999998E-2</v>
      </c>
      <c r="R896">
        <v>-7.8538419999999998E-2</v>
      </c>
      <c r="S896">
        <v>2.9638520000000002</v>
      </c>
      <c r="T896">
        <v>-0.13567199999999999</v>
      </c>
      <c r="U896">
        <v>-0.54174800000000001</v>
      </c>
      <c r="V896">
        <v>8.5270700000000005E-2</v>
      </c>
      <c r="W896">
        <v>-4.3045840000000002E-2</v>
      </c>
      <c r="X896">
        <v>0.99542750000000002</v>
      </c>
      <c r="Y896">
        <v>0.1862915</v>
      </c>
      <c r="Z896">
        <v>-4.5350329999999999E-3</v>
      </c>
      <c r="AA896">
        <v>0.98248400000000002</v>
      </c>
      <c r="AB896">
        <v>38</v>
      </c>
      <c r="AC896">
        <v>24.034400000000002</v>
      </c>
      <c r="AD896">
        <v>-1.1091944277500001</v>
      </c>
      <c r="AE896">
        <v>-4.4302999999999804</v>
      </c>
      <c r="AF896">
        <v>4.5840939930371896</v>
      </c>
      <c r="AG896">
        <v>-1.1091944277500001</v>
      </c>
      <c r="AH896">
        <v>23.954393775190798</v>
      </c>
      <c r="AI896">
        <v>92.603969271172701</v>
      </c>
      <c r="AJ896">
        <v>79.166426332619494</v>
      </c>
      <c r="AK896">
        <v>24.414282933407101</v>
      </c>
      <c r="AL896">
        <v>92.467107328706504</v>
      </c>
      <c r="AM896">
        <v>85.103859205505898</v>
      </c>
      <c r="AN896">
        <v>0.99999997218802195</v>
      </c>
    </row>
    <row r="897" spans="1:40" x14ac:dyDescent="0.25">
      <c r="A897" t="str">
        <f>"20190312151516228"</f>
        <v>20190312151516228</v>
      </c>
      <c r="B897" t="str">
        <f>"1552374916218225"</f>
        <v>1552374916218225</v>
      </c>
      <c r="C897" t="s">
        <v>40</v>
      </c>
      <c r="D897">
        <v>6.2653040000000004</v>
      </c>
      <c r="E897">
        <v>0.5390471</v>
      </c>
      <c r="F897" t="s">
        <v>43</v>
      </c>
      <c r="G897">
        <v>-229.02869999999999</v>
      </c>
      <c r="H897" s="1">
        <v>-1.52523E-6</v>
      </c>
      <c r="I897">
        <v>365.07400000000001</v>
      </c>
      <c r="J897">
        <v>-253.08840000000001</v>
      </c>
      <c r="K897">
        <v>1.1091850000000001</v>
      </c>
      <c r="L897">
        <v>369.5403</v>
      </c>
      <c r="M897">
        <v>0.99986739999999996</v>
      </c>
      <c r="N897">
        <v>0</v>
      </c>
      <c r="O897">
        <v>6.6054659999999999E-3</v>
      </c>
      <c r="P897">
        <v>0.99520390000000003</v>
      </c>
      <c r="Q897">
        <v>-5.7926869999999998E-2</v>
      </c>
      <c r="R897">
        <v>-7.8825790000000007E-2</v>
      </c>
      <c r="S897">
        <v>2.963562</v>
      </c>
      <c r="T897">
        <v>-0.1353077</v>
      </c>
      <c r="U897">
        <v>-0.5446472</v>
      </c>
      <c r="V897">
        <v>8.5367890000000002E-2</v>
      </c>
      <c r="W897">
        <v>-4.3174160000000003E-2</v>
      </c>
      <c r="X897">
        <v>0.99541369999999896</v>
      </c>
      <c r="Y897">
        <v>0.1870523</v>
      </c>
      <c r="Z897">
        <v>-4.5315299999999998E-3</v>
      </c>
      <c r="AA897">
        <v>0.98233950000000003</v>
      </c>
      <c r="AB897">
        <v>37</v>
      </c>
      <c r="AC897">
        <v>24.059699999999999</v>
      </c>
      <c r="AD897">
        <v>-1.1091865252299999</v>
      </c>
      <c r="AE897">
        <v>-4.4662999999999897</v>
      </c>
      <c r="AF897">
        <v>4.61566260514949</v>
      </c>
      <c r="AG897">
        <v>-1.1091865252299999</v>
      </c>
      <c r="AH897">
        <v>23.980400984080099</v>
      </c>
      <c r="AI897">
        <v>92.600597469628994</v>
      </c>
      <c r="AJ897">
        <v>79.105148611039198</v>
      </c>
      <c r="AK897">
        <v>24.445741293517699</v>
      </c>
      <c r="AL897">
        <v>92.474466148765899</v>
      </c>
      <c r="AM897">
        <v>85.098238222731496</v>
      </c>
      <c r="AN897">
        <v>1.0000000594412199</v>
      </c>
    </row>
    <row r="898" spans="1:40" x14ac:dyDescent="0.25">
      <c r="A898" t="str">
        <f>"20190312151516242"</f>
        <v>20190312151516242</v>
      </c>
      <c r="B898" t="str">
        <f>"1552374916238722"</f>
        <v>1552374916238722</v>
      </c>
      <c r="C898" t="s">
        <v>40</v>
      </c>
      <c r="D898">
        <v>4.9810589999999904</v>
      </c>
      <c r="E898">
        <v>0.53932720000000001</v>
      </c>
      <c r="F898" t="s">
        <v>43</v>
      </c>
      <c r="G898">
        <v>-228.58269999999999</v>
      </c>
      <c r="H898" s="1">
        <v>-1.6927779999999999E-6</v>
      </c>
      <c r="I898">
        <v>365.0147</v>
      </c>
      <c r="J898">
        <v>-252.88380000000001</v>
      </c>
      <c r="K898">
        <v>1.1091799999999901</v>
      </c>
      <c r="L898">
        <v>369.54149999999998</v>
      </c>
      <c r="M898">
        <v>0.9998686</v>
      </c>
      <c r="N898">
        <v>0</v>
      </c>
      <c r="O898">
        <v>6.4337300000000004E-3</v>
      </c>
      <c r="P898">
        <v>0.99518410000000002</v>
      </c>
      <c r="Q898">
        <v>-5.7439299999999999E-2</v>
      </c>
      <c r="R898">
        <v>-7.9434149999999995E-2</v>
      </c>
      <c r="S898">
        <v>2.9633180000000001</v>
      </c>
      <c r="T898">
        <v>-0.1341261</v>
      </c>
      <c r="U898">
        <v>-0.54724119999999998</v>
      </c>
      <c r="V898">
        <v>8.5804690000000003E-2</v>
      </c>
      <c r="W898">
        <v>-4.2690760000000001E-2</v>
      </c>
      <c r="X898">
        <v>0.99539690000000003</v>
      </c>
      <c r="Y898">
        <v>0.1877325</v>
      </c>
      <c r="Z898">
        <v>-4.4995579999999999E-3</v>
      </c>
      <c r="AA898">
        <v>0.98220989999999997</v>
      </c>
      <c r="AB898">
        <v>37</v>
      </c>
      <c r="AC898">
        <v>24.301100000000002</v>
      </c>
      <c r="AD898">
        <v>-1.1091816927779901</v>
      </c>
      <c r="AE898">
        <v>-4.5267999999999802</v>
      </c>
      <c r="AF898">
        <v>4.6736601737696004</v>
      </c>
      <c r="AG898">
        <v>-1.1091816927779901</v>
      </c>
      <c r="AH898">
        <v>24.222698515854301</v>
      </c>
      <c r="AI898">
        <v>92.574383835444706</v>
      </c>
      <c r="AJ898">
        <v>79.079237845030406</v>
      </c>
      <c r="AK898">
        <v>24.694382090618198</v>
      </c>
      <c r="AL898">
        <v>92.446744035584601</v>
      </c>
      <c r="AM898">
        <v>85.073197878280993</v>
      </c>
      <c r="AN898">
        <v>0.99999996717249096</v>
      </c>
    </row>
    <row r="899" spans="1:40" x14ac:dyDescent="0.25">
      <c r="A899" t="str">
        <f>"20190312151516253"</f>
        <v>20190312151516253</v>
      </c>
      <c r="B899" t="str">
        <f>"1552374916248482"</f>
        <v>1552374916248482</v>
      </c>
      <c r="C899" t="s">
        <v>40</v>
      </c>
      <c r="D899">
        <v>4.9595919999999998</v>
      </c>
      <c r="E899">
        <v>0.53958260000000002</v>
      </c>
      <c r="F899" t="s">
        <v>43</v>
      </c>
      <c r="G899">
        <v>-228.3648</v>
      </c>
      <c r="H899" s="1">
        <v>-1.776561E-6</v>
      </c>
      <c r="I899">
        <v>364.9785</v>
      </c>
      <c r="J899">
        <v>-252.69710000000001</v>
      </c>
      <c r="K899">
        <v>1.1091759999999999</v>
      </c>
      <c r="L899">
        <v>369.54259999999999</v>
      </c>
      <c r="M899">
        <v>0.99986960000000003</v>
      </c>
      <c r="N899">
        <v>0</v>
      </c>
      <c r="O899">
        <v>6.2754789999999996E-3</v>
      </c>
      <c r="P899">
        <v>0.99514499999999995</v>
      </c>
      <c r="Q899">
        <v>-5.7432129999999998E-2</v>
      </c>
      <c r="R899">
        <v>-7.9923830000000001E-2</v>
      </c>
      <c r="S899">
        <v>2.9627379999999999</v>
      </c>
      <c r="T899">
        <v>-0.134026799999999</v>
      </c>
      <c r="U899">
        <v>-0.55136109999999905</v>
      </c>
      <c r="V899">
        <v>8.6136080000000004E-2</v>
      </c>
      <c r="W899">
        <v>-4.2687610000000001E-2</v>
      </c>
      <c r="X899">
        <v>0.99536840000000004</v>
      </c>
      <c r="Y899">
        <v>0.18893090000000001</v>
      </c>
      <c r="Z899">
        <v>-4.5162960000000004E-3</v>
      </c>
      <c r="AA899">
        <v>0.98197999999999996</v>
      </c>
      <c r="AB899">
        <v>37</v>
      </c>
      <c r="AC899">
        <v>24.3323</v>
      </c>
      <c r="AD899">
        <v>-1.109177776561</v>
      </c>
      <c r="AE899">
        <v>-4.5640999999999901</v>
      </c>
      <c r="AF899">
        <v>4.7072748048456603</v>
      </c>
      <c r="AG899">
        <v>-1.109177776561</v>
      </c>
      <c r="AH899">
        <v>24.254488950567101</v>
      </c>
      <c r="AI899">
        <v>92.570462480758806</v>
      </c>
      <c r="AJ899">
        <v>79.016663814652006</v>
      </c>
      <c r="AK899">
        <v>24.731941809763601</v>
      </c>
      <c r="AL899">
        <v>92.446563421389399</v>
      </c>
      <c r="AM899">
        <v>85.054123154089496</v>
      </c>
      <c r="AN899">
        <v>0.99999995402191799</v>
      </c>
    </row>
    <row r="900" spans="1:40" x14ac:dyDescent="0.25">
      <c r="A900" t="str">
        <f>"20190312151516264"</f>
        <v>20190312151516264</v>
      </c>
      <c r="B900" t="str">
        <f>"1552374916258242"</f>
        <v>1552374916258242</v>
      </c>
      <c r="C900" t="s">
        <v>40</v>
      </c>
      <c r="D900">
        <v>7.8456429999999902</v>
      </c>
      <c r="E900">
        <v>0.53967949999999998</v>
      </c>
      <c r="F900" t="s">
        <v>43</v>
      </c>
      <c r="G900">
        <v>-228.54320000000001</v>
      </c>
      <c r="H900" s="1">
        <v>-1.705437E-6</v>
      </c>
      <c r="I900">
        <v>365.01760000000002</v>
      </c>
      <c r="J900">
        <v>-252.5102</v>
      </c>
      <c r="K900">
        <v>1.109167</v>
      </c>
      <c r="L900">
        <v>369.54360000000003</v>
      </c>
      <c r="M900">
        <v>0.9998707</v>
      </c>
      <c r="N900">
        <v>0</v>
      </c>
      <c r="O900">
        <v>6.1112199999999997E-3</v>
      </c>
      <c r="P900">
        <v>0.99512990000000001</v>
      </c>
      <c r="Q900">
        <v>-5.7078219999999999E-2</v>
      </c>
      <c r="R900">
        <v>-8.0366690000000005E-2</v>
      </c>
      <c r="S900">
        <v>2.962234</v>
      </c>
      <c r="T900">
        <v>-0.13602879999999901</v>
      </c>
      <c r="U900">
        <v>-0.55493159999999997</v>
      </c>
      <c r="V900">
        <v>8.6414790000000005E-2</v>
      </c>
      <c r="W900">
        <v>-4.233725E-2</v>
      </c>
      <c r="X900">
        <v>0.9953592</v>
      </c>
      <c r="Y900">
        <v>0.18993660000000001</v>
      </c>
      <c r="Z900">
        <v>-4.5993550000000003E-3</v>
      </c>
      <c r="AA900">
        <v>0.98178560000000004</v>
      </c>
      <c r="AB900">
        <v>37</v>
      </c>
      <c r="AC900">
        <v>23.966999999999899</v>
      </c>
      <c r="AD900">
        <v>-1.1091687054369901</v>
      </c>
      <c r="AE900">
        <v>-4.5260000000000096</v>
      </c>
      <c r="AF900">
        <v>4.6627567105487602</v>
      </c>
      <c r="AG900">
        <v>-1.1091687054369901</v>
      </c>
      <c r="AH900">
        <v>23.889486514493999</v>
      </c>
      <c r="AI900">
        <v>92.6091224474022</v>
      </c>
      <c r="AJ900">
        <v>78.955840332974702</v>
      </c>
      <c r="AK900">
        <v>24.3655314180725</v>
      </c>
      <c r="AL900">
        <v>92.426471121345799</v>
      </c>
      <c r="AM900">
        <v>85.038153941287604</v>
      </c>
      <c r="AN900">
        <v>0.99999994784647195</v>
      </c>
    </row>
    <row r="901" spans="1:40" x14ac:dyDescent="0.25">
      <c r="A901" t="str">
        <f>"20190312151516275"</f>
        <v>20190312151516275</v>
      </c>
      <c r="B901" t="str">
        <f>"1552374916268860"</f>
        <v>1552374916268860</v>
      </c>
      <c r="C901" t="s">
        <v>40</v>
      </c>
      <c r="D901">
        <v>5.0383089999999999</v>
      </c>
      <c r="E901">
        <v>0.53980050000000002</v>
      </c>
      <c r="F901" t="s">
        <v>43</v>
      </c>
      <c r="G901">
        <v>-227.92779999999999</v>
      </c>
      <c r="H901" s="1">
        <v>-1.9406309999999999E-6</v>
      </c>
      <c r="I901">
        <v>364.92079999999999</v>
      </c>
      <c r="J901">
        <v>-252.3271</v>
      </c>
      <c r="K901">
        <v>1.1091610000000001</v>
      </c>
      <c r="L901">
        <v>369.54450000000003</v>
      </c>
      <c r="M901">
        <v>0.99987170000000003</v>
      </c>
      <c r="N901">
        <v>0</v>
      </c>
      <c r="O901">
        <v>5.9494129999999998E-3</v>
      </c>
      <c r="P901">
        <v>0.99509069999999999</v>
      </c>
      <c r="Q901">
        <v>-5.7040149999999998E-2</v>
      </c>
      <c r="R901">
        <v>-8.0877969999999993E-2</v>
      </c>
      <c r="S901">
        <v>2.962021</v>
      </c>
      <c r="T901">
        <v>-0.13364719999999999</v>
      </c>
      <c r="U901">
        <v>-0.55700680000000002</v>
      </c>
      <c r="V901">
        <v>8.6764030000000006E-2</v>
      </c>
      <c r="W901">
        <v>-4.2303E-2</v>
      </c>
      <c r="X901">
        <v>0.9953303</v>
      </c>
      <c r="Y901">
        <v>0.19046150000000001</v>
      </c>
      <c r="Z901">
        <v>-4.5234389999999998E-3</v>
      </c>
      <c r="AA901">
        <v>0.98168420000000001</v>
      </c>
      <c r="AB901">
        <v>37</v>
      </c>
      <c r="AC901">
        <v>24.3993</v>
      </c>
      <c r="AD901">
        <v>-1.109162940631</v>
      </c>
      <c r="AE901">
        <v>-4.6237000000000403</v>
      </c>
      <c r="AF901">
        <v>4.7593015547396202</v>
      </c>
      <c r="AG901">
        <v>-1.109162940631</v>
      </c>
      <c r="AH901">
        <v>24.322835957258398</v>
      </c>
      <c r="AI901">
        <v>92.562449128813697</v>
      </c>
      <c r="AJ901">
        <v>78.928695194328995</v>
      </c>
      <c r="AK901">
        <v>24.8089004738525</v>
      </c>
      <c r="AL901">
        <v>92.424506919123402</v>
      </c>
      <c r="AM901">
        <v>85.018057741644697</v>
      </c>
      <c r="AN901">
        <v>0.999999973404465</v>
      </c>
    </row>
    <row r="902" spans="1:40" x14ac:dyDescent="0.25">
      <c r="A902" t="str">
        <f>"20190312151516287"</f>
        <v>20190312151516287</v>
      </c>
      <c r="B902" t="str">
        <f>"1552374916278620"</f>
        <v>1552374916278620</v>
      </c>
      <c r="C902" t="s">
        <v>40</v>
      </c>
      <c r="D902">
        <v>4.9453290000000001</v>
      </c>
      <c r="E902">
        <v>0.53988210000000003</v>
      </c>
      <c r="F902" t="s">
        <v>43</v>
      </c>
      <c r="G902">
        <v>-227.49780000000001</v>
      </c>
      <c r="H902" s="1">
        <v>-2.1046460000000001E-6</v>
      </c>
      <c r="I902">
        <v>364.8544</v>
      </c>
      <c r="J902">
        <v>-252.1182</v>
      </c>
      <c r="K902">
        <v>1.1091530000000001</v>
      </c>
      <c r="L902">
        <v>369.54559999999998</v>
      </c>
      <c r="M902">
        <v>0.99987289999999995</v>
      </c>
      <c r="N902">
        <v>0</v>
      </c>
      <c r="O902">
        <v>5.760551E-3</v>
      </c>
      <c r="P902">
        <v>0.99504999999999999</v>
      </c>
      <c r="Q902">
        <v>-5.6882040000000002E-2</v>
      </c>
      <c r="R902">
        <v>-8.1489240000000004E-2</v>
      </c>
      <c r="S902">
        <v>2.961716</v>
      </c>
      <c r="T902">
        <v>-0.1323037</v>
      </c>
      <c r="U902">
        <v>-0.55944819999999995</v>
      </c>
      <c r="V902">
        <v>8.718679E-2</v>
      </c>
      <c r="W902">
        <v>-4.2149010000000001E-2</v>
      </c>
      <c r="X902">
        <v>0.99529990000000002</v>
      </c>
      <c r="Y902">
        <v>0.19107940000000001</v>
      </c>
      <c r="Z902">
        <v>-4.4834360000000004E-3</v>
      </c>
      <c r="AA902">
        <v>0.98156429999999995</v>
      </c>
      <c r="AB902">
        <v>37</v>
      </c>
      <c r="AC902">
        <v>24.620399999999901</v>
      </c>
      <c r="AD902">
        <v>-1.109155104646</v>
      </c>
      <c r="AE902">
        <v>-4.6911999999999798</v>
      </c>
      <c r="AF902">
        <v>4.82351840371114</v>
      </c>
      <c r="AG902">
        <v>-1.109155104646</v>
      </c>
      <c r="AH902">
        <v>24.544895249113999</v>
      </c>
      <c r="AI902">
        <v>92.538873932986704</v>
      </c>
      <c r="AJ902">
        <v>78.8820155072723</v>
      </c>
      <c r="AK902">
        <v>25.038938428517401</v>
      </c>
      <c r="AL902">
        <v>92.415676041819296</v>
      </c>
      <c r="AM902">
        <v>84.993754027890702</v>
      </c>
      <c r="AN902">
        <v>0.99999998316724703</v>
      </c>
    </row>
    <row r="903" spans="1:40" x14ac:dyDescent="0.25">
      <c r="A903" t="str">
        <f>"20190312151516299"</f>
        <v>20190312151516299</v>
      </c>
      <c r="B903" t="str">
        <f>"1552374916288380"</f>
        <v>1552374916288380</v>
      </c>
      <c r="C903" t="s">
        <v>40</v>
      </c>
      <c r="D903">
        <v>4.9510899999999998</v>
      </c>
      <c r="E903">
        <v>0.53992489999999904</v>
      </c>
      <c r="F903" t="s">
        <v>43</v>
      </c>
      <c r="G903">
        <v>-227.25620000000001</v>
      </c>
      <c r="H903" s="1">
        <v>-2.194311E-6</v>
      </c>
      <c r="I903">
        <v>364.82639999999998</v>
      </c>
      <c r="J903">
        <v>-251.93170000000001</v>
      </c>
      <c r="K903">
        <v>1.109146</v>
      </c>
      <c r="L903">
        <v>369.54649999999998</v>
      </c>
      <c r="M903">
        <v>0.99987369999999998</v>
      </c>
      <c r="N903">
        <v>0</v>
      </c>
      <c r="O903">
        <v>5.5903699999999999E-3</v>
      </c>
      <c r="P903">
        <v>0.99502239999999997</v>
      </c>
      <c r="Q903">
        <v>-5.666525E-2</v>
      </c>
      <c r="R903">
        <v>-8.1974489999999997E-2</v>
      </c>
      <c r="S903">
        <v>2.9613339999999999</v>
      </c>
      <c r="T903">
        <v>-0.1321118</v>
      </c>
      <c r="U903">
        <v>-0.56210329999999997</v>
      </c>
      <c r="V903">
        <v>8.7502220000000006E-2</v>
      </c>
      <c r="W903">
        <v>-4.1935569999999998E-2</v>
      </c>
      <c r="X903">
        <v>0.99528130000000004</v>
      </c>
      <c r="Y903">
        <v>0.19178490000000001</v>
      </c>
      <c r="Z903">
        <v>-4.4852030000000001E-3</v>
      </c>
      <c r="AA903">
        <v>0.98142669999999999</v>
      </c>
      <c r="AB903">
        <v>37</v>
      </c>
      <c r="AC903">
        <v>24.6755</v>
      </c>
      <c r="AD903">
        <v>-1.109148194311</v>
      </c>
      <c r="AE903">
        <v>-4.7201000000000004</v>
      </c>
      <c r="AF903">
        <v>4.84853626112334</v>
      </c>
      <c r="AG903">
        <v>-1.109148194311</v>
      </c>
      <c r="AH903">
        <v>24.6007742927513</v>
      </c>
      <c r="AI903">
        <v>92.532825339094899</v>
      </c>
      <c r="AJ903">
        <v>78.850542901854496</v>
      </c>
      <c r="AK903">
        <v>25.098537993183299</v>
      </c>
      <c r="AL903">
        <v>92.403435851451505</v>
      </c>
      <c r="AM903">
        <v>84.975641233787698</v>
      </c>
      <c r="AN903">
        <v>1.0000000483329201</v>
      </c>
    </row>
    <row r="904" spans="1:40" x14ac:dyDescent="0.25">
      <c r="A904" t="str">
        <f>"20190312151516312"</f>
        <v>20190312151516312</v>
      </c>
      <c r="B904" t="str">
        <f>"1552374916308876"</f>
        <v>1552374916308876</v>
      </c>
      <c r="C904" t="s">
        <v>40</v>
      </c>
      <c r="D904">
        <v>4.9315720000000001</v>
      </c>
      <c r="E904">
        <v>0.54010179999999997</v>
      </c>
      <c r="F904" t="s">
        <v>43</v>
      </c>
      <c r="G904">
        <v>-226.5984</v>
      </c>
      <c r="H904" s="1">
        <v>-2.445579E-6</v>
      </c>
      <c r="I904">
        <v>364.72329999999999</v>
      </c>
      <c r="J904">
        <v>-251.70910000000001</v>
      </c>
      <c r="K904">
        <v>1.1091420000000001</v>
      </c>
      <c r="L904">
        <v>369.54759999999999</v>
      </c>
      <c r="M904">
        <v>0.99987499999999996</v>
      </c>
      <c r="N904">
        <v>0</v>
      </c>
      <c r="O904">
        <v>5.3852020000000004E-3</v>
      </c>
      <c r="P904">
        <v>0.99494499999999997</v>
      </c>
      <c r="Q904">
        <v>-5.666877E-2</v>
      </c>
      <c r="R904">
        <v>-8.2906949999999993E-2</v>
      </c>
      <c r="S904">
        <v>2.961182</v>
      </c>
      <c r="T904">
        <v>-0.12964680000000001</v>
      </c>
      <c r="U904">
        <v>-0.56378169999999905</v>
      </c>
      <c r="V904">
        <v>8.8229619999999995E-2</v>
      </c>
      <c r="W904">
        <v>-4.1943920000000003E-2</v>
      </c>
      <c r="X904">
        <v>0.99521669999999995</v>
      </c>
      <c r="Y904">
        <v>0.19213649999999999</v>
      </c>
      <c r="Z904">
        <v>-4.4003100000000002E-3</v>
      </c>
      <c r="AA904">
        <v>0.98135830000000002</v>
      </c>
      <c r="AB904">
        <v>37</v>
      </c>
      <c r="AC904">
        <v>25.110700000000001</v>
      </c>
      <c r="AD904">
        <v>-1.109144445579</v>
      </c>
      <c r="AE904">
        <v>-4.8242999999999903</v>
      </c>
      <c r="AF904">
        <v>4.9501571659684904</v>
      </c>
      <c r="AG904">
        <v>-1.109144445579</v>
      </c>
      <c r="AH904">
        <v>25.037244115722299</v>
      </c>
      <c r="AI904">
        <v>92.488424467782096</v>
      </c>
      <c r="AJ904">
        <v>78.816187712843103</v>
      </c>
      <c r="AK904">
        <v>25.54599479917</v>
      </c>
      <c r="AL904">
        <v>92.403914762779095</v>
      </c>
      <c r="AM904">
        <v>84.933763410614205</v>
      </c>
      <c r="AN904">
        <v>1.0000000191145999</v>
      </c>
    </row>
    <row r="905" spans="1:40" x14ac:dyDescent="0.25">
      <c r="A905" t="str">
        <f>"20190312151516327"</f>
        <v>20190312151516327</v>
      </c>
      <c r="B905" t="str">
        <f>"1552374916318636"</f>
        <v>1552374916318636</v>
      </c>
      <c r="C905" t="s">
        <v>40</v>
      </c>
      <c r="D905">
        <v>4.880655</v>
      </c>
      <c r="E905">
        <v>0.54005419999999904</v>
      </c>
      <c r="F905" t="s">
        <v>43</v>
      </c>
      <c r="G905">
        <v>-226.8032</v>
      </c>
      <c r="H905" s="1">
        <v>-2.363978E-6</v>
      </c>
      <c r="I905">
        <v>364.76799999999997</v>
      </c>
      <c r="J905">
        <v>-251.46860000000001</v>
      </c>
      <c r="K905">
        <v>1.109137</v>
      </c>
      <c r="L905">
        <v>369.5487</v>
      </c>
      <c r="M905">
        <v>0.99987610000000005</v>
      </c>
      <c r="N905">
        <v>0</v>
      </c>
      <c r="O905">
        <v>5.1611549999999997E-3</v>
      </c>
      <c r="P905">
        <v>0.99491359999999995</v>
      </c>
      <c r="Q905">
        <v>-5.6357110000000002E-2</v>
      </c>
      <c r="R905">
        <v>-8.3489060000000004E-2</v>
      </c>
      <c r="S905">
        <v>2.9604029999999999</v>
      </c>
      <c r="T905">
        <v>-0.13183629999999999</v>
      </c>
      <c r="U905">
        <v>-0.56811519999999904</v>
      </c>
      <c r="V905">
        <v>8.8588929999999996E-2</v>
      </c>
      <c r="W905">
        <v>-4.1636140000000002E-2</v>
      </c>
      <c r="X905">
        <v>0.99519769999999996</v>
      </c>
      <c r="Y905">
        <v>0.1933426</v>
      </c>
      <c r="Z905">
        <v>-4.4918120000000004E-3</v>
      </c>
      <c r="AA905">
        <v>0.98112100000000002</v>
      </c>
      <c r="AB905">
        <v>37</v>
      </c>
      <c r="AC905">
        <v>24.665400000000002</v>
      </c>
      <c r="AD905">
        <v>-1.1091393639780001</v>
      </c>
      <c r="AE905">
        <v>-4.7806999999999604</v>
      </c>
      <c r="AF905">
        <v>4.8984060554318702</v>
      </c>
      <c r="AG905">
        <v>-1.1091393639780001</v>
      </c>
      <c r="AH905">
        <v>24.592467571497799</v>
      </c>
      <c r="AI905">
        <v>92.532649423849804</v>
      </c>
      <c r="AJ905">
        <v>78.735074552464795</v>
      </c>
      <c r="AK905">
        <v>25.1000803438513</v>
      </c>
      <c r="AL905">
        <v>92.386264860637596</v>
      </c>
      <c r="AM905">
        <v>84.913142877026601</v>
      </c>
      <c r="AN905">
        <v>1.00000001437896</v>
      </c>
    </row>
    <row r="906" spans="1:40" x14ac:dyDescent="0.25">
      <c r="A906" t="str">
        <f>"20190312151516344"</f>
        <v>20190312151516344</v>
      </c>
      <c r="B906" t="str">
        <f>"1552374916339132"</f>
        <v>1552374916339132</v>
      </c>
      <c r="C906" t="s">
        <v>40</v>
      </c>
      <c r="D906">
        <v>5.0949229999999996</v>
      </c>
      <c r="E906">
        <v>0.54027769999999897</v>
      </c>
      <c r="F906" t="s">
        <v>43</v>
      </c>
      <c r="G906">
        <v>-227.02969999999999</v>
      </c>
      <c r="H906" s="1">
        <v>-2.2655230000000002E-6</v>
      </c>
      <c r="I906">
        <v>364.84840000000003</v>
      </c>
      <c r="J906">
        <v>-251.1978</v>
      </c>
      <c r="K906">
        <v>1.1091359999999999</v>
      </c>
      <c r="L906">
        <v>369.5498</v>
      </c>
      <c r="M906">
        <v>0.99987749999999997</v>
      </c>
      <c r="N906">
        <v>0</v>
      </c>
      <c r="O906">
        <v>4.9073729999999996E-3</v>
      </c>
      <c r="P906">
        <v>0.99484159999999999</v>
      </c>
      <c r="Q906">
        <v>-5.6213909999999999E-2</v>
      </c>
      <c r="R906">
        <v>-8.4441020000000006E-2</v>
      </c>
      <c r="S906">
        <v>2.9599609999999998</v>
      </c>
      <c r="T906">
        <v>-0.1343346</v>
      </c>
      <c r="U906">
        <v>-0.56927490000000003</v>
      </c>
      <c r="V906">
        <v>8.9287619999999998E-2</v>
      </c>
      <c r="W906">
        <v>-4.1497880000000001E-2</v>
      </c>
      <c r="X906">
        <v>0.99514100000000005</v>
      </c>
      <c r="Y906">
        <v>0.1934843</v>
      </c>
      <c r="Z906">
        <v>-4.5691229999999996E-3</v>
      </c>
      <c r="AA906">
        <v>0.98109279999999999</v>
      </c>
      <c r="AB906">
        <v>37</v>
      </c>
      <c r="AC906">
        <v>24.168099999999999</v>
      </c>
      <c r="AD906">
        <v>-1.109138265523</v>
      </c>
      <c r="AE906">
        <v>-4.7013999999999703</v>
      </c>
      <c r="AF906">
        <v>4.8101968247292897</v>
      </c>
      <c r="AG906">
        <v>-1.109138265523</v>
      </c>
      <c r="AH906">
        <v>24.095836152646498</v>
      </c>
      <c r="AI906">
        <v>92.584556346781298</v>
      </c>
      <c r="AJ906">
        <v>78.7105786970303</v>
      </c>
      <c r="AK906">
        <v>24.596290392656201</v>
      </c>
      <c r="AL906">
        <v>92.378336371984403</v>
      </c>
      <c r="AM906">
        <v>84.872945881519598</v>
      </c>
      <c r="AN906">
        <v>0.99999998150537905</v>
      </c>
    </row>
    <row r="907" spans="1:40" x14ac:dyDescent="0.25">
      <c r="A907" t="str">
        <f>"20190312151516358"</f>
        <v>20190312151516358</v>
      </c>
      <c r="B907" t="str">
        <f>"1552374916348892"</f>
        <v>1552374916348892</v>
      </c>
      <c r="C907" t="s">
        <v>40</v>
      </c>
      <c r="D907">
        <v>4.9594430000000003</v>
      </c>
      <c r="E907">
        <v>0.54036899999999999</v>
      </c>
      <c r="F907" t="s">
        <v>43</v>
      </c>
      <c r="G907">
        <v>-227.4769</v>
      </c>
      <c r="H907" s="1">
        <v>-2.086299E-6</v>
      </c>
      <c r="I907">
        <v>364.95</v>
      </c>
      <c r="J907">
        <v>-250.95320000000001</v>
      </c>
      <c r="K907">
        <v>1.1091359999999999</v>
      </c>
      <c r="L907">
        <v>369.55090000000001</v>
      </c>
      <c r="M907">
        <v>0.99987870000000001</v>
      </c>
      <c r="N907">
        <v>0</v>
      </c>
      <c r="O907">
        <v>4.6776270000000002E-3</v>
      </c>
      <c r="P907">
        <v>0.99479569999999995</v>
      </c>
      <c r="Q907">
        <v>-5.6172859999999998E-2</v>
      </c>
      <c r="R907">
        <v>-8.5008169999999994E-2</v>
      </c>
      <c r="S907">
        <v>2.9590299999999998</v>
      </c>
      <c r="T907">
        <v>-0.13835729999999999</v>
      </c>
      <c r="U907">
        <v>-0.57379150000000001</v>
      </c>
      <c r="V907">
        <v>8.9625699999999905E-2</v>
      </c>
      <c r="W907">
        <v>-4.1460579999999997E-2</v>
      </c>
      <c r="X907">
        <v>0.9951122</v>
      </c>
      <c r="Y907">
        <v>0.19474649999999999</v>
      </c>
      <c r="Z907">
        <v>-4.7251630000000001E-3</v>
      </c>
      <c r="AA907">
        <v>0.9808422</v>
      </c>
      <c r="AB907">
        <v>37</v>
      </c>
      <c r="AC907">
        <v>23.476299999999998</v>
      </c>
      <c r="AD907">
        <v>-1.1091380862989999</v>
      </c>
      <c r="AE907">
        <v>-4.6009000000000198</v>
      </c>
      <c r="AF907">
        <v>4.7005711252505504</v>
      </c>
      <c r="AG907">
        <v>-1.1091380862989999</v>
      </c>
      <c r="AH907">
        <v>23.404211358426</v>
      </c>
      <c r="AI907">
        <v>92.6602031699897</v>
      </c>
      <c r="AJ907">
        <v>78.643634537208399</v>
      </c>
      <c r="AK907">
        <v>23.8973359500153</v>
      </c>
      <c r="AL907">
        <v>92.376197311272605</v>
      </c>
      <c r="AM907">
        <v>84.853488633672796</v>
      </c>
      <c r="AN907">
        <v>1.00000001819163</v>
      </c>
    </row>
    <row r="908" spans="1:40" x14ac:dyDescent="0.25">
      <c r="A908" t="str">
        <f>"20190312151516371"</f>
        <v>20190312151516371</v>
      </c>
      <c r="B908" t="str">
        <f>"1552374916369019"</f>
        <v>1552374916369019</v>
      </c>
      <c r="C908" t="s">
        <v>40</v>
      </c>
      <c r="D908">
        <v>4.9233840000000004</v>
      </c>
      <c r="E908">
        <v>0.54047449999999997</v>
      </c>
      <c r="F908" t="s">
        <v>43</v>
      </c>
      <c r="G908">
        <v>-227.74629999999999</v>
      </c>
      <c r="H908" s="1">
        <v>-1.9732009999999998E-6</v>
      </c>
      <c r="I908">
        <v>365.03050000000002</v>
      </c>
      <c r="J908">
        <v>-250.71459999999999</v>
      </c>
      <c r="K908">
        <v>1.109132</v>
      </c>
      <c r="L908">
        <v>369.55180000000001</v>
      </c>
      <c r="M908">
        <v>0.99987959999999998</v>
      </c>
      <c r="N908">
        <v>0</v>
      </c>
      <c r="O908">
        <v>4.4533719999999997E-3</v>
      </c>
      <c r="P908">
        <v>0.99475570000000002</v>
      </c>
      <c r="Q908">
        <v>-5.6084139999999998E-2</v>
      </c>
      <c r="R908">
        <v>-8.5531190000000007E-2</v>
      </c>
      <c r="S908">
        <v>2.95845</v>
      </c>
      <c r="T908">
        <v>-0.14139389999999999</v>
      </c>
      <c r="U908">
        <v>-0.57626339999999998</v>
      </c>
      <c r="V908">
        <v>8.9925469999999993E-2</v>
      </c>
      <c r="W908">
        <v>-4.1375380000000003E-2</v>
      </c>
      <c r="X908">
        <v>0.99508869999999905</v>
      </c>
      <c r="Y908">
        <v>0.1953423</v>
      </c>
      <c r="Z908">
        <v>-4.8327869999999998E-3</v>
      </c>
      <c r="AA908">
        <v>0.98072320000000002</v>
      </c>
      <c r="AB908">
        <v>37</v>
      </c>
      <c r="AC908">
        <v>22.968299999999999</v>
      </c>
      <c r="AD908">
        <v>-1.1091339732009999</v>
      </c>
      <c r="AE908">
        <v>-4.5212999999999903</v>
      </c>
      <c r="AF908">
        <v>4.6131966198920198</v>
      </c>
      <c r="AG908">
        <v>-1.1091339732009999</v>
      </c>
      <c r="AH908">
        <v>22.8965342220677</v>
      </c>
      <c r="AI908">
        <v>92.7187548894548</v>
      </c>
      <c r="AJ908">
        <v>78.608547493827501</v>
      </c>
      <c r="AK908">
        <v>23.382964752285201</v>
      </c>
      <c r="AL908">
        <v>92.371311522386307</v>
      </c>
      <c r="AM908">
        <v>84.836246774709707</v>
      </c>
      <c r="AN908">
        <v>1.0000000165462699</v>
      </c>
    </row>
    <row r="909" spans="1:40" x14ac:dyDescent="0.25">
      <c r="A909" t="str">
        <f>"20190312151516384"</f>
        <v>20190312151516384</v>
      </c>
      <c r="B909" t="str">
        <f>"1552374916378779"</f>
        <v>1552374916378779</v>
      </c>
      <c r="C909" t="s">
        <v>40</v>
      </c>
      <c r="D909">
        <v>5.0955399999999997</v>
      </c>
      <c r="E909">
        <v>0.54043229999999998</v>
      </c>
      <c r="F909" t="s">
        <v>43</v>
      </c>
      <c r="G909">
        <v>-228.1534</v>
      </c>
      <c r="H909" s="1">
        <v>-1.8053070000000001E-6</v>
      </c>
      <c r="I909">
        <v>365.14089999999999</v>
      </c>
      <c r="J909">
        <v>-250.512</v>
      </c>
      <c r="K909">
        <v>1.1091299999999999</v>
      </c>
      <c r="L909">
        <v>369.55250000000001</v>
      </c>
      <c r="M909">
        <v>0.99988060000000001</v>
      </c>
      <c r="N909">
        <v>0</v>
      </c>
      <c r="O909">
        <v>4.2624519999999999E-3</v>
      </c>
      <c r="P909">
        <v>0.9947397</v>
      </c>
      <c r="Q909">
        <v>-5.5837419999999999E-2</v>
      </c>
      <c r="R909">
        <v>-8.5882330000000007E-2</v>
      </c>
      <c r="S909">
        <v>2.9578700000000002</v>
      </c>
      <c r="T909">
        <v>-0.14541129999999999</v>
      </c>
      <c r="U909">
        <v>-0.57827759999999995</v>
      </c>
      <c r="V909">
        <v>9.0086440000000004E-2</v>
      </c>
      <c r="W909">
        <v>-4.1131279999999999E-2</v>
      </c>
      <c r="X909">
        <v>0.99508419999999997</v>
      </c>
      <c r="Y909">
        <v>0.19582140000000001</v>
      </c>
      <c r="Z909">
        <v>-4.9729359999999998E-3</v>
      </c>
      <c r="AA909">
        <v>0.98062700000000003</v>
      </c>
      <c r="AB909">
        <v>37</v>
      </c>
      <c r="AC909">
        <v>22.358599999999999</v>
      </c>
      <c r="AD909">
        <v>-1.1091318053069901</v>
      </c>
      <c r="AE909">
        <v>-4.4116000000000204</v>
      </c>
      <c r="AF909">
        <v>4.4962231737573797</v>
      </c>
      <c r="AG909">
        <v>-1.1091318053069901</v>
      </c>
      <c r="AH909">
        <v>22.2868022106707</v>
      </c>
      <c r="AI909">
        <v>92.792871678774802</v>
      </c>
      <c r="AJ909">
        <v>78.594032680884794</v>
      </c>
      <c r="AK909">
        <v>22.762858980526499</v>
      </c>
      <c r="AL909">
        <v>92.3573138472306</v>
      </c>
      <c r="AM909">
        <v>84.827030298579999</v>
      </c>
      <c r="AN909">
        <v>0.99999995697797495</v>
      </c>
    </row>
    <row r="910" spans="1:40" x14ac:dyDescent="0.25">
      <c r="A910" t="str">
        <f>"20190312151516398"</f>
        <v>20190312151516398</v>
      </c>
      <c r="B910" t="str">
        <f>"1552374916388540"</f>
        <v>1552374916388540</v>
      </c>
      <c r="C910" t="s">
        <v>40</v>
      </c>
      <c r="D910">
        <v>4.7219480000000003</v>
      </c>
      <c r="E910">
        <v>0.54043379999999996</v>
      </c>
      <c r="F910" t="s">
        <v>43</v>
      </c>
      <c r="G910">
        <v>-227.7011</v>
      </c>
      <c r="H910" s="1">
        <v>-1.9740399999999999E-6</v>
      </c>
      <c r="I910">
        <v>365.08510000000001</v>
      </c>
      <c r="J910">
        <v>-250.27940000000001</v>
      </c>
      <c r="K910">
        <v>1.1091329999999999</v>
      </c>
      <c r="L910">
        <v>369.55329999999998</v>
      </c>
      <c r="M910">
        <v>0.99988140000000003</v>
      </c>
      <c r="N910">
        <v>0</v>
      </c>
      <c r="O910">
        <v>4.0437609999999999E-3</v>
      </c>
      <c r="P910">
        <v>0.99472210000000005</v>
      </c>
      <c r="Q910">
        <v>-5.5678610000000003E-2</v>
      </c>
      <c r="R910">
        <v>-8.6188169999999995E-2</v>
      </c>
      <c r="S910">
        <v>2.9577789999999999</v>
      </c>
      <c r="T910">
        <v>-0.14381540000000001</v>
      </c>
      <c r="U910">
        <v>-0.57925419999999905</v>
      </c>
      <c r="V910">
        <v>9.0174679999999993E-2</v>
      </c>
      <c r="W910">
        <v>-4.0975360000000002E-2</v>
      </c>
      <c r="X910">
        <v>0.99508269999999999</v>
      </c>
      <c r="Y910">
        <v>0.19592970000000001</v>
      </c>
      <c r="Z910">
        <v>-4.9104939999999996E-3</v>
      </c>
      <c r="AA910">
        <v>0.98060570000000002</v>
      </c>
      <c r="AB910">
        <v>37</v>
      </c>
      <c r="AC910">
        <v>22.578299999999999</v>
      </c>
      <c r="AD910">
        <v>-1.1091349740399901</v>
      </c>
      <c r="AE910">
        <v>-4.4681999999999604</v>
      </c>
      <c r="AF910">
        <v>4.5489112425637996</v>
      </c>
      <c r="AG910">
        <v>-1.1091349740399901</v>
      </c>
      <c r="AH910">
        <v>22.507777136498898</v>
      </c>
      <c r="AI910">
        <v>92.765309760756693</v>
      </c>
      <c r="AJ910">
        <v>78.574202135961002</v>
      </c>
      <c r="AK910">
        <v>22.989623866206799</v>
      </c>
      <c r="AL910">
        <v>92.3483726114505</v>
      </c>
      <c r="AM910">
        <v>84.821983123282806</v>
      </c>
      <c r="AN910">
        <v>1.00000001643976</v>
      </c>
    </row>
    <row r="911" spans="1:40" x14ac:dyDescent="0.25">
      <c r="A911" t="str">
        <f>"20190312151516410"</f>
        <v>20190312151516410</v>
      </c>
      <c r="B911" t="str">
        <f>"1552374916398299"</f>
        <v>1552374916398299</v>
      </c>
      <c r="C911" t="s">
        <v>40</v>
      </c>
      <c r="D911">
        <v>4.8857160000000004</v>
      </c>
      <c r="E911">
        <v>0.54048649999999998</v>
      </c>
      <c r="F911" t="s">
        <v>43</v>
      </c>
      <c r="G911">
        <v>-227.26820000000001</v>
      </c>
      <c r="H911" s="1">
        <v>-2.133486E-6</v>
      </c>
      <c r="I911">
        <v>365.03960000000001</v>
      </c>
      <c r="J911">
        <v>-250.0917</v>
      </c>
      <c r="K911">
        <v>1.1091329999999999</v>
      </c>
      <c r="L911">
        <v>369.5539</v>
      </c>
      <c r="M911">
        <v>0.99988220000000005</v>
      </c>
      <c r="N911">
        <v>0</v>
      </c>
      <c r="O911">
        <v>3.8669199999999998E-3</v>
      </c>
      <c r="P911">
        <v>0.99469909999999995</v>
      </c>
      <c r="Q911">
        <v>-5.5564290000000002E-2</v>
      </c>
      <c r="R911">
        <v>-8.6525679999999994E-2</v>
      </c>
      <c r="S911">
        <v>2.957703</v>
      </c>
      <c r="T911">
        <v>-0.14255989999999999</v>
      </c>
      <c r="U911">
        <v>-0.58013919999999997</v>
      </c>
      <c r="V911">
        <v>9.0336390000000003E-2</v>
      </c>
      <c r="W911">
        <v>-4.0863549999999998E-2</v>
      </c>
      <c r="X911">
        <v>0.99507259999999997</v>
      </c>
      <c r="Y911">
        <v>0.19604759999999999</v>
      </c>
      <c r="Z911">
        <v>-4.8620319999999996E-3</v>
      </c>
      <c r="AA911">
        <v>0.98058230000000002</v>
      </c>
      <c r="AB911">
        <v>37</v>
      </c>
      <c r="AC911">
        <v>22.823499999999999</v>
      </c>
      <c r="AD911">
        <v>-1.109135133486</v>
      </c>
      <c r="AE911">
        <v>-4.5142999999999898</v>
      </c>
      <c r="AF911">
        <v>4.5920962673694001</v>
      </c>
      <c r="AG911">
        <v>-1.109135133486</v>
      </c>
      <c r="AH911">
        <v>22.754158063879402</v>
      </c>
      <c r="AI911">
        <v>92.735567191097402</v>
      </c>
      <c r="AJ911">
        <v>78.590192969655902</v>
      </c>
      <c r="AK911">
        <v>23.239389795541701</v>
      </c>
      <c r="AL911">
        <v>92.341961071311104</v>
      </c>
      <c r="AM911">
        <v>84.812695649082301</v>
      </c>
      <c r="AN911">
        <v>0.99999998617379704</v>
      </c>
    </row>
    <row r="912" spans="1:40" x14ac:dyDescent="0.25">
      <c r="A912" t="str">
        <f>"20190312151516421"</f>
        <v>20190312151516421</v>
      </c>
      <c r="B912" t="str">
        <f>"1552374916418794"</f>
        <v>1552374916418794</v>
      </c>
      <c r="C912" t="s">
        <v>40</v>
      </c>
      <c r="D912">
        <v>4.9146099999999997</v>
      </c>
      <c r="E912">
        <v>0.54052540000000004</v>
      </c>
      <c r="F912" t="s">
        <v>43</v>
      </c>
      <c r="G912">
        <v>-227.27600000000001</v>
      </c>
      <c r="H912" s="1">
        <v>-2.1235469999999999E-6</v>
      </c>
      <c r="I912">
        <v>365.06700000000001</v>
      </c>
      <c r="J912">
        <v>-249.90039999999999</v>
      </c>
      <c r="K912">
        <v>1.109135</v>
      </c>
      <c r="L912">
        <v>369.55450000000002</v>
      </c>
      <c r="M912">
        <v>0.99988299999999997</v>
      </c>
      <c r="N912">
        <v>0</v>
      </c>
      <c r="O912">
        <v>3.686744E-3</v>
      </c>
      <c r="P912">
        <v>0.99470510000000001</v>
      </c>
      <c r="Q912">
        <v>-5.5229569999999999E-2</v>
      </c>
      <c r="R912">
        <v>-8.667097E-2</v>
      </c>
      <c r="S912">
        <v>2.9573670000000001</v>
      </c>
      <c r="T912">
        <v>-0.143765</v>
      </c>
      <c r="U912">
        <v>-0.58157349999999997</v>
      </c>
      <c r="V912">
        <v>9.03027E-2</v>
      </c>
      <c r="W912">
        <v>-4.053081E-2</v>
      </c>
      <c r="X912">
        <v>0.99508929999999995</v>
      </c>
      <c r="Y912">
        <v>0.19634589999999999</v>
      </c>
      <c r="Z912">
        <v>-4.9019069999999996E-3</v>
      </c>
      <c r="AA912">
        <v>0.98052249999999996</v>
      </c>
      <c r="AB912">
        <v>37</v>
      </c>
      <c r="AC912">
        <v>22.624400000000001</v>
      </c>
      <c r="AD912">
        <v>-1.109137123547</v>
      </c>
      <c r="AE912">
        <v>-4.4875000000000602</v>
      </c>
      <c r="AF912">
        <v>4.5603438431132099</v>
      </c>
      <c r="AG912">
        <v>-1.109137123547</v>
      </c>
      <c r="AH912">
        <v>22.555543288309199</v>
      </c>
      <c r="AI912">
        <v>92.759425831343094</v>
      </c>
      <c r="AJ912">
        <v>78.5698608264603</v>
      </c>
      <c r="AK912">
        <v>23.038651309420001</v>
      </c>
      <c r="AL912">
        <v>92.322880588032206</v>
      </c>
      <c r="AM912">
        <v>84.814706200027999</v>
      </c>
      <c r="AN912">
        <v>1.0000000195805101</v>
      </c>
    </row>
    <row r="913" spans="1:40" x14ac:dyDescent="0.25">
      <c r="A913" t="str">
        <f>"20190312151516433"</f>
        <v>20190312151516433</v>
      </c>
      <c r="B913" t="str">
        <f>"1552374916428555"</f>
        <v>1552374916428555</v>
      </c>
      <c r="C913" t="s">
        <v>40</v>
      </c>
      <c r="D913">
        <v>4.8793340000000001</v>
      </c>
      <c r="E913">
        <v>0.54051349999999998</v>
      </c>
      <c r="F913" t="s">
        <v>43</v>
      </c>
      <c r="G913">
        <v>-227.56379999999999</v>
      </c>
      <c r="H913" s="1">
        <v>-2.0022009999999999E-6</v>
      </c>
      <c r="I913">
        <v>365.15499999999997</v>
      </c>
      <c r="J913">
        <v>-249.7045</v>
      </c>
      <c r="K913">
        <v>1.1091310000000001</v>
      </c>
      <c r="L913">
        <v>369.55509999999998</v>
      </c>
      <c r="M913">
        <v>0.99988359999999998</v>
      </c>
      <c r="N913">
        <v>0</v>
      </c>
      <c r="O913">
        <v>3.5024570000000001E-3</v>
      </c>
      <c r="P913">
        <v>0.99470400000000003</v>
      </c>
      <c r="Q913">
        <v>-5.4965739999999999E-2</v>
      </c>
      <c r="R913">
        <v>-8.6849560000000006E-2</v>
      </c>
      <c r="S913">
        <v>2.957077</v>
      </c>
      <c r="T913">
        <v>-0.1468344</v>
      </c>
      <c r="U913">
        <v>-0.58242799999999995</v>
      </c>
      <c r="V913">
        <v>9.0298160000000002E-2</v>
      </c>
      <c r="W913">
        <v>-4.026913E-2</v>
      </c>
      <c r="X913">
        <v>0.99510030000000005</v>
      </c>
      <c r="Y913">
        <v>0.19644639999999999</v>
      </c>
      <c r="Z913">
        <v>-5.0001919999999997E-3</v>
      </c>
      <c r="AA913">
        <v>0.98050179999999998</v>
      </c>
      <c r="AB913">
        <v>37</v>
      </c>
      <c r="AC913">
        <v>22.140699999999999</v>
      </c>
      <c r="AD913">
        <v>-1.109133002201</v>
      </c>
      <c r="AE913">
        <v>-4.4001000000000001</v>
      </c>
      <c r="AF913">
        <v>4.4668448257392699</v>
      </c>
      <c r="AG913">
        <v>-1.109133002201</v>
      </c>
      <c r="AH913">
        <v>22.071866767965901</v>
      </c>
      <c r="AI913">
        <v>92.819681698562604</v>
      </c>
      <c r="AJ913">
        <v>78.559157105454304</v>
      </c>
      <c r="AK913">
        <v>22.546622393091202</v>
      </c>
      <c r="AL913">
        <v>92.307875260735401</v>
      </c>
      <c r="AM913">
        <v>84.815022475296701</v>
      </c>
      <c r="AN913">
        <v>0.99999998379521604</v>
      </c>
    </row>
    <row r="914" spans="1:40" x14ac:dyDescent="0.25">
      <c r="A914" t="str">
        <f>"20190312151516444"</f>
        <v>20190312151516444</v>
      </c>
      <c r="B914" t="str">
        <f>"1552374916438315"</f>
        <v>1552374916438315</v>
      </c>
      <c r="C914" t="s">
        <v>40</v>
      </c>
      <c r="D914">
        <v>4.9836980000000004</v>
      </c>
      <c r="E914">
        <v>0.54044829999999999</v>
      </c>
      <c r="F914" t="s">
        <v>43</v>
      </c>
      <c r="G914">
        <v>-227.4179</v>
      </c>
      <c r="H914" s="1">
        <v>-2.0496120000000002E-6</v>
      </c>
      <c r="I914">
        <v>365.16340000000002</v>
      </c>
      <c r="J914">
        <v>-249.52119999999999</v>
      </c>
      <c r="K914">
        <v>1.1091310000000001</v>
      </c>
      <c r="L914">
        <v>369.55549999999999</v>
      </c>
      <c r="M914">
        <v>0.99988440000000001</v>
      </c>
      <c r="N914">
        <v>0</v>
      </c>
      <c r="O914">
        <v>3.3297980000000001E-3</v>
      </c>
      <c r="P914">
        <v>0.9947182</v>
      </c>
      <c r="Q914">
        <v>-5.4664869999999997E-2</v>
      </c>
      <c r="R914">
        <v>-8.6877270000000006E-2</v>
      </c>
      <c r="S914">
        <v>2.9569549999999998</v>
      </c>
      <c r="T914">
        <v>-0.14715739999999999</v>
      </c>
      <c r="U914">
        <v>-0.58267209999999903</v>
      </c>
      <c r="V914">
        <v>9.0154570000000003E-2</v>
      </c>
      <c r="W914">
        <v>-3.9969869999999998E-2</v>
      </c>
      <c r="X914">
        <v>0.99512540000000005</v>
      </c>
      <c r="Y914">
        <v>0.19636200000000001</v>
      </c>
      <c r="Z914">
        <v>-5.000755E-3</v>
      </c>
      <c r="AA914">
        <v>0.98051869999999997</v>
      </c>
      <c r="AB914">
        <v>37</v>
      </c>
      <c r="AC914">
        <v>22.103299999999901</v>
      </c>
      <c r="AD914">
        <v>-1.10913304961199</v>
      </c>
      <c r="AE914">
        <v>-4.3920999999999699</v>
      </c>
      <c r="AF914">
        <v>4.4548920125983598</v>
      </c>
      <c r="AG914">
        <v>-1.10913304961199</v>
      </c>
      <c r="AH914">
        <v>22.0351743613897</v>
      </c>
      <c r="AI914">
        <v>92.824482063200193</v>
      </c>
      <c r="AJ914">
        <v>78.570465767871596</v>
      </c>
      <c r="AK914">
        <v>22.508335080642901</v>
      </c>
      <c r="AL914">
        <v>92.290715073906</v>
      </c>
      <c r="AM914">
        <v>84.823352534112402</v>
      </c>
      <c r="AN914">
        <v>0.999999999362431</v>
      </c>
    </row>
    <row r="915" spans="1:40" x14ac:dyDescent="0.25">
      <c r="A915" t="str">
        <f>"20190312151516454"</f>
        <v>20190312151516454</v>
      </c>
      <c r="B915" t="str">
        <f>"1552374916449051"</f>
        <v>1552374916449051</v>
      </c>
      <c r="C915" t="s">
        <v>40</v>
      </c>
      <c r="D915">
        <v>4.930034</v>
      </c>
      <c r="E915">
        <v>0.54038199999999903</v>
      </c>
      <c r="F915" t="s">
        <v>43</v>
      </c>
      <c r="G915">
        <v>-227.0675</v>
      </c>
      <c r="H915" s="1">
        <v>-2.176101E-6</v>
      </c>
      <c r="I915">
        <v>365.1361</v>
      </c>
      <c r="J915">
        <v>-249.3467</v>
      </c>
      <c r="K915">
        <v>1.1091340000000001</v>
      </c>
      <c r="L915">
        <v>369.55590000000001</v>
      </c>
      <c r="M915">
        <v>0.99988489999999997</v>
      </c>
      <c r="N915">
        <v>0</v>
      </c>
      <c r="O915">
        <v>3.1655419999999999E-3</v>
      </c>
      <c r="P915">
        <v>0.99470309999999995</v>
      </c>
      <c r="Q915">
        <v>-5.476719E-2</v>
      </c>
      <c r="R915">
        <v>-8.698707E-2</v>
      </c>
      <c r="S915">
        <v>2.957077</v>
      </c>
      <c r="T915">
        <v>-0.14606820000000001</v>
      </c>
      <c r="U915">
        <v>-0.58200069999999904</v>
      </c>
      <c r="V915">
        <v>9.0100749999999993E-2</v>
      </c>
      <c r="W915">
        <v>-4.0074159999999998E-2</v>
      </c>
      <c r="X915">
        <v>0.99512610000000001</v>
      </c>
      <c r="Y915">
        <v>0.19598309999999999</v>
      </c>
      <c r="Z915">
        <v>-4.9463939999999998E-3</v>
      </c>
      <c r="AA915">
        <v>0.98059479999999999</v>
      </c>
      <c r="AB915">
        <v>37</v>
      </c>
      <c r="AC915">
        <v>22.279199999999999</v>
      </c>
      <c r="AD915">
        <v>-1.1091361761009999</v>
      </c>
      <c r="AE915">
        <v>-4.4198000000000004</v>
      </c>
      <c r="AF915">
        <v>4.4796294587386596</v>
      </c>
      <c r="AG915">
        <v>-1.1091361761009999</v>
      </c>
      <c r="AH915">
        <v>22.212129814141601</v>
      </c>
      <c r="AI915">
        <v>92.802294125921904</v>
      </c>
      <c r="AJ915">
        <v>78.597822575378999</v>
      </c>
      <c r="AK915">
        <v>22.686471167306099</v>
      </c>
      <c r="AL915">
        <v>92.296695196549905</v>
      </c>
      <c r="AM915">
        <v>84.826429706044806</v>
      </c>
      <c r="AN915">
        <v>1.0000000191757299</v>
      </c>
    </row>
    <row r="916" spans="1:40" x14ac:dyDescent="0.25">
      <c r="A916" t="str">
        <f>"20190312151516466"</f>
        <v>20190312151516466</v>
      </c>
      <c r="B916" t="str">
        <f>"1552374916458811"</f>
        <v>1552374916458811</v>
      </c>
      <c r="C916" t="s">
        <v>40</v>
      </c>
      <c r="D916">
        <v>4.9729320000000001</v>
      </c>
      <c r="E916">
        <v>0.540265</v>
      </c>
      <c r="F916" t="s">
        <v>43</v>
      </c>
      <c r="G916">
        <v>-226.63300000000001</v>
      </c>
      <c r="H916" s="1">
        <v>-2.3379979999999998E-6</v>
      </c>
      <c r="I916">
        <v>365.08339999999998</v>
      </c>
      <c r="J916">
        <v>-249.1508</v>
      </c>
      <c r="K916">
        <v>1.109138</v>
      </c>
      <c r="L916">
        <v>369.5564</v>
      </c>
      <c r="M916">
        <v>0.99988529999999998</v>
      </c>
      <c r="N916">
        <v>0</v>
      </c>
      <c r="O916">
        <v>2.9814429999999999E-3</v>
      </c>
      <c r="P916">
        <v>0.99470080000000005</v>
      </c>
      <c r="Q916">
        <v>-5.4599719999999997E-2</v>
      </c>
      <c r="R916">
        <v>-8.7115730000000002E-2</v>
      </c>
      <c r="S916">
        <v>2.9571079999999998</v>
      </c>
      <c r="T916">
        <v>-0.14439850000000001</v>
      </c>
      <c r="U916">
        <v>-0.5822754</v>
      </c>
      <c r="V916">
        <v>9.004645E-2</v>
      </c>
      <c r="W916">
        <v>-3.990871E-2</v>
      </c>
      <c r="X916">
        <v>0.99513759999999996</v>
      </c>
      <c r="Y916">
        <v>0.19589390000000001</v>
      </c>
      <c r="Z916">
        <v>-4.8787659999999997E-3</v>
      </c>
      <c r="AA916">
        <v>0.98061290000000001</v>
      </c>
      <c r="AB916">
        <v>37</v>
      </c>
      <c r="AC916">
        <v>22.517800000000001</v>
      </c>
      <c r="AD916">
        <v>-1.1091403379979901</v>
      </c>
      <c r="AE916">
        <v>-4.4730000000000096</v>
      </c>
      <c r="AF916">
        <v>4.5295507703712197</v>
      </c>
      <c r="AG916">
        <v>-1.1091403379979901</v>
      </c>
      <c r="AH916">
        <v>22.451958008422</v>
      </c>
      <c r="AI916">
        <v>92.772380677939907</v>
      </c>
      <c r="AJ916">
        <v>78.594011970850403</v>
      </c>
      <c r="AK916">
        <v>22.9311456513339</v>
      </c>
      <c r="AL916">
        <v>92.287208165933393</v>
      </c>
      <c r="AM916">
        <v>84.829590125510506</v>
      </c>
      <c r="AN916">
        <v>0.99999995561261201</v>
      </c>
    </row>
    <row r="917" spans="1:40" x14ac:dyDescent="0.25">
      <c r="A917" t="str">
        <f>"20190312151516478"</f>
        <v>20190312151516478</v>
      </c>
      <c r="B917" t="str">
        <f>"1552374916469091"</f>
        <v>1552374916469091</v>
      </c>
      <c r="C917" t="s">
        <v>40</v>
      </c>
      <c r="D917">
        <v>4.9113740000000004</v>
      </c>
      <c r="E917">
        <v>0.54020550000000001</v>
      </c>
      <c r="F917" t="s">
        <v>43</v>
      </c>
      <c r="G917">
        <v>-226.44300000000001</v>
      </c>
      <c r="H917" s="1">
        <v>-2.4009059999999999E-6</v>
      </c>
      <c r="I917">
        <v>365.0899</v>
      </c>
      <c r="J917">
        <v>-248.9615</v>
      </c>
      <c r="K917">
        <v>1.109137</v>
      </c>
      <c r="L917">
        <v>369.55680000000001</v>
      </c>
      <c r="M917">
        <v>0.99988589999999999</v>
      </c>
      <c r="N917">
        <v>0</v>
      </c>
      <c r="O917">
        <v>2.803186E-3</v>
      </c>
      <c r="P917">
        <v>0.99471120000000002</v>
      </c>
      <c r="Q917">
        <v>-5.4273370000000001E-2</v>
      </c>
      <c r="R917">
        <v>-8.7201409999999993E-2</v>
      </c>
      <c r="S917">
        <v>2.9571079999999998</v>
      </c>
      <c r="T917">
        <v>-0.14443639999999999</v>
      </c>
      <c r="U917">
        <v>-0.58163450000000005</v>
      </c>
      <c r="V917">
        <v>8.9955080000000007E-2</v>
      </c>
      <c r="W917">
        <v>-3.9584059999999997E-2</v>
      </c>
      <c r="X917">
        <v>0.99515889999999996</v>
      </c>
      <c r="Y917">
        <v>0.19551499999999999</v>
      </c>
      <c r="Z917">
        <v>-4.8623640000000001E-3</v>
      </c>
      <c r="AA917">
        <v>0.98068860000000002</v>
      </c>
      <c r="AB917">
        <v>37</v>
      </c>
      <c r="AC917">
        <v>22.5185</v>
      </c>
      <c r="AD917">
        <v>-1.1091394009060001</v>
      </c>
      <c r="AE917">
        <v>-4.4669000000000096</v>
      </c>
      <c r="AF917">
        <v>4.5194637611639799</v>
      </c>
      <c r="AG917">
        <v>-1.1091394009060001</v>
      </c>
      <c r="AH917">
        <v>22.453478403736199</v>
      </c>
      <c r="AI917">
        <v>92.7724390293657</v>
      </c>
      <c r="AJ917">
        <v>78.619499278033402</v>
      </c>
      <c r="AK917">
        <v>22.930644023362401</v>
      </c>
      <c r="AL917">
        <v>92.268592221984704</v>
      </c>
      <c r="AM917">
        <v>84.834918095601694</v>
      </c>
      <c r="AN917">
        <v>1.00000002523654</v>
      </c>
    </row>
    <row r="918" spans="1:40" x14ac:dyDescent="0.25">
      <c r="A918" t="str">
        <f>"20190312151516544"</f>
        <v>20190312151516544</v>
      </c>
      <c r="B918" t="str">
        <f>"1552374916538356"</f>
        <v>1552374916538356</v>
      </c>
      <c r="C918" t="s">
        <v>40</v>
      </c>
      <c r="D918">
        <v>5.4414619999999996</v>
      </c>
      <c r="E918">
        <v>0.54054469999999899</v>
      </c>
      <c r="F918" t="s">
        <v>43</v>
      </c>
      <c r="G918">
        <v>-226.1927</v>
      </c>
      <c r="H918" s="1">
        <v>-2.4883910000000001E-6</v>
      </c>
      <c r="I918">
        <v>365.08120000000002</v>
      </c>
      <c r="J918">
        <v>-247.87440000000001</v>
      </c>
      <c r="K918">
        <v>1.1091530000000001</v>
      </c>
      <c r="L918">
        <v>369.55849999999998</v>
      </c>
      <c r="M918">
        <v>0.99988840000000001</v>
      </c>
      <c r="N918">
        <v>0</v>
      </c>
      <c r="O918">
        <v>1.780575E-3</v>
      </c>
      <c r="P918">
        <v>0.99467709999999998</v>
      </c>
      <c r="Q918">
        <v>-5.3428150000000001E-2</v>
      </c>
      <c r="R918">
        <v>-8.810801E-2</v>
      </c>
      <c r="S918">
        <v>2.9571529999999999</v>
      </c>
      <c r="T918">
        <v>-0.14405190000000001</v>
      </c>
      <c r="U918">
        <v>-0.58126829999999996</v>
      </c>
      <c r="V918">
        <v>8.9845030000000006E-2</v>
      </c>
      <c r="W918">
        <v>-3.874971E-2</v>
      </c>
      <c r="X918">
        <v>0.99520160000000002</v>
      </c>
      <c r="Y918">
        <v>0.19439580000000001</v>
      </c>
      <c r="Z918">
        <v>-4.773111E-3</v>
      </c>
      <c r="AA918">
        <v>0.98091159999999999</v>
      </c>
      <c r="AB918">
        <v>37</v>
      </c>
      <c r="AC918">
        <v>21.681699999999999</v>
      </c>
      <c r="AD918">
        <v>-1.109155488391</v>
      </c>
      <c r="AE918">
        <v>-4.4772999999999499</v>
      </c>
      <c r="AF918">
        <v>4.5045967917506404</v>
      </c>
      <c r="AG918">
        <v>-1.109155488391</v>
      </c>
      <c r="AH918">
        <v>21.619429192053001</v>
      </c>
      <c r="AI918">
        <v>92.875264927909996</v>
      </c>
      <c r="AJ918">
        <v>78.230316528227405</v>
      </c>
      <c r="AK918">
        <v>22.111565678257001</v>
      </c>
      <c r="AL918">
        <v>92.220750952354905</v>
      </c>
      <c r="AM918">
        <v>84.8414230290348</v>
      </c>
      <c r="AN918">
        <v>0.99999994704167094</v>
      </c>
    </row>
    <row r="919" spans="1:40" x14ac:dyDescent="0.25">
      <c r="A919" t="str">
        <f>"20190312151516576"</f>
        <v>20190312151516576</v>
      </c>
      <c r="B919" t="str">
        <f>"1552374916568612"</f>
        <v>1552374916568612</v>
      </c>
      <c r="C919" t="s">
        <v>40</v>
      </c>
      <c r="D919">
        <v>4.9084409999999998</v>
      </c>
      <c r="E919">
        <v>0.54754099999999895</v>
      </c>
      <c r="F919" t="s">
        <v>43</v>
      </c>
      <c r="G919">
        <v>-224.3563</v>
      </c>
      <c r="H919" s="1">
        <v>-3.2417010000000001E-6</v>
      </c>
      <c r="I919">
        <v>364.89080000000001</v>
      </c>
      <c r="J919">
        <v>-247.339</v>
      </c>
      <c r="K919">
        <v>1.1091599999999999</v>
      </c>
      <c r="L919">
        <v>369.55889999999999</v>
      </c>
      <c r="M919">
        <v>0.99988929999999998</v>
      </c>
      <c r="N919">
        <v>0</v>
      </c>
      <c r="O919">
        <v>1.276756E-3</v>
      </c>
      <c r="P919">
        <v>0.99458690000000005</v>
      </c>
      <c r="Q919">
        <v>-5.2805030000000003E-2</v>
      </c>
      <c r="R919">
        <v>-8.9489410000000005E-2</v>
      </c>
      <c r="S919">
        <v>2.956604</v>
      </c>
      <c r="T919">
        <v>-0.13943800000000001</v>
      </c>
      <c r="U919">
        <v>-0.58679199999999998</v>
      </c>
      <c r="V919">
        <v>9.0726000000000001E-2</v>
      </c>
      <c r="W919">
        <v>-3.8133920000000002E-2</v>
      </c>
      <c r="X919">
        <v>0.99514550000000002</v>
      </c>
      <c r="Y919">
        <v>0.1957129</v>
      </c>
      <c r="Z919">
        <v>-4.6276319999999996E-3</v>
      </c>
      <c r="AA919">
        <v>0.98065029999999997</v>
      </c>
      <c r="AB919">
        <v>37</v>
      </c>
      <c r="AC919">
        <v>22.982700000000001</v>
      </c>
      <c r="AD919">
        <v>-1.109163241701</v>
      </c>
      <c r="AE919">
        <v>-4.6680999999999804</v>
      </c>
      <c r="AF919">
        <v>4.6869588206072299</v>
      </c>
      <c r="AG919">
        <v>-1.109163241701</v>
      </c>
      <c r="AH919">
        <v>22.925440424926801</v>
      </c>
      <c r="AI919">
        <v>92.7138377456141</v>
      </c>
      <c r="AJ919">
        <v>78.445472596766507</v>
      </c>
      <c r="AK919">
        <v>23.425918226606999</v>
      </c>
      <c r="AL919">
        <v>92.185442601392296</v>
      </c>
      <c r="AM919">
        <v>84.790825795193996</v>
      </c>
      <c r="AN919">
        <v>0.99999998455040795</v>
      </c>
    </row>
    <row r="920" spans="1:40" x14ac:dyDescent="0.25">
      <c r="A920" t="str">
        <f>"20190312151516588"</f>
        <v>20190312151516588</v>
      </c>
      <c r="B920" t="str">
        <f>"1552374916578879"</f>
        <v>1552374916578879</v>
      </c>
      <c r="C920" t="s">
        <v>40</v>
      </c>
      <c r="D920">
        <v>4.8537379999999999</v>
      </c>
      <c r="E920">
        <v>0.54892919999999901</v>
      </c>
      <c r="F920" t="s">
        <v>42</v>
      </c>
      <c r="G920">
        <v>-160.47059999999999</v>
      </c>
      <c r="H920">
        <v>-0.05</v>
      </c>
      <c r="I920">
        <v>350.52440000000001</v>
      </c>
      <c r="J920">
        <v>-247.14830000000001</v>
      </c>
      <c r="K920">
        <v>1.1091629999999999</v>
      </c>
      <c r="L920">
        <v>369.55900000000003</v>
      </c>
      <c r="M920">
        <v>0.99988960000000005</v>
      </c>
      <c r="N920">
        <v>0</v>
      </c>
      <c r="O920">
        <v>1.096901E-3</v>
      </c>
      <c r="P920">
        <v>0.99456699999999998</v>
      </c>
      <c r="Q920">
        <v>-5.2356270000000003E-2</v>
      </c>
      <c r="R920">
        <v>-8.9976310000000004E-2</v>
      </c>
      <c r="S920">
        <v>2.9559630000000001</v>
      </c>
      <c r="T920">
        <v>-3.9443970000000002E-2</v>
      </c>
      <c r="U920">
        <v>-0.64770509999999903</v>
      </c>
      <c r="V920">
        <v>9.1034260000000006E-2</v>
      </c>
      <c r="W920">
        <v>-3.7687569999999997E-2</v>
      </c>
      <c r="X920">
        <v>0.99513439999999997</v>
      </c>
      <c r="Y920">
        <v>0.21509320000000001</v>
      </c>
      <c r="Z920">
        <v>-1.4326689999999999E-3</v>
      </c>
      <c r="AA920">
        <v>0.97659249999999997</v>
      </c>
      <c r="AB920">
        <v>37</v>
      </c>
      <c r="AC920">
        <v>86.677700000000002</v>
      </c>
      <c r="AD920">
        <v>-1.1591629999999999</v>
      </c>
      <c r="AE920">
        <v>-19.034600000000001</v>
      </c>
      <c r="AF920">
        <v>19.126412570798401</v>
      </c>
      <c r="AG920">
        <v>-1.1591629999999999</v>
      </c>
      <c r="AH920">
        <v>86.641983971358201</v>
      </c>
      <c r="AI920">
        <v>90.748482896474798</v>
      </c>
      <c r="AJ920">
        <v>77.551477200882303</v>
      </c>
      <c r="AK920">
        <v>88.735543629269898</v>
      </c>
      <c r="AL920">
        <v>92.159850130012302</v>
      </c>
      <c r="AM920">
        <v>84.773166456849395</v>
      </c>
      <c r="AN920">
        <v>1.0000000317447999</v>
      </c>
    </row>
    <row r="921" spans="1:40" x14ac:dyDescent="0.25">
      <c r="A921" t="str">
        <f>"20190312151516599"</f>
        <v>20190312151516599</v>
      </c>
      <c r="B921" t="str">
        <f>"1552374916588639"</f>
        <v>1552374916588639</v>
      </c>
      <c r="C921" t="s">
        <v>40</v>
      </c>
      <c r="D921">
        <v>4.9103500000000002</v>
      </c>
      <c r="E921">
        <v>0.54727369999999897</v>
      </c>
      <c r="F921" t="s">
        <v>45</v>
      </c>
      <c r="G921">
        <v>-187.6327</v>
      </c>
      <c r="H921" s="1">
        <v>-3.8692680000000003E-6</v>
      </c>
      <c r="I921">
        <v>356.26130000000001</v>
      </c>
      <c r="J921">
        <v>-246.96969999999999</v>
      </c>
      <c r="K921">
        <v>1.1091599999999999</v>
      </c>
      <c r="L921">
        <v>369.55900000000003</v>
      </c>
      <c r="M921">
        <v>0.99988980000000005</v>
      </c>
      <c r="N921">
        <v>0</v>
      </c>
      <c r="O921">
        <v>9.2842830000000002E-4</v>
      </c>
      <c r="P921">
        <v>0.99454560000000003</v>
      </c>
      <c r="Q921">
        <v>-5.192567E-2</v>
      </c>
      <c r="R921">
        <v>-9.0459849999999994E-2</v>
      </c>
      <c r="S921">
        <v>2.9537960000000001</v>
      </c>
      <c r="T921">
        <v>-5.504858E-2</v>
      </c>
      <c r="U921">
        <v>-0.65997309999999998</v>
      </c>
      <c r="V921">
        <v>9.1350730000000005E-2</v>
      </c>
      <c r="W921">
        <v>-3.7259300000000002E-2</v>
      </c>
      <c r="X921">
        <v>0.99512149999999999</v>
      </c>
      <c r="Y921">
        <v>0.21892529999999999</v>
      </c>
      <c r="Z921">
        <v>-2.0320870000000001E-3</v>
      </c>
      <c r="AA921">
        <v>0.97573949999999998</v>
      </c>
      <c r="AB921">
        <v>37</v>
      </c>
      <c r="AC921">
        <v>59.336999999999897</v>
      </c>
      <c r="AD921">
        <v>-1.1091638692679999</v>
      </c>
      <c r="AE921">
        <v>-13.297700000000001</v>
      </c>
      <c r="AF921">
        <v>13.3483494085826</v>
      </c>
      <c r="AG921">
        <v>-1.1091638692679999</v>
      </c>
      <c r="AH921">
        <v>59.304896094319403</v>
      </c>
      <c r="AI921">
        <v>91.045317679320704</v>
      </c>
      <c r="AJ921">
        <v>77.315250664662102</v>
      </c>
      <c r="AK921">
        <v>60.798679074306499</v>
      </c>
      <c r="AL921">
        <v>92.1352948760468</v>
      </c>
      <c r="AM921">
        <v>84.755029532264302</v>
      </c>
      <c r="AN921">
        <v>1.0000000055351299</v>
      </c>
    </row>
    <row r="922" spans="1:40" x14ac:dyDescent="0.25">
      <c r="A922" t="str">
        <f>"20190312151516611"</f>
        <v>20190312151516611</v>
      </c>
      <c r="B922" t="str">
        <f>"1552374916608159"</f>
        <v>1552374916608159</v>
      </c>
      <c r="C922" t="s">
        <v>40</v>
      </c>
      <c r="D922">
        <v>4.8865669999999897</v>
      </c>
      <c r="E922">
        <v>0.54689690000000002</v>
      </c>
      <c r="F922" t="s">
        <v>43</v>
      </c>
      <c r="G922">
        <v>-212.01410000000001</v>
      </c>
      <c r="H922" s="1">
        <v>-4.778167E-6</v>
      </c>
      <c r="I922">
        <v>361.89359999999999</v>
      </c>
      <c r="J922">
        <v>-246.7696</v>
      </c>
      <c r="K922">
        <v>1.1091610000000001</v>
      </c>
      <c r="L922">
        <v>369.5591</v>
      </c>
      <c r="M922">
        <v>0.9998901</v>
      </c>
      <c r="N922">
        <v>0</v>
      </c>
      <c r="O922">
        <v>7.3969420000000001E-4</v>
      </c>
      <c r="P922">
        <v>0.99453469999999999</v>
      </c>
      <c r="Q922">
        <v>-5.1146329999999997E-2</v>
      </c>
      <c r="R922">
        <v>-9.1023740000000006E-2</v>
      </c>
      <c r="S922">
        <v>2.9526669999999999</v>
      </c>
      <c r="T922">
        <v>-9.3689919999999996E-2</v>
      </c>
      <c r="U922">
        <v>-0.6474915</v>
      </c>
      <c r="V922">
        <v>9.1727470000000005E-2</v>
      </c>
      <c r="W922">
        <v>-3.6482380000000002E-2</v>
      </c>
      <c r="X922">
        <v>0.99511559999999999</v>
      </c>
      <c r="Y922">
        <v>0.2148196</v>
      </c>
      <c r="Z922">
        <v>-3.3905369999999999E-3</v>
      </c>
      <c r="AA922">
        <v>0.97664790000000001</v>
      </c>
      <c r="AB922">
        <v>37</v>
      </c>
      <c r="AC922">
        <v>34.755499999999898</v>
      </c>
      <c r="AD922">
        <v>-1.1091657781669999</v>
      </c>
      <c r="AE922">
        <v>-7.6654999999999998</v>
      </c>
      <c r="AF922">
        <v>7.6837465556634204</v>
      </c>
      <c r="AG922">
        <v>-1.1091657781669999</v>
      </c>
      <c r="AH922">
        <v>34.716102773945899</v>
      </c>
      <c r="AI922">
        <v>91.7867433993991</v>
      </c>
      <c r="AJ922">
        <v>77.519866773788493</v>
      </c>
      <c r="AK922">
        <v>35.573557618915501</v>
      </c>
      <c r="AL922">
        <v>92.090750413321501</v>
      </c>
      <c r="AM922">
        <v>84.733489057459494</v>
      </c>
      <c r="AN922">
        <v>0.99999997508321203</v>
      </c>
    </row>
    <row r="923" spans="1:40" x14ac:dyDescent="0.25">
      <c r="A923" t="str">
        <f>"20190312151516621"</f>
        <v>20190312151516621</v>
      </c>
      <c r="B923" t="str">
        <f>"1552374916618894"</f>
        <v>1552374916618894</v>
      </c>
      <c r="C923" t="s">
        <v>40</v>
      </c>
      <c r="D923">
        <v>4.895257</v>
      </c>
      <c r="E923">
        <v>0.54664409999999997</v>
      </c>
      <c r="F923" t="s">
        <v>43</v>
      </c>
      <c r="G923">
        <v>-217.67269999999999</v>
      </c>
      <c r="H923" s="1">
        <v>-2.4874600000000001E-6</v>
      </c>
      <c r="I923">
        <v>363.19200000000001</v>
      </c>
      <c r="J923">
        <v>-246.60220000000001</v>
      </c>
      <c r="K923">
        <v>1.1091660000000001</v>
      </c>
      <c r="L923">
        <v>369.55900000000003</v>
      </c>
      <c r="M923">
        <v>0.99988999999999995</v>
      </c>
      <c r="N923">
        <v>0</v>
      </c>
      <c r="O923">
        <v>5.8200899999999998E-4</v>
      </c>
      <c r="P923">
        <v>0.99452189999999996</v>
      </c>
      <c r="Q923">
        <v>-5.0662180000000001E-2</v>
      </c>
      <c r="R923">
        <v>-9.1430659999999997E-2</v>
      </c>
      <c r="S923">
        <v>2.9515989999999999</v>
      </c>
      <c r="T923">
        <v>-0.1125135</v>
      </c>
      <c r="U923">
        <v>-0.64587399999999995</v>
      </c>
      <c r="V923">
        <v>9.1978089999999998E-2</v>
      </c>
      <c r="W923">
        <v>-3.6000249999999998E-2</v>
      </c>
      <c r="X923">
        <v>0.99511000000000005</v>
      </c>
      <c r="Y923">
        <v>0.2141835</v>
      </c>
      <c r="Z923">
        <v>-4.0550630000000002E-3</v>
      </c>
      <c r="AA923">
        <v>0.97678500000000001</v>
      </c>
      <c r="AB923">
        <v>37</v>
      </c>
      <c r="AC923">
        <v>28.929500000000001</v>
      </c>
      <c r="AD923">
        <v>-1.1091684874600001</v>
      </c>
      <c r="AE923">
        <v>-6.3670000000000702</v>
      </c>
      <c r="AF923">
        <v>6.3748999306131804</v>
      </c>
      <c r="AG923">
        <v>-1.1091684874600001</v>
      </c>
      <c r="AH923">
        <v>28.885289780757699</v>
      </c>
      <c r="AI923">
        <v>92.147399669363693</v>
      </c>
      <c r="AJ923">
        <v>77.554489596618893</v>
      </c>
      <c r="AK923">
        <v>29.601175138451001</v>
      </c>
      <c r="AL923">
        <v>92.063108291810593</v>
      </c>
      <c r="AM923">
        <v>84.719151461706801</v>
      </c>
      <c r="AN923">
        <v>0.999999949570054</v>
      </c>
    </row>
    <row r="924" spans="1:40" x14ac:dyDescent="0.25">
      <c r="A924" t="str">
        <f>"20190312151516633"</f>
        <v>20190312151516633</v>
      </c>
      <c r="B924" t="str">
        <f>"1552374916628655"</f>
        <v>1552374916628655</v>
      </c>
      <c r="C924" t="s">
        <v>40</v>
      </c>
      <c r="D924">
        <v>4.9548639999999997</v>
      </c>
      <c r="E924">
        <v>0.54646380000000006</v>
      </c>
      <c r="F924" t="s">
        <v>43</v>
      </c>
      <c r="G924">
        <v>-218.96520000000001</v>
      </c>
      <c r="H924" s="1">
        <v>-1.9605620000000001E-6</v>
      </c>
      <c r="I924">
        <v>363.51909999999998</v>
      </c>
      <c r="J924">
        <v>-246.41409999999999</v>
      </c>
      <c r="K924">
        <v>1.10917</v>
      </c>
      <c r="L924">
        <v>369.55900000000003</v>
      </c>
      <c r="M924">
        <v>0.9998901</v>
      </c>
      <c r="N924">
        <v>0</v>
      </c>
      <c r="O924">
        <v>4.0453860000000001E-4</v>
      </c>
      <c r="P924">
        <v>0.99451699999999998</v>
      </c>
      <c r="Q924">
        <v>-5.0044989999999998E-2</v>
      </c>
      <c r="R924">
        <v>-9.1822669999999995E-2</v>
      </c>
      <c r="S924">
        <v>2.951187</v>
      </c>
      <c r="T924">
        <v>-0.118441</v>
      </c>
      <c r="U924">
        <v>-0.64495849999999999</v>
      </c>
      <c r="V924">
        <v>9.2194239999999997E-2</v>
      </c>
      <c r="W924">
        <v>-3.5385119999999999E-2</v>
      </c>
      <c r="X924">
        <v>0.99511210000000005</v>
      </c>
      <c r="Y924">
        <v>0.2137337</v>
      </c>
      <c r="Z924">
        <v>-4.2532960000000002E-3</v>
      </c>
      <c r="AA924">
        <v>0.97688269999999999</v>
      </c>
      <c r="AB924">
        <v>37</v>
      </c>
      <c r="AC924">
        <v>27.448899999999899</v>
      </c>
      <c r="AD924">
        <v>-1.1091719605620001</v>
      </c>
      <c r="AE924">
        <v>-6.0399000000000402</v>
      </c>
      <c r="AF924">
        <v>6.04159540014874</v>
      </c>
      <c r="AG924">
        <v>-1.1091719605620001</v>
      </c>
      <c r="AH924">
        <v>27.403774186357101</v>
      </c>
      <c r="AI924">
        <v>92.263492827415405</v>
      </c>
      <c r="AJ924">
        <v>77.567126872766494</v>
      </c>
      <c r="AK924">
        <v>28.083767145346599</v>
      </c>
      <c r="AL924">
        <v>92.0278413869232</v>
      </c>
      <c r="AM924">
        <v>84.706822897768205</v>
      </c>
      <c r="AN924">
        <v>0.99999998808650004</v>
      </c>
    </row>
    <row r="925" spans="1:40" x14ac:dyDescent="0.25">
      <c r="A925" t="str">
        <f>"20190312151516644"</f>
        <v>20190312151516644</v>
      </c>
      <c r="B925" t="str">
        <f>"1552374916638415"</f>
        <v>1552374916638415</v>
      </c>
      <c r="C925" t="s">
        <v>40</v>
      </c>
      <c r="D925">
        <v>4.9426949999999996</v>
      </c>
      <c r="E925">
        <v>0.54635500000000004</v>
      </c>
      <c r="F925" t="s">
        <v>43</v>
      </c>
      <c r="G925">
        <v>-220.0128</v>
      </c>
      <c r="H925" s="1">
        <v>-5.3003709999999999E-6</v>
      </c>
      <c r="I925">
        <v>363.78960000000001</v>
      </c>
      <c r="J925">
        <v>-246.22829999999999</v>
      </c>
      <c r="K925">
        <v>1.109175</v>
      </c>
      <c r="L925">
        <v>369.55889999999999</v>
      </c>
      <c r="M925">
        <v>0.99989030000000001</v>
      </c>
      <c r="N925">
        <v>0</v>
      </c>
      <c r="O925">
        <v>2.2909420000000001E-4</v>
      </c>
      <c r="P925">
        <v>0.99449460000000001</v>
      </c>
      <c r="Q925">
        <v>-4.951498E-2</v>
      </c>
      <c r="R925">
        <v>-9.2351849999999999E-2</v>
      </c>
      <c r="S925">
        <v>2.9507750000000001</v>
      </c>
      <c r="T925">
        <v>-0.1239678</v>
      </c>
      <c r="U925">
        <v>-0.64480590000000004</v>
      </c>
      <c r="V925">
        <v>9.2549270000000003E-2</v>
      </c>
      <c r="W925">
        <v>-3.48575E-2</v>
      </c>
      <c r="X925">
        <v>0.99509780000000003</v>
      </c>
      <c r="Y925">
        <v>0.2135271</v>
      </c>
      <c r="Z925">
        <v>-4.4406619999999997E-3</v>
      </c>
      <c r="AA925">
        <v>0.97692699999999999</v>
      </c>
      <c r="AB925">
        <v>37</v>
      </c>
      <c r="AC925">
        <v>26.215499999999899</v>
      </c>
      <c r="AD925">
        <v>-1.1091803003709999</v>
      </c>
      <c r="AE925">
        <v>-5.7692999999999799</v>
      </c>
      <c r="AF925">
        <v>5.7654620913584704</v>
      </c>
      <c r="AG925">
        <v>-1.1091803003709999</v>
      </c>
      <c r="AH925">
        <v>26.169494365514598</v>
      </c>
      <c r="AI925">
        <v>92.3702252559128</v>
      </c>
      <c r="AJ925">
        <v>77.575513933840497</v>
      </c>
      <c r="AK925">
        <v>26.820016208278499</v>
      </c>
      <c r="AL925">
        <v>91.997592257039699</v>
      </c>
      <c r="AM925">
        <v>84.6864799732232</v>
      </c>
      <c r="AN925">
        <v>1.0000000221243099</v>
      </c>
    </row>
    <row r="926" spans="1:40" x14ac:dyDescent="0.25">
      <c r="A926" t="str">
        <f>"20190312151516655"</f>
        <v>20190312151516655</v>
      </c>
      <c r="B926" t="str">
        <f>"1552374916648175"</f>
        <v>1552374916648175</v>
      </c>
      <c r="C926" t="s">
        <v>40</v>
      </c>
      <c r="D926">
        <v>4.9301729999999999</v>
      </c>
      <c r="E926">
        <v>0.54580010000000001</v>
      </c>
      <c r="F926" t="s">
        <v>43</v>
      </c>
      <c r="G926">
        <v>-220.8135</v>
      </c>
      <c r="H926" s="1">
        <v>-4.9195909999999998E-6</v>
      </c>
      <c r="I926">
        <v>363.99979999999999</v>
      </c>
      <c r="J926">
        <v>-246.05269999999999</v>
      </c>
      <c r="K926">
        <v>1.1091839999999999</v>
      </c>
      <c r="L926">
        <v>369.55880000000002</v>
      </c>
      <c r="M926">
        <v>0.99989030000000001</v>
      </c>
      <c r="N926">
        <v>0</v>
      </c>
      <c r="O926" s="1">
        <v>6.3602140000000002E-5</v>
      </c>
      <c r="P926">
        <v>0.99445839999999996</v>
      </c>
      <c r="Q926">
        <v>-4.9102640000000003E-2</v>
      </c>
      <c r="R926">
        <v>-9.2960429999999997E-2</v>
      </c>
      <c r="S926">
        <v>2.950272</v>
      </c>
      <c r="T926">
        <v>-0.1287584</v>
      </c>
      <c r="U926">
        <v>-0.64532469999999997</v>
      </c>
      <c r="V926">
        <v>9.2993770000000003E-2</v>
      </c>
      <c r="W926">
        <v>-3.4447720000000001E-2</v>
      </c>
      <c r="X926">
        <v>0.99507060000000003</v>
      </c>
      <c r="Y926">
        <v>0.21354999999999999</v>
      </c>
      <c r="Z926">
        <v>-4.6061560000000001E-3</v>
      </c>
      <c r="AA926">
        <v>0.97692129999999999</v>
      </c>
      <c r="AB926">
        <v>37</v>
      </c>
      <c r="AC926">
        <v>25.239199999999901</v>
      </c>
      <c r="AD926">
        <v>-1.1091889195910001</v>
      </c>
      <c r="AE926">
        <v>-5.5590000000000197</v>
      </c>
      <c r="AF926">
        <v>5.5503816955929697</v>
      </c>
      <c r="AG926">
        <v>-1.1091889195910001</v>
      </c>
      <c r="AH926">
        <v>25.192442170012999</v>
      </c>
      <c r="AI926">
        <v>92.462055475818104</v>
      </c>
      <c r="AJ926">
        <v>77.575131655630997</v>
      </c>
      <c r="AK926">
        <v>25.820460482252599</v>
      </c>
      <c r="AL926">
        <v>91.974099541384405</v>
      </c>
      <c r="AM926">
        <v>84.660961971728597</v>
      </c>
      <c r="AN926">
        <v>0.99999999282818497</v>
      </c>
    </row>
    <row r="927" spans="1:40" x14ac:dyDescent="0.25">
      <c r="A927" t="str">
        <f>"20190312151516666"</f>
        <v>20190312151516666</v>
      </c>
      <c r="B927" t="str">
        <f>"1552374916658910"</f>
        <v>1552374916658910</v>
      </c>
      <c r="C927" t="s">
        <v>40</v>
      </c>
      <c r="D927">
        <v>4.8725199999999997</v>
      </c>
      <c r="E927">
        <v>0.54578780000000005</v>
      </c>
      <c r="F927" t="s">
        <v>43</v>
      </c>
      <c r="G927">
        <v>-220.10900000000001</v>
      </c>
      <c r="H927" s="1">
        <v>-5.2379920000000003E-6</v>
      </c>
      <c r="I927">
        <v>363.90859999999998</v>
      </c>
      <c r="J927">
        <v>-245.8622</v>
      </c>
      <c r="K927">
        <v>1.1091879999999901</v>
      </c>
      <c r="L927">
        <v>369.55869999999999</v>
      </c>
      <c r="M927">
        <v>0.99989039999999996</v>
      </c>
      <c r="N927">
        <v>0</v>
      </c>
      <c r="O927">
        <v>-1.164307E-4</v>
      </c>
      <c r="P927">
        <v>0.99440430000000002</v>
      </c>
      <c r="Q927">
        <v>-4.8563960000000003E-2</v>
      </c>
      <c r="R927">
        <v>-9.3818990000000005E-2</v>
      </c>
      <c r="S927">
        <v>2.9504090000000001</v>
      </c>
      <c r="T927">
        <v>-0.12614049999999999</v>
      </c>
      <c r="U927">
        <v>-0.6425476</v>
      </c>
      <c r="V927">
        <v>9.3673660000000006E-2</v>
      </c>
      <c r="W927">
        <v>-3.3912209999999998E-2</v>
      </c>
      <c r="X927">
        <v>0.99502520000000005</v>
      </c>
      <c r="Y927">
        <v>0.21249570000000001</v>
      </c>
      <c r="Z927">
        <v>-4.4829539999999999E-3</v>
      </c>
      <c r="AA927">
        <v>0.97715180000000001</v>
      </c>
      <c r="AB927">
        <v>37</v>
      </c>
      <c r="AC927">
        <v>25.7532</v>
      </c>
      <c r="AD927">
        <v>-1.10919323799199</v>
      </c>
      <c r="AE927">
        <v>-5.6501000000000001</v>
      </c>
      <c r="AF927">
        <v>5.6371243318201101</v>
      </c>
      <c r="AG927">
        <v>-1.10919323799199</v>
      </c>
      <c r="AH927">
        <v>25.7083579256132</v>
      </c>
      <c r="AI927">
        <v>92.413244481570501</v>
      </c>
      <c r="AJ927">
        <v>77.632370538219803</v>
      </c>
      <c r="AK927">
        <v>26.342496988764001</v>
      </c>
      <c r="AL927">
        <v>91.943399182703502</v>
      </c>
      <c r="AM927">
        <v>84.621911641504099</v>
      </c>
      <c r="AN927">
        <v>0.99999997059995904</v>
      </c>
    </row>
    <row r="928" spans="1:40" x14ac:dyDescent="0.25">
      <c r="A928" t="str">
        <f>"20190312151516681"</f>
        <v>20190312151516681</v>
      </c>
      <c r="B928" t="str">
        <f>"1552374916668671"</f>
        <v>1552374916668671</v>
      </c>
      <c r="C928" t="s">
        <v>40</v>
      </c>
      <c r="D928">
        <v>4.8454519999999999</v>
      </c>
      <c r="E928">
        <v>0.54582790000000003</v>
      </c>
      <c r="F928" t="s">
        <v>43</v>
      </c>
      <c r="G928">
        <v>-219.30439999999999</v>
      </c>
      <c r="H928" s="1">
        <v>-1.783831E-6</v>
      </c>
      <c r="I928">
        <v>363.74950000000001</v>
      </c>
      <c r="J928">
        <v>-245.63890000000001</v>
      </c>
      <c r="K928">
        <v>1.109194</v>
      </c>
      <c r="L928">
        <v>369.55840000000001</v>
      </c>
      <c r="M928">
        <v>0.99989030000000001</v>
      </c>
      <c r="N928">
        <v>0</v>
      </c>
      <c r="O928">
        <v>-3.2715439999999999E-4</v>
      </c>
      <c r="P928">
        <v>0.99437609999999999</v>
      </c>
      <c r="Q928">
        <v>-4.7847000000000001E-2</v>
      </c>
      <c r="R928">
        <v>-9.4481679999999998E-2</v>
      </c>
      <c r="S928">
        <v>2.949951</v>
      </c>
      <c r="T928">
        <v>-0.1232048</v>
      </c>
      <c r="U928">
        <v>-0.6452637</v>
      </c>
      <c r="V928">
        <v>9.4127509999999998E-2</v>
      </c>
      <c r="W928">
        <v>-3.3198140000000001E-2</v>
      </c>
      <c r="X928">
        <v>0.99500650000000002</v>
      </c>
      <c r="Y928">
        <v>0.21318809999999999</v>
      </c>
      <c r="Z928">
        <v>-4.3845400000000001E-3</v>
      </c>
      <c r="AA928">
        <v>0.97700129999999996</v>
      </c>
      <c r="AB928">
        <v>37</v>
      </c>
      <c r="AC928">
        <v>26.334499999999998</v>
      </c>
      <c r="AD928">
        <v>-1.109195783831</v>
      </c>
      <c r="AE928">
        <v>-5.8088999999999897</v>
      </c>
      <c r="AF928">
        <v>5.7904873080432502</v>
      </c>
      <c r="AG928">
        <v>-1.109195783831</v>
      </c>
      <c r="AH928">
        <v>26.2919201596428</v>
      </c>
      <c r="AI928">
        <v>92.359270581916206</v>
      </c>
      <c r="AJ928">
        <v>77.579559887335606</v>
      </c>
      <c r="AK928">
        <v>26.9448533904438</v>
      </c>
      <c r="AL928">
        <v>91.902462837064405</v>
      </c>
      <c r="AM928">
        <v>84.5959076666242</v>
      </c>
      <c r="AN928">
        <v>1.0000000198402501</v>
      </c>
    </row>
    <row r="929" spans="1:40" x14ac:dyDescent="0.25">
      <c r="A929" t="str">
        <f>"20190312151516692"</f>
        <v>20190312151516692</v>
      </c>
      <c r="B929" t="str">
        <f>"1552374916688191"</f>
        <v>1552374916688191</v>
      </c>
      <c r="C929" t="s">
        <v>40</v>
      </c>
      <c r="D929">
        <v>4.8677400000000004</v>
      </c>
      <c r="E929">
        <v>0.54584169999999999</v>
      </c>
      <c r="F929" t="s">
        <v>43</v>
      </c>
      <c r="G929">
        <v>-218.54990000000001</v>
      </c>
      <c r="H929" s="1">
        <v>-2.076978E-6</v>
      </c>
      <c r="I929">
        <v>363.61270000000002</v>
      </c>
      <c r="J929">
        <v>-245.44880000000001</v>
      </c>
      <c r="K929">
        <v>1.1091979999999999</v>
      </c>
      <c r="L929">
        <v>369.5582</v>
      </c>
      <c r="M929">
        <v>0.99989030000000001</v>
      </c>
      <c r="N929">
        <v>0</v>
      </c>
      <c r="O929">
        <v>-5.0665080000000004E-4</v>
      </c>
      <c r="P929">
        <v>0.99432710000000002</v>
      </c>
      <c r="Q929">
        <v>-4.7587320000000002E-2</v>
      </c>
      <c r="R929">
        <v>-9.5128389999999993E-2</v>
      </c>
      <c r="S929">
        <v>2.9496310000000001</v>
      </c>
      <c r="T929">
        <v>-0.1207762</v>
      </c>
      <c r="U929">
        <v>-0.64739990000000003</v>
      </c>
      <c r="V929">
        <v>9.4595830000000006E-2</v>
      </c>
      <c r="W929">
        <v>-3.2941329999999998E-2</v>
      </c>
      <c r="X929">
        <v>0.99497060000000004</v>
      </c>
      <c r="Y929">
        <v>0.21371660000000001</v>
      </c>
      <c r="Z929">
        <v>-4.3017359999999996E-3</v>
      </c>
      <c r="AA929">
        <v>0.97688620000000004</v>
      </c>
      <c r="AB929">
        <v>37</v>
      </c>
      <c r="AC929">
        <v>26.898900000000001</v>
      </c>
      <c r="AD929">
        <v>-1.1092000769779999</v>
      </c>
      <c r="AE929">
        <v>-5.9454999999999796</v>
      </c>
      <c r="AF929">
        <v>5.9222682403791103</v>
      </c>
      <c r="AG929">
        <v>-1.1092000769779999</v>
      </c>
      <c r="AH929">
        <v>26.8583665104502</v>
      </c>
      <c r="AI929">
        <v>92.309449791567403</v>
      </c>
      <c r="AJ929">
        <v>77.565262202696303</v>
      </c>
      <c r="AK929">
        <v>27.525904844917299</v>
      </c>
      <c r="AL929">
        <v>91.887740696001501</v>
      </c>
      <c r="AM929">
        <v>84.568985841086104</v>
      </c>
      <c r="AN929">
        <v>0.99999999856995803</v>
      </c>
    </row>
    <row r="930" spans="1:40" x14ac:dyDescent="0.25">
      <c r="A930" t="str">
        <f>"20190312151516703"</f>
        <v>20190312151516703</v>
      </c>
      <c r="B930" t="str">
        <f>"1552374916698927"</f>
        <v>1552374916698927</v>
      </c>
      <c r="C930" t="s">
        <v>40</v>
      </c>
      <c r="D930">
        <v>4.8719859999999997</v>
      </c>
      <c r="E930">
        <v>0.545915699999999</v>
      </c>
      <c r="F930" t="s">
        <v>43</v>
      </c>
      <c r="G930">
        <v>-220.11850000000001</v>
      </c>
      <c r="H930" s="1">
        <v>-5.2209259999999997E-6</v>
      </c>
      <c r="I930">
        <v>363.98180000000002</v>
      </c>
      <c r="J930">
        <v>-245.2706</v>
      </c>
      <c r="K930">
        <v>1.1092029999999999</v>
      </c>
      <c r="L930">
        <v>369.55799999999999</v>
      </c>
      <c r="M930">
        <v>0.99989019999999995</v>
      </c>
      <c r="N930">
        <v>0</v>
      </c>
      <c r="O930">
        <v>-6.7470449999999999E-4</v>
      </c>
      <c r="P930">
        <v>0.99429380000000001</v>
      </c>
      <c r="Q930">
        <v>-4.706983E-2</v>
      </c>
      <c r="R930">
        <v>-9.5731369999999996E-2</v>
      </c>
      <c r="S930">
        <v>2.9488219999999998</v>
      </c>
      <c r="T930">
        <v>-0.1291273</v>
      </c>
      <c r="U930">
        <v>-0.64916989999999997</v>
      </c>
      <c r="V930">
        <v>9.5032229999999995E-2</v>
      </c>
      <c r="W930">
        <v>-3.2426389999999999E-2</v>
      </c>
      <c r="X930">
        <v>0.99494590000000005</v>
      </c>
      <c r="Y930">
        <v>0.21414320000000001</v>
      </c>
      <c r="Z930">
        <v>-4.6018079999999998E-3</v>
      </c>
      <c r="AA930">
        <v>0.97679139999999998</v>
      </c>
      <c r="AB930">
        <v>37</v>
      </c>
      <c r="AC930">
        <v>25.152099999999901</v>
      </c>
      <c r="AD930">
        <v>-1.1092082209259999</v>
      </c>
      <c r="AE930">
        <v>-5.5762000000000196</v>
      </c>
      <c r="AF930">
        <v>5.5489405551001303</v>
      </c>
      <c r="AG930">
        <v>-1.1092082209259999</v>
      </c>
      <c r="AH930">
        <v>25.109311798725098</v>
      </c>
      <c r="AI930">
        <v>92.469890711713703</v>
      </c>
      <c r="AJ930">
        <v>77.538415140376998</v>
      </c>
      <c r="AK930">
        <v>25.739048606485099</v>
      </c>
      <c r="AL930">
        <v>91.858221089387598</v>
      </c>
      <c r="AM930">
        <v>84.543947094336801</v>
      </c>
      <c r="AN930">
        <v>0.999999969717007</v>
      </c>
    </row>
    <row r="931" spans="1:40" x14ac:dyDescent="0.25">
      <c r="A931" t="str">
        <f>"20190312151516717"</f>
        <v>20190312151516717</v>
      </c>
      <c r="B931" t="str">
        <f>"1552374916708687"</f>
        <v>1552374916708687</v>
      </c>
      <c r="C931" t="s">
        <v>40</v>
      </c>
      <c r="D931">
        <v>4.8730029999999998</v>
      </c>
      <c r="E931">
        <v>0.54599019999999898</v>
      </c>
      <c r="F931" t="s">
        <v>43</v>
      </c>
      <c r="G931">
        <v>-220.48159999999999</v>
      </c>
      <c r="H931" s="1">
        <v>-5.0483280000000004E-6</v>
      </c>
      <c r="I931">
        <v>364.07670000000002</v>
      </c>
      <c r="J931">
        <v>-245.05789999999999</v>
      </c>
      <c r="K931">
        <v>1.109208</v>
      </c>
      <c r="L931">
        <v>369.55759999999998</v>
      </c>
      <c r="M931">
        <v>0.99988999999999995</v>
      </c>
      <c r="N931">
        <v>0</v>
      </c>
      <c r="O931">
        <v>-8.7553479999999905E-4</v>
      </c>
      <c r="P931">
        <v>0.99423209999999995</v>
      </c>
      <c r="Q931">
        <v>-4.6705530000000002E-2</v>
      </c>
      <c r="R931">
        <v>-9.6545850000000002E-2</v>
      </c>
      <c r="S931">
        <v>2.9481959999999998</v>
      </c>
      <c r="T931">
        <v>-0.1319195</v>
      </c>
      <c r="U931">
        <v>-0.65188599999999997</v>
      </c>
      <c r="V931">
        <v>9.5647560000000006E-2</v>
      </c>
      <c r="W931">
        <v>-3.2065509999999998E-2</v>
      </c>
      <c r="X931">
        <v>0.99489870000000002</v>
      </c>
      <c r="Y931">
        <v>0.21483949999999999</v>
      </c>
      <c r="Z931">
        <v>-4.7082460000000001E-3</v>
      </c>
      <c r="AA931">
        <v>0.97663800000000001</v>
      </c>
      <c r="AB931">
        <v>36</v>
      </c>
      <c r="AC931">
        <v>24.5763</v>
      </c>
      <c r="AD931">
        <v>-1.1092130483280001</v>
      </c>
      <c r="AE931">
        <v>-5.4808999999999601</v>
      </c>
      <c r="AF931">
        <v>5.4488046505004197</v>
      </c>
      <c r="AG931">
        <v>-1.1092130483280001</v>
      </c>
      <c r="AH931">
        <v>24.533482249297499</v>
      </c>
      <c r="AI931">
        <v>92.527209383154002</v>
      </c>
      <c r="AJ931">
        <v>77.478047697396093</v>
      </c>
      <c r="AK931">
        <v>25.155746400822402</v>
      </c>
      <c r="AL931">
        <v>91.837533303963994</v>
      </c>
      <c r="AM931">
        <v>84.508575684927607</v>
      </c>
      <c r="AN931">
        <v>1.0000000379636</v>
      </c>
    </row>
    <row r="932" spans="1:40" x14ac:dyDescent="0.25">
      <c r="A932" t="str">
        <f>"20190312151516730"</f>
        <v>20190312151516730</v>
      </c>
      <c r="B932" t="str">
        <f>"1552374916718447"</f>
        <v>1552374916718447</v>
      </c>
      <c r="C932" t="s">
        <v>40</v>
      </c>
      <c r="D932">
        <v>4.8668139999999998</v>
      </c>
      <c r="E932">
        <v>0.54594180000000003</v>
      </c>
      <c r="F932" t="s">
        <v>43</v>
      </c>
      <c r="G932">
        <v>-220.7353</v>
      </c>
      <c r="H932" s="1">
        <v>-4.9255989999999997E-6</v>
      </c>
      <c r="I932">
        <v>364.1551</v>
      </c>
      <c r="J932">
        <v>-244.83529999999999</v>
      </c>
      <c r="K932">
        <v>1.109213</v>
      </c>
      <c r="L932">
        <v>369.55720000000002</v>
      </c>
      <c r="M932">
        <v>0.9998899</v>
      </c>
      <c r="N932">
        <v>0</v>
      </c>
      <c r="O932">
        <v>-1.08602E-3</v>
      </c>
      <c r="P932">
        <v>0.99417290000000003</v>
      </c>
      <c r="Q932">
        <v>-4.6516660000000001E-2</v>
      </c>
      <c r="R932">
        <v>-9.7244730000000001E-2</v>
      </c>
      <c r="S932">
        <v>2.9475099999999999</v>
      </c>
      <c r="T932">
        <v>-0.13441819999999999</v>
      </c>
      <c r="U932">
        <v>-0.65469359999999999</v>
      </c>
      <c r="V932">
        <v>9.6137349999999996E-2</v>
      </c>
      <c r="W932">
        <v>-3.1879970000000001E-2</v>
      </c>
      <c r="X932">
        <v>0.9948574</v>
      </c>
      <c r="Y932">
        <v>0.21556020000000001</v>
      </c>
      <c r="Z932">
        <v>-4.8046879999999997E-3</v>
      </c>
      <c r="AA932">
        <v>0.97647879999999998</v>
      </c>
      <c r="AB932">
        <v>36</v>
      </c>
      <c r="AC932">
        <v>24.099999999999898</v>
      </c>
      <c r="AD932">
        <v>-1.109217925599</v>
      </c>
      <c r="AE932">
        <v>-5.4021000000000097</v>
      </c>
      <c r="AF932">
        <v>5.3650993790119497</v>
      </c>
      <c r="AG932">
        <v>-1.109217925599</v>
      </c>
      <c r="AH932">
        <v>24.057329221445102</v>
      </c>
      <c r="AI932">
        <v>92.5766734339077</v>
      </c>
      <c r="AJ932">
        <v>77.428018420068099</v>
      </c>
      <c r="AK932">
        <v>24.673259716181398</v>
      </c>
      <c r="AL932">
        <v>91.826897305433405</v>
      </c>
      <c r="AM932">
        <v>84.480400807341994</v>
      </c>
      <c r="AN932">
        <v>0.99999998444349103</v>
      </c>
    </row>
    <row r="933" spans="1:40" x14ac:dyDescent="0.25">
      <c r="A933" t="str">
        <f>"20190312151516745"</f>
        <v>20190312151516745</v>
      </c>
      <c r="B933" t="str">
        <f>"1552374916738942"</f>
        <v>1552374916738942</v>
      </c>
      <c r="C933" t="s">
        <v>40</v>
      </c>
      <c r="D933">
        <v>4.8496860000000002</v>
      </c>
      <c r="E933">
        <v>0.54564969999999902</v>
      </c>
      <c r="F933" t="s">
        <v>43</v>
      </c>
      <c r="G933">
        <v>-220.92699999999999</v>
      </c>
      <c r="H933" s="1">
        <v>-4.8300279999999901E-6</v>
      </c>
      <c r="I933">
        <v>364.23009999999999</v>
      </c>
      <c r="J933">
        <v>-244.58600000000001</v>
      </c>
      <c r="K933">
        <v>1.109219</v>
      </c>
      <c r="L933">
        <v>369.55669999999998</v>
      </c>
      <c r="M933">
        <v>0.99988980000000005</v>
      </c>
      <c r="N933">
        <v>0</v>
      </c>
      <c r="O933">
        <v>-1.3216530000000001E-3</v>
      </c>
      <c r="P933">
        <v>0.99405149999999998</v>
      </c>
      <c r="Q933">
        <v>-4.6109829999999997E-2</v>
      </c>
      <c r="R933">
        <v>-9.8671560000000005E-2</v>
      </c>
      <c r="S933">
        <v>2.9469449999999999</v>
      </c>
      <c r="T933">
        <v>-0.13672229999999999</v>
      </c>
      <c r="U933">
        <v>-0.65661619999999998</v>
      </c>
      <c r="V933">
        <v>9.7330299999999995E-2</v>
      </c>
      <c r="W933">
        <v>-3.1478239999999998E-2</v>
      </c>
      <c r="X933">
        <v>0.99475420000000003</v>
      </c>
      <c r="Y933">
        <v>0.2159691</v>
      </c>
      <c r="Z933">
        <v>-4.8861039999999996E-3</v>
      </c>
      <c r="AA933">
        <v>0.97638800000000003</v>
      </c>
      <c r="AB933">
        <v>36</v>
      </c>
      <c r="AC933">
        <v>23.658999999999899</v>
      </c>
      <c r="AD933">
        <v>-1.109223830028</v>
      </c>
      <c r="AE933">
        <v>-5.3265999999999796</v>
      </c>
      <c r="AF933">
        <v>5.2842679950415601</v>
      </c>
      <c r="AG933">
        <v>-1.109223830028</v>
      </c>
      <c r="AH933">
        <v>23.6166129207963</v>
      </c>
      <c r="AI933">
        <v>92.6242926741498</v>
      </c>
      <c r="AJ933">
        <v>77.387685920596198</v>
      </c>
      <c r="AK933">
        <v>24.225983397980801</v>
      </c>
      <c r="AL933">
        <v>91.803868298145105</v>
      </c>
      <c r="AM933">
        <v>84.411763953800204</v>
      </c>
      <c r="AN933">
        <v>0.99999999265461303</v>
      </c>
    </row>
    <row r="934" spans="1:40" x14ac:dyDescent="0.25">
      <c r="A934" t="str">
        <f>"20190312151516766"</f>
        <v>20190312151516766</v>
      </c>
      <c r="B934" t="str">
        <f>"1552374916758464"</f>
        <v>1552374916758464</v>
      </c>
      <c r="C934" t="s">
        <v>40</v>
      </c>
      <c r="D934">
        <v>4.9833669999999897</v>
      </c>
      <c r="E934">
        <v>0.54528929999999998</v>
      </c>
      <c r="F934" t="s">
        <v>43</v>
      </c>
      <c r="G934">
        <v>-221.6241</v>
      </c>
      <c r="H934" s="1">
        <v>-4.4960870000000003E-6</v>
      </c>
      <c r="I934">
        <v>364.42689999999999</v>
      </c>
      <c r="J934">
        <v>-244.23910000000001</v>
      </c>
      <c r="K934">
        <v>1.109219</v>
      </c>
      <c r="L934">
        <v>369.55590000000001</v>
      </c>
      <c r="M934">
        <v>0.99988920000000003</v>
      </c>
      <c r="N934">
        <v>0</v>
      </c>
      <c r="O934">
        <v>-1.6491800000000001E-3</v>
      </c>
      <c r="P934">
        <v>0.99394439999999995</v>
      </c>
      <c r="Q934">
        <v>-4.5646579999999999E-2</v>
      </c>
      <c r="R934">
        <v>-9.9956119999999996E-2</v>
      </c>
      <c r="S934">
        <v>2.945999</v>
      </c>
      <c r="T934">
        <v>-0.14231189999999999</v>
      </c>
      <c r="U934">
        <v>-0.65814209999999995</v>
      </c>
      <c r="V934">
        <v>9.8289589999999996E-2</v>
      </c>
      <c r="W934">
        <v>-3.1020550000000001E-2</v>
      </c>
      <c r="X934">
        <v>0.99467430000000001</v>
      </c>
      <c r="Y934">
        <v>0.21617929999999999</v>
      </c>
      <c r="Z934">
        <v>-5.0763450000000003E-3</v>
      </c>
      <c r="AA934">
        <v>0.97634049999999994</v>
      </c>
      <c r="AB934">
        <v>36</v>
      </c>
      <c r="AC934">
        <v>22.614999999999998</v>
      </c>
      <c r="AD934">
        <v>-1.109223496087</v>
      </c>
      <c r="AE934">
        <v>-5.1290000000000102</v>
      </c>
      <c r="AF934">
        <v>5.0800693809915298</v>
      </c>
      <c r="AG934">
        <v>-1.109223496087</v>
      </c>
      <c r="AH934">
        <v>22.571783874656202</v>
      </c>
      <c r="AI934">
        <v>92.744818850572599</v>
      </c>
      <c r="AJ934">
        <v>77.316190548703901</v>
      </c>
      <c r="AK934">
        <v>23.1629641661888</v>
      </c>
      <c r="AL934">
        <v>91.777631693791605</v>
      </c>
      <c r="AM934">
        <v>84.356589551464893</v>
      </c>
      <c r="AN934">
        <v>1.00000004055257</v>
      </c>
    </row>
    <row r="935" spans="1:40" x14ac:dyDescent="0.25">
      <c r="A935" t="str">
        <f>"20190312151516778"</f>
        <v>20190312151516778</v>
      </c>
      <c r="B935" t="str">
        <f>"1552374916769199"</f>
        <v>1552374916769199</v>
      </c>
      <c r="C935" t="s">
        <v>40</v>
      </c>
      <c r="D935">
        <v>4.8530569999999997</v>
      </c>
      <c r="E935">
        <v>0.54510119999999995</v>
      </c>
      <c r="F935" t="s">
        <v>43</v>
      </c>
      <c r="G935">
        <v>-220.82310000000001</v>
      </c>
      <c r="H935" s="1">
        <v>-4.8596830000000004E-6</v>
      </c>
      <c r="I935">
        <v>364.31420000000003</v>
      </c>
      <c r="J935">
        <v>-244.05080000000001</v>
      </c>
      <c r="K935">
        <v>1.1092229999999901</v>
      </c>
      <c r="L935">
        <v>369.55549999999999</v>
      </c>
      <c r="M935">
        <v>0.99988900000000003</v>
      </c>
      <c r="N935">
        <v>0</v>
      </c>
      <c r="O935">
        <v>-1.8271260000000001E-3</v>
      </c>
      <c r="P935">
        <v>0.99387919999999996</v>
      </c>
      <c r="Q935">
        <v>-4.5426889999999998E-2</v>
      </c>
      <c r="R935">
        <v>-0.1007012</v>
      </c>
      <c r="S935">
        <v>2.9455719999999999</v>
      </c>
      <c r="T935">
        <v>-0.13953260000000001</v>
      </c>
      <c r="U935">
        <v>-0.65936280000000003</v>
      </c>
      <c r="V935">
        <v>9.8858210000000002E-2</v>
      </c>
      <c r="W935">
        <v>-3.080403E-2</v>
      </c>
      <c r="X935">
        <v>0.99462459999999997</v>
      </c>
      <c r="Y935">
        <v>0.21643009999999999</v>
      </c>
      <c r="Z935">
        <v>-4.9753339999999997E-3</v>
      </c>
      <c r="AA935">
        <v>0.97628550000000003</v>
      </c>
      <c r="AB935">
        <v>36</v>
      </c>
      <c r="AC935">
        <v>23.227699999999999</v>
      </c>
      <c r="AD935">
        <v>-1.1092278596830001</v>
      </c>
      <c r="AE935">
        <v>-5.2412999999999599</v>
      </c>
      <c r="AF935">
        <v>5.1875895832380001</v>
      </c>
      <c r="AG935">
        <v>-1.1092278596830001</v>
      </c>
      <c r="AH935">
        <v>23.1869230629068</v>
      </c>
      <c r="AI935">
        <v>92.672877828118501</v>
      </c>
      <c r="AJ935">
        <v>77.388943444736995</v>
      </c>
      <c r="AK935">
        <v>23.786022644695699</v>
      </c>
      <c r="AL935">
        <v>91.765220214996205</v>
      </c>
      <c r="AM935">
        <v>84.323872379105396</v>
      </c>
      <c r="AN935">
        <v>0.99999996443690098</v>
      </c>
    </row>
    <row r="936" spans="1:40" x14ac:dyDescent="0.25">
      <c r="A936" t="str">
        <f>"20190312151516800"</f>
        <v>20190312151516800</v>
      </c>
      <c r="B936" t="str">
        <f>"1552374916788722"</f>
        <v>1552374916788722</v>
      </c>
      <c r="C936" t="s">
        <v>40</v>
      </c>
      <c r="D936">
        <v>4.945595</v>
      </c>
      <c r="E936">
        <v>0.54530940000000006</v>
      </c>
      <c r="F936" t="s">
        <v>43</v>
      </c>
      <c r="G936">
        <v>-220.49100000000001</v>
      </c>
      <c r="H936" s="1">
        <v>-5.0089249999999997E-6</v>
      </c>
      <c r="I936">
        <v>364.27620000000002</v>
      </c>
      <c r="J936">
        <v>-243.69370000000001</v>
      </c>
      <c r="K936">
        <v>1.109226</v>
      </c>
      <c r="L936">
        <v>369.55450000000002</v>
      </c>
      <c r="M936">
        <v>0.99988840000000001</v>
      </c>
      <c r="N936">
        <v>0</v>
      </c>
      <c r="O936">
        <v>-2.1649009999999999E-3</v>
      </c>
      <c r="P936">
        <v>0.99378279999999997</v>
      </c>
      <c r="Q936">
        <v>-4.4929570000000002E-2</v>
      </c>
      <c r="R936">
        <v>-0.1018679</v>
      </c>
      <c r="S936">
        <v>2.9452970000000001</v>
      </c>
      <c r="T936">
        <v>-0.13866789999999901</v>
      </c>
      <c r="U936">
        <v>-0.65997309999999998</v>
      </c>
      <c r="V936">
        <v>9.9689979999999997E-2</v>
      </c>
      <c r="W936">
        <v>-3.031209E-2</v>
      </c>
      <c r="X936">
        <v>0.99455669999999996</v>
      </c>
      <c r="Y936">
        <v>0.2163156</v>
      </c>
      <c r="Z936">
        <v>-4.9265159999999997E-3</v>
      </c>
      <c r="AA936">
        <v>0.97631100000000004</v>
      </c>
      <c r="AB936">
        <v>36</v>
      </c>
      <c r="AC936">
        <v>23.2027</v>
      </c>
      <c r="AD936">
        <v>-1.1092310089249999</v>
      </c>
      <c r="AE936">
        <v>-5.2782999999999998</v>
      </c>
      <c r="AF936">
        <v>5.2167148087955502</v>
      </c>
      <c r="AG936">
        <v>-1.1092310089249999</v>
      </c>
      <c r="AH936">
        <v>23.1637396717786</v>
      </c>
      <c r="AI936">
        <v>92.6747110825698</v>
      </c>
      <c r="AJ936">
        <v>77.308143503639101</v>
      </c>
      <c r="AK936">
        <v>23.769798956015599</v>
      </c>
      <c r="AL936">
        <v>91.737020945183502</v>
      </c>
      <c r="AM936">
        <v>84.276042372292693</v>
      </c>
      <c r="AN936">
        <v>0.99999997221372805</v>
      </c>
    </row>
    <row r="937" spans="1:40" x14ac:dyDescent="0.25">
      <c r="A937" t="str">
        <f>"20190312151516811"</f>
        <v>20190312151516811</v>
      </c>
      <c r="B937" t="str">
        <f>"1552374916808238"</f>
        <v>1552374916808238</v>
      </c>
      <c r="C937" t="s">
        <v>40</v>
      </c>
      <c r="D937">
        <v>4.9278829999999996</v>
      </c>
      <c r="E937">
        <v>0.54520100000000005</v>
      </c>
      <c r="F937" t="s">
        <v>43</v>
      </c>
      <c r="G937">
        <v>-220.4151</v>
      </c>
      <c r="H937" s="1">
        <v>-5.0377019999999997E-6</v>
      </c>
      <c r="I937">
        <v>364.29730000000001</v>
      </c>
      <c r="J937">
        <v>-243.51759999999999</v>
      </c>
      <c r="K937">
        <v>1.1092280000000001</v>
      </c>
      <c r="L937">
        <v>369.5539</v>
      </c>
      <c r="M937">
        <v>0.99988809999999995</v>
      </c>
      <c r="N937">
        <v>0</v>
      </c>
      <c r="O937">
        <v>-2.3316420000000001E-3</v>
      </c>
      <c r="P937">
        <v>0.99373449999999997</v>
      </c>
      <c r="Q937">
        <v>-4.460836E-2</v>
      </c>
      <c r="R937">
        <v>-0.10248019999999999</v>
      </c>
      <c r="S937">
        <v>2.9442750000000002</v>
      </c>
      <c r="T937">
        <v>-0.140295</v>
      </c>
      <c r="U937">
        <v>-0.66491699999999998</v>
      </c>
      <c r="V937">
        <v>0.1001368</v>
      </c>
      <c r="W937">
        <v>-2.9993579999999999E-2</v>
      </c>
      <c r="X937">
        <v>0.99452149999999995</v>
      </c>
      <c r="Y937">
        <v>0.21777859999999999</v>
      </c>
      <c r="Z937">
        <v>-5.0116020000000004E-3</v>
      </c>
      <c r="AA937">
        <v>0.97598529999999994</v>
      </c>
      <c r="AB937">
        <v>36</v>
      </c>
      <c r="AC937">
        <v>23.1024999999999</v>
      </c>
      <c r="AD937">
        <v>-1.1092330377020001</v>
      </c>
      <c r="AE937">
        <v>-5.2565999999999899</v>
      </c>
      <c r="AF937">
        <v>5.1913345619501303</v>
      </c>
      <c r="AG937">
        <v>-1.1092330377020001</v>
      </c>
      <c r="AH937">
        <v>23.064142435592501</v>
      </c>
      <c r="AI937">
        <v>92.686322751529204</v>
      </c>
      <c r="AJ937">
        <v>77.315118111340794</v>
      </c>
      <c r="AK937">
        <v>23.667171752352001</v>
      </c>
      <c r="AL937">
        <v>91.718763309906905</v>
      </c>
      <c r="AM937">
        <v>84.250356413944004</v>
      </c>
      <c r="AN937">
        <v>1.0000000037588499</v>
      </c>
    </row>
    <row r="938" spans="1:40" x14ac:dyDescent="0.25">
      <c r="A938" t="str">
        <f>"20190312151516822"</f>
        <v>20190312151516822</v>
      </c>
      <c r="B938" t="str">
        <f>"1552374916818975"</f>
        <v>1552374916818975</v>
      </c>
      <c r="C938" t="s">
        <v>40</v>
      </c>
      <c r="D938">
        <v>4.7893169999999996</v>
      </c>
      <c r="E938">
        <v>0.54508219999999996</v>
      </c>
      <c r="F938" t="s">
        <v>43</v>
      </c>
      <c r="G938">
        <v>-220.43119999999999</v>
      </c>
      <c r="H938" s="1">
        <v>-5.0245839999999997E-6</v>
      </c>
      <c r="I938">
        <v>364.33240000000001</v>
      </c>
      <c r="J938">
        <v>-243.33250000000001</v>
      </c>
      <c r="K938">
        <v>1.109229</v>
      </c>
      <c r="L938">
        <v>369.55329999999998</v>
      </c>
      <c r="M938">
        <v>0.99988759999999999</v>
      </c>
      <c r="N938">
        <v>0</v>
      </c>
      <c r="O938">
        <v>-2.5064919999999999E-3</v>
      </c>
      <c r="P938">
        <v>0.99367439999999996</v>
      </c>
      <c r="Q938">
        <v>-4.4707440000000001E-2</v>
      </c>
      <c r="R938">
        <v>-0.1030174</v>
      </c>
      <c r="S938">
        <v>2.9439090000000001</v>
      </c>
      <c r="T938">
        <v>-0.14144590000000001</v>
      </c>
      <c r="U938">
        <v>-0.66583249999999905</v>
      </c>
      <c r="V938">
        <v>0.1005004</v>
      </c>
      <c r="W938">
        <v>-3.0095549999999999E-2</v>
      </c>
      <c r="X938">
        <v>0.99448170000000002</v>
      </c>
      <c r="Y938">
        <v>0.2179189</v>
      </c>
      <c r="Z938">
        <v>-5.0481440000000001E-3</v>
      </c>
      <c r="AA938">
        <v>0.97595379999999998</v>
      </c>
      <c r="AB938">
        <v>36</v>
      </c>
      <c r="AC938">
        <v>22.901299999999999</v>
      </c>
      <c r="AD938">
        <v>-1.109234024584</v>
      </c>
      <c r="AE938">
        <v>-5.2208999999999701</v>
      </c>
      <c r="AF938">
        <v>5.1519860201587599</v>
      </c>
      <c r="AG938">
        <v>-1.109234024584</v>
      </c>
      <c r="AH938">
        <v>22.863328401525301</v>
      </c>
      <c r="AI938">
        <v>92.709736328955202</v>
      </c>
      <c r="AJ938">
        <v>77.301162791765094</v>
      </c>
      <c r="AK938">
        <v>23.462846069247401</v>
      </c>
      <c r="AL938">
        <v>91.724608471127894</v>
      </c>
      <c r="AM938">
        <v>84.229390524910798</v>
      </c>
      <c r="AN938">
        <v>0.99999996208242503</v>
      </c>
    </row>
    <row r="939" spans="1:40" x14ac:dyDescent="0.25">
      <c r="A939" t="str">
        <f>"20190312151516834"</f>
        <v>20190312151516834</v>
      </c>
      <c r="B939" t="str">
        <f>"1552374916828735"</f>
        <v>1552374916828735</v>
      </c>
      <c r="C939" t="s">
        <v>40</v>
      </c>
      <c r="D939">
        <v>4.8490229999999999</v>
      </c>
      <c r="E939">
        <v>0.54508859999999904</v>
      </c>
      <c r="F939" t="s">
        <v>43</v>
      </c>
      <c r="G939">
        <v>-220.25299999999999</v>
      </c>
      <c r="H939" s="1">
        <v>-5.1020719999999999E-6</v>
      </c>
      <c r="I939">
        <v>364.32650000000001</v>
      </c>
      <c r="J939">
        <v>-243.14699999999999</v>
      </c>
      <c r="K939">
        <v>1.1092299999999999</v>
      </c>
      <c r="L939">
        <v>369.55270000000002</v>
      </c>
      <c r="M939">
        <v>0.99988719999999998</v>
      </c>
      <c r="N939">
        <v>0</v>
      </c>
      <c r="O939">
        <v>-2.6818190000000002E-3</v>
      </c>
      <c r="P939">
        <v>0.99364169999999996</v>
      </c>
      <c r="Q939">
        <v>-4.4437459999999998E-2</v>
      </c>
      <c r="R939">
        <v>-0.10344879999999999</v>
      </c>
      <c r="S939">
        <v>2.9436040000000001</v>
      </c>
      <c r="T939">
        <v>-0.14147370000000001</v>
      </c>
      <c r="U939">
        <v>-0.66662600000000005</v>
      </c>
      <c r="V939">
        <v>0.10075779999999999</v>
      </c>
      <c r="W939">
        <v>-2.982802E-2</v>
      </c>
      <c r="X939">
        <v>0.99446369999999895</v>
      </c>
      <c r="Y939">
        <v>0.21801980000000001</v>
      </c>
      <c r="Z939">
        <v>-5.0435719999999996E-3</v>
      </c>
      <c r="AA939">
        <v>0.97593129999999995</v>
      </c>
      <c r="AB939">
        <v>36</v>
      </c>
      <c r="AC939">
        <v>22.893999999999998</v>
      </c>
      <c r="AD939">
        <v>-1.1092351020719999</v>
      </c>
      <c r="AE939">
        <v>-5.2262000000000004</v>
      </c>
      <c r="AF939">
        <v>5.1532788352958097</v>
      </c>
      <c r="AG939">
        <v>-1.1092351020719999</v>
      </c>
      <c r="AH939">
        <v>22.856936061594901</v>
      </c>
      <c r="AI939">
        <v>92.710426232703199</v>
      </c>
      <c r="AJ939">
        <v>77.294642562251795</v>
      </c>
      <c r="AK939">
        <v>23.4569011463538</v>
      </c>
      <c r="AL939">
        <v>91.709273270152295</v>
      </c>
      <c r="AM939">
        <v>84.214607053299005</v>
      </c>
      <c r="AN939">
        <v>0.99999994782782298</v>
      </c>
    </row>
    <row r="940" spans="1:40" x14ac:dyDescent="0.25">
      <c r="A940" t="str">
        <f>"20190312151516845"</f>
        <v>20190312151516845</v>
      </c>
      <c r="B940" t="str">
        <f>"1552374916838495"</f>
        <v>1552374916838495</v>
      </c>
      <c r="C940" t="s">
        <v>40</v>
      </c>
      <c r="D940">
        <v>4.8055839999999996</v>
      </c>
      <c r="E940">
        <v>0.54504790000000003</v>
      </c>
      <c r="F940" t="s">
        <v>43</v>
      </c>
      <c r="G940">
        <v>-220.1748</v>
      </c>
      <c r="H940" s="1">
        <v>-5.1332799999999999E-6</v>
      </c>
      <c r="I940">
        <v>364.33969999999999</v>
      </c>
      <c r="J940">
        <v>-242.96809999999999</v>
      </c>
      <c r="K940">
        <v>1.109232</v>
      </c>
      <c r="L940">
        <v>369.5521</v>
      </c>
      <c r="M940">
        <v>0.99988679999999996</v>
      </c>
      <c r="N940">
        <v>0</v>
      </c>
      <c r="O940">
        <v>-2.8509450000000001E-3</v>
      </c>
      <c r="P940">
        <v>0.99360899999999996</v>
      </c>
      <c r="Q940">
        <v>-4.4399760000000003E-2</v>
      </c>
      <c r="R940">
        <v>-0.1037783</v>
      </c>
      <c r="S940">
        <v>2.943298</v>
      </c>
      <c r="T940">
        <v>-0.14211960000000001</v>
      </c>
      <c r="U940">
        <v>-0.66790769999999899</v>
      </c>
      <c r="V940">
        <v>0.10091940000000001</v>
      </c>
      <c r="W940">
        <v>-2.9792559999999999E-2</v>
      </c>
      <c r="X940">
        <v>0.99444840000000001</v>
      </c>
      <c r="Y940">
        <v>0.21827840000000001</v>
      </c>
      <c r="Z940">
        <v>-5.0649509999999998E-3</v>
      </c>
      <c r="AA940">
        <v>0.9758734</v>
      </c>
      <c r="AB940">
        <v>36</v>
      </c>
      <c r="AC940">
        <v>22.793299999999899</v>
      </c>
      <c r="AD940">
        <v>-1.10923713328</v>
      </c>
      <c r="AE940">
        <v>-5.2123999999999997</v>
      </c>
      <c r="AF940">
        <v>5.1358306140852301</v>
      </c>
      <c r="AG940">
        <v>-1.10923713328</v>
      </c>
      <c r="AH940">
        <v>22.7568528380488</v>
      </c>
      <c r="AI940">
        <v>92.722202427747007</v>
      </c>
      <c r="AJ940">
        <v>77.282384665372504</v>
      </c>
      <c r="AK940">
        <v>23.355545684206</v>
      </c>
      <c r="AL940">
        <v>91.707240618625505</v>
      </c>
      <c r="AM940">
        <v>84.205302719945195</v>
      </c>
      <c r="AN940">
        <v>0.99999997109513605</v>
      </c>
    </row>
    <row r="941" spans="1:40" x14ac:dyDescent="0.25">
      <c r="A941" t="str">
        <f>"20190312151516857"</f>
        <v>20190312151516857</v>
      </c>
      <c r="B941" t="str">
        <f>"1552374916848255"</f>
        <v>1552374916848255</v>
      </c>
      <c r="C941" t="s">
        <v>40</v>
      </c>
      <c r="D941">
        <v>4.8408989999999896</v>
      </c>
      <c r="E941">
        <v>0.54507700000000003</v>
      </c>
      <c r="F941" t="s">
        <v>43</v>
      </c>
      <c r="G941">
        <v>-220.28970000000001</v>
      </c>
      <c r="H941" s="1">
        <v>-5.0733549999999998E-6</v>
      </c>
      <c r="I941">
        <v>364.39960000000002</v>
      </c>
      <c r="J941">
        <v>-242.7808</v>
      </c>
      <c r="K941">
        <v>1.109235</v>
      </c>
      <c r="L941">
        <v>369.5514</v>
      </c>
      <c r="M941">
        <v>0.99988639999999995</v>
      </c>
      <c r="N941">
        <v>0</v>
      </c>
      <c r="O941">
        <v>-3.028176E-3</v>
      </c>
      <c r="P941">
        <v>0.99356929999999999</v>
      </c>
      <c r="Q941">
        <v>-4.4205969999999997E-2</v>
      </c>
      <c r="R941">
        <v>-0.10424070000000001</v>
      </c>
      <c r="S941">
        <v>2.9430390000000002</v>
      </c>
      <c r="T941">
        <v>-0.1439484</v>
      </c>
      <c r="U941">
        <v>-0.66864009999999996</v>
      </c>
      <c r="V941">
        <v>0.1012058</v>
      </c>
      <c r="W941">
        <v>-2.9601289999999999E-2</v>
      </c>
      <c r="X941">
        <v>0.99442509999999995</v>
      </c>
      <c r="Y941">
        <v>0.21834890000000001</v>
      </c>
      <c r="Z941">
        <v>-5.1234999999999996E-3</v>
      </c>
      <c r="AA941">
        <v>0.97585730000000004</v>
      </c>
      <c r="AB941">
        <v>36</v>
      </c>
      <c r="AC941">
        <v>22.4910999999999</v>
      </c>
      <c r="AD941">
        <v>-1.1092400733550001</v>
      </c>
      <c r="AE941">
        <v>-5.1517999999999802</v>
      </c>
      <c r="AF941">
        <v>5.0719401255649403</v>
      </c>
      <c r="AG941">
        <v>-1.1092400733550001</v>
      </c>
      <c r="AH941">
        <v>22.454703814232001</v>
      </c>
      <c r="AI941">
        <v>92.758669994183904</v>
      </c>
      <c r="AJ941">
        <v>77.271946463168007</v>
      </c>
      <c r="AK941">
        <v>23.047097725365202</v>
      </c>
      <c r="AL941">
        <v>91.696276659756293</v>
      </c>
      <c r="AM941">
        <v>84.188835058441597</v>
      </c>
      <c r="AN941">
        <v>1.0000000649166501</v>
      </c>
    </row>
    <row r="942" spans="1:40" x14ac:dyDescent="0.25">
      <c r="A942" t="str">
        <f>"20190312151516867"</f>
        <v>20190312151516867</v>
      </c>
      <c r="B942" t="str">
        <f>"1552374916858991"</f>
        <v>1552374916858991</v>
      </c>
      <c r="C942" t="s">
        <v>40</v>
      </c>
      <c r="D942">
        <v>4.8760890000000003</v>
      </c>
      <c r="E942">
        <v>0.54507890000000003</v>
      </c>
      <c r="F942" t="s">
        <v>43</v>
      </c>
      <c r="G942">
        <v>-220.24930000000001</v>
      </c>
      <c r="H942" s="1">
        <v>-5.0873179999999996E-6</v>
      </c>
      <c r="I942">
        <v>364.41879999999998</v>
      </c>
      <c r="J942">
        <v>-242.59880000000001</v>
      </c>
      <c r="K942">
        <v>1.1092329999999999</v>
      </c>
      <c r="L942">
        <v>369.55070000000001</v>
      </c>
      <c r="M942">
        <v>0.99988569999999999</v>
      </c>
      <c r="N942">
        <v>0</v>
      </c>
      <c r="O942">
        <v>-3.2004020000000002E-3</v>
      </c>
      <c r="P942">
        <v>0.99354679999999995</v>
      </c>
      <c r="Q942">
        <v>-4.4063159999999997E-2</v>
      </c>
      <c r="R942">
        <v>-0.1045133</v>
      </c>
      <c r="S942">
        <v>2.9426420000000002</v>
      </c>
      <c r="T942">
        <v>-0.14486729999999901</v>
      </c>
      <c r="U942">
        <v>-0.67031859999999999</v>
      </c>
      <c r="V942">
        <v>0.1013078</v>
      </c>
      <c r="W942">
        <v>-2.946054E-2</v>
      </c>
      <c r="X942">
        <v>0.99441889999999999</v>
      </c>
      <c r="Y942">
        <v>0.21873500000000001</v>
      </c>
      <c r="Z942">
        <v>-5.1575350000000004E-3</v>
      </c>
      <c r="AA942">
        <v>0.97577069999999999</v>
      </c>
      <c r="AB942">
        <v>36</v>
      </c>
      <c r="AC942">
        <v>22.349499999999999</v>
      </c>
      <c r="AD942">
        <v>-1.1092380873180001</v>
      </c>
      <c r="AE942">
        <v>-5.1319000000000301</v>
      </c>
      <c r="AF942">
        <v>5.0485254327384697</v>
      </c>
      <c r="AG942">
        <v>-1.1092380873180001</v>
      </c>
      <c r="AH942">
        <v>22.313599682940801</v>
      </c>
      <c r="AI942">
        <v>92.775856853233293</v>
      </c>
      <c r="AJ942">
        <v>77.251286549227501</v>
      </c>
      <c r="AK942">
        <v>22.9044700656858</v>
      </c>
      <c r="AL942">
        <v>91.688208749993194</v>
      </c>
      <c r="AM942">
        <v>84.182982414681206</v>
      </c>
      <c r="AN942">
        <v>1.0000000712175601</v>
      </c>
    </row>
    <row r="943" spans="1:40" x14ac:dyDescent="0.25">
      <c r="A943" t="str">
        <f>"20190312151516879"</f>
        <v>20190312151516879</v>
      </c>
      <c r="B943" t="str">
        <f>"1552374916868751"</f>
        <v>1552374916868751</v>
      </c>
      <c r="C943" t="s">
        <v>40</v>
      </c>
      <c r="D943">
        <v>5.0822029999999998</v>
      </c>
      <c r="E943">
        <v>0.54528120000000002</v>
      </c>
      <c r="F943" t="s">
        <v>43</v>
      </c>
      <c r="G943">
        <v>-220.34979999999999</v>
      </c>
      <c r="H943" s="1">
        <v>-5.033977E-6</v>
      </c>
      <c r="I943">
        <v>364.47640000000001</v>
      </c>
      <c r="J943">
        <v>-242.42080000000001</v>
      </c>
      <c r="K943">
        <v>1.109235</v>
      </c>
      <c r="L943">
        <v>369.54989999999998</v>
      </c>
      <c r="M943">
        <v>0.99988529999999998</v>
      </c>
      <c r="N943">
        <v>0</v>
      </c>
      <c r="O943">
        <v>-3.3690510000000001E-3</v>
      </c>
      <c r="P943">
        <v>0.99350179999999999</v>
      </c>
      <c r="Q943">
        <v>-4.3842109999999997E-2</v>
      </c>
      <c r="R943">
        <v>-0.10503460000000001</v>
      </c>
      <c r="S943">
        <v>2.942383</v>
      </c>
      <c r="T943">
        <v>-0.14669360000000001</v>
      </c>
      <c r="U943">
        <v>-0.67105099999999995</v>
      </c>
      <c r="V943">
        <v>0.1016616</v>
      </c>
      <c r="W943">
        <v>-2.924206E-2</v>
      </c>
      <c r="X943">
        <v>0.99438919999999997</v>
      </c>
      <c r="Y943">
        <v>0.2188138</v>
      </c>
      <c r="Z943">
        <v>-5.2164250000000002E-3</v>
      </c>
      <c r="AA943">
        <v>0.97575270000000003</v>
      </c>
      <c r="AB943">
        <v>36</v>
      </c>
      <c r="AC943">
        <v>22.071000000000002</v>
      </c>
      <c r="AD943">
        <v>-1.1092400339770001</v>
      </c>
      <c r="AE943">
        <v>-5.0734999999999602</v>
      </c>
      <c r="AF943">
        <v>4.9871402328320702</v>
      </c>
      <c r="AG943">
        <v>-1.1092400339770001</v>
      </c>
      <c r="AH943">
        <v>22.035105535734001</v>
      </c>
      <c r="AI943">
        <v>92.810844415339005</v>
      </c>
      <c r="AJ943">
        <v>77.247266999454695</v>
      </c>
      <c r="AK943">
        <v>22.6196343278543</v>
      </c>
      <c r="AL943">
        <v>91.675685442386595</v>
      </c>
      <c r="AM943">
        <v>84.162634381399698</v>
      </c>
      <c r="AN943">
        <v>1.0000000300321199</v>
      </c>
    </row>
    <row r="944" spans="1:40" x14ac:dyDescent="0.25">
      <c r="A944" t="str">
        <f>"20190312151516890"</f>
        <v>20190312151516890</v>
      </c>
      <c r="B944" t="str">
        <f>"1552374916878511"</f>
        <v>1552374916878511</v>
      </c>
      <c r="C944" t="s">
        <v>40</v>
      </c>
      <c r="D944">
        <v>4.8930509999999998</v>
      </c>
      <c r="E944">
        <v>0.54535290000000003</v>
      </c>
      <c r="F944" t="s">
        <v>43</v>
      </c>
      <c r="G944">
        <v>-220.29660000000001</v>
      </c>
      <c r="H944" s="1">
        <v>-5.0559589999999999E-6</v>
      </c>
      <c r="I944">
        <v>364.4812</v>
      </c>
      <c r="J944">
        <v>-242.2354</v>
      </c>
      <c r="K944">
        <v>1.1092340000000001</v>
      </c>
      <c r="L944">
        <v>369.54919999999998</v>
      </c>
      <c r="M944">
        <v>0.99988469999999996</v>
      </c>
      <c r="N944">
        <v>0</v>
      </c>
      <c r="O944">
        <v>-3.5444930000000001E-3</v>
      </c>
      <c r="P944">
        <v>0.99345910000000004</v>
      </c>
      <c r="Q944">
        <v>-4.3655869999999999E-2</v>
      </c>
      <c r="R944">
        <v>-0.1055155</v>
      </c>
      <c r="S944">
        <v>2.9418639999999998</v>
      </c>
      <c r="T944">
        <v>-0.1474953</v>
      </c>
      <c r="U944">
        <v>-0.67398069999999999</v>
      </c>
      <c r="V944">
        <v>0.10196819999999999</v>
      </c>
      <c r="W944">
        <v>-2.905837E-2</v>
      </c>
      <c r="X944">
        <v>0.9943632</v>
      </c>
      <c r="Y944">
        <v>0.21959980000000001</v>
      </c>
      <c r="Z944">
        <v>-5.2559869999999898E-3</v>
      </c>
      <c r="AA944">
        <v>0.97557590000000005</v>
      </c>
      <c r="AB944">
        <v>36</v>
      </c>
      <c r="AC944">
        <v>21.938799999999901</v>
      </c>
      <c r="AD944">
        <v>-1.109239055959</v>
      </c>
      <c r="AE944">
        <v>-5.0679999999999801</v>
      </c>
      <c r="AF944">
        <v>4.9781165245574099</v>
      </c>
      <c r="AG944">
        <v>-1.109239055959</v>
      </c>
      <c r="AH944">
        <v>21.903470774722901</v>
      </c>
      <c r="AI944">
        <v>92.827129754876793</v>
      </c>
      <c r="AJ944">
        <v>77.195597168108705</v>
      </c>
      <c r="AK944">
        <v>22.489421677634901</v>
      </c>
      <c r="AL944">
        <v>91.665156293078994</v>
      </c>
      <c r="AM944">
        <v>84.144999631298106</v>
      </c>
      <c r="AN944">
        <v>1.0000000380962599</v>
      </c>
    </row>
    <row r="945" spans="1:40" x14ac:dyDescent="0.25">
      <c r="A945" t="str">
        <f>"20190312151516901"</f>
        <v>20190312151516901</v>
      </c>
      <c r="B945" t="str">
        <f>"1552374916899006"</f>
        <v>1552374916899006</v>
      </c>
      <c r="C945" t="s">
        <v>40</v>
      </c>
      <c r="D945">
        <v>4.8436859999999999</v>
      </c>
      <c r="E945">
        <v>0.54530730000000005</v>
      </c>
      <c r="F945" t="s">
        <v>43</v>
      </c>
      <c r="G945">
        <v>-220.239</v>
      </c>
      <c r="H945" s="1">
        <v>-5.0784109999999996E-6</v>
      </c>
      <c r="I945">
        <v>364.4939</v>
      </c>
      <c r="J945">
        <v>-242.0633</v>
      </c>
      <c r="K945">
        <v>1.10924</v>
      </c>
      <c r="L945">
        <v>369.54840000000002</v>
      </c>
      <c r="M945">
        <v>0.9998842</v>
      </c>
      <c r="N945">
        <v>0</v>
      </c>
      <c r="O945">
        <v>-3.7076589999999999E-3</v>
      </c>
      <c r="P945">
        <v>0.99343689999999996</v>
      </c>
      <c r="Q945">
        <v>-4.321697E-2</v>
      </c>
      <c r="R945">
        <v>-0.1059047</v>
      </c>
      <c r="S945">
        <v>2.9414370000000001</v>
      </c>
      <c r="T945">
        <v>-0.1483305</v>
      </c>
      <c r="U945">
        <v>-0.67599489999999995</v>
      </c>
      <c r="V945">
        <v>0.102196</v>
      </c>
      <c r="W945">
        <v>-2.8621529999999999E-2</v>
      </c>
      <c r="X945">
        <v>0.99435249999999997</v>
      </c>
      <c r="Y945">
        <v>0.22010270000000001</v>
      </c>
      <c r="Z945">
        <v>-5.290454E-3</v>
      </c>
      <c r="AA945">
        <v>0.97546239999999995</v>
      </c>
      <c r="AB945">
        <v>36</v>
      </c>
      <c r="AC945">
        <v>21.824299999999901</v>
      </c>
      <c r="AD945">
        <v>-1.109245078411</v>
      </c>
      <c r="AE945">
        <v>-5.0545000000000098</v>
      </c>
      <c r="AF945">
        <v>4.9613751371752004</v>
      </c>
      <c r="AG945">
        <v>-1.109245078411</v>
      </c>
      <c r="AH945">
        <v>21.789469220784898</v>
      </c>
      <c r="AI945">
        <v>92.841654189169603</v>
      </c>
      <c r="AJ945">
        <v>77.172675067065398</v>
      </c>
      <c r="AK945">
        <v>22.374687412772801</v>
      </c>
      <c r="AL945">
        <v>91.640116763507095</v>
      </c>
      <c r="AM945">
        <v>84.131947855750099</v>
      </c>
      <c r="AN945">
        <v>1.00000005432589</v>
      </c>
    </row>
    <row r="946" spans="1:40" x14ac:dyDescent="0.25">
      <c r="A946" t="str">
        <f>"20190312151516914"</f>
        <v>20190312151516914</v>
      </c>
      <c r="B946" t="str">
        <f>"1552374916908768"</f>
        <v>1552374916908768</v>
      </c>
      <c r="C946" t="s">
        <v>40</v>
      </c>
      <c r="D946">
        <v>4.8424319999999996</v>
      </c>
      <c r="E946">
        <v>0.54529050000000001</v>
      </c>
      <c r="F946" t="s">
        <v>43</v>
      </c>
      <c r="G946">
        <v>-220.29669999999999</v>
      </c>
      <c r="H946" s="1">
        <v>-5.0456849999999996E-6</v>
      </c>
      <c r="I946">
        <v>364.53870000000001</v>
      </c>
      <c r="J946">
        <v>-241.8519</v>
      </c>
      <c r="K946">
        <v>1.1092420000000001</v>
      </c>
      <c r="L946">
        <v>369.54739999999998</v>
      </c>
      <c r="M946">
        <v>0.99988330000000003</v>
      </c>
      <c r="N946">
        <v>0</v>
      </c>
      <c r="O946">
        <v>-3.9075350000000002E-3</v>
      </c>
      <c r="P946">
        <v>0.99339169999999999</v>
      </c>
      <c r="Q946">
        <v>-4.292224E-2</v>
      </c>
      <c r="R946">
        <v>-0.10644530000000001</v>
      </c>
      <c r="S946">
        <v>2.9411320000000001</v>
      </c>
      <c r="T946">
        <v>-0.1498823</v>
      </c>
      <c r="U946">
        <v>-0.67691040000000002</v>
      </c>
      <c r="V946">
        <v>0.1025382</v>
      </c>
      <c r="W946">
        <v>-2.8329630000000001E-2</v>
      </c>
      <c r="X946">
        <v>0.99432560000000003</v>
      </c>
      <c r="Y946">
        <v>0.22021270000000001</v>
      </c>
      <c r="Z946">
        <v>-5.3388109999999997E-3</v>
      </c>
      <c r="AA946">
        <v>0.97543729999999995</v>
      </c>
      <c r="AB946">
        <v>36</v>
      </c>
      <c r="AC946">
        <v>21.555199999999999</v>
      </c>
      <c r="AD946">
        <v>-1.1092470456849901</v>
      </c>
      <c r="AE946">
        <v>-5.00869999999997</v>
      </c>
      <c r="AF946">
        <v>4.9120830252018299</v>
      </c>
      <c r="AG946">
        <v>-1.1092470456849901</v>
      </c>
      <c r="AH946">
        <v>21.5205378331476</v>
      </c>
      <c r="AI946">
        <v>92.876765315864802</v>
      </c>
      <c r="AJ946">
        <v>77.142450485976497</v>
      </c>
      <c r="AK946">
        <v>22.101867280453401</v>
      </c>
      <c r="AL946">
        <v>91.6233853897931</v>
      </c>
      <c r="AM946">
        <v>84.112278509804497</v>
      </c>
      <c r="AN946">
        <v>1.0000000246052601</v>
      </c>
    </row>
    <row r="947" spans="1:40" x14ac:dyDescent="0.25">
      <c r="A947" t="str">
        <f>"20190312151516936"</f>
        <v>20190312151516936</v>
      </c>
      <c r="B947" t="str">
        <f>"1552374916928287"</f>
        <v>1552374916928287</v>
      </c>
      <c r="C947" t="s">
        <v>40</v>
      </c>
      <c r="D947">
        <v>4.9127140000000002</v>
      </c>
      <c r="E947">
        <v>0.54534119999999997</v>
      </c>
      <c r="F947" t="s">
        <v>43</v>
      </c>
      <c r="G947">
        <v>-220.17609999999999</v>
      </c>
      <c r="H947" s="1">
        <v>-5.0958039999999997E-6</v>
      </c>
      <c r="I947">
        <v>364.54790000000003</v>
      </c>
      <c r="J947">
        <v>-241.5147</v>
      </c>
      <c r="K947">
        <v>1.1092439999999999</v>
      </c>
      <c r="L947">
        <v>369.54579999999999</v>
      </c>
      <c r="M947">
        <v>0.99988200000000005</v>
      </c>
      <c r="N947">
        <v>0</v>
      </c>
      <c r="O947">
        <v>-4.2270729999999996E-3</v>
      </c>
      <c r="P947">
        <v>0.99330370000000001</v>
      </c>
      <c r="Q947">
        <v>-4.2349339999999999E-2</v>
      </c>
      <c r="R947">
        <v>-0.1074923</v>
      </c>
      <c r="S947">
        <v>2.9407960000000002</v>
      </c>
      <c r="T947">
        <v>-0.15049309999999999</v>
      </c>
      <c r="U947">
        <v>-0.67828369999999905</v>
      </c>
      <c r="V947">
        <v>0.1032684</v>
      </c>
      <c r="W947">
        <v>-2.77617E-2</v>
      </c>
      <c r="X947">
        <v>0.99426599999999998</v>
      </c>
      <c r="Y947">
        <v>0.22035589999999999</v>
      </c>
      <c r="Z947">
        <v>-5.3483469999999998E-3</v>
      </c>
      <c r="AA947">
        <v>0.97540490000000002</v>
      </c>
      <c r="AB947">
        <v>36</v>
      </c>
      <c r="AC947">
        <v>21.3386</v>
      </c>
      <c r="AD947">
        <v>-1.109249095804</v>
      </c>
      <c r="AE947">
        <v>-4.9978999999999498</v>
      </c>
      <c r="AF947">
        <v>4.8951057753183296</v>
      </c>
      <c r="AG947">
        <v>-1.109249095804</v>
      </c>
      <c r="AH947">
        <v>21.304960704009201</v>
      </c>
      <c r="AI947">
        <v>92.904875286300594</v>
      </c>
      <c r="AJ947">
        <v>77.060097020142805</v>
      </c>
      <c r="AK947">
        <v>21.8882124603055</v>
      </c>
      <c r="AL947">
        <v>91.590832669628199</v>
      </c>
      <c r="AM947">
        <v>84.070295353922205</v>
      </c>
      <c r="AN947">
        <v>0.99999997659072404</v>
      </c>
    </row>
    <row r="948" spans="1:40" x14ac:dyDescent="0.25">
      <c r="A948" t="str">
        <f>"20190312151516958"</f>
        <v>20190312151516958</v>
      </c>
      <c r="B948" t="str">
        <f>"1552374916948782"</f>
        <v>1552374916948782</v>
      </c>
      <c r="C948" t="s">
        <v>40</v>
      </c>
      <c r="D948">
        <v>5.1842980000000001</v>
      </c>
      <c r="E948">
        <v>0.54528829999999995</v>
      </c>
      <c r="F948" t="s">
        <v>43</v>
      </c>
      <c r="G948">
        <v>-219.94</v>
      </c>
      <c r="H948" s="1">
        <v>-1.3560550000000001E-6</v>
      </c>
      <c r="I948">
        <v>364.54430000000002</v>
      </c>
      <c r="J948">
        <v>-241.1602</v>
      </c>
      <c r="K948">
        <v>1.1092439999999999</v>
      </c>
      <c r="L948">
        <v>369.54390000000001</v>
      </c>
      <c r="M948">
        <v>0.99988080000000001</v>
      </c>
      <c r="N948">
        <v>0</v>
      </c>
      <c r="O948">
        <v>-4.5632989999999998E-3</v>
      </c>
      <c r="P948">
        <v>0.99321800000000005</v>
      </c>
      <c r="Q948">
        <v>-4.2018149999999997E-2</v>
      </c>
      <c r="R948">
        <v>-0.10841050000000001</v>
      </c>
      <c r="S948">
        <v>2.9400019999999998</v>
      </c>
      <c r="T948">
        <v>-0.15115709999999999</v>
      </c>
      <c r="U948">
        <v>-0.68154910000000002</v>
      </c>
      <c r="V948">
        <v>0.10385320000000001</v>
      </c>
      <c r="W948">
        <v>-2.7435359999999999E-2</v>
      </c>
      <c r="X948">
        <v>0.99421420000000005</v>
      </c>
      <c r="Y948">
        <v>0.2211109</v>
      </c>
      <c r="Z948">
        <v>-5.3747589999999998E-3</v>
      </c>
      <c r="AA948">
        <v>0.97523389999999999</v>
      </c>
      <c r="AB948">
        <v>36</v>
      </c>
      <c r="AC948">
        <v>21.220199999999998</v>
      </c>
      <c r="AD948">
        <v>-1.109245356055</v>
      </c>
      <c r="AE948">
        <v>-4.9995999999999796</v>
      </c>
      <c r="AF948">
        <v>4.8900440677950403</v>
      </c>
      <c r="AG948">
        <v>-1.109245356055</v>
      </c>
      <c r="AH948">
        <v>21.187945386271</v>
      </c>
      <c r="AI948">
        <v>92.920223883202496</v>
      </c>
      <c r="AJ948">
        <v>77.004052743035501</v>
      </c>
      <c r="AK948">
        <v>21.773194206099099</v>
      </c>
      <c r="AL948">
        <v>91.572127554197394</v>
      </c>
      <c r="AM948">
        <v>84.036648785793602</v>
      </c>
      <c r="AN948">
        <v>1.0000000308051</v>
      </c>
    </row>
    <row r="949" spans="1:40" x14ac:dyDescent="0.25">
      <c r="A949" t="str">
        <f>"20190312151516972"</f>
        <v>20190312151516972</v>
      </c>
      <c r="B949" t="str">
        <f>"1552374916968303"</f>
        <v>1552374916968303</v>
      </c>
      <c r="C949" t="s">
        <v>40</v>
      </c>
      <c r="D949">
        <v>5.1087610000000003</v>
      </c>
      <c r="E949">
        <v>0.54558030000000002</v>
      </c>
      <c r="F949" t="s">
        <v>43</v>
      </c>
      <c r="G949">
        <v>-219.5795</v>
      </c>
      <c r="H949" s="1">
        <v>-1.4841689999999999E-6</v>
      </c>
      <c r="I949">
        <v>364.52379999999999</v>
      </c>
      <c r="J949">
        <v>-240.92330000000001</v>
      </c>
      <c r="K949">
        <v>1.1092409999999999</v>
      </c>
      <c r="L949">
        <v>369.54270000000002</v>
      </c>
      <c r="M949">
        <v>0.99987969999999904</v>
      </c>
      <c r="N949">
        <v>0</v>
      </c>
      <c r="O949">
        <v>-4.7879669999999997E-3</v>
      </c>
      <c r="P949">
        <v>0.99319080000000004</v>
      </c>
      <c r="Q949">
        <v>-4.1781449999999998E-2</v>
      </c>
      <c r="R949">
        <v>-0.1087499</v>
      </c>
      <c r="S949">
        <v>2.9394529999999999</v>
      </c>
      <c r="T949">
        <v>-0.15108729999999901</v>
      </c>
      <c r="U949">
        <v>-0.68377690000000002</v>
      </c>
      <c r="V949">
        <v>0.1039698</v>
      </c>
      <c r="W949">
        <v>-2.7201110000000001E-2</v>
      </c>
      <c r="X949">
        <v>0.99420839999999999</v>
      </c>
      <c r="Y949">
        <v>0.221633</v>
      </c>
      <c r="Z949">
        <v>-5.3746469999999998E-3</v>
      </c>
      <c r="AA949">
        <v>0.97511539999999997</v>
      </c>
      <c r="AB949">
        <v>36</v>
      </c>
      <c r="AC949">
        <v>21.343800000000002</v>
      </c>
      <c r="AD949">
        <v>-1.1092424841689901</v>
      </c>
      <c r="AE949">
        <v>-5.0189000000000297</v>
      </c>
      <c r="AF949">
        <v>4.9040864613200403</v>
      </c>
      <c r="AG949">
        <v>-1.1092424841689901</v>
      </c>
      <c r="AH949">
        <v>21.3130398835325</v>
      </c>
      <c r="AI949">
        <v>92.903547130749004</v>
      </c>
      <c r="AJ949">
        <v>77.041906271943404</v>
      </c>
      <c r="AK949">
        <v>21.898085578101</v>
      </c>
      <c r="AL949">
        <v>91.558701084667405</v>
      </c>
      <c r="AM949">
        <v>84.029967252634705</v>
      </c>
      <c r="AN949">
        <v>0.99999998116391497</v>
      </c>
    </row>
    <row r="950" spans="1:40" x14ac:dyDescent="0.25">
      <c r="A950" t="str">
        <f>"20190312151516986"</f>
        <v>20190312151516986</v>
      </c>
      <c r="B950" t="str">
        <f>"1552374916979039"</f>
        <v>1552374916979039</v>
      </c>
      <c r="C950" t="s">
        <v>40</v>
      </c>
      <c r="D950">
        <v>4.8882760000000003</v>
      </c>
      <c r="E950">
        <v>0.54561569999999904</v>
      </c>
      <c r="F950" t="s">
        <v>43</v>
      </c>
      <c r="G950">
        <v>-219.60249999999999</v>
      </c>
      <c r="H950" s="1">
        <v>-1.4677879999999901E-6</v>
      </c>
      <c r="I950">
        <v>364.55610000000001</v>
      </c>
      <c r="J950">
        <v>-240.7047</v>
      </c>
      <c r="K950">
        <v>1.1092409999999999</v>
      </c>
      <c r="L950">
        <v>369.54140000000001</v>
      </c>
      <c r="M950">
        <v>0.99987879999999996</v>
      </c>
      <c r="N950">
        <v>0</v>
      </c>
      <c r="O950">
        <v>-4.9954709999999996E-3</v>
      </c>
      <c r="P950">
        <v>0.99317200000000005</v>
      </c>
      <c r="Q950">
        <v>-4.142527E-2</v>
      </c>
      <c r="R950">
        <v>-0.1090573</v>
      </c>
      <c r="S950">
        <v>2.9388580000000002</v>
      </c>
      <c r="T950">
        <v>-0.15289720000000001</v>
      </c>
      <c r="U950">
        <v>-0.68734740000000005</v>
      </c>
      <c r="V950">
        <v>0.10407139999999999</v>
      </c>
      <c r="W950">
        <v>-2.684721E-2</v>
      </c>
      <c r="X950">
        <v>0.99420739999999996</v>
      </c>
      <c r="Y950">
        <v>0.22259019999999999</v>
      </c>
      <c r="Z950">
        <v>-5.4531889999999998E-3</v>
      </c>
      <c r="AA950">
        <v>0.97489680000000001</v>
      </c>
      <c r="AB950">
        <v>36</v>
      </c>
      <c r="AC950">
        <v>21.1022</v>
      </c>
      <c r="AD950">
        <v>-1.109242467788</v>
      </c>
      <c r="AE950">
        <v>-4.9852999999999899</v>
      </c>
      <c r="AF950">
        <v>4.8670735493171904</v>
      </c>
      <c r="AG950">
        <v>-1.109242467788</v>
      </c>
      <c r="AH950">
        <v>21.071697721624599</v>
      </c>
      <c r="AI950">
        <v>92.936180676516202</v>
      </c>
      <c r="AJ950">
        <v>76.994091587293894</v>
      </c>
      <c r="AK950">
        <v>21.6549132683169</v>
      </c>
      <c r="AL950">
        <v>91.538416683503399</v>
      </c>
      <c r="AM950">
        <v>84.024169524303005</v>
      </c>
      <c r="AN950">
        <v>0.99999999159875197</v>
      </c>
    </row>
    <row r="951" spans="1:40" x14ac:dyDescent="0.25">
      <c r="A951" t="str">
        <f>"20190312151517001"</f>
        <v>20190312151517001</v>
      </c>
      <c r="B951" t="str">
        <f>"1552374916998559"</f>
        <v>1552374916998559</v>
      </c>
      <c r="C951" t="s">
        <v>40</v>
      </c>
      <c r="D951">
        <v>4.8905120000000002</v>
      </c>
      <c r="E951">
        <v>0.54573549999999904</v>
      </c>
      <c r="F951" t="s">
        <v>43</v>
      </c>
      <c r="G951">
        <v>-219.34</v>
      </c>
      <c r="H951" s="1">
        <v>-1.5625169999999999E-6</v>
      </c>
      <c r="I951">
        <v>364.53579999999999</v>
      </c>
      <c r="J951">
        <v>-240.45500000000001</v>
      </c>
      <c r="K951">
        <v>1.109243</v>
      </c>
      <c r="L951">
        <v>369.53989999999999</v>
      </c>
      <c r="M951">
        <v>0.99987760000000003</v>
      </c>
      <c r="N951">
        <v>0</v>
      </c>
      <c r="O951">
        <v>-5.2321759999999998E-3</v>
      </c>
      <c r="P951">
        <v>0.99307990000000002</v>
      </c>
      <c r="Q951">
        <v>-4.1248849999999997E-2</v>
      </c>
      <c r="R951">
        <v>-0.1099586</v>
      </c>
      <c r="S951">
        <v>2.93866</v>
      </c>
      <c r="T951">
        <v>-0.15257279999999901</v>
      </c>
      <c r="U951">
        <v>-0.68850710000000004</v>
      </c>
      <c r="V951">
        <v>0.1047381</v>
      </c>
      <c r="W951">
        <v>-2.6674960000000001E-2</v>
      </c>
      <c r="X951">
        <v>0.99414210000000003</v>
      </c>
      <c r="Y951">
        <v>0.22273999999999999</v>
      </c>
      <c r="Z951">
        <v>-5.4334680000000003E-3</v>
      </c>
      <c r="AA951">
        <v>0.97486280000000003</v>
      </c>
      <c r="AB951">
        <v>36</v>
      </c>
      <c r="AC951">
        <v>21.114999999999998</v>
      </c>
      <c r="AD951">
        <v>-1.109244562517</v>
      </c>
      <c r="AE951">
        <v>-5.0040999999999896</v>
      </c>
      <c r="AF951">
        <v>4.8807885504186803</v>
      </c>
      <c r="AG951">
        <v>-1.109244562517</v>
      </c>
      <c r="AH951">
        <v>21.0857987696781</v>
      </c>
      <c r="AI951">
        <v>92.933907233385796</v>
      </c>
      <c r="AJ951">
        <v>76.967116643366097</v>
      </c>
      <c r="AK951">
        <v>21.671719593256299</v>
      </c>
      <c r="AL951">
        <v>91.528543831150103</v>
      </c>
      <c r="AM951">
        <v>83.985774828543796</v>
      </c>
      <c r="AN951">
        <v>1.0000000690374999</v>
      </c>
    </row>
    <row r="952" spans="1:40" x14ac:dyDescent="0.25">
      <c r="A952" t="str">
        <f>"20190312151517013"</f>
        <v>20190312151517013</v>
      </c>
      <c r="B952" t="str">
        <f>"1552374917008320"</f>
        <v>1552374917008320</v>
      </c>
      <c r="C952" t="s">
        <v>40</v>
      </c>
      <c r="D952">
        <v>4.8718789999999998</v>
      </c>
      <c r="E952">
        <v>0.54576569999999902</v>
      </c>
      <c r="F952" t="s">
        <v>43</v>
      </c>
      <c r="G952">
        <v>-219.26759999999999</v>
      </c>
      <c r="H952" s="1">
        <v>-1.5841809999999999E-6</v>
      </c>
      <c r="I952">
        <v>364.54700000000003</v>
      </c>
      <c r="J952">
        <v>-240.26439999999999</v>
      </c>
      <c r="K952">
        <v>1.1092420000000001</v>
      </c>
      <c r="L952">
        <v>369.53879999999998</v>
      </c>
      <c r="M952">
        <v>0.9998766</v>
      </c>
      <c r="N952">
        <v>0</v>
      </c>
      <c r="O952">
        <v>-5.4129819999999898E-3</v>
      </c>
      <c r="P952">
        <v>0.99300390000000005</v>
      </c>
      <c r="Q952">
        <v>-4.1612509999999998E-2</v>
      </c>
      <c r="R952">
        <v>-0.1105057</v>
      </c>
      <c r="S952">
        <v>2.9378510000000002</v>
      </c>
      <c r="T952">
        <v>-0.15380739999999901</v>
      </c>
      <c r="U952">
        <v>-0.69232179999999999</v>
      </c>
      <c r="V952">
        <v>0.1051058</v>
      </c>
      <c r="W952">
        <v>-2.704177E-2</v>
      </c>
      <c r="X952">
        <v>0.99409329999999996</v>
      </c>
      <c r="Y952">
        <v>0.22381709999999999</v>
      </c>
      <c r="Z952">
        <v>-5.4965090000000001E-3</v>
      </c>
      <c r="AA952">
        <v>0.97461569999999997</v>
      </c>
      <c r="AB952">
        <v>36</v>
      </c>
      <c r="AC952">
        <v>20.9968</v>
      </c>
      <c r="AD952">
        <v>-1.109243584181</v>
      </c>
      <c r="AE952">
        <v>-4.9918000000000102</v>
      </c>
      <c r="AF952">
        <v>4.8652071849941203</v>
      </c>
      <c r="AG952">
        <v>-1.109243584181</v>
      </c>
      <c r="AH952">
        <v>20.968126061658602</v>
      </c>
      <c r="AI952">
        <v>92.949980581120798</v>
      </c>
      <c r="AJ952">
        <v>76.936888126786798</v>
      </c>
      <c r="AK952">
        <v>21.5537229456902</v>
      </c>
      <c r="AL952">
        <v>91.549568205112706</v>
      </c>
      <c r="AM952">
        <v>83.964522400462002</v>
      </c>
      <c r="AN952">
        <v>0.99999998781163102</v>
      </c>
    </row>
    <row r="953" spans="1:40" x14ac:dyDescent="0.25">
      <c r="A953" t="str">
        <f>"20190312151517024"</f>
        <v>20190312151517024</v>
      </c>
      <c r="B953" t="str">
        <f>"1552374917018079"</f>
        <v>1552374917018079</v>
      </c>
      <c r="C953" t="s">
        <v>40</v>
      </c>
      <c r="D953">
        <v>4.8594369999999998</v>
      </c>
      <c r="E953">
        <v>0.54583400000000004</v>
      </c>
      <c r="F953" t="s">
        <v>43</v>
      </c>
      <c r="G953">
        <v>-219.3973</v>
      </c>
      <c r="H953" s="1">
        <v>-1.523796E-6</v>
      </c>
      <c r="I953">
        <v>364.60789999999997</v>
      </c>
      <c r="J953">
        <v>-240.07380000000001</v>
      </c>
      <c r="K953">
        <v>1.109243</v>
      </c>
      <c r="L953">
        <v>369.5376</v>
      </c>
      <c r="M953">
        <v>0.99987559999999998</v>
      </c>
      <c r="N953">
        <v>0</v>
      </c>
      <c r="O953">
        <v>-5.5937900000000004E-3</v>
      </c>
      <c r="P953">
        <v>0.99295509999999998</v>
      </c>
      <c r="Q953">
        <v>-4.1801560000000001E-2</v>
      </c>
      <c r="R953">
        <v>-0.1108735</v>
      </c>
      <c r="S953">
        <v>2.9373629999999999</v>
      </c>
      <c r="T953">
        <v>-0.15614249999999999</v>
      </c>
      <c r="U953">
        <v>-0.69409180000000004</v>
      </c>
      <c r="V953">
        <v>0.10529380000000001</v>
      </c>
      <c r="W953">
        <v>-2.7233540000000001E-2</v>
      </c>
      <c r="X953">
        <v>0.99406819999999896</v>
      </c>
      <c r="Y953">
        <v>0.22422429999999999</v>
      </c>
      <c r="Z953">
        <v>-5.5815639999999998E-3</v>
      </c>
      <c r="AA953">
        <v>0.97452159999999999</v>
      </c>
      <c r="AB953">
        <v>36</v>
      </c>
      <c r="AC953">
        <v>20.676500000000001</v>
      </c>
      <c r="AD953">
        <v>-1.109244523796</v>
      </c>
      <c r="AE953">
        <v>-4.92970000000002</v>
      </c>
      <c r="AF953">
        <v>4.8008762307986599</v>
      </c>
      <c r="AG953">
        <v>-1.109244523796</v>
      </c>
      <c r="AH953">
        <v>20.647526506859499</v>
      </c>
      <c r="AI953">
        <v>92.995384459669197</v>
      </c>
      <c r="AJ953">
        <v>76.910408136914796</v>
      </c>
      <c r="AK953">
        <v>21.2273217069061</v>
      </c>
      <c r="AL953">
        <v>91.560559817729498</v>
      </c>
      <c r="AM953">
        <v>83.953655260150299</v>
      </c>
      <c r="AN953">
        <v>1.0000000181352999</v>
      </c>
    </row>
    <row r="954" spans="1:40" x14ac:dyDescent="0.25">
      <c r="A954" t="str">
        <f>"20190312151517036"</f>
        <v>20190312151517036</v>
      </c>
      <c r="B954" t="str">
        <f>"1552374917028815"</f>
        <v>1552374917028815</v>
      </c>
      <c r="C954" t="s">
        <v>40</v>
      </c>
      <c r="D954">
        <v>4.8499299999999996</v>
      </c>
      <c r="E954">
        <v>0.5458288</v>
      </c>
      <c r="F954" t="s">
        <v>43</v>
      </c>
      <c r="G954">
        <v>-219.41380000000001</v>
      </c>
      <c r="H954" s="1">
        <v>-1.5089089999999999E-6</v>
      </c>
      <c r="I954">
        <v>364.64280000000002</v>
      </c>
      <c r="J954">
        <v>-239.8963</v>
      </c>
      <c r="K954">
        <v>1.109248</v>
      </c>
      <c r="L954">
        <v>369.53640000000001</v>
      </c>
      <c r="M954">
        <v>0.99987470000000001</v>
      </c>
      <c r="N954">
        <v>0</v>
      </c>
      <c r="O954">
        <v>-5.7622019999999897E-3</v>
      </c>
      <c r="P954">
        <v>0.99289059999999996</v>
      </c>
      <c r="Q954">
        <v>-4.2020879999999997E-2</v>
      </c>
      <c r="R954">
        <v>-0.11136699999999999</v>
      </c>
      <c r="S954">
        <v>2.9369809999999998</v>
      </c>
      <c r="T954">
        <v>-0.15768740000000001</v>
      </c>
      <c r="U954">
        <v>-0.69583130000000004</v>
      </c>
      <c r="V954">
        <v>0.1056202</v>
      </c>
      <c r="W954">
        <v>-2.7455770000000001E-2</v>
      </c>
      <c r="X954">
        <v>0.99402740000000001</v>
      </c>
      <c r="Y954">
        <v>0.22462889999999999</v>
      </c>
      <c r="Z954">
        <v>-5.6388419999999998E-3</v>
      </c>
      <c r="AA954">
        <v>0.97442810000000002</v>
      </c>
      <c r="AB954">
        <v>36</v>
      </c>
      <c r="AC954">
        <v>20.482499999999899</v>
      </c>
      <c r="AD954">
        <v>-1.109249508909</v>
      </c>
      <c r="AE954">
        <v>-4.8935999999999904</v>
      </c>
      <c r="AF954">
        <v>4.7622687056501496</v>
      </c>
      <c r="AG954">
        <v>-1.109249508909</v>
      </c>
      <c r="AH954">
        <v>20.453612365428999</v>
      </c>
      <c r="AI954">
        <v>93.023532785500905</v>
      </c>
      <c r="AJ954">
        <v>76.893186710061002</v>
      </c>
      <c r="AK954">
        <v>21.029976141048301</v>
      </c>
      <c r="AL954">
        <v>91.573297514777195</v>
      </c>
      <c r="AM954">
        <v>83.934804612211295</v>
      </c>
      <c r="AN954">
        <v>0.99999995895254501</v>
      </c>
    </row>
    <row r="955" spans="1:40" x14ac:dyDescent="0.25">
      <c r="A955" t="str">
        <f>"20190312151517048"</f>
        <v>20190312151517048</v>
      </c>
      <c r="B955" t="str">
        <f>"1552374917038575"</f>
        <v>1552374917038575</v>
      </c>
      <c r="C955" t="s">
        <v>40</v>
      </c>
      <c r="D955">
        <v>4.8991490000000004</v>
      </c>
      <c r="E955">
        <v>0.54585209999999995</v>
      </c>
      <c r="F955" t="s">
        <v>43</v>
      </c>
      <c r="G955">
        <v>-219.4898</v>
      </c>
      <c r="H955" s="1">
        <v>-1.469614E-6</v>
      </c>
      <c r="I955">
        <v>364.69330000000002</v>
      </c>
      <c r="J955">
        <v>-239.7088</v>
      </c>
      <c r="K955">
        <v>1.1092470000000001</v>
      </c>
      <c r="L955">
        <v>369.53519999999997</v>
      </c>
      <c r="M955">
        <v>0.99987380000000003</v>
      </c>
      <c r="N955">
        <v>0</v>
      </c>
      <c r="O955">
        <v>-5.9403879999999996E-3</v>
      </c>
      <c r="P955">
        <v>0.99283650000000001</v>
      </c>
      <c r="Q955">
        <v>-4.2300310000000001E-2</v>
      </c>
      <c r="R955">
        <v>-0.1117435</v>
      </c>
      <c r="S955">
        <v>2.9365540000000001</v>
      </c>
      <c r="T955">
        <v>-0.1596234</v>
      </c>
      <c r="U955">
        <v>-0.69692989999999999</v>
      </c>
      <c r="V955">
        <v>0.105819899999999</v>
      </c>
      <c r="W955">
        <v>-2.7737950000000001E-2</v>
      </c>
      <c r="X955">
        <v>0.9939983</v>
      </c>
      <c r="Y955">
        <v>0.22482479999999999</v>
      </c>
      <c r="Z955">
        <v>-5.7042430000000003E-3</v>
      </c>
      <c r="AA955">
        <v>0.97438250000000004</v>
      </c>
      <c r="AB955">
        <v>36</v>
      </c>
      <c r="AC955">
        <v>20.218999999999902</v>
      </c>
      <c r="AD955">
        <v>-1.1092484696139999</v>
      </c>
      <c r="AE955">
        <v>-4.8418999999999501</v>
      </c>
      <c r="AF955">
        <v>4.7082903627390298</v>
      </c>
      <c r="AG955">
        <v>-1.1092484696139999</v>
      </c>
      <c r="AH955">
        <v>20.189937144586299</v>
      </c>
      <c r="AI955">
        <v>93.062693653525201</v>
      </c>
      <c r="AJ955">
        <v>76.873230914167493</v>
      </c>
      <c r="AK955">
        <v>20.761309982983899</v>
      </c>
      <c r="AL955">
        <v>91.589471440290097</v>
      </c>
      <c r="AM955">
        <v>83.923246077631006</v>
      </c>
      <c r="AN955">
        <v>0.99999993275454901</v>
      </c>
    </row>
    <row r="956" spans="1:40" x14ac:dyDescent="0.25">
      <c r="A956" t="str">
        <f>"20190312151517059"</f>
        <v>20190312151517059</v>
      </c>
      <c r="B956" t="str">
        <f>"1552374917048335"</f>
        <v>1552374917048335</v>
      </c>
      <c r="C956" t="s">
        <v>40</v>
      </c>
      <c r="D956">
        <v>4.9079639999999998</v>
      </c>
      <c r="E956">
        <v>0.54593199999999997</v>
      </c>
      <c r="F956" t="s">
        <v>43</v>
      </c>
      <c r="G956">
        <v>-219.56120000000001</v>
      </c>
      <c r="H956" s="1">
        <v>-1.432322E-6</v>
      </c>
      <c r="I956">
        <v>364.74220000000003</v>
      </c>
      <c r="J956">
        <v>-239.53909999999999</v>
      </c>
      <c r="K956">
        <v>1.109246</v>
      </c>
      <c r="L956">
        <v>369.53399999999999</v>
      </c>
      <c r="M956">
        <v>0.99987289999999995</v>
      </c>
      <c r="N956">
        <v>0</v>
      </c>
      <c r="O956">
        <v>-6.101291E-3</v>
      </c>
      <c r="P956">
        <v>0.99274010000000001</v>
      </c>
      <c r="Q956">
        <v>-4.2701570000000001E-2</v>
      </c>
      <c r="R956">
        <v>-0.1124454</v>
      </c>
      <c r="S956">
        <v>2.9361419999999998</v>
      </c>
      <c r="T956">
        <v>-0.16165160000000001</v>
      </c>
      <c r="U956">
        <v>-0.6984863</v>
      </c>
      <c r="V956">
        <v>0.106361999999999</v>
      </c>
      <c r="W956">
        <v>-2.814266E-2</v>
      </c>
      <c r="X956">
        <v>0.99392910000000001</v>
      </c>
      <c r="Y956">
        <v>0.2251795</v>
      </c>
      <c r="Z956">
        <v>-5.7779519999999899E-3</v>
      </c>
      <c r="AA956">
        <v>0.9743001</v>
      </c>
      <c r="AB956">
        <v>36</v>
      </c>
      <c r="AC956">
        <v>19.977899999999899</v>
      </c>
      <c r="AD956">
        <v>-1.1092474323219901</v>
      </c>
      <c r="AE956">
        <v>-4.7917999999999603</v>
      </c>
      <c r="AF956">
        <v>4.6562328605693502</v>
      </c>
      <c r="AG956">
        <v>-1.1092474323219901</v>
      </c>
      <c r="AH956">
        <v>19.948613749814101</v>
      </c>
      <c r="AI956">
        <v>93.099524350278003</v>
      </c>
      <c r="AJ956">
        <v>76.861738557953302</v>
      </c>
      <c r="AK956">
        <v>20.5148269516765</v>
      </c>
      <c r="AL956">
        <v>91.612668613059597</v>
      </c>
      <c r="AM956">
        <v>83.891928432343903</v>
      </c>
      <c r="AN956">
        <v>0.99999997009134201</v>
      </c>
    </row>
    <row r="957" spans="1:40" x14ac:dyDescent="0.25">
      <c r="A957" t="str">
        <f>"20190312151517069"</f>
        <v>20190312151517069</v>
      </c>
      <c r="B957" t="str">
        <f>"1552374917058095"</f>
        <v>1552374917058095</v>
      </c>
      <c r="C957" t="s">
        <v>40</v>
      </c>
      <c r="D957">
        <v>5.2173280000000002</v>
      </c>
      <c r="E957">
        <v>0.54584279999999996</v>
      </c>
      <c r="F957" t="s">
        <v>43</v>
      </c>
      <c r="G957">
        <v>-219.64510000000001</v>
      </c>
      <c r="H957" s="1">
        <v>-1.393391E-6</v>
      </c>
      <c r="I957">
        <v>364.78120000000001</v>
      </c>
      <c r="J957">
        <v>-239.35300000000001</v>
      </c>
      <c r="K957">
        <v>1.10924</v>
      </c>
      <c r="L957">
        <v>369.53269999999998</v>
      </c>
      <c r="M957">
        <v>0.99987159999999997</v>
      </c>
      <c r="N957">
        <v>0</v>
      </c>
      <c r="O957">
        <v>-6.2780469999999897E-3</v>
      </c>
      <c r="P957">
        <v>0.99263429999999997</v>
      </c>
      <c r="Q957">
        <v>-4.3070879999999999E-2</v>
      </c>
      <c r="R957">
        <v>-0.1132353</v>
      </c>
      <c r="S957">
        <v>2.9354550000000001</v>
      </c>
      <c r="T957">
        <v>-0.1636735</v>
      </c>
      <c r="U957">
        <v>-0.70129390000000003</v>
      </c>
      <c r="V957">
        <v>0.10697669999999999</v>
      </c>
      <c r="W957">
        <v>-2.8515809999999999E-2</v>
      </c>
      <c r="X957">
        <v>0.99385250000000003</v>
      </c>
      <c r="Y957">
        <v>0.2259314</v>
      </c>
      <c r="Z957">
        <v>-5.8617529999999999E-3</v>
      </c>
      <c r="AA957">
        <v>0.97412560000000004</v>
      </c>
      <c r="AB957">
        <v>36</v>
      </c>
      <c r="AC957">
        <v>19.707899999999899</v>
      </c>
      <c r="AD957">
        <v>-1.1092413933909999</v>
      </c>
      <c r="AE957">
        <v>-4.7514999999999601</v>
      </c>
      <c r="AF957">
        <v>4.6138524774726797</v>
      </c>
      <c r="AG957">
        <v>-1.1092413933909999</v>
      </c>
      <c r="AH957">
        <v>19.678430176805701</v>
      </c>
      <c r="AI957">
        <v>93.141247928669003</v>
      </c>
      <c r="AJ957">
        <v>76.804641076145998</v>
      </c>
      <c r="AK957">
        <v>20.242496520343298</v>
      </c>
      <c r="AL957">
        <v>91.634057104128701</v>
      </c>
      <c r="AM957">
        <v>83.856427227814294</v>
      </c>
      <c r="AN957">
        <v>0.99999997875954705</v>
      </c>
    </row>
    <row r="958" spans="1:40" x14ac:dyDescent="0.25">
      <c r="A958" t="str">
        <f>"20190312151517082"</f>
        <v>20190312151517082</v>
      </c>
      <c r="B958" t="str">
        <f>"1552374917078592"</f>
        <v>1552374917078592</v>
      </c>
      <c r="C958" t="s">
        <v>40</v>
      </c>
      <c r="D958">
        <v>4.959479</v>
      </c>
      <c r="E958">
        <v>0.54597320000000005</v>
      </c>
      <c r="F958" t="s">
        <v>43</v>
      </c>
      <c r="G958">
        <v>-219.61279999999999</v>
      </c>
      <c r="H958" s="1">
        <v>-1.3976430000000001E-6</v>
      </c>
      <c r="I958">
        <v>364.80650000000003</v>
      </c>
      <c r="J958">
        <v>-239.1713</v>
      </c>
      <c r="K958">
        <v>1.10924</v>
      </c>
      <c r="L958">
        <v>369.53140000000002</v>
      </c>
      <c r="M958">
        <v>0.99987060000000005</v>
      </c>
      <c r="N958">
        <v>0</v>
      </c>
      <c r="O958">
        <v>-6.4505109999999999E-3</v>
      </c>
      <c r="P958">
        <v>0.99252680000000004</v>
      </c>
      <c r="Q958">
        <v>-4.330283E-2</v>
      </c>
      <c r="R958">
        <v>-0.1140859</v>
      </c>
      <c r="S958">
        <v>2.9349669999999999</v>
      </c>
      <c r="T958">
        <v>-0.1649214</v>
      </c>
      <c r="U958">
        <v>-0.70269780000000004</v>
      </c>
      <c r="V958">
        <v>0.1076564</v>
      </c>
      <c r="W958">
        <v>-2.875161E-2</v>
      </c>
      <c r="X958">
        <v>0.99377230000000005</v>
      </c>
      <c r="Y958">
        <v>0.22623550000000001</v>
      </c>
      <c r="Z958">
        <v>-5.9058799999999996E-3</v>
      </c>
      <c r="AA958">
        <v>0.9740548</v>
      </c>
      <c r="AB958">
        <v>36</v>
      </c>
      <c r="AC958">
        <v>19.558499999999999</v>
      </c>
      <c r="AD958">
        <v>-1.109241397643</v>
      </c>
      <c r="AE958">
        <v>-4.7248999999999901</v>
      </c>
      <c r="AF958">
        <v>4.5846922320840404</v>
      </c>
      <c r="AG958">
        <v>-1.109241397643</v>
      </c>
      <c r="AH958">
        <v>19.529222700889498</v>
      </c>
      <c r="AI958">
        <v>93.164989695265604</v>
      </c>
      <c r="AJ958">
        <v>76.788447716619302</v>
      </c>
      <c r="AK958">
        <v>20.0908028371719</v>
      </c>
      <c r="AL958">
        <v>91.647573005770994</v>
      </c>
      <c r="AM958">
        <v>83.817198954956794</v>
      </c>
      <c r="AN958">
        <v>0.99999996989291995</v>
      </c>
    </row>
    <row r="959" spans="1:40" x14ac:dyDescent="0.25">
      <c r="A959" t="str">
        <f>"20190312151517093"</f>
        <v>20190312151517093</v>
      </c>
      <c r="B959" t="str">
        <f>"1552374917088351"</f>
        <v>1552374917088351</v>
      </c>
      <c r="C959" t="s">
        <v>40</v>
      </c>
      <c r="D959">
        <v>4.8241639999999997</v>
      </c>
      <c r="E959">
        <v>0.54593459999999905</v>
      </c>
      <c r="F959" t="s">
        <v>43</v>
      </c>
      <c r="G959">
        <v>-219.77359999999999</v>
      </c>
      <c r="H959" s="1">
        <v>-1.32819E-6</v>
      </c>
      <c r="I959">
        <v>364.86189999999999</v>
      </c>
      <c r="J959">
        <v>-238.98740000000001</v>
      </c>
      <c r="K959">
        <v>1.1092409999999999</v>
      </c>
      <c r="L959">
        <v>369.53</v>
      </c>
      <c r="M959">
        <v>0.99986960000000003</v>
      </c>
      <c r="N959">
        <v>0</v>
      </c>
      <c r="O959">
        <v>-6.6251210000000003E-3</v>
      </c>
      <c r="P959">
        <v>0.99240200000000001</v>
      </c>
      <c r="Q959">
        <v>-4.3694370000000003E-2</v>
      </c>
      <c r="R959">
        <v>-0.1150191</v>
      </c>
      <c r="S959">
        <v>2.9340820000000001</v>
      </c>
      <c r="T959">
        <v>-0.16778209999999999</v>
      </c>
      <c r="U959">
        <v>-0.7062988</v>
      </c>
      <c r="V959">
        <v>0.1084167</v>
      </c>
      <c r="W959">
        <v>-2.9147309999999999E-2</v>
      </c>
      <c r="X959">
        <v>0.99367819999999996</v>
      </c>
      <c r="Y959">
        <v>0.22724929999999999</v>
      </c>
      <c r="Z959">
        <v>-6.027798E-3</v>
      </c>
      <c r="AA959">
        <v>0.97381790000000001</v>
      </c>
      <c r="AB959">
        <v>36</v>
      </c>
      <c r="AC959">
        <v>19.213799999999999</v>
      </c>
      <c r="AD959">
        <v>-1.1092423281899999</v>
      </c>
      <c r="AE959">
        <v>-4.6680999999999804</v>
      </c>
      <c r="AF959">
        <v>4.5264445181616697</v>
      </c>
      <c r="AG959">
        <v>-1.1092423281899999</v>
      </c>
      <c r="AH959">
        <v>19.183933366563402</v>
      </c>
      <c r="AI959">
        <v>93.220987245624201</v>
      </c>
      <c r="AJ959">
        <v>76.723890277518805</v>
      </c>
      <c r="AK959">
        <v>19.7418949934243</v>
      </c>
      <c r="AL959">
        <v>91.670254309292801</v>
      </c>
      <c r="AM959">
        <v>83.773291028870005</v>
      </c>
      <c r="AN959">
        <v>1.00000005583718</v>
      </c>
    </row>
    <row r="960" spans="1:40" x14ac:dyDescent="0.25">
      <c r="A960" t="str">
        <f>"20190312151517104"</f>
        <v>20190312151517104</v>
      </c>
      <c r="B960" t="str">
        <f>"1552374917098111"</f>
        <v>1552374917098111</v>
      </c>
      <c r="C960" t="s">
        <v>40</v>
      </c>
      <c r="D960">
        <v>4.9260199999999896</v>
      </c>
      <c r="E960">
        <v>0.54595740000000004</v>
      </c>
      <c r="F960" t="s">
        <v>43</v>
      </c>
      <c r="G960">
        <v>-219.88839999999999</v>
      </c>
      <c r="H960" s="1">
        <v>-1.275134E-6</v>
      </c>
      <c r="I960">
        <v>364.91449999999998</v>
      </c>
      <c r="J960">
        <v>-238.7954</v>
      </c>
      <c r="K960">
        <v>1.109248</v>
      </c>
      <c r="L960">
        <v>369.52859999999998</v>
      </c>
      <c r="M960">
        <v>0.99986830000000004</v>
      </c>
      <c r="N960">
        <v>0</v>
      </c>
      <c r="O960">
        <v>-6.8074779999999996E-3</v>
      </c>
      <c r="P960">
        <v>0.99231919999999996</v>
      </c>
      <c r="Q960">
        <v>-4.3496340000000001E-2</v>
      </c>
      <c r="R960">
        <v>-0.1158068</v>
      </c>
      <c r="S960">
        <v>2.9333040000000001</v>
      </c>
      <c r="T960">
        <v>-0.1703607</v>
      </c>
      <c r="U960">
        <v>-0.70886229999999995</v>
      </c>
      <c r="V960">
        <v>0.10902390000000001</v>
      </c>
      <c r="W960">
        <v>-2.8952780000000001E-2</v>
      </c>
      <c r="X960">
        <v>0.99361739999999998</v>
      </c>
      <c r="Y960">
        <v>0.2279233</v>
      </c>
      <c r="Z960">
        <v>-6.1301000000000003E-3</v>
      </c>
      <c r="AA960">
        <v>0.97365979999999996</v>
      </c>
      <c r="AB960">
        <v>36</v>
      </c>
      <c r="AC960">
        <v>18.907</v>
      </c>
      <c r="AD960">
        <v>-1.109249275134</v>
      </c>
      <c r="AE960">
        <v>-4.6140999999999996</v>
      </c>
      <c r="AF960">
        <v>4.4707466821480004</v>
      </c>
      <c r="AG960">
        <v>-1.109249275134</v>
      </c>
      <c r="AH960">
        <v>18.8766539312013</v>
      </c>
      <c r="AI960">
        <v>93.272675806152606</v>
      </c>
      <c r="AJ960">
        <v>76.675583054367607</v>
      </c>
      <c r="AK960">
        <v>19.430544858255001</v>
      </c>
      <c r="AL960">
        <v>91.659103938808499</v>
      </c>
      <c r="AM960">
        <v>83.738313770509393</v>
      </c>
      <c r="AN960">
        <v>1.0000000059118399</v>
      </c>
    </row>
    <row r="961" spans="1:40" x14ac:dyDescent="0.25">
      <c r="A961" t="str">
        <f>"20190312151517117"</f>
        <v>20190312151517117</v>
      </c>
      <c r="B961" t="str">
        <f>"1552374917108847"</f>
        <v>1552374917108847</v>
      </c>
      <c r="C961" t="s">
        <v>40</v>
      </c>
      <c r="D961">
        <v>4.8881189999999997</v>
      </c>
      <c r="E961">
        <v>0.54595740000000004</v>
      </c>
      <c r="F961" t="s">
        <v>43</v>
      </c>
      <c r="G961">
        <v>-219.77500000000001</v>
      </c>
      <c r="H961" s="1">
        <v>-1.3137119999999999E-6</v>
      </c>
      <c r="I961">
        <v>364.91449999999998</v>
      </c>
      <c r="J961">
        <v>-238.60589999999999</v>
      </c>
      <c r="K961">
        <v>1.1092489999999999</v>
      </c>
      <c r="L961">
        <v>369.52710000000002</v>
      </c>
      <c r="M961">
        <v>0.99986730000000001</v>
      </c>
      <c r="N961">
        <v>0</v>
      </c>
      <c r="O961">
        <v>-6.9875709999999997E-3</v>
      </c>
      <c r="P961">
        <v>0.99221099999999995</v>
      </c>
      <c r="Q961">
        <v>-4.3256570000000001E-2</v>
      </c>
      <c r="R961">
        <v>-0.1168196</v>
      </c>
      <c r="S961">
        <v>2.932709</v>
      </c>
      <c r="T961">
        <v>-0.171031399999999</v>
      </c>
      <c r="U961">
        <v>-0.7114258</v>
      </c>
      <c r="V961">
        <v>0.1098589</v>
      </c>
      <c r="W961">
        <v>-2.8716999999999999E-2</v>
      </c>
      <c r="X961">
        <v>0.99353219999999998</v>
      </c>
      <c r="Y961">
        <v>0.2285933</v>
      </c>
      <c r="Z961">
        <v>-6.1636859999999998E-3</v>
      </c>
      <c r="AA961">
        <v>0.97350250000000005</v>
      </c>
      <c r="AB961">
        <v>36</v>
      </c>
      <c r="AC961">
        <v>18.8308999999999</v>
      </c>
      <c r="AD961">
        <v>-1.109250313712</v>
      </c>
      <c r="AE961">
        <v>-4.6126000000000396</v>
      </c>
      <c r="AF961">
        <v>4.4662705676758803</v>
      </c>
      <c r="AG961">
        <v>-1.109250313712</v>
      </c>
      <c r="AH961">
        <v>18.8011292004411</v>
      </c>
      <c r="AI961">
        <v>93.285271433461006</v>
      </c>
      <c r="AJ961">
        <v>76.636889969740906</v>
      </c>
      <c r="AK961">
        <v>19.356148073773198</v>
      </c>
      <c r="AL961">
        <v>91.645589231768895</v>
      </c>
      <c r="AM961">
        <v>83.690204930552596</v>
      </c>
      <c r="AN961">
        <v>0.99999993821752298</v>
      </c>
    </row>
    <row r="962" spans="1:40" x14ac:dyDescent="0.25">
      <c r="A962" t="str">
        <f>"20190312151517130"</f>
        <v>20190312151517130</v>
      </c>
      <c r="B962" t="str">
        <f>"1552374917118608"</f>
        <v>1552374917118608</v>
      </c>
      <c r="C962" t="s">
        <v>40</v>
      </c>
      <c r="D962">
        <v>4.9321469999999996</v>
      </c>
      <c r="E962">
        <v>0.54599989999999998</v>
      </c>
      <c r="F962" t="s">
        <v>43</v>
      </c>
      <c r="G962">
        <v>-219.62219999999999</v>
      </c>
      <c r="H962" s="1">
        <v>-1.3684370000000001E-6</v>
      </c>
      <c r="I962">
        <v>364.90429999999998</v>
      </c>
      <c r="J962">
        <v>-238.38890000000001</v>
      </c>
      <c r="K962">
        <v>1.109251</v>
      </c>
      <c r="L962">
        <v>369.52539999999999</v>
      </c>
      <c r="M962">
        <v>0.99986580000000003</v>
      </c>
      <c r="N962">
        <v>0</v>
      </c>
      <c r="O962">
        <v>-7.193886E-3</v>
      </c>
      <c r="P962">
        <v>0.99212650000000002</v>
      </c>
      <c r="Q962">
        <v>-4.301961E-2</v>
      </c>
      <c r="R962">
        <v>-0.1176212</v>
      </c>
      <c r="S962">
        <v>2.9320369999999998</v>
      </c>
      <c r="T962">
        <v>-0.17132259999999999</v>
      </c>
      <c r="U962">
        <v>-0.71398930000000005</v>
      </c>
      <c r="V962">
        <v>0.1104562</v>
      </c>
      <c r="W962">
        <v>-2.8483680000000001E-2</v>
      </c>
      <c r="X962">
        <v>0.99347280000000004</v>
      </c>
      <c r="Y962">
        <v>0.22924510000000001</v>
      </c>
      <c r="Z962">
        <v>-6.1817919999999898E-3</v>
      </c>
      <c r="AA962">
        <v>0.97334909999999997</v>
      </c>
      <c r="AB962">
        <v>36</v>
      </c>
      <c r="AC962">
        <v>18.7667</v>
      </c>
      <c r="AD962">
        <v>-1.1092523684369999</v>
      </c>
      <c r="AE962">
        <v>-4.62110000000001</v>
      </c>
      <c r="AF962">
        <v>4.47123217332613</v>
      </c>
      <c r="AG962">
        <v>-1.1092523684369999</v>
      </c>
      <c r="AH962">
        <v>18.737740024745001</v>
      </c>
      <c r="AI962">
        <v>93.295575327166603</v>
      </c>
      <c r="AJ962">
        <v>76.578957533542805</v>
      </c>
      <c r="AK962">
        <v>19.295731631622601</v>
      </c>
      <c r="AL962">
        <v>91.632215329168901</v>
      </c>
      <c r="AM962">
        <v>83.655801472745594</v>
      </c>
      <c r="AN962">
        <v>1.0000000482423099</v>
      </c>
    </row>
    <row r="963" spans="1:40" x14ac:dyDescent="0.25">
      <c r="A963" t="str">
        <f>"20190312151517144"</f>
        <v>20190312151517144</v>
      </c>
      <c r="B963" t="str">
        <f>"1552374917138127"</f>
        <v>1552374917138127</v>
      </c>
      <c r="C963" t="s">
        <v>40</v>
      </c>
      <c r="D963">
        <v>4.9675529999999997</v>
      </c>
      <c r="E963">
        <v>0.54597390000000001</v>
      </c>
      <c r="F963" t="s">
        <v>43</v>
      </c>
      <c r="G963">
        <v>-219.4307</v>
      </c>
      <c r="H963" s="1">
        <v>-1.4376129999999999E-6</v>
      </c>
      <c r="I963">
        <v>364.88920000000002</v>
      </c>
      <c r="J963">
        <v>-238.17580000000001</v>
      </c>
      <c r="K963">
        <v>1.1092519999999999</v>
      </c>
      <c r="L963">
        <v>369.52370000000002</v>
      </c>
      <c r="M963">
        <v>0.99986430000000004</v>
      </c>
      <c r="N963">
        <v>0</v>
      </c>
      <c r="O963">
        <v>-7.3962669999999998E-3</v>
      </c>
      <c r="P963">
        <v>0.99204179999999997</v>
      </c>
      <c r="Q963">
        <v>-4.254144E-2</v>
      </c>
      <c r="R963">
        <v>-0.1185045</v>
      </c>
      <c r="S963">
        <v>2.9313959999999999</v>
      </c>
      <c r="T963">
        <v>-0.17151669999999999</v>
      </c>
      <c r="U963">
        <v>-0.71685790000000005</v>
      </c>
      <c r="V963">
        <v>0.1111399</v>
      </c>
      <c r="W963">
        <v>-2.800915E-2</v>
      </c>
      <c r="X963">
        <v>0.99341000000000002</v>
      </c>
      <c r="Y963">
        <v>0.22999420000000001</v>
      </c>
      <c r="Z963">
        <v>-6.199314E-3</v>
      </c>
      <c r="AA963">
        <v>0.97317220000000004</v>
      </c>
      <c r="AB963">
        <v>36</v>
      </c>
      <c r="AC963">
        <v>18.745100000000001</v>
      </c>
      <c r="AD963">
        <v>-1.1092534376129899</v>
      </c>
      <c r="AE963">
        <v>-4.6345000000000001</v>
      </c>
      <c r="AF963">
        <v>4.4809271921237697</v>
      </c>
      <c r="AG963">
        <v>-1.1092534376129899</v>
      </c>
      <c r="AH963">
        <v>18.717101739509101</v>
      </c>
      <c r="AI963">
        <v>93.298623014316107</v>
      </c>
      <c r="AJ963">
        <v>76.536622762477506</v>
      </c>
      <c r="AK963">
        <v>19.2779420379123</v>
      </c>
      <c r="AL963">
        <v>91.605015974181399</v>
      </c>
      <c r="AM963">
        <v>83.616455202507396</v>
      </c>
      <c r="AN963">
        <v>1.00000000897786</v>
      </c>
    </row>
    <row r="964" spans="1:40" x14ac:dyDescent="0.25">
      <c r="A964" t="str">
        <f>"20190312151517158"</f>
        <v>20190312151517158</v>
      </c>
      <c r="B964" t="str">
        <f>"1552374917148863"</f>
        <v>1552374917148863</v>
      </c>
      <c r="C964" t="s">
        <v>40</v>
      </c>
      <c r="D964">
        <v>4.9195799999999998</v>
      </c>
      <c r="E964">
        <v>0.54603429999999997</v>
      </c>
      <c r="F964" t="s">
        <v>43</v>
      </c>
      <c r="G964">
        <v>-219.27279999999999</v>
      </c>
      <c r="H964" s="1">
        <v>-1.4930149999999999E-6</v>
      </c>
      <c r="I964">
        <v>364.88290000000001</v>
      </c>
      <c r="J964">
        <v>-237.9589</v>
      </c>
      <c r="K964">
        <v>1.1092599999999999</v>
      </c>
      <c r="L964">
        <v>369.52190000000002</v>
      </c>
      <c r="M964">
        <v>0.99986280000000005</v>
      </c>
      <c r="N964">
        <v>0</v>
      </c>
      <c r="O964">
        <v>-7.6027000000000004E-3</v>
      </c>
      <c r="P964">
        <v>0.99189309999999997</v>
      </c>
      <c r="Q964">
        <v>-4.1957920000000003E-2</v>
      </c>
      <c r="R964">
        <v>-0.1199514</v>
      </c>
      <c r="S964">
        <v>2.9307400000000001</v>
      </c>
      <c r="T964">
        <v>-0.1719793</v>
      </c>
      <c r="U964">
        <v>-0.71951290000000001</v>
      </c>
      <c r="V964">
        <v>0.1123832</v>
      </c>
      <c r="W964">
        <v>-2.7430659999999999E-2</v>
      </c>
      <c r="X964">
        <v>0.99328629999999996</v>
      </c>
      <c r="Y964">
        <v>0.2306724</v>
      </c>
      <c r="Z964">
        <v>-6.2243699999999999E-3</v>
      </c>
      <c r="AA964">
        <v>0.97301159999999998</v>
      </c>
      <c r="AB964">
        <v>36</v>
      </c>
      <c r="AC964">
        <v>18.6861</v>
      </c>
      <c r="AD964">
        <v>-1.109261493015</v>
      </c>
      <c r="AE964">
        <v>-4.6390000000000002</v>
      </c>
      <c r="AF964">
        <v>4.4819085678461104</v>
      </c>
      <c r="AG964">
        <v>-1.109261493015</v>
      </c>
      <c r="AH964">
        <v>18.658896718629101</v>
      </c>
      <c r="AI964">
        <v>93.308315538427195</v>
      </c>
      <c r="AJ964">
        <v>76.493311451278004</v>
      </c>
      <c r="AK964">
        <v>19.221664658059399</v>
      </c>
      <c r="AL964">
        <v>91.571858133640703</v>
      </c>
      <c r="AM964">
        <v>83.544846056908497</v>
      </c>
      <c r="AN964">
        <v>1.00000004925898</v>
      </c>
    </row>
    <row r="965" spans="1:40" x14ac:dyDescent="0.25">
      <c r="A965" t="str">
        <f>"20190312151517181"</f>
        <v>20190312151517181</v>
      </c>
      <c r="B965" t="str">
        <f>"1552374917168384"</f>
        <v>1552374917168384</v>
      </c>
      <c r="C965" t="s">
        <v>40</v>
      </c>
      <c r="D965">
        <v>4.8553800000000003</v>
      </c>
      <c r="E965">
        <v>0.54602340000000005</v>
      </c>
      <c r="F965" t="s">
        <v>43</v>
      </c>
      <c r="G965">
        <v>-218.93340000000001</v>
      </c>
      <c r="H965" s="1">
        <v>-1.6252379999999999E-6</v>
      </c>
      <c r="I965">
        <v>364.82</v>
      </c>
      <c r="J965">
        <v>-237.59960000000001</v>
      </c>
      <c r="K965">
        <v>1.1092630000000001</v>
      </c>
      <c r="L965">
        <v>369.5188</v>
      </c>
      <c r="M965">
        <v>0.99986019999999998</v>
      </c>
      <c r="N965">
        <v>0</v>
      </c>
      <c r="O965">
        <v>-7.9444110000000002E-3</v>
      </c>
      <c r="P965">
        <v>0.99181109999999995</v>
      </c>
      <c r="Q965">
        <v>-4.1301820000000003E-2</v>
      </c>
      <c r="R965">
        <v>-0.1208509</v>
      </c>
      <c r="S965">
        <v>2.9297330000000001</v>
      </c>
      <c r="T965">
        <v>-0.1708142</v>
      </c>
      <c r="U965">
        <v>-0.72402949999999999</v>
      </c>
      <c r="V965">
        <v>0.1129447</v>
      </c>
      <c r="W965">
        <v>-2.677945E-2</v>
      </c>
      <c r="X965">
        <v>0.99324040000000002</v>
      </c>
      <c r="Y965">
        <v>0.23183500000000001</v>
      </c>
      <c r="Z965">
        <v>-6.1969659999999999E-3</v>
      </c>
      <c r="AA965">
        <v>0.97273540000000003</v>
      </c>
      <c r="AB965">
        <v>36</v>
      </c>
      <c r="AC965">
        <v>18.6662</v>
      </c>
      <c r="AD965">
        <v>-1.1092646252379901</v>
      </c>
      <c r="AE965">
        <v>-4.6988000000000003</v>
      </c>
      <c r="AF965">
        <v>4.5352817725447396</v>
      </c>
      <c r="AG965">
        <v>-1.1092646252379901</v>
      </c>
      <c r="AH965">
        <v>18.641036247530501</v>
      </c>
      <c r="AI965">
        <v>93.309153987550005</v>
      </c>
      <c r="AJ965">
        <v>76.325861602664503</v>
      </c>
      <c r="AK965">
        <v>19.216854090795501</v>
      </c>
      <c r="AL965">
        <v>91.534532807506594</v>
      </c>
      <c r="AM965">
        <v>83.512571199975298</v>
      </c>
      <c r="AN965">
        <v>1.00000006819627</v>
      </c>
    </row>
    <row r="966" spans="1:40" x14ac:dyDescent="0.25">
      <c r="A966" t="str">
        <f>"20190312151517191"</f>
        <v>20190312151517191</v>
      </c>
      <c r="B966" t="str">
        <f>"1552374917188879"</f>
        <v>1552374917188879</v>
      </c>
      <c r="C966" t="s">
        <v>40</v>
      </c>
      <c r="D966">
        <v>4.9002369999999997</v>
      </c>
      <c r="E966">
        <v>0.54589969999999999</v>
      </c>
      <c r="F966" t="s">
        <v>43</v>
      </c>
      <c r="G966">
        <v>-218.37739999999999</v>
      </c>
      <c r="H966" s="1">
        <v>-1.833198E-6</v>
      </c>
      <c r="I966">
        <v>364.74959999999999</v>
      </c>
      <c r="J966">
        <v>-237.4151</v>
      </c>
      <c r="K966">
        <v>1.109267</v>
      </c>
      <c r="L966">
        <v>369.5172</v>
      </c>
      <c r="M966">
        <v>0.99985889999999999</v>
      </c>
      <c r="N966">
        <v>0</v>
      </c>
      <c r="O966">
        <v>-8.1199730000000008E-3</v>
      </c>
      <c r="P966">
        <v>0.99175939999999996</v>
      </c>
      <c r="Q966">
        <v>-4.1316180000000001E-2</v>
      </c>
      <c r="R966">
        <v>-0.12127</v>
      </c>
      <c r="S966">
        <v>2.9291689999999999</v>
      </c>
      <c r="T966">
        <v>-0.16903399999999999</v>
      </c>
      <c r="U966">
        <v>-0.72674559999999999</v>
      </c>
      <c r="V966">
        <v>0.113189899999999</v>
      </c>
      <c r="W966">
        <v>-2.679641E-2</v>
      </c>
      <c r="X966">
        <v>0.99321199999999998</v>
      </c>
      <c r="Y966">
        <v>0.2325641</v>
      </c>
      <c r="Z966">
        <v>-6.1436999999999898E-3</v>
      </c>
      <c r="AA966">
        <v>0.97256169999999997</v>
      </c>
      <c r="AB966">
        <v>35</v>
      </c>
      <c r="AC966">
        <v>19.037700000000001</v>
      </c>
      <c r="AD966">
        <v>-1.1092688331980001</v>
      </c>
      <c r="AE966">
        <v>-4.7676000000000096</v>
      </c>
      <c r="AF966">
        <v>4.59815082447862</v>
      </c>
      <c r="AG966">
        <v>-1.1092688331980001</v>
      </c>
      <c r="AH966">
        <v>19.015042158306301</v>
      </c>
      <c r="AI966">
        <v>93.245316168208504</v>
      </c>
      <c r="AJ966">
        <v>76.405898297930406</v>
      </c>
      <c r="AK966">
        <v>19.5945221077505</v>
      </c>
      <c r="AL966">
        <v>91.535504937549902</v>
      </c>
      <c r="AM966">
        <v>83.498423305260502</v>
      </c>
      <c r="AN966">
        <v>1.0000000389974399</v>
      </c>
    </row>
    <row r="967" spans="1:40" x14ac:dyDescent="0.25">
      <c r="A967" t="str">
        <f>"20190312151517202"</f>
        <v>20190312151517202</v>
      </c>
      <c r="B967" t="str">
        <f>"1552374917198639"</f>
        <v>1552374917198639</v>
      </c>
      <c r="C967" t="s">
        <v>40</v>
      </c>
      <c r="D967">
        <v>4.912007</v>
      </c>
      <c r="E967">
        <v>0.51367819999999997</v>
      </c>
      <c r="F967" t="s">
        <v>43</v>
      </c>
      <c r="G967">
        <v>-218.05940000000001</v>
      </c>
      <c r="H967" s="1">
        <v>-1.9509039999999999E-6</v>
      </c>
      <c r="I967">
        <v>364.71390000000002</v>
      </c>
      <c r="J967">
        <v>-237.24619999999999</v>
      </c>
      <c r="K967">
        <v>1.1092759999999999</v>
      </c>
      <c r="L967">
        <v>369.51569999999998</v>
      </c>
      <c r="M967">
        <v>0.99985749999999995</v>
      </c>
      <c r="N967">
        <v>0</v>
      </c>
      <c r="O967">
        <v>-8.2807579999999992E-3</v>
      </c>
      <c r="P967">
        <v>0.9917184</v>
      </c>
      <c r="Q967">
        <v>-4.0953459999999997E-2</v>
      </c>
      <c r="R967">
        <v>-0.121728</v>
      </c>
      <c r="S967">
        <v>2.9290470000000002</v>
      </c>
      <c r="T967">
        <v>-0.16786229999999999</v>
      </c>
      <c r="U967">
        <v>-0.72686770000000001</v>
      </c>
      <c r="V967">
        <v>0.1134889</v>
      </c>
      <c r="W967">
        <v>-2.6436049999999999E-2</v>
      </c>
      <c r="X967">
        <v>0.9931875</v>
      </c>
      <c r="Y967">
        <v>0.23246059999999999</v>
      </c>
      <c r="Z967">
        <v>-6.0894130000000001E-3</v>
      </c>
      <c r="AA967">
        <v>0.97258679999999997</v>
      </c>
      <c r="AB967">
        <v>35</v>
      </c>
      <c r="AC967">
        <v>19.186799999999899</v>
      </c>
      <c r="AD967">
        <v>-1.1092779509039901</v>
      </c>
      <c r="AE967">
        <v>-4.8017999999999503</v>
      </c>
      <c r="AF967">
        <v>4.6281788608576804</v>
      </c>
      <c r="AG967">
        <v>-1.1092779509039901</v>
      </c>
      <c r="AH967">
        <v>19.1656230245848</v>
      </c>
      <c r="AI967">
        <v>93.220142979780405</v>
      </c>
      <c r="AJ967">
        <v>76.423932884370004</v>
      </c>
      <c r="AK967">
        <v>19.7476996903677</v>
      </c>
      <c r="AL967">
        <v>91.514850568859799</v>
      </c>
      <c r="AM967">
        <v>83.481237090228305</v>
      </c>
      <c r="AN967">
        <v>1.0000000026595299</v>
      </c>
    </row>
    <row r="968" spans="1:40" x14ac:dyDescent="0.25">
      <c r="A968" t="str">
        <f>"20190312151517215"</f>
        <v>20190312151517215</v>
      </c>
      <c r="B968" t="str">
        <f>"1552374917208399"</f>
        <v>1552374917208399</v>
      </c>
      <c r="C968" t="s">
        <v>40</v>
      </c>
      <c r="D968">
        <v>4.9521940000000004</v>
      </c>
      <c r="E968">
        <v>0.51219139999999996</v>
      </c>
      <c r="F968" t="s">
        <v>43</v>
      </c>
      <c r="G968">
        <v>-220.70169999999999</v>
      </c>
      <c r="H968" s="1">
        <v>-4.4585669999999997E-6</v>
      </c>
      <c r="I968">
        <v>366.86919999999998</v>
      </c>
      <c r="J968">
        <v>-237.0609</v>
      </c>
      <c r="K968">
        <v>1.1092789999999999</v>
      </c>
      <c r="L968">
        <v>369.51389999999998</v>
      </c>
      <c r="M968">
        <v>0.99985590000000002</v>
      </c>
      <c r="N968">
        <v>0</v>
      </c>
      <c r="O968">
        <v>-8.4569169999999996E-3</v>
      </c>
      <c r="P968">
        <v>0.99169050000000003</v>
      </c>
      <c r="Q968">
        <v>-4.1216419999999997E-2</v>
      </c>
      <c r="R968">
        <v>-0.1218659</v>
      </c>
      <c r="S968">
        <v>2.9587400000000001</v>
      </c>
      <c r="T968">
        <v>-0.19837730000000001</v>
      </c>
      <c r="U968">
        <v>-0.47326659999999998</v>
      </c>
      <c r="V968">
        <v>0.11345180000000001</v>
      </c>
      <c r="W968">
        <v>-2.6700979999999999E-2</v>
      </c>
      <c r="X968">
        <v>0.99318459999999997</v>
      </c>
      <c r="Y968">
        <v>0.1492821</v>
      </c>
      <c r="Z968">
        <v>-4.4046670000000001E-3</v>
      </c>
      <c r="AA968">
        <v>0.98878480000000002</v>
      </c>
      <c r="AB968">
        <v>35</v>
      </c>
      <c r="AC968">
        <v>16.359200000000001</v>
      </c>
      <c r="AD968">
        <v>-1.1092834585669999</v>
      </c>
      <c r="AE968">
        <v>-2.6446999999999998</v>
      </c>
      <c r="AF968">
        <v>2.4950621245913398</v>
      </c>
      <c r="AG968">
        <v>-1.1092834585669999</v>
      </c>
      <c r="AH968">
        <v>16.3079106847517</v>
      </c>
      <c r="AI968">
        <v>93.846707908438106</v>
      </c>
      <c r="AJ968">
        <v>81.301369351387194</v>
      </c>
      <c r="AK968">
        <v>16.534926540473599</v>
      </c>
      <c r="AL968">
        <v>91.530035378366406</v>
      </c>
      <c r="AM968">
        <v>83.483330903563399</v>
      </c>
      <c r="AN968">
        <v>0.99999995146667897</v>
      </c>
    </row>
    <row r="969" spans="1:40" x14ac:dyDescent="0.25">
      <c r="A969" t="str">
        <f>"20190312151517226"</f>
        <v>20190312151517226</v>
      </c>
      <c r="B969" t="str">
        <f>"1552374917218159"</f>
        <v>1552374917218159</v>
      </c>
      <c r="C969" t="s">
        <v>40</v>
      </c>
      <c r="D969">
        <v>4.9038040000000001</v>
      </c>
      <c r="E969">
        <v>0.51178509999999999</v>
      </c>
      <c r="F969" t="s">
        <v>43</v>
      </c>
      <c r="G969">
        <v>-220.62520000000001</v>
      </c>
      <c r="H969" s="1">
        <v>-4.4769240000000001E-6</v>
      </c>
      <c r="I969">
        <v>366.95069999999998</v>
      </c>
      <c r="J969">
        <v>-236.86869999999999</v>
      </c>
      <c r="K969">
        <v>1.1092799999999901</v>
      </c>
      <c r="L969">
        <v>369.51220000000001</v>
      </c>
      <c r="M969">
        <v>0.99985449999999998</v>
      </c>
      <c r="N969">
        <v>0</v>
      </c>
      <c r="O969">
        <v>-8.6398689999999997E-3</v>
      </c>
      <c r="P969">
        <v>0.9916606</v>
      </c>
      <c r="Q969">
        <v>-4.0964739999999999E-2</v>
      </c>
      <c r="R969">
        <v>-0.1221932</v>
      </c>
      <c r="S969">
        <v>2.960083</v>
      </c>
      <c r="T969">
        <v>-0.1997815</v>
      </c>
      <c r="U969">
        <v>-0.46163939999999998</v>
      </c>
      <c r="V969">
        <v>0.11359809999999999</v>
      </c>
      <c r="W969">
        <v>-2.6451530000000001E-2</v>
      </c>
      <c r="X969">
        <v>0.99317460000000002</v>
      </c>
      <c r="Y969">
        <v>0.1452456</v>
      </c>
      <c r="Z969">
        <v>-4.2876349999999997E-3</v>
      </c>
      <c r="AA969">
        <v>0.98938630000000005</v>
      </c>
      <c r="AB969">
        <v>35</v>
      </c>
      <c r="AC969">
        <v>16.243499999999901</v>
      </c>
      <c r="AD969">
        <v>-1.10928447692399</v>
      </c>
      <c r="AE969">
        <v>-2.5615000000000201</v>
      </c>
      <c r="AF969">
        <v>2.4100804106061702</v>
      </c>
      <c r="AG969">
        <v>-1.10928447692399</v>
      </c>
      <c r="AH969">
        <v>16.191348300826899</v>
      </c>
      <c r="AI969">
        <v>93.8766845024047</v>
      </c>
      <c r="AJ969">
        <v>81.533691653098302</v>
      </c>
      <c r="AK969">
        <v>16.4072776363119</v>
      </c>
      <c r="AL969">
        <v>91.515737823457002</v>
      </c>
      <c r="AM969">
        <v>83.4749347263744</v>
      </c>
      <c r="AN969">
        <v>0.999999998924055</v>
      </c>
    </row>
    <row r="970" spans="1:40" x14ac:dyDescent="0.25">
      <c r="A970" t="str">
        <f>"20190312151517238"</f>
        <v>20190312151517238</v>
      </c>
      <c r="B970" t="str">
        <f>"1552374917228895"</f>
        <v>1552374917228895</v>
      </c>
      <c r="C970" t="s">
        <v>40</v>
      </c>
      <c r="D970">
        <v>4.9258139999999999</v>
      </c>
      <c r="E970">
        <v>0.51133700000000004</v>
      </c>
      <c r="F970" t="s">
        <v>43</v>
      </c>
      <c r="G970">
        <v>-220.36179999999999</v>
      </c>
      <c r="H970" s="1">
        <v>-4.5899449999999996E-6</v>
      </c>
      <c r="I970">
        <v>366.95069999999998</v>
      </c>
      <c r="J970">
        <v>-236.69040000000001</v>
      </c>
      <c r="K970">
        <v>1.109283</v>
      </c>
      <c r="L970">
        <v>369.51049999999998</v>
      </c>
      <c r="M970">
        <v>0.99985310000000005</v>
      </c>
      <c r="N970">
        <v>0</v>
      </c>
      <c r="O970">
        <v>-8.8097109999999996E-3</v>
      </c>
      <c r="P970">
        <v>0.9916372</v>
      </c>
      <c r="Q970">
        <v>-4.081241E-2</v>
      </c>
      <c r="R970">
        <v>-0.122435</v>
      </c>
      <c r="S970">
        <v>2.9604029999999999</v>
      </c>
      <c r="T970">
        <v>-0.1989417</v>
      </c>
      <c r="U970">
        <v>-0.45938109999999999</v>
      </c>
      <c r="V970">
        <v>0.11367140000000001</v>
      </c>
      <c r="W970">
        <v>-2.6301140000000001E-2</v>
      </c>
      <c r="X970">
        <v>0.9931702</v>
      </c>
      <c r="Y970">
        <v>0.14432919999999999</v>
      </c>
      <c r="Z970">
        <v>-4.227537E-3</v>
      </c>
      <c r="AA970">
        <v>0.98952070000000003</v>
      </c>
      <c r="AB970">
        <v>35</v>
      </c>
      <c r="AC970">
        <v>16.328600000000002</v>
      </c>
      <c r="AD970">
        <v>-1.1092875899449901</v>
      </c>
      <c r="AE970">
        <v>-2.5597999999999899</v>
      </c>
      <c r="AF970">
        <v>2.4050015262661302</v>
      </c>
      <c r="AG970">
        <v>-1.1092875899449901</v>
      </c>
      <c r="AH970">
        <v>16.277199176566899</v>
      </c>
      <c r="AI970">
        <v>93.856922462888505</v>
      </c>
      <c r="AJ970">
        <v>81.595198333171695</v>
      </c>
      <c r="AK970">
        <v>16.491263272781101</v>
      </c>
      <c r="AL970">
        <v>91.507118123179595</v>
      </c>
      <c r="AM970">
        <v>83.470732048759004</v>
      </c>
      <c r="AN970">
        <v>0.99999999165564901</v>
      </c>
    </row>
    <row r="971" spans="1:40" x14ac:dyDescent="0.25">
      <c r="A971" t="str">
        <f>"20190312151517250"</f>
        <v>20190312151517250</v>
      </c>
      <c r="B971" t="str">
        <f>"1552374917238656"</f>
        <v>1552374917238656</v>
      </c>
      <c r="C971" t="s">
        <v>40</v>
      </c>
      <c r="D971">
        <v>4.917154</v>
      </c>
      <c r="E971">
        <v>0.51128620000000002</v>
      </c>
      <c r="F971" t="s">
        <v>43</v>
      </c>
      <c r="G971">
        <v>-220.1799</v>
      </c>
      <c r="H971" s="1">
        <v>-4.6656410000000003E-6</v>
      </c>
      <c r="I971">
        <v>366.96370000000002</v>
      </c>
      <c r="J971">
        <v>-236.49600000000001</v>
      </c>
      <c r="K971">
        <v>1.1092850000000001</v>
      </c>
      <c r="L971">
        <v>369.5086</v>
      </c>
      <c r="M971">
        <v>0.99985159999999995</v>
      </c>
      <c r="N971">
        <v>0</v>
      </c>
      <c r="O971">
        <v>-8.9949279999999993E-3</v>
      </c>
      <c r="P971">
        <v>0.99161619999999995</v>
      </c>
      <c r="Q971">
        <v>-4.0634740000000003E-2</v>
      </c>
      <c r="R971">
        <v>-0.1226636</v>
      </c>
      <c r="S971">
        <v>2.9607239999999999</v>
      </c>
      <c r="T971">
        <v>-0.1989206</v>
      </c>
      <c r="U971">
        <v>-0.45669559999999998</v>
      </c>
      <c r="V971">
        <v>0.1137166</v>
      </c>
      <c r="W971">
        <v>-2.6125490000000001E-2</v>
      </c>
      <c r="X971">
        <v>0.99316970000000004</v>
      </c>
      <c r="Y971">
        <v>0.14325589999999999</v>
      </c>
      <c r="Z971">
        <v>-4.1787710000000004E-3</v>
      </c>
      <c r="AA971">
        <v>0.98967680000000002</v>
      </c>
      <c r="AB971">
        <v>35</v>
      </c>
      <c r="AC971">
        <v>16.316099999999899</v>
      </c>
      <c r="AD971">
        <v>-1.1092896656410001</v>
      </c>
      <c r="AE971">
        <v>-2.5448999999999802</v>
      </c>
      <c r="AF971">
        <v>2.38724656283985</v>
      </c>
      <c r="AG971">
        <v>-1.1092896656410001</v>
      </c>
      <c r="AH971">
        <v>16.2649377658182</v>
      </c>
      <c r="AI971">
        <v>93.860372171371097</v>
      </c>
      <c r="AJ971">
        <v>81.650168999911998</v>
      </c>
      <c r="AK971">
        <v>16.4765794459903</v>
      </c>
      <c r="AL971">
        <v>91.497050603025599</v>
      </c>
      <c r="AM971">
        <v>83.468154939890198</v>
      </c>
      <c r="AN971">
        <v>1.0000000296706899</v>
      </c>
    </row>
    <row r="972" spans="1:40" x14ac:dyDescent="0.25">
      <c r="A972" t="str">
        <f>"20190312151517263"</f>
        <v>20190312151517263</v>
      </c>
      <c r="B972" t="str">
        <f>"1552374917258175"</f>
        <v>1552374917258175</v>
      </c>
      <c r="C972" t="s">
        <v>40</v>
      </c>
      <c r="D972">
        <v>4.9110389999999997</v>
      </c>
      <c r="E972">
        <v>0.51126349999999998</v>
      </c>
      <c r="F972" t="s">
        <v>43</v>
      </c>
      <c r="G972">
        <v>-220.1584</v>
      </c>
      <c r="H972" s="1">
        <v>-4.6706200000000004E-6</v>
      </c>
      <c r="I972">
        <v>366.98770000000002</v>
      </c>
      <c r="J972">
        <v>-236.30529999999999</v>
      </c>
      <c r="K972">
        <v>1.1092869999999999</v>
      </c>
      <c r="L972">
        <v>369.50670000000002</v>
      </c>
      <c r="M972">
        <v>0.99984989999999996</v>
      </c>
      <c r="N972">
        <v>0</v>
      </c>
      <c r="O972">
        <v>-9.1765690000000007E-3</v>
      </c>
      <c r="P972">
        <v>0.99158690000000005</v>
      </c>
      <c r="Q972">
        <v>-4.0726850000000002E-2</v>
      </c>
      <c r="R972">
        <v>-0.1228716</v>
      </c>
      <c r="S972">
        <v>2.9606170000000001</v>
      </c>
      <c r="T972">
        <v>-0.20101930000000001</v>
      </c>
      <c r="U972">
        <v>-0.45681759999999899</v>
      </c>
      <c r="V972">
        <v>0.1137444</v>
      </c>
      <c r="W972">
        <v>-2.6219639999999999E-2</v>
      </c>
      <c r="X972">
        <v>0.99316400000000005</v>
      </c>
      <c r="Y972">
        <v>0.14311579999999999</v>
      </c>
      <c r="Z972">
        <v>-4.2059289999999997E-3</v>
      </c>
      <c r="AA972">
        <v>0.98969700000000005</v>
      </c>
      <c r="AB972">
        <v>35</v>
      </c>
      <c r="AC972">
        <v>16.146899999999899</v>
      </c>
      <c r="AD972">
        <v>-1.10929167062</v>
      </c>
      <c r="AE972">
        <v>-2.5190000000000001</v>
      </c>
      <c r="AF972">
        <v>2.3598317251432501</v>
      </c>
      <c r="AG972">
        <v>-1.10929167062</v>
      </c>
      <c r="AH972">
        <v>16.095178908015601</v>
      </c>
      <c r="AI972">
        <v>93.901056916496998</v>
      </c>
      <c r="AJ972">
        <v>81.658877197840596</v>
      </c>
      <c r="AK972">
        <v>16.305033513075902</v>
      </c>
      <c r="AL972">
        <v>91.502446901940502</v>
      </c>
      <c r="AM972">
        <v>83.466534748632597</v>
      </c>
      <c r="AN972">
        <v>0.99999999447454402</v>
      </c>
    </row>
    <row r="973" spans="1:40" x14ac:dyDescent="0.25">
      <c r="A973" t="str">
        <f>"20190312151517274"</f>
        <v>20190312151517274</v>
      </c>
      <c r="B973" t="str">
        <f>"1552374917268911"</f>
        <v>1552374917268911</v>
      </c>
      <c r="C973" t="s">
        <v>40</v>
      </c>
      <c r="D973">
        <v>4.8962199999999996</v>
      </c>
      <c r="E973">
        <v>0.51132739999999999</v>
      </c>
      <c r="F973" t="s">
        <v>43</v>
      </c>
      <c r="G973">
        <v>-220.1268</v>
      </c>
      <c r="H973" s="1">
        <v>-4.6806889999999998E-6</v>
      </c>
      <c r="I973">
        <v>367.00740000000002</v>
      </c>
      <c r="J973">
        <v>-236.11060000000001</v>
      </c>
      <c r="K973">
        <v>1.109283</v>
      </c>
      <c r="L973">
        <v>369.50479999999999</v>
      </c>
      <c r="M973">
        <v>0.99984819999999996</v>
      </c>
      <c r="N973">
        <v>0</v>
      </c>
      <c r="O973">
        <v>-9.3621439999999993E-3</v>
      </c>
      <c r="P973">
        <v>0.99157329999999999</v>
      </c>
      <c r="Q973">
        <v>-4.0611899999999999E-2</v>
      </c>
      <c r="R973">
        <v>-0.1230176</v>
      </c>
      <c r="S973">
        <v>2.9604490000000001</v>
      </c>
      <c r="T973">
        <v>-0.2029849</v>
      </c>
      <c r="U973">
        <v>-0.45733639999999998</v>
      </c>
      <c r="V973">
        <v>0.1137064</v>
      </c>
      <c r="W973">
        <v>-2.6106500000000001E-2</v>
      </c>
      <c r="X973">
        <v>0.99317129999999998</v>
      </c>
      <c r="Y973">
        <v>0.1431045</v>
      </c>
      <c r="Z973">
        <v>-4.2341280000000002E-3</v>
      </c>
      <c r="AA973">
        <v>0.98969850000000004</v>
      </c>
      <c r="AB973">
        <v>35</v>
      </c>
      <c r="AC973">
        <v>15.9838</v>
      </c>
      <c r="AD973">
        <v>-1.109287680689</v>
      </c>
      <c r="AE973">
        <v>-2.4973999999999701</v>
      </c>
      <c r="AF973">
        <v>2.3366455631635801</v>
      </c>
      <c r="AG973">
        <v>-1.109287680689</v>
      </c>
      <c r="AH973">
        <v>15.9315776606539</v>
      </c>
      <c r="AI973">
        <v>93.940948773508197</v>
      </c>
      <c r="AJ973">
        <v>81.656058518273198</v>
      </c>
      <c r="AK973">
        <v>16.140185823088501</v>
      </c>
      <c r="AL973">
        <v>91.495962284810602</v>
      </c>
      <c r="AM973">
        <v>83.468746193133995</v>
      </c>
      <c r="AN973">
        <v>0.99999996294344895</v>
      </c>
    </row>
    <row r="974" spans="1:40" x14ac:dyDescent="0.25">
      <c r="A974" t="str">
        <f>"20190312151517285"</f>
        <v>20190312151517285</v>
      </c>
      <c r="B974" t="str">
        <f>"1552374917278671"</f>
        <v>1552374917278671</v>
      </c>
      <c r="C974" t="s">
        <v>40</v>
      </c>
      <c r="D974">
        <v>4.9094740000000003</v>
      </c>
      <c r="E974">
        <v>0.51137479999999902</v>
      </c>
      <c r="F974" t="s">
        <v>43</v>
      </c>
      <c r="G974">
        <v>-219.9572</v>
      </c>
      <c r="H974" s="1">
        <v>-6.9566039999999999E-7</v>
      </c>
      <c r="I974">
        <v>367.00439999999998</v>
      </c>
      <c r="J974">
        <v>-235.9316</v>
      </c>
      <c r="K974">
        <v>1.1092850000000001</v>
      </c>
      <c r="L974">
        <v>369.50290000000001</v>
      </c>
      <c r="M974">
        <v>0.99984649999999997</v>
      </c>
      <c r="N974">
        <v>0</v>
      </c>
      <c r="O974">
        <v>-9.5325819999999995E-3</v>
      </c>
      <c r="P974">
        <v>0.99153309999999995</v>
      </c>
      <c r="Q974">
        <v>-4.0347800000000003E-2</v>
      </c>
      <c r="R974">
        <v>-0.1234276</v>
      </c>
      <c r="S974">
        <v>2.9603120000000001</v>
      </c>
      <c r="T974">
        <v>-0.2032882</v>
      </c>
      <c r="U974">
        <v>-0.4582214</v>
      </c>
      <c r="V974">
        <v>0.1139479</v>
      </c>
      <c r="W974">
        <v>-2.5844659999999998E-2</v>
      </c>
      <c r="X974">
        <v>0.99315050000000005</v>
      </c>
      <c r="Y974">
        <v>0.14323079999999999</v>
      </c>
      <c r="Z974">
        <v>-4.233227E-3</v>
      </c>
      <c r="AA974">
        <v>0.98968020000000001</v>
      </c>
      <c r="AB974">
        <v>35</v>
      </c>
      <c r="AC974">
        <v>15.974399999999999</v>
      </c>
      <c r="AD974">
        <v>-1.1092856956604</v>
      </c>
      <c r="AE974">
        <v>-2.4985000000000301</v>
      </c>
      <c r="AF974">
        <v>2.33510146597142</v>
      </c>
      <c r="AG974">
        <v>-1.1092856956604</v>
      </c>
      <c r="AH974">
        <v>15.922546806963499</v>
      </c>
      <c r="AI974">
        <v>93.943177675916402</v>
      </c>
      <c r="AJ974">
        <v>81.656831962118602</v>
      </c>
      <c r="AK974">
        <v>16.131048026427798</v>
      </c>
      <c r="AL974">
        <v>91.480954848941494</v>
      </c>
      <c r="AM974">
        <v>83.454858869586403</v>
      </c>
      <c r="AN974">
        <v>0.99999999300758702</v>
      </c>
    </row>
    <row r="975" spans="1:40" x14ac:dyDescent="0.25">
      <c r="A975" t="str">
        <f>"20190312151517299"</f>
        <v>20190312151517299</v>
      </c>
      <c r="B975" t="str">
        <f>"1552374917288432"</f>
        <v>1552374917288432</v>
      </c>
      <c r="C975" t="s">
        <v>40</v>
      </c>
      <c r="D975">
        <v>4.9190610000000001</v>
      </c>
      <c r="E975">
        <v>0.51140450000000004</v>
      </c>
      <c r="F975" t="s">
        <v>43</v>
      </c>
      <c r="G975">
        <v>-219.7611</v>
      </c>
      <c r="H975" s="1">
        <v>-7.6613040000000001E-7</v>
      </c>
      <c r="I975">
        <v>366.99020000000002</v>
      </c>
      <c r="J975">
        <v>-235.72829999999999</v>
      </c>
      <c r="K975">
        <v>1.109286</v>
      </c>
      <c r="L975">
        <v>369.50080000000003</v>
      </c>
      <c r="M975">
        <v>0.99984479999999998</v>
      </c>
      <c r="N975">
        <v>0</v>
      </c>
      <c r="O975">
        <v>-9.7262609999999999E-3</v>
      </c>
      <c r="P975">
        <v>0.99153619999999998</v>
      </c>
      <c r="Q975">
        <v>-4.009339E-2</v>
      </c>
      <c r="R975">
        <v>-0.1234859</v>
      </c>
      <c r="S975">
        <v>2.9600979999999999</v>
      </c>
      <c r="T975">
        <v>-0.20305980000000001</v>
      </c>
      <c r="U975">
        <v>-0.45996090000000001</v>
      </c>
      <c r="V975">
        <v>0.1138141</v>
      </c>
      <c r="W975">
        <v>-2.5591800000000001E-2</v>
      </c>
      <c r="X975">
        <v>0.99317239999999996</v>
      </c>
      <c r="Y975">
        <v>0.1436181</v>
      </c>
      <c r="Z975">
        <v>-4.2285959999999899E-3</v>
      </c>
      <c r="AA975">
        <v>0.98962410000000001</v>
      </c>
      <c r="AB975">
        <v>35</v>
      </c>
      <c r="AC975">
        <v>15.967199999999901</v>
      </c>
      <c r="AD975">
        <v>-1.10928676613039</v>
      </c>
      <c r="AE975">
        <v>-2.5106000000000099</v>
      </c>
      <c r="AF975">
        <v>2.34412241898014</v>
      </c>
      <c r="AG975">
        <v>-1.10928676613039</v>
      </c>
      <c r="AH975">
        <v>15.915901570201401</v>
      </c>
      <c r="AI975">
        <v>93.944467374089996</v>
      </c>
      <c r="AJ975">
        <v>81.621609857516503</v>
      </c>
      <c r="AK975">
        <v>16.1257976496364</v>
      </c>
      <c r="AL975">
        <v>91.466462229856006</v>
      </c>
      <c r="AM975">
        <v>83.462620648719906</v>
      </c>
      <c r="AN975">
        <v>1.0000000028539</v>
      </c>
    </row>
    <row r="976" spans="1:40" x14ac:dyDescent="0.25">
      <c r="A976" t="str">
        <f>"20190312151517313"</f>
        <v>20190312151517313</v>
      </c>
      <c r="B976" t="str">
        <f>"1552374917308927"</f>
        <v>1552374917308927</v>
      </c>
      <c r="C976" t="s">
        <v>40</v>
      </c>
      <c r="D976">
        <v>4.9543169999999996</v>
      </c>
      <c r="E976">
        <v>0.51123509999999905</v>
      </c>
      <c r="F976" t="s">
        <v>43</v>
      </c>
      <c r="G976">
        <v>-219.5275</v>
      </c>
      <c r="H976" s="1">
        <v>-8.4778709999999996E-7</v>
      </c>
      <c r="I976">
        <v>366.98219999999998</v>
      </c>
      <c r="J976">
        <v>-235.4871</v>
      </c>
      <c r="K976">
        <v>1.1092900000000001</v>
      </c>
      <c r="L976">
        <v>369.4982</v>
      </c>
      <c r="M976">
        <v>0.99984260000000003</v>
      </c>
      <c r="N976">
        <v>0</v>
      </c>
      <c r="O976">
        <v>-9.9566470000000008E-3</v>
      </c>
      <c r="P976">
        <v>0.99149670000000001</v>
      </c>
      <c r="Q976">
        <v>-3.9748739999999998E-2</v>
      </c>
      <c r="R976">
        <v>-0.1239147</v>
      </c>
      <c r="S976">
        <v>2.9601139999999999</v>
      </c>
      <c r="T976">
        <v>-0.20268079999999999</v>
      </c>
      <c r="U976">
        <v>-0.46017459999999999</v>
      </c>
      <c r="V976">
        <v>0.1140147</v>
      </c>
      <c r="W976">
        <v>-2.5249839999999999E-2</v>
      </c>
      <c r="X976">
        <v>0.99315819999999999</v>
      </c>
      <c r="Y976">
        <v>0.14346099999999901</v>
      </c>
      <c r="Z976">
        <v>-4.1996809999999898E-3</v>
      </c>
      <c r="AA976">
        <v>0.98964700000000005</v>
      </c>
      <c r="AB976">
        <v>35</v>
      </c>
      <c r="AC976">
        <v>15.959599999999901</v>
      </c>
      <c r="AD976">
        <v>-1.1092908477871</v>
      </c>
      <c r="AE976">
        <v>-2.51600000000002</v>
      </c>
      <c r="AF976">
        <v>2.3458955758856299</v>
      </c>
      <c r="AG976">
        <v>-1.1092908477871</v>
      </c>
      <c r="AH976">
        <v>15.9088686880179</v>
      </c>
      <c r="AI976">
        <v>93.946119901502698</v>
      </c>
      <c r="AJ976">
        <v>81.611708385103498</v>
      </c>
      <c r="AK976">
        <v>16.119114590154801</v>
      </c>
      <c r="AL976">
        <v>91.446862951211102</v>
      </c>
      <c r="AM976">
        <v>83.4511055484612</v>
      </c>
      <c r="AN976">
        <v>1.0000000582316699</v>
      </c>
    </row>
    <row r="977" spans="1:40" x14ac:dyDescent="0.25">
      <c r="A977" t="str">
        <f>"20190312151517327"</f>
        <v>20190312151517327</v>
      </c>
      <c r="B977" t="str">
        <f>"1552374917318687"</f>
        <v>1552374917318687</v>
      </c>
      <c r="C977" t="s">
        <v>40</v>
      </c>
      <c r="D977">
        <v>4.9043839999999896</v>
      </c>
      <c r="E977">
        <v>0.51121930000000004</v>
      </c>
      <c r="F977" t="s">
        <v>43</v>
      </c>
      <c r="G977">
        <v>-219.32740000000001</v>
      </c>
      <c r="H977" s="1">
        <v>-9.1467210000000002E-7</v>
      </c>
      <c r="I977">
        <v>366.98669999999998</v>
      </c>
      <c r="J977">
        <v>-235.2921</v>
      </c>
      <c r="K977">
        <v>1.109291</v>
      </c>
      <c r="L977">
        <v>369.49610000000001</v>
      </c>
      <c r="M977">
        <v>0.99984070000000003</v>
      </c>
      <c r="N977">
        <v>0</v>
      </c>
      <c r="O977">
        <v>-1.014258E-2</v>
      </c>
      <c r="P977">
        <v>0.99146909999999999</v>
      </c>
      <c r="Q977">
        <v>-3.9444E-2</v>
      </c>
      <c r="R977">
        <v>-0.1242336</v>
      </c>
      <c r="S977">
        <v>2.960083</v>
      </c>
      <c r="T977">
        <v>-0.20319590000000001</v>
      </c>
      <c r="U977">
        <v>-0.46005249999999998</v>
      </c>
      <c r="V977">
        <v>0.1141494</v>
      </c>
      <c r="W977">
        <v>-2.4947239999999999E-2</v>
      </c>
      <c r="X977">
        <v>0.99315030000000004</v>
      </c>
      <c r="Y977">
        <v>0.14323810000000001</v>
      </c>
      <c r="Z977">
        <v>-4.1901209999999998E-3</v>
      </c>
      <c r="AA977">
        <v>0.98967939999999999</v>
      </c>
      <c r="AB977">
        <v>35</v>
      </c>
      <c r="AC977">
        <v>15.964699999999899</v>
      </c>
      <c r="AD977">
        <v>-1.1092919146721001</v>
      </c>
      <c r="AE977">
        <v>-2.5094000000000198</v>
      </c>
      <c r="AF977">
        <v>2.33632231266018</v>
      </c>
      <c r="AG977">
        <v>-1.1092919146721001</v>
      </c>
      <c r="AH977">
        <v>15.914350760506</v>
      </c>
      <c r="AI977">
        <v>93.945138088796597</v>
      </c>
      <c r="AJ977">
        <v>81.648292996428196</v>
      </c>
      <c r="AK977">
        <v>16.123135260519501</v>
      </c>
      <c r="AL977">
        <v>91.429519891507098</v>
      </c>
      <c r="AM977">
        <v>83.443384139100999</v>
      </c>
      <c r="AN977">
        <v>0.99999998434703297</v>
      </c>
    </row>
    <row r="978" spans="1:40" x14ac:dyDescent="0.25">
      <c r="A978" t="str">
        <f>"20190312151517343"</f>
        <v>20190312151517343</v>
      </c>
      <c r="B978" t="str">
        <f>"1552374917338207"</f>
        <v>1552374917338207</v>
      </c>
      <c r="C978" t="s">
        <v>40</v>
      </c>
      <c r="D978">
        <v>5.0601659999999997</v>
      </c>
      <c r="E978">
        <v>0.51147339999999997</v>
      </c>
      <c r="F978" t="s">
        <v>43</v>
      </c>
      <c r="G978">
        <v>-219.0478</v>
      </c>
      <c r="H978" s="1">
        <v>-1.0152269999999999E-6</v>
      </c>
      <c r="I978">
        <v>366.96640000000002</v>
      </c>
      <c r="J978">
        <v>-235.06229999999999</v>
      </c>
      <c r="K978">
        <v>1.1092979999999999</v>
      </c>
      <c r="L978">
        <v>369.49360000000001</v>
      </c>
      <c r="M978">
        <v>0.99983840000000002</v>
      </c>
      <c r="N978">
        <v>0</v>
      </c>
      <c r="O978">
        <v>-1.036165E-2</v>
      </c>
      <c r="P978">
        <v>0.99142540000000001</v>
      </c>
      <c r="Q978">
        <v>-3.9379949999999997E-2</v>
      </c>
      <c r="R978">
        <v>-0.12459919999999999</v>
      </c>
      <c r="S978">
        <v>2.9600520000000001</v>
      </c>
      <c r="T978">
        <v>-0.20213600000000001</v>
      </c>
      <c r="U978">
        <v>-0.46096799999999999</v>
      </c>
      <c r="V978">
        <v>0.11429830000000001</v>
      </c>
      <c r="W978">
        <v>-2.4885839999999999E-2</v>
      </c>
      <c r="X978">
        <v>0.99313470000000004</v>
      </c>
      <c r="Y978">
        <v>0.14332520000000001</v>
      </c>
      <c r="Z978">
        <v>-4.1563609999999999E-3</v>
      </c>
      <c r="AA978">
        <v>0.98966690000000002</v>
      </c>
      <c r="AB978">
        <v>35</v>
      </c>
      <c r="AC978">
        <v>16.014499999999899</v>
      </c>
      <c r="AD978">
        <v>-1.1092990152269999</v>
      </c>
      <c r="AE978">
        <v>-2.5271999999999899</v>
      </c>
      <c r="AF978">
        <v>2.3501076531907898</v>
      </c>
      <c r="AG978">
        <v>-1.1092990152269999</v>
      </c>
      <c r="AH978">
        <v>15.965087871159801</v>
      </c>
      <c r="AI978">
        <v>93.932441020588698</v>
      </c>
      <c r="AJ978">
        <v>81.6260323406878</v>
      </c>
      <c r="AK978">
        <v>16.175215022392202</v>
      </c>
      <c r="AL978">
        <v>91.426000859393596</v>
      </c>
      <c r="AM978">
        <v>83.434803878957595</v>
      </c>
      <c r="AN978">
        <v>0.999999969379742</v>
      </c>
    </row>
    <row r="979" spans="1:40" x14ac:dyDescent="0.25">
      <c r="A979" t="str">
        <f>"20190312151517359"</f>
        <v>20190312151517359</v>
      </c>
      <c r="B979" t="str">
        <f>"1552374917348943"</f>
        <v>1552374917348943</v>
      </c>
      <c r="C979" t="s">
        <v>40</v>
      </c>
      <c r="D979">
        <v>4.9492520000000004</v>
      </c>
      <c r="E979">
        <v>0.51153159999999998</v>
      </c>
      <c r="F979" t="s">
        <v>43</v>
      </c>
      <c r="G979">
        <v>-218.5926</v>
      </c>
      <c r="H979" s="1">
        <v>-1.1849450000000001E-6</v>
      </c>
      <c r="I979">
        <v>366.91070000000002</v>
      </c>
      <c r="J979">
        <v>-234.78059999999999</v>
      </c>
      <c r="K979">
        <v>1.109302</v>
      </c>
      <c r="L979">
        <v>369.49040000000002</v>
      </c>
      <c r="M979">
        <v>0.99983569999999999</v>
      </c>
      <c r="N979">
        <v>0</v>
      </c>
      <c r="O979">
        <v>-1.0630179999999999E-2</v>
      </c>
      <c r="P979">
        <v>0.99134580000000005</v>
      </c>
      <c r="Q979">
        <v>-3.939703E-2</v>
      </c>
      <c r="R979">
        <v>-0.1252257</v>
      </c>
      <c r="S979">
        <v>2.959686</v>
      </c>
      <c r="T979">
        <v>-0.19934579999999999</v>
      </c>
      <c r="U979">
        <v>-0.46414179999999999</v>
      </c>
      <c r="V979">
        <v>0.11465880000000001</v>
      </c>
      <c r="W979">
        <v>-2.4906649999999999E-2</v>
      </c>
      <c r="X979">
        <v>0.99309270000000005</v>
      </c>
      <c r="Y979">
        <v>0.144121</v>
      </c>
      <c r="Z979">
        <v>-4.10794E-3</v>
      </c>
      <c r="AA979">
        <v>0.98955150000000003</v>
      </c>
      <c r="AB979">
        <v>35</v>
      </c>
      <c r="AC979">
        <v>16.187999999999899</v>
      </c>
      <c r="AD979">
        <v>-1.1093031849449999</v>
      </c>
      <c r="AE979">
        <v>-2.5796999999999999</v>
      </c>
      <c r="AF979">
        <v>2.39647950706029</v>
      </c>
      <c r="AG979">
        <v>-1.1093031849449999</v>
      </c>
      <c r="AH979">
        <v>16.140594117118201</v>
      </c>
      <c r="AI979">
        <v>93.889114033437295</v>
      </c>
      <c r="AJ979">
        <v>81.554690155398504</v>
      </c>
      <c r="AK979">
        <v>16.355196300791999</v>
      </c>
      <c r="AL979">
        <v>91.427193444611106</v>
      </c>
      <c r="AM979">
        <v>83.414002610829399</v>
      </c>
      <c r="AN979">
        <v>1.0000000462124701</v>
      </c>
    </row>
    <row r="980" spans="1:40" x14ac:dyDescent="0.25">
      <c r="A980" t="str">
        <f>"20190312151517375"</f>
        <v>20190312151517375</v>
      </c>
      <c r="B980" t="str">
        <f>"1552374917368463"</f>
        <v>1552374917368463</v>
      </c>
      <c r="C980" t="s">
        <v>40</v>
      </c>
      <c r="D980">
        <v>4.9763650000000004</v>
      </c>
      <c r="E980">
        <v>0.51182499999999997</v>
      </c>
      <c r="F980" t="s">
        <v>43</v>
      </c>
      <c r="G980">
        <v>-218.06559999999999</v>
      </c>
      <c r="H980" s="1">
        <v>-1.3789329999999999E-6</v>
      </c>
      <c r="I980">
        <v>366.85559999999998</v>
      </c>
      <c r="J980">
        <v>-234.54679999999999</v>
      </c>
      <c r="K980">
        <v>1.1093059999999999</v>
      </c>
      <c r="L980">
        <v>369.48770000000002</v>
      </c>
      <c r="M980">
        <v>0.99983330000000004</v>
      </c>
      <c r="N980">
        <v>0</v>
      </c>
      <c r="O980">
        <v>-1.0853299999999899E-2</v>
      </c>
      <c r="P980">
        <v>0.99127969999999999</v>
      </c>
      <c r="Q980">
        <v>-3.9296449999999997E-2</v>
      </c>
      <c r="R980">
        <v>-0.12578010000000001</v>
      </c>
      <c r="S980">
        <v>2.9594420000000001</v>
      </c>
      <c r="T980">
        <v>-0.19640479999999999</v>
      </c>
      <c r="U980">
        <v>-0.46649170000000001</v>
      </c>
      <c r="V980">
        <v>0.1149926</v>
      </c>
      <c r="W980">
        <v>-2.480922E-2</v>
      </c>
      <c r="X980">
        <v>0.99305650000000001</v>
      </c>
      <c r="Y980">
        <v>0.14468729999999999</v>
      </c>
      <c r="Z980">
        <v>-4.0515100000000004E-3</v>
      </c>
      <c r="AA980">
        <v>0.98946909999999999</v>
      </c>
      <c r="AB980">
        <v>35</v>
      </c>
      <c r="AC980">
        <v>16.481200000000001</v>
      </c>
      <c r="AD980">
        <v>-1.1093073789329999</v>
      </c>
      <c r="AE980">
        <v>-2.6321000000000301</v>
      </c>
      <c r="AF980">
        <v>2.4422612658838299</v>
      </c>
      <c r="AG980">
        <v>-1.1093073789329999</v>
      </c>
      <c r="AH980">
        <v>16.436190281853101</v>
      </c>
      <c r="AI980">
        <v>93.819329944694601</v>
      </c>
      <c r="AJ980">
        <v>81.548233586052305</v>
      </c>
      <c r="AK980">
        <v>16.653634856483301</v>
      </c>
      <c r="AL980">
        <v>91.421609451837</v>
      </c>
      <c r="AM980">
        <v>83.394759679405794</v>
      </c>
      <c r="AN980">
        <v>1.000000003822</v>
      </c>
    </row>
    <row r="981" spans="1:40" x14ac:dyDescent="0.25">
      <c r="A981" t="str">
        <f>"20190312151517391"</f>
        <v>20190312151517391</v>
      </c>
      <c r="B981" t="str">
        <f>"1552374917388959"</f>
        <v>1552374917388959</v>
      </c>
      <c r="C981" t="s">
        <v>40</v>
      </c>
      <c r="D981">
        <v>5.1006179999999999</v>
      </c>
      <c r="E981">
        <v>0.5120403</v>
      </c>
      <c r="F981" t="s">
        <v>43</v>
      </c>
      <c r="G981">
        <v>-217.42</v>
      </c>
      <c r="H981" s="1">
        <v>-1.6226750000000001E-6</v>
      </c>
      <c r="I981">
        <v>366.76530000000002</v>
      </c>
      <c r="J981">
        <v>-234.26320000000001</v>
      </c>
      <c r="K981">
        <v>1.109313</v>
      </c>
      <c r="L981">
        <v>369.48439999999999</v>
      </c>
      <c r="M981">
        <v>0.99983040000000001</v>
      </c>
      <c r="N981">
        <v>0</v>
      </c>
      <c r="O981">
        <v>-1.112374E-2</v>
      </c>
      <c r="P981">
        <v>0.99124599999999996</v>
      </c>
      <c r="Q981">
        <v>-3.8761860000000002E-2</v>
      </c>
      <c r="R981">
        <v>-0.12621099999999999</v>
      </c>
      <c r="S981">
        <v>2.9591059999999998</v>
      </c>
      <c r="T981">
        <v>-0.1916611</v>
      </c>
      <c r="U981">
        <v>-0.47036739999999999</v>
      </c>
      <c r="V981">
        <v>0.1151558</v>
      </c>
      <c r="W981">
        <v>-2.4277719999999999E-2</v>
      </c>
      <c r="X981">
        <v>0.99305069999999995</v>
      </c>
      <c r="Y981">
        <v>0.14571339999999999</v>
      </c>
      <c r="Z981">
        <v>-3.9695049999999999E-3</v>
      </c>
      <c r="AA981">
        <v>0.9893189</v>
      </c>
      <c r="AB981">
        <v>35</v>
      </c>
      <c r="AC981">
        <v>16.8432</v>
      </c>
      <c r="AD981">
        <v>-1.1093146226749999</v>
      </c>
      <c r="AE981">
        <v>-2.7190999999999601</v>
      </c>
      <c r="AF981">
        <v>2.5208950060667101</v>
      </c>
      <c r="AG981">
        <v>-1.1093146226749999</v>
      </c>
      <c r="AH981">
        <v>16.801379139158499</v>
      </c>
      <c r="AI981">
        <v>93.735787149767404</v>
      </c>
      <c r="AJ981">
        <v>81.466939374973506</v>
      </c>
      <c r="AK981">
        <v>17.0256227945248</v>
      </c>
      <c r="AL981">
        <v>91.391147602585207</v>
      </c>
      <c r="AM981">
        <v>83.385430099921294</v>
      </c>
      <c r="AN981">
        <v>0.99999997936626395</v>
      </c>
    </row>
    <row r="982" spans="1:40" x14ac:dyDescent="0.25">
      <c r="A982" t="str">
        <f>"20190312151517403"</f>
        <v>20190312151517403</v>
      </c>
      <c r="B982" t="str">
        <f>"1552374917398720"</f>
        <v>1552374917398720</v>
      </c>
      <c r="C982" t="s">
        <v>40</v>
      </c>
      <c r="D982">
        <v>4.9166569999999998</v>
      </c>
      <c r="E982">
        <v>0.51207440000000004</v>
      </c>
      <c r="F982" t="s">
        <v>43</v>
      </c>
      <c r="G982">
        <v>-216.62260000000001</v>
      </c>
      <c r="H982" s="1">
        <v>-1.9554820000000001E-6</v>
      </c>
      <c r="I982">
        <v>366.661</v>
      </c>
      <c r="J982">
        <v>-234.08349999999999</v>
      </c>
      <c r="K982">
        <v>1.1093109999999999</v>
      </c>
      <c r="L982">
        <v>369.4821</v>
      </c>
      <c r="M982">
        <v>0.99982859999999996</v>
      </c>
      <c r="N982">
        <v>0</v>
      </c>
      <c r="O982">
        <v>-1.1295370000000001E-2</v>
      </c>
      <c r="P982">
        <v>0.99120810000000004</v>
      </c>
      <c r="Q982">
        <v>-3.8603800000000001E-2</v>
      </c>
      <c r="R982">
        <v>-0.12655839999999999</v>
      </c>
      <c r="S982">
        <v>2.958923</v>
      </c>
      <c r="T982">
        <v>-0.18606780000000001</v>
      </c>
      <c r="U982">
        <v>-0.47357179999999999</v>
      </c>
      <c r="V982">
        <v>0.1153333</v>
      </c>
      <c r="W982">
        <v>-2.4121839999999999E-2</v>
      </c>
      <c r="X982">
        <v>0.99303390000000002</v>
      </c>
      <c r="Y982">
        <v>0.1466122</v>
      </c>
      <c r="Z982">
        <v>-3.871144E-3</v>
      </c>
      <c r="AA982">
        <v>0.98918649999999997</v>
      </c>
      <c r="AB982">
        <v>35</v>
      </c>
      <c r="AC982">
        <v>17.460899999999899</v>
      </c>
      <c r="AD982">
        <v>-1.109312955482</v>
      </c>
      <c r="AE982">
        <v>-2.8210999999999999</v>
      </c>
      <c r="AF982">
        <v>2.6133915587941901</v>
      </c>
      <c r="AG982">
        <v>-1.109312955482</v>
      </c>
      <c r="AH982">
        <v>17.423120095946</v>
      </c>
      <c r="AI982">
        <v>93.602852355853202</v>
      </c>
      <c r="AJ982">
        <v>81.469480281232904</v>
      </c>
      <c r="AK982">
        <v>17.6529177347694</v>
      </c>
      <c r="AL982">
        <v>91.382213719186197</v>
      </c>
      <c r="AM982">
        <v>83.375213944617698</v>
      </c>
      <c r="AN982">
        <v>0.99999997990154199</v>
      </c>
    </row>
    <row r="983" spans="1:40" x14ac:dyDescent="0.25">
      <c r="A983" t="str">
        <f>"20190312151517426"</f>
        <v>20190312151517426</v>
      </c>
      <c r="B983" t="str">
        <f>"1552374917418239"</f>
        <v>1552374917418239</v>
      </c>
      <c r="C983" t="s">
        <v>40</v>
      </c>
      <c r="D983">
        <v>4.8774139999999999</v>
      </c>
      <c r="E983">
        <v>0.51200789999999996</v>
      </c>
      <c r="F983" t="s">
        <v>43</v>
      </c>
      <c r="G983">
        <v>-216.53649999999999</v>
      </c>
      <c r="H983" s="1">
        <v>-1.9914800000000002E-6</v>
      </c>
      <c r="I983">
        <v>366.66609999999997</v>
      </c>
      <c r="J983">
        <v>-233.74170000000001</v>
      </c>
      <c r="K983">
        <v>1.1093150000000001</v>
      </c>
      <c r="L983">
        <v>369.47800000000001</v>
      </c>
      <c r="M983">
        <v>0.99982490000000002</v>
      </c>
      <c r="N983">
        <v>0</v>
      </c>
      <c r="O983">
        <v>-1.1621589999999999E-2</v>
      </c>
      <c r="P983">
        <v>0.99119259999999998</v>
      </c>
      <c r="Q983">
        <v>-3.8091109999999997E-2</v>
      </c>
      <c r="R983">
        <v>-0.1268319</v>
      </c>
      <c r="S983">
        <v>2.9586939999999999</v>
      </c>
      <c r="T983">
        <v>-0.18704709999999999</v>
      </c>
      <c r="U983">
        <v>-0.474823</v>
      </c>
      <c r="V983">
        <v>0.1152837</v>
      </c>
      <c r="W983">
        <v>-2.3612250000000001E-2</v>
      </c>
      <c r="X983">
        <v>0.99305189999999999</v>
      </c>
      <c r="Y983">
        <v>0.1467069</v>
      </c>
      <c r="Z983">
        <v>-3.8741560000000001E-3</v>
      </c>
      <c r="AA983">
        <v>0.98917239999999995</v>
      </c>
      <c r="AB983">
        <v>35</v>
      </c>
      <c r="AC983">
        <v>17.205200000000001</v>
      </c>
      <c r="AD983">
        <v>-1.1093169914799901</v>
      </c>
      <c r="AE983">
        <v>-2.8119000000000298</v>
      </c>
      <c r="AF983">
        <v>2.6012045899935199</v>
      </c>
      <c r="AG983">
        <v>-1.1093169914799901</v>
      </c>
      <c r="AH983">
        <v>17.167210677286999</v>
      </c>
      <c r="AI983">
        <v>93.655608041894794</v>
      </c>
      <c r="AJ983">
        <v>81.383986197539897</v>
      </c>
      <c r="AK983">
        <v>17.3985623528194</v>
      </c>
      <c r="AL983">
        <v>91.353008051902805</v>
      </c>
      <c r="AM983">
        <v>83.378156641126907</v>
      </c>
      <c r="AN983">
        <v>0.99999997296468002</v>
      </c>
    </row>
    <row r="984" spans="1:40" x14ac:dyDescent="0.25">
      <c r="A984" t="str">
        <f>"20190312151517437"</f>
        <v>20190312151517437</v>
      </c>
      <c r="B984" t="str">
        <f>"1552374917428000"</f>
        <v>1552374917428000</v>
      </c>
      <c r="C984" t="s">
        <v>40</v>
      </c>
      <c r="D984">
        <v>4.9693659999999999</v>
      </c>
      <c r="E984">
        <v>0.512013099999999</v>
      </c>
      <c r="F984" t="s">
        <v>43</v>
      </c>
      <c r="G984">
        <v>-216.22069999999999</v>
      </c>
      <c r="H984" s="1">
        <v>-2.1274219999999999E-6</v>
      </c>
      <c r="I984">
        <v>366.6635</v>
      </c>
      <c r="J984">
        <v>-233.55279999999999</v>
      </c>
      <c r="K984">
        <v>1.109316</v>
      </c>
      <c r="L984">
        <v>369.47559999999999</v>
      </c>
      <c r="M984">
        <v>0.99982269999999895</v>
      </c>
      <c r="N984">
        <v>0</v>
      </c>
      <c r="O984">
        <v>-1.1801799999999999E-2</v>
      </c>
      <c r="P984">
        <v>0.99115580000000003</v>
      </c>
      <c r="Q984">
        <v>-3.8071050000000002E-2</v>
      </c>
      <c r="R984">
        <v>-0.1271275</v>
      </c>
      <c r="S984">
        <v>2.9586489999999999</v>
      </c>
      <c r="T984">
        <v>-0.18732199999999999</v>
      </c>
      <c r="U984">
        <v>-0.47525020000000001</v>
      </c>
      <c r="V984">
        <v>0.11540060000000001</v>
      </c>
      <c r="W984">
        <v>-2.359439E-2</v>
      </c>
      <c r="X984">
        <v>0.9930388</v>
      </c>
      <c r="Y984">
        <v>0.14666989999999999</v>
      </c>
      <c r="Z984">
        <v>-3.8673689999999998E-3</v>
      </c>
      <c r="AA984">
        <v>0.98917790000000005</v>
      </c>
      <c r="AB984">
        <v>35</v>
      </c>
      <c r="AC984">
        <v>17.332099999999901</v>
      </c>
      <c r="AD984">
        <v>-1.1093181274220001</v>
      </c>
      <c r="AE984">
        <v>-2.8120999999999801</v>
      </c>
      <c r="AF984">
        <v>2.5969665825636099</v>
      </c>
      <c r="AG984">
        <v>-1.1093181274220001</v>
      </c>
      <c r="AH984">
        <v>17.295052622999201</v>
      </c>
      <c r="AI984">
        <v>93.629391267837605</v>
      </c>
      <c r="AJ984">
        <v>81.460458592239803</v>
      </c>
      <c r="AK984">
        <v>17.524088203700899</v>
      </c>
      <c r="AL984">
        <v>91.351984392351</v>
      </c>
      <c r="AM984">
        <v>83.371415017094094</v>
      </c>
      <c r="AN984">
        <v>1.00000002601263</v>
      </c>
    </row>
    <row r="985" spans="1:40" x14ac:dyDescent="0.25">
      <c r="A985" t="str">
        <f>"20190312151517450"</f>
        <v>20190312151517450</v>
      </c>
      <c r="B985" t="str">
        <f>"1552374917438736"</f>
        <v>1552374917438736</v>
      </c>
      <c r="C985" t="s">
        <v>40</v>
      </c>
      <c r="D985">
        <v>5.1429539999999996</v>
      </c>
      <c r="E985">
        <v>0.512013099999999</v>
      </c>
      <c r="F985" t="s">
        <v>43</v>
      </c>
      <c r="G985">
        <v>-216.11340000000001</v>
      </c>
      <c r="H985" s="1">
        <v>-2.1724580000000001E-6</v>
      </c>
      <c r="I985">
        <v>366.66910000000001</v>
      </c>
      <c r="J985">
        <v>-233.34970000000001</v>
      </c>
      <c r="K985">
        <v>1.1093189999999999</v>
      </c>
      <c r="L985">
        <v>369.47300000000001</v>
      </c>
      <c r="M985">
        <v>0.9998205</v>
      </c>
      <c r="N985">
        <v>0</v>
      </c>
      <c r="O985">
        <v>-1.19956E-2</v>
      </c>
      <c r="P985">
        <v>0.99111400000000005</v>
      </c>
      <c r="Q985">
        <v>-3.8093580000000002E-2</v>
      </c>
      <c r="R985">
        <v>-0.12744529999999901</v>
      </c>
      <c r="S985">
        <v>2.958466</v>
      </c>
      <c r="T985">
        <v>-0.1881871</v>
      </c>
      <c r="U985">
        <v>-0.47610469999999999</v>
      </c>
      <c r="V985">
        <v>0.11552659999999999</v>
      </c>
      <c r="W985">
        <v>-2.3619299999999999E-2</v>
      </c>
      <c r="X985">
        <v>0.99302349999999995</v>
      </c>
      <c r="Y985">
        <v>0.14676400000000001</v>
      </c>
      <c r="Z985">
        <v>-3.8760840000000001E-3</v>
      </c>
      <c r="AA985">
        <v>0.98916389999999998</v>
      </c>
      <c r="AB985">
        <v>35</v>
      </c>
      <c r="AC985">
        <v>17.2363</v>
      </c>
      <c r="AD985">
        <v>-1.1093211724580001</v>
      </c>
      <c r="AE985">
        <v>-2.8038999999999898</v>
      </c>
      <c r="AF985">
        <v>2.58647882156842</v>
      </c>
      <c r="AG985">
        <v>-1.1093211724580001</v>
      </c>
      <c r="AH985">
        <v>17.199292172075602</v>
      </c>
      <c r="AI985">
        <v>93.649433139103394</v>
      </c>
      <c r="AJ985">
        <v>81.447781795295597</v>
      </c>
      <c r="AK985">
        <v>17.428026778109601</v>
      </c>
      <c r="AL985">
        <v>91.353412105081404</v>
      </c>
      <c r="AM985">
        <v>83.364140786682995</v>
      </c>
      <c r="AN985">
        <v>0.99999996909614897</v>
      </c>
    </row>
    <row r="986" spans="1:40" x14ac:dyDescent="0.25">
      <c r="A986" t="str">
        <f>"20190312151517463"</f>
        <v>20190312151517463</v>
      </c>
      <c r="B986" t="str">
        <f>"1552374917458256"</f>
        <v>1552374917458256</v>
      </c>
      <c r="C986" t="s">
        <v>40</v>
      </c>
      <c r="D986">
        <v>5.013115</v>
      </c>
      <c r="E986">
        <v>0.51209470000000001</v>
      </c>
      <c r="F986" t="s">
        <v>43</v>
      </c>
      <c r="G986">
        <v>-215.92099999999999</v>
      </c>
      <c r="H986" s="1">
        <v>-2.2562800000000002E-6</v>
      </c>
      <c r="I986">
        <v>366.66199999999998</v>
      </c>
      <c r="J986">
        <v>-233.17009999999999</v>
      </c>
      <c r="K986">
        <v>1.1093189999999999</v>
      </c>
      <c r="L986">
        <v>369.47070000000002</v>
      </c>
      <c r="M986">
        <v>0.99981850000000005</v>
      </c>
      <c r="N986">
        <v>0</v>
      </c>
      <c r="O986">
        <v>-1.2167229999999999E-2</v>
      </c>
      <c r="P986">
        <v>0.99111680000000002</v>
      </c>
      <c r="Q986">
        <v>-3.8012120000000003E-2</v>
      </c>
      <c r="R986">
        <v>-0.12744829999999999</v>
      </c>
      <c r="S986">
        <v>2.958313</v>
      </c>
      <c r="T986">
        <v>-0.18829309999999999</v>
      </c>
      <c r="U986">
        <v>-0.47714230000000002</v>
      </c>
      <c r="V986">
        <v>0.1153594</v>
      </c>
      <c r="W986">
        <v>-2.353918E-2</v>
      </c>
      <c r="X986">
        <v>0.99304490000000001</v>
      </c>
      <c r="Y986">
        <v>0.14694009999999999</v>
      </c>
      <c r="Z986">
        <v>-3.8730750000000001E-3</v>
      </c>
      <c r="AA986">
        <v>0.98913779999999996</v>
      </c>
      <c r="AB986">
        <v>35</v>
      </c>
      <c r="AC986">
        <v>17.249099999999999</v>
      </c>
      <c r="AD986">
        <v>-1.1093212562799999</v>
      </c>
      <c r="AE986">
        <v>-2.8087000000000399</v>
      </c>
      <c r="AF986">
        <v>2.5881675242295401</v>
      </c>
      <c r="AG986">
        <v>-1.1093212562799999</v>
      </c>
      <c r="AH986">
        <v>17.212647774600999</v>
      </c>
      <c r="AI986">
        <v>93.646619331204704</v>
      </c>
      <c r="AJ986">
        <v>81.448822616245494</v>
      </c>
      <c r="AK986">
        <v>17.441457742849</v>
      </c>
      <c r="AL986">
        <v>91.348820209895607</v>
      </c>
      <c r="AM986">
        <v>83.373800828634302</v>
      </c>
      <c r="AN986">
        <v>1.0000000287897199</v>
      </c>
    </row>
    <row r="987" spans="1:40" x14ac:dyDescent="0.25">
      <c r="A987" t="str">
        <f>"20190312151517473"</f>
        <v>20190312151517473</v>
      </c>
      <c r="B987" t="str">
        <f>"1552374917468991"</f>
        <v>1552374917468991</v>
      </c>
      <c r="C987" t="s">
        <v>40</v>
      </c>
      <c r="D987">
        <v>4.8805630000000004</v>
      </c>
      <c r="E987">
        <v>0.51216600000000001</v>
      </c>
      <c r="F987" t="s">
        <v>43</v>
      </c>
      <c r="G987">
        <v>-216.00149999999999</v>
      </c>
      <c r="H987" s="1">
        <v>-2.214995E-6</v>
      </c>
      <c r="I987">
        <v>366.7</v>
      </c>
      <c r="J987">
        <v>-232.98990000000001</v>
      </c>
      <c r="K987">
        <v>1.109324</v>
      </c>
      <c r="L987">
        <v>369.4683</v>
      </c>
      <c r="M987">
        <v>0.99981620000000004</v>
      </c>
      <c r="N987">
        <v>0</v>
      </c>
      <c r="O987">
        <v>-1.2339330000000001E-2</v>
      </c>
      <c r="P987">
        <v>0.99107749999999994</v>
      </c>
      <c r="Q987">
        <v>-3.8153890000000003E-2</v>
      </c>
      <c r="R987">
        <v>-0.12771070000000001</v>
      </c>
      <c r="S987">
        <v>2.9581759999999999</v>
      </c>
      <c r="T987">
        <v>-0.1911368</v>
      </c>
      <c r="U987">
        <v>-0.47738649999999999</v>
      </c>
      <c r="V987">
        <v>0.11545130000000001</v>
      </c>
      <c r="W987">
        <v>-2.3683039999999999E-2</v>
      </c>
      <c r="X987">
        <v>0.99303079999999999</v>
      </c>
      <c r="Y987">
        <v>0.14684910000000001</v>
      </c>
      <c r="Z987">
        <v>-3.9176530000000001E-3</v>
      </c>
      <c r="AA987">
        <v>0.98915120000000001</v>
      </c>
      <c r="AB987">
        <v>35</v>
      </c>
      <c r="AC987">
        <v>16.988399999999999</v>
      </c>
      <c r="AD987">
        <v>-1.1093262149950001</v>
      </c>
      <c r="AE987">
        <v>-2.7683</v>
      </c>
      <c r="AF987">
        <v>2.54785819001706</v>
      </c>
      <c r="AG987">
        <v>-1.1093262149950001</v>
      </c>
      <c r="AH987">
        <v>16.950860712108099</v>
      </c>
      <c r="AI987">
        <v>93.702828591330004</v>
      </c>
      <c r="AJ987">
        <v>81.451949228377302</v>
      </c>
      <c r="AK987">
        <v>17.177132033287801</v>
      </c>
      <c r="AL987">
        <v>91.357065078188796</v>
      </c>
      <c r="AM987">
        <v>83.368475804652903</v>
      </c>
      <c r="AN987">
        <v>1.00000002940198</v>
      </c>
    </row>
    <row r="988" spans="1:40" x14ac:dyDescent="0.25">
      <c r="A988" t="str">
        <f>"20190312151517485"</f>
        <v>20190312151517485</v>
      </c>
      <c r="B988" t="str">
        <f>"1552374917478751"</f>
        <v>1552374917478751</v>
      </c>
      <c r="C988" t="s">
        <v>40</v>
      </c>
      <c r="D988">
        <v>4.9226400000000003</v>
      </c>
      <c r="E988">
        <v>0.51223779999999997</v>
      </c>
      <c r="F988" t="s">
        <v>43</v>
      </c>
      <c r="G988">
        <v>-215.97020000000001</v>
      </c>
      <c r="H988" s="1">
        <v>-2.2261379999999999E-6</v>
      </c>
      <c r="I988">
        <v>366.71300000000002</v>
      </c>
      <c r="J988">
        <v>-232.8057</v>
      </c>
      <c r="K988">
        <v>1.1093230000000001</v>
      </c>
      <c r="L988">
        <v>369.46589999999998</v>
      </c>
      <c r="M988">
        <v>0.99981430000000004</v>
      </c>
      <c r="N988">
        <v>0</v>
      </c>
      <c r="O988">
        <v>-1.251538E-2</v>
      </c>
      <c r="P988">
        <v>0.99107619999999996</v>
      </c>
      <c r="Q988">
        <v>-3.8050269999999997E-2</v>
      </c>
      <c r="R988">
        <v>-0.12775059999999999</v>
      </c>
      <c r="S988">
        <v>2.957916</v>
      </c>
      <c r="T988">
        <v>-0.19279270000000001</v>
      </c>
      <c r="U988">
        <v>-0.47885129999999998</v>
      </c>
      <c r="V988">
        <v>0.11531660000000001</v>
      </c>
      <c r="W988">
        <v>-2.358093E-2</v>
      </c>
      <c r="X988">
        <v>0.99304879999999995</v>
      </c>
      <c r="Y988">
        <v>0.14716089999999901</v>
      </c>
      <c r="Z988">
        <v>-3.9504099999999997E-3</v>
      </c>
      <c r="AA988">
        <v>0.98910469999999895</v>
      </c>
      <c r="AB988">
        <v>35</v>
      </c>
      <c r="AC988">
        <v>16.8354999999999</v>
      </c>
      <c r="AD988">
        <v>-1.109325226138</v>
      </c>
      <c r="AE988">
        <v>-2.7528999999999502</v>
      </c>
      <c r="AF988">
        <v>2.53125513990928</v>
      </c>
      <c r="AG988">
        <v>-1.109325226138</v>
      </c>
      <c r="AH988">
        <v>16.797606529542801</v>
      </c>
      <c r="AI988">
        <v>93.7363030545214</v>
      </c>
      <c r="AJ988">
        <v>81.430494746569394</v>
      </c>
      <c r="AK988">
        <v>17.0234379654053</v>
      </c>
      <c r="AL988">
        <v>91.351213080847899</v>
      </c>
      <c r="AM988">
        <v>83.376263176602293</v>
      </c>
      <c r="AN988">
        <v>0.99999994883833099</v>
      </c>
    </row>
    <row r="989" spans="1:40" x14ac:dyDescent="0.25">
      <c r="A989" t="str">
        <f>"20190312151517498"</f>
        <v>20190312151517498</v>
      </c>
      <c r="B989" t="str">
        <f>"1552374917488511"</f>
        <v>1552374917488511</v>
      </c>
      <c r="C989" t="s">
        <v>40</v>
      </c>
      <c r="D989">
        <v>5.0001100000000003</v>
      </c>
      <c r="E989">
        <v>0.51222009999999996</v>
      </c>
      <c r="F989" t="s">
        <v>43</v>
      </c>
      <c r="G989">
        <v>-215.74979999999999</v>
      </c>
      <c r="H989" s="1">
        <v>-2.322984E-6</v>
      </c>
      <c r="I989">
        <v>366.7</v>
      </c>
      <c r="J989">
        <v>-232.61369999999999</v>
      </c>
      <c r="K989">
        <v>1.1093249999999999</v>
      </c>
      <c r="L989">
        <v>369.4633</v>
      </c>
      <c r="M989">
        <v>0.99981180000000003</v>
      </c>
      <c r="N989">
        <v>0</v>
      </c>
      <c r="O989">
        <v>-1.269869E-2</v>
      </c>
      <c r="P989">
        <v>0.99105169999999998</v>
      </c>
      <c r="Q989">
        <v>-3.8296469999999999E-2</v>
      </c>
      <c r="R989">
        <v>-0.12786689999999901</v>
      </c>
      <c r="S989">
        <v>2.9577939999999998</v>
      </c>
      <c r="T989">
        <v>-0.19237509999999999</v>
      </c>
      <c r="U989">
        <v>-0.47964479999999998</v>
      </c>
      <c r="V989">
        <v>0.1152509</v>
      </c>
      <c r="W989">
        <v>-2.3829059999999999E-2</v>
      </c>
      <c r="X989">
        <v>0.99305060000000001</v>
      </c>
      <c r="Y989">
        <v>0.14724590000000001</v>
      </c>
      <c r="Z989">
        <v>-3.9328669999999996E-3</v>
      </c>
      <c r="AA989">
        <v>0.98909210000000003</v>
      </c>
      <c r="AB989">
        <v>35</v>
      </c>
      <c r="AC989">
        <v>16.863900000000001</v>
      </c>
      <c r="AD989">
        <v>-1.1093273229839999</v>
      </c>
      <c r="AE989">
        <v>-2.7633000000000099</v>
      </c>
      <c r="AF989">
        <v>2.5382086088533402</v>
      </c>
      <c r="AG989">
        <v>-1.1093273229839999</v>
      </c>
      <c r="AH989">
        <v>16.826725866605901</v>
      </c>
      <c r="AI989">
        <v>93.729778934326504</v>
      </c>
      <c r="AJ989">
        <v>81.421953473301201</v>
      </c>
      <c r="AK989">
        <v>17.053205371468401</v>
      </c>
      <c r="AL989">
        <v>91.365433749361998</v>
      </c>
      <c r="AM989">
        <v>83.380015344095298</v>
      </c>
      <c r="AN989">
        <v>1.0000000441058201</v>
      </c>
    </row>
    <row r="990" spans="1:40" x14ac:dyDescent="0.25">
      <c r="A990" t="str">
        <f>"20190312151517509"</f>
        <v>20190312151517509</v>
      </c>
      <c r="B990" t="str">
        <f>"1552374917498272"</f>
        <v>1552374917498272</v>
      </c>
      <c r="C990" t="s">
        <v>40</v>
      </c>
      <c r="D990">
        <v>4.982297</v>
      </c>
      <c r="E990">
        <v>0.51230399999999998</v>
      </c>
      <c r="F990" t="s">
        <v>43</v>
      </c>
      <c r="G990">
        <v>-215.7131</v>
      </c>
      <c r="H990" s="1">
        <v>-2.3348309999999999E-6</v>
      </c>
      <c r="I990">
        <v>366.72190000000001</v>
      </c>
      <c r="J990">
        <v>-232.41579999999999</v>
      </c>
      <c r="K990">
        <v>1.1093230000000001</v>
      </c>
      <c r="L990">
        <v>369.4606</v>
      </c>
      <c r="M990">
        <v>0.99980959999999997</v>
      </c>
      <c r="N990">
        <v>0</v>
      </c>
      <c r="O990">
        <v>-1.2887839999999999E-2</v>
      </c>
      <c r="P990">
        <v>0.99103799999999997</v>
      </c>
      <c r="Q990">
        <v>-3.8364830000000003E-2</v>
      </c>
      <c r="R990">
        <v>-0.1279544</v>
      </c>
      <c r="S990">
        <v>2.957687</v>
      </c>
      <c r="T990">
        <v>-0.19413730000000001</v>
      </c>
      <c r="U990">
        <v>-0.47976679999999999</v>
      </c>
      <c r="V990">
        <v>0.1151508</v>
      </c>
      <c r="W990">
        <v>-2.3899199999999999E-2</v>
      </c>
      <c r="X990">
        <v>0.99306050000000001</v>
      </c>
      <c r="Y990">
        <v>0.147099799999999</v>
      </c>
      <c r="Z990">
        <v>-3.9518729999999998E-3</v>
      </c>
      <c r="AA990">
        <v>0.98911369999999998</v>
      </c>
      <c r="AB990">
        <v>35</v>
      </c>
      <c r="AC990">
        <v>16.702699999999901</v>
      </c>
      <c r="AD990">
        <v>-1.1093253348309999</v>
      </c>
      <c r="AE990">
        <v>-2.7386999999999899</v>
      </c>
      <c r="AF990">
        <v>2.5123954499446901</v>
      </c>
      <c r="AG990">
        <v>-1.1093253348309999</v>
      </c>
      <c r="AH990">
        <v>16.665026157390301</v>
      </c>
      <c r="AI990">
        <v>93.765905613907904</v>
      </c>
      <c r="AJ990">
        <v>81.426732873779997</v>
      </c>
      <c r="AK990">
        <v>16.889814398681299</v>
      </c>
      <c r="AL990">
        <v>91.369453656306902</v>
      </c>
      <c r="AM990">
        <v>83.385779450541804</v>
      </c>
      <c r="AN990">
        <v>1.00000001758076</v>
      </c>
    </row>
    <row r="991" spans="1:40" x14ac:dyDescent="0.25">
      <c r="A991" t="str">
        <f>"20190312151517521"</f>
        <v>20190312151517521</v>
      </c>
      <c r="B991" t="str">
        <f>"1552374917518768"</f>
        <v>1552374917518768</v>
      </c>
      <c r="C991" t="s">
        <v>40</v>
      </c>
      <c r="D991">
        <v>4.9497049999999998</v>
      </c>
      <c r="E991">
        <v>0.51238969999999995</v>
      </c>
      <c r="F991" t="s">
        <v>43</v>
      </c>
      <c r="G991">
        <v>-215.66929999999999</v>
      </c>
      <c r="H991" s="1">
        <v>-2.3508410000000001E-6</v>
      </c>
      <c r="I991">
        <v>366.73759999999999</v>
      </c>
      <c r="J991">
        <v>-232.2414</v>
      </c>
      <c r="K991">
        <v>1.109324</v>
      </c>
      <c r="L991">
        <v>369.45819999999998</v>
      </c>
      <c r="M991">
        <v>0.99980729999999995</v>
      </c>
      <c r="N991">
        <v>0</v>
      </c>
      <c r="O991">
        <v>-1.3054110000000001E-2</v>
      </c>
      <c r="P991">
        <v>0.99102009999999996</v>
      </c>
      <c r="Q991">
        <v>-3.838693E-2</v>
      </c>
      <c r="R991">
        <v>-0.12808430000000001</v>
      </c>
      <c r="S991">
        <v>2.9574739999999999</v>
      </c>
      <c r="T991">
        <v>-0.19590840000000001</v>
      </c>
      <c r="U991">
        <v>-0.48089599999999999</v>
      </c>
      <c r="V991">
        <v>0.11511589999999999</v>
      </c>
      <c r="W991">
        <v>-2.3923099999999999E-2</v>
      </c>
      <c r="X991">
        <v>0.9930639</v>
      </c>
      <c r="Y991">
        <v>0.147309299999999</v>
      </c>
      <c r="Z991">
        <v>-3.983973E-3</v>
      </c>
      <c r="AA991">
        <v>0.98908249999999998</v>
      </c>
      <c r="AB991">
        <v>35</v>
      </c>
      <c r="AC991">
        <v>16.572099999999999</v>
      </c>
      <c r="AD991">
        <v>-1.1093263508409901</v>
      </c>
      <c r="AE991">
        <v>-2.7205999999999899</v>
      </c>
      <c r="AF991">
        <v>2.4931326058122099</v>
      </c>
      <c r="AG991">
        <v>-1.1093263508409901</v>
      </c>
      <c r="AH991">
        <v>16.5340635634238</v>
      </c>
      <c r="AI991">
        <v>93.795634889393995</v>
      </c>
      <c r="AJ991">
        <v>81.425103481737096</v>
      </c>
      <c r="AK991">
        <v>16.7577317397723</v>
      </c>
      <c r="AL991">
        <v>91.370823513385403</v>
      </c>
      <c r="AM991">
        <v>83.387788777781694</v>
      </c>
      <c r="AN991">
        <v>0.99999994731481301</v>
      </c>
    </row>
    <row r="992" spans="1:40" x14ac:dyDescent="0.25">
      <c r="A992" t="str">
        <f>"20190312151517536"</f>
        <v>20190312151517536</v>
      </c>
      <c r="B992" t="str">
        <f>"1552374917528528"</f>
        <v>1552374917528528</v>
      </c>
      <c r="C992" t="s">
        <v>40</v>
      </c>
      <c r="D992">
        <v>5.0894740000000001</v>
      </c>
      <c r="E992">
        <v>0.5123839</v>
      </c>
      <c r="F992" t="s">
        <v>43</v>
      </c>
      <c r="G992">
        <v>-215.6086</v>
      </c>
      <c r="H992" s="1">
        <v>-2.3751150000000001E-6</v>
      </c>
      <c r="I992">
        <v>366.74759999999998</v>
      </c>
      <c r="J992">
        <v>-232.02529999999999</v>
      </c>
      <c r="K992">
        <v>1.109324</v>
      </c>
      <c r="L992">
        <v>369.45519999999999</v>
      </c>
      <c r="M992">
        <v>0.99980460000000004</v>
      </c>
      <c r="N992">
        <v>0</v>
      </c>
      <c r="O992">
        <v>-1.326042E-2</v>
      </c>
      <c r="P992">
        <v>0.9910004</v>
      </c>
      <c r="Q992">
        <v>-3.8339890000000001E-2</v>
      </c>
      <c r="R992">
        <v>-0.12825029999999901</v>
      </c>
      <c r="S992">
        <v>2.9572449999999999</v>
      </c>
      <c r="T992">
        <v>-0.1972322</v>
      </c>
      <c r="U992">
        <v>-0.48193359999999902</v>
      </c>
      <c r="V992">
        <v>0.11507729999999999</v>
      </c>
      <c r="W992">
        <v>-2.3878219999999999E-2</v>
      </c>
      <c r="X992">
        <v>0.99306950000000005</v>
      </c>
      <c r="Y992">
        <v>0.14745159999999999</v>
      </c>
      <c r="Z992">
        <v>-4.0020899999999998E-3</v>
      </c>
      <c r="AA992">
        <v>0.98906119999999997</v>
      </c>
      <c r="AB992">
        <v>35</v>
      </c>
      <c r="AC992">
        <v>16.416699999999899</v>
      </c>
      <c r="AD992">
        <v>-1.109326375115</v>
      </c>
      <c r="AE992">
        <v>-2.70760000000001</v>
      </c>
      <c r="AF992">
        <v>2.4786281585407299</v>
      </c>
      <c r="AG992">
        <v>-1.109326375115</v>
      </c>
      <c r="AH992">
        <v>16.3783589902052</v>
      </c>
      <c r="AI992">
        <v>93.831302927190706</v>
      </c>
      <c r="AJ992">
        <v>81.394410899493295</v>
      </c>
      <c r="AK992">
        <v>16.601953070855</v>
      </c>
      <c r="AL992">
        <v>91.368251281240305</v>
      </c>
      <c r="AM992">
        <v>83.390023267110806</v>
      </c>
      <c r="AN992">
        <v>0.99999999309795395</v>
      </c>
    </row>
    <row r="993" spans="1:40" x14ac:dyDescent="0.25">
      <c r="A993" t="str">
        <f>"20190312151517549"</f>
        <v>20190312151517549</v>
      </c>
      <c r="B993" t="str">
        <f>"1552374917538288"</f>
        <v>1552374917538288</v>
      </c>
      <c r="C993" t="s">
        <v>40</v>
      </c>
      <c r="D993">
        <v>4.8973089999999999</v>
      </c>
      <c r="E993">
        <v>0.51248309999999997</v>
      </c>
      <c r="F993" t="s">
        <v>43</v>
      </c>
      <c r="G993">
        <v>-215.51320000000001</v>
      </c>
      <c r="H993" s="1">
        <v>-2.41346E-6</v>
      </c>
      <c r="I993">
        <v>366.76209999999998</v>
      </c>
      <c r="J993">
        <v>-231.8116</v>
      </c>
      <c r="K993">
        <v>1.1093280000000001</v>
      </c>
      <c r="L993">
        <v>369.4522</v>
      </c>
      <c r="M993">
        <v>0.99980199999999997</v>
      </c>
      <c r="N993">
        <v>0</v>
      </c>
      <c r="O993">
        <v>-1.346471E-2</v>
      </c>
      <c r="P993">
        <v>0.9909924</v>
      </c>
      <c r="Q993">
        <v>-3.8273950000000001E-2</v>
      </c>
      <c r="R993">
        <v>-0.12833310000000001</v>
      </c>
      <c r="S993">
        <v>2.9571079999999998</v>
      </c>
      <c r="T993">
        <v>-0.19866490000000001</v>
      </c>
      <c r="U993">
        <v>-0.4822998</v>
      </c>
      <c r="V993">
        <v>0.1149575</v>
      </c>
      <c r="W993">
        <v>-2.3814140000000001E-2</v>
      </c>
      <c r="X993">
        <v>0.99308490000000005</v>
      </c>
      <c r="Y993">
        <v>0.14737249999999999</v>
      </c>
      <c r="Z993">
        <v>-4.0149929999999997E-3</v>
      </c>
      <c r="AA993">
        <v>0.98907290000000003</v>
      </c>
      <c r="AB993">
        <v>35</v>
      </c>
      <c r="AC993">
        <v>16.298399999999901</v>
      </c>
      <c r="AD993">
        <v>-1.1093304134599999</v>
      </c>
      <c r="AE993">
        <v>-2.6901000000000201</v>
      </c>
      <c r="AF993">
        <v>2.4592883533393199</v>
      </c>
      <c r="AG993">
        <v>-1.1093304134599999</v>
      </c>
      <c r="AH993">
        <v>16.259818677038801</v>
      </c>
      <c r="AI993">
        <v>93.859213517388199</v>
      </c>
      <c r="AJ993">
        <v>81.3992352944244</v>
      </c>
      <c r="AK993">
        <v>16.482124152586501</v>
      </c>
      <c r="AL993">
        <v>91.364578742110993</v>
      </c>
      <c r="AM993">
        <v>83.396945205645693</v>
      </c>
      <c r="AN993">
        <v>0.99999997933909901</v>
      </c>
    </row>
    <row r="994" spans="1:40" x14ac:dyDescent="0.25">
      <c r="A994" t="str">
        <f>"20190312151517563"</f>
        <v>20190312151517563</v>
      </c>
      <c r="B994" t="str">
        <f>"1552374917558783"</f>
        <v>1552374917558783</v>
      </c>
      <c r="C994" t="s">
        <v>40</v>
      </c>
      <c r="D994">
        <v>4.855969</v>
      </c>
      <c r="E994">
        <v>0.51269439999999999</v>
      </c>
      <c r="F994" t="s">
        <v>43</v>
      </c>
      <c r="G994">
        <v>-215.3526</v>
      </c>
      <c r="H994" s="1">
        <v>-2.4823739999999999E-6</v>
      </c>
      <c r="I994">
        <v>366.76190000000003</v>
      </c>
      <c r="J994">
        <v>-231.59530000000001</v>
      </c>
      <c r="K994">
        <v>1.1093299999999999</v>
      </c>
      <c r="L994">
        <v>369.44909999999999</v>
      </c>
      <c r="M994">
        <v>0.99979910000000005</v>
      </c>
      <c r="N994">
        <v>0</v>
      </c>
      <c r="O994">
        <v>-1.3671859999999999E-2</v>
      </c>
      <c r="P994">
        <v>0.99097040000000003</v>
      </c>
      <c r="Q994">
        <v>-3.8405769999999999E-2</v>
      </c>
      <c r="R994">
        <v>-0.1284631</v>
      </c>
      <c r="S994">
        <v>2.956985</v>
      </c>
      <c r="T994">
        <v>-0.199299</v>
      </c>
      <c r="U994">
        <v>-0.48333739999999997</v>
      </c>
      <c r="V994">
        <v>0.1148821</v>
      </c>
      <c r="W994">
        <v>-2.394804E-2</v>
      </c>
      <c r="X994">
        <v>0.99309049999999999</v>
      </c>
      <c r="Y994">
        <v>0.14751040000000001</v>
      </c>
      <c r="Z994">
        <v>-4.018593E-3</v>
      </c>
      <c r="AA994">
        <v>0.98905240000000005</v>
      </c>
      <c r="AB994">
        <v>35</v>
      </c>
      <c r="AC994">
        <v>16.242699999999999</v>
      </c>
      <c r="AD994">
        <v>-1.1093324823739901</v>
      </c>
      <c r="AE994">
        <v>-2.6871999999999598</v>
      </c>
      <c r="AF994">
        <v>2.4537165202556501</v>
      </c>
      <c r="AG994">
        <v>-1.1093324823739901</v>
      </c>
      <c r="AH994">
        <v>16.2043526964097</v>
      </c>
      <c r="AI994">
        <v>93.872291017043096</v>
      </c>
      <c r="AJ994">
        <v>81.389496622383405</v>
      </c>
      <c r="AK994">
        <v>16.426575712176501</v>
      </c>
      <c r="AL994">
        <v>91.372252706718299</v>
      </c>
      <c r="AM994">
        <v>83.401274787314605</v>
      </c>
      <c r="AN994">
        <v>1.0000000733552401</v>
      </c>
    </row>
    <row r="995" spans="1:40" x14ac:dyDescent="0.25">
      <c r="A995" t="str">
        <f>"20190312151517578"</f>
        <v>20190312151517578</v>
      </c>
      <c r="B995" t="str">
        <f>"1552374917568543"</f>
        <v>1552374917568543</v>
      </c>
      <c r="C995" t="s">
        <v>40</v>
      </c>
      <c r="D995">
        <v>4.8957819999999996</v>
      </c>
      <c r="E995">
        <v>0.51270799999999905</v>
      </c>
      <c r="F995" t="s">
        <v>43</v>
      </c>
      <c r="G995">
        <v>-215.2321</v>
      </c>
      <c r="H995" s="1">
        <v>-2.533822E-6</v>
      </c>
      <c r="I995">
        <v>366.76330000000002</v>
      </c>
      <c r="J995">
        <v>-231.38200000000001</v>
      </c>
      <c r="K995">
        <v>1.109327</v>
      </c>
      <c r="L995">
        <v>369.44589999999999</v>
      </c>
      <c r="M995">
        <v>0.99979629999999997</v>
      </c>
      <c r="N995">
        <v>0</v>
      </c>
      <c r="O995">
        <v>-1.38771E-2</v>
      </c>
      <c r="P995">
        <v>0.99096039999999996</v>
      </c>
      <c r="Q995">
        <v>-3.832853E-2</v>
      </c>
      <c r="R995">
        <v>-0.12856239999999999</v>
      </c>
      <c r="S995">
        <v>2.9566499999999998</v>
      </c>
      <c r="T995">
        <v>-0.2004436</v>
      </c>
      <c r="U995">
        <v>-0.48529050000000001</v>
      </c>
      <c r="V995">
        <v>0.1147778</v>
      </c>
      <c r="W995">
        <v>-2.387274E-2</v>
      </c>
      <c r="X995">
        <v>0.99310430000000005</v>
      </c>
      <c r="Y995">
        <v>0.14795759999999999</v>
      </c>
      <c r="Z995">
        <v>-4.0431019999999998E-3</v>
      </c>
      <c r="AA995">
        <v>0.98898540000000001</v>
      </c>
      <c r="AB995">
        <v>35</v>
      </c>
      <c r="AC995">
        <v>16.149899999999999</v>
      </c>
      <c r="AD995">
        <v>-1.1093295338219999</v>
      </c>
      <c r="AE995">
        <v>-2.6825999999999701</v>
      </c>
      <c r="AF995">
        <v>2.4469683608595498</v>
      </c>
      <c r="AG995">
        <v>-1.1093295338219999</v>
      </c>
      <c r="AH995">
        <v>16.111597770371699</v>
      </c>
      <c r="AI995">
        <v>93.894244518330297</v>
      </c>
      <c r="AJ995">
        <v>81.364130182395101</v>
      </c>
      <c r="AK995">
        <v>16.334070187430498</v>
      </c>
      <c r="AL995">
        <v>91.367937200185693</v>
      </c>
      <c r="AM995">
        <v>83.407303727831504</v>
      </c>
      <c r="AN995">
        <v>1.0000000008832099</v>
      </c>
    </row>
    <row r="996" spans="1:40" x14ac:dyDescent="0.25">
      <c r="A996" t="str">
        <f>"20190312151517590"</f>
        <v>20190312151517590</v>
      </c>
      <c r="B996" t="str">
        <f>"1552374917578303"</f>
        <v>1552374917578303</v>
      </c>
      <c r="C996" t="s">
        <v>40</v>
      </c>
      <c r="D996">
        <v>4.8831009999999999</v>
      </c>
      <c r="E996">
        <v>0.51274929999999996</v>
      </c>
      <c r="F996" t="s">
        <v>43</v>
      </c>
      <c r="G996">
        <v>-215.03049999999999</v>
      </c>
      <c r="H996" s="1">
        <v>-2.6211050000000001E-6</v>
      </c>
      <c r="I996">
        <v>366.75900000000001</v>
      </c>
      <c r="J996">
        <v>-231.17859999999999</v>
      </c>
      <c r="K996">
        <v>1.109329</v>
      </c>
      <c r="L996">
        <v>369.44290000000001</v>
      </c>
      <c r="M996">
        <v>0.99979370000000001</v>
      </c>
      <c r="N996">
        <v>0</v>
      </c>
      <c r="O996">
        <v>-1.407341E-2</v>
      </c>
      <c r="P996">
        <v>0.99095169999999999</v>
      </c>
      <c r="Q996">
        <v>-3.8566820000000002E-2</v>
      </c>
      <c r="R996">
        <v>-0.12855929999999999</v>
      </c>
      <c r="S996">
        <v>2.956604</v>
      </c>
      <c r="T996">
        <v>-0.20058300000000001</v>
      </c>
      <c r="U996">
        <v>-0.48583979999999999</v>
      </c>
      <c r="V996">
        <v>0.1145798</v>
      </c>
      <c r="W996">
        <v>-2.41129E-2</v>
      </c>
      <c r="X996">
        <v>0.99312140000000004</v>
      </c>
      <c r="Y996">
        <v>0.14794479999999999</v>
      </c>
      <c r="Z996">
        <v>-4.0322719999999999E-3</v>
      </c>
      <c r="AA996">
        <v>0.98898739999999996</v>
      </c>
      <c r="AB996">
        <v>35</v>
      </c>
      <c r="AC996">
        <v>16.148099999999999</v>
      </c>
      <c r="AD996">
        <v>-1.1093316211049999</v>
      </c>
      <c r="AE996">
        <v>-2.6838999999999902</v>
      </c>
      <c r="AF996">
        <v>2.4451218032790498</v>
      </c>
      <c r="AG996">
        <v>-1.1093316211049999</v>
      </c>
      <c r="AH996">
        <v>16.110290200737701</v>
      </c>
      <c r="AI996">
        <v>93.894625862832996</v>
      </c>
      <c r="AJ996">
        <v>81.369859079873095</v>
      </c>
      <c r="AK996">
        <v>16.332504022054898</v>
      </c>
      <c r="AL996">
        <v>91.381701264442995</v>
      </c>
      <c r="AM996">
        <v>83.418689071732899</v>
      </c>
      <c r="AN996">
        <v>1.0000000388262</v>
      </c>
    </row>
    <row r="997" spans="1:40" x14ac:dyDescent="0.25">
      <c r="A997" t="str">
        <f>"20190312151517604"</f>
        <v>20190312151517604</v>
      </c>
      <c r="B997" t="str">
        <f>"1552374917598803"</f>
        <v>1552374917598803</v>
      </c>
      <c r="C997" t="s">
        <v>40</v>
      </c>
      <c r="D997">
        <v>4.8745469999999997</v>
      </c>
      <c r="E997">
        <v>0.51285619999999998</v>
      </c>
      <c r="F997" t="s">
        <v>43</v>
      </c>
      <c r="G997">
        <v>-214.96019999999999</v>
      </c>
      <c r="H997" s="1">
        <v>-2.6482509999999998E-6</v>
      </c>
      <c r="I997">
        <v>366.77589999999998</v>
      </c>
      <c r="J997">
        <v>-230.95099999999999</v>
      </c>
      <c r="K997">
        <v>1.1093249999999999</v>
      </c>
      <c r="L997">
        <v>369.43950000000001</v>
      </c>
      <c r="M997">
        <v>0.99979050000000003</v>
      </c>
      <c r="N997">
        <v>0</v>
      </c>
      <c r="O997">
        <v>-1.4295489999999999E-2</v>
      </c>
      <c r="P997">
        <v>0.99096790000000001</v>
      </c>
      <c r="Q997">
        <v>-3.8333319999999997E-2</v>
      </c>
      <c r="R997">
        <v>-0.12850300000000001</v>
      </c>
      <c r="S997">
        <v>2.9564360000000001</v>
      </c>
      <c r="T997">
        <v>-0.2022185</v>
      </c>
      <c r="U997">
        <v>-0.48617549999999998</v>
      </c>
      <c r="V997">
        <v>0.11430269999999999</v>
      </c>
      <c r="W997">
        <v>-2.388117E-2</v>
      </c>
      <c r="X997">
        <v>0.99315889999999996</v>
      </c>
      <c r="Y997">
        <v>0.14783929999999901</v>
      </c>
      <c r="Z997">
        <v>-4.0466219999999997E-3</v>
      </c>
      <c r="AA997">
        <v>0.98900310000000002</v>
      </c>
      <c r="AB997">
        <v>35</v>
      </c>
      <c r="AC997">
        <v>15.9908</v>
      </c>
      <c r="AD997">
        <v>-1.1093276482509999</v>
      </c>
      <c r="AE997">
        <v>-2.6636000000000299</v>
      </c>
      <c r="AF997">
        <v>2.4233591148945299</v>
      </c>
      <c r="AG997">
        <v>-1.1093276482509999</v>
      </c>
      <c r="AH997">
        <v>15.952546656313601</v>
      </c>
      <c r="AI997">
        <v>93.932923299947305</v>
      </c>
      <c r="AJ997">
        <v>81.362210443862494</v>
      </c>
      <c r="AK997">
        <v>16.1736520938463</v>
      </c>
      <c r="AL997">
        <v>91.368420330131002</v>
      </c>
      <c r="AM997">
        <v>83.434711934795303</v>
      </c>
      <c r="AN997">
        <v>1.0000000090785299</v>
      </c>
    </row>
    <row r="998" spans="1:40" x14ac:dyDescent="0.25">
      <c r="A998" t="str">
        <f>"20190312151517619"</f>
        <v>20190312151517619</v>
      </c>
      <c r="B998" t="str">
        <f>"1552374917608559"</f>
        <v>1552374917608559</v>
      </c>
      <c r="C998" t="s">
        <v>40</v>
      </c>
      <c r="D998">
        <v>4.8931509999999996</v>
      </c>
      <c r="E998">
        <v>0.51291520000000002</v>
      </c>
      <c r="F998" t="s">
        <v>43</v>
      </c>
      <c r="G998">
        <v>-214.73759999999999</v>
      </c>
      <c r="H998" s="1">
        <v>-2.7449160000000002E-6</v>
      </c>
      <c r="I998">
        <v>366.76920000000001</v>
      </c>
      <c r="J998">
        <v>-230.73480000000001</v>
      </c>
      <c r="K998">
        <v>1.109324</v>
      </c>
      <c r="L998">
        <v>369.43619999999999</v>
      </c>
      <c r="M998">
        <v>0.9997876</v>
      </c>
      <c r="N998">
        <v>0</v>
      </c>
      <c r="O998">
        <v>-1.4509960000000001E-2</v>
      </c>
      <c r="P998">
        <v>0.99095520000000004</v>
      </c>
      <c r="Q998">
        <v>-3.8273960000000003E-2</v>
      </c>
      <c r="R998">
        <v>-0.1286206</v>
      </c>
      <c r="S998">
        <v>2.9563600000000001</v>
      </c>
      <c r="T998">
        <v>-0.2022756</v>
      </c>
      <c r="U998">
        <v>-0.48690800000000001</v>
      </c>
      <c r="V998">
        <v>0.1142075</v>
      </c>
      <c r="W998">
        <v>-2.3824350000000001E-2</v>
      </c>
      <c r="X998">
        <v>0.99317120000000003</v>
      </c>
      <c r="Y998">
        <v>0.14787</v>
      </c>
      <c r="Z998">
        <v>-4.0342779999999996E-3</v>
      </c>
      <c r="AA998">
        <v>0.98899859999999995</v>
      </c>
      <c r="AB998">
        <v>35</v>
      </c>
      <c r="AC998">
        <v>15.997199999999999</v>
      </c>
      <c r="AD998">
        <v>-1.109326744916</v>
      </c>
      <c r="AE998">
        <v>-2.6669999999999701</v>
      </c>
      <c r="AF998">
        <v>2.42323798168389</v>
      </c>
      <c r="AG998">
        <v>-1.109326744916</v>
      </c>
      <c r="AH998">
        <v>15.9595478830897</v>
      </c>
      <c r="AI998">
        <v>93.931243386548601</v>
      </c>
      <c r="AJ998">
        <v>81.366367677303302</v>
      </c>
      <c r="AK998">
        <v>16.180539446368702</v>
      </c>
      <c r="AL998">
        <v>91.365163879931998</v>
      </c>
      <c r="AM998">
        <v>83.440212861071501</v>
      </c>
      <c r="AN998">
        <v>0.99999999260930605</v>
      </c>
    </row>
    <row r="999" spans="1:40" x14ac:dyDescent="0.25">
      <c r="A999" t="str">
        <f>"20190312151517631"</f>
        <v>20190312151517631</v>
      </c>
      <c r="B999" t="str">
        <f>"1552374917628079"</f>
        <v>1552374917628079</v>
      </c>
      <c r="C999" t="s">
        <v>40</v>
      </c>
      <c r="D999">
        <v>4.8962680000000001</v>
      </c>
      <c r="E999">
        <v>0.51307150000000001</v>
      </c>
      <c r="F999" t="s">
        <v>43</v>
      </c>
      <c r="G999">
        <v>-214.53149999999999</v>
      </c>
      <c r="H999" s="1">
        <v>-2.8343219999999999E-6</v>
      </c>
      <c r="I999">
        <v>366.7638</v>
      </c>
      <c r="J999">
        <v>-230.54519999999999</v>
      </c>
      <c r="K999">
        <v>1.1093219999999999</v>
      </c>
      <c r="L999">
        <v>369.43329999999997</v>
      </c>
      <c r="M999">
        <v>0.99978480000000003</v>
      </c>
      <c r="N999">
        <v>0</v>
      </c>
      <c r="O999">
        <v>-1.4701209999999999E-2</v>
      </c>
      <c r="P999">
        <v>0.99091969999999996</v>
      </c>
      <c r="Q999">
        <v>-3.8392019999999999E-2</v>
      </c>
      <c r="R999">
        <v>-0.12885849999999999</v>
      </c>
      <c r="S999">
        <v>2.9562840000000001</v>
      </c>
      <c r="T999">
        <v>-0.20239399999999999</v>
      </c>
      <c r="U999">
        <v>-0.48757929999999999</v>
      </c>
      <c r="V999">
        <v>0.1142557</v>
      </c>
      <c r="W999">
        <v>-2.3945480000000002E-2</v>
      </c>
      <c r="X999">
        <v>0.99316280000000001</v>
      </c>
      <c r="Y999">
        <v>0.1479037</v>
      </c>
      <c r="Z999">
        <v>-4.0248200000000001E-3</v>
      </c>
      <c r="AA999">
        <v>0.98899360000000003</v>
      </c>
      <c r="AB999">
        <v>35</v>
      </c>
      <c r="AC999">
        <v>16.0137</v>
      </c>
      <c r="AD999">
        <v>-1.1093248343219999</v>
      </c>
      <c r="AE999">
        <v>-2.66949999999997</v>
      </c>
      <c r="AF999">
        <v>2.4224548593265198</v>
      </c>
      <c r="AG999">
        <v>-1.1093248343219999</v>
      </c>
      <c r="AH999">
        <v>15.9766222278932</v>
      </c>
      <c r="AI999">
        <v>93.927171124058304</v>
      </c>
      <c r="AJ999">
        <v>81.378201009545293</v>
      </c>
      <c r="AK999">
        <v>16.1972635635261</v>
      </c>
      <c r="AL999">
        <v>91.372106020678899</v>
      </c>
      <c r="AM999">
        <v>83.437413500094806</v>
      </c>
      <c r="AN999">
        <v>1.0000000491493699</v>
      </c>
    </row>
    <row r="1000" spans="1:40" x14ac:dyDescent="0.25">
      <c r="A1000" t="str">
        <f>"20190312151517642"</f>
        <v>20190312151517642</v>
      </c>
      <c r="B1000" t="str">
        <f>"1552374917638815"</f>
        <v>1552374917638815</v>
      </c>
      <c r="C1000" t="s">
        <v>40</v>
      </c>
      <c r="D1000">
        <v>5.1133569999999997</v>
      </c>
      <c r="E1000">
        <v>0.5131907</v>
      </c>
      <c r="F1000" t="s">
        <v>43</v>
      </c>
      <c r="G1000">
        <v>-214.35810000000001</v>
      </c>
      <c r="H1000" s="1">
        <v>-2.910541E-6</v>
      </c>
      <c r="I1000">
        <v>366.75330000000002</v>
      </c>
      <c r="J1000">
        <v>-230.386</v>
      </c>
      <c r="K1000">
        <v>1.109318</v>
      </c>
      <c r="L1000">
        <v>369.43079999999998</v>
      </c>
      <c r="M1000">
        <v>0.99978230000000001</v>
      </c>
      <c r="N1000">
        <v>0</v>
      </c>
      <c r="O1000">
        <v>-1.486757E-2</v>
      </c>
      <c r="P1000">
        <v>0.99089879999999997</v>
      </c>
      <c r="Q1000">
        <v>-3.8410939999999998E-2</v>
      </c>
      <c r="R1000">
        <v>-0.12901360000000001</v>
      </c>
      <c r="S1000">
        <v>2.955978</v>
      </c>
      <c r="T1000">
        <v>-0.20257649999999999</v>
      </c>
      <c r="U1000">
        <v>-0.48941040000000002</v>
      </c>
      <c r="V1000">
        <v>0.1142455</v>
      </c>
      <c r="W1000">
        <v>-2.3967390000000002E-2</v>
      </c>
      <c r="X1000">
        <v>0.99316340000000003</v>
      </c>
      <c r="Y1000">
        <v>0.1483506</v>
      </c>
      <c r="Z1000">
        <v>-4.0325389999999999E-3</v>
      </c>
      <c r="AA1000">
        <v>0.98892659999999999</v>
      </c>
      <c r="AB1000">
        <v>35</v>
      </c>
      <c r="AC1000">
        <v>16.027899999999899</v>
      </c>
      <c r="AD1000">
        <v>-1.109320910541</v>
      </c>
      <c r="AE1000">
        <v>-2.67749999999995</v>
      </c>
      <c r="AF1000">
        <v>2.4275694962077101</v>
      </c>
      <c r="AG1000">
        <v>-1.109320910541</v>
      </c>
      <c r="AH1000">
        <v>15.9914165569216</v>
      </c>
      <c r="AI1000">
        <v>93.923431298755702</v>
      </c>
      <c r="AJ1000">
        <v>81.368144355208102</v>
      </c>
      <c r="AK1000">
        <v>16.212621319159599</v>
      </c>
      <c r="AL1000">
        <v>91.373361792757294</v>
      </c>
      <c r="AM1000">
        <v>83.4379981846173</v>
      </c>
      <c r="AN1000">
        <v>1.00000000457661</v>
      </c>
    </row>
    <row r="1001" spans="1:40" x14ac:dyDescent="0.25">
      <c r="A1001" t="str">
        <f>"20190312151517654"</f>
        <v>20190312151517654</v>
      </c>
      <c r="B1001" t="str">
        <f>"1552374917648576"</f>
        <v>1552374917648576</v>
      </c>
      <c r="C1001" t="s">
        <v>40</v>
      </c>
      <c r="D1001">
        <v>4.8551849999999996</v>
      </c>
      <c r="E1001">
        <v>0.51328490000000004</v>
      </c>
      <c r="F1001" t="s">
        <v>43</v>
      </c>
      <c r="G1001">
        <v>-214.15530000000001</v>
      </c>
      <c r="H1001" s="1">
        <v>-3.0006600000000001E-6</v>
      </c>
      <c r="I1001">
        <v>366.73570000000001</v>
      </c>
      <c r="J1001">
        <v>-230.1943</v>
      </c>
      <c r="K1001">
        <v>1.1093120000000001</v>
      </c>
      <c r="L1001">
        <v>369.42779999999999</v>
      </c>
      <c r="M1001">
        <v>0.99977939999999998</v>
      </c>
      <c r="N1001">
        <v>0</v>
      </c>
      <c r="O1001">
        <v>-1.5070190000000001E-2</v>
      </c>
      <c r="P1001">
        <v>0.99087740000000002</v>
      </c>
      <c r="Q1001">
        <v>-3.8496700000000002E-2</v>
      </c>
      <c r="R1001">
        <v>-0.12915260000000001</v>
      </c>
      <c r="S1001">
        <v>2.9557950000000002</v>
      </c>
      <c r="T1001">
        <v>-0.20201910000000001</v>
      </c>
      <c r="U1001">
        <v>-0.49081419999999998</v>
      </c>
      <c r="V1001">
        <v>0.1141833</v>
      </c>
      <c r="W1001">
        <v>-2.4056859999999999E-2</v>
      </c>
      <c r="X1001">
        <v>0.99316839999999995</v>
      </c>
      <c r="Y1001">
        <v>0.14861869999999999</v>
      </c>
      <c r="Z1001">
        <v>-4.0169200000000002E-3</v>
      </c>
      <c r="AA1001">
        <v>0.98888640000000005</v>
      </c>
      <c r="AB1001">
        <v>35</v>
      </c>
      <c r="AC1001">
        <v>16.038999999999898</v>
      </c>
      <c r="AD1001">
        <v>-1.1093150006600001</v>
      </c>
      <c r="AE1001">
        <v>-2.69209999999998</v>
      </c>
      <c r="AF1001">
        <v>2.4387113884209501</v>
      </c>
      <c r="AG1001">
        <v>-1.1093150006600001</v>
      </c>
      <c r="AH1001">
        <v>16.003297179851401</v>
      </c>
      <c r="AI1001">
        <v>93.920167852070804</v>
      </c>
      <c r="AJ1001">
        <v>81.335466650616297</v>
      </c>
      <c r="AK1001">
        <v>16.226010404080998</v>
      </c>
      <c r="AL1001">
        <v>91.378489510752601</v>
      </c>
      <c r="AM1001">
        <v>83.441572407544001</v>
      </c>
      <c r="AN1001">
        <v>1.0000000146352499</v>
      </c>
    </row>
    <row r="1002" spans="1:40" x14ac:dyDescent="0.25">
      <c r="A1002" t="str">
        <f>"20190312151517665"</f>
        <v>20190312151517665</v>
      </c>
      <c r="B1002" t="str">
        <f>"1552374917658336"</f>
        <v>1552374917658336</v>
      </c>
      <c r="C1002" t="s">
        <v>40</v>
      </c>
      <c r="D1002">
        <v>4.922231</v>
      </c>
      <c r="E1002">
        <v>0.51328799999999997</v>
      </c>
      <c r="F1002" t="s">
        <v>43</v>
      </c>
      <c r="G1002">
        <v>-213.97370000000001</v>
      </c>
      <c r="H1002" s="1">
        <v>-3.0798670000000001E-6</v>
      </c>
      <c r="I1002">
        <v>366.7285</v>
      </c>
      <c r="J1002">
        <v>-230.01519999999999</v>
      </c>
      <c r="K1002">
        <v>1.1093040000000001</v>
      </c>
      <c r="L1002">
        <v>369.42489999999998</v>
      </c>
      <c r="M1002">
        <v>0.99977640000000001</v>
      </c>
      <c r="N1002">
        <v>0</v>
      </c>
      <c r="O1002">
        <v>-1.5270250000000001E-2</v>
      </c>
      <c r="P1002">
        <v>0.99085699999999999</v>
      </c>
      <c r="Q1002">
        <v>-3.8241200000000003E-2</v>
      </c>
      <c r="R1002">
        <v>-0.1293849</v>
      </c>
      <c r="S1002">
        <v>2.9556429999999998</v>
      </c>
      <c r="T1002">
        <v>-0.20213329999999999</v>
      </c>
      <c r="U1002">
        <v>-0.49185180000000001</v>
      </c>
      <c r="V1002">
        <v>0.11421679999999999</v>
      </c>
      <c r="W1002">
        <v>-2.380583E-2</v>
      </c>
      <c r="X1002">
        <v>0.99317060000000001</v>
      </c>
      <c r="Y1002">
        <v>0.1487667</v>
      </c>
      <c r="Z1002">
        <v>-4.0107320000000004E-3</v>
      </c>
      <c r="AA1002">
        <v>0.98886419999999997</v>
      </c>
      <c r="AB1002">
        <v>35</v>
      </c>
      <c r="AC1002">
        <v>16.0414999999999</v>
      </c>
      <c r="AD1002">
        <v>-1.1093070798669999</v>
      </c>
      <c r="AE1002">
        <v>-2.6963999999999801</v>
      </c>
      <c r="AF1002">
        <v>2.4397551773984998</v>
      </c>
      <c r="AG1002">
        <v>-1.1093070798669999</v>
      </c>
      <c r="AH1002">
        <v>16.006368369184599</v>
      </c>
      <c r="AI1002">
        <v>93.919369189955006</v>
      </c>
      <c r="AJ1002">
        <v>81.333452409597399</v>
      </c>
      <c r="AK1002">
        <v>16.2291957870105</v>
      </c>
      <c r="AL1002">
        <v>91.364102426646198</v>
      </c>
      <c r="AM1002">
        <v>83.439679420348696</v>
      </c>
      <c r="AN1002">
        <v>1.00000001782429</v>
      </c>
    </row>
    <row r="1003" spans="1:40" x14ac:dyDescent="0.25">
      <c r="A1003" t="str">
        <f>"20190312151517677"</f>
        <v>20190312151517677</v>
      </c>
      <c r="B1003" t="str">
        <f>"1552374917668095"</f>
        <v>1552374917668095</v>
      </c>
      <c r="C1003" t="s">
        <v>40</v>
      </c>
      <c r="D1003">
        <v>4.9066000000000001</v>
      </c>
      <c r="E1003">
        <v>0.51335010000000003</v>
      </c>
      <c r="F1003" t="s">
        <v>43</v>
      </c>
      <c r="G1003">
        <v>-213.74799999999999</v>
      </c>
      <c r="H1003" s="1">
        <v>-3.179469E-6</v>
      </c>
      <c r="I1003">
        <v>366.71269999999998</v>
      </c>
      <c r="J1003">
        <v>-229.82579999999999</v>
      </c>
      <c r="K1003">
        <v>1.109294</v>
      </c>
      <c r="L1003">
        <v>369.42180000000002</v>
      </c>
      <c r="M1003">
        <v>0.99977300000000002</v>
      </c>
      <c r="N1003">
        <v>0</v>
      </c>
      <c r="O1003">
        <v>-1.5487259999999999E-2</v>
      </c>
      <c r="P1003">
        <v>0.99083019999999999</v>
      </c>
      <c r="Q1003">
        <v>-3.8208829999999999E-2</v>
      </c>
      <c r="R1003">
        <v>-0.12959809999999999</v>
      </c>
      <c r="S1003">
        <v>2.9555509999999998</v>
      </c>
      <c r="T1003">
        <v>-0.20154759999999999</v>
      </c>
      <c r="U1003">
        <v>-0.49276730000000002</v>
      </c>
      <c r="V1003">
        <v>0.1142147</v>
      </c>
      <c r="W1003">
        <v>-2.377843E-2</v>
      </c>
      <c r="X1003">
        <v>0.99317149999999998</v>
      </c>
      <c r="Y1003">
        <v>0.14885699999999999</v>
      </c>
      <c r="Z1003">
        <v>-3.987544E-3</v>
      </c>
      <c r="AA1003">
        <v>0.98885069999999997</v>
      </c>
      <c r="AB1003">
        <v>35</v>
      </c>
      <c r="AC1003">
        <v>16.0777999999999</v>
      </c>
      <c r="AD1003">
        <v>-1.1092971794689901</v>
      </c>
      <c r="AE1003">
        <v>-2.70910000000003</v>
      </c>
      <c r="AF1003">
        <v>2.4484136669871499</v>
      </c>
      <c r="AG1003">
        <v>-1.1092971794689901</v>
      </c>
      <c r="AH1003">
        <v>16.043567222420702</v>
      </c>
      <c r="AI1003">
        <v>93.910166889442905</v>
      </c>
      <c r="AJ1003">
        <v>81.3230223464505</v>
      </c>
      <c r="AK1003">
        <v>16.2671853415826</v>
      </c>
      <c r="AL1003">
        <v>91.362532074935402</v>
      </c>
      <c r="AM1003">
        <v>83.439804880504994</v>
      </c>
      <c r="AN1003">
        <v>1.0000000199207999</v>
      </c>
    </row>
    <row r="1004" spans="1:40" x14ac:dyDescent="0.25">
      <c r="A1004" t="str">
        <f>"20190312151517690"</f>
        <v>20190312151517690</v>
      </c>
      <c r="B1004" t="str">
        <f>"1552374917678831"</f>
        <v>1552374917678831</v>
      </c>
      <c r="C1004" t="s">
        <v>40</v>
      </c>
      <c r="D1004">
        <v>4.8600390000000004</v>
      </c>
      <c r="E1004">
        <v>0.51338569999999994</v>
      </c>
      <c r="F1004" t="s">
        <v>43</v>
      </c>
      <c r="G1004">
        <v>-213.5633</v>
      </c>
      <c r="H1004" s="1">
        <v>-3.2603069999999999E-6</v>
      </c>
      <c r="I1004">
        <v>366.70370000000003</v>
      </c>
      <c r="J1004">
        <v>-229.63249999999999</v>
      </c>
      <c r="K1004">
        <v>1.1092839999999999</v>
      </c>
      <c r="L1004">
        <v>369.41860000000003</v>
      </c>
      <c r="M1004">
        <v>0.99976960000000004</v>
      </c>
      <c r="N1004">
        <v>0</v>
      </c>
      <c r="O1004">
        <v>-1.571693E-2</v>
      </c>
      <c r="P1004">
        <v>0.99083580000000004</v>
      </c>
      <c r="Q1004">
        <v>-3.8080790000000003E-2</v>
      </c>
      <c r="R1004">
        <v>-0.1295943</v>
      </c>
      <c r="S1004">
        <v>2.9553829999999999</v>
      </c>
      <c r="T1004">
        <v>-0.2015924</v>
      </c>
      <c r="U1004">
        <v>-0.49395749999999999</v>
      </c>
      <c r="V1004">
        <v>0.113982</v>
      </c>
      <c r="W1004">
        <v>-2.3655120000000002E-2</v>
      </c>
      <c r="X1004">
        <v>0.99320109999999995</v>
      </c>
      <c r="Y1004">
        <v>0.1490264</v>
      </c>
      <c r="Z1004">
        <v>-3.9787219999999996E-3</v>
      </c>
      <c r="AA1004">
        <v>0.98882519999999996</v>
      </c>
      <c r="AB1004">
        <v>34</v>
      </c>
      <c r="AC1004">
        <v>16.069199999999899</v>
      </c>
      <c r="AD1004">
        <v>-1.1092872603070001</v>
      </c>
      <c r="AE1004">
        <v>-2.7149000000000001</v>
      </c>
      <c r="AF1004">
        <v>2.4506249849020398</v>
      </c>
      <c r="AG1004">
        <v>-1.1092872603070001</v>
      </c>
      <c r="AH1004">
        <v>16.0355938420185</v>
      </c>
      <c r="AI1004">
        <v>93.911945811580296</v>
      </c>
      <c r="AJ1004">
        <v>81.311052644721599</v>
      </c>
      <c r="AK1004">
        <v>16.259654083303499</v>
      </c>
      <c r="AL1004">
        <v>91.355465048878699</v>
      </c>
      <c r="AM1004">
        <v>83.453247831001207</v>
      </c>
      <c r="AN1004">
        <v>0.99999994303370998</v>
      </c>
    </row>
    <row r="1005" spans="1:40" x14ac:dyDescent="0.25">
      <c r="A1005" t="str">
        <f>"20190312151517705"</f>
        <v>20190312151517705</v>
      </c>
      <c r="B1005" t="str">
        <f>"1552374917698352"</f>
        <v>1552374917698352</v>
      </c>
      <c r="C1005" t="s">
        <v>40</v>
      </c>
      <c r="D1005">
        <v>5.3675879999999996</v>
      </c>
      <c r="E1005">
        <v>0.51349979999999995</v>
      </c>
      <c r="F1005" t="s">
        <v>43</v>
      </c>
      <c r="G1005">
        <v>-213.37049999999999</v>
      </c>
      <c r="H1005" s="1">
        <v>-3.343936E-6</v>
      </c>
      <c r="I1005">
        <v>366.69850000000002</v>
      </c>
      <c r="J1005">
        <v>-229.40719999999999</v>
      </c>
      <c r="K1005">
        <v>1.109273</v>
      </c>
      <c r="L1005">
        <v>369.41469999999998</v>
      </c>
      <c r="M1005">
        <v>0.99976509999999996</v>
      </c>
      <c r="N1005">
        <v>0</v>
      </c>
      <c r="O1005">
        <v>-1.6000549999999999E-2</v>
      </c>
      <c r="P1005">
        <v>0.99076470000000005</v>
      </c>
      <c r="Q1005">
        <v>-3.7655849999999998E-2</v>
      </c>
      <c r="R1005">
        <v>-0.1302606</v>
      </c>
      <c r="S1005">
        <v>2.9553069999999999</v>
      </c>
      <c r="T1005">
        <v>-0.20159170000000001</v>
      </c>
      <c r="U1005">
        <v>-0.49432369999999998</v>
      </c>
      <c r="V1005">
        <v>0.1143672</v>
      </c>
      <c r="W1005">
        <v>-2.3237790000000001E-2</v>
      </c>
      <c r="X1005">
        <v>0.99316669999999996</v>
      </c>
      <c r="Y1005">
        <v>0.14887030000000001</v>
      </c>
      <c r="Z1005">
        <v>-3.9543069999999998E-3</v>
      </c>
      <c r="AA1005">
        <v>0.98884879999999997</v>
      </c>
      <c r="AB1005">
        <v>34</v>
      </c>
      <c r="AC1005">
        <v>16.0366999999999</v>
      </c>
      <c r="AD1005">
        <v>-1.1092763439360001</v>
      </c>
      <c r="AE1005">
        <v>-2.71619999999995</v>
      </c>
      <c r="AF1005">
        <v>2.4478433255967502</v>
      </c>
      <c r="AG1005">
        <v>-1.1092763439360001</v>
      </c>
      <c r="AH1005">
        <v>16.003675464223399</v>
      </c>
      <c r="AI1005">
        <v>93.919608740696404</v>
      </c>
      <c r="AJ1005">
        <v>81.303719191750304</v>
      </c>
      <c r="AK1005">
        <v>16.227755831231601</v>
      </c>
      <c r="AL1005">
        <v>91.331547185077994</v>
      </c>
      <c r="AM1005">
        <v>83.431090711119097</v>
      </c>
      <c r="AN1005">
        <v>0.99999997265440599</v>
      </c>
    </row>
    <row r="1006" spans="1:40" x14ac:dyDescent="0.25">
      <c r="A1006" t="str">
        <f>"20190312151517717"</f>
        <v>20190312151517717</v>
      </c>
      <c r="B1006" t="str">
        <f>"1552374917708111"</f>
        <v>1552374917708111</v>
      </c>
      <c r="C1006" t="s">
        <v>40</v>
      </c>
      <c r="D1006">
        <v>4.9220059999999997</v>
      </c>
      <c r="E1006">
        <v>0.513596099999999</v>
      </c>
      <c r="F1006" t="s">
        <v>43</v>
      </c>
      <c r="G1006">
        <v>-213.01349999999999</v>
      </c>
      <c r="H1006" s="1">
        <v>-3.5043110000000002E-6</v>
      </c>
      <c r="I1006">
        <v>366.65780000000001</v>
      </c>
      <c r="J1006">
        <v>-229.21629999999999</v>
      </c>
      <c r="K1006">
        <v>1.109259</v>
      </c>
      <c r="L1006">
        <v>369.41140000000001</v>
      </c>
      <c r="M1006">
        <v>0.99976100000000001</v>
      </c>
      <c r="N1006">
        <v>0</v>
      </c>
      <c r="O1006">
        <v>-1.6250770000000001E-2</v>
      </c>
      <c r="P1006">
        <v>0.99071929999999997</v>
      </c>
      <c r="Q1006">
        <v>-3.7630879999999998E-2</v>
      </c>
      <c r="R1006">
        <v>-0.13061130000000001</v>
      </c>
      <c r="S1006">
        <v>2.9550169999999998</v>
      </c>
      <c r="T1006">
        <v>-0.19995060000000001</v>
      </c>
      <c r="U1006">
        <v>-0.49694820000000001</v>
      </c>
      <c r="V1006">
        <v>0.1144694</v>
      </c>
      <c r="W1006">
        <v>-2.3219150000000001E-2</v>
      </c>
      <c r="X1006">
        <v>0.99315540000000002</v>
      </c>
      <c r="Y1006">
        <v>0.14949680000000001</v>
      </c>
      <c r="Z1006">
        <v>-3.9265230000000003E-3</v>
      </c>
      <c r="AA1006">
        <v>0.98875440000000003</v>
      </c>
      <c r="AB1006">
        <v>34</v>
      </c>
      <c r="AC1006">
        <v>16.2027999999999</v>
      </c>
      <c r="AD1006">
        <v>-1.109262504311</v>
      </c>
      <c r="AE1006">
        <v>-2.7536</v>
      </c>
      <c r="AF1006">
        <v>2.4786091990566499</v>
      </c>
      <c r="AG1006">
        <v>-1.109262504311</v>
      </c>
      <c r="AH1006">
        <v>16.1717446399755</v>
      </c>
      <c r="AI1006">
        <v>93.878768948094503</v>
      </c>
      <c r="AJ1006">
        <v>81.286206494440705</v>
      </c>
      <c r="AK1006">
        <v>16.398149028646401</v>
      </c>
      <c r="AL1006">
        <v>91.330478853107806</v>
      </c>
      <c r="AM1006">
        <v>83.425197869894006</v>
      </c>
      <c r="AN1006">
        <v>1.00000001050612</v>
      </c>
    </row>
    <row r="1007" spans="1:40" x14ac:dyDescent="0.25">
      <c r="A1007" t="str">
        <f>"20190312151517729"</f>
        <v>20190312151517729</v>
      </c>
      <c r="B1007" t="str">
        <f>"1552374917718847"</f>
        <v>1552374917718847</v>
      </c>
      <c r="C1007" t="s">
        <v>40</v>
      </c>
      <c r="D1007">
        <v>4.850333</v>
      </c>
      <c r="E1007">
        <v>0.51368899999999995</v>
      </c>
      <c r="F1007" t="s">
        <v>43</v>
      </c>
      <c r="G1007">
        <v>-212.7758</v>
      </c>
      <c r="H1007" s="1">
        <v>-3.6104120000000001E-6</v>
      </c>
      <c r="I1007">
        <v>366.63459999999998</v>
      </c>
      <c r="J1007">
        <v>-229.0316</v>
      </c>
      <c r="K1007">
        <v>1.1092439999999999</v>
      </c>
      <c r="L1007">
        <v>369.40820000000002</v>
      </c>
      <c r="M1007">
        <v>0.9997568</v>
      </c>
      <c r="N1007">
        <v>0</v>
      </c>
      <c r="O1007">
        <v>-1.6504709999999999E-2</v>
      </c>
      <c r="P1007">
        <v>0.99065689999999995</v>
      </c>
      <c r="Q1007">
        <v>-3.7262759999999999E-2</v>
      </c>
      <c r="R1007">
        <v>-0.13118729999999901</v>
      </c>
      <c r="S1007">
        <v>2.954742</v>
      </c>
      <c r="T1007">
        <v>-0.19935990000000001</v>
      </c>
      <c r="U1007">
        <v>-0.499054</v>
      </c>
      <c r="V1007">
        <v>0.11479399999999999</v>
      </c>
      <c r="W1007">
        <v>-2.2857969999999998E-2</v>
      </c>
      <c r="X1007">
        <v>0.99312630000000002</v>
      </c>
      <c r="Y1007">
        <v>0.1499471</v>
      </c>
      <c r="Z1007">
        <v>-3.9131679999999999E-3</v>
      </c>
      <c r="AA1007">
        <v>0.98868630000000002</v>
      </c>
      <c r="AB1007">
        <v>34</v>
      </c>
      <c r="AC1007">
        <v>16.255799999999901</v>
      </c>
      <c r="AD1007">
        <v>-1.1092476104119999</v>
      </c>
      <c r="AE1007">
        <v>-2.77360000000004</v>
      </c>
      <c r="AF1007">
        <v>2.49361361361442</v>
      </c>
      <c r="AG1007">
        <v>-1.1092476104119999</v>
      </c>
      <c r="AH1007">
        <v>16.225952130842199</v>
      </c>
      <c r="AI1007">
        <v>93.865559928965695</v>
      </c>
      <c r="AJ1007">
        <v>81.263105722379606</v>
      </c>
      <c r="AK1007">
        <v>16.453876797508499</v>
      </c>
      <c r="AL1007">
        <v>91.309779285166698</v>
      </c>
      <c r="AM1007">
        <v>83.406526190282193</v>
      </c>
      <c r="AN1007">
        <v>0.99999999849010501</v>
      </c>
    </row>
    <row r="1008" spans="1:40" x14ac:dyDescent="0.25">
      <c r="A1008" t="str">
        <f>"20190312151517742"</f>
        <v>20190312151517742</v>
      </c>
      <c r="B1008" t="str">
        <f>"1552374917738368"</f>
        <v>1552374917738368</v>
      </c>
      <c r="C1008" t="s">
        <v>40</v>
      </c>
      <c r="D1008">
        <v>4.8763239999999897</v>
      </c>
      <c r="E1008">
        <v>0.51379640000000004</v>
      </c>
      <c r="F1008" t="s">
        <v>43</v>
      </c>
      <c r="G1008">
        <v>-212.57239999999999</v>
      </c>
      <c r="H1008" s="1">
        <v>-3.7011710000000001E-6</v>
      </c>
      <c r="I1008">
        <v>366.6148</v>
      </c>
      <c r="J1008">
        <v>-228.84289999999999</v>
      </c>
      <c r="K1008">
        <v>1.1092280000000001</v>
      </c>
      <c r="L1008">
        <v>369.40480000000002</v>
      </c>
      <c r="M1008">
        <v>0.99975230000000004</v>
      </c>
      <c r="N1008">
        <v>0</v>
      </c>
      <c r="O1008">
        <v>-1.677762E-2</v>
      </c>
      <c r="P1008">
        <v>0.99055740000000003</v>
      </c>
      <c r="Q1008">
        <v>-3.7322510000000003E-2</v>
      </c>
      <c r="R1008">
        <v>-0.13192079999999901</v>
      </c>
      <c r="S1008">
        <v>2.9543759999999999</v>
      </c>
      <c r="T1008">
        <v>-0.19910549999999999</v>
      </c>
      <c r="U1008">
        <v>-0.50140379999999996</v>
      </c>
      <c r="V1008">
        <v>0.1152569</v>
      </c>
      <c r="W1008">
        <v>-2.2925520000000001E-2</v>
      </c>
      <c r="X1008">
        <v>0.99307109999999998</v>
      </c>
      <c r="Y1008">
        <v>0.15046199999999901</v>
      </c>
      <c r="Z1008">
        <v>-3.907387E-3</v>
      </c>
      <c r="AA1008">
        <v>0.98860809999999999</v>
      </c>
      <c r="AB1008">
        <v>34</v>
      </c>
      <c r="AC1008">
        <v>16.270499999999998</v>
      </c>
      <c r="AD1008">
        <v>-1.109231701171</v>
      </c>
      <c r="AE1008">
        <v>-2.79000000000002</v>
      </c>
      <c r="AF1008">
        <v>2.50528640691368</v>
      </c>
      <c r="AG1008">
        <v>-1.109231701171</v>
      </c>
      <c r="AH1008">
        <v>16.241692837825902</v>
      </c>
      <c r="AI1008">
        <v>93.861439822811406</v>
      </c>
      <c r="AJ1008">
        <v>81.231217212251494</v>
      </c>
      <c r="AK1008">
        <v>16.4711700005141</v>
      </c>
      <c r="AL1008">
        <v>91.313650665606303</v>
      </c>
      <c r="AM1008">
        <v>83.379809215256202</v>
      </c>
      <c r="AN1008">
        <v>0.99999997106004401</v>
      </c>
    </row>
    <row r="1009" spans="1:40" x14ac:dyDescent="0.25">
      <c r="A1009" t="str">
        <f>"20190312151517756"</f>
        <v>20190312151517756</v>
      </c>
      <c r="B1009" t="str">
        <f>"1552374917748127"</f>
        <v>1552374917748127</v>
      </c>
      <c r="C1009" t="s">
        <v>40</v>
      </c>
      <c r="D1009">
        <v>5.1263120000000004</v>
      </c>
      <c r="E1009">
        <v>0.51373959999999996</v>
      </c>
      <c r="F1009" t="s">
        <v>43</v>
      </c>
      <c r="G1009">
        <v>-212.53630000000001</v>
      </c>
      <c r="H1009" s="1">
        <v>-3.7158430000000002E-6</v>
      </c>
      <c r="I1009">
        <v>366.61950000000002</v>
      </c>
      <c r="J1009">
        <v>-228.62180000000001</v>
      </c>
      <c r="K1009">
        <v>1.109208</v>
      </c>
      <c r="L1009">
        <v>369.4008</v>
      </c>
      <c r="M1009">
        <v>0.99974669999999999</v>
      </c>
      <c r="N1009">
        <v>0</v>
      </c>
      <c r="O1009">
        <v>-1.7107919999999999E-2</v>
      </c>
      <c r="P1009">
        <v>0.99048250000000004</v>
      </c>
      <c r="Q1009">
        <v>-3.7248660000000003E-2</v>
      </c>
      <c r="R1009">
        <v>-0.13250419999999999</v>
      </c>
      <c r="S1009">
        <v>2.9538419999999999</v>
      </c>
      <c r="T1009">
        <v>-0.20092989999999999</v>
      </c>
      <c r="U1009">
        <v>-0.50454709999999903</v>
      </c>
      <c r="V1009">
        <v>0.1155123</v>
      </c>
      <c r="W1009">
        <v>-2.286003E-2</v>
      </c>
      <c r="X1009">
        <v>0.99304289999999995</v>
      </c>
      <c r="Y1009">
        <v>0.15118090000000001</v>
      </c>
      <c r="Z1009">
        <v>-3.9454470000000004E-3</v>
      </c>
      <c r="AA1009">
        <v>0.98849819999999999</v>
      </c>
      <c r="AB1009">
        <v>34</v>
      </c>
      <c r="AC1009">
        <v>16.0854999999999</v>
      </c>
      <c r="AD1009">
        <v>-1.1092117158429999</v>
      </c>
      <c r="AE1009">
        <v>-2.7812999999999799</v>
      </c>
      <c r="AF1009">
        <v>2.4941582978308499</v>
      </c>
      <c r="AG1009">
        <v>-1.1092117158429999</v>
      </c>
      <c r="AH1009">
        <v>16.056598350289299</v>
      </c>
      <c r="AI1009">
        <v>93.905107278068698</v>
      </c>
      <c r="AJ1009">
        <v>81.170501225700605</v>
      </c>
      <c r="AK1009">
        <v>16.2869741458539</v>
      </c>
      <c r="AL1009">
        <v>91.309897426102197</v>
      </c>
      <c r="AM1009">
        <v>83.365083321767798</v>
      </c>
      <c r="AN1009">
        <v>0.99999993683164801</v>
      </c>
    </row>
    <row r="1010" spans="1:40" x14ac:dyDescent="0.25">
      <c r="A1010" t="str">
        <f>"20190312151517773"</f>
        <v>20190312151517773</v>
      </c>
      <c r="B1010" t="str">
        <f>"1552374917768623"</f>
        <v>1552374917768623</v>
      </c>
      <c r="C1010" t="s">
        <v>40</v>
      </c>
      <c r="D1010">
        <v>4.8888999999999996</v>
      </c>
      <c r="E1010">
        <v>0.51387579999999999</v>
      </c>
      <c r="F1010" t="s">
        <v>43</v>
      </c>
      <c r="G1010">
        <v>-212.3723</v>
      </c>
      <c r="H1010" s="1">
        <v>-3.786153E-6</v>
      </c>
      <c r="I1010">
        <v>366.61959999999999</v>
      </c>
      <c r="J1010">
        <v>-228.36539999999999</v>
      </c>
      <c r="K1010">
        <v>1.1091879999999901</v>
      </c>
      <c r="L1010">
        <v>369.39609999999999</v>
      </c>
      <c r="M1010">
        <v>0.99973990000000001</v>
      </c>
      <c r="N1010">
        <v>0</v>
      </c>
      <c r="O1010">
        <v>-1.7510270000000001E-2</v>
      </c>
      <c r="P1010">
        <v>0.99026930000000002</v>
      </c>
      <c r="Q1010">
        <v>-3.7112970000000002E-2</v>
      </c>
      <c r="R1010">
        <v>-0.13412589999999999</v>
      </c>
      <c r="S1010">
        <v>2.9536129999999998</v>
      </c>
      <c r="T1010">
        <v>-0.2016164</v>
      </c>
      <c r="U1010">
        <v>-0.50552370000000002</v>
      </c>
      <c r="V1010">
        <v>0.1167371</v>
      </c>
      <c r="W1010">
        <v>-2.2736619999999999E-2</v>
      </c>
      <c r="X1010">
        <v>0.99290259999999997</v>
      </c>
      <c r="Y1010">
        <v>0.15111240000000001</v>
      </c>
      <c r="Z1010">
        <v>-3.929554E-3</v>
      </c>
      <c r="AA1010">
        <v>0.98850879999999997</v>
      </c>
      <c r="AB1010">
        <v>34</v>
      </c>
      <c r="AC1010">
        <v>15.993099999999901</v>
      </c>
      <c r="AD1010">
        <v>-1.1091917861529901</v>
      </c>
      <c r="AE1010">
        <v>-2.7764999999999902</v>
      </c>
      <c r="AF1010">
        <v>2.4844004040491798</v>
      </c>
      <c r="AG1010">
        <v>-1.1091917861529901</v>
      </c>
      <c r="AH1010">
        <v>15.964725772980801</v>
      </c>
      <c r="AI1010">
        <v>93.927271595765006</v>
      </c>
      <c r="AJ1010">
        <v>81.154686211051498</v>
      </c>
      <c r="AK1010">
        <v>16.194907248656499</v>
      </c>
      <c r="AL1010">
        <v>91.302824582393697</v>
      </c>
      <c r="AM1010">
        <v>83.294430371917798</v>
      </c>
      <c r="AN1010">
        <v>1.0000000387460899</v>
      </c>
    </row>
    <row r="1011" spans="1:40" x14ac:dyDescent="0.25">
      <c r="A1011" t="str">
        <f>"20190312151517794"</f>
        <v>20190312151517794</v>
      </c>
      <c r="B1011" t="str">
        <f>"1552374917788143"</f>
        <v>1552374917788143</v>
      </c>
      <c r="C1011" t="s">
        <v>40</v>
      </c>
      <c r="D1011">
        <v>4.9092229999999999</v>
      </c>
      <c r="E1011">
        <v>0.51393869999999997</v>
      </c>
      <c r="F1011" t="s">
        <v>43</v>
      </c>
      <c r="G1011">
        <v>-212.19909999999999</v>
      </c>
      <c r="H1011" s="1">
        <v>-3.8648730000000004E-6</v>
      </c>
      <c r="I1011">
        <v>366.59469999999999</v>
      </c>
      <c r="J1011">
        <v>-228.03270000000001</v>
      </c>
      <c r="K1011">
        <v>1.1091599999999999</v>
      </c>
      <c r="L1011">
        <v>369.38959999999997</v>
      </c>
      <c r="M1011">
        <v>0.99973020000000001</v>
      </c>
      <c r="N1011">
        <v>0</v>
      </c>
      <c r="O1011">
        <v>-1.8061339999999999E-2</v>
      </c>
      <c r="P1011">
        <v>0.99001879999999998</v>
      </c>
      <c r="Q1011">
        <v>-3.741833E-2</v>
      </c>
      <c r="R1011">
        <v>-0.13587969999999999</v>
      </c>
      <c r="S1011">
        <v>2.9525760000000001</v>
      </c>
      <c r="T1011">
        <v>-0.20257939999999999</v>
      </c>
      <c r="U1011">
        <v>-0.51162719999999995</v>
      </c>
      <c r="V1011">
        <v>0.1179461</v>
      </c>
      <c r="W1011">
        <v>-2.3056449999999999E-2</v>
      </c>
      <c r="X1011">
        <v>0.99275230000000003</v>
      </c>
      <c r="Y1011">
        <v>0.1526045</v>
      </c>
      <c r="Z1011">
        <v>-3.9622590000000001E-3</v>
      </c>
      <c r="AA1011">
        <v>0.98827940000000003</v>
      </c>
      <c r="AB1011">
        <v>34</v>
      </c>
      <c r="AC1011">
        <v>15.833600000000001</v>
      </c>
      <c r="AD1011">
        <v>-1.109163864873</v>
      </c>
      <c r="AE1011">
        <v>-2.7948999999999802</v>
      </c>
      <c r="AF1011">
        <v>2.4965565930047702</v>
      </c>
      <c r="AG1011">
        <v>-1.109163864873</v>
      </c>
      <c r="AH1011">
        <v>15.806281164189899</v>
      </c>
      <c r="AI1011">
        <v>93.965005781556499</v>
      </c>
      <c r="AJ1011">
        <v>81.024445061861996</v>
      </c>
      <c r="AK1011">
        <v>16.040622292873799</v>
      </c>
      <c r="AL1011">
        <v>91.321154339811002</v>
      </c>
      <c r="AM1011">
        <v>83.224609507960096</v>
      </c>
      <c r="AN1011">
        <v>1.0000000057735501</v>
      </c>
    </row>
    <row r="1012" spans="1:40" x14ac:dyDescent="0.25">
      <c r="A1012" t="str">
        <f>"20190312151517806"</f>
        <v>20190312151517806</v>
      </c>
      <c r="B1012" t="str">
        <f>"1552374917798880"</f>
        <v>1552374917798880</v>
      </c>
      <c r="C1012" t="s">
        <v>40</v>
      </c>
      <c r="D1012">
        <v>4.8869319999999998</v>
      </c>
      <c r="E1012">
        <v>0.51400429999999997</v>
      </c>
      <c r="F1012" t="s">
        <v>43</v>
      </c>
      <c r="G1012">
        <v>-212.06209999999999</v>
      </c>
      <c r="H1012" s="1">
        <v>-3.924619E-6</v>
      </c>
      <c r="I1012">
        <v>366.58929999999998</v>
      </c>
      <c r="J1012">
        <v>-227.8398</v>
      </c>
      <c r="K1012">
        <v>1.109143</v>
      </c>
      <c r="L1012">
        <v>369.38580000000002</v>
      </c>
      <c r="M1012">
        <v>0.99972399999999995</v>
      </c>
      <c r="N1012">
        <v>0</v>
      </c>
      <c r="O1012">
        <v>-1.8393320000000001E-2</v>
      </c>
      <c r="P1012">
        <v>0.98990020000000001</v>
      </c>
      <c r="Q1012">
        <v>-3.7598220000000002E-2</v>
      </c>
      <c r="R1012">
        <v>-0.136689899999999</v>
      </c>
      <c r="S1012">
        <v>2.9514469999999999</v>
      </c>
      <c r="T1012">
        <v>-0.20497879999999999</v>
      </c>
      <c r="U1012">
        <v>-0.51751709999999995</v>
      </c>
      <c r="V1012">
        <v>0.1184278</v>
      </c>
      <c r="W1012">
        <v>-2.3243759999999999E-2</v>
      </c>
      <c r="X1012">
        <v>0.99269059999999998</v>
      </c>
      <c r="Y1012">
        <v>0.1542433</v>
      </c>
      <c r="Z1012">
        <v>-4.0434879999999996E-3</v>
      </c>
      <c r="AA1012">
        <v>0.98802460000000003</v>
      </c>
      <c r="AB1012">
        <v>34</v>
      </c>
      <c r="AC1012">
        <v>15.777699999999999</v>
      </c>
      <c r="AD1012">
        <v>-1.109146924619</v>
      </c>
      <c r="AE1012">
        <v>-2.7965000000000302</v>
      </c>
      <c r="AF1012">
        <v>2.4938426728149601</v>
      </c>
      <c r="AG1012">
        <v>-1.109146924619</v>
      </c>
      <c r="AH1012">
        <v>15.7510042598505</v>
      </c>
      <c r="AI1012">
        <v>93.978581733761601</v>
      </c>
      <c r="AJ1012">
        <v>81.003091977643905</v>
      </c>
      <c r="AK1012">
        <v>15.9857309301443</v>
      </c>
      <c r="AL1012">
        <v>91.331889267891299</v>
      </c>
      <c r="AM1012">
        <v>83.196778289782202</v>
      </c>
      <c r="AN1012">
        <v>1.00000002176006</v>
      </c>
    </row>
    <row r="1013" spans="1:40" x14ac:dyDescent="0.25">
      <c r="A1013" t="str">
        <f>"20190312151517818"</f>
        <v>20190312151517818</v>
      </c>
      <c r="B1013" t="str">
        <f>"1552374917808640"</f>
        <v>1552374917808640</v>
      </c>
      <c r="C1013" t="s">
        <v>40</v>
      </c>
      <c r="D1013">
        <v>5.0848969999999998</v>
      </c>
      <c r="E1013">
        <v>0.51408149999999997</v>
      </c>
      <c r="F1013" t="s">
        <v>43</v>
      </c>
      <c r="G1013">
        <v>-211.96250000000001</v>
      </c>
      <c r="H1013" s="1">
        <v>-3.9677930000000004E-6</v>
      </c>
      <c r="I1013">
        <v>366.58670000000001</v>
      </c>
      <c r="J1013">
        <v>-227.67250000000001</v>
      </c>
      <c r="K1013">
        <v>1.1091329999999999</v>
      </c>
      <c r="L1013">
        <v>369.38240000000002</v>
      </c>
      <c r="M1013">
        <v>0.99971869999999996</v>
      </c>
      <c r="N1013">
        <v>0</v>
      </c>
      <c r="O1013">
        <v>-1.868616E-2</v>
      </c>
      <c r="P1013">
        <v>0.9897956</v>
      </c>
      <c r="Q1013">
        <v>-3.768755E-2</v>
      </c>
      <c r="R1013">
        <v>-0.1374204</v>
      </c>
      <c r="S1013">
        <v>2.9509280000000002</v>
      </c>
      <c r="T1013">
        <v>-0.20614360000000001</v>
      </c>
      <c r="U1013">
        <v>-0.52023319999999995</v>
      </c>
      <c r="V1013">
        <v>0.118869</v>
      </c>
      <c r="W1013">
        <v>-2.333938E-2</v>
      </c>
      <c r="X1013">
        <v>0.99263559999999995</v>
      </c>
      <c r="Y1013">
        <v>0.1548612</v>
      </c>
      <c r="Z1013">
        <v>-4.0679269999999998E-3</v>
      </c>
      <c r="AA1013">
        <v>0.98792789999999997</v>
      </c>
      <c r="AB1013">
        <v>34</v>
      </c>
      <c r="AC1013">
        <v>15.71</v>
      </c>
      <c r="AD1013">
        <v>-1.1091369677930001</v>
      </c>
      <c r="AE1013">
        <v>-2.7957000000000098</v>
      </c>
      <c r="AF1013">
        <v>2.48959251862461</v>
      </c>
      <c r="AG1013">
        <v>-1.1091369677930001</v>
      </c>
      <c r="AH1013">
        <v>15.6837276985095</v>
      </c>
      <c r="AI1013">
        <v>93.995305869944801</v>
      </c>
      <c r="AJ1013">
        <v>80.980278710144404</v>
      </c>
      <c r="AK1013">
        <v>15.918780425745901</v>
      </c>
      <c r="AL1013">
        <v>91.337369405852797</v>
      </c>
      <c r="AM1013">
        <v>83.171297143924207</v>
      </c>
      <c r="AN1013">
        <v>1.00000000010357</v>
      </c>
    </row>
    <row r="1014" spans="1:40" x14ac:dyDescent="0.25">
      <c r="A1014" t="str">
        <f>"20190312151517830"</f>
        <v>20190312151517830</v>
      </c>
      <c r="B1014" t="str">
        <f>"1552374917818400"</f>
        <v>1552374917818400</v>
      </c>
      <c r="C1014" t="s">
        <v>40</v>
      </c>
      <c r="D1014">
        <v>5.0175010000000002</v>
      </c>
      <c r="E1014">
        <v>0.51414139999999997</v>
      </c>
      <c r="F1014" t="s">
        <v>43</v>
      </c>
      <c r="G1014">
        <v>-211.8253</v>
      </c>
      <c r="H1014" s="1">
        <v>-4.0287320000000001E-6</v>
      </c>
      <c r="I1014">
        <v>366.57499999999999</v>
      </c>
      <c r="J1014">
        <v>-227.4889</v>
      </c>
      <c r="K1014">
        <v>1.1091219999999999</v>
      </c>
      <c r="L1014">
        <v>369.37880000000001</v>
      </c>
      <c r="M1014">
        <v>0.99971259999999995</v>
      </c>
      <c r="N1014">
        <v>0</v>
      </c>
      <c r="O1014">
        <v>-1.9012970000000001E-2</v>
      </c>
      <c r="P1014">
        <v>0.98968520000000004</v>
      </c>
      <c r="Q1014">
        <v>-3.7661760000000002E-2</v>
      </c>
      <c r="R1014">
        <v>-0.1382217</v>
      </c>
      <c r="S1014">
        <v>2.9504999999999999</v>
      </c>
      <c r="T1014">
        <v>-0.2065034</v>
      </c>
      <c r="U1014">
        <v>-0.52270509999999903</v>
      </c>
      <c r="V1014">
        <v>0.1193472</v>
      </c>
      <c r="W1014">
        <v>-2.332016E-2</v>
      </c>
      <c r="X1014">
        <v>0.99257870000000004</v>
      </c>
      <c r="Y1014">
        <v>0.15536369999999999</v>
      </c>
      <c r="Z1014">
        <v>-4.0700770000000001E-3</v>
      </c>
      <c r="AA1014">
        <v>0.98784890000000003</v>
      </c>
      <c r="AB1014">
        <v>34</v>
      </c>
      <c r="AC1014">
        <v>15.663600000000001</v>
      </c>
      <c r="AD1014">
        <v>-1.1091260287319999</v>
      </c>
      <c r="AE1014">
        <v>-2.8038000000000198</v>
      </c>
      <c r="AF1014">
        <v>2.4933364583802202</v>
      </c>
      <c r="AG1014">
        <v>-1.1091260287319999</v>
      </c>
      <c r="AH1014">
        <v>15.6381081183668</v>
      </c>
      <c r="AI1014">
        <v>94.006448403589005</v>
      </c>
      <c r="AJ1014">
        <v>80.941023062090096</v>
      </c>
      <c r="AK1014">
        <v>15.8744232261846</v>
      </c>
      <c r="AL1014">
        <v>91.336267841402801</v>
      </c>
      <c r="AM1014">
        <v>83.143697527704504</v>
      </c>
      <c r="AN1014">
        <v>1.00000002985197</v>
      </c>
    </row>
    <row r="1015" spans="1:40" x14ac:dyDescent="0.25">
      <c r="A1015" t="str">
        <f>"20190312151517840"</f>
        <v>20190312151517840</v>
      </c>
      <c r="B1015" t="str">
        <f>"1552374917838896"</f>
        <v>1552374917838896</v>
      </c>
      <c r="C1015" t="s">
        <v>40</v>
      </c>
      <c r="D1015">
        <v>5.062818</v>
      </c>
      <c r="E1015">
        <v>0.51484259999999904</v>
      </c>
      <c r="F1015" t="s">
        <v>43</v>
      </c>
      <c r="G1015">
        <v>-211.64240000000001</v>
      </c>
      <c r="H1015" s="1">
        <v>-4.1110299999999997E-6</v>
      </c>
      <c r="I1015">
        <v>366.55349999999999</v>
      </c>
      <c r="J1015">
        <v>-227.32230000000001</v>
      </c>
      <c r="K1015">
        <v>1.109113</v>
      </c>
      <c r="L1015">
        <v>369.37529999999998</v>
      </c>
      <c r="M1015">
        <v>0.99970669999999995</v>
      </c>
      <c r="N1015">
        <v>0</v>
      </c>
      <c r="O1015">
        <v>-1.9316750000000001E-2</v>
      </c>
      <c r="P1015">
        <v>0.9895756</v>
      </c>
      <c r="Q1015">
        <v>-3.7810150000000001E-2</v>
      </c>
      <c r="R1015">
        <v>-0.138963</v>
      </c>
      <c r="S1015">
        <v>2.9499659999999999</v>
      </c>
      <c r="T1015">
        <v>-0.20647299999999999</v>
      </c>
      <c r="U1015">
        <v>-0.52593990000000002</v>
      </c>
      <c r="V1015">
        <v>0.1197882</v>
      </c>
      <c r="W1015">
        <v>-2.3474450000000001E-2</v>
      </c>
      <c r="X1015">
        <v>0.99252189999999996</v>
      </c>
      <c r="Y1015">
        <v>0.15614320000000001</v>
      </c>
      <c r="Z1015">
        <v>-4.0758019999999999E-3</v>
      </c>
      <c r="AA1015">
        <v>0.98772599999999999</v>
      </c>
      <c r="AB1015">
        <v>34</v>
      </c>
      <c r="AC1015">
        <v>15.6799</v>
      </c>
      <c r="AD1015">
        <v>-1.10911711102999</v>
      </c>
      <c r="AE1015">
        <v>-2.8217999999999899</v>
      </c>
      <c r="AF1015">
        <v>2.50621007077237</v>
      </c>
      <c r="AG1015">
        <v>-1.10911711102999</v>
      </c>
      <c r="AH1015">
        <v>15.6556130334826</v>
      </c>
      <c r="AI1015">
        <v>94.001550997903394</v>
      </c>
      <c r="AJ1015">
        <v>80.905041440736397</v>
      </c>
      <c r="AK1015">
        <v>15.893692117911799</v>
      </c>
      <c r="AL1015">
        <v>91.345110478158503</v>
      </c>
      <c r="AM1015">
        <v>83.118215252334593</v>
      </c>
      <c r="AN1015">
        <v>0.99999999232082604</v>
      </c>
    </row>
    <row r="1016" spans="1:40" x14ac:dyDescent="0.25">
      <c r="A1016" t="str">
        <f>"20190312151517852"</f>
        <v>20190312151517852</v>
      </c>
      <c r="B1016" t="str">
        <f>"1552374917848655"</f>
        <v>1552374917848655</v>
      </c>
      <c r="C1016" t="s">
        <v>40</v>
      </c>
      <c r="D1016">
        <v>4.9988039999999998</v>
      </c>
      <c r="E1016">
        <v>0.51548649999999996</v>
      </c>
      <c r="F1016" t="s">
        <v>43</v>
      </c>
      <c r="G1016">
        <v>-211.67570000000001</v>
      </c>
      <c r="H1016" s="1">
        <v>-4.0983899999999997E-6</v>
      </c>
      <c r="I1016">
        <v>366.54430000000002</v>
      </c>
      <c r="J1016">
        <v>-227.1439</v>
      </c>
      <c r="K1016">
        <v>1.109103</v>
      </c>
      <c r="L1016">
        <v>369.3716</v>
      </c>
      <c r="M1016">
        <v>0.99970040000000004</v>
      </c>
      <c r="N1016">
        <v>0</v>
      </c>
      <c r="O1016">
        <v>-1.9644740000000001E-2</v>
      </c>
      <c r="P1016">
        <v>0.98945669999999997</v>
      </c>
      <c r="Q1016">
        <v>-3.7748980000000001E-2</v>
      </c>
      <c r="R1016">
        <v>-0.1398229</v>
      </c>
      <c r="S1016">
        <v>2.9487000000000001</v>
      </c>
      <c r="T1016">
        <v>-0.20901810000000001</v>
      </c>
      <c r="U1016">
        <v>-0.53350830000000005</v>
      </c>
      <c r="V1016">
        <v>0.1203244</v>
      </c>
      <c r="W1016">
        <v>-2.3419700000000002E-2</v>
      </c>
      <c r="X1016">
        <v>0.99245830000000002</v>
      </c>
      <c r="Y1016">
        <v>0.15833539999999999</v>
      </c>
      <c r="Z1016">
        <v>-4.1807040000000004E-3</v>
      </c>
      <c r="AA1016">
        <v>0.98737660000000005</v>
      </c>
      <c r="AB1016">
        <v>34</v>
      </c>
      <c r="AC1016">
        <v>15.4681999999999</v>
      </c>
      <c r="AD1016">
        <v>-1.10910709839</v>
      </c>
      <c r="AE1016">
        <v>-2.8272999999999802</v>
      </c>
      <c r="AF1016">
        <v>2.51036399688644</v>
      </c>
      <c r="AG1016">
        <v>-1.10910709839</v>
      </c>
      <c r="AH1016">
        <v>15.4439279522826</v>
      </c>
      <c r="AI1016">
        <v>94.054615363119197</v>
      </c>
      <c r="AJ1016">
        <v>80.767490732379002</v>
      </c>
      <c r="AK1016">
        <v>15.6858839900039</v>
      </c>
      <c r="AL1016">
        <v>91.341972714388206</v>
      </c>
      <c r="AM1016">
        <v>83.087269472030997</v>
      </c>
      <c r="AN1016">
        <v>0.99999996041116901</v>
      </c>
    </row>
    <row r="1017" spans="1:40" x14ac:dyDescent="0.25">
      <c r="A1017" t="str">
        <f>"20190312151517865"</f>
        <v>20190312151517865</v>
      </c>
      <c r="B1017" t="str">
        <f>"1552374917858415"</f>
        <v>1552374917858415</v>
      </c>
      <c r="C1017" t="s">
        <v>40</v>
      </c>
      <c r="D1017">
        <v>4.9878010000000002</v>
      </c>
      <c r="E1017">
        <v>0.51622559999999995</v>
      </c>
      <c r="F1017" t="s">
        <v>43</v>
      </c>
      <c r="G1017">
        <v>-211.4598</v>
      </c>
      <c r="H1017" s="1">
        <v>-4.2002580000000004E-6</v>
      </c>
      <c r="I1017">
        <v>366.49209999999999</v>
      </c>
      <c r="J1017">
        <v>-226.95689999999999</v>
      </c>
      <c r="K1017">
        <v>1.109094</v>
      </c>
      <c r="L1017">
        <v>369.36759999999998</v>
      </c>
      <c r="M1017">
        <v>0.99969330000000001</v>
      </c>
      <c r="N1017">
        <v>0</v>
      </c>
      <c r="O1017">
        <v>-2.000064E-2</v>
      </c>
      <c r="P1017">
        <v>0.98931170000000002</v>
      </c>
      <c r="Q1017">
        <v>-3.7768509999999998E-2</v>
      </c>
      <c r="R1017">
        <v>-0.14084070000000001</v>
      </c>
      <c r="S1017">
        <v>2.9475099999999999</v>
      </c>
      <c r="T1017">
        <v>-0.20843339999999999</v>
      </c>
      <c r="U1017">
        <v>-0.54113769999999894</v>
      </c>
      <c r="V1017">
        <v>0.120991</v>
      </c>
      <c r="W1017">
        <v>-2.344655E-2</v>
      </c>
      <c r="X1017">
        <v>0.9923767</v>
      </c>
      <c r="Y1017">
        <v>0.16052429999999901</v>
      </c>
      <c r="Z1017">
        <v>-4.2214979999999997E-3</v>
      </c>
      <c r="AA1017">
        <v>0.98702290000000004</v>
      </c>
      <c r="AB1017">
        <v>34</v>
      </c>
      <c r="AC1017">
        <v>15.4970999999999</v>
      </c>
      <c r="AD1017">
        <v>-1.1090982002580001</v>
      </c>
      <c r="AE1017">
        <v>-2.8754999999999802</v>
      </c>
      <c r="AF1017">
        <v>2.55230193628458</v>
      </c>
      <c r="AG1017">
        <v>-1.1090982002580001</v>
      </c>
      <c r="AH1017">
        <v>15.4748931669125</v>
      </c>
      <c r="AI1017">
        <v>94.044963268434699</v>
      </c>
      <c r="AJ1017">
        <v>80.634419128190302</v>
      </c>
      <c r="AK1017">
        <v>15.7231250875624</v>
      </c>
      <c r="AL1017">
        <v>91.343511423415094</v>
      </c>
      <c r="AM1017">
        <v>83.048780453679498</v>
      </c>
      <c r="AN1017">
        <v>1.00000003874539</v>
      </c>
    </row>
    <row r="1018" spans="1:40" x14ac:dyDescent="0.25">
      <c r="A1018" t="str">
        <f>"20190312151517877"</f>
        <v>20190312151517877</v>
      </c>
      <c r="B1018" t="str">
        <f>"1552374917868175"</f>
        <v>1552374917868175</v>
      </c>
      <c r="C1018" t="s">
        <v>40</v>
      </c>
      <c r="D1018">
        <v>5.0598879999999999</v>
      </c>
      <c r="E1018">
        <v>0.51690950000000002</v>
      </c>
      <c r="F1018" t="s">
        <v>43</v>
      </c>
      <c r="G1018">
        <v>-211.42779999999999</v>
      </c>
      <c r="H1018" s="1">
        <v>-4.2181749999999996E-6</v>
      </c>
      <c r="I1018">
        <v>366.4683</v>
      </c>
      <c r="J1018">
        <v>-226.7653</v>
      </c>
      <c r="K1018">
        <v>1.1090869999999999</v>
      </c>
      <c r="L1018">
        <v>369.36329999999998</v>
      </c>
      <c r="M1018">
        <v>0.99968590000000002</v>
      </c>
      <c r="N1018">
        <v>0</v>
      </c>
      <c r="O1018">
        <v>-2.0370619999999999E-2</v>
      </c>
      <c r="P1018">
        <v>0.98921300000000001</v>
      </c>
      <c r="Q1018">
        <v>-3.7716810000000003E-2</v>
      </c>
      <c r="R1018">
        <v>-0.14154510000000001</v>
      </c>
      <c r="S1018">
        <v>2.9460600000000001</v>
      </c>
      <c r="T1018">
        <v>-0.2104094</v>
      </c>
      <c r="U1018">
        <v>-0.55001829999999996</v>
      </c>
      <c r="V1018">
        <v>0.1213296</v>
      </c>
      <c r="W1018">
        <v>-2.3401459999999999E-2</v>
      </c>
      <c r="X1018">
        <v>0.99233640000000001</v>
      </c>
      <c r="Y1018">
        <v>0.16310929999999901</v>
      </c>
      <c r="Z1018">
        <v>-4.3276010000000004E-3</v>
      </c>
      <c r="AA1018">
        <v>0.98659850000000004</v>
      </c>
      <c r="AB1018">
        <v>34</v>
      </c>
      <c r="AC1018">
        <v>15.3375</v>
      </c>
      <c r="AD1018">
        <v>-1.1090912181749999</v>
      </c>
      <c r="AE1018">
        <v>-2.89499999999998</v>
      </c>
      <c r="AF1018">
        <v>2.5689602975478598</v>
      </c>
      <c r="AG1018">
        <v>-1.1090912181749999</v>
      </c>
      <c r="AH1018">
        <v>15.3159627741466</v>
      </c>
      <c r="AI1018">
        <v>94.084925029594899</v>
      </c>
      <c r="AJ1018">
        <v>80.478359693409004</v>
      </c>
      <c r="AK1018">
        <v>15.569468714110201</v>
      </c>
      <c r="AL1018">
        <v>91.340927278993703</v>
      </c>
      <c r="AM1018">
        <v>83.029237904789895</v>
      </c>
      <c r="AN1018">
        <v>1.0000000154656199</v>
      </c>
    </row>
    <row r="1019" spans="1:40" x14ac:dyDescent="0.25">
      <c r="A1019" t="str">
        <f>"20190312151517890"</f>
        <v>20190312151517890</v>
      </c>
      <c r="B1019" t="str">
        <f>"1552374917878859"</f>
        <v>1552374917878859</v>
      </c>
      <c r="C1019" t="s">
        <v>40</v>
      </c>
      <c r="D1019">
        <v>5.0287569999999997</v>
      </c>
      <c r="E1019">
        <v>0.51756619999999998</v>
      </c>
      <c r="F1019" t="s">
        <v>43</v>
      </c>
      <c r="G1019">
        <v>-211.27260000000001</v>
      </c>
      <c r="H1019" s="1">
        <v>-4.2915619999999999E-6</v>
      </c>
      <c r="I1019">
        <v>366.43009999999998</v>
      </c>
      <c r="J1019">
        <v>-226.57650000000001</v>
      </c>
      <c r="K1019">
        <v>1.109076</v>
      </c>
      <c r="L1019">
        <v>369.35919999999999</v>
      </c>
      <c r="M1019">
        <v>0.99967830000000002</v>
      </c>
      <c r="N1019">
        <v>0</v>
      </c>
      <c r="O1019">
        <v>-2.0744209999999999E-2</v>
      </c>
      <c r="P1019">
        <v>0.98907089999999998</v>
      </c>
      <c r="Q1019">
        <v>-3.7470740000000002E-2</v>
      </c>
      <c r="R1019">
        <v>-0.14260049999999999</v>
      </c>
      <c r="S1019">
        <v>2.9448850000000002</v>
      </c>
      <c r="T1019">
        <v>-0.21081810000000001</v>
      </c>
      <c r="U1019">
        <v>-0.55755619999999995</v>
      </c>
      <c r="V1019">
        <v>0.12201670000000001</v>
      </c>
      <c r="W1019">
        <v>-2.3163329999999999E-2</v>
      </c>
      <c r="X1019">
        <v>0.99225770000000002</v>
      </c>
      <c r="Y1019">
        <v>0.16524459999999999</v>
      </c>
      <c r="Z1019">
        <v>-4.3858909999999899E-3</v>
      </c>
      <c r="AA1019">
        <v>0.98624290000000003</v>
      </c>
      <c r="AB1019">
        <v>34</v>
      </c>
      <c r="AC1019">
        <v>15.303900000000001</v>
      </c>
      <c r="AD1019">
        <v>-1.1090802915619999</v>
      </c>
      <c r="AE1019">
        <v>-2.9291</v>
      </c>
      <c r="AF1019">
        <v>2.5978069880849102</v>
      </c>
      <c r="AG1019">
        <v>-1.1090802915619999</v>
      </c>
      <c r="AH1019">
        <v>15.2839403622188</v>
      </c>
      <c r="AI1019">
        <v>94.0919152513314</v>
      </c>
      <c r="AJ1019">
        <v>80.353641153879096</v>
      </c>
      <c r="AK1019">
        <v>15.542763371946901</v>
      </c>
      <c r="AL1019">
        <v>91.327279784046993</v>
      </c>
      <c r="AM1019">
        <v>82.989603089231494</v>
      </c>
      <c r="AN1019">
        <v>0.99999997907243399</v>
      </c>
    </row>
    <row r="1020" spans="1:40" x14ac:dyDescent="0.25">
      <c r="A1020" t="str">
        <f>"20190312151517902"</f>
        <v>20190312151517902</v>
      </c>
      <c r="B1020" t="str">
        <f>"1552374917898379"</f>
        <v>1552374917898379</v>
      </c>
      <c r="C1020" t="s">
        <v>40</v>
      </c>
      <c r="D1020">
        <v>4.9710769999999904</v>
      </c>
      <c r="E1020">
        <v>0.51883080000000004</v>
      </c>
      <c r="F1020" t="s">
        <v>43</v>
      </c>
      <c r="G1020">
        <v>-211.0787</v>
      </c>
      <c r="H1020" s="1">
        <v>-4.383668E-6</v>
      </c>
      <c r="I1020">
        <v>366.37979999999999</v>
      </c>
      <c r="J1020">
        <v>-226.40010000000001</v>
      </c>
      <c r="K1020">
        <v>1.109065</v>
      </c>
      <c r="L1020">
        <v>369.35509999999999</v>
      </c>
      <c r="M1020">
        <v>0.99967070000000002</v>
      </c>
      <c r="N1020">
        <v>0</v>
      </c>
      <c r="O1020">
        <v>-2.1104339999999999E-2</v>
      </c>
      <c r="P1020">
        <v>0.98891070000000003</v>
      </c>
      <c r="Q1020">
        <v>-3.7641849999999998E-2</v>
      </c>
      <c r="R1020">
        <v>-0.14366139999999999</v>
      </c>
      <c r="S1020">
        <v>2.9435880000000001</v>
      </c>
      <c r="T1020">
        <v>-0.2106529</v>
      </c>
      <c r="U1020">
        <v>-0.56588749999999999</v>
      </c>
      <c r="V1020">
        <v>0.122722499999999</v>
      </c>
      <c r="W1020">
        <v>-2.3342700000000001E-2</v>
      </c>
      <c r="X1020">
        <v>0.99216649999999995</v>
      </c>
      <c r="Y1020">
        <v>0.167657</v>
      </c>
      <c r="Z1020">
        <v>-4.4431699999999998E-3</v>
      </c>
      <c r="AA1020">
        <v>0.98583540000000003</v>
      </c>
      <c r="AB1020">
        <v>34</v>
      </c>
      <c r="AC1020">
        <v>15.321400000000001</v>
      </c>
      <c r="AD1020">
        <v>-1.1090693836679999</v>
      </c>
      <c r="AE1020">
        <v>-2.9752999999999998</v>
      </c>
      <c r="AF1020">
        <v>2.6379345793016098</v>
      </c>
      <c r="AG1020">
        <v>-1.1090693836679999</v>
      </c>
      <c r="AH1020">
        <v>15.303510961675901</v>
      </c>
      <c r="AI1020">
        <v>94.085031636416005</v>
      </c>
      <c r="AJ1020">
        <v>80.219781031774602</v>
      </c>
      <c r="AK1020">
        <v>15.5687565815835</v>
      </c>
      <c r="AL1020">
        <v>91.337559641441302</v>
      </c>
      <c r="AM1020">
        <v>82.948817182187298</v>
      </c>
      <c r="AN1020">
        <v>1.0000000286858901</v>
      </c>
    </row>
    <row r="1021" spans="1:40" x14ac:dyDescent="0.25">
      <c r="A1021" t="str">
        <f>"20190312151517918"</f>
        <v>20190312151517918</v>
      </c>
      <c r="B1021" t="str">
        <f>"1552374917908140"</f>
        <v>1552374917908140</v>
      </c>
      <c r="C1021" t="s">
        <v>40</v>
      </c>
      <c r="D1021">
        <v>5.1132090000000003</v>
      </c>
      <c r="E1021">
        <v>0.51941720000000002</v>
      </c>
      <c r="F1021" t="s">
        <v>43</v>
      </c>
      <c r="G1021">
        <v>-211.1497</v>
      </c>
      <c r="H1021" s="1">
        <v>-4.3578580000000003E-6</v>
      </c>
      <c r="I1021">
        <v>366.3535</v>
      </c>
      <c r="J1021">
        <v>-226.1516</v>
      </c>
      <c r="K1021">
        <v>1.109046</v>
      </c>
      <c r="L1021">
        <v>369.3494</v>
      </c>
      <c r="M1021">
        <v>0.99965959999999998</v>
      </c>
      <c r="N1021">
        <v>0</v>
      </c>
      <c r="O1021">
        <v>-2.1627219999999999E-2</v>
      </c>
      <c r="P1021">
        <v>0.98864319999999895</v>
      </c>
      <c r="Q1021">
        <v>-3.723079E-2</v>
      </c>
      <c r="R1021">
        <v>-0.1455979</v>
      </c>
      <c r="S1021">
        <v>2.9413909999999999</v>
      </c>
      <c r="T1021">
        <v>-0.21390780000000001</v>
      </c>
      <c r="U1021">
        <v>-0.5789185</v>
      </c>
      <c r="V1021">
        <v>0.1241448</v>
      </c>
      <c r="W1021">
        <v>-2.294533E-2</v>
      </c>
      <c r="X1021">
        <v>0.99199879999999996</v>
      </c>
      <c r="Y1021">
        <v>0.17146500000000001</v>
      </c>
      <c r="Z1021">
        <v>-4.612484E-3</v>
      </c>
      <c r="AA1021">
        <v>0.98517940000000004</v>
      </c>
      <c r="AB1021">
        <v>34</v>
      </c>
      <c r="AC1021">
        <v>15.001899999999999</v>
      </c>
      <c r="AD1021">
        <v>-1.109050357858</v>
      </c>
      <c r="AE1021">
        <v>-2.9958999999999998</v>
      </c>
      <c r="AF1021">
        <v>2.6567522179681098</v>
      </c>
      <c r="AG1021">
        <v>-1.109050357858</v>
      </c>
      <c r="AH1021">
        <v>14.9844372902289</v>
      </c>
      <c r="AI1021">
        <v>94.168169022900102</v>
      </c>
      <c r="AJ1021">
        <v>79.945897595896199</v>
      </c>
      <c r="AK1021">
        <v>15.258495533595299</v>
      </c>
      <c r="AL1021">
        <v>91.3147859301544</v>
      </c>
      <c r="AM1021">
        <v>82.866740590179703</v>
      </c>
      <c r="AN1021">
        <v>1.00000001936864</v>
      </c>
    </row>
    <row r="1022" spans="1:40" x14ac:dyDescent="0.25">
      <c r="A1022" t="str">
        <f>"20190312151517931"</f>
        <v>20190312151517931</v>
      </c>
      <c r="B1022" t="str">
        <f>"1552374917918876"</f>
        <v>1552374917918876</v>
      </c>
      <c r="C1022" t="s">
        <v>40</v>
      </c>
      <c r="D1022">
        <v>4.9812729999999998</v>
      </c>
      <c r="E1022">
        <v>0.52000469999999999</v>
      </c>
      <c r="F1022" t="s">
        <v>43</v>
      </c>
      <c r="G1022">
        <v>-210.80099999999999</v>
      </c>
      <c r="H1022" s="1">
        <v>-4.5221399999999997E-6</v>
      </c>
      <c r="I1022">
        <v>366.27080000000001</v>
      </c>
      <c r="J1022">
        <v>-225.94829999999999</v>
      </c>
      <c r="K1022">
        <v>1.1090260000000001</v>
      </c>
      <c r="L1022">
        <v>369.34460000000001</v>
      </c>
      <c r="M1022">
        <v>0.99964989999999998</v>
      </c>
      <c r="N1022">
        <v>0</v>
      </c>
      <c r="O1022">
        <v>-2.207274E-2</v>
      </c>
      <c r="P1022">
        <v>0.98849160000000003</v>
      </c>
      <c r="Q1022">
        <v>-3.718308E-2</v>
      </c>
      <c r="R1022">
        <v>-0.1466365</v>
      </c>
      <c r="S1022">
        <v>2.9396360000000001</v>
      </c>
      <c r="T1022">
        <v>-0.21238170000000001</v>
      </c>
      <c r="U1022">
        <v>-0.58953859999999902</v>
      </c>
      <c r="V1022">
        <v>0.1247431</v>
      </c>
      <c r="W1022">
        <v>-2.290824E-2</v>
      </c>
      <c r="X1022">
        <v>0.99192460000000005</v>
      </c>
      <c r="Y1022">
        <v>0.1745592</v>
      </c>
      <c r="Z1022">
        <v>-4.659496E-3</v>
      </c>
      <c r="AA1022">
        <v>0.9846357</v>
      </c>
      <c r="AB1022">
        <v>34</v>
      </c>
      <c r="AC1022">
        <v>15.1473</v>
      </c>
      <c r="AD1022">
        <v>-1.1090305221400001</v>
      </c>
      <c r="AE1022">
        <v>-3.0737999999999999</v>
      </c>
      <c r="AF1022">
        <v>2.7246447921952401</v>
      </c>
      <c r="AG1022">
        <v>-1.1090305221400001</v>
      </c>
      <c r="AH1022">
        <v>15.1335463499864</v>
      </c>
      <c r="AI1022">
        <v>94.125219342282804</v>
      </c>
      <c r="AJ1022">
        <v>79.793802326744199</v>
      </c>
      <c r="AK1022">
        <v>15.4168045674148</v>
      </c>
      <c r="AL1022">
        <v>91.312660269811701</v>
      </c>
      <c r="AM1022">
        <v>82.832188861930604</v>
      </c>
      <c r="AN1022">
        <v>1.0000000202713299</v>
      </c>
    </row>
    <row r="1023" spans="1:40" x14ac:dyDescent="0.25">
      <c r="A1023" t="str">
        <f>"20190312151517946"</f>
        <v>20190312151517946</v>
      </c>
      <c r="B1023" t="str">
        <f>"1552374917938398"</f>
        <v>1552374917938398</v>
      </c>
      <c r="C1023" t="s">
        <v>40</v>
      </c>
      <c r="D1023">
        <v>4.9522680000000001</v>
      </c>
      <c r="E1023">
        <v>0.5210863</v>
      </c>
      <c r="F1023" t="s">
        <v>43</v>
      </c>
      <c r="G1023">
        <v>-210.55170000000001</v>
      </c>
      <c r="H1023" s="1">
        <v>-4.6388299999999999E-6</v>
      </c>
      <c r="I1023">
        <v>366.21570000000003</v>
      </c>
      <c r="J1023">
        <v>-225.73869999999999</v>
      </c>
      <c r="K1023">
        <v>1.109</v>
      </c>
      <c r="L1023">
        <v>369.33940000000001</v>
      </c>
      <c r="M1023">
        <v>0.99963919999999995</v>
      </c>
      <c r="N1023">
        <v>0</v>
      </c>
      <c r="O1023">
        <v>-2.2560190000000001E-2</v>
      </c>
      <c r="P1023">
        <v>0.98832260000000005</v>
      </c>
      <c r="Q1023">
        <v>-3.6963419999999997E-2</v>
      </c>
      <c r="R1023">
        <v>-0.1478264</v>
      </c>
      <c r="S1023">
        <v>2.9384160000000001</v>
      </c>
      <c r="T1023">
        <v>-0.2116557</v>
      </c>
      <c r="U1023">
        <v>-0.59713749999999999</v>
      </c>
      <c r="V1023">
        <v>0.12545220000000001</v>
      </c>
      <c r="W1023">
        <v>-2.2701019999999999E-2</v>
      </c>
      <c r="X1023">
        <v>0.9918399</v>
      </c>
      <c r="Y1023">
        <v>0.17660279999999901</v>
      </c>
      <c r="Z1023">
        <v>-4.6824290000000001E-3</v>
      </c>
      <c r="AA1023">
        <v>0.98427100000000001</v>
      </c>
      <c r="AB1023">
        <v>34</v>
      </c>
      <c r="AC1023">
        <v>15.1869999999999</v>
      </c>
      <c r="AD1023">
        <v>-1.1090046388299999</v>
      </c>
      <c r="AE1023">
        <v>-3.1236999999999799</v>
      </c>
      <c r="AF1023">
        <v>2.7660955354881298</v>
      </c>
      <c r="AG1023">
        <v>-1.1090046388299999</v>
      </c>
      <c r="AH1023">
        <v>15.1759728489211</v>
      </c>
      <c r="AI1023">
        <v>94.1120289657011</v>
      </c>
      <c r="AJ1023">
        <v>79.670202740572506</v>
      </c>
      <c r="AK1023">
        <v>15.4658115762343</v>
      </c>
      <c r="AL1023">
        <v>91.300784390823495</v>
      </c>
      <c r="AM1023">
        <v>82.7912618555428</v>
      </c>
      <c r="AN1023">
        <v>0.99999998901294496</v>
      </c>
    </row>
    <row r="1024" spans="1:40" x14ac:dyDescent="0.25">
      <c r="A1024" t="str">
        <f>"20190312151517960"</f>
        <v>20190312151517960</v>
      </c>
      <c r="B1024" t="str">
        <f>"1552374917948157"</f>
        <v>1552374917948157</v>
      </c>
      <c r="C1024" t="s">
        <v>40</v>
      </c>
      <c r="D1024">
        <v>5.0073549999999996</v>
      </c>
      <c r="E1024">
        <v>0.52166179999999995</v>
      </c>
      <c r="F1024" t="s">
        <v>43</v>
      </c>
      <c r="G1024">
        <v>-210.37540000000001</v>
      </c>
      <c r="H1024" s="1">
        <v>-4.7257509999999998E-6</v>
      </c>
      <c r="I1024">
        <v>366.15210000000002</v>
      </c>
      <c r="J1024">
        <v>-225.5051</v>
      </c>
      <c r="K1024">
        <v>1.1089639999999901</v>
      </c>
      <c r="L1024">
        <v>369.33359999999999</v>
      </c>
      <c r="M1024">
        <v>0.99962609999999996</v>
      </c>
      <c r="N1024">
        <v>0</v>
      </c>
      <c r="O1024">
        <v>-2.313366E-2</v>
      </c>
      <c r="P1024">
        <v>0.98815390000000003</v>
      </c>
      <c r="Q1024">
        <v>-3.6770789999999998E-2</v>
      </c>
      <c r="R1024">
        <v>-0.14899749999999901</v>
      </c>
      <c r="S1024">
        <v>2.9363860000000002</v>
      </c>
      <c r="T1024">
        <v>-0.21196309999999999</v>
      </c>
      <c r="U1024">
        <v>-0.60919190000000001</v>
      </c>
      <c r="V1024">
        <v>0.12605640000000001</v>
      </c>
      <c r="W1024">
        <v>-2.2523540000000002E-2</v>
      </c>
      <c r="X1024">
        <v>0.99176730000000002</v>
      </c>
      <c r="Y1024">
        <v>0.18003849999999999</v>
      </c>
      <c r="Z1024">
        <v>-4.7721719999999999E-3</v>
      </c>
      <c r="AA1024">
        <v>0.98364799999999997</v>
      </c>
      <c r="AB1024">
        <v>34</v>
      </c>
      <c r="AC1024">
        <v>15.1296999999999</v>
      </c>
      <c r="AD1024">
        <v>-1.1089687257509999</v>
      </c>
      <c r="AE1024">
        <v>-3.18149999999997</v>
      </c>
      <c r="AF1024">
        <v>2.8161168981274698</v>
      </c>
      <c r="AG1024">
        <v>-1.1089687257509999</v>
      </c>
      <c r="AH1024">
        <v>15.1214575850789</v>
      </c>
      <c r="AI1024">
        <v>94.123764455949598</v>
      </c>
      <c r="AJ1024">
        <v>79.4504799810083</v>
      </c>
      <c r="AK1024">
        <v>15.4213749554297</v>
      </c>
      <c r="AL1024">
        <v>91.290612983311703</v>
      </c>
      <c r="AM1024">
        <v>82.756386555826893</v>
      </c>
      <c r="AN1024">
        <v>0.99999995159218902</v>
      </c>
    </row>
    <row r="1025" spans="1:40" x14ac:dyDescent="0.25">
      <c r="A1025" t="str">
        <f>"20190312151517977"</f>
        <v>20190312151517977</v>
      </c>
      <c r="B1025" t="str">
        <f>"1552374917968651"</f>
        <v>1552374917968651</v>
      </c>
      <c r="C1025" t="s">
        <v>40</v>
      </c>
      <c r="D1025">
        <v>4.9789269999999997</v>
      </c>
      <c r="E1025">
        <v>0.52277229999999997</v>
      </c>
      <c r="F1025" t="s">
        <v>43</v>
      </c>
      <c r="G1025">
        <v>-210.14689999999999</v>
      </c>
      <c r="H1025" s="1">
        <v>-4.8323929999999997E-6</v>
      </c>
      <c r="I1025">
        <v>366.1035</v>
      </c>
      <c r="J1025">
        <v>-225.27850000000001</v>
      </c>
      <c r="K1025">
        <v>1.1089230000000001</v>
      </c>
      <c r="L1025">
        <v>369.3279</v>
      </c>
      <c r="M1025">
        <v>0.99961219999999995</v>
      </c>
      <c r="N1025">
        <v>0</v>
      </c>
      <c r="O1025">
        <v>-2.3725719999999999E-2</v>
      </c>
      <c r="P1025">
        <v>0.98790650000000002</v>
      </c>
      <c r="Q1025">
        <v>-3.6550050000000001E-2</v>
      </c>
      <c r="R1025">
        <v>-0.15068229999999999</v>
      </c>
      <c r="S1025">
        <v>2.9349820000000002</v>
      </c>
      <c r="T1025">
        <v>-0.21192549999999999</v>
      </c>
      <c r="U1025">
        <v>-0.61727909999999997</v>
      </c>
      <c r="V1025">
        <v>0.12715760000000001</v>
      </c>
      <c r="W1025">
        <v>-2.2321609999999999E-2</v>
      </c>
      <c r="X1025">
        <v>0.99163129999999999</v>
      </c>
      <c r="Y1025">
        <v>0.18214240000000001</v>
      </c>
      <c r="Z1025">
        <v>-4.8051070000000003E-3</v>
      </c>
      <c r="AA1025">
        <v>0.98326040000000003</v>
      </c>
      <c r="AB1025">
        <v>34</v>
      </c>
      <c r="AC1025">
        <v>15.131600000000001</v>
      </c>
      <c r="AD1025">
        <v>-1.1089278323930001</v>
      </c>
      <c r="AE1025">
        <v>-3.2244000000000002</v>
      </c>
      <c r="AF1025">
        <v>2.8498050405639699</v>
      </c>
      <c r="AG1025">
        <v>-1.1089278323930001</v>
      </c>
      <c r="AH1025">
        <v>15.1261385463634</v>
      </c>
      <c r="AI1025">
        <v>94.120728625225695</v>
      </c>
      <c r="AJ1025">
        <v>79.330389668694096</v>
      </c>
      <c r="AK1025">
        <v>15.4321475184259</v>
      </c>
      <c r="AL1025">
        <v>91.279040309885403</v>
      </c>
      <c r="AM1025">
        <v>82.692797629108895</v>
      </c>
      <c r="AN1025">
        <v>0.99999997232521998</v>
      </c>
    </row>
    <row r="1026" spans="1:40" x14ac:dyDescent="0.25">
      <c r="A1026" t="str">
        <f>"20190312151517996"</f>
        <v>20190312151517996</v>
      </c>
      <c r="B1026" t="str">
        <f>"1552374917988173"</f>
        <v>1552374917988173</v>
      </c>
      <c r="C1026" t="s">
        <v>40</v>
      </c>
      <c r="D1026">
        <v>4.9350290000000001</v>
      </c>
      <c r="E1026">
        <v>0.52391860000000001</v>
      </c>
      <c r="F1026" t="s">
        <v>45</v>
      </c>
      <c r="G1026">
        <v>-209.94110000000001</v>
      </c>
      <c r="H1026" s="1">
        <v>-5.8260309999999996E-6</v>
      </c>
      <c r="I1026">
        <v>366.02659999999997</v>
      </c>
      <c r="J1026">
        <v>-224.96199999999999</v>
      </c>
      <c r="K1026">
        <v>1.1088519999999999</v>
      </c>
      <c r="L1026">
        <v>369.31950000000001</v>
      </c>
      <c r="M1026">
        <v>0.99959010000000004</v>
      </c>
      <c r="N1026">
        <v>0</v>
      </c>
      <c r="O1026">
        <v>-2.4637989999999999E-2</v>
      </c>
      <c r="P1026">
        <v>0.98770639999999998</v>
      </c>
      <c r="Q1026">
        <v>-3.6493200000000003E-2</v>
      </c>
      <c r="R1026">
        <v>-0.152001</v>
      </c>
      <c r="S1026">
        <v>2.932617</v>
      </c>
      <c r="T1026">
        <v>-0.21203469999999999</v>
      </c>
      <c r="U1026">
        <v>-0.63122559999999905</v>
      </c>
      <c r="V1026">
        <v>0.12757260000000001</v>
      </c>
      <c r="W1026">
        <v>-2.229124E-2</v>
      </c>
      <c r="X1026">
        <v>0.99157870000000004</v>
      </c>
      <c r="Y1026">
        <v>0.18586929999999999</v>
      </c>
      <c r="Z1026">
        <v>-4.87704E-3</v>
      </c>
      <c r="AA1026">
        <v>0.98256239999999995</v>
      </c>
      <c r="AB1026">
        <v>34</v>
      </c>
      <c r="AC1026">
        <v>15.020899999999999</v>
      </c>
      <c r="AD1026">
        <v>-1.108857826031</v>
      </c>
      <c r="AE1026">
        <v>-3.2929000000000301</v>
      </c>
      <c r="AF1026">
        <v>2.9066624179293701</v>
      </c>
      <c r="AG1026">
        <v>-1.108857826031</v>
      </c>
      <c r="AH1026">
        <v>15.0193827200118</v>
      </c>
      <c r="AI1026">
        <v>94.145752566410806</v>
      </c>
      <c r="AJ1026">
        <v>79.047095198608702</v>
      </c>
      <c r="AK1026">
        <v>15.3381912030181</v>
      </c>
      <c r="AL1026">
        <v>91.277299777564707</v>
      </c>
      <c r="AM1026">
        <v>82.668823716825898</v>
      </c>
      <c r="AN1026">
        <v>0.99999999297259301</v>
      </c>
    </row>
    <row r="1027" spans="1:40" x14ac:dyDescent="0.25">
      <c r="A1027" t="str">
        <f>"20190312151518012"</f>
        <v>20190312151518012</v>
      </c>
      <c r="B1027" t="str">
        <f>"1552374918008667"</f>
        <v>1552374918008667</v>
      </c>
      <c r="C1027" t="s">
        <v>40</v>
      </c>
      <c r="D1027">
        <v>4.9489089999999996</v>
      </c>
      <c r="E1027">
        <v>0.5249935</v>
      </c>
      <c r="F1027" t="s">
        <v>45</v>
      </c>
      <c r="G1027">
        <v>-209.68559999999999</v>
      </c>
      <c r="H1027" s="1">
        <v>-5.7505139999999901E-6</v>
      </c>
      <c r="I1027">
        <v>365.96260000000001</v>
      </c>
      <c r="J1027">
        <v>-224.72309999999999</v>
      </c>
      <c r="K1027">
        <v>1.1087849999999999</v>
      </c>
      <c r="L1027">
        <v>369.31290000000001</v>
      </c>
      <c r="M1027">
        <v>0.9995714</v>
      </c>
      <c r="N1027">
        <v>0</v>
      </c>
      <c r="O1027">
        <v>-2.5385330000000001E-2</v>
      </c>
      <c r="P1027">
        <v>0.98755210000000004</v>
      </c>
      <c r="Q1027">
        <v>-3.6588900000000001E-2</v>
      </c>
      <c r="R1027">
        <v>-0.15297769999999999</v>
      </c>
      <c r="S1027">
        <v>2.9303889999999999</v>
      </c>
      <c r="T1027">
        <v>-0.2127066</v>
      </c>
      <c r="U1027">
        <v>-0.64392090000000002</v>
      </c>
      <c r="V1027">
        <v>0.127808</v>
      </c>
      <c r="W1027">
        <v>-2.2408979999999998E-2</v>
      </c>
      <c r="X1027">
        <v>0.99154569999999997</v>
      </c>
      <c r="Y1027">
        <v>0.18934210000000001</v>
      </c>
      <c r="Z1027">
        <v>-4.9648189999999997E-3</v>
      </c>
      <c r="AA1027">
        <v>0.98189859999999896</v>
      </c>
      <c r="AB1027">
        <v>34</v>
      </c>
      <c r="AC1027">
        <v>15.0374999999999</v>
      </c>
      <c r="AD1027">
        <v>-1.108790750514</v>
      </c>
      <c r="AE1027">
        <v>-3.3502999999999998</v>
      </c>
      <c r="AF1027">
        <v>2.9521562072569898</v>
      </c>
      <c r="AG1027">
        <v>-1.108790750514</v>
      </c>
      <c r="AH1027">
        <v>15.039808154172601</v>
      </c>
      <c r="AI1027">
        <v>94.137753155137105</v>
      </c>
      <c r="AJ1027">
        <v>78.894632637099505</v>
      </c>
      <c r="AK1027">
        <v>15.366862806532399</v>
      </c>
      <c r="AL1027">
        <v>91.284047509015195</v>
      </c>
      <c r="AM1027">
        <v>82.655201857440005</v>
      </c>
      <c r="AN1027">
        <v>0.99999996121856405</v>
      </c>
    </row>
    <row r="1028" spans="1:40" x14ac:dyDescent="0.25">
      <c r="A1028" t="str">
        <f>"20190312151518027"</f>
        <v>20190312151518027</v>
      </c>
      <c r="B1028" t="str">
        <f>"1552374918018428"</f>
        <v>1552374918018428</v>
      </c>
      <c r="C1028" t="s">
        <v>40</v>
      </c>
      <c r="D1028">
        <v>4.9657479999999996</v>
      </c>
      <c r="E1028">
        <v>0.52554080000000003</v>
      </c>
      <c r="F1028" t="s">
        <v>45</v>
      </c>
      <c r="G1028">
        <v>-209.5506</v>
      </c>
      <c r="H1028" s="1">
        <v>-5.7124069999999997E-6</v>
      </c>
      <c r="I1028">
        <v>365.9171</v>
      </c>
      <c r="J1028">
        <v>-224.50479999999999</v>
      </c>
      <c r="K1028">
        <v>1.108719</v>
      </c>
      <c r="L1028">
        <v>369.3066</v>
      </c>
      <c r="M1028">
        <v>0.999552</v>
      </c>
      <c r="N1028">
        <v>0</v>
      </c>
      <c r="O1028">
        <v>-2.6136639999999999E-2</v>
      </c>
      <c r="P1028">
        <v>0.98743309999999995</v>
      </c>
      <c r="Q1028">
        <v>-3.6551809999999997E-2</v>
      </c>
      <c r="R1028">
        <v>-0.15375349999999999</v>
      </c>
      <c r="S1028">
        <v>2.9283600000000001</v>
      </c>
      <c r="T1028">
        <v>-0.21400079999999999</v>
      </c>
      <c r="U1028">
        <v>-0.65539550000000002</v>
      </c>
      <c r="V1028">
        <v>0.12783810000000001</v>
      </c>
      <c r="W1028">
        <v>-2.2392860000000001E-2</v>
      </c>
      <c r="X1028">
        <v>0.99154219999999904</v>
      </c>
      <c r="Y1028">
        <v>0.19240180000000001</v>
      </c>
      <c r="Z1028">
        <v>-5.052473E-3</v>
      </c>
      <c r="AA1028">
        <v>0.98130320000000004</v>
      </c>
      <c r="AB1028">
        <v>34</v>
      </c>
      <c r="AC1028">
        <v>14.954199999999901</v>
      </c>
      <c r="AD1028">
        <v>-1.1087247124070001</v>
      </c>
      <c r="AE1028">
        <v>-3.3894999999999902</v>
      </c>
      <c r="AF1028">
        <v>2.9818575571014398</v>
      </c>
      <c r="AG1028">
        <v>-1.1087247124070001</v>
      </c>
      <c r="AH1028">
        <v>14.959476595639901</v>
      </c>
      <c r="AI1028">
        <v>94.157250324587494</v>
      </c>
      <c r="AJ1028">
        <v>78.727038915523906</v>
      </c>
      <c r="AK1028">
        <v>15.294008140256899</v>
      </c>
      <c r="AL1028">
        <v>91.283123648701306</v>
      </c>
      <c r="AM1028">
        <v>82.653465333283805</v>
      </c>
      <c r="AN1028">
        <v>0.99999997718571398</v>
      </c>
    </row>
    <row r="1029" spans="1:40" x14ac:dyDescent="0.25">
      <c r="A1029" t="str">
        <f>"20190312151518040"</f>
        <v>20190312151518040</v>
      </c>
      <c r="B1029" t="str">
        <f>"1552374918028187"</f>
        <v>1552374918028187</v>
      </c>
      <c r="C1029" t="s">
        <v>40</v>
      </c>
      <c r="D1029">
        <v>4.9125079999999999</v>
      </c>
      <c r="E1029">
        <v>0.52606249999999999</v>
      </c>
      <c r="F1029" t="s">
        <v>45</v>
      </c>
      <c r="G1029">
        <v>-209.3595</v>
      </c>
      <c r="H1029" s="1">
        <v>-5.6542040000000001E-6</v>
      </c>
      <c r="I1029">
        <v>365.88029999999998</v>
      </c>
      <c r="J1029">
        <v>-224.29769999999999</v>
      </c>
      <c r="K1029">
        <v>1.108646</v>
      </c>
      <c r="L1029">
        <v>369.30040000000002</v>
      </c>
      <c r="M1029">
        <v>0.99953150000000002</v>
      </c>
      <c r="N1029">
        <v>0</v>
      </c>
      <c r="O1029">
        <v>-2.6908830000000002E-2</v>
      </c>
      <c r="P1029">
        <v>0.98725220000000002</v>
      </c>
      <c r="Q1029">
        <v>-3.6960729999999997E-2</v>
      </c>
      <c r="R1029">
        <v>-0.15481310000000001</v>
      </c>
      <c r="S1029">
        <v>2.927155</v>
      </c>
      <c r="T1029">
        <v>-0.2142849</v>
      </c>
      <c r="U1029">
        <v>-0.66220089999999998</v>
      </c>
      <c r="V1029">
        <v>0.12813179999999999</v>
      </c>
      <c r="W1029">
        <v>-2.2825829999999998E-2</v>
      </c>
      <c r="X1029">
        <v>0.9914944</v>
      </c>
      <c r="Y1029">
        <v>0.19389819999999999</v>
      </c>
      <c r="Z1029">
        <v>-5.05829E-3</v>
      </c>
      <c r="AA1029">
        <v>0.98100860000000001</v>
      </c>
      <c r="AB1029">
        <v>34</v>
      </c>
      <c r="AC1029">
        <v>14.938199999999901</v>
      </c>
      <c r="AD1029">
        <v>-1.1086516542039999</v>
      </c>
      <c r="AE1029">
        <v>-3.4201000000000401</v>
      </c>
      <c r="AF1029">
        <v>3.0011420979893901</v>
      </c>
      <c r="AG1029">
        <v>-1.1086516542039999</v>
      </c>
      <c r="AH1029">
        <v>14.9466048582205</v>
      </c>
      <c r="AI1029">
        <v>94.159378977715903</v>
      </c>
      <c r="AJ1029">
        <v>78.646502350612707</v>
      </c>
      <c r="AK1029">
        <v>15.285187573938201</v>
      </c>
      <c r="AL1029">
        <v>91.307937367319198</v>
      </c>
      <c r="AM1029">
        <v>82.636421058822293</v>
      </c>
      <c r="AN1029">
        <v>0.99999996095889299</v>
      </c>
    </row>
    <row r="1030" spans="1:40" x14ac:dyDescent="0.25">
      <c r="A1030" t="str">
        <f>"20190312151518052"</f>
        <v>20190312151518052</v>
      </c>
      <c r="B1030" t="str">
        <f>"1552374918048687"</f>
        <v>1552374918048687</v>
      </c>
      <c r="C1030" t="s">
        <v>40</v>
      </c>
      <c r="D1030">
        <v>4.9416900000000004</v>
      </c>
      <c r="E1030">
        <v>0.52712169999999903</v>
      </c>
      <c r="F1030" t="s">
        <v>45</v>
      </c>
      <c r="G1030">
        <v>-209.286</v>
      </c>
      <c r="H1030" s="1">
        <v>-5.6319369999999998E-6</v>
      </c>
      <c r="I1030">
        <v>365.86540000000002</v>
      </c>
      <c r="J1030">
        <v>-224.1103</v>
      </c>
      <c r="K1030">
        <v>1.1085769999999999</v>
      </c>
      <c r="L1030">
        <v>369.29480000000001</v>
      </c>
      <c r="M1030">
        <v>0.99951140000000005</v>
      </c>
      <c r="N1030">
        <v>0</v>
      </c>
      <c r="O1030">
        <v>-2.7649449999999999E-2</v>
      </c>
      <c r="P1030">
        <v>0.98713870000000004</v>
      </c>
      <c r="Q1030">
        <v>-3.7009689999999998E-2</v>
      </c>
      <c r="R1030">
        <v>-0.1555241</v>
      </c>
      <c r="S1030">
        <v>2.925659</v>
      </c>
      <c r="T1030">
        <v>-0.2160678</v>
      </c>
      <c r="U1030">
        <v>-0.66946410000000001</v>
      </c>
      <c r="V1030">
        <v>0.12810739999999901</v>
      </c>
      <c r="W1030">
        <v>-2.2897259999999999E-2</v>
      </c>
      <c r="X1030">
        <v>0.99149600000000004</v>
      </c>
      <c r="Y1030">
        <v>0.1955848</v>
      </c>
      <c r="Z1030">
        <v>-5.1090090000000003E-3</v>
      </c>
      <c r="AA1030">
        <v>0.98067349999999998</v>
      </c>
      <c r="AB1030">
        <v>34</v>
      </c>
      <c r="AC1030">
        <v>14.824299999999999</v>
      </c>
      <c r="AD1030">
        <v>-1.108582631937</v>
      </c>
      <c r="AE1030">
        <v>-3.4293999999999798</v>
      </c>
      <c r="AF1030">
        <v>3.0022249256097102</v>
      </c>
      <c r="AG1030">
        <v>-1.108582631937</v>
      </c>
      <c r="AH1030">
        <v>14.8347167963363</v>
      </c>
      <c r="AI1030">
        <v>94.189095224234094</v>
      </c>
      <c r="AJ1030">
        <v>78.559101530675207</v>
      </c>
      <c r="AK1030">
        <v>15.176005152321499</v>
      </c>
      <c r="AL1030">
        <v>91.312030952538905</v>
      </c>
      <c r="AM1030">
        <v>82.637819662088106</v>
      </c>
      <c r="AN1030">
        <v>1.00000005423313</v>
      </c>
    </row>
    <row r="1031" spans="1:40" x14ac:dyDescent="0.25">
      <c r="A1031" t="str">
        <f>"20190312151518064"</f>
        <v>20190312151518064</v>
      </c>
      <c r="B1031" t="str">
        <f>"1552374918058443"</f>
        <v>1552374918058443</v>
      </c>
      <c r="C1031" t="s">
        <v>40</v>
      </c>
      <c r="D1031">
        <v>4.9218250000000001</v>
      </c>
      <c r="E1031">
        <v>0.52762779999999998</v>
      </c>
      <c r="F1031" t="s">
        <v>45</v>
      </c>
      <c r="G1031">
        <v>-209.19290000000001</v>
      </c>
      <c r="H1031" s="1">
        <v>-5.606813E-6</v>
      </c>
      <c r="I1031">
        <v>365.82650000000001</v>
      </c>
      <c r="J1031">
        <v>-223.93899999999999</v>
      </c>
      <c r="K1031">
        <v>1.1085020000000001</v>
      </c>
      <c r="L1031">
        <v>369.28930000000003</v>
      </c>
      <c r="M1031">
        <v>0.99948999999999999</v>
      </c>
      <c r="N1031">
        <v>0</v>
      </c>
      <c r="O1031">
        <v>-2.8416449999999999E-2</v>
      </c>
      <c r="P1031">
        <v>0.98701269999999997</v>
      </c>
      <c r="Q1031">
        <v>-3.7311299999999999E-2</v>
      </c>
      <c r="R1031">
        <v>-0.15625069999999999</v>
      </c>
      <c r="S1031">
        <v>2.9238430000000002</v>
      </c>
      <c r="T1031">
        <v>-0.21728439999999999</v>
      </c>
      <c r="U1031">
        <v>-0.67977909999999997</v>
      </c>
      <c r="V1031">
        <v>0.12807160000000001</v>
      </c>
      <c r="W1031">
        <v>-2.3222739999999999E-2</v>
      </c>
      <c r="X1031">
        <v>0.99149299999999996</v>
      </c>
      <c r="Y1031">
        <v>0.1982389</v>
      </c>
      <c r="Z1031">
        <v>-5.1799439999999997E-3</v>
      </c>
      <c r="AA1031">
        <v>0.98014000000000001</v>
      </c>
      <c r="AB1031">
        <v>34</v>
      </c>
      <c r="AC1031">
        <v>14.7461</v>
      </c>
      <c r="AD1031">
        <v>-1.108507606813</v>
      </c>
      <c r="AE1031">
        <v>-3.4628000000000099</v>
      </c>
      <c r="AF1031">
        <v>3.0261182436156102</v>
      </c>
      <c r="AG1031">
        <v>-1.108507606813</v>
      </c>
      <c r="AH1031">
        <v>14.7595081896528</v>
      </c>
      <c r="AI1031">
        <v>94.207906932570197</v>
      </c>
      <c r="AJ1031">
        <v>78.413312601183506</v>
      </c>
      <c r="AK1031">
        <v>15.107258610983401</v>
      </c>
      <c r="AL1031">
        <v>91.330684614795302</v>
      </c>
      <c r="AM1031">
        <v>82.639832457920903</v>
      </c>
      <c r="AN1031">
        <v>0.99999999971433295</v>
      </c>
    </row>
    <row r="1032" spans="1:40" x14ac:dyDescent="0.25">
      <c r="A1032" t="str">
        <f>"20190312151518076"</f>
        <v>20190312151518076</v>
      </c>
      <c r="B1032" t="str">
        <f>"1552374918068203"</f>
        <v>1552374918068203</v>
      </c>
      <c r="C1032" t="s">
        <v>40</v>
      </c>
      <c r="D1032">
        <v>4.9211839999999896</v>
      </c>
      <c r="E1032">
        <v>0.52812399999999904</v>
      </c>
      <c r="F1032" t="s">
        <v>45</v>
      </c>
      <c r="G1032">
        <v>-209.12119999999999</v>
      </c>
      <c r="H1032" s="1">
        <v>-5.5852850000000003E-6</v>
      </c>
      <c r="I1032">
        <v>365.8109</v>
      </c>
      <c r="J1032">
        <v>-223.75550000000001</v>
      </c>
      <c r="K1032">
        <v>1.108425</v>
      </c>
      <c r="L1032">
        <v>369.2833</v>
      </c>
      <c r="M1032">
        <v>0.99946539999999995</v>
      </c>
      <c r="N1032">
        <v>0</v>
      </c>
      <c r="O1032">
        <v>-2.926985E-2</v>
      </c>
      <c r="P1032">
        <v>0.98686499999999999</v>
      </c>
      <c r="Q1032">
        <v>-3.7254040000000002E-2</v>
      </c>
      <c r="R1032">
        <v>-0.15719369999999999</v>
      </c>
      <c r="S1032">
        <v>2.9226070000000002</v>
      </c>
      <c r="T1032">
        <v>-0.21863840000000001</v>
      </c>
      <c r="U1032">
        <v>-0.686065699999999</v>
      </c>
      <c r="V1032">
        <v>0.12816749999999999</v>
      </c>
      <c r="W1032">
        <v>-2.319266E-2</v>
      </c>
      <c r="X1032">
        <v>0.99148130000000001</v>
      </c>
      <c r="Y1032">
        <v>0.19948589999999999</v>
      </c>
      <c r="Z1032">
        <v>-5.1962099999999997E-3</v>
      </c>
      <c r="AA1032">
        <v>0.97988690000000001</v>
      </c>
      <c r="AB1032">
        <v>34</v>
      </c>
      <c r="AC1032">
        <v>14.6343</v>
      </c>
      <c r="AD1032">
        <v>-1.108430585285</v>
      </c>
      <c r="AE1032">
        <v>-3.4723999999999902</v>
      </c>
      <c r="AF1032">
        <v>3.0260878069322601</v>
      </c>
      <c r="AG1032">
        <v>-1.108430585285</v>
      </c>
      <c r="AH1032">
        <v>14.6501101793194</v>
      </c>
      <c r="AI1032">
        <v>94.237646672506102</v>
      </c>
      <c r="AJ1032">
        <v>78.329269608168602</v>
      </c>
      <c r="AK1032">
        <v>15.0003851298511</v>
      </c>
      <c r="AL1032">
        <v>91.328960709149101</v>
      </c>
      <c r="AM1032">
        <v>82.634295699463806</v>
      </c>
      <c r="AN1032">
        <v>0.99999998789190703</v>
      </c>
    </row>
    <row r="1033" spans="1:40" x14ac:dyDescent="0.25">
      <c r="A1033" t="str">
        <f>"20190312151518088"</f>
        <v>20190312151518088</v>
      </c>
      <c r="B1033" t="str">
        <f>"1552374918078940"</f>
        <v>1552374918078940</v>
      </c>
      <c r="C1033" t="s">
        <v>40</v>
      </c>
      <c r="D1033">
        <v>4.4624059999999997</v>
      </c>
      <c r="E1033">
        <v>0.52862229999999999</v>
      </c>
      <c r="F1033" t="s">
        <v>45</v>
      </c>
      <c r="G1033">
        <v>-208.94810000000001</v>
      </c>
      <c r="H1033" s="1">
        <v>-5.5333419999999999E-6</v>
      </c>
      <c r="I1033">
        <v>365.77249999999998</v>
      </c>
      <c r="J1033">
        <v>-223.57089999999999</v>
      </c>
      <c r="K1033">
        <v>1.108333</v>
      </c>
      <c r="L1033">
        <v>369.27699999999999</v>
      </c>
      <c r="M1033">
        <v>0.99943729999999997</v>
      </c>
      <c r="N1033">
        <v>0</v>
      </c>
      <c r="O1033">
        <v>-3.0207910000000001E-2</v>
      </c>
      <c r="P1033">
        <v>0.98672409999999999</v>
      </c>
      <c r="Q1033">
        <v>-3.7254870000000002E-2</v>
      </c>
      <c r="R1033">
        <v>-0.15807579999999999</v>
      </c>
      <c r="S1033">
        <v>2.921341</v>
      </c>
      <c r="T1033">
        <v>-0.21868170000000001</v>
      </c>
      <c r="U1033">
        <v>-0.69265750000000004</v>
      </c>
      <c r="V1033">
        <v>0.12811800000000001</v>
      </c>
      <c r="W1033">
        <v>-2.3222840000000002E-2</v>
      </c>
      <c r="X1033">
        <v>0.99148700000000001</v>
      </c>
      <c r="Y1033">
        <v>0.20075390000000001</v>
      </c>
      <c r="Z1033">
        <v>-5.1758330000000003E-3</v>
      </c>
      <c r="AA1033">
        <v>0.97962800000000005</v>
      </c>
      <c r="AB1033">
        <v>34</v>
      </c>
      <c r="AC1033">
        <v>14.6227999999999</v>
      </c>
      <c r="AD1033">
        <v>-1.1083385333419999</v>
      </c>
      <c r="AE1033">
        <v>-3.5045000000000002</v>
      </c>
      <c r="AF1033">
        <v>3.0445883013598398</v>
      </c>
      <c r="AG1033">
        <v>-1.1083385333419999</v>
      </c>
      <c r="AH1033">
        <v>14.642449622549501</v>
      </c>
      <c r="AI1033">
        <v>94.238353734337394</v>
      </c>
      <c r="AJ1033">
        <v>78.253921809007096</v>
      </c>
      <c r="AK1033">
        <v>14.996641730006299</v>
      </c>
      <c r="AL1033">
        <v>91.330690349937001</v>
      </c>
      <c r="AM1033">
        <v>82.6371510759692</v>
      </c>
      <c r="AN1033">
        <v>0.99999999669533202</v>
      </c>
    </row>
    <row r="1034" spans="1:40" x14ac:dyDescent="0.25">
      <c r="A1034" t="str">
        <f>"20190312151518101"</f>
        <v>20190312151518101</v>
      </c>
      <c r="B1034" t="str">
        <f>"1552374918098460"</f>
        <v>1552374918098460</v>
      </c>
      <c r="C1034" t="s">
        <v>40</v>
      </c>
      <c r="D1034">
        <v>4.9765750000000004</v>
      </c>
      <c r="E1034">
        <v>0.52952769999999905</v>
      </c>
      <c r="F1034" t="s">
        <v>45</v>
      </c>
      <c r="G1034">
        <v>-208.74260000000001</v>
      </c>
      <c r="H1034" s="1">
        <v>-5.4716390000000003E-6</v>
      </c>
      <c r="I1034">
        <v>365.72710000000001</v>
      </c>
      <c r="J1034">
        <v>-223.3792</v>
      </c>
      <c r="K1034">
        <v>1.108231</v>
      </c>
      <c r="L1034">
        <v>369.27030000000002</v>
      </c>
      <c r="M1034">
        <v>0.99940519999999999</v>
      </c>
      <c r="N1034">
        <v>0</v>
      </c>
      <c r="O1034">
        <v>-3.125679E-2</v>
      </c>
      <c r="P1034">
        <v>0.98652660000000003</v>
      </c>
      <c r="Q1034">
        <v>-3.6979350000000001E-2</v>
      </c>
      <c r="R1034">
        <v>-0.15936800000000001</v>
      </c>
      <c r="S1034">
        <v>2.9201199999999998</v>
      </c>
      <c r="T1034">
        <v>-0.21826429999999999</v>
      </c>
      <c r="U1034">
        <v>-0.69909670000000002</v>
      </c>
      <c r="V1034">
        <v>0.12837069999999901</v>
      </c>
      <c r="W1034">
        <v>-2.2980179999999999E-2</v>
      </c>
      <c r="X1034">
        <v>0.99146000000000001</v>
      </c>
      <c r="Y1034">
        <v>0.2018633</v>
      </c>
      <c r="Z1034">
        <v>-5.1305819999999999E-3</v>
      </c>
      <c r="AA1034">
        <v>0.9794003</v>
      </c>
      <c r="AB1034">
        <v>34</v>
      </c>
      <c r="AC1034">
        <v>14.6365999999999</v>
      </c>
      <c r="AD1034">
        <v>-1.1082364716390001</v>
      </c>
      <c r="AE1034">
        <v>-3.5432000000000099</v>
      </c>
      <c r="AF1034">
        <v>3.06731513242537</v>
      </c>
      <c r="AG1034">
        <v>-1.1082364716390001</v>
      </c>
      <c r="AH1034">
        <v>14.660809622015</v>
      </c>
      <c r="AI1034">
        <v>94.231589807313199</v>
      </c>
      <c r="AJ1034">
        <v>78.183103528527596</v>
      </c>
      <c r="AK1034">
        <v>15.0191860289312</v>
      </c>
      <c r="AL1034">
        <v>91.316783202718895</v>
      </c>
      <c r="AM1034">
        <v>82.622589721314398</v>
      </c>
      <c r="AN1034">
        <v>1.00000002844566</v>
      </c>
    </row>
    <row r="1035" spans="1:40" x14ac:dyDescent="0.25">
      <c r="A1035" t="str">
        <f>"20190312151518114"</f>
        <v>20190312151518114</v>
      </c>
      <c r="B1035" t="str">
        <f>"1552374918108219"</f>
        <v>1552374918108219</v>
      </c>
      <c r="C1035" t="s">
        <v>40</v>
      </c>
      <c r="D1035">
        <v>4.9093280000000004</v>
      </c>
      <c r="E1035">
        <v>0.52998059999999902</v>
      </c>
      <c r="F1035" t="s">
        <v>45</v>
      </c>
      <c r="G1035">
        <v>-208.5077</v>
      </c>
      <c r="H1035" s="1">
        <v>-5.4047579999999996E-6</v>
      </c>
      <c r="I1035">
        <v>365.65179999999998</v>
      </c>
      <c r="J1035">
        <v>-223.19630000000001</v>
      </c>
      <c r="K1035">
        <v>1.108131</v>
      </c>
      <c r="L1035">
        <v>369.26369999999997</v>
      </c>
      <c r="M1035">
        <v>0.99937189999999998</v>
      </c>
      <c r="N1035">
        <v>0</v>
      </c>
      <c r="O1035">
        <v>-3.2300170000000003E-2</v>
      </c>
      <c r="P1035">
        <v>0.98634460000000002</v>
      </c>
      <c r="Q1035">
        <v>-3.6740059999999998E-2</v>
      </c>
      <c r="R1035">
        <v>-0.1605462</v>
      </c>
      <c r="S1035">
        <v>2.9181210000000002</v>
      </c>
      <c r="T1035">
        <v>-0.21746080000000001</v>
      </c>
      <c r="U1035">
        <v>-0.71002200000000004</v>
      </c>
      <c r="V1035">
        <v>0.12851460000000001</v>
      </c>
      <c r="W1035">
        <v>-2.277245E-2</v>
      </c>
      <c r="X1035">
        <v>0.9914461</v>
      </c>
      <c r="Y1035">
        <v>0.2044561</v>
      </c>
      <c r="Z1035">
        <v>-5.1316909999999999E-3</v>
      </c>
      <c r="AA1035">
        <v>0.97886229999999996</v>
      </c>
      <c r="AB1035">
        <v>34</v>
      </c>
      <c r="AC1035">
        <v>14.688599999999999</v>
      </c>
      <c r="AD1035">
        <v>-1.108136404758</v>
      </c>
      <c r="AE1035">
        <v>-3.6118999999999901</v>
      </c>
      <c r="AF1035">
        <v>3.1187818630926101</v>
      </c>
      <c r="AG1035">
        <v>-1.108136404758</v>
      </c>
      <c r="AH1035">
        <v>14.7186171055918</v>
      </c>
      <c r="AI1035">
        <v>94.212386722443895</v>
      </c>
      <c r="AJ1035">
        <v>78.036343728630499</v>
      </c>
      <c r="AK1035">
        <v>15.086167707609601</v>
      </c>
      <c r="AL1035">
        <v>91.304878100982904</v>
      </c>
      <c r="AM1035">
        <v>82.614308700152705</v>
      </c>
      <c r="AN1035">
        <v>0.99999997804868601</v>
      </c>
    </row>
    <row r="1036" spans="1:40" x14ac:dyDescent="0.25">
      <c r="A1036" t="str">
        <f>"20190312151518124"</f>
        <v>20190312151518124</v>
      </c>
      <c r="B1036" t="str">
        <f>"1552374918118955"</f>
        <v>1552374918118955</v>
      </c>
      <c r="C1036" t="s">
        <v>40</v>
      </c>
      <c r="D1036">
        <v>4.9124569999999999</v>
      </c>
      <c r="E1036">
        <v>0.53047829999999996</v>
      </c>
      <c r="F1036" t="s">
        <v>45</v>
      </c>
      <c r="G1036">
        <v>-208.3528</v>
      </c>
      <c r="H1036" s="1">
        <v>-5.3589929999999999E-6</v>
      </c>
      <c r="I1036">
        <v>365.61290000000002</v>
      </c>
      <c r="J1036">
        <v>-223.0146</v>
      </c>
      <c r="K1036">
        <v>1.1080270000000001</v>
      </c>
      <c r="L1036">
        <v>369.25670000000002</v>
      </c>
      <c r="M1036">
        <v>0.99933419999999895</v>
      </c>
      <c r="N1036">
        <v>0</v>
      </c>
      <c r="O1036">
        <v>-3.3448209999999999E-2</v>
      </c>
      <c r="P1036">
        <v>0.98613799999999996</v>
      </c>
      <c r="Q1036">
        <v>-3.6549449999999997E-2</v>
      </c>
      <c r="R1036">
        <v>-0.16185179999999999</v>
      </c>
      <c r="S1036">
        <v>2.9166409999999998</v>
      </c>
      <c r="T1036">
        <v>-0.2177413</v>
      </c>
      <c r="U1036">
        <v>-0.71734619999999905</v>
      </c>
      <c r="V1036">
        <v>0.12868309999999999</v>
      </c>
      <c r="W1036">
        <v>-2.261434E-2</v>
      </c>
      <c r="X1036">
        <v>0.99142790000000003</v>
      </c>
      <c r="Y1036">
        <v>0.20576320000000001</v>
      </c>
      <c r="Z1036">
        <v>-5.1032059999999999E-3</v>
      </c>
      <c r="AA1036">
        <v>0.97858849999999997</v>
      </c>
      <c r="AB1036">
        <v>34</v>
      </c>
      <c r="AC1036">
        <v>14.661799999999999</v>
      </c>
      <c r="AD1036">
        <v>-1.1080323589929999</v>
      </c>
      <c r="AE1036">
        <v>-3.6437999999999899</v>
      </c>
      <c r="AF1036">
        <v>3.1344374661921499</v>
      </c>
      <c r="AG1036">
        <v>-1.1080323589929999</v>
      </c>
      <c r="AH1036">
        <v>14.6964335435217</v>
      </c>
      <c r="AI1036">
        <v>94.217143557158707</v>
      </c>
      <c r="AJ1036">
        <v>77.960414320195</v>
      </c>
      <c r="AK1036">
        <v>15.067766683792099</v>
      </c>
      <c r="AL1036">
        <v>91.295816683952395</v>
      </c>
      <c r="AM1036">
        <v>82.604597929560995</v>
      </c>
      <c r="AN1036">
        <v>1.0000000147488199</v>
      </c>
    </row>
    <row r="1037" spans="1:40" x14ac:dyDescent="0.25">
      <c r="A1037" t="str">
        <f>"20190312151518141"</f>
        <v>20190312151518141</v>
      </c>
      <c r="B1037" t="str">
        <f>"1552374918138476"</f>
        <v>1552374918138476</v>
      </c>
      <c r="C1037" t="s">
        <v>40</v>
      </c>
      <c r="D1037">
        <v>4.8055399999999997</v>
      </c>
      <c r="E1037">
        <v>0.53143940000000001</v>
      </c>
      <c r="F1037" t="s">
        <v>45</v>
      </c>
      <c r="G1037">
        <v>-208.17070000000001</v>
      </c>
      <c r="H1037" s="1">
        <v>-5.3055320000000003E-6</v>
      </c>
      <c r="I1037">
        <v>365.56479999999999</v>
      </c>
      <c r="J1037">
        <v>-222.78309999999999</v>
      </c>
      <c r="K1037">
        <v>1.1078950000000001</v>
      </c>
      <c r="L1037">
        <v>369.2475</v>
      </c>
      <c r="M1037">
        <v>0.99928139999999999</v>
      </c>
      <c r="N1037">
        <v>0</v>
      </c>
      <c r="O1037">
        <v>-3.4985179999999998E-2</v>
      </c>
      <c r="P1037">
        <v>0.98582800000000004</v>
      </c>
      <c r="Q1037">
        <v>-3.6366019999999999E-2</v>
      </c>
      <c r="R1037">
        <v>-0.16377</v>
      </c>
      <c r="S1037">
        <v>2.9150999999999998</v>
      </c>
      <c r="T1037">
        <v>-0.2175996</v>
      </c>
      <c r="U1037">
        <v>-0.72503660000000003</v>
      </c>
      <c r="V1037">
        <v>0.12908</v>
      </c>
      <c r="W1037">
        <v>-2.2473190000000001E-2</v>
      </c>
      <c r="X1037">
        <v>0.99137949999999997</v>
      </c>
      <c r="Y1037">
        <v>0.20681269999999999</v>
      </c>
      <c r="Z1037">
        <v>-5.026895E-3</v>
      </c>
      <c r="AA1037">
        <v>0.9783676</v>
      </c>
      <c r="AB1037">
        <v>34</v>
      </c>
      <c r="AC1037">
        <v>14.6123999999999</v>
      </c>
      <c r="AD1037">
        <v>-1.107900305532</v>
      </c>
      <c r="AE1037">
        <v>-3.6827000000000099</v>
      </c>
      <c r="AF1037">
        <v>3.1521352569327399</v>
      </c>
      <c r="AG1037">
        <v>-1.107900305532</v>
      </c>
      <c r="AH1037">
        <v>14.653103136748101</v>
      </c>
      <c r="AI1037">
        <v>94.227480299759307</v>
      </c>
      <c r="AJ1037">
        <v>77.859698846829801</v>
      </c>
      <c r="AK1037">
        <v>15.0291992900877</v>
      </c>
      <c r="AL1037">
        <v>91.287727345554103</v>
      </c>
      <c r="AM1037">
        <v>82.581683671194696</v>
      </c>
      <c r="AN1037">
        <v>1.0000000018445101</v>
      </c>
    </row>
    <row r="1038" spans="1:40" x14ac:dyDescent="0.25">
      <c r="A1038" t="str">
        <f>"20190312151518154"</f>
        <v>20190312151518154</v>
      </c>
      <c r="B1038" t="str">
        <f>"1552374918148235"</f>
        <v>1552374918148235</v>
      </c>
      <c r="C1038" t="s">
        <v>40</v>
      </c>
      <c r="D1038">
        <v>4.8209609999999996</v>
      </c>
      <c r="E1038">
        <v>0.53194799999999998</v>
      </c>
      <c r="F1038" t="s">
        <v>45</v>
      </c>
      <c r="G1038">
        <v>-207.8015</v>
      </c>
      <c r="H1038" s="1">
        <v>-5.1837589999999997E-6</v>
      </c>
      <c r="I1038">
        <v>365.44970000000001</v>
      </c>
      <c r="J1038">
        <v>-222.5977</v>
      </c>
      <c r="K1038">
        <v>1.1077889999999999</v>
      </c>
      <c r="L1038">
        <v>369.23989999999998</v>
      </c>
      <c r="M1038">
        <v>0.99923550000000005</v>
      </c>
      <c r="N1038">
        <v>0</v>
      </c>
      <c r="O1038">
        <v>-3.6275880000000003E-2</v>
      </c>
      <c r="P1038">
        <v>0.98558369999999995</v>
      </c>
      <c r="Q1038">
        <v>-3.6024710000000001E-2</v>
      </c>
      <c r="R1038">
        <v>-0.16530880000000001</v>
      </c>
      <c r="S1038">
        <v>2.9125209999999999</v>
      </c>
      <c r="T1038">
        <v>-0.21538209999999999</v>
      </c>
      <c r="U1038">
        <v>-0.73831179999999996</v>
      </c>
      <c r="V1038">
        <v>0.1293425</v>
      </c>
      <c r="W1038">
        <v>-2.2165270000000001E-2</v>
      </c>
      <c r="X1038">
        <v>0.99135220000000002</v>
      </c>
      <c r="Y1038">
        <v>0.20994979999999999</v>
      </c>
      <c r="Z1038">
        <v>-4.9978449999999999E-3</v>
      </c>
      <c r="AA1038">
        <v>0.9776994</v>
      </c>
      <c r="AB1038">
        <v>34</v>
      </c>
      <c r="AC1038">
        <v>14.796200000000001</v>
      </c>
      <c r="AD1038">
        <v>-1.107794183759</v>
      </c>
      <c r="AE1038">
        <v>-3.7901999999999698</v>
      </c>
      <c r="AF1038">
        <v>3.2338911449972398</v>
      </c>
      <c r="AG1038">
        <v>-1.107794183759</v>
      </c>
      <c r="AH1038">
        <v>14.845871964506101</v>
      </c>
      <c r="AI1038">
        <v>94.170052263826506</v>
      </c>
      <c r="AJ1038">
        <v>77.711172585226706</v>
      </c>
      <c r="AK1038">
        <v>15.2343419377986</v>
      </c>
      <c r="AL1038">
        <v>91.270080457126994</v>
      </c>
      <c r="AM1038">
        <v>82.566563746212395</v>
      </c>
      <c r="AN1038">
        <v>0.99999998297263104</v>
      </c>
    </row>
    <row r="1039" spans="1:40" x14ac:dyDescent="0.25">
      <c r="A1039" t="str">
        <f>"20190312151518167"</f>
        <v>20190312151518167</v>
      </c>
      <c r="B1039" t="str">
        <f>"1552374918158972"</f>
        <v>1552374918158972</v>
      </c>
      <c r="C1039" t="s">
        <v>40</v>
      </c>
      <c r="D1039">
        <v>4.8084230000000003</v>
      </c>
      <c r="E1039">
        <v>0.53242999999999996</v>
      </c>
      <c r="F1039" t="s">
        <v>45</v>
      </c>
      <c r="G1039">
        <v>-207.49449999999999</v>
      </c>
      <c r="H1039" s="1">
        <v>-5.0597110000000001E-6</v>
      </c>
      <c r="I1039">
        <v>365.36419999999998</v>
      </c>
      <c r="J1039">
        <v>-222.38839999999999</v>
      </c>
      <c r="K1039">
        <v>1.1076710000000001</v>
      </c>
      <c r="L1039">
        <v>369.23070000000001</v>
      </c>
      <c r="M1039">
        <v>0.99917650000000002</v>
      </c>
      <c r="N1039">
        <v>0</v>
      </c>
      <c r="O1039">
        <v>-3.7861619999999999E-2</v>
      </c>
      <c r="P1039">
        <v>0.98523179999999999</v>
      </c>
      <c r="Q1039">
        <v>-3.5768630000000003E-2</v>
      </c>
      <c r="R1039">
        <v>-0.1674486</v>
      </c>
      <c r="S1039">
        <v>2.9107820000000002</v>
      </c>
      <c r="T1039">
        <v>-0.2135001</v>
      </c>
      <c r="U1039">
        <v>-0.74694819999999995</v>
      </c>
      <c r="V1039">
        <v>0.129916</v>
      </c>
      <c r="W1039">
        <v>-2.1948570000000001E-2</v>
      </c>
      <c r="X1039">
        <v>0.991282</v>
      </c>
      <c r="Y1039">
        <v>0.21126919999999999</v>
      </c>
      <c r="Z1039">
        <v>-4.8889629999999996E-3</v>
      </c>
      <c r="AA1039">
        <v>0.9774157</v>
      </c>
      <c r="AB1039">
        <v>34</v>
      </c>
      <c r="AC1039">
        <v>14.8939</v>
      </c>
      <c r="AD1039">
        <v>-1.10767605971099</v>
      </c>
      <c r="AE1039">
        <v>-3.86650000000003</v>
      </c>
      <c r="AF1039">
        <v>3.2827492175639201</v>
      </c>
      <c r="AG1039">
        <v>-1.10767605971099</v>
      </c>
      <c r="AH1039">
        <v>14.952146572137</v>
      </c>
      <c r="AI1039">
        <v>94.138596255718099</v>
      </c>
      <c r="AJ1039">
        <v>77.617156723851593</v>
      </c>
      <c r="AK1039">
        <v>15.3482922761245</v>
      </c>
      <c r="AL1039">
        <v>91.2576614751232</v>
      </c>
      <c r="AM1039">
        <v>82.533452425938094</v>
      </c>
      <c r="AN1039">
        <v>0.99999995515252105</v>
      </c>
    </row>
    <row r="1040" spans="1:40" x14ac:dyDescent="0.25">
      <c r="A1040" t="str">
        <f>"20190312151518186"</f>
        <v>20190312151518186</v>
      </c>
      <c r="B1040" t="str">
        <f>"1552374918178491"</f>
        <v>1552374918178491</v>
      </c>
      <c r="C1040" t="s">
        <v>40</v>
      </c>
      <c r="D1040">
        <v>4.7813230000000004</v>
      </c>
      <c r="E1040">
        <v>0.53330409999999995</v>
      </c>
      <c r="F1040" t="s">
        <v>45</v>
      </c>
      <c r="G1040">
        <v>-207.18770000000001</v>
      </c>
      <c r="H1040" s="1">
        <v>-4.9368449999999997E-6</v>
      </c>
      <c r="I1040">
        <v>365.27390000000003</v>
      </c>
      <c r="J1040">
        <v>-222.1097</v>
      </c>
      <c r="K1040">
        <v>1.1075200000000001</v>
      </c>
      <c r="L1040">
        <v>369.21800000000002</v>
      </c>
      <c r="M1040">
        <v>0.99908949999999996</v>
      </c>
      <c r="N1040">
        <v>0</v>
      </c>
      <c r="O1040">
        <v>-4.009153E-2</v>
      </c>
      <c r="P1040">
        <v>0.98460859999999994</v>
      </c>
      <c r="Q1040">
        <v>-3.5574849999999998E-2</v>
      </c>
      <c r="R1040">
        <v>-0.1711162</v>
      </c>
      <c r="S1040">
        <v>2.9086150000000002</v>
      </c>
      <c r="T1040">
        <v>-0.2119509</v>
      </c>
      <c r="U1040">
        <v>-0.75714110000000001</v>
      </c>
      <c r="V1040">
        <v>0.13138649999999999</v>
      </c>
      <c r="W1040">
        <v>-2.1812109999999999E-2</v>
      </c>
      <c r="X1040">
        <v>0.99109130000000001</v>
      </c>
      <c r="Y1040">
        <v>0.21248239999999999</v>
      </c>
      <c r="Z1040">
        <v>-4.739292E-3</v>
      </c>
      <c r="AA1040">
        <v>0.97715339999999995</v>
      </c>
      <c r="AB1040">
        <v>34</v>
      </c>
      <c r="AC1040">
        <v>14.921999999999899</v>
      </c>
      <c r="AD1040">
        <v>-1.107524936845</v>
      </c>
      <c r="AE1040">
        <v>-3.9440999999999899</v>
      </c>
      <c r="AF1040">
        <v>3.32549576058218</v>
      </c>
      <c r="AG1040">
        <v>-1.107524936845</v>
      </c>
      <c r="AH1040">
        <v>14.990953341961101</v>
      </c>
      <c r="AI1040">
        <v>94.125382856943702</v>
      </c>
      <c r="AJ1040">
        <v>77.492417669595895</v>
      </c>
      <c r="AK1040">
        <v>15.3952660139485</v>
      </c>
      <c r="AL1040">
        <v>91.249840873474497</v>
      </c>
      <c r="AM1040">
        <v>82.448473288958596</v>
      </c>
      <c r="AN1040">
        <v>1.00000007273029</v>
      </c>
    </row>
    <row r="1041" spans="1:40" x14ac:dyDescent="0.25">
      <c r="A1041" t="str">
        <f>"20190312151518200"</f>
        <v>20190312151518200</v>
      </c>
      <c r="B1041" t="str">
        <f>"1552374918189227"</f>
        <v>1552374918189227</v>
      </c>
      <c r="C1041" t="s">
        <v>40</v>
      </c>
      <c r="D1041">
        <v>4.9902559999999996</v>
      </c>
      <c r="E1041">
        <v>0.53373859999999995</v>
      </c>
      <c r="F1041" t="s">
        <v>45</v>
      </c>
      <c r="G1041">
        <v>-206.94929999999999</v>
      </c>
      <c r="H1041" s="1">
        <v>-4.8477119999999997E-6</v>
      </c>
      <c r="I1041">
        <v>365.17489999999998</v>
      </c>
      <c r="J1041">
        <v>-221.88659999999999</v>
      </c>
      <c r="K1041">
        <v>1.1073959999999901</v>
      </c>
      <c r="L1041">
        <v>369.20729999999998</v>
      </c>
      <c r="M1041">
        <v>0.99901180000000001</v>
      </c>
      <c r="N1041">
        <v>0</v>
      </c>
      <c r="O1041">
        <v>-4.198636E-2</v>
      </c>
      <c r="P1041">
        <v>0.98413779999999995</v>
      </c>
      <c r="Q1041">
        <v>-3.5653320000000002E-2</v>
      </c>
      <c r="R1041">
        <v>-0.17378689999999999</v>
      </c>
      <c r="S1041">
        <v>2.9046020000000001</v>
      </c>
      <c r="T1041">
        <v>-0.2121924</v>
      </c>
      <c r="U1041">
        <v>-0.77462769999999903</v>
      </c>
      <c r="V1041">
        <v>0.13218840000000001</v>
      </c>
      <c r="W1041">
        <v>-2.1933970000000001E-2</v>
      </c>
      <c r="X1041">
        <v>0.99098189999999997</v>
      </c>
      <c r="Y1041">
        <v>0.21645049999999999</v>
      </c>
      <c r="Z1041">
        <v>-4.7543560000000004E-3</v>
      </c>
      <c r="AA1041">
        <v>0.97628199999999998</v>
      </c>
      <c r="AB1041">
        <v>33</v>
      </c>
      <c r="AC1041">
        <v>14.937299999999899</v>
      </c>
      <c r="AD1041">
        <v>-1.1074008477120001</v>
      </c>
      <c r="AE1041">
        <v>-4.0323999999999902</v>
      </c>
      <c r="AF1041">
        <v>3.3842765671466899</v>
      </c>
      <c r="AG1041">
        <v>-1.1074008477120001</v>
      </c>
      <c r="AH1041">
        <v>15.0165208747901</v>
      </c>
      <c r="AI1041">
        <v>94.114833594829506</v>
      </c>
      <c r="AJ1041">
        <v>77.299428348465696</v>
      </c>
      <c r="AK1041">
        <v>15.4329376239087</v>
      </c>
      <c r="AL1041">
        <v>91.256824699991796</v>
      </c>
      <c r="AM1041">
        <v>82.402091374140298</v>
      </c>
      <c r="AN1041">
        <v>0.99999999913106496</v>
      </c>
    </row>
    <row r="1042" spans="1:40" x14ac:dyDescent="0.25">
      <c r="A1042" t="str">
        <f>"20190312151518213"</f>
        <v>20190312151518213</v>
      </c>
      <c r="B1042" t="str">
        <f>"1552374918208748"</f>
        <v>1552374918208748</v>
      </c>
      <c r="C1042" t="s">
        <v>40</v>
      </c>
      <c r="D1042">
        <v>4.8281999999999998</v>
      </c>
      <c r="E1042">
        <v>0.53468139999999997</v>
      </c>
      <c r="F1042" t="s">
        <v>45</v>
      </c>
      <c r="G1042">
        <v>-206.73349999999999</v>
      </c>
      <c r="H1042" s="1">
        <v>-4.7630059999999997E-6</v>
      </c>
      <c r="I1042">
        <v>365.1037</v>
      </c>
      <c r="J1042">
        <v>-221.69919999999999</v>
      </c>
      <c r="K1042">
        <v>1.1072919999999999</v>
      </c>
      <c r="L1042">
        <v>369.19799999999998</v>
      </c>
      <c r="M1042">
        <v>0.99894090000000002</v>
      </c>
      <c r="N1042">
        <v>0</v>
      </c>
      <c r="O1042">
        <v>-4.3634680000000002E-2</v>
      </c>
      <c r="P1042">
        <v>0.983734</v>
      </c>
      <c r="Q1042">
        <v>-3.5688839999999999E-2</v>
      </c>
      <c r="R1042">
        <v>-0.1760497</v>
      </c>
      <c r="S1042">
        <v>2.9019010000000001</v>
      </c>
      <c r="T1042">
        <v>-0.21207329999999999</v>
      </c>
      <c r="U1042">
        <v>-0.78585819999999995</v>
      </c>
      <c r="V1042">
        <v>0.13282639999999901</v>
      </c>
      <c r="W1042">
        <v>-2.2005980000000001E-2</v>
      </c>
      <c r="X1042">
        <v>0.99089499999999997</v>
      </c>
      <c r="Y1042">
        <v>0.21858810000000001</v>
      </c>
      <c r="Z1042">
        <v>-4.712534E-3</v>
      </c>
      <c r="AA1042">
        <v>0.97580579999999995</v>
      </c>
      <c r="AB1042">
        <v>33</v>
      </c>
      <c r="AC1042">
        <v>14.965699999999901</v>
      </c>
      <c r="AD1042">
        <v>-1.107296763006</v>
      </c>
      <c r="AE1042">
        <v>-4.0943000000000298</v>
      </c>
      <c r="AF1042">
        <v>3.41988838374649</v>
      </c>
      <c r="AG1042">
        <v>-1.107296763006</v>
      </c>
      <c r="AH1042">
        <v>15.0534457203286</v>
      </c>
      <c r="AI1042">
        <v>94.102794425472595</v>
      </c>
      <c r="AJ1042">
        <v>77.200617362543696</v>
      </c>
      <c r="AK1042">
        <v>15.4766912075394</v>
      </c>
      <c r="AL1042">
        <v>91.260951553538803</v>
      </c>
      <c r="AM1042">
        <v>82.365190340640396</v>
      </c>
      <c r="AN1042">
        <v>1.00000000835886</v>
      </c>
    </row>
    <row r="1043" spans="1:40" x14ac:dyDescent="0.25">
      <c r="A1043" t="str">
        <f>"20190312151518225"</f>
        <v>20190312151518225</v>
      </c>
      <c r="B1043" t="str">
        <f>"1552374918218507"</f>
        <v>1552374918218507</v>
      </c>
      <c r="C1043" t="s">
        <v>40</v>
      </c>
      <c r="D1043">
        <v>4.269863</v>
      </c>
      <c r="E1043">
        <v>0.53514340000000005</v>
      </c>
      <c r="F1043" t="s">
        <v>45</v>
      </c>
      <c r="G1043">
        <v>-206.47030000000001</v>
      </c>
      <c r="H1043" s="1">
        <v>-4.6644419999999996E-6</v>
      </c>
      <c r="I1043">
        <v>364.99520000000001</v>
      </c>
      <c r="J1043">
        <v>-221.51419999999999</v>
      </c>
      <c r="K1043">
        <v>1.1071879999999901</v>
      </c>
      <c r="L1043">
        <v>369.18830000000003</v>
      </c>
      <c r="M1043">
        <v>0.99886410000000003</v>
      </c>
      <c r="N1043">
        <v>0</v>
      </c>
      <c r="O1043">
        <v>-4.5361060000000002E-2</v>
      </c>
      <c r="P1043">
        <v>0.98330119999999999</v>
      </c>
      <c r="Q1043">
        <v>-3.5698260000000002E-2</v>
      </c>
      <c r="R1043">
        <v>-0.1784501</v>
      </c>
      <c r="S1043">
        <v>2.8987729999999998</v>
      </c>
      <c r="T1043">
        <v>-0.21077119999999999</v>
      </c>
      <c r="U1043">
        <v>-0.79998780000000003</v>
      </c>
      <c r="V1043">
        <v>0.1335266</v>
      </c>
      <c r="W1043">
        <v>-2.2051250000000001E-2</v>
      </c>
      <c r="X1043">
        <v>0.99079989999999996</v>
      </c>
      <c r="Y1043">
        <v>0.22159380000000001</v>
      </c>
      <c r="Z1043">
        <v>-4.6701829999999996E-3</v>
      </c>
      <c r="AA1043">
        <v>0.97512790000000005</v>
      </c>
      <c r="AB1043">
        <v>33</v>
      </c>
      <c r="AC1043">
        <v>15.043899999999899</v>
      </c>
      <c r="AD1043">
        <v>-1.10719266444199</v>
      </c>
      <c r="AE1043">
        <v>-4.19310000000001</v>
      </c>
      <c r="AF1043">
        <v>3.4887680803340402</v>
      </c>
      <c r="AG1043">
        <v>-1.10719266444199</v>
      </c>
      <c r="AH1043">
        <v>15.142526935822801</v>
      </c>
      <c r="AI1043">
        <v>94.075520211163905</v>
      </c>
      <c r="AJ1043">
        <v>77.025722507904007</v>
      </c>
      <c r="AK1043">
        <v>15.578623184244201</v>
      </c>
      <c r="AL1043">
        <v>91.263545940483297</v>
      </c>
      <c r="AM1043">
        <v>82.324693713139894</v>
      </c>
      <c r="AN1043">
        <v>1.0000000261870601</v>
      </c>
    </row>
    <row r="1044" spans="1:40" x14ac:dyDescent="0.25">
      <c r="A1044" t="str">
        <f>"20190312151518238"</f>
        <v>20190312151518238</v>
      </c>
      <c r="B1044" t="str">
        <f>"1552374918228268"</f>
        <v>1552374918228268</v>
      </c>
      <c r="C1044" t="s">
        <v>40</v>
      </c>
      <c r="D1044">
        <v>4.8792059999999999</v>
      </c>
      <c r="E1044">
        <v>0.53561630000000005</v>
      </c>
      <c r="F1044" t="s">
        <v>45</v>
      </c>
      <c r="G1044">
        <v>-206.24860000000001</v>
      </c>
      <c r="H1044" s="1">
        <v>-4.579118E-6</v>
      </c>
      <c r="I1044">
        <v>364.91430000000003</v>
      </c>
      <c r="J1044">
        <v>-221.334</v>
      </c>
      <c r="K1044">
        <v>1.1070899999999999</v>
      </c>
      <c r="L1044">
        <v>369.17849999999999</v>
      </c>
      <c r="M1044">
        <v>0.99878449999999996</v>
      </c>
      <c r="N1044">
        <v>0</v>
      </c>
      <c r="O1044">
        <v>-4.7077929999999997E-2</v>
      </c>
      <c r="P1044">
        <v>0.98282709999999995</v>
      </c>
      <c r="Q1044">
        <v>-3.5788460000000001E-2</v>
      </c>
      <c r="R1044">
        <v>-0.18102509999999999</v>
      </c>
      <c r="S1044">
        <v>2.8961640000000002</v>
      </c>
      <c r="T1044">
        <v>-0.21005509999999999</v>
      </c>
      <c r="U1044">
        <v>-0.81085209999999996</v>
      </c>
      <c r="V1044">
        <v>0.1344127</v>
      </c>
      <c r="W1044">
        <v>-2.2177889999999999E-2</v>
      </c>
      <c r="X1044">
        <v>0.99067720000000004</v>
      </c>
      <c r="Y1044">
        <v>0.22354019999999999</v>
      </c>
      <c r="Z1044">
        <v>-4.6037810000000004E-3</v>
      </c>
      <c r="AA1044">
        <v>0.97468379999999999</v>
      </c>
      <c r="AB1044">
        <v>33</v>
      </c>
      <c r="AC1044">
        <v>15.0853999999999</v>
      </c>
      <c r="AD1044">
        <v>-1.10709457911799</v>
      </c>
      <c r="AE1044">
        <v>-4.2641999999999598</v>
      </c>
      <c r="AF1044">
        <v>3.5315924683946598</v>
      </c>
      <c r="AG1044">
        <v>-1.10709457911799</v>
      </c>
      <c r="AH1044">
        <v>15.193664793238399</v>
      </c>
      <c r="AI1044">
        <v>94.059674241955506</v>
      </c>
      <c r="AJ1044">
        <v>76.914610901254406</v>
      </c>
      <c r="AK1044">
        <v>15.637942755338001</v>
      </c>
      <c r="AL1044">
        <v>91.270803719498701</v>
      </c>
      <c r="AM1044">
        <v>82.273427213257506</v>
      </c>
      <c r="AN1044">
        <v>0.99999997366298998</v>
      </c>
    </row>
    <row r="1045" spans="1:40" x14ac:dyDescent="0.25">
      <c r="A1045" t="str">
        <f>"20190312151518249"</f>
        <v>20190312151518249</v>
      </c>
      <c r="B1045" t="str">
        <f>"1552374918239003"</f>
        <v>1552374918239003</v>
      </c>
      <c r="C1045" t="s">
        <v>40</v>
      </c>
      <c r="D1045">
        <v>4.8195129999999997</v>
      </c>
      <c r="E1045">
        <v>0.53607209999999905</v>
      </c>
      <c r="F1045" t="s">
        <v>45</v>
      </c>
      <c r="G1045">
        <v>-206.12029999999999</v>
      </c>
      <c r="H1045" s="1">
        <v>-4.5322490000000003E-6</v>
      </c>
      <c r="I1045">
        <v>364.85599999999999</v>
      </c>
      <c r="J1045">
        <v>-221.1611</v>
      </c>
      <c r="K1045">
        <v>1.107</v>
      </c>
      <c r="L1045">
        <v>369.16879999999998</v>
      </c>
      <c r="M1045">
        <v>0.99870300000000001</v>
      </c>
      <c r="N1045">
        <v>0</v>
      </c>
      <c r="O1045">
        <v>-4.8778210000000002E-2</v>
      </c>
      <c r="P1045">
        <v>0.9823286</v>
      </c>
      <c r="Q1045">
        <v>-3.5977259999999997E-2</v>
      </c>
      <c r="R1045">
        <v>-0.18367459999999999</v>
      </c>
      <c r="S1045">
        <v>2.8933559999999998</v>
      </c>
      <c r="T1045">
        <v>-0.2105477</v>
      </c>
      <c r="U1045">
        <v>-0.822052</v>
      </c>
      <c r="V1045">
        <v>0.13539109999999999</v>
      </c>
      <c r="W1045">
        <v>-2.2402169999999999E-2</v>
      </c>
      <c r="X1045">
        <v>0.99053899999999995</v>
      </c>
      <c r="Y1045">
        <v>0.2256176</v>
      </c>
      <c r="Z1045">
        <v>-4.5699E-3</v>
      </c>
      <c r="AA1045">
        <v>0.97420530000000005</v>
      </c>
      <c r="AB1045">
        <v>33</v>
      </c>
      <c r="AC1045">
        <v>15.040800000000001</v>
      </c>
      <c r="AD1045">
        <v>-1.1070045322490001</v>
      </c>
      <c r="AE1045">
        <v>-4.3127999999999798</v>
      </c>
      <c r="AF1045">
        <v>3.5561237181443999</v>
      </c>
      <c r="AG1045">
        <v>-1.1070045322490001</v>
      </c>
      <c r="AH1045">
        <v>15.157415819114799</v>
      </c>
      <c r="AI1045">
        <v>94.067068325209107</v>
      </c>
      <c r="AJ1045">
        <v>76.796474673604195</v>
      </c>
      <c r="AK1045">
        <v>15.6082904011529</v>
      </c>
      <c r="AL1045">
        <v>91.283657101419607</v>
      </c>
      <c r="AM1045">
        <v>82.216799181461894</v>
      </c>
      <c r="AN1045">
        <v>1.0000000588504501</v>
      </c>
    </row>
    <row r="1046" spans="1:40" x14ac:dyDescent="0.25">
      <c r="A1046" t="str">
        <f>"20190312151518264"</f>
        <v>20190312151518264</v>
      </c>
      <c r="B1046" t="str">
        <f>"1552374918258529"</f>
        <v>1552374918258529</v>
      </c>
      <c r="C1046" t="s">
        <v>40</v>
      </c>
      <c r="D1046">
        <v>4.8013349999999999</v>
      </c>
      <c r="E1046">
        <v>0.53694500000000001</v>
      </c>
      <c r="F1046" t="s">
        <v>45</v>
      </c>
      <c r="G1046">
        <v>-206.01050000000001</v>
      </c>
      <c r="H1046" s="1">
        <v>-4.493651E-6</v>
      </c>
      <c r="I1046">
        <v>364.7996</v>
      </c>
      <c r="J1046">
        <v>-220.94300000000001</v>
      </c>
      <c r="K1046">
        <v>1.1068830000000001</v>
      </c>
      <c r="L1046">
        <v>369.15600000000001</v>
      </c>
      <c r="M1046">
        <v>0.99859189999999998</v>
      </c>
      <c r="N1046">
        <v>0</v>
      </c>
      <c r="O1046">
        <v>-5.100354E-2</v>
      </c>
      <c r="P1046">
        <v>0.98142339999999995</v>
      </c>
      <c r="Q1046">
        <v>-3.6805909999999997E-2</v>
      </c>
      <c r="R1046">
        <v>-0.18829209999999999</v>
      </c>
      <c r="S1046">
        <v>2.890396</v>
      </c>
      <c r="T1046">
        <v>-0.2111923</v>
      </c>
      <c r="U1046">
        <v>-0.83355709999999905</v>
      </c>
      <c r="V1046">
        <v>0.13783039999999999</v>
      </c>
      <c r="W1046">
        <v>-2.3285779999999999E-2</v>
      </c>
      <c r="X1046">
        <v>0.99018209999999995</v>
      </c>
      <c r="Y1046">
        <v>0.2272912</v>
      </c>
      <c r="Z1046">
        <v>-4.4873789999999997E-3</v>
      </c>
      <c r="AA1046">
        <v>0.97381649999999997</v>
      </c>
      <c r="AB1046">
        <v>33</v>
      </c>
      <c r="AC1046">
        <v>14.9324999999999</v>
      </c>
      <c r="AD1046">
        <v>-1.106887493651</v>
      </c>
      <c r="AE1046">
        <v>-4.3563999999999998</v>
      </c>
      <c r="AF1046">
        <v>3.5709551658158998</v>
      </c>
      <c r="AG1046">
        <v>-1.106887493651</v>
      </c>
      <c r="AH1046">
        <v>15.059022006920401</v>
      </c>
      <c r="AI1046">
        <v>94.090826434123301</v>
      </c>
      <c r="AJ1046">
        <v>76.659817310822106</v>
      </c>
      <c r="AK1046">
        <v>15.5161549529767</v>
      </c>
      <c r="AL1046">
        <v>91.334297492073404</v>
      </c>
      <c r="AM1046">
        <v>82.075517389573307</v>
      </c>
      <c r="AN1046">
        <v>1.0000000189373801</v>
      </c>
    </row>
    <row r="1047" spans="1:40" x14ac:dyDescent="0.25">
      <c r="A1047" t="str">
        <f>"20190312151518275"</f>
        <v>20190312151518275</v>
      </c>
      <c r="B1047" t="str">
        <f>"1552374918269260"</f>
        <v>1552374918269260</v>
      </c>
      <c r="C1047" t="s">
        <v>40</v>
      </c>
      <c r="D1047">
        <v>4.8544099999999997</v>
      </c>
      <c r="E1047">
        <v>0.53737959999999996</v>
      </c>
      <c r="F1047" t="s">
        <v>45</v>
      </c>
      <c r="G1047">
        <v>-206.0471</v>
      </c>
      <c r="H1047" s="1">
        <v>-4.5224059999999998E-6</v>
      </c>
      <c r="I1047">
        <v>364.7466</v>
      </c>
      <c r="J1047">
        <v>-220.77770000000001</v>
      </c>
      <c r="K1047">
        <v>1.1067940000000001</v>
      </c>
      <c r="L1047">
        <v>369.14609999999999</v>
      </c>
      <c r="M1047">
        <v>0.99850240000000001</v>
      </c>
      <c r="N1047">
        <v>0</v>
      </c>
      <c r="O1047">
        <v>-5.2724760000000002E-2</v>
      </c>
      <c r="P1047">
        <v>0.98087210000000002</v>
      </c>
      <c r="Q1047">
        <v>-3.750452E-2</v>
      </c>
      <c r="R1047">
        <v>-0.19100710000000001</v>
      </c>
      <c r="S1047">
        <v>2.884903</v>
      </c>
      <c r="T1047">
        <v>-0.21437229999999999</v>
      </c>
      <c r="U1047">
        <v>-0.85397339999999999</v>
      </c>
      <c r="V1047">
        <v>0.13885510000000001</v>
      </c>
      <c r="W1047">
        <v>-2.40193E-2</v>
      </c>
      <c r="X1047">
        <v>0.99002140000000005</v>
      </c>
      <c r="Y1047">
        <v>0.23242959999999999</v>
      </c>
      <c r="Z1047">
        <v>-4.6210180000000002E-3</v>
      </c>
      <c r="AA1047">
        <v>0.97260219999999997</v>
      </c>
      <c r="AB1047">
        <v>33</v>
      </c>
      <c r="AC1047">
        <v>14.730600000000001</v>
      </c>
      <c r="AD1047">
        <v>-1.106798522406</v>
      </c>
      <c r="AE1047">
        <v>-4.3994999999999802</v>
      </c>
      <c r="AF1047">
        <v>3.5979806043934399</v>
      </c>
      <c r="AG1047">
        <v>-1.106798522406</v>
      </c>
      <c r="AH1047">
        <v>14.8650470348165</v>
      </c>
      <c r="AI1047">
        <v>94.139097659653899</v>
      </c>
      <c r="AJ1047">
        <v>76.393637951535197</v>
      </c>
      <c r="AK1047">
        <v>15.3342782923129</v>
      </c>
      <c r="AL1047">
        <v>91.376336853256404</v>
      </c>
      <c r="AM1047">
        <v>82.016080490946294</v>
      </c>
      <c r="AN1047">
        <v>1.0000000190132201</v>
      </c>
    </row>
    <row r="1048" spans="1:40" x14ac:dyDescent="0.25">
      <c r="A1048" t="str">
        <f>"20190312151518286"</f>
        <v>20190312151518286</v>
      </c>
      <c r="B1048" t="str">
        <f>"1552374918279021"</f>
        <v>1552374918279021</v>
      </c>
      <c r="C1048" t="s">
        <v>40</v>
      </c>
      <c r="D1048">
        <v>4.8428149999999999</v>
      </c>
      <c r="E1048">
        <v>0.53782069999999904</v>
      </c>
      <c r="F1048" t="s">
        <v>45</v>
      </c>
      <c r="G1048">
        <v>-206.0453</v>
      </c>
      <c r="H1048" s="1">
        <v>-4.5273400000000001E-6</v>
      </c>
      <c r="I1048">
        <v>364.72070000000002</v>
      </c>
      <c r="J1048">
        <v>-220.60249999999999</v>
      </c>
      <c r="K1048">
        <v>1.1067100000000001</v>
      </c>
      <c r="L1048">
        <v>369.13499999999999</v>
      </c>
      <c r="M1048">
        <v>0.99840030000000002</v>
      </c>
      <c r="N1048">
        <v>0</v>
      </c>
      <c r="O1048">
        <v>-5.462086E-2</v>
      </c>
      <c r="P1048">
        <v>0.98022969999999998</v>
      </c>
      <c r="Q1048">
        <v>-3.8143730000000001E-2</v>
      </c>
      <c r="R1048">
        <v>-0.19415180000000001</v>
      </c>
      <c r="S1048">
        <v>2.8816380000000001</v>
      </c>
      <c r="T1048">
        <v>-0.21648880000000001</v>
      </c>
      <c r="U1048">
        <v>-0.86560059999999905</v>
      </c>
      <c r="V1048">
        <v>0.14014089999999901</v>
      </c>
      <c r="W1048">
        <v>-2.4697239999999999E-2</v>
      </c>
      <c r="X1048">
        <v>0.98982349999999997</v>
      </c>
      <c r="Y1048">
        <v>0.23447609999999999</v>
      </c>
      <c r="Z1048">
        <v>-4.6056650000000001E-3</v>
      </c>
      <c r="AA1048">
        <v>0.97211099999999995</v>
      </c>
      <c r="AB1048">
        <v>33</v>
      </c>
      <c r="AC1048">
        <v>14.5571999999999</v>
      </c>
      <c r="AD1048">
        <v>-1.1067145273399901</v>
      </c>
      <c r="AE1048">
        <v>-4.4142999999999599</v>
      </c>
      <c r="AF1048">
        <v>3.59347645253977</v>
      </c>
      <c r="AG1048">
        <v>-1.1067145273399901</v>
      </c>
      <c r="AH1048">
        <v>14.6988000244899</v>
      </c>
      <c r="AI1048">
        <v>94.183101870731306</v>
      </c>
      <c r="AJ1048">
        <v>76.262126364995495</v>
      </c>
      <c r="AK1048">
        <v>15.1720997960047</v>
      </c>
      <c r="AL1048">
        <v>91.415191518802004</v>
      </c>
      <c r="AM1048">
        <v>81.941525991433906</v>
      </c>
      <c r="AN1048">
        <v>0.99999999333433798</v>
      </c>
    </row>
    <row r="1049" spans="1:40" x14ac:dyDescent="0.25">
      <c r="A1049" t="str">
        <f>"20190312151518298"</f>
        <v>20190312151518298</v>
      </c>
      <c r="B1049" t="str">
        <f>"1552374918288780"</f>
        <v>1552374918288780</v>
      </c>
      <c r="C1049" t="s">
        <v>40</v>
      </c>
      <c r="D1049">
        <v>4.8293169999999996</v>
      </c>
      <c r="E1049">
        <v>0.53826339999999995</v>
      </c>
      <c r="F1049" t="s">
        <v>45</v>
      </c>
      <c r="G1049">
        <v>-206.029</v>
      </c>
      <c r="H1049" s="1">
        <v>-4.5268169999999901E-6</v>
      </c>
      <c r="I1049">
        <v>364.68880000000001</v>
      </c>
      <c r="J1049">
        <v>-220.4376</v>
      </c>
      <c r="K1049">
        <v>1.1066290000000001</v>
      </c>
      <c r="L1049">
        <v>369.12439999999998</v>
      </c>
      <c r="M1049">
        <v>0.99829920000000005</v>
      </c>
      <c r="N1049">
        <v>0</v>
      </c>
      <c r="O1049">
        <v>-5.6439219999999998E-2</v>
      </c>
      <c r="P1049">
        <v>0.97966750000000002</v>
      </c>
      <c r="Q1049">
        <v>-3.8640510000000003E-2</v>
      </c>
      <c r="R1049">
        <v>-0.1968731</v>
      </c>
      <c r="S1049">
        <v>2.878098</v>
      </c>
      <c r="T1049">
        <v>-0.21856390000000001</v>
      </c>
      <c r="U1049">
        <v>-0.87808229999999998</v>
      </c>
      <c r="V1049">
        <v>0.14107900000000001</v>
      </c>
      <c r="W1049">
        <v>-2.5228090000000002E-2</v>
      </c>
      <c r="X1049">
        <v>0.98967680000000002</v>
      </c>
      <c r="Y1049">
        <v>0.23688509999999999</v>
      </c>
      <c r="Z1049">
        <v>-4.6076040000000004E-3</v>
      </c>
      <c r="AA1049">
        <v>0.97152669999999997</v>
      </c>
      <c r="AB1049">
        <v>33</v>
      </c>
      <c r="AC1049">
        <v>14.4085999999999</v>
      </c>
      <c r="AD1049">
        <v>-1.106633526817</v>
      </c>
      <c r="AE1049">
        <v>-4.43559999999996</v>
      </c>
      <c r="AF1049">
        <v>3.5958562925059101</v>
      </c>
      <c r="AG1049">
        <v>-1.106633526817</v>
      </c>
      <c r="AH1049">
        <v>14.557558097291199</v>
      </c>
      <c r="AI1049">
        <v>94.220761661134105</v>
      </c>
      <c r="AJ1049">
        <v>76.125129435292706</v>
      </c>
      <c r="AK1049">
        <v>15.0358677167312</v>
      </c>
      <c r="AL1049">
        <v>91.445616520802801</v>
      </c>
      <c r="AM1049">
        <v>81.887111951965394</v>
      </c>
      <c r="AN1049">
        <v>0.99999995461214297</v>
      </c>
    </row>
    <row r="1050" spans="1:40" x14ac:dyDescent="0.25">
      <c r="A1050" t="str">
        <f>"20190312151518310"</f>
        <v>20190312151518310</v>
      </c>
      <c r="B1050" t="str">
        <f>"1552374918298540"</f>
        <v>1552374918298540</v>
      </c>
      <c r="C1050" t="s">
        <v>40</v>
      </c>
      <c r="D1050">
        <v>4.8425200000000004</v>
      </c>
      <c r="E1050">
        <v>0.53869959999999995</v>
      </c>
      <c r="F1050" t="s">
        <v>45</v>
      </c>
      <c r="G1050">
        <v>-205.99930000000001</v>
      </c>
      <c r="H1050" s="1">
        <v>-4.5202899999999999E-6</v>
      </c>
      <c r="I1050">
        <v>364.65570000000002</v>
      </c>
      <c r="J1050">
        <v>-220.2569</v>
      </c>
      <c r="K1050">
        <v>1.1065449999999999</v>
      </c>
      <c r="L1050">
        <v>369.11239999999998</v>
      </c>
      <c r="M1050">
        <v>0.99818180000000001</v>
      </c>
      <c r="N1050">
        <v>0</v>
      </c>
      <c r="O1050">
        <v>-5.8479870000000003E-2</v>
      </c>
      <c r="P1050">
        <v>0.97901400000000005</v>
      </c>
      <c r="Q1050">
        <v>-3.895564E-2</v>
      </c>
      <c r="R1050">
        <v>-0.2000364</v>
      </c>
      <c r="S1050">
        <v>2.874771</v>
      </c>
      <c r="T1050">
        <v>-0.2203386</v>
      </c>
      <c r="U1050">
        <v>-0.88973999999999998</v>
      </c>
      <c r="V1050">
        <v>0.14224489999999901</v>
      </c>
      <c r="W1050">
        <v>-2.5581759999999999E-2</v>
      </c>
      <c r="X1050">
        <v>0.98950090000000002</v>
      </c>
      <c r="Y1050">
        <v>0.2388044</v>
      </c>
      <c r="Z1050">
        <v>-4.5674490000000003E-3</v>
      </c>
      <c r="AA1050">
        <v>0.9710569</v>
      </c>
      <c r="AB1050">
        <v>33</v>
      </c>
      <c r="AC1050">
        <v>14.257599999999901</v>
      </c>
      <c r="AD1050">
        <v>-1.10654952029</v>
      </c>
      <c r="AE1050">
        <v>-4.4566999999999499</v>
      </c>
      <c r="AF1050">
        <v>3.59547007409346</v>
      </c>
      <c r="AG1050">
        <v>-1.10654952029</v>
      </c>
      <c r="AH1050">
        <v>14.4147505834967</v>
      </c>
      <c r="AI1050">
        <v>94.259698784488904</v>
      </c>
      <c r="AJ1050">
        <v>75.994502508142105</v>
      </c>
      <c r="AK1050">
        <v>14.8975464852094</v>
      </c>
      <c r="AL1050">
        <v>91.465886745346793</v>
      </c>
      <c r="AM1050">
        <v>81.819534930469302</v>
      </c>
      <c r="AN1050">
        <v>1.00000003456075</v>
      </c>
    </row>
    <row r="1051" spans="1:40" x14ac:dyDescent="0.25">
      <c r="A1051" t="str">
        <f>"20190312151518321"</f>
        <v>20190312151518321</v>
      </c>
      <c r="B1051" t="str">
        <f>"1552374918319036"</f>
        <v>1552374918319036</v>
      </c>
      <c r="C1051" t="s">
        <v>40</v>
      </c>
      <c r="D1051">
        <v>4.9217209999999998</v>
      </c>
      <c r="E1051">
        <v>0.53959380000000001</v>
      </c>
      <c r="F1051" t="s">
        <v>45</v>
      </c>
      <c r="G1051">
        <v>-205.89580000000001</v>
      </c>
      <c r="H1051" s="1">
        <v>-4.4847709999999997E-6</v>
      </c>
      <c r="I1051">
        <v>364.59840000000003</v>
      </c>
      <c r="J1051">
        <v>-220.08359999999999</v>
      </c>
      <c r="K1051">
        <v>1.106463</v>
      </c>
      <c r="L1051">
        <v>369.1003</v>
      </c>
      <c r="M1051">
        <v>0.99806150000000005</v>
      </c>
      <c r="N1051">
        <v>0</v>
      </c>
      <c r="O1051">
        <v>-6.0497790000000003E-2</v>
      </c>
      <c r="P1051">
        <v>0.97831840000000003</v>
      </c>
      <c r="Q1051">
        <v>-3.9064269999999998E-2</v>
      </c>
      <c r="R1051">
        <v>-0.20338980000000001</v>
      </c>
      <c r="S1051">
        <v>2.871124</v>
      </c>
      <c r="T1051">
        <v>-0.221225</v>
      </c>
      <c r="U1051">
        <v>-0.90243530000000005</v>
      </c>
      <c r="V1051">
        <v>0.14362829999999999</v>
      </c>
      <c r="W1051">
        <v>-2.5730059999999999E-2</v>
      </c>
      <c r="X1051">
        <v>0.98929719999999999</v>
      </c>
      <c r="Y1051">
        <v>0.2410968</v>
      </c>
      <c r="Z1051">
        <v>-4.5239030000000001E-3</v>
      </c>
      <c r="AA1051">
        <v>0.97049050000000003</v>
      </c>
      <c r="AB1051">
        <v>33</v>
      </c>
      <c r="AC1051">
        <v>14.1877999999999</v>
      </c>
      <c r="AD1051">
        <v>-1.1064674847710001</v>
      </c>
      <c r="AE1051">
        <v>-4.5018999999999698</v>
      </c>
      <c r="AF1051">
        <v>3.61525349184955</v>
      </c>
      <c r="AG1051">
        <v>-1.1064674847710001</v>
      </c>
      <c r="AH1051">
        <v>14.354870959745501</v>
      </c>
      <c r="AI1051">
        <v>94.274656065414405</v>
      </c>
      <c r="AJ1051">
        <v>75.864115893013903</v>
      </c>
      <c r="AK1051">
        <v>14.8444147198914</v>
      </c>
      <c r="AL1051">
        <v>91.474386503055499</v>
      </c>
      <c r="AM1051">
        <v>81.739391203987097</v>
      </c>
      <c r="AN1051">
        <v>1.0000000372381601</v>
      </c>
    </row>
    <row r="1052" spans="1:40" x14ac:dyDescent="0.25">
      <c r="A1052" t="str">
        <f>"20190312151518333"</f>
        <v>20190312151518333</v>
      </c>
      <c r="B1052" t="str">
        <f>"1552374918328796"</f>
        <v>1552374918328796</v>
      </c>
      <c r="C1052" t="s">
        <v>40</v>
      </c>
      <c r="D1052">
        <v>4.8639429999999999</v>
      </c>
      <c r="E1052">
        <v>0.54001519999999903</v>
      </c>
      <c r="F1052" t="s">
        <v>45</v>
      </c>
      <c r="G1052">
        <v>-205.80879999999999</v>
      </c>
      <c r="H1052" s="1">
        <v>-4.4612450000000003E-6</v>
      </c>
      <c r="I1052">
        <v>364.52190000000002</v>
      </c>
      <c r="J1052">
        <v>-219.91059999999999</v>
      </c>
      <c r="K1052">
        <v>1.1063799999999999</v>
      </c>
      <c r="L1052">
        <v>369.08800000000002</v>
      </c>
      <c r="M1052">
        <v>0.99793580000000004</v>
      </c>
      <c r="N1052">
        <v>0</v>
      </c>
      <c r="O1052">
        <v>-6.2535270000000004E-2</v>
      </c>
      <c r="P1052">
        <v>0.97767380000000004</v>
      </c>
      <c r="Q1052">
        <v>-3.9116890000000001E-2</v>
      </c>
      <c r="R1052">
        <v>-0.2064561</v>
      </c>
      <c r="S1052">
        <v>2.866501</v>
      </c>
      <c r="T1052">
        <v>-0.22218840000000001</v>
      </c>
      <c r="U1052">
        <v>-0.91937259999999998</v>
      </c>
      <c r="V1052">
        <v>0.14470429999999901</v>
      </c>
      <c r="W1052">
        <v>-2.5819910000000001E-2</v>
      </c>
      <c r="X1052">
        <v>0.98913799999999996</v>
      </c>
      <c r="Y1052">
        <v>0.24476110000000001</v>
      </c>
      <c r="Z1052">
        <v>-4.5321980000000003E-3</v>
      </c>
      <c r="AA1052">
        <v>0.96957280000000001</v>
      </c>
      <c r="AB1052">
        <v>33</v>
      </c>
      <c r="AC1052">
        <v>14.1017999999999</v>
      </c>
      <c r="AD1052">
        <v>-1.106384461245</v>
      </c>
      <c r="AE1052">
        <v>-4.5660999999999996</v>
      </c>
      <c r="AF1052">
        <v>3.6548445937103802</v>
      </c>
      <c r="AG1052">
        <v>-1.106384461245</v>
      </c>
      <c r="AH1052">
        <v>14.2802058420307</v>
      </c>
      <c r="AI1052">
        <v>94.2924287034499</v>
      </c>
      <c r="AJ1052">
        <v>75.644007633101793</v>
      </c>
      <c r="AK1052">
        <v>14.781957058218801</v>
      </c>
      <c r="AL1052">
        <v>91.479536305584901</v>
      </c>
      <c r="AM1052">
        <v>81.677049244362095</v>
      </c>
      <c r="AN1052">
        <v>0.99999999261744799</v>
      </c>
    </row>
    <row r="1053" spans="1:40" x14ac:dyDescent="0.25">
      <c r="A1053" t="str">
        <f>"20190312151518345"</f>
        <v>20190312151518345</v>
      </c>
      <c r="B1053" t="str">
        <f>"1552374918338556"</f>
        <v>1552374918338556</v>
      </c>
      <c r="C1053" t="s">
        <v>40</v>
      </c>
      <c r="D1053">
        <v>4.8588909999999998</v>
      </c>
      <c r="E1053">
        <v>0.54042299999999999</v>
      </c>
      <c r="F1053" t="s">
        <v>45</v>
      </c>
      <c r="G1053">
        <v>-205.66800000000001</v>
      </c>
      <c r="H1053" s="1">
        <v>-4.4108119999999997E-6</v>
      </c>
      <c r="I1053">
        <v>364.45339999999999</v>
      </c>
      <c r="J1053">
        <v>-219.72380000000001</v>
      </c>
      <c r="K1053">
        <v>1.106287</v>
      </c>
      <c r="L1053">
        <v>369.07409999999999</v>
      </c>
      <c r="M1053">
        <v>0.99778940000000005</v>
      </c>
      <c r="N1053">
        <v>0</v>
      </c>
      <c r="O1053">
        <v>-6.4827410000000002E-2</v>
      </c>
      <c r="P1053">
        <v>0.97697100000000003</v>
      </c>
      <c r="Q1053">
        <v>-3.9322410000000002E-2</v>
      </c>
      <c r="R1053">
        <v>-0.2097174</v>
      </c>
      <c r="S1053">
        <v>2.8628689999999999</v>
      </c>
      <c r="T1053">
        <v>-0.22239049999999999</v>
      </c>
      <c r="U1053">
        <v>-0.93157959999999995</v>
      </c>
      <c r="V1053">
        <v>0.14572570000000001</v>
      </c>
      <c r="W1053">
        <v>-2.6064850000000001E-2</v>
      </c>
      <c r="X1053">
        <v>0.98898160000000002</v>
      </c>
      <c r="Y1053">
        <v>0.2466343</v>
      </c>
      <c r="Z1053">
        <v>-4.4376490000000001E-3</v>
      </c>
      <c r="AA1053">
        <v>0.96909840000000003</v>
      </c>
      <c r="AB1053">
        <v>33</v>
      </c>
      <c r="AC1053">
        <v>14.0558</v>
      </c>
      <c r="AD1053">
        <v>-1.1062914108120001</v>
      </c>
      <c r="AE1053">
        <v>-4.6206999999999896</v>
      </c>
      <c r="AF1053">
        <v>3.6791111876918401</v>
      </c>
      <c r="AG1053">
        <v>-1.1062914108120001</v>
      </c>
      <c r="AH1053">
        <v>14.2461621665142</v>
      </c>
      <c r="AI1053">
        <v>94.299895062277699</v>
      </c>
      <c r="AJ1053">
        <v>75.519592379416906</v>
      </c>
      <c r="AK1053">
        <v>14.7550966208851</v>
      </c>
      <c r="AL1053">
        <v>91.493575076807502</v>
      </c>
      <c r="AM1053">
        <v>81.617826425852002</v>
      </c>
      <c r="AN1053">
        <v>0.99999998059228601</v>
      </c>
    </row>
    <row r="1054" spans="1:40" x14ac:dyDescent="0.25">
      <c r="A1054" t="str">
        <f>"20190312151518361"</f>
        <v>20190312151518361</v>
      </c>
      <c r="B1054" t="str">
        <f>"1552374918348316"</f>
        <v>1552374918348316</v>
      </c>
      <c r="C1054" t="s">
        <v>40</v>
      </c>
      <c r="D1054">
        <v>4.9339620000000002</v>
      </c>
      <c r="E1054">
        <v>0.54080950000000005</v>
      </c>
      <c r="F1054" t="s">
        <v>45</v>
      </c>
      <c r="G1054">
        <v>-205.5427</v>
      </c>
      <c r="H1054" s="1">
        <v>-4.3665849999999996E-6</v>
      </c>
      <c r="I1054">
        <v>364.3897</v>
      </c>
      <c r="J1054">
        <v>-219.51070000000001</v>
      </c>
      <c r="K1054">
        <v>1.1061879999999999</v>
      </c>
      <c r="L1054">
        <v>369.05770000000001</v>
      </c>
      <c r="M1054">
        <v>0.99761270000000002</v>
      </c>
      <c r="N1054">
        <v>0</v>
      </c>
      <c r="O1054">
        <v>-6.7492570000000002E-2</v>
      </c>
      <c r="P1054">
        <v>0.97620450000000003</v>
      </c>
      <c r="Q1054">
        <v>-3.967586E-2</v>
      </c>
      <c r="R1054">
        <v>-0.2131924</v>
      </c>
      <c r="S1054">
        <v>2.858978</v>
      </c>
      <c r="T1054">
        <v>-0.22303300000000001</v>
      </c>
      <c r="U1054">
        <v>-0.94439700000000004</v>
      </c>
      <c r="V1054">
        <v>0.1465938</v>
      </c>
      <c r="W1054">
        <v>-2.6460339999999999E-2</v>
      </c>
      <c r="X1054">
        <v>0.98884280000000002</v>
      </c>
      <c r="Y1054">
        <v>0.2483554</v>
      </c>
      <c r="Z1054">
        <v>-4.3177709999999998E-3</v>
      </c>
      <c r="AA1054">
        <v>0.9686593</v>
      </c>
      <c r="AB1054">
        <v>33</v>
      </c>
      <c r="AC1054">
        <v>13.968</v>
      </c>
      <c r="AD1054">
        <v>-1.106192366585</v>
      </c>
      <c r="AE1054">
        <v>-4.6680000000000001</v>
      </c>
      <c r="AF1054">
        <v>3.69367801224791</v>
      </c>
      <c r="AG1054">
        <v>-1.106192366585</v>
      </c>
      <c r="AH1054">
        <v>14.171281649638599</v>
      </c>
      <c r="AI1054">
        <v>94.319640688337202</v>
      </c>
      <c r="AJ1054">
        <v>75.391157185293096</v>
      </c>
      <c r="AK1054">
        <v>14.686461194019399</v>
      </c>
      <c r="AL1054">
        <v>91.516242793417405</v>
      </c>
      <c r="AM1054">
        <v>81.567442330686504</v>
      </c>
      <c r="AN1054">
        <v>0.99999998745159702</v>
      </c>
    </row>
    <row r="1055" spans="1:40" x14ac:dyDescent="0.25">
      <c r="A1055" t="str">
        <f>"20190312151518374"</f>
        <v>20190312151518374</v>
      </c>
      <c r="B1055" t="str">
        <f>"1552374918368811"</f>
        <v>1552374918368811</v>
      </c>
      <c r="C1055" t="s">
        <v>40</v>
      </c>
      <c r="D1055">
        <v>4.901275</v>
      </c>
      <c r="E1055">
        <v>0.54152909999999999</v>
      </c>
      <c r="F1055" t="s">
        <v>45</v>
      </c>
      <c r="G1055">
        <v>-205.37620000000001</v>
      </c>
      <c r="H1055" s="1">
        <v>-4.3052529999999999E-6</v>
      </c>
      <c r="I1055">
        <v>364.31650000000002</v>
      </c>
      <c r="J1055">
        <v>-219.29679999999999</v>
      </c>
      <c r="K1055">
        <v>1.1060840000000001</v>
      </c>
      <c r="L1055">
        <v>369.04079999999999</v>
      </c>
      <c r="M1055">
        <v>0.99742350000000002</v>
      </c>
      <c r="N1055">
        <v>0</v>
      </c>
      <c r="O1055">
        <v>-7.0230829999999994E-2</v>
      </c>
      <c r="P1055">
        <v>0.97543630000000003</v>
      </c>
      <c r="Q1055">
        <v>-3.9719919999999999E-2</v>
      </c>
      <c r="R1055">
        <v>-0.21667130000000001</v>
      </c>
      <c r="S1055">
        <v>2.8549039999999999</v>
      </c>
      <c r="T1055">
        <v>-0.22342919999999999</v>
      </c>
      <c r="U1055">
        <v>-0.95764159999999998</v>
      </c>
      <c r="V1055">
        <v>0.14739730000000001</v>
      </c>
      <c r="W1055">
        <v>-2.6545740000000002E-2</v>
      </c>
      <c r="X1055">
        <v>0.98872110000000002</v>
      </c>
      <c r="Y1055">
        <v>0.25015340000000003</v>
      </c>
      <c r="Z1055">
        <v>-4.1899839999999999E-3</v>
      </c>
      <c r="AA1055">
        <v>0.96819719999999998</v>
      </c>
      <c r="AB1055">
        <v>33</v>
      </c>
      <c r="AC1055">
        <v>13.920599999999901</v>
      </c>
      <c r="AD1055">
        <v>-1.1060883052529999</v>
      </c>
      <c r="AE1055">
        <v>-4.7242999999999702</v>
      </c>
      <c r="AF1055">
        <v>3.71384677256858</v>
      </c>
      <c r="AG1055">
        <v>-1.1060883052529999</v>
      </c>
      <c r="AH1055">
        <v>14.1380061332006</v>
      </c>
      <c r="AI1055">
        <v>94.327208933530798</v>
      </c>
      <c r="AJ1055">
        <v>75.281762576797902</v>
      </c>
      <c r="AK1055">
        <v>14.659444280447801</v>
      </c>
      <c r="AL1055">
        <v>91.521137512295795</v>
      </c>
      <c r="AM1055">
        <v>81.520863912521605</v>
      </c>
      <c r="AN1055">
        <v>1.0000000269723199</v>
      </c>
    </row>
    <row r="1056" spans="1:40" x14ac:dyDescent="0.25">
      <c r="A1056" t="str">
        <f>"20190312151518388"</f>
        <v>20190312151518388</v>
      </c>
      <c r="B1056" t="str">
        <f>"1552374918378572"</f>
        <v>1552374918378572</v>
      </c>
      <c r="C1056" t="s">
        <v>40</v>
      </c>
      <c r="D1056">
        <v>4.9303189999999999</v>
      </c>
      <c r="E1056">
        <v>0.54193669999999905</v>
      </c>
      <c r="F1056" t="s">
        <v>45</v>
      </c>
      <c r="G1056">
        <v>-205.1387</v>
      </c>
      <c r="H1056" s="1">
        <v>-4.2192990000000002E-6</v>
      </c>
      <c r="I1056">
        <v>364.20519999999999</v>
      </c>
      <c r="J1056">
        <v>-219.09360000000001</v>
      </c>
      <c r="K1056">
        <v>1.105988</v>
      </c>
      <c r="L1056">
        <v>369.02390000000003</v>
      </c>
      <c r="M1056">
        <v>0.99723019999999996</v>
      </c>
      <c r="N1056">
        <v>0</v>
      </c>
      <c r="O1056">
        <v>-7.2922420000000002E-2</v>
      </c>
      <c r="P1056">
        <v>0.97446619999999995</v>
      </c>
      <c r="Q1056">
        <v>-3.9978720000000002E-2</v>
      </c>
      <c r="R1056">
        <v>-0.22094659999999999</v>
      </c>
      <c r="S1056">
        <v>2.85025</v>
      </c>
      <c r="T1056">
        <v>-0.22267329999999999</v>
      </c>
      <c r="U1056">
        <v>-0.97348020000000002</v>
      </c>
      <c r="V1056">
        <v>0.14905550000000001</v>
      </c>
      <c r="W1056">
        <v>-2.685442E-2</v>
      </c>
      <c r="X1056">
        <v>0.98846409999999996</v>
      </c>
      <c r="Y1056">
        <v>0.25284570000000001</v>
      </c>
      <c r="Z1056">
        <v>-4.0784480000000001E-3</v>
      </c>
      <c r="AA1056">
        <v>0.96749799999999997</v>
      </c>
      <c r="AB1056">
        <v>33</v>
      </c>
      <c r="AC1056">
        <v>13.9549</v>
      </c>
      <c r="AD1056">
        <v>-1.1059922192989999</v>
      </c>
      <c r="AE1056">
        <v>-4.81870000000003</v>
      </c>
      <c r="AF1056">
        <v>3.7669929864557501</v>
      </c>
      <c r="AG1056">
        <v>-1.1059922192989999</v>
      </c>
      <c r="AH1056">
        <v>14.1895338747922</v>
      </c>
      <c r="AI1056">
        <v>94.308222611814799</v>
      </c>
      <c r="AJ1056">
        <v>75.1322463516711</v>
      </c>
      <c r="AK1056">
        <v>14.722646723094099</v>
      </c>
      <c r="AL1056">
        <v>91.538829938348798</v>
      </c>
      <c r="AM1056">
        <v>81.424688598925201</v>
      </c>
      <c r="AN1056">
        <v>0.99999998947129798</v>
      </c>
    </row>
    <row r="1057" spans="1:40" x14ac:dyDescent="0.25">
      <c r="A1057" t="str">
        <f>"20190312151518409"</f>
        <v>20190312151518409</v>
      </c>
      <c r="B1057" t="str">
        <f>"1552374918399069"</f>
        <v>1552374918399069</v>
      </c>
      <c r="C1057" t="s">
        <v>40</v>
      </c>
      <c r="D1057">
        <v>5.0630860000000002</v>
      </c>
      <c r="E1057">
        <v>0.54268539999999998</v>
      </c>
      <c r="F1057" t="s">
        <v>45</v>
      </c>
      <c r="G1057">
        <v>-205.0273</v>
      </c>
      <c r="H1057" s="1">
        <v>-4.1829299999999998E-6</v>
      </c>
      <c r="I1057">
        <v>364.13529999999997</v>
      </c>
      <c r="J1057">
        <v>-218.78479999999999</v>
      </c>
      <c r="K1057">
        <v>1.105831</v>
      </c>
      <c r="L1057">
        <v>368.99720000000002</v>
      </c>
      <c r="M1057">
        <v>0.99691280000000004</v>
      </c>
      <c r="N1057">
        <v>0</v>
      </c>
      <c r="O1057">
        <v>-7.7138860000000004E-2</v>
      </c>
      <c r="P1057">
        <v>0.9732288</v>
      </c>
      <c r="Q1057">
        <v>-4.0072160000000002E-2</v>
      </c>
      <c r="R1057">
        <v>-0.2263183</v>
      </c>
      <c r="S1057">
        <v>2.8452299999999999</v>
      </c>
      <c r="T1057">
        <v>-0.2237122</v>
      </c>
      <c r="U1057">
        <v>-0.9888306</v>
      </c>
      <c r="V1057">
        <v>0.1503167</v>
      </c>
      <c r="W1057">
        <v>-2.7010780000000002E-2</v>
      </c>
      <c r="X1057">
        <v>0.98826890000000001</v>
      </c>
      <c r="Y1057">
        <v>0.25394529999999998</v>
      </c>
      <c r="Z1057">
        <v>-3.8240100000000001E-3</v>
      </c>
      <c r="AA1057">
        <v>0.96721100000000004</v>
      </c>
      <c r="AB1057">
        <v>33</v>
      </c>
      <c r="AC1057">
        <v>13.757499999999901</v>
      </c>
      <c r="AD1057">
        <v>-1.1058351829299999</v>
      </c>
      <c r="AE1057">
        <v>-4.8619000000000403</v>
      </c>
      <c r="AF1057">
        <v>3.76443672336387</v>
      </c>
      <c r="AG1057">
        <v>-1.1058351829299999</v>
      </c>
      <c r="AH1057">
        <v>14.0111049629318</v>
      </c>
      <c r="AI1057">
        <v>94.358796099244103</v>
      </c>
      <c r="AJ1057">
        <v>74.961195235281707</v>
      </c>
      <c r="AK1057">
        <v>14.5500830780552</v>
      </c>
      <c r="AL1057">
        <v>91.547791855082806</v>
      </c>
      <c r="AM1057">
        <v>81.351540629530206</v>
      </c>
      <c r="AN1057">
        <v>1.0000000556211499</v>
      </c>
    </row>
    <row r="1058" spans="1:40" x14ac:dyDescent="0.25">
      <c r="A1058" t="str">
        <f>"20190312151518422"</f>
        <v>20190312151518422</v>
      </c>
      <c r="B1058" t="str">
        <f>"1552374918418588"</f>
        <v>1552374918418588</v>
      </c>
      <c r="C1058" t="s">
        <v>40</v>
      </c>
      <c r="D1058">
        <v>5.049506</v>
      </c>
      <c r="E1058">
        <v>0.59337790000000001</v>
      </c>
      <c r="F1058" t="s">
        <v>45</v>
      </c>
      <c r="G1058">
        <v>-204.85380000000001</v>
      </c>
      <c r="H1058" s="1">
        <v>-4.1182830000000002E-6</v>
      </c>
      <c r="I1058">
        <v>364.03769999999997</v>
      </c>
      <c r="J1058">
        <v>-218.59379999999999</v>
      </c>
      <c r="K1058">
        <v>1.105734</v>
      </c>
      <c r="L1058">
        <v>368.97980000000001</v>
      </c>
      <c r="M1058">
        <v>0.99669949999999996</v>
      </c>
      <c r="N1058">
        <v>0</v>
      </c>
      <c r="O1058">
        <v>-7.9848160000000001E-2</v>
      </c>
      <c r="P1058">
        <v>0.97247729999999999</v>
      </c>
      <c r="Q1058">
        <v>-4.0078429999999998E-2</v>
      </c>
      <c r="R1058">
        <v>-0.2295246</v>
      </c>
      <c r="S1058">
        <v>2.838257</v>
      </c>
      <c r="T1058">
        <v>-0.22529959999999999</v>
      </c>
      <c r="U1058">
        <v>-1.010437</v>
      </c>
      <c r="V1058">
        <v>0.15088099999999999</v>
      </c>
      <c r="W1058">
        <v>-2.705478E-2</v>
      </c>
      <c r="X1058">
        <v>0.98818170000000005</v>
      </c>
      <c r="Y1058">
        <v>0.25858799999999998</v>
      </c>
      <c r="Z1058">
        <v>-3.8277229999999999E-3</v>
      </c>
      <c r="AA1058">
        <v>0.96598010000000001</v>
      </c>
      <c r="AB1058">
        <v>33</v>
      </c>
      <c r="AC1058">
        <v>13.739999999999901</v>
      </c>
      <c r="AD1058">
        <v>-1.1057381182829999</v>
      </c>
      <c r="AE1058">
        <v>-4.9421000000000301</v>
      </c>
      <c r="AF1058">
        <v>3.80725277518557</v>
      </c>
      <c r="AG1058">
        <v>-1.1057381182829999</v>
      </c>
      <c r="AH1058">
        <v>14.0104367996628</v>
      </c>
      <c r="AI1058">
        <v>94.355267953514996</v>
      </c>
      <c r="AJ1058">
        <v>74.7973290434945</v>
      </c>
      <c r="AK1058">
        <v>14.5605690066607</v>
      </c>
      <c r="AL1058">
        <v>91.550313792242093</v>
      </c>
      <c r="AM1058">
        <v>81.318812985482793</v>
      </c>
      <c r="AN1058">
        <v>1.0000000547483601</v>
      </c>
    </row>
    <row r="1059" spans="1:40" x14ac:dyDescent="0.25">
      <c r="A1059" t="str">
        <f>"20190312151518434"</f>
        <v>20190312151518434</v>
      </c>
      <c r="B1059" t="str">
        <f>"1552374918428348"</f>
        <v>1552374918428348</v>
      </c>
      <c r="C1059" t="s">
        <v>40</v>
      </c>
      <c r="D1059">
        <v>5.088152</v>
      </c>
      <c r="E1059">
        <v>0.5962615</v>
      </c>
      <c r="F1059" t="s">
        <v>45</v>
      </c>
      <c r="G1059">
        <v>-209.8476</v>
      </c>
      <c r="H1059" s="1">
        <v>-6.03907799999999E-6</v>
      </c>
      <c r="I1059">
        <v>364.4622</v>
      </c>
      <c r="J1059">
        <v>-218.40940000000001</v>
      </c>
      <c r="K1059">
        <v>1.105637</v>
      </c>
      <c r="L1059">
        <v>368.96269999999998</v>
      </c>
      <c r="M1059">
        <v>0.9964828</v>
      </c>
      <c r="N1059">
        <v>0</v>
      </c>
      <c r="O1059">
        <v>-8.250739E-2</v>
      </c>
      <c r="P1059">
        <v>0.97179280000000001</v>
      </c>
      <c r="Q1059">
        <v>-3.9814200000000001E-2</v>
      </c>
      <c r="R1059">
        <v>-0.23245189999999999</v>
      </c>
      <c r="S1059">
        <v>2.7369690000000002</v>
      </c>
      <c r="T1059">
        <v>-0.3460222</v>
      </c>
      <c r="U1059">
        <v>-1.413727</v>
      </c>
      <c r="V1059">
        <v>0.15121499999999999</v>
      </c>
      <c r="W1059">
        <v>-2.6825229999999999E-2</v>
      </c>
      <c r="X1059">
        <v>0.98813680000000004</v>
      </c>
      <c r="Y1059">
        <v>0.38217980000000001</v>
      </c>
      <c r="Z1059">
        <v>-1.292976E-2</v>
      </c>
      <c r="AA1059">
        <v>0.92399750000000003</v>
      </c>
      <c r="AB1059">
        <v>33</v>
      </c>
      <c r="AC1059">
        <v>8.5617999999999999</v>
      </c>
      <c r="AD1059">
        <v>-1.1056430390780001</v>
      </c>
      <c r="AE1059">
        <v>-4.5004999999999802</v>
      </c>
      <c r="AF1059">
        <v>3.7299289874718</v>
      </c>
      <c r="AG1059">
        <v>-1.1056430390780001</v>
      </c>
      <c r="AH1059">
        <v>8.7891269470121696</v>
      </c>
      <c r="AI1059">
        <v>96.605453906127906</v>
      </c>
      <c r="AJ1059">
        <v>67.004607232587702</v>
      </c>
      <c r="AK1059">
        <v>9.6116371795932594</v>
      </c>
      <c r="AL1059">
        <v>91.537156928871994</v>
      </c>
      <c r="AM1059">
        <v>81.299500188923403</v>
      </c>
      <c r="AN1059">
        <v>0.99999995235189498</v>
      </c>
    </row>
    <row r="1060" spans="1:40" x14ac:dyDescent="0.25">
      <c r="A1060" t="str">
        <f>"20190312151518445"</f>
        <v>20190312151518445</v>
      </c>
      <c r="B1060" t="str">
        <f>"1552374918439084"</f>
        <v>1552374918439084</v>
      </c>
      <c r="C1060" t="s">
        <v>40</v>
      </c>
      <c r="D1060">
        <v>5.026103</v>
      </c>
      <c r="E1060">
        <v>0.59756949999999998</v>
      </c>
      <c r="F1060" t="s">
        <v>45</v>
      </c>
      <c r="G1060">
        <v>-209.3158</v>
      </c>
      <c r="H1060" s="1">
        <v>-5.9099620000000004E-6</v>
      </c>
      <c r="I1060">
        <v>364.14920000000001</v>
      </c>
      <c r="J1060">
        <v>-218.2396</v>
      </c>
      <c r="K1060">
        <v>1.1055429999999999</v>
      </c>
      <c r="L1060">
        <v>368.94619999999998</v>
      </c>
      <c r="M1060">
        <v>0.99626930000000002</v>
      </c>
      <c r="N1060">
        <v>0</v>
      </c>
      <c r="O1060">
        <v>-8.5046399999999994E-2</v>
      </c>
      <c r="P1060">
        <v>0.97106789999999998</v>
      </c>
      <c r="Q1060">
        <v>-3.9796310000000001E-2</v>
      </c>
      <c r="R1060">
        <v>-0.23546520000000001</v>
      </c>
      <c r="S1060">
        <v>2.7280730000000002</v>
      </c>
      <c r="T1060">
        <v>-0.33169159999999998</v>
      </c>
      <c r="U1060">
        <v>-1.444061</v>
      </c>
      <c r="V1060">
        <v>0.1517558</v>
      </c>
      <c r="W1060">
        <v>-2.6842910000000001E-2</v>
      </c>
      <c r="X1060">
        <v>0.98805339999999997</v>
      </c>
      <c r="Y1060">
        <v>0.38923229999999998</v>
      </c>
      <c r="Z1060">
        <v>-1.2520450000000001E-2</v>
      </c>
      <c r="AA1060">
        <v>0.9210545</v>
      </c>
      <c r="AB1060">
        <v>33</v>
      </c>
      <c r="AC1060">
        <v>8.9238</v>
      </c>
      <c r="AD1060">
        <v>-1.1055489099619999</v>
      </c>
      <c r="AE1060">
        <v>-4.7969999999999597</v>
      </c>
      <c r="AF1060">
        <v>3.9732867330283801</v>
      </c>
      <c r="AG1060">
        <v>-1.1055489099619999</v>
      </c>
      <c r="AH1060">
        <v>9.1900440241923391</v>
      </c>
      <c r="AI1060">
        <v>96.301091270916899</v>
      </c>
      <c r="AJ1060">
        <v>66.618909315607695</v>
      </c>
      <c r="AK1060">
        <v>10.073041001692101</v>
      </c>
      <c r="AL1060">
        <v>91.538170297672707</v>
      </c>
      <c r="AM1060">
        <v>81.268137054769895</v>
      </c>
      <c r="AN1060">
        <v>0.99999994295123196</v>
      </c>
    </row>
    <row r="1061" spans="1:40" x14ac:dyDescent="0.25">
      <c r="A1061" t="str">
        <f>"20190312151518457"</f>
        <v>20190312151518457</v>
      </c>
      <c r="B1061" t="str">
        <f>"1552374918448843"</f>
        <v>1552374918448843</v>
      </c>
      <c r="C1061" t="s">
        <v>40</v>
      </c>
      <c r="D1061">
        <v>5.0367300000000004</v>
      </c>
      <c r="E1061">
        <v>0.59873449999999995</v>
      </c>
      <c r="F1061" t="s">
        <v>45</v>
      </c>
      <c r="G1061">
        <v>-208.95419999999999</v>
      </c>
      <c r="H1061" s="1">
        <v>-5.8190809999999996E-6</v>
      </c>
      <c r="I1061">
        <v>363.95600000000002</v>
      </c>
      <c r="J1061">
        <v>-218.07130000000001</v>
      </c>
      <c r="K1061">
        <v>1.105453</v>
      </c>
      <c r="L1061">
        <v>368.92950000000002</v>
      </c>
      <c r="M1061">
        <v>0.99604769999999998</v>
      </c>
      <c r="N1061">
        <v>0</v>
      </c>
      <c r="O1061">
        <v>-8.7600919999999999E-2</v>
      </c>
      <c r="P1061">
        <v>0.97026610000000002</v>
      </c>
      <c r="Q1061">
        <v>-4.02321E-2</v>
      </c>
      <c r="R1061">
        <v>-0.2386733</v>
      </c>
      <c r="S1061">
        <v>2.7214510000000001</v>
      </c>
      <c r="T1061">
        <v>-0.32402439999999999</v>
      </c>
      <c r="U1061">
        <v>-1.462585</v>
      </c>
      <c r="V1061">
        <v>0.15247839999999999</v>
      </c>
      <c r="W1061">
        <v>-2.731683E-2</v>
      </c>
      <c r="X1061">
        <v>0.98792919999999995</v>
      </c>
      <c r="Y1061">
        <v>0.39274720000000002</v>
      </c>
      <c r="Z1061">
        <v>-1.2156459999999999E-2</v>
      </c>
      <c r="AA1061">
        <v>0.9195662</v>
      </c>
      <c r="AB1061">
        <v>33</v>
      </c>
      <c r="AC1061">
        <v>9.1171000000000202</v>
      </c>
      <c r="AD1061">
        <v>-1.105458819081</v>
      </c>
      <c r="AE1061">
        <v>-4.9735000000000502</v>
      </c>
      <c r="AF1061">
        <v>4.1090673830771101</v>
      </c>
      <c r="AG1061">
        <v>-1.105458819081</v>
      </c>
      <c r="AH1061">
        <v>9.4111434189477201</v>
      </c>
      <c r="AI1061">
        <v>96.144185753736394</v>
      </c>
      <c r="AJ1061">
        <v>66.413089154119007</v>
      </c>
      <c r="AK1061">
        <v>10.3284119985288</v>
      </c>
      <c r="AL1061">
        <v>91.565333806480197</v>
      </c>
      <c r="AM1061">
        <v>81.226119000227499</v>
      </c>
      <c r="AN1061">
        <v>0.99999998794022404</v>
      </c>
    </row>
    <row r="1062" spans="1:40" x14ac:dyDescent="0.25">
      <c r="A1062" t="str">
        <f>"20190312151518469"</f>
        <v>20190312151518469</v>
      </c>
      <c r="B1062" t="str">
        <f>"1552374918458603"</f>
        <v>1552374918458603</v>
      </c>
      <c r="C1062" t="s">
        <v>40</v>
      </c>
      <c r="D1062">
        <v>5.066592</v>
      </c>
      <c r="E1062">
        <v>0.59965570000000001</v>
      </c>
      <c r="F1062" t="s">
        <v>45</v>
      </c>
      <c r="G1062">
        <v>-208.5796</v>
      </c>
      <c r="H1062" s="1">
        <v>-5.72565799999999E-6</v>
      </c>
      <c r="I1062">
        <v>363.75139999999999</v>
      </c>
      <c r="J1062">
        <v>-217.8963</v>
      </c>
      <c r="K1062">
        <v>1.105359</v>
      </c>
      <c r="L1062">
        <v>368.91160000000002</v>
      </c>
      <c r="M1062">
        <v>0.99580519999999995</v>
      </c>
      <c r="N1062">
        <v>0</v>
      </c>
      <c r="O1062">
        <v>-9.0316649999999998E-2</v>
      </c>
      <c r="P1062">
        <v>0.96944379999999997</v>
      </c>
      <c r="Q1062">
        <v>-4.033991E-2</v>
      </c>
      <c r="R1062">
        <v>-0.24197469999999999</v>
      </c>
      <c r="S1062">
        <v>2.7145540000000001</v>
      </c>
      <c r="T1062">
        <v>-0.31615559999999998</v>
      </c>
      <c r="U1062">
        <v>-1.480896</v>
      </c>
      <c r="V1062">
        <v>0.15313979999999999</v>
      </c>
      <c r="W1062">
        <v>-2.7463100000000001E-2</v>
      </c>
      <c r="X1062">
        <v>0.9878228</v>
      </c>
      <c r="Y1062">
        <v>0.39608179999999998</v>
      </c>
      <c r="Z1062">
        <v>-1.176253E-2</v>
      </c>
      <c r="AA1062">
        <v>0.91813990000000001</v>
      </c>
      <c r="AB1062">
        <v>33</v>
      </c>
      <c r="AC1062">
        <v>9.3166999999999902</v>
      </c>
      <c r="AD1062">
        <v>-1.1053647256579999</v>
      </c>
      <c r="AE1062">
        <v>-5.1602000000000299</v>
      </c>
      <c r="AF1062">
        <v>4.2517634740151999</v>
      </c>
      <c r="AG1062">
        <v>-1.1053647256579999</v>
      </c>
      <c r="AH1062">
        <v>9.6408678238996792</v>
      </c>
      <c r="AI1062">
        <v>95.988727226861002</v>
      </c>
      <c r="AJ1062">
        <v>66.201820360265202</v>
      </c>
      <c r="AK1062">
        <v>10.594605052270801</v>
      </c>
      <c r="AL1062">
        <v>91.573717661908901</v>
      </c>
      <c r="AM1062">
        <v>81.187722639441205</v>
      </c>
      <c r="AN1062">
        <v>0.99999995220274296</v>
      </c>
    </row>
    <row r="1063" spans="1:40" x14ac:dyDescent="0.25">
      <c r="A1063" t="str">
        <f>"20190312151518483"</f>
        <v>20190312151518483</v>
      </c>
      <c r="B1063" t="str">
        <f>"1552374918479100"</f>
        <v>1552374918479100</v>
      </c>
      <c r="C1063" t="s">
        <v>40</v>
      </c>
      <c r="D1063">
        <v>5.0551339999999998</v>
      </c>
      <c r="E1063">
        <v>0.60085080000000002</v>
      </c>
      <c r="F1063" t="s">
        <v>45</v>
      </c>
      <c r="G1063">
        <v>-208.27350000000001</v>
      </c>
      <c r="H1063" s="1">
        <v>-5.6482420000000003E-6</v>
      </c>
      <c r="I1063">
        <v>363.59089999999998</v>
      </c>
      <c r="J1063">
        <v>-217.70769999999999</v>
      </c>
      <c r="K1063">
        <v>1.1052519999999999</v>
      </c>
      <c r="L1063">
        <v>368.89159999999998</v>
      </c>
      <c r="M1063">
        <v>0.99552750000000001</v>
      </c>
      <c r="N1063">
        <v>0</v>
      </c>
      <c r="O1063">
        <v>-9.3327389999999996E-2</v>
      </c>
      <c r="P1063">
        <v>0.96859700000000004</v>
      </c>
      <c r="Q1063">
        <v>-4.0493790000000002E-2</v>
      </c>
      <c r="R1063">
        <v>-0.24531729999999999</v>
      </c>
      <c r="S1063">
        <v>2.7079010000000001</v>
      </c>
      <c r="T1063">
        <v>-0.31105300000000002</v>
      </c>
      <c r="U1063">
        <v>-1.4972529999999999</v>
      </c>
      <c r="V1063">
        <v>0.15355199999999999</v>
      </c>
      <c r="W1063">
        <v>-2.7654999999999999E-2</v>
      </c>
      <c r="X1063">
        <v>0.98775349999999995</v>
      </c>
      <c r="Y1063">
        <v>0.39856439999999999</v>
      </c>
      <c r="Z1063">
        <v>-1.1399080000000001E-2</v>
      </c>
      <c r="AA1063">
        <v>0.91706949999999998</v>
      </c>
      <c r="AB1063">
        <v>33</v>
      </c>
      <c r="AC1063">
        <v>9.4341999999999704</v>
      </c>
      <c r="AD1063">
        <v>-1.105257648242</v>
      </c>
      <c r="AE1063">
        <v>-5.3007</v>
      </c>
      <c r="AF1063">
        <v>4.3516004826158401</v>
      </c>
      <c r="AG1063">
        <v>-1.105257648242</v>
      </c>
      <c r="AH1063">
        <v>9.7856854773539794</v>
      </c>
      <c r="AI1063">
        <v>95.892195121188095</v>
      </c>
      <c r="AJ1063">
        <v>66.025743916854907</v>
      </c>
      <c r="AK1063">
        <v>10.766506466398299</v>
      </c>
      <c r="AL1063">
        <v>91.584716830487906</v>
      </c>
      <c r="AM1063">
        <v>81.163766658698407</v>
      </c>
      <c r="AN1063">
        <v>0.99999999624562497</v>
      </c>
    </row>
    <row r="1064" spans="1:40" x14ac:dyDescent="0.25">
      <c r="A1064" t="str">
        <f>"20190312151518494"</f>
        <v>20190312151518494</v>
      </c>
      <c r="B1064" t="str">
        <f>"1552374918488860"</f>
        <v>1552374918488860</v>
      </c>
      <c r="C1064" t="s">
        <v>40</v>
      </c>
      <c r="D1064">
        <v>5.0090579999999996</v>
      </c>
      <c r="E1064">
        <v>0.60123040000000005</v>
      </c>
      <c r="F1064" t="s">
        <v>45</v>
      </c>
      <c r="G1064">
        <v>-207.9186</v>
      </c>
      <c r="H1064" s="1">
        <v>-5.559872E-6</v>
      </c>
      <c r="I1064">
        <v>363.39609999999999</v>
      </c>
      <c r="J1064">
        <v>-217.52279999999999</v>
      </c>
      <c r="K1064">
        <v>1.1051489999999999</v>
      </c>
      <c r="L1064">
        <v>368.8716</v>
      </c>
      <c r="M1064">
        <v>0.99524159999999995</v>
      </c>
      <c r="N1064">
        <v>0</v>
      </c>
      <c r="O1064">
        <v>-9.6326789999999995E-2</v>
      </c>
      <c r="P1064">
        <v>0.96780529999999998</v>
      </c>
      <c r="Q1064">
        <v>-4.0723719999999998E-2</v>
      </c>
      <c r="R1064">
        <v>-0.24838450000000001</v>
      </c>
      <c r="S1064">
        <v>2.7005309999999998</v>
      </c>
      <c r="T1064">
        <v>-0.30490780000000001</v>
      </c>
      <c r="U1064">
        <v>-1.516052</v>
      </c>
      <c r="V1064">
        <v>0.1536961</v>
      </c>
      <c r="W1064">
        <v>-2.7919320000000001E-2</v>
      </c>
      <c r="X1064">
        <v>0.98772360000000003</v>
      </c>
      <c r="Y1064">
        <v>0.40178580000000003</v>
      </c>
      <c r="Z1064">
        <v>-1.104396E-2</v>
      </c>
      <c r="AA1064">
        <v>0.91566709999999996</v>
      </c>
      <c r="AB1064">
        <v>33</v>
      </c>
      <c r="AC1064">
        <v>9.6041999999999899</v>
      </c>
      <c r="AD1064">
        <v>-1.1051545598719901</v>
      </c>
      <c r="AE1064">
        <v>-5.47550000000001</v>
      </c>
      <c r="AF1064">
        <v>4.4800217355384104</v>
      </c>
      <c r="AG1064">
        <v>-1.1051545598719901</v>
      </c>
      <c r="AH1064">
        <v>9.9872200125186499</v>
      </c>
      <c r="AI1064">
        <v>95.765281934005699</v>
      </c>
      <c r="AJ1064">
        <v>65.840166582652301</v>
      </c>
      <c r="AK1064">
        <v>11.001660098846701</v>
      </c>
      <c r="AL1064">
        <v>91.599867183462806</v>
      </c>
      <c r="AM1064">
        <v>81.155341885594893</v>
      </c>
      <c r="AN1064">
        <v>0.99999994479071397</v>
      </c>
    </row>
    <row r="1065" spans="1:40" x14ac:dyDescent="0.25">
      <c r="A1065" t="str">
        <f>"20190312151518510"</f>
        <v>20190312151518510</v>
      </c>
      <c r="B1065" t="str">
        <f>"1552374918498620"</f>
        <v>1552374918498620</v>
      </c>
      <c r="C1065" t="s">
        <v>40</v>
      </c>
      <c r="D1065">
        <v>5.0465999999999998</v>
      </c>
      <c r="E1065">
        <v>0.60170539999999995</v>
      </c>
      <c r="F1065" t="s">
        <v>45</v>
      </c>
      <c r="G1065">
        <v>-207.7655</v>
      </c>
      <c r="H1065" s="1">
        <v>-5.5174809999999998E-6</v>
      </c>
      <c r="I1065">
        <v>363.33949999999999</v>
      </c>
      <c r="J1065">
        <v>-217.29750000000001</v>
      </c>
      <c r="K1065">
        <v>1.105019</v>
      </c>
      <c r="L1065">
        <v>368.84620000000001</v>
      </c>
      <c r="M1065">
        <v>0.99486889999999994</v>
      </c>
      <c r="N1065">
        <v>0</v>
      </c>
      <c r="O1065">
        <v>-0.100102</v>
      </c>
      <c r="P1065">
        <v>0.96680069999999996</v>
      </c>
      <c r="Q1065">
        <v>-4.1227760000000002E-2</v>
      </c>
      <c r="R1065">
        <v>-0.25218469999999998</v>
      </c>
      <c r="S1065">
        <v>2.6948240000000001</v>
      </c>
      <c r="T1065">
        <v>-0.30522919999999998</v>
      </c>
      <c r="U1065">
        <v>-1.5278929999999999</v>
      </c>
      <c r="V1065">
        <v>0.1538167</v>
      </c>
      <c r="W1065">
        <v>-2.8464639999999999E-2</v>
      </c>
      <c r="X1065">
        <v>0.98768929999999999</v>
      </c>
      <c r="Y1065">
        <v>0.4022038</v>
      </c>
      <c r="Z1065">
        <v>-1.069691E-2</v>
      </c>
      <c r="AA1065">
        <v>0.91548770000000002</v>
      </c>
      <c r="AB1065">
        <v>33</v>
      </c>
      <c r="AC1065">
        <v>9.532</v>
      </c>
      <c r="AD1065">
        <v>-1.1050245174810001</v>
      </c>
      <c r="AE1065">
        <v>-5.5067000000000199</v>
      </c>
      <c r="AF1065">
        <v>4.4796215844050904</v>
      </c>
      <c r="AG1065">
        <v>-1.1050245174810001</v>
      </c>
      <c r="AH1065">
        <v>9.9352918062394302</v>
      </c>
      <c r="AI1065">
        <v>95.789574594832004</v>
      </c>
      <c r="AJ1065">
        <v>65.730352289517995</v>
      </c>
      <c r="AK1065">
        <v>10.954364974695199</v>
      </c>
      <c r="AL1065">
        <v>91.631124081299006</v>
      </c>
      <c r="AM1065">
        <v>81.148209122301196</v>
      </c>
      <c r="AN1065">
        <v>0.99999998313185401</v>
      </c>
    </row>
    <row r="1066" spans="1:40" x14ac:dyDescent="0.25">
      <c r="A1066" t="str">
        <f>"20190312151518523"</f>
        <v>20190312151518523</v>
      </c>
      <c r="B1066" t="str">
        <f>"1552374918519116"</f>
        <v>1552374918519116</v>
      </c>
      <c r="C1066" t="s">
        <v>40</v>
      </c>
      <c r="D1066">
        <v>5.0194489999999998</v>
      </c>
      <c r="E1066">
        <v>0.60225869999999904</v>
      </c>
      <c r="F1066" t="s">
        <v>45</v>
      </c>
      <c r="G1066">
        <v>-207.54300000000001</v>
      </c>
      <c r="H1066" s="1">
        <v>-5.4570550000000001E-6</v>
      </c>
      <c r="I1066">
        <v>363.24939999999998</v>
      </c>
      <c r="J1066">
        <v>-217.1148</v>
      </c>
      <c r="K1066">
        <v>1.1049199999999999</v>
      </c>
      <c r="L1066">
        <v>368.82479999999998</v>
      </c>
      <c r="M1066">
        <v>0.99454719999999996</v>
      </c>
      <c r="N1066">
        <v>0</v>
      </c>
      <c r="O1066">
        <v>-0.1032472</v>
      </c>
      <c r="P1066">
        <v>0.96586450000000001</v>
      </c>
      <c r="Q1066">
        <v>-4.1711409999999997E-2</v>
      </c>
      <c r="R1066">
        <v>-0.25566759999999999</v>
      </c>
      <c r="S1066">
        <v>2.6877900000000001</v>
      </c>
      <c r="T1066">
        <v>-0.3044829</v>
      </c>
      <c r="U1066">
        <v>-1.5421450000000001</v>
      </c>
      <c r="V1066">
        <v>0.15424309999999999</v>
      </c>
      <c r="W1066">
        <v>-2.8985420000000001E-2</v>
      </c>
      <c r="X1066">
        <v>0.98760769999999998</v>
      </c>
      <c r="Y1066">
        <v>0.40400979999999997</v>
      </c>
      <c r="Z1066">
        <v>-1.045306E-2</v>
      </c>
      <c r="AA1066">
        <v>0.91469500000000004</v>
      </c>
      <c r="AB1066">
        <v>33</v>
      </c>
      <c r="AC1066">
        <v>9.5717999999999908</v>
      </c>
      <c r="AD1066">
        <v>-1.104925457055</v>
      </c>
      <c r="AE1066">
        <v>-5.5754000000000001</v>
      </c>
      <c r="AF1066">
        <v>4.51233293596108</v>
      </c>
      <c r="AG1066">
        <v>-1.104925457055</v>
      </c>
      <c r="AH1066">
        <v>9.9968762656119505</v>
      </c>
      <c r="AI1066">
        <v>95.752576977597002</v>
      </c>
      <c r="AJ1066">
        <v>65.706807229692103</v>
      </c>
      <c r="AK1066">
        <v>11.0235903343948</v>
      </c>
      <c r="AL1066">
        <v>91.660974820249606</v>
      </c>
      <c r="AM1066">
        <v>81.123339296006904</v>
      </c>
      <c r="AN1066">
        <v>1.0000000287847299</v>
      </c>
    </row>
    <row r="1067" spans="1:40" x14ac:dyDescent="0.25">
      <c r="A1067" t="str">
        <f>"20190312151518536"</f>
        <v>20190312151518536</v>
      </c>
      <c r="B1067" t="str">
        <f>"1552374918528876"</f>
        <v>1552374918528876</v>
      </c>
      <c r="C1067" t="s">
        <v>40</v>
      </c>
      <c r="D1067">
        <v>5.0149990000000004</v>
      </c>
      <c r="E1067">
        <v>0.60250159999999997</v>
      </c>
      <c r="F1067" t="s">
        <v>45</v>
      </c>
      <c r="G1067">
        <v>-207.49090000000001</v>
      </c>
      <c r="H1067" s="1">
        <v>-5.4415399999999997E-6</v>
      </c>
      <c r="I1067">
        <v>363.2371</v>
      </c>
      <c r="J1067">
        <v>-216.91579999999999</v>
      </c>
      <c r="K1067">
        <v>1.104808</v>
      </c>
      <c r="L1067">
        <v>368.80090000000001</v>
      </c>
      <c r="M1067">
        <v>0.99417940000000005</v>
      </c>
      <c r="N1067">
        <v>0</v>
      </c>
      <c r="O1067">
        <v>-0.10672959999999999</v>
      </c>
      <c r="P1067">
        <v>0.96486249999999996</v>
      </c>
      <c r="Q1067">
        <v>-4.1897860000000002E-2</v>
      </c>
      <c r="R1067">
        <v>-0.25939390000000001</v>
      </c>
      <c r="S1067">
        <v>2.6807249999999998</v>
      </c>
      <c r="T1067">
        <v>-0.3077744</v>
      </c>
      <c r="U1067">
        <v>-1.556427</v>
      </c>
      <c r="V1067">
        <v>0.154587</v>
      </c>
      <c r="W1067">
        <v>-2.9210529999999998E-2</v>
      </c>
      <c r="X1067">
        <v>0.98754730000000002</v>
      </c>
      <c r="Y1067">
        <v>0.40547850000000002</v>
      </c>
      <c r="Z1067">
        <v>-1.0292010000000001E-2</v>
      </c>
      <c r="AA1067">
        <v>0.91404660000000004</v>
      </c>
      <c r="AB1067">
        <v>33</v>
      </c>
      <c r="AC1067">
        <v>9.4248999999999796</v>
      </c>
      <c r="AD1067">
        <v>-1.1048134415399999</v>
      </c>
      <c r="AE1067">
        <v>-5.5638000000000103</v>
      </c>
      <c r="AF1067">
        <v>4.4803337441948896</v>
      </c>
      <c r="AG1067">
        <v>-1.1048134415399999</v>
      </c>
      <c r="AH1067">
        <v>9.8644213348140202</v>
      </c>
      <c r="AI1067">
        <v>95.822580776323704</v>
      </c>
      <c r="AJ1067">
        <v>65.572867357498893</v>
      </c>
      <c r="AK1067">
        <v>10.8903999683534</v>
      </c>
      <c r="AL1067">
        <v>91.673878130026907</v>
      </c>
      <c r="AM1067">
        <v>81.103328729611505</v>
      </c>
      <c r="AN1067">
        <v>1.0000000326845799</v>
      </c>
    </row>
    <row r="1068" spans="1:40" x14ac:dyDescent="0.25">
      <c r="A1068" t="str">
        <f>"20190312151518548"</f>
        <v>20190312151518548</v>
      </c>
      <c r="B1068" t="str">
        <f>"1552374918538635"</f>
        <v>1552374918538635</v>
      </c>
      <c r="C1068" t="s">
        <v>40</v>
      </c>
      <c r="D1068">
        <v>5.0340809999999996</v>
      </c>
      <c r="E1068">
        <v>0.60274510000000003</v>
      </c>
      <c r="F1068" t="s">
        <v>45</v>
      </c>
      <c r="G1068">
        <v>-207.35769999999999</v>
      </c>
      <c r="H1068" s="1">
        <v>-5.4035479999999996E-6</v>
      </c>
      <c r="I1068">
        <v>363.19490000000002</v>
      </c>
      <c r="J1068">
        <v>-216.7397</v>
      </c>
      <c r="K1068">
        <v>1.1047100000000001</v>
      </c>
      <c r="L1068">
        <v>368.779</v>
      </c>
      <c r="M1068">
        <v>0.99383440000000001</v>
      </c>
      <c r="N1068">
        <v>0</v>
      </c>
      <c r="O1068">
        <v>-0.1098953</v>
      </c>
      <c r="P1068">
        <v>0.96388039999999997</v>
      </c>
      <c r="Q1068">
        <v>-4.2579529999999997E-2</v>
      </c>
      <c r="R1068">
        <v>-0.26290970000000002</v>
      </c>
      <c r="S1068">
        <v>2.6741640000000002</v>
      </c>
      <c r="T1068">
        <v>-0.30910339999999997</v>
      </c>
      <c r="U1068">
        <v>-1.568451</v>
      </c>
      <c r="V1068">
        <v>0.15503029999999901</v>
      </c>
      <c r="W1068">
        <v>-2.9928550000000002E-2</v>
      </c>
      <c r="X1068">
        <v>0.98745629999999995</v>
      </c>
      <c r="Y1068">
        <v>0.40660200000000002</v>
      </c>
      <c r="Z1068">
        <v>-1.007621E-2</v>
      </c>
      <c r="AA1068">
        <v>0.91354979999999997</v>
      </c>
      <c r="AB1068">
        <v>33</v>
      </c>
      <c r="AC1068">
        <v>9.3819999999999997</v>
      </c>
      <c r="AD1068">
        <v>-1.104715403548</v>
      </c>
      <c r="AE1068">
        <v>-5.5840999999999701</v>
      </c>
      <c r="AF1068">
        <v>4.4733242162455502</v>
      </c>
      <c r="AG1068">
        <v>-1.104715403548</v>
      </c>
      <c r="AH1068">
        <v>9.8381732350868791</v>
      </c>
      <c r="AI1068">
        <v>95.836403583309604</v>
      </c>
      <c r="AJ1068">
        <v>65.549156642305903</v>
      </c>
      <c r="AK1068">
        <v>10.863732244034001</v>
      </c>
      <c r="AL1068">
        <v>91.715035649967902</v>
      </c>
      <c r="AM1068">
        <v>81.077417137135498</v>
      </c>
      <c r="AN1068">
        <v>1.0000000282164401</v>
      </c>
    </row>
    <row r="1069" spans="1:40" x14ac:dyDescent="0.25">
      <c r="A1069" t="str">
        <f>"20190312151518561"</f>
        <v>20190312151518561</v>
      </c>
      <c r="B1069" t="str">
        <f>"1552374918548396"</f>
        <v>1552374918548396</v>
      </c>
      <c r="C1069" t="s">
        <v>40</v>
      </c>
      <c r="D1069">
        <v>5.0280180000000003</v>
      </c>
      <c r="E1069">
        <v>0.60304729999999995</v>
      </c>
      <c r="F1069" t="s">
        <v>45</v>
      </c>
      <c r="G1069">
        <v>-207.31729999999999</v>
      </c>
      <c r="H1069" s="1">
        <v>-5.3894590000000002E-6</v>
      </c>
      <c r="I1069">
        <v>363.19839999999999</v>
      </c>
      <c r="J1069">
        <v>-216.5548</v>
      </c>
      <c r="K1069">
        <v>1.104609</v>
      </c>
      <c r="L1069">
        <v>368.75529999999998</v>
      </c>
      <c r="M1069">
        <v>0.99345349999999999</v>
      </c>
      <c r="N1069">
        <v>0</v>
      </c>
      <c r="O1069">
        <v>-0.1132856</v>
      </c>
      <c r="P1069">
        <v>0.96275750000000004</v>
      </c>
      <c r="Q1069">
        <v>-4.2999540000000003E-2</v>
      </c>
      <c r="R1069">
        <v>-0.26692569999999999</v>
      </c>
      <c r="S1069">
        <v>2.6676790000000001</v>
      </c>
      <c r="T1069">
        <v>-0.31276700000000002</v>
      </c>
      <c r="U1069">
        <v>-1.579987</v>
      </c>
      <c r="V1069">
        <v>0.15576670000000001</v>
      </c>
      <c r="W1069">
        <v>-3.038969E-2</v>
      </c>
      <c r="X1069">
        <v>0.98732629999999999</v>
      </c>
      <c r="Y1069">
        <v>0.40736270000000002</v>
      </c>
      <c r="Z1069">
        <v>-9.8882899999999992E-3</v>
      </c>
      <c r="AA1069">
        <v>0.91321300000000005</v>
      </c>
      <c r="AB1069">
        <v>33</v>
      </c>
      <c r="AC1069">
        <v>9.2375000000000096</v>
      </c>
      <c r="AD1069">
        <v>-1.1046143894589999</v>
      </c>
      <c r="AE1069">
        <v>-5.5568999999999802</v>
      </c>
      <c r="AF1069">
        <v>4.4280374995610696</v>
      </c>
      <c r="AG1069">
        <v>-1.1046143894589999</v>
      </c>
      <c r="AH1069">
        <v>9.7056985855290101</v>
      </c>
      <c r="AI1069">
        <v>95.911556353494106</v>
      </c>
      <c r="AJ1069">
        <v>65.476073183106095</v>
      </c>
      <c r="AK1069">
        <v>10.725123499524701</v>
      </c>
      <c r="AL1069">
        <v>91.7414690805752</v>
      </c>
      <c r="AM1069">
        <v>81.034560054678707</v>
      </c>
      <c r="AN1069">
        <v>1.00000001037943</v>
      </c>
    </row>
    <row r="1070" spans="1:40" x14ac:dyDescent="0.25">
      <c r="A1070" t="str">
        <f>"20190312151518574"</f>
        <v>20190312151518574</v>
      </c>
      <c r="B1070" t="str">
        <f>"1552374918568893"</f>
        <v>1552374918568893</v>
      </c>
      <c r="C1070" t="s">
        <v>40</v>
      </c>
      <c r="D1070">
        <v>5.06989</v>
      </c>
      <c r="E1070">
        <v>0.60363489999999997</v>
      </c>
      <c r="F1070" t="s">
        <v>45</v>
      </c>
      <c r="G1070">
        <v>-207.2373</v>
      </c>
      <c r="H1070" s="1">
        <v>-5.3663730000000003E-6</v>
      </c>
      <c r="I1070">
        <v>363.1748</v>
      </c>
      <c r="J1070">
        <v>-216.35319999999999</v>
      </c>
      <c r="K1070">
        <v>1.104503</v>
      </c>
      <c r="L1070">
        <v>368.72890000000001</v>
      </c>
      <c r="M1070">
        <v>0.99301799999999996</v>
      </c>
      <c r="N1070">
        <v>0</v>
      </c>
      <c r="O1070">
        <v>-0.1170398</v>
      </c>
      <c r="P1070">
        <v>0.96158390000000005</v>
      </c>
      <c r="Q1070">
        <v>-4.3162789999999999E-2</v>
      </c>
      <c r="R1070">
        <v>-0.27109689999999997</v>
      </c>
      <c r="S1070">
        <v>2.660202</v>
      </c>
      <c r="T1070">
        <v>-0.31537369999999998</v>
      </c>
      <c r="U1070">
        <v>-1.593262</v>
      </c>
      <c r="V1070">
        <v>0.15630569999999999</v>
      </c>
      <c r="W1070">
        <v>-3.0593559999999999E-2</v>
      </c>
      <c r="X1070">
        <v>0.98723479999999997</v>
      </c>
      <c r="Y1070">
        <v>0.40838649999999999</v>
      </c>
      <c r="Z1070">
        <v>-9.6377909999999997E-3</v>
      </c>
      <c r="AA1070">
        <v>0.91275819999999996</v>
      </c>
      <c r="AB1070">
        <v>33</v>
      </c>
      <c r="AC1070">
        <v>9.1158999999999804</v>
      </c>
      <c r="AD1070">
        <v>-1.104508366373</v>
      </c>
      <c r="AE1070">
        <v>-5.5541</v>
      </c>
      <c r="AF1070">
        <v>4.40175497870929</v>
      </c>
      <c r="AG1070">
        <v>-1.104508366373</v>
      </c>
      <c r="AH1070">
        <v>9.6005711188420193</v>
      </c>
      <c r="AI1070">
        <v>95.970188675149402</v>
      </c>
      <c r="AJ1070">
        <v>65.369071239099995</v>
      </c>
      <c r="AK1070">
        <v>10.619150221742</v>
      </c>
      <c r="AL1070">
        <v>91.753155433563293</v>
      </c>
      <c r="AM1070">
        <v>81.003223270461405</v>
      </c>
      <c r="AN1070">
        <v>0.99999999404850104</v>
      </c>
    </row>
    <row r="1071" spans="1:40" x14ac:dyDescent="0.25">
      <c r="A1071" t="str">
        <f>"20190312151518587"</f>
        <v>20190312151518587</v>
      </c>
      <c r="B1071" t="str">
        <f>"1552374918578652"</f>
        <v>1552374918578652</v>
      </c>
      <c r="C1071" t="s">
        <v>40</v>
      </c>
      <c r="D1071">
        <v>5.0110839999999897</v>
      </c>
      <c r="E1071">
        <v>0.60386649999999997</v>
      </c>
      <c r="F1071" t="s">
        <v>45</v>
      </c>
      <c r="G1071">
        <v>-207.16659999999999</v>
      </c>
      <c r="H1071" s="1">
        <v>-5.3458450000000003E-6</v>
      </c>
      <c r="I1071">
        <v>363.15469999999999</v>
      </c>
      <c r="J1071">
        <v>-216.1591</v>
      </c>
      <c r="K1071">
        <v>1.104406</v>
      </c>
      <c r="L1071">
        <v>368.70249999999999</v>
      </c>
      <c r="M1071">
        <v>0.99257359999999994</v>
      </c>
      <c r="N1071">
        <v>0</v>
      </c>
      <c r="O1071">
        <v>-0.1207505</v>
      </c>
      <c r="P1071">
        <v>0.96022160000000001</v>
      </c>
      <c r="Q1071">
        <v>-4.2996920000000001E-2</v>
      </c>
      <c r="R1071">
        <v>-0.27590890000000001</v>
      </c>
      <c r="S1071">
        <v>2.6519010000000001</v>
      </c>
      <c r="T1071">
        <v>-0.31883879999999998</v>
      </c>
      <c r="U1071">
        <v>-1.6091</v>
      </c>
      <c r="V1071">
        <v>0.1575522</v>
      </c>
      <c r="W1071">
        <v>-3.0477049999999999E-2</v>
      </c>
      <c r="X1071">
        <v>0.98704020000000003</v>
      </c>
      <c r="Y1071">
        <v>0.4102055</v>
      </c>
      <c r="Z1071">
        <v>-9.4556729999999995E-3</v>
      </c>
      <c r="AA1071">
        <v>0.91194410000000004</v>
      </c>
      <c r="AB1071">
        <v>33</v>
      </c>
      <c r="AC1071">
        <v>8.9924999999999997</v>
      </c>
      <c r="AD1071">
        <v>-1.104411345845</v>
      </c>
      <c r="AE1071">
        <v>-5.5477999999999899</v>
      </c>
      <c r="AF1071">
        <v>4.3734497560670604</v>
      </c>
      <c r="AG1071">
        <v>-1.104411345845</v>
      </c>
      <c r="AH1071">
        <v>9.4929464450489096</v>
      </c>
      <c r="AI1071">
        <v>96.031813827461207</v>
      </c>
      <c r="AJ1071">
        <v>65.264230422582997</v>
      </c>
      <c r="AK1071">
        <v>10.5101293711467</v>
      </c>
      <c r="AL1071">
        <v>91.746476862501495</v>
      </c>
      <c r="AM1071">
        <v>80.930905537912196</v>
      </c>
      <c r="AN1071">
        <v>0.99999995135879005</v>
      </c>
    </row>
    <row r="1072" spans="1:40" x14ac:dyDescent="0.25">
      <c r="A1072" t="str">
        <f>"20190312151518602"</f>
        <v>20190312151518602</v>
      </c>
      <c r="B1072" t="str">
        <f>"1552374918599148"</f>
        <v>1552374918599148</v>
      </c>
      <c r="C1072" t="s">
        <v>40</v>
      </c>
      <c r="D1072">
        <v>5.0609989999999998</v>
      </c>
      <c r="E1072">
        <v>0.60433700000000001</v>
      </c>
      <c r="F1072" t="s">
        <v>45</v>
      </c>
      <c r="G1072">
        <v>-207.02160000000001</v>
      </c>
      <c r="H1072" s="1">
        <v>-5.3080650000000001E-6</v>
      </c>
      <c r="I1072">
        <v>363.08589999999998</v>
      </c>
      <c r="J1072">
        <v>-215.96510000000001</v>
      </c>
      <c r="K1072">
        <v>1.104304</v>
      </c>
      <c r="L1072">
        <v>368.67529999999999</v>
      </c>
      <c r="M1072">
        <v>0.99210719999999997</v>
      </c>
      <c r="N1072">
        <v>0</v>
      </c>
      <c r="O1072">
        <v>-0.12452439999999999</v>
      </c>
      <c r="P1072">
        <v>0.95906440000000004</v>
      </c>
      <c r="Q1072">
        <v>-4.1960999999999998E-2</v>
      </c>
      <c r="R1072">
        <v>-0.28006300000000001</v>
      </c>
      <c r="S1072">
        <v>2.6431580000000001</v>
      </c>
      <c r="T1072">
        <v>-0.31946590000000002</v>
      </c>
      <c r="U1072">
        <v>-1.6246640000000001</v>
      </c>
      <c r="V1072">
        <v>0.15807170000000001</v>
      </c>
      <c r="W1072">
        <v>-2.9478000000000001E-2</v>
      </c>
      <c r="X1072">
        <v>0.98698750000000002</v>
      </c>
      <c r="Y1072">
        <v>0.41198570000000001</v>
      </c>
      <c r="Z1072">
        <v>-9.1783209999999997E-3</v>
      </c>
      <c r="AA1072">
        <v>0.91114410000000001</v>
      </c>
      <c r="AB1072">
        <v>33</v>
      </c>
      <c r="AC1072">
        <v>8.9435000000000002</v>
      </c>
      <c r="AD1072">
        <v>-1.1043093080649999</v>
      </c>
      <c r="AE1072">
        <v>-5.5894000000000101</v>
      </c>
      <c r="AF1072">
        <v>4.3840145413559002</v>
      </c>
      <c r="AG1072">
        <v>-1.1043093080649999</v>
      </c>
      <c r="AH1072">
        <v>9.4661785491031694</v>
      </c>
      <c r="AI1072">
        <v>96.0426637655316</v>
      </c>
      <c r="AJ1072">
        <v>65.150012839907703</v>
      </c>
      <c r="AK1072">
        <v>10.4903583766332</v>
      </c>
      <c r="AL1072">
        <v>91.689209739944303</v>
      </c>
      <c r="AM1072">
        <v>80.901023539340201</v>
      </c>
      <c r="AN1072">
        <v>0.99999996999056895</v>
      </c>
    </row>
    <row r="1073" spans="1:40" x14ac:dyDescent="0.25">
      <c r="A1073" t="str">
        <f>"20190312151518615"</f>
        <v>20190312151518615</v>
      </c>
      <c r="B1073" t="str">
        <f>"1552374918608908"</f>
        <v>1552374918608908</v>
      </c>
      <c r="C1073" t="s">
        <v>40</v>
      </c>
      <c r="D1073">
        <v>5.0235640000000004</v>
      </c>
      <c r="E1073">
        <v>0.60449319999999995</v>
      </c>
      <c r="F1073" t="s">
        <v>45</v>
      </c>
      <c r="G1073">
        <v>-206.83930000000001</v>
      </c>
      <c r="H1073" s="1">
        <v>-5.2610869999999998E-6</v>
      </c>
      <c r="I1073">
        <v>362.99599999999998</v>
      </c>
      <c r="J1073">
        <v>-215.75579999999999</v>
      </c>
      <c r="K1073">
        <v>1.104201</v>
      </c>
      <c r="L1073">
        <v>368.64519999999999</v>
      </c>
      <c r="M1073">
        <v>0.99157919999999999</v>
      </c>
      <c r="N1073">
        <v>0</v>
      </c>
      <c r="O1073">
        <v>-0.1286591</v>
      </c>
      <c r="P1073">
        <v>0.9578141</v>
      </c>
      <c r="Q1073">
        <v>-4.1352310000000003E-2</v>
      </c>
      <c r="R1073">
        <v>-0.28439809999999999</v>
      </c>
      <c r="S1073">
        <v>2.6351930000000001</v>
      </c>
      <c r="T1073">
        <v>-0.31888280000000002</v>
      </c>
      <c r="U1073">
        <v>-1.6399539999999999</v>
      </c>
      <c r="V1073">
        <v>0.15841830000000001</v>
      </c>
      <c r="W1073">
        <v>-2.8905429999999999E-2</v>
      </c>
      <c r="X1073">
        <v>0.98694890000000002</v>
      </c>
      <c r="Y1073">
        <v>0.41325659999999997</v>
      </c>
      <c r="Z1073">
        <v>-8.7965979999999992E-3</v>
      </c>
      <c r="AA1073">
        <v>0.9105721</v>
      </c>
      <c r="AB1073">
        <v>33</v>
      </c>
      <c r="AC1073">
        <v>8.9164999999999797</v>
      </c>
      <c r="AD1073">
        <v>-1.104206261087</v>
      </c>
      <c r="AE1073">
        <v>-5.6492000000000004</v>
      </c>
      <c r="AF1073">
        <v>4.4067011719007398</v>
      </c>
      <c r="AG1073">
        <v>-1.104206261087</v>
      </c>
      <c r="AH1073">
        <v>9.4656921052275802</v>
      </c>
      <c r="AI1073">
        <v>96.036869401501505</v>
      </c>
      <c r="AJ1073">
        <v>65.0359251887444</v>
      </c>
      <c r="AK1073">
        <v>10.499410160405301</v>
      </c>
      <c r="AL1073">
        <v>91.656389846858104</v>
      </c>
      <c r="AM1073">
        <v>80.881056622198699</v>
      </c>
      <c r="AN1073">
        <v>1.00000000643479</v>
      </c>
    </row>
    <row r="1074" spans="1:40" x14ac:dyDescent="0.25">
      <c r="A1074" t="str">
        <f>"20190312151518627"</f>
        <v>20190312151518627</v>
      </c>
      <c r="B1074" t="str">
        <f>"1552374918618669"</f>
        <v>1552374918618669</v>
      </c>
      <c r="C1074" t="s">
        <v>40</v>
      </c>
      <c r="D1074">
        <v>5.03843</v>
      </c>
      <c r="E1074">
        <v>0.60488790000000003</v>
      </c>
      <c r="F1074" t="s">
        <v>45</v>
      </c>
      <c r="G1074">
        <v>-206.62370000000001</v>
      </c>
      <c r="H1074" s="1">
        <v>-5.2005329999999999E-6</v>
      </c>
      <c r="I1074">
        <v>362.89980000000003</v>
      </c>
      <c r="J1074">
        <v>-215.57849999999999</v>
      </c>
      <c r="K1074">
        <v>1.1041160000000001</v>
      </c>
      <c r="L1074">
        <v>368.61880000000002</v>
      </c>
      <c r="M1074">
        <v>0.99110880000000001</v>
      </c>
      <c r="N1074">
        <v>0</v>
      </c>
      <c r="O1074">
        <v>-0.13223360000000001</v>
      </c>
      <c r="P1074">
        <v>0.95670580000000005</v>
      </c>
      <c r="Q1074">
        <v>-4.0652849999999997E-2</v>
      </c>
      <c r="R1074">
        <v>-0.28820390000000001</v>
      </c>
      <c r="S1074">
        <v>2.6275789999999999</v>
      </c>
      <c r="T1074">
        <v>-0.31771650000000001</v>
      </c>
      <c r="U1074">
        <v>-1.6531370000000001</v>
      </c>
      <c r="V1074">
        <v>0.15878310000000001</v>
      </c>
      <c r="W1074">
        <v>-2.8236549999999999E-2</v>
      </c>
      <c r="X1074">
        <v>0.98690960000000005</v>
      </c>
      <c r="Y1074">
        <v>0.41445959999999898</v>
      </c>
      <c r="Z1074">
        <v>-8.4576449999999997E-3</v>
      </c>
      <c r="AA1074">
        <v>0.91002839999999996</v>
      </c>
      <c r="AB1074">
        <v>33</v>
      </c>
      <c r="AC1074">
        <v>8.9547999999999703</v>
      </c>
      <c r="AD1074">
        <v>-1.1041212005329999</v>
      </c>
      <c r="AE1074">
        <v>-5.7189999999999896</v>
      </c>
      <c r="AF1074">
        <v>4.4366057721548904</v>
      </c>
      <c r="AG1074">
        <v>-1.1041212005329999</v>
      </c>
      <c r="AH1074">
        <v>9.5295696254818303</v>
      </c>
      <c r="AI1074">
        <v>95.996201160141695</v>
      </c>
      <c r="AJ1074">
        <v>65.035101107542602</v>
      </c>
      <c r="AK1074">
        <v>10.5695435875864</v>
      </c>
      <c r="AL1074">
        <v>91.618050257519002</v>
      </c>
      <c r="AM1074">
        <v>80.860054047282503</v>
      </c>
      <c r="AN1074">
        <v>0.99999996708683503</v>
      </c>
    </row>
    <row r="1075" spans="1:40" x14ac:dyDescent="0.25">
      <c r="A1075" t="str">
        <f>"20190312151518639"</f>
        <v>20190312151518639</v>
      </c>
      <c r="B1075" t="str">
        <f>"1552374918628428"</f>
        <v>1552374918628428</v>
      </c>
      <c r="C1075" t="s">
        <v>40</v>
      </c>
      <c r="D1075">
        <v>5.0238230000000001</v>
      </c>
      <c r="E1075">
        <v>0.60510810000000004</v>
      </c>
      <c r="F1075" t="s">
        <v>45</v>
      </c>
      <c r="G1075">
        <v>-206.38059999999999</v>
      </c>
      <c r="H1075" s="1">
        <v>-5.1163980000000002E-6</v>
      </c>
      <c r="I1075">
        <v>362.76839999999999</v>
      </c>
      <c r="J1075">
        <v>-215.40969999999999</v>
      </c>
      <c r="K1075">
        <v>1.104039</v>
      </c>
      <c r="L1075">
        <v>368.59300000000002</v>
      </c>
      <c r="M1075">
        <v>0.99064240000000003</v>
      </c>
      <c r="N1075">
        <v>0</v>
      </c>
      <c r="O1075">
        <v>-0.1356821</v>
      </c>
      <c r="P1075">
        <v>0.95571910000000004</v>
      </c>
      <c r="Q1075">
        <v>-4.0239379999999998E-2</v>
      </c>
      <c r="R1075">
        <v>-0.29151670000000002</v>
      </c>
      <c r="S1075">
        <v>2.6203159999999999</v>
      </c>
      <c r="T1075">
        <v>-0.31454369999999998</v>
      </c>
      <c r="U1075">
        <v>-1.6666559999999999</v>
      </c>
      <c r="V1075">
        <v>0.15876560000000001</v>
      </c>
      <c r="W1075">
        <v>-2.784553E-2</v>
      </c>
      <c r="X1075">
        <v>0.98692360000000001</v>
      </c>
      <c r="Y1075">
        <v>0.41581879999999999</v>
      </c>
      <c r="Z1075">
        <v>-8.0902030000000007E-3</v>
      </c>
      <c r="AA1075">
        <v>0.90941150000000004</v>
      </c>
      <c r="AB1075">
        <v>33</v>
      </c>
      <c r="AC1075">
        <v>9.0290999999999997</v>
      </c>
      <c r="AD1075">
        <v>-1.1040441163979999</v>
      </c>
      <c r="AE1075">
        <v>-5.8246000000000304</v>
      </c>
      <c r="AF1075">
        <v>4.4980144822242503</v>
      </c>
      <c r="AG1075">
        <v>-1.1040441163979999</v>
      </c>
      <c r="AH1075">
        <v>9.6342473437529392</v>
      </c>
      <c r="AI1075">
        <v>95.928140987575603</v>
      </c>
      <c r="AJ1075">
        <v>64.973182027125006</v>
      </c>
      <c r="AK1075">
        <v>10.6897039048732</v>
      </c>
      <c r="AL1075">
        <v>91.595637530096099</v>
      </c>
      <c r="AM1075">
        <v>80.861171843370101</v>
      </c>
      <c r="AN1075">
        <v>1.00000004076064</v>
      </c>
    </row>
    <row r="1076" spans="1:40" x14ac:dyDescent="0.25">
      <c r="A1076" t="str">
        <f>"20190312151518654"</f>
        <v>20190312151518654</v>
      </c>
      <c r="B1076" t="str">
        <f>"1552374918648925"</f>
        <v>1552374918648925</v>
      </c>
      <c r="C1076" t="s">
        <v>40</v>
      </c>
      <c r="D1076">
        <v>5.0756300000000003</v>
      </c>
      <c r="E1076">
        <v>0.60571059999999999</v>
      </c>
      <c r="F1076" t="s">
        <v>45</v>
      </c>
      <c r="G1076">
        <v>-206.2208</v>
      </c>
      <c r="H1076" s="1">
        <v>-5.0580660000000002E-6</v>
      </c>
      <c r="I1076">
        <v>362.69569999999999</v>
      </c>
      <c r="J1076">
        <v>-215.18899999999999</v>
      </c>
      <c r="K1076">
        <v>1.1039369999999999</v>
      </c>
      <c r="L1076">
        <v>368.55849999999998</v>
      </c>
      <c r="M1076">
        <v>0.99000600000000005</v>
      </c>
      <c r="N1076">
        <v>0</v>
      </c>
      <c r="O1076">
        <v>-0.1402484</v>
      </c>
      <c r="P1076">
        <v>0.95434640000000004</v>
      </c>
      <c r="Q1076">
        <v>-4.0251120000000001E-2</v>
      </c>
      <c r="R1076">
        <v>-0.29597770000000001</v>
      </c>
      <c r="S1076">
        <v>2.6140439999999998</v>
      </c>
      <c r="T1076">
        <v>-0.31407420000000003</v>
      </c>
      <c r="U1076">
        <v>-1.677643</v>
      </c>
      <c r="V1076">
        <v>0.1588183</v>
      </c>
      <c r="W1076">
        <v>-2.788705E-2</v>
      </c>
      <c r="X1076">
        <v>0.98691390000000001</v>
      </c>
      <c r="Y1076">
        <v>0.41535610000000001</v>
      </c>
      <c r="Z1076">
        <v>-7.5751919999999997E-3</v>
      </c>
      <c r="AA1076">
        <v>0.90962730000000003</v>
      </c>
      <c r="AB1076">
        <v>33</v>
      </c>
      <c r="AC1076">
        <v>8.9682000000000208</v>
      </c>
      <c r="AD1076">
        <v>-1.103942058066</v>
      </c>
      <c r="AE1076">
        <v>-5.8627999999999902</v>
      </c>
      <c r="AF1076">
        <v>4.4991666725120503</v>
      </c>
      <c r="AG1076">
        <v>-1.103942058066</v>
      </c>
      <c r="AH1076">
        <v>9.5999701854825297</v>
      </c>
      <c r="AI1076">
        <v>95.944560924848901</v>
      </c>
      <c r="AJ1076">
        <v>64.889174473304195</v>
      </c>
      <c r="AK1076">
        <v>10.6592971802442</v>
      </c>
      <c r="AL1076">
        <v>91.598017451308095</v>
      </c>
      <c r="AM1076">
        <v>80.858101218476804</v>
      </c>
      <c r="AN1076">
        <v>0.99999999299290099</v>
      </c>
    </row>
    <row r="1077" spans="1:40" x14ac:dyDescent="0.25">
      <c r="A1077" t="str">
        <f>"20190312151518665"</f>
        <v>20190312151518665</v>
      </c>
      <c r="B1077" t="str">
        <f>"1552374918658684"</f>
        <v>1552374918658684</v>
      </c>
      <c r="C1077" t="s">
        <v>40</v>
      </c>
      <c r="D1077">
        <v>5.043158</v>
      </c>
      <c r="E1077">
        <v>0.60601319999999903</v>
      </c>
      <c r="F1077" t="s">
        <v>45</v>
      </c>
      <c r="G1077">
        <v>-206.0531</v>
      </c>
      <c r="H1077" s="1">
        <v>-4.9977839999999901E-6</v>
      </c>
      <c r="I1077">
        <v>362.61520000000002</v>
      </c>
      <c r="J1077">
        <v>-215.0232</v>
      </c>
      <c r="K1077">
        <v>1.1038650000000001</v>
      </c>
      <c r="L1077">
        <v>368.53160000000003</v>
      </c>
      <c r="M1077">
        <v>0.98950450000000001</v>
      </c>
      <c r="N1077">
        <v>0</v>
      </c>
      <c r="O1077">
        <v>-0.14374439999999999</v>
      </c>
      <c r="P1077">
        <v>0.95328619999999997</v>
      </c>
      <c r="Q1077">
        <v>-4.0669200000000003E-2</v>
      </c>
      <c r="R1077">
        <v>-0.2993188</v>
      </c>
      <c r="S1077">
        <v>2.6047210000000001</v>
      </c>
      <c r="T1077">
        <v>-0.31474180000000002</v>
      </c>
      <c r="U1077">
        <v>-1.694458</v>
      </c>
      <c r="V1077">
        <v>0.15878110000000001</v>
      </c>
      <c r="W1077">
        <v>-2.832519E-2</v>
      </c>
      <c r="X1077">
        <v>0.98690739999999999</v>
      </c>
      <c r="Y1077">
        <v>0.41775839999999997</v>
      </c>
      <c r="Z1077">
        <v>-7.3621399999999997E-3</v>
      </c>
      <c r="AA1077">
        <v>0.90852829999999996</v>
      </c>
      <c r="AB1077">
        <v>33</v>
      </c>
      <c r="AC1077">
        <v>8.9701000000000004</v>
      </c>
      <c r="AD1077">
        <v>-1.1038699977840001</v>
      </c>
      <c r="AE1077">
        <v>-5.9164000000000003</v>
      </c>
      <c r="AF1077">
        <v>4.5177253392042296</v>
      </c>
      <c r="AG1077">
        <v>-1.1038699977840001</v>
      </c>
      <c r="AH1077">
        <v>9.6258830659440804</v>
      </c>
      <c r="AI1077">
        <v>95.926780414410302</v>
      </c>
      <c r="AJ1077">
        <v>64.857879082356703</v>
      </c>
      <c r="AK1077">
        <v>10.690462853016401</v>
      </c>
      <c r="AL1077">
        <v>91.623130958482903</v>
      </c>
      <c r="AM1077">
        <v>80.860147198576598</v>
      </c>
      <c r="AN1077">
        <v>0.99999998514025201</v>
      </c>
    </row>
    <row r="1078" spans="1:40" x14ac:dyDescent="0.25">
      <c r="A1078" t="str">
        <f>"20190312151518677"</f>
        <v>20190312151518677</v>
      </c>
      <c r="B1078" t="str">
        <f>"1552374918668444"</f>
        <v>1552374918668444</v>
      </c>
      <c r="C1078" t="s">
        <v>40</v>
      </c>
      <c r="D1078">
        <v>5.0760370000000004</v>
      </c>
      <c r="E1078">
        <v>0.60626729999999995</v>
      </c>
      <c r="F1078" t="s">
        <v>45</v>
      </c>
      <c r="G1078">
        <v>-205.94030000000001</v>
      </c>
      <c r="H1078" s="1">
        <v>-4.9556119999999999E-6</v>
      </c>
      <c r="I1078">
        <v>362.56849999999997</v>
      </c>
      <c r="J1078">
        <v>-214.8663</v>
      </c>
      <c r="K1078">
        <v>1.1037950000000001</v>
      </c>
      <c r="L1078">
        <v>368.50569999999999</v>
      </c>
      <c r="M1078">
        <v>0.98901459999999997</v>
      </c>
      <c r="N1078">
        <v>0</v>
      </c>
      <c r="O1078">
        <v>-0.14707719999999999</v>
      </c>
      <c r="P1078">
        <v>0.9522119</v>
      </c>
      <c r="Q1078">
        <v>-4.1273709999999998E-2</v>
      </c>
      <c r="R1078">
        <v>-0.3026375</v>
      </c>
      <c r="S1078">
        <v>2.5979770000000002</v>
      </c>
      <c r="T1078">
        <v>-0.31573689999999999</v>
      </c>
      <c r="U1078">
        <v>-1.705627</v>
      </c>
      <c r="V1078">
        <v>0.15888469999999999</v>
      </c>
      <c r="W1078">
        <v>-2.8950549999999999E-2</v>
      </c>
      <c r="X1078">
        <v>0.98687259999999999</v>
      </c>
      <c r="Y1078">
        <v>0.41851460000000001</v>
      </c>
      <c r="Z1078">
        <v>-7.0791999999999999E-3</v>
      </c>
      <c r="AA1078">
        <v>0.9081825</v>
      </c>
      <c r="AB1078">
        <v>33</v>
      </c>
      <c r="AC1078">
        <v>8.9259999999999806</v>
      </c>
      <c r="AD1078">
        <v>-1.103799955612</v>
      </c>
      <c r="AE1078">
        <v>-5.9372000000000096</v>
      </c>
      <c r="AF1078">
        <v>4.5118318233158003</v>
      </c>
      <c r="AG1078">
        <v>-1.103799955612</v>
      </c>
      <c r="AH1078">
        <v>9.6004507321170003</v>
      </c>
      <c r="AI1078">
        <v>95.9405657664568</v>
      </c>
      <c r="AJ1078">
        <v>64.828333129684694</v>
      </c>
      <c r="AK1078">
        <v>10.665067041687999</v>
      </c>
      <c r="AL1078">
        <v>91.658976116430196</v>
      </c>
      <c r="AM1078">
        <v>80.853967409999399</v>
      </c>
      <c r="AN1078">
        <v>1.0000000054350699</v>
      </c>
    </row>
    <row r="1079" spans="1:40" x14ac:dyDescent="0.25">
      <c r="A1079" t="str">
        <f>"20190312151518687"</f>
        <v>20190312151518687</v>
      </c>
      <c r="B1079" t="str">
        <f>"1552374918679180"</f>
        <v>1552374918679180</v>
      </c>
      <c r="C1079" t="s">
        <v>40</v>
      </c>
      <c r="D1079">
        <v>5.0586000000000002</v>
      </c>
      <c r="E1079">
        <v>0.60654180000000002</v>
      </c>
      <c r="F1079" t="s">
        <v>45</v>
      </c>
      <c r="G1079">
        <v>-205.83279999999999</v>
      </c>
      <c r="H1079" s="1">
        <v>-4.9159300000000002E-6</v>
      </c>
      <c r="I1079">
        <v>362.52159999999998</v>
      </c>
      <c r="J1079">
        <v>-214.7013</v>
      </c>
      <c r="K1079">
        <v>1.103729</v>
      </c>
      <c r="L1079">
        <v>368.47789999999998</v>
      </c>
      <c r="M1079">
        <v>0.98848060000000004</v>
      </c>
      <c r="N1079">
        <v>0</v>
      </c>
      <c r="O1079">
        <v>-0.15062220000000001</v>
      </c>
      <c r="P1079">
        <v>0.95101999999999998</v>
      </c>
      <c r="Q1079">
        <v>-4.1956840000000002E-2</v>
      </c>
      <c r="R1079">
        <v>-0.30626890000000001</v>
      </c>
      <c r="S1079">
        <v>2.5912929999999998</v>
      </c>
      <c r="T1079">
        <v>-0.31662820000000003</v>
      </c>
      <c r="U1079">
        <v>-1.71655299999999</v>
      </c>
      <c r="V1079">
        <v>0.1591022</v>
      </c>
      <c r="W1079">
        <v>-2.9656189999999999E-2</v>
      </c>
      <c r="X1079">
        <v>0.98681660000000004</v>
      </c>
      <c r="Y1079">
        <v>0.41900690000000002</v>
      </c>
      <c r="Z1079">
        <v>-6.7543999999999998E-3</v>
      </c>
      <c r="AA1079">
        <v>0.90795800000000004</v>
      </c>
      <c r="AB1079">
        <v>32</v>
      </c>
      <c r="AC1079">
        <v>8.8685000000000098</v>
      </c>
      <c r="AD1079">
        <v>-1.1037339159299999</v>
      </c>
      <c r="AE1079">
        <v>-5.9562999999999899</v>
      </c>
      <c r="AF1079">
        <v>4.5043125069734202</v>
      </c>
      <c r="AG1079">
        <v>-1.1037339159299999</v>
      </c>
      <c r="AH1079">
        <v>9.5624775443426007</v>
      </c>
      <c r="AI1079">
        <v>95.961169650195799</v>
      </c>
      <c r="AJ1079">
        <v>64.777673594947998</v>
      </c>
      <c r="AK1079">
        <v>10.6277013744133</v>
      </c>
      <c r="AL1079">
        <v>91.699423688352297</v>
      </c>
      <c r="AM1079">
        <v>80.841148368560496</v>
      </c>
      <c r="AN1079">
        <v>1.00000000084285</v>
      </c>
    </row>
    <row r="1080" spans="1:40" x14ac:dyDescent="0.25">
      <c r="A1080" t="str">
        <f>"20190312151518699"</f>
        <v>20190312151518699</v>
      </c>
      <c r="B1080" t="str">
        <f>"1552374918688940"</f>
        <v>1552374918688940</v>
      </c>
      <c r="C1080" t="s">
        <v>40</v>
      </c>
      <c r="D1080">
        <v>5.024661</v>
      </c>
      <c r="E1080">
        <v>0.6068036</v>
      </c>
      <c r="F1080" t="s">
        <v>45</v>
      </c>
      <c r="G1080">
        <v>-205.7141</v>
      </c>
      <c r="H1080" s="1">
        <v>-4.8728229999999997E-6</v>
      </c>
      <c r="I1080">
        <v>362.46679999999998</v>
      </c>
      <c r="J1080">
        <v>-214.54320000000001</v>
      </c>
      <c r="K1080">
        <v>1.1036699999999999</v>
      </c>
      <c r="L1080">
        <v>368.45049999999998</v>
      </c>
      <c r="M1080">
        <v>0.98795109999999997</v>
      </c>
      <c r="N1080">
        <v>0</v>
      </c>
      <c r="O1080">
        <v>-0.15405729999999901</v>
      </c>
      <c r="P1080">
        <v>0.94983859999999998</v>
      </c>
      <c r="Q1080">
        <v>-4.2605810000000001E-2</v>
      </c>
      <c r="R1080">
        <v>-0.3098245</v>
      </c>
      <c r="S1080">
        <v>2.583923</v>
      </c>
      <c r="T1080">
        <v>-0.31733699999999998</v>
      </c>
      <c r="U1080">
        <v>-1.7282709999999999</v>
      </c>
      <c r="V1080">
        <v>0.15935439999999901</v>
      </c>
      <c r="W1080">
        <v>-3.0326780000000001E-2</v>
      </c>
      <c r="X1080">
        <v>0.98675550000000001</v>
      </c>
      <c r="Y1080">
        <v>0.4199001</v>
      </c>
      <c r="Z1080">
        <v>-6.4588409999999999E-3</v>
      </c>
      <c r="AA1080">
        <v>0.9075474</v>
      </c>
      <c r="AB1080">
        <v>32</v>
      </c>
      <c r="AC1080">
        <v>8.8291000000000093</v>
      </c>
      <c r="AD1080">
        <v>-1.1036748728229999</v>
      </c>
      <c r="AE1080">
        <v>-5.98369999999999</v>
      </c>
      <c r="AF1080">
        <v>4.5036893326884604</v>
      </c>
      <c r="AG1080">
        <v>-1.1036748728229999</v>
      </c>
      <c r="AH1080">
        <v>9.5434185043561701</v>
      </c>
      <c r="AI1080">
        <v>95.970669528082098</v>
      </c>
      <c r="AJ1080">
        <v>64.7366381424671</v>
      </c>
      <c r="AK1080">
        <v>10.610285226117099</v>
      </c>
      <c r="AL1080">
        <v>91.737862998004502</v>
      </c>
      <c r="AM1080">
        <v>80.826318551076</v>
      </c>
      <c r="AN1080">
        <v>0.99999997758238901</v>
      </c>
    </row>
    <row r="1081" spans="1:40" x14ac:dyDescent="0.25">
      <c r="A1081" t="str">
        <f>"20190312151518712"</f>
        <v>20190312151518712</v>
      </c>
      <c r="B1081" t="str">
        <f>"1552374918708460"</f>
        <v>1552374918708460</v>
      </c>
      <c r="C1081" t="s">
        <v>40</v>
      </c>
      <c r="D1081">
        <v>5.0542860000000003</v>
      </c>
      <c r="E1081">
        <v>0.60727849999999906</v>
      </c>
      <c r="F1081" t="s">
        <v>45</v>
      </c>
      <c r="G1081">
        <v>-205.6301</v>
      </c>
      <c r="H1081" s="1">
        <v>-4.8413830000000001E-6</v>
      </c>
      <c r="I1081">
        <v>362.43200000000002</v>
      </c>
      <c r="J1081">
        <v>-214.35419999999999</v>
      </c>
      <c r="K1081">
        <v>1.103596</v>
      </c>
      <c r="L1081">
        <v>368.41730000000001</v>
      </c>
      <c r="M1081">
        <v>0.98729750000000005</v>
      </c>
      <c r="N1081">
        <v>0</v>
      </c>
      <c r="O1081">
        <v>-0.15819059999999999</v>
      </c>
      <c r="P1081">
        <v>0.94838869999999997</v>
      </c>
      <c r="Q1081">
        <v>-4.2826950000000003E-2</v>
      </c>
      <c r="R1081">
        <v>-0.31420439999999999</v>
      </c>
      <c r="S1081">
        <v>2.5765989999999999</v>
      </c>
      <c r="T1081">
        <v>-0.3190519</v>
      </c>
      <c r="U1081">
        <v>-1.739838</v>
      </c>
      <c r="V1081">
        <v>0.1597713</v>
      </c>
      <c r="W1081">
        <v>-3.0575120000000001E-2</v>
      </c>
      <c r="X1081">
        <v>0.98668040000000001</v>
      </c>
      <c r="Y1081">
        <v>0.42010350000000002</v>
      </c>
      <c r="Z1081">
        <v>-6.0667079999999996E-3</v>
      </c>
      <c r="AA1081">
        <v>0.90745589999999998</v>
      </c>
      <c r="AB1081">
        <v>32</v>
      </c>
      <c r="AC1081">
        <v>8.7240999999999893</v>
      </c>
      <c r="AD1081">
        <v>-1.1036008413830001</v>
      </c>
      <c r="AE1081">
        <v>-5.9853000000000502</v>
      </c>
      <c r="AF1081">
        <v>4.48094152712493</v>
      </c>
      <c r="AG1081">
        <v>-1.1036008413830001</v>
      </c>
      <c r="AH1081">
        <v>9.4582354473932195</v>
      </c>
      <c r="AI1081">
        <v>96.019386068306503</v>
      </c>
      <c r="AJ1081">
        <v>64.650238435619102</v>
      </c>
      <c r="AK1081">
        <v>10.524019648638999</v>
      </c>
      <c r="AL1081">
        <v>91.752098466311907</v>
      </c>
      <c r="AM1081">
        <v>80.8020401036012</v>
      </c>
      <c r="AN1081">
        <v>0.99999995900543104</v>
      </c>
    </row>
    <row r="1082" spans="1:40" x14ac:dyDescent="0.25">
      <c r="A1082" t="str">
        <f>"20190312151518723"</f>
        <v>20190312151518723</v>
      </c>
      <c r="B1082" t="str">
        <f>"1552374918719197"</f>
        <v>1552374918719197</v>
      </c>
      <c r="C1082" t="s">
        <v>40</v>
      </c>
      <c r="D1082">
        <v>5.0388729999999997</v>
      </c>
      <c r="E1082">
        <v>0.6075024</v>
      </c>
      <c r="F1082" t="s">
        <v>45</v>
      </c>
      <c r="G1082">
        <v>-205.4813</v>
      </c>
      <c r="H1082" s="1">
        <v>-4.7902049999999998E-6</v>
      </c>
      <c r="I1082">
        <v>362.35019999999997</v>
      </c>
      <c r="J1082">
        <v>-214.21039999999999</v>
      </c>
      <c r="K1082">
        <v>1.1035469999999901</v>
      </c>
      <c r="L1082">
        <v>368.39109999999999</v>
      </c>
      <c r="M1082">
        <v>0.98677999999999999</v>
      </c>
      <c r="N1082">
        <v>0</v>
      </c>
      <c r="O1082">
        <v>-0.16138749999999999</v>
      </c>
      <c r="P1082">
        <v>0.94712700000000005</v>
      </c>
      <c r="Q1082">
        <v>-4.3258530000000003E-2</v>
      </c>
      <c r="R1082">
        <v>-0.3179302</v>
      </c>
      <c r="S1082">
        <v>2.5672450000000002</v>
      </c>
      <c r="T1082">
        <v>-0.31931189999999998</v>
      </c>
      <c r="U1082">
        <v>-1.7554320000000001</v>
      </c>
      <c r="V1082">
        <v>0.1604467</v>
      </c>
      <c r="W1082">
        <v>-3.1032549999999999E-2</v>
      </c>
      <c r="X1082">
        <v>0.98655649999999995</v>
      </c>
      <c r="Y1082">
        <v>0.42246359999999999</v>
      </c>
      <c r="Z1082">
        <v>-5.8684109999999996E-3</v>
      </c>
      <c r="AA1082">
        <v>0.90636090000000002</v>
      </c>
      <c r="AB1082">
        <v>32</v>
      </c>
      <c r="AC1082">
        <v>8.7290999999999794</v>
      </c>
      <c r="AD1082">
        <v>-1.1035517902049901</v>
      </c>
      <c r="AE1082">
        <v>-6.0409000000000201</v>
      </c>
      <c r="AF1082">
        <v>4.50409559165141</v>
      </c>
      <c r="AG1082">
        <v>-1.1035517902049901</v>
      </c>
      <c r="AH1082">
        <v>9.4871518853585393</v>
      </c>
      <c r="AI1082">
        <v>95.998610442719794</v>
      </c>
      <c r="AJ1082">
        <v>64.603623930292599</v>
      </c>
      <c r="AK1082">
        <v>10.559865271311899</v>
      </c>
      <c r="AL1082">
        <v>91.7783197439189</v>
      </c>
      <c r="AM1082">
        <v>80.762686411553005</v>
      </c>
      <c r="AN1082">
        <v>0.99999994519631896</v>
      </c>
    </row>
    <row r="1083" spans="1:40" x14ac:dyDescent="0.25">
      <c r="A1083" t="str">
        <f>"20190312151518733"</f>
        <v>20190312151518733</v>
      </c>
      <c r="B1083" t="str">
        <f>"1552374918728956"</f>
        <v>1552374918728956</v>
      </c>
      <c r="C1083" t="s">
        <v>40</v>
      </c>
      <c r="D1083">
        <v>5.0312960000000002</v>
      </c>
      <c r="E1083">
        <v>0.60776730000000001</v>
      </c>
      <c r="F1083" t="s">
        <v>45</v>
      </c>
      <c r="G1083">
        <v>-205.4145</v>
      </c>
      <c r="H1083" s="1">
        <v>-4.7662009999999996E-6</v>
      </c>
      <c r="I1083">
        <v>362.31819999999999</v>
      </c>
      <c r="J1083">
        <v>-214.0438</v>
      </c>
      <c r="K1083">
        <v>1.103485</v>
      </c>
      <c r="L1083">
        <v>368.3605</v>
      </c>
      <c r="M1083">
        <v>0.98616570000000003</v>
      </c>
      <c r="N1083">
        <v>0</v>
      </c>
      <c r="O1083">
        <v>-0.165099</v>
      </c>
      <c r="P1083">
        <v>0.94574769999999997</v>
      </c>
      <c r="Q1083">
        <v>-4.3186780000000001E-2</v>
      </c>
      <c r="R1083">
        <v>-0.322019</v>
      </c>
      <c r="S1083">
        <v>2.5596160000000001</v>
      </c>
      <c r="T1083">
        <v>-0.32113429999999998</v>
      </c>
      <c r="U1083">
        <v>-1.767212</v>
      </c>
      <c r="V1083">
        <v>0.160993</v>
      </c>
      <c r="W1083">
        <v>-3.0986670000000001E-2</v>
      </c>
      <c r="X1083">
        <v>0.98646900000000004</v>
      </c>
      <c r="Y1083">
        <v>0.42314249999999998</v>
      </c>
      <c r="Z1083">
        <v>-5.544584E-3</v>
      </c>
      <c r="AA1083">
        <v>0.90604620000000002</v>
      </c>
      <c r="AB1083">
        <v>32</v>
      </c>
      <c r="AC1083">
        <v>8.6293000000000006</v>
      </c>
      <c r="AD1083">
        <v>-1.1034897662009999</v>
      </c>
      <c r="AE1083">
        <v>-6.0423000000000098</v>
      </c>
      <c r="AF1083">
        <v>4.4853019791619202</v>
      </c>
      <c r="AG1083">
        <v>-1.1034897662009999</v>
      </c>
      <c r="AH1083">
        <v>9.4053389216794798</v>
      </c>
      <c r="AI1083">
        <v>96.045102591115494</v>
      </c>
      <c r="AJ1083">
        <v>64.504042630860894</v>
      </c>
      <c r="AK1083">
        <v>10.478359782907001</v>
      </c>
      <c r="AL1083">
        <v>91.775689644401197</v>
      </c>
      <c r="AM1083">
        <v>80.730971637517399</v>
      </c>
      <c r="AN1083">
        <v>1.0000000038638399</v>
      </c>
    </row>
    <row r="1084" spans="1:40" x14ac:dyDescent="0.25">
      <c r="A1084" t="str">
        <f>"20190312151518745"</f>
        <v>20190312151518745</v>
      </c>
      <c r="B1084" t="str">
        <f>"1552374918738716"</f>
        <v>1552374918738716</v>
      </c>
      <c r="C1084" t="s">
        <v>40</v>
      </c>
      <c r="D1084">
        <v>5.0562860000000001</v>
      </c>
      <c r="E1084">
        <v>0.60801110000000003</v>
      </c>
      <c r="F1084" t="s">
        <v>45</v>
      </c>
      <c r="G1084">
        <v>-205.27809999999999</v>
      </c>
      <c r="H1084" s="1">
        <v>-4.7189190000000001E-6</v>
      </c>
      <c r="I1084">
        <v>362.2448</v>
      </c>
      <c r="J1084">
        <v>-213.88069999999999</v>
      </c>
      <c r="K1084">
        <v>1.103429</v>
      </c>
      <c r="L1084">
        <v>368.32960000000003</v>
      </c>
      <c r="M1084">
        <v>0.98554129999999995</v>
      </c>
      <c r="N1084">
        <v>0</v>
      </c>
      <c r="O1084">
        <v>-0.168785299999999</v>
      </c>
      <c r="P1084">
        <v>0.9442777</v>
      </c>
      <c r="Q1084">
        <v>-4.3540959999999997E-2</v>
      </c>
      <c r="R1084">
        <v>-0.32625739999999998</v>
      </c>
      <c r="S1084">
        <v>2.551361</v>
      </c>
      <c r="T1084">
        <v>-0.321183</v>
      </c>
      <c r="U1084">
        <v>-1.7800290000000001</v>
      </c>
      <c r="V1084">
        <v>0.16172159999999999</v>
      </c>
      <c r="W1084">
        <v>-3.1369019999999997E-2</v>
      </c>
      <c r="X1084">
        <v>0.98633769999999998</v>
      </c>
      <c r="Y1084">
        <v>0.42420590000000002</v>
      </c>
      <c r="Z1084">
        <v>-5.2130170000000003E-3</v>
      </c>
      <c r="AA1084">
        <v>0.90555079999999999</v>
      </c>
      <c r="AB1084">
        <v>32</v>
      </c>
      <c r="AC1084">
        <v>8.60259999999999</v>
      </c>
      <c r="AD1084">
        <v>-1.103433718919</v>
      </c>
      <c r="AE1084">
        <v>-6.0848000000000297</v>
      </c>
      <c r="AF1084">
        <v>4.4960249266778103</v>
      </c>
      <c r="AG1084">
        <v>-1.103433718919</v>
      </c>
      <c r="AH1084">
        <v>9.4031709534214603</v>
      </c>
      <c r="AI1084">
        <v>96.043264115743995</v>
      </c>
      <c r="AJ1084">
        <v>64.445707106586298</v>
      </c>
      <c r="AK1084">
        <v>10.481003296088801</v>
      </c>
      <c r="AL1084">
        <v>91.797607393089095</v>
      </c>
      <c r="AM1084">
        <v>80.688538399786594</v>
      </c>
      <c r="AN1084">
        <v>0.99999997488180403</v>
      </c>
    </row>
    <row r="1085" spans="1:40" x14ac:dyDescent="0.25">
      <c r="A1085" t="str">
        <f>"20190312151518756"</f>
        <v>20190312151518756</v>
      </c>
      <c r="B1085" t="str">
        <f>"1552374918748476"</f>
        <v>1552374918748476</v>
      </c>
      <c r="C1085" t="s">
        <v>40</v>
      </c>
      <c r="D1085">
        <v>5.0702170000000004</v>
      </c>
      <c r="E1085">
        <v>0.60824449999999997</v>
      </c>
      <c r="F1085" t="s">
        <v>45</v>
      </c>
      <c r="G1085">
        <v>-205.18520000000001</v>
      </c>
      <c r="H1085" s="1">
        <v>-4.6863109999999996E-6</v>
      </c>
      <c r="I1085">
        <v>362.19659999999999</v>
      </c>
      <c r="J1085">
        <v>-213.73500000000001</v>
      </c>
      <c r="K1085">
        <v>1.1033790000000001</v>
      </c>
      <c r="L1085">
        <v>368.30160000000001</v>
      </c>
      <c r="M1085">
        <v>0.98496939999999999</v>
      </c>
      <c r="N1085">
        <v>0</v>
      </c>
      <c r="O1085">
        <v>-0.1720911</v>
      </c>
      <c r="P1085">
        <v>0.94294549999999999</v>
      </c>
      <c r="Q1085">
        <v>-4.3155600000000002E-2</v>
      </c>
      <c r="R1085">
        <v>-0.33013870000000001</v>
      </c>
      <c r="S1085">
        <v>2.5425870000000002</v>
      </c>
      <c r="T1085">
        <v>-0.32264470000000001</v>
      </c>
      <c r="U1085">
        <v>-1.793274</v>
      </c>
      <c r="V1085">
        <v>0.1624679</v>
      </c>
      <c r="W1085">
        <v>-3.1010039999999999E-2</v>
      </c>
      <c r="X1085">
        <v>0.98622639999999995</v>
      </c>
      <c r="Y1085">
        <v>0.42578640000000001</v>
      </c>
      <c r="Z1085">
        <v>-4.9741120000000002E-3</v>
      </c>
      <c r="AA1085">
        <v>0.90481009999999995</v>
      </c>
      <c r="AB1085">
        <v>32</v>
      </c>
      <c r="AC1085">
        <v>8.5497999999999994</v>
      </c>
      <c r="AD1085">
        <v>-1.103383686311</v>
      </c>
      <c r="AE1085">
        <v>-6.1050000000000102</v>
      </c>
      <c r="AF1085">
        <v>4.4928342957438403</v>
      </c>
      <c r="AG1085">
        <v>-1.103383686311</v>
      </c>
      <c r="AH1085">
        <v>9.3695964410271593</v>
      </c>
      <c r="AI1085">
        <v>96.061267293566502</v>
      </c>
      <c r="AJ1085">
        <v>64.3817212702766</v>
      </c>
      <c r="AK1085">
        <v>10.4495144880486</v>
      </c>
      <c r="AL1085">
        <v>91.777029339042102</v>
      </c>
      <c r="AM1085">
        <v>80.645289375704607</v>
      </c>
      <c r="AN1085">
        <v>0.99999997658408502</v>
      </c>
    </row>
    <row r="1086" spans="1:40" x14ac:dyDescent="0.25">
      <c r="A1086" t="str">
        <f>"20190312151518768"</f>
        <v>20190312151518768</v>
      </c>
      <c r="B1086" t="str">
        <f>"1552374918759212"</f>
        <v>1552374918759212</v>
      </c>
      <c r="C1086" t="s">
        <v>40</v>
      </c>
      <c r="D1086">
        <v>5.0369519999999897</v>
      </c>
      <c r="E1086">
        <v>0.60849719999999996</v>
      </c>
      <c r="F1086" t="s">
        <v>45</v>
      </c>
      <c r="G1086">
        <v>-205.04320000000001</v>
      </c>
      <c r="H1086" s="1">
        <v>-4.6392369999999999E-6</v>
      </c>
      <c r="I1086">
        <v>362.11059999999998</v>
      </c>
      <c r="J1086">
        <v>-213.55119999999999</v>
      </c>
      <c r="K1086">
        <v>1.103324</v>
      </c>
      <c r="L1086">
        <v>368.2654</v>
      </c>
      <c r="M1086">
        <v>0.98422469999999995</v>
      </c>
      <c r="N1086">
        <v>0</v>
      </c>
      <c r="O1086">
        <v>-0.17629919999999999</v>
      </c>
      <c r="P1086">
        <v>0.94129220000000002</v>
      </c>
      <c r="Q1086">
        <v>-4.2995609999999997E-2</v>
      </c>
      <c r="R1086">
        <v>-0.33484419999999998</v>
      </c>
      <c r="S1086">
        <v>2.5347140000000001</v>
      </c>
      <c r="T1086">
        <v>-0.32177030000000001</v>
      </c>
      <c r="U1086">
        <v>-1.80542</v>
      </c>
      <c r="V1086">
        <v>0.16317490000000001</v>
      </c>
      <c r="W1086">
        <v>-3.0878249999999999E-2</v>
      </c>
      <c r="X1086">
        <v>0.98611380000000004</v>
      </c>
      <c r="Y1086">
        <v>0.42615259999999999</v>
      </c>
      <c r="Z1086">
        <v>-4.5300310000000003E-3</v>
      </c>
      <c r="AA1086">
        <v>0.90464</v>
      </c>
      <c r="AB1086">
        <v>32</v>
      </c>
      <c r="AC1086">
        <v>8.5079999999999796</v>
      </c>
      <c r="AD1086">
        <v>-1.1033286392370001</v>
      </c>
      <c r="AE1086">
        <v>-6.1548000000000203</v>
      </c>
      <c r="AF1086">
        <v>4.5084819800823697</v>
      </c>
      <c r="AG1086">
        <v>-1.1033286392370001</v>
      </c>
      <c r="AH1086">
        <v>9.3566169713429996</v>
      </c>
      <c r="AI1086">
        <v>96.063816393870297</v>
      </c>
      <c r="AJ1086">
        <v>64.272927226710095</v>
      </c>
      <c r="AK1086">
        <v>10.444617034593</v>
      </c>
      <c r="AL1086">
        <v>91.769474721171207</v>
      </c>
      <c r="AM1086">
        <v>80.604251738702999</v>
      </c>
      <c r="AN1086">
        <v>0.99999997043175504</v>
      </c>
    </row>
    <row r="1087" spans="1:40" x14ac:dyDescent="0.25">
      <c r="A1087" t="str">
        <f>"20190312151518781"</f>
        <v>20190312151518781</v>
      </c>
      <c r="B1087" t="str">
        <f>"1552374918778733"</f>
        <v>1552374918778733</v>
      </c>
      <c r="C1087" t="s">
        <v>40</v>
      </c>
      <c r="D1087">
        <v>5.058897</v>
      </c>
      <c r="E1087">
        <v>0.60894649999999995</v>
      </c>
      <c r="F1087" t="s">
        <v>45</v>
      </c>
      <c r="G1087">
        <v>-204.8956</v>
      </c>
      <c r="H1087" s="1">
        <v>-4.5850899999999997E-6</v>
      </c>
      <c r="I1087">
        <v>362.02710000000002</v>
      </c>
      <c r="J1087">
        <v>-213.37090000000001</v>
      </c>
      <c r="K1087">
        <v>1.10327</v>
      </c>
      <c r="L1087">
        <v>368.22899999999998</v>
      </c>
      <c r="M1087">
        <v>0.98346909999999998</v>
      </c>
      <c r="N1087">
        <v>0</v>
      </c>
      <c r="O1087">
        <v>-0.18046709999999999</v>
      </c>
      <c r="P1087">
        <v>0.93967089999999998</v>
      </c>
      <c r="Q1087">
        <v>-4.278415E-2</v>
      </c>
      <c r="R1087">
        <v>-0.33939399999999997</v>
      </c>
      <c r="S1087">
        <v>2.5250240000000002</v>
      </c>
      <c r="T1087">
        <v>-0.32186229999999999</v>
      </c>
      <c r="U1087">
        <v>-1.8198240000000001</v>
      </c>
      <c r="V1087">
        <v>0.16376540000000001</v>
      </c>
      <c r="W1087">
        <v>-3.069202E-2</v>
      </c>
      <c r="X1087">
        <v>0.98602179999999995</v>
      </c>
      <c r="Y1087">
        <v>0.4273787</v>
      </c>
      <c r="Z1087">
        <v>-4.1553470000000002E-3</v>
      </c>
      <c r="AA1087">
        <v>0.90406319999999996</v>
      </c>
      <c r="AB1087">
        <v>32</v>
      </c>
      <c r="AC1087">
        <v>8.4753000000000007</v>
      </c>
      <c r="AD1087">
        <v>-1.1032745850900001</v>
      </c>
      <c r="AE1087">
        <v>-6.2019000000000197</v>
      </c>
      <c r="AF1087">
        <v>4.5204790195498301</v>
      </c>
      <c r="AG1087">
        <v>-1.1032745850900001</v>
      </c>
      <c r="AH1087">
        <v>9.3522632753897295</v>
      </c>
      <c r="AI1087">
        <v>96.062772168165793</v>
      </c>
      <c r="AJ1087">
        <v>64.202888707786798</v>
      </c>
      <c r="AK1087">
        <v>10.4458974601754</v>
      </c>
      <c r="AL1087">
        <v>91.758799331197096</v>
      </c>
      <c r="AM1087">
        <v>80.569995798558693</v>
      </c>
      <c r="AN1087">
        <v>1.0000000482020299</v>
      </c>
    </row>
    <row r="1088" spans="1:40" x14ac:dyDescent="0.25">
      <c r="A1088" t="str">
        <f>"20190312151518794"</f>
        <v>20190312151518794</v>
      </c>
      <c r="B1088" t="str">
        <f>"1552374918788492"</f>
        <v>1552374918788492</v>
      </c>
      <c r="C1088" t="s">
        <v>40</v>
      </c>
      <c r="D1088">
        <v>5.0589510000000004</v>
      </c>
      <c r="E1088">
        <v>0.60917790000000005</v>
      </c>
      <c r="F1088" t="s">
        <v>45</v>
      </c>
      <c r="G1088">
        <v>-204.7353</v>
      </c>
      <c r="H1088" s="1">
        <v>-4.5268999999999998E-6</v>
      </c>
      <c r="I1088">
        <v>361.92579999999998</v>
      </c>
      <c r="J1088">
        <v>-213.18639999999999</v>
      </c>
      <c r="K1088">
        <v>1.103218</v>
      </c>
      <c r="L1088">
        <v>368.19119999999998</v>
      </c>
      <c r="M1088">
        <v>0.98267260000000001</v>
      </c>
      <c r="N1088">
        <v>0</v>
      </c>
      <c r="O1088">
        <v>-0.1847541</v>
      </c>
      <c r="P1088">
        <v>0.93795099999999998</v>
      </c>
      <c r="Q1088">
        <v>-4.2624049999999997E-2</v>
      </c>
      <c r="R1088">
        <v>-0.34413899999999997</v>
      </c>
      <c r="S1088">
        <v>2.5149379999999999</v>
      </c>
      <c r="T1088">
        <v>-0.32130550000000002</v>
      </c>
      <c r="U1088">
        <v>-1.835693</v>
      </c>
      <c r="V1088">
        <v>0.1644456</v>
      </c>
      <c r="W1088">
        <v>-3.0559050000000001E-2</v>
      </c>
      <c r="X1088">
        <v>0.98591269999999998</v>
      </c>
      <c r="Y1088">
        <v>0.42890529999999999</v>
      </c>
      <c r="Z1088">
        <v>-3.7766560000000002E-3</v>
      </c>
      <c r="AA1088">
        <v>0.90334159999999997</v>
      </c>
      <c r="AB1088">
        <v>32</v>
      </c>
      <c r="AC1088">
        <v>8.4510999999999896</v>
      </c>
      <c r="AD1088">
        <v>-1.1032225269</v>
      </c>
      <c r="AE1088">
        <v>-6.2653999999999996</v>
      </c>
      <c r="AF1088">
        <v>4.5459764404604996</v>
      </c>
      <c r="AG1088">
        <v>-1.1032225269</v>
      </c>
      <c r="AH1088">
        <v>9.3603311382209409</v>
      </c>
      <c r="AI1088">
        <v>96.051860598209402</v>
      </c>
      <c r="AJ1088">
        <v>64.095820369986996</v>
      </c>
      <c r="AK1088">
        <v>10.464167466083</v>
      </c>
      <c r="AL1088">
        <v>91.751177165730795</v>
      </c>
      <c r="AM1088">
        <v>80.530507246063095</v>
      </c>
      <c r="AN1088">
        <v>1.00000003145877</v>
      </c>
    </row>
    <row r="1089" spans="1:40" x14ac:dyDescent="0.25">
      <c r="A1089" t="str">
        <f>"20190312151518811"</f>
        <v>20190312151518811</v>
      </c>
      <c r="B1089" t="str">
        <f>"1552374918808988"</f>
        <v>1552374918808988</v>
      </c>
      <c r="C1089" t="s">
        <v>40</v>
      </c>
      <c r="D1089">
        <v>5.0456490000000001</v>
      </c>
      <c r="E1089">
        <v>0.60953440000000003</v>
      </c>
      <c r="F1089" t="s">
        <v>45</v>
      </c>
      <c r="G1089">
        <v>-204.58199999999999</v>
      </c>
      <c r="H1089" s="1">
        <v>-4.4694260000000002E-6</v>
      </c>
      <c r="I1089">
        <v>361.8372</v>
      </c>
      <c r="J1089">
        <v>-212.9367</v>
      </c>
      <c r="K1089">
        <v>1.103145</v>
      </c>
      <c r="L1089">
        <v>368.13850000000002</v>
      </c>
      <c r="M1089">
        <v>0.98154989999999998</v>
      </c>
      <c r="N1089">
        <v>0</v>
      </c>
      <c r="O1089">
        <v>-0.19062789999999999</v>
      </c>
      <c r="P1089">
        <v>0.93548940000000003</v>
      </c>
      <c r="Q1089">
        <v>-4.2687950000000002E-2</v>
      </c>
      <c r="R1089">
        <v>-0.35076659999999998</v>
      </c>
      <c r="S1089">
        <v>2.5051420000000002</v>
      </c>
      <c r="T1089">
        <v>-0.32120070000000001</v>
      </c>
      <c r="U1089">
        <v>-1.8499760000000001</v>
      </c>
      <c r="V1089">
        <v>0.16551850000000001</v>
      </c>
      <c r="W1089">
        <v>-3.0662410000000001E-2</v>
      </c>
      <c r="X1089">
        <v>0.98572990000000005</v>
      </c>
      <c r="Y1089">
        <v>0.42855840000000001</v>
      </c>
      <c r="Z1089">
        <v>-3.1239039999999998E-3</v>
      </c>
      <c r="AA1089">
        <v>0.90350870000000005</v>
      </c>
      <c r="AB1089">
        <v>32</v>
      </c>
      <c r="AC1089">
        <v>8.3546999999999993</v>
      </c>
      <c r="AD1089">
        <v>-1.103149469426</v>
      </c>
      <c r="AE1089">
        <v>-6.3013000000000199</v>
      </c>
      <c r="AF1089">
        <v>4.5424292337893997</v>
      </c>
      <c r="AG1089">
        <v>-1.103149469426</v>
      </c>
      <c r="AH1089">
        <v>9.2994532626878801</v>
      </c>
      <c r="AI1089">
        <v>96.0841265247481</v>
      </c>
      <c r="AJ1089">
        <v>63.966250203874502</v>
      </c>
      <c r="AK1089">
        <v>10.4081906727728</v>
      </c>
      <c r="AL1089">
        <v>91.757102095278597</v>
      </c>
      <c r="AM1089">
        <v>80.468119770218806</v>
      </c>
      <c r="AN1089">
        <v>0.99999999649163396</v>
      </c>
    </row>
    <row r="1090" spans="1:40" x14ac:dyDescent="0.25">
      <c r="A1090" t="str">
        <f>"20190312151518823"</f>
        <v>20190312151518823</v>
      </c>
      <c r="B1090" t="str">
        <f>"1552374918818748"</f>
        <v>1552374918818748</v>
      </c>
      <c r="C1090" t="s">
        <v>40</v>
      </c>
      <c r="D1090">
        <v>5.0613330000000003</v>
      </c>
      <c r="E1090">
        <v>0.60968140000000004</v>
      </c>
      <c r="F1090" t="s">
        <v>45</v>
      </c>
      <c r="G1090">
        <v>-204.39930000000001</v>
      </c>
      <c r="H1090" s="1">
        <v>-4.4016369999999999E-6</v>
      </c>
      <c r="I1090">
        <v>361.72820000000002</v>
      </c>
      <c r="J1090">
        <v>-212.77879999999999</v>
      </c>
      <c r="K1090">
        <v>1.1031040000000001</v>
      </c>
      <c r="L1090">
        <v>368.10399999999998</v>
      </c>
      <c r="M1090">
        <v>0.98081260000000003</v>
      </c>
      <c r="N1090">
        <v>0</v>
      </c>
      <c r="O1090">
        <v>-0.1943849</v>
      </c>
      <c r="P1090">
        <v>0.93387600000000004</v>
      </c>
      <c r="Q1090">
        <v>-4.2951780000000002E-2</v>
      </c>
      <c r="R1090">
        <v>-0.35500799999999999</v>
      </c>
      <c r="S1090">
        <v>2.4909210000000002</v>
      </c>
      <c r="T1090">
        <v>-0.3218606</v>
      </c>
      <c r="U1090">
        <v>-1.8703000000000001</v>
      </c>
      <c r="V1090">
        <v>0.16621169999999999</v>
      </c>
      <c r="W1090">
        <v>-3.0950970000000001E-2</v>
      </c>
      <c r="X1090">
        <v>0.98560420000000004</v>
      </c>
      <c r="Y1090">
        <v>0.43228230000000001</v>
      </c>
      <c r="Z1090">
        <v>-2.9443970000000001E-3</v>
      </c>
      <c r="AA1090">
        <v>0.90173349999999997</v>
      </c>
      <c r="AB1090">
        <v>32</v>
      </c>
      <c r="AC1090">
        <v>8.37949999999997</v>
      </c>
      <c r="AD1090">
        <v>-1.1031084016370001</v>
      </c>
      <c r="AE1090">
        <v>-6.3758000000000203</v>
      </c>
      <c r="AF1090">
        <v>4.5749149879958297</v>
      </c>
      <c r="AG1090">
        <v>-1.1031084016370001</v>
      </c>
      <c r="AH1090">
        <v>9.3564304912296699</v>
      </c>
      <c r="AI1090">
        <v>96.045950514732098</v>
      </c>
      <c r="AJ1090">
        <v>63.943242403310101</v>
      </c>
      <c r="AK1090">
        <v>10.4732748856488</v>
      </c>
      <c r="AL1090">
        <v>91.773643271733803</v>
      </c>
      <c r="AM1090">
        <v>80.427738700766</v>
      </c>
      <c r="AN1090">
        <v>0.99999996540923397</v>
      </c>
    </row>
    <row r="1091" spans="1:40" x14ac:dyDescent="0.25">
      <c r="A1091" t="str">
        <f>"20190312151518834"</f>
        <v>20190312151518834</v>
      </c>
      <c r="B1091" t="str">
        <f>"1552374918828508"</f>
        <v>1552374918828508</v>
      </c>
      <c r="C1091" t="s">
        <v>40</v>
      </c>
      <c r="D1091">
        <v>5.0697210000000004</v>
      </c>
      <c r="E1091">
        <v>0.60984490000000002</v>
      </c>
      <c r="F1091" t="s">
        <v>45</v>
      </c>
      <c r="G1091">
        <v>-204.286</v>
      </c>
      <c r="H1091" s="1">
        <v>-4.3593909999999997E-6</v>
      </c>
      <c r="I1091">
        <v>361.66160000000002</v>
      </c>
      <c r="J1091">
        <v>-212.613</v>
      </c>
      <c r="K1091">
        <v>1.1030629999999999</v>
      </c>
      <c r="L1091">
        <v>368.0675</v>
      </c>
      <c r="M1091">
        <v>0.98001990000000005</v>
      </c>
      <c r="N1091">
        <v>0</v>
      </c>
      <c r="O1091">
        <v>-0.1983423</v>
      </c>
      <c r="P1091">
        <v>0.93224149999999995</v>
      </c>
      <c r="Q1091">
        <v>-4.296635E-2</v>
      </c>
      <c r="R1091">
        <v>-0.3592767</v>
      </c>
      <c r="S1091">
        <v>2.4818880000000001</v>
      </c>
      <c r="T1091">
        <v>-0.32236520000000002</v>
      </c>
      <c r="U1091">
        <v>-1.88269</v>
      </c>
      <c r="V1091">
        <v>0.16673840000000001</v>
      </c>
      <c r="W1091">
        <v>-3.098797E-2</v>
      </c>
      <c r="X1091">
        <v>0.98551409999999995</v>
      </c>
      <c r="Y1091">
        <v>0.4330929</v>
      </c>
      <c r="Z1091">
        <v>-2.569413E-3</v>
      </c>
      <c r="AA1091">
        <v>0.90134559999999997</v>
      </c>
      <c r="AB1091">
        <v>32</v>
      </c>
      <c r="AC1091">
        <v>8.3270000000000195</v>
      </c>
      <c r="AD1091">
        <v>-1.1030673593910001</v>
      </c>
      <c r="AE1091">
        <v>-6.4058999999999697</v>
      </c>
      <c r="AF1091">
        <v>4.5763756744156501</v>
      </c>
      <c r="AG1091">
        <v>-1.1030673593910001</v>
      </c>
      <c r="AH1091">
        <v>9.3293842841928605</v>
      </c>
      <c r="AI1091">
        <v>96.059383006685096</v>
      </c>
      <c r="AJ1091">
        <v>63.8705013923027</v>
      </c>
      <c r="AK1091">
        <v>10.4497551662649</v>
      </c>
      <c r="AL1091">
        <v>91.775764180785004</v>
      </c>
      <c r="AM1091">
        <v>80.397108021900607</v>
      </c>
      <c r="AN1091">
        <v>0.999999994809045</v>
      </c>
    </row>
    <row r="1092" spans="1:40" x14ac:dyDescent="0.25">
      <c r="A1092" t="str">
        <f>"20190312151518845"</f>
        <v>20190312151518845</v>
      </c>
      <c r="B1092" t="str">
        <f>"1552374918839244"</f>
        <v>1552374918839244</v>
      </c>
      <c r="C1092" t="s">
        <v>40</v>
      </c>
      <c r="D1092">
        <v>5.0926549999999997</v>
      </c>
      <c r="E1092">
        <v>0.60999479999999995</v>
      </c>
      <c r="F1092" t="s">
        <v>45</v>
      </c>
      <c r="G1092">
        <v>-204.15459999999999</v>
      </c>
      <c r="H1092" s="1">
        <v>-4.3104320000000003E-6</v>
      </c>
      <c r="I1092">
        <v>361.58409999999998</v>
      </c>
      <c r="J1092">
        <v>-212.4562</v>
      </c>
      <c r="K1092">
        <v>1.1030199999999999</v>
      </c>
      <c r="L1092">
        <v>368.03199999999998</v>
      </c>
      <c r="M1092">
        <v>0.97924580000000006</v>
      </c>
      <c r="N1092">
        <v>0</v>
      </c>
      <c r="O1092">
        <v>-0.20212930000000001</v>
      </c>
      <c r="P1092">
        <v>0.93061559999999999</v>
      </c>
      <c r="Q1092">
        <v>-4.2541620000000002E-2</v>
      </c>
      <c r="R1092">
        <v>-0.3635176</v>
      </c>
      <c r="S1092">
        <v>2.4727480000000002</v>
      </c>
      <c r="T1092">
        <v>-0.32247170000000003</v>
      </c>
      <c r="U1092">
        <v>-1.8953549999999999</v>
      </c>
      <c r="V1092">
        <v>0.16741519999999999</v>
      </c>
      <c r="W1092">
        <v>-3.0587719999999999E-2</v>
      </c>
      <c r="X1092">
        <v>0.98541190000000001</v>
      </c>
      <c r="Y1092">
        <v>0.4341391</v>
      </c>
      <c r="Z1092">
        <v>-2.222426E-3</v>
      </c>
      <c r="AA1092">
        <v>0.90084310000000001</v>
      </c>
      <c r="AB1092">
        <v>32</v>
      </c>
      <c r="AC1092">
        <v>8.3016000000000005</v>
      </c>
      <c r="AD1092">
        <v>-1.1030243104320001</v>
      </c>
      <c r="AE1092">
        <v>-6.4478999999999997</v>
      </c>
      <c r="AF1092">
        <v>4.5860967345689598</v>
      </c>
      <c r="AG1092">
        <v>-1.1030243104320001</v>
      </c>
      <c r="AH1092">
        <v>9.3309151522920004</v>
      </c>
      <c r="AI1092">
        <v>96.055875040457494</v>
      </c>
      <c r="AJ1092">
        <v>63.826120958430302</v>
      </c>
      <c r="AK1092">
        <v>10.455377729546599</v>
      </c>
      <c r="AL1092">
        <v>91.752820597325496</v>
      </c>
      <c r="AM1092">
        <v>80.357878422408604</v>
      </c>
      <c r="AN1092">
        <v>1.0000000352337199</v>
      </c>
    </row>
    <row r="1093" spans="1:40" x14ac:dyDescent="0.25">
      <c r="A1093" t="str">
        <f>"20190312151518856"</f>
        <v>20190312151518856</v>
      </c>
      <c r="B1093" t="str">
        <f>"1552374918849004"</f>
        <v>1552374918849004</v>
      </c>
      <c r="C1093" t="s">
        <v>40</v>
      </c>
      <c r="D1093">
        <v>5.1060359999999996</v>
      </c>
      <c r="E1093">
        <v>0.61013219999999901</v>
      </c>
      <c r="F1093" t="s">
        <v>45</v>
      </c>
      <c r="G1093">
        <v>-203.98830000000001</v>
      </c>
      <c r="H1093" s="1">
        <v>-4.2509549999999999E-6</v>
      </c>
      <c r="I1093">
        <v>361.4751</v>
      </c>
      <c r="J1093">
        <v>-212.3023</v>
      </c>
      <c r="K1093">
        <v>1.1029819999999999</v>
      </c>
      <c r="L1093">
        <v>367.99680000000001</v>
      </c>
      <c r="M1093">
        <v>0.9784678</v>
      </c>
      <c r="N1093">
        <v>0</v>
      </c>
      <c r="O1093">
        <v>-0.20586299999999999</v>
      </c>
      <c r="P1093">
        <v>0.92901800000000001</v>
      </c>
      <c r="Q1093">
        <v>-4.2462470000000002E-2</v>
      </c>
      <c r="R1093">
        <v>-0.3675909</v>
      </c>
      <c r="S1093">
        <v>2.4637910000000001</v>
      </c>
      <c r="T1093">
        <v>-0.32093300000000002</v>
      </c>
      <c r="U1093">
        <v>-1.9077759999999999</v>
      </c>
      <c r="V1093">
        <v>0.16797029999999999</v>
      </c>
      <c r="W1093">
        <v>-3.0530979999999999E-2</v>
      </c>
      <c r="X1093">
        <v>0.9853191</v>
      </c>
      <c r="Y1093">
        <v>0.43515340000000002</v>
      </c>
      <c r="Z1093">
        <v>-1.86919E-3</v>
      </c>
      <c r="AA1093">
        <v>0.9003544</v>
      </c>
      <c r="AB1093">
        <v>32</v>
      </c>
      <c r="AC1093">
        <v>8.3139999999999894</v>
      </c>
      <c r="AD1093">
        <v>-1.1029862509549999</v>
      </c>
      <c r="AE1093">
        <v>-6.5217000000000098</v>
      </c>
      <c r="AF1093">
        <v>4.6199071574453399</v>
      </c>
      <c r="AG1093">
        <v>-1.1029862509549999</v>
      </c>
      <c r="AH1093">
        <v>9.3764419928994993</v>
      </c>
      <c r="AI1093">
        <v>96.023592210305594</v>
      </c>
      <c r="AJ1093">
        <v>63.7698724571189</v>
      </c>
      <c r="AK1093">
        <v>10.5108413202473</v>
      </c>
      <c r="AL1093">
        <v>91.749568272679895</v>
      </c>
      <c r="AM1093">
        <v>80.325617223127196</v>
      </c>
      <c r="AN1093">
        <v>0.99999994562332795</v>
      </c>
    </row>
    <row r="1094" spans="1:40" x14ac:dyDescent="0.25">
      <c r="A1094" t="str">
        <f>"20190312151518869"</f>
        <v>20190312151518869</v>
      </c>
      <c r="B1094" t="str">
        <f>"1552374918858764"</f>
        <v>1552374918858764</v>
      </c>
      <c r="C1094" t="s">
        <v>40</v>
      </c>
      <c r="D1094">
        <v>5.1127219999999998</v>
      </c>
      <c r="E1094">
        <v>0.61030439999999997</v>
      </c>
      <c r="F1094" t="s">
        <v>45</v>
      </c>
      <c r="G1094">
        <v>-203.8459</v>
      </c>
      <c r="H1094" s="1">
        <v>-4.1991140000000001E-6</v>
      </c>
      <c r="I1094">
        <v>361.38560000000001</v>
      </c>
      <c r="J1094">
        <v>-212.12119999999999</v>
      </c>
      <c r="K1094">
        <v>1.1029329999999999</v>
      </c>
      <c r="L1094">
        <v>367.95429999999999</v>
      </c>
      <c r="M1094">
        <v>0.97752510000000004</v>
      </c>
      <c r="N1094">
        <v>0</v>
      </c>
      <c r="O1094">
        <v>-0.21029229999999999</v>
      </c>
      <c r="P1094">
        <v>0.92713100000000004</v>
      </c>
      <c r="Q1094">
        <v>-4.2139749999999997E-2</v>
      </c>
      <c r="R1094">
        <v>-0.37236039999999998</v>
      </c>
      <c r="S1094">
        <v>2.4551240000000001</v>
      </c>
      <c r="T1094">
        <v>-0.32022729999999999</v>
      </c>
      <c r="U1094">
        <v>-1.919403</v>
      </c>
      <c r="V1094">
        <v>0.16856989999999999</v>
      </c>
      <c r="W1094">
        <v>-3.0233280000000001E-2</v>
      </c>
      <c r="X1094">
        <v>0.98522589999999999</v>
      </c>
      <c r="Y1094">
        <v>0.43529240000000002</v>
      </c>
      <c r="Z1094">
        <v>-1.3968520000000001E-3</v>
      </c>
      <c r="AA1094">
        <v>0.90028809999999904</v>
      </c>
      <c r="AB1094">
        <v>32</v>
      </c>
      <c r="AC1094">
        <v>8.2752999999999801</v>
      </c>
      <c r="AD1094">
        <v>-1.102937199114</v>
      </c>
      <c r="AE1094">
        <v>-6.5686999999999696</v>
      </c>
      <c r="AF1094">
        <v>4.6308913762575799</v>
      </c>
      <c r="AG1094">
        <v>-1.102937199114</v>
      </c>
      <c r="AH1094">
        <v>9.3696058234572597</v>
      </c>
      <c r="AI1094">
        <v>96.024052553442601</v>
      </c>
      <c r="AJ1094">
        <v>63.699293531164798</v>
      </c>
      <c r="AK1094">
        <v>10.5095736683678</v>
      </c>
      <c r="AL1094">
        <v>91.732503401101297</v>
      </c>
      <c r="AM1094">
        <v>80.290837963908899</v>
      </c>
      <c r="AN1094">
        <v>0.99999996821818804</v>
      </c>
    </row>
    <row r="1095" spans="1:40" x14ac:dyDescent="0.25">
      <c r="A1095" t="str">
        <f>"20190312151518880"</f>
        <v>20190312151518880</v>
      </c>
      <c r="B1095" t="str">
        <f>"1552374918868524"</f>
        <v>1552374918868524</v>
      </c>
      <c r="C1095" t="s">
        <v>40</v>
      </c>
      <c r="D1095">
        <v>5.0977129999999997</v>
      </c>
      <c r="E1095">
        <v>0.6104174</v>
      </c>
      <c r="F1095" t="s">
        <v>45</v>
      </c>
      <c r="G1095">
        <v>-203.6815</v>
      </c>
      <c r="H1095" s="1">
        <v>-4.1395650000000002E-6</v>
      </c>
      <c r="I1095">
        <v>361.28100000000001</v>
      </c>
      <c r="J1095">
        <v>-211.9742</v>
      </c>
      <c r="K1095">
        <v>1.1028929999999999</v>
      </c>
      <c r="L1095">
        <v>367.91919999999999</v>
      </c>
      <c r="M1095">
        <v>0.97673790000000005</v>
      </c>
      <c r="N1095">
        <v>0</v>
      </c>
      <c r="O1095">
        <v>-0.21391879999999999</v>
      </c>
      <c r="P1095">
        <v>0.92558739999999995</v>
      </c>
      <c r="Q1095">
        <v>-4.2069860000000001E-2</v>
      </c>
      <c r="R1095">
        <v>-0.376189</v>
      </c>
      <c r="S1095">
        <v>2.4448699999999999</v>
      </c>
      <c r="T1095">
        <v>-0.31950529999999999</v>
      </c>
      <c r="U1095">
        <v>-1.9331670000000001</v>
      </c>
      <c r="V1095">
        <v>0.16898260000000001</v>
      </c>
      <c r="W1095">
        <v>-3.0182509999999999E-2</v>
      </c>
      <c r="X1095">
        <v>0.98515680000000005</v>
      </c>
      <c r="Y1095">
        <v>0.43692160000000002</v>
      </c>
      <c r="Z1095">
        <v>-1.099378E-3</v>
      </c>
      <c r="AA1095">
        <v>0.89949889999999999</v>
      </c>
      <c r="AB1095">
        <v>32</v>
      </c>
      <c r="AC1095">
        <v>8.2926999999999893</v>
      </c>
      <c r="AD1095">
        <v>-1.102897139565</v>
      </c>
      <c r="AE1095">
        <v>-6.6381999999999799</v>
      </c>
      <c r="AF1095">
        <v>4.6601025964102503</v>
      </c>
      <c r="AG1095">
        <v>-1.102897139565</v>
      </c>
      <c r="AH1095">
        <v>9.4193435451777194</v>
      </c>
      <c r="AI1095">
        <v>95.991097927006095</v>
      </c>
      <c r="AJ1095">
        <v>63.676670867060899</v>
      </c>
      <c r="AK1095">
        <v>10.5667862253199</v>
      </c>
      <c r="AL1095">
        <v>91.729593090759394</v>
      </c>
      <c r="AM1095">
        <v>80.266852063309699</v>
      </c>
      <c r="AN1095">
        <v>1.0000000117994501</v>
      </c>
    </row>
    <row r="1096" spans="1:40" x14ac:dyDescent="0.25">
      <c r="A1096" t="str">
        <f>"20190312151518889"</f>
        <v>20190312151518889</v>
      </c>
      <c r="B1096" t="str">
        <f>"1552374918878284"</f>
        <v>1552374918878284</v>
      </c>
      <c r="C1096" t="s">
        <v>40</v>
      </c>
      <c r="D1096">
        <v>5.0864180000000001</v>
      </c>
      <c r="E1096">
        <v>0.61053380000000002</v>
      </c>
      <c r="F1096" t="s">
        <v>45</v>
      </c>
      <c r="G1096">
        <v>-203.5514</v>
      </c>
      <c r="H1096" s="1">
        <v>-4.0924470000000002E-6</v>
      </c>
      <c r="I1096">
        <v>361.19819999999999</v>
      </c>
      <c r="J1096">
        <v>-211.82570000000001</v>
      </c>
      <c r="K1096">
        <v>1.102854</v>
      </c>
      <c r="L1096">
        <v>367.88319999999999</v>
      </c>
      <c r="M1096">
        <v>0.97592500000000004</v>
      </c>
      <c r="N1096">
        <v>0</v>
      </c>
      <c r="O1096">
        <v>-0.2175965</v>
      </c>
      <c r="P1096">
        <v>0.92396489999999998</v>
      </c>
      <c r="Q1096">
        <v>-4.1885810000000002E-2</v>
      </c>
      <c r="R1096">
        <v>-0.38017659999999998</v>
      </c>
      <c r="S1096">
        <v>2.4365079999999999</v>
      </c>
      <c r="T1096">
        <v>-0.31903920000000002</v>
      </c>
      <c r="U1096">
        <v>-1.944183</v>
      </c>
      <c r="V1096">
        <v>0.16951759999999999</v>
      </c>
      <c r="W1096">
        <v>-3.002018E-2</v>
      </c>
      <c r="X1096">
        <v>0.9850698</v>
      </c>
      <c r="Y1096">
        <v>0.4375425</v>
      </c>
      <c r="Z1096">
        <v>-7.3926899999999997E-4</v>
      </c>
      <c r="AA1096">
        <v>0.89919749999999998</v>
      </c>
      <c r="AB1096">
        <v>32</v>
      </c>
      <c r="AC1096">
        <v>8.2743000000000002</v>
      </c>
      <c r="AD1096">
        <v>-1.1028580924469999</v>
      </c>
      <c r="AE1096">
        <v>-6.6849999999999996</v>
      </c>
      <c r="AF1096">
        <v>4.6738846225058603</v>
      </c>
      <c r="AG1096">
        <v>-1.1028580924469999</v>
      </c>
      <c r="AH1096">
        <v>9.4294296575730705</v>
      </c>
      <c r="AI1096">
        <v>95.982323226664704</v>
      </c>
      <c r="AJ1096">
        <v>63.6337687406415</v>
      </c>
      <c r="AK1096">
        <v>10.581854142998299</v>
      </c>
      <c r="AL1096">
        <v>91.720288123379405</v>
      </c>
      <c r="AM1096">
        <v>80.235783326948606</v>
      </c>
      <c r="AN1096">
        <v>0.99999996939451496</v>
      </c>
    </row>
    <row r="1097" spans="1:40" x14ac:dyDescent="0.25">
      <c r="A1097" t="str">
        <f>"20190312151518900"</f>
        <v>20190312151518900</v>
      </c>
      <c r="B1097" t="str">
        <f>"1552374918889020"</f>
        <v>1552374918889020</v>
      </c>
      <c r="C1097" t="s">
        <v>40</v>
      </c>
      <c r="D1097">
        <v>5.1115259999999996</v>
      </c>
      <c r="E1097">
        <v>0.61062620000000001</v>
      </c>
      <c r="F1097" t="s">
        <v>45</v>
      </c>
      <c r="G1097">
        <v>-203.40899999999999</v>
      </c>
      <c r="H1097" s="1">
        <v>-4.0419129999999999E-6</v>
      </c>
      <c r="I1097">
        <v>361.10300000000001</v>
      </c>
      <c r="J1097">
        <v>-211.68119999999999</v>
      </c>
      <c r="K1097">
        <v>1.102811</v>
      </c>
      <c r="L1097">
        <v>367.84739999999999</v>
      </c>
      <c r="M1097">
        <v>0.97511080000000006</v>
      </c>
      <c r="N1097">
        <v>0</v>
      </c>
      <c r="O1097">
        <v>-0.2212163</v>
      </c>
      <c r="P1097">
        <v>0.92241130000000005</v>
      </c>
      <c r="Q1097">
        <v>-4.1990760000000002E-2</v>
      </c>
      <c r="R1097">
        <v>-0.38391920000000002</v>
      </c>
      <c r="S1097">
        <v>2.4277340000000001</v>
      </c>
      <c r="T1097">
        <v>-0.31810899999999998</v>
      </c>
      <c r="U1097">
        <v>-1.9556880000000001</v>
      </c>
      <c r="V1097">
        <v>0.1698519</v>
      </c>
      <c r="W1097">
        <v>-3.014296E-2</v>
      </c>
      <c r="X1097">
        <v>0.98500849999999995</v>
      </c>
      <c r="Y1097">
        <v>0.43839850000000002</v>
      </c>
      <c r="Z1097">
        <v>-3.9920210000000001E-4</v>
      </c>
      <c r="AA1097">
        <v>0.89878060000000004</v>
      </c>
      <c r="AB1097">
        <v>32</v>
      </c>
      <c r="AC1097">
        <v>8.2721999999999696</v>
      </c>
      <c r="AD1097">
        <v>-1.1028150419130001</v>
      </c>
      <c r="AE1097">
        <v>-6.7443999999999802</v>
      </c>
      <c r="AF1097">
        <v>4.6969732368907398</v>
      </c>
      <c r="AG1097">
        <v>-1.1028150419130001</v>
      </c>
      <c r="AH1097">
        <v>9.4583651268495395</v>
      </c>
      <c r="AI1097">
        <v>95.961743381960403</v>
      </c>
      <c r="AJ1097">
        <v>63.591252461958497</v>
      </c>
      <c r="AK1097">
        <v>10.6178354421954</v>
      </c>
      <c r="AL1097">
        <v>91.727326022034802</v>
      </c>
      <c r="AM1097">
        <v>80.216302306248593</v>
      </c>
      <c r="AN1097">
        <v>1.00000000552171</v>
      </c>
    </row>
    <row r="1098" spans="1:40" x14ac:dyDescent="0.25">
      <c r="A1098" t="str">
        <f>"20190312151518912"</f>
        <v>20190312151518912</v>
      </c>
      <c r="B1098" t="str">
        <f>"1552374918908541"</f>
        <v>1552374918908541</v>
      </c>
      <c r="C1098" t="s">
        <v>40</v>
      </c>
      <c r="D1098">
        <v>5.0907660000000003</v>
      </c>
      <c r="E1098">
        <v>0.61073679999999997</v>
      </c>
      <c r="F1098" t="s">
        <v>45</v>
      </c>
      <c r="G1098">
        <v>-203.2955</v>
      </c>
      <c r="H1098" s="1">
        <v>-4.0005260000000004E-6</v>
      </c>
      <c r="I1098">
        <v>361.03199999999998</v>
      </c>
      <c r="J1098">
        <v>-211.5204</v>
      </c>
      <c r="K1098">
        <v>1.1027640000000001</v>
      </c>
      <c r="L1098">
        <v>367.8073</v>
      </c>
      <c r="M1098">
        <v>0.97418649999999996</v>
      </c>
      <c r="N1098">
        <v>0</v>
      </c>
      <c r="O1098">
        <v>-0.22525200000000001</v>
      </c>
      <c r="P1098">
        <v>0.92075110000000004</v>
      </c>
      <c r="Q1098">
        <v>-4.2210409999999997E-2</v>
      </c>
      <c r="R1098">
        <v>-0.3878605</v>
      </c>
      <c r="S1098">
        <v>2.4194179999999998</v>
      </c>
      <c r="T1098">
        <v>-0.31818039999999997</v>
      </c>
      <c r="U1098">
        <v>-1.9663390000000001</v>
      </c>
      <c r="V1098">
        <v>0.1699811</v>
      </c>
      <c r="W1098">
        <v>-3.0378189999999999E-2</v>
      </c>
      <c r="X1098">
        <v>0.98497900000000005</v>
      </c>
      <c r="Y1098">
        <v>0.43859090000000001</v>
      </c>
      <c r="Z1098" s="1">
        <v>2.218783E-5</v>
      </c>
      <c r="AA1098">
        <v>0.89868680000000001</v>
      </c>
      <c r="AB1098">
        <v>32</v>
      </c>
      <c r="AC1098">
        <v>8.2248999999999892</v>
      </c>
      <c r="AD1098">
        <v>-1.1027680005260001</v>
      </c>
      <c r="AE1098">
        <v>-6.7753000000000103</v>
      </c>
      <c r="AF1098">
        <v>4.6979457671587497</v>
      </c>
      <c r="AG1098">
        <v>-1.1027680005260001</v>
      </c>
      <c r="AH1098">
        <v>9.43871293155639</v>
      </c>
      <c r="AI1098">
        <v>95.971126171959497</v>
      </c>
      <c r="AJ1098">
        <v>63.5390185561576</v>
      </c>
      <c r="AK1098">
        <v>10.600759100105901</v>
      </c>
      <c r="AL1098">
        <v>91.740809858684599</v>
      </c>
      <c r="AM1098">
        <v>80.208716633666896</v>
      </c>
      <c r="AN1098">
        <v>1.0000000196129399</v>
      </c>
    </row>
    <row r="1099" spans="1:40" x14ac:dyDescent="0.25">
      <c r="A1099" t="str">
        <f>"20190312151518924"</f>
        <v>20190312151518924</v>
      </c>
      <c r="B1099" t="str">
        <f>"1552374918918300"</f>
        <v>1552374918918300</v>
      </c>
      <c r="C1099" t="s">
        <v>40</v>
      </c>
      <c r="D1099">
        <v>5.0959279999999998</v>
      </c>
      <c r="E1099">
        <v>0.61080259999999997</v>
      </c>
      <c r="F1099" t="s">
        <v>45</v>
      </c>
      <c r="G1099">
        <v>-203.20050000000001</v>
      </c>
      <c r="H1099" s="1">
        <v>-3.9638650000000004E-6</v>
      </c>
      <c r="I1099">
        <v>360.98180000000002</v>
      </c>
      <c r="J1099">
        <v>-211.36240000000001</v>
      </c>
      <c r="K1099">
        <v>1.102716</v>
      </c>
      <c r="L1099">
        <v>367.76659999999998</v>
      </c>
      <c r="M1099">
        <v>0.97324790000000005</v>
      </c>
      <c r="N1099">
        <v>0</v>
      </c>
      <c r="O1099">
        <v>-0.22927320000000001</v>
      </c>
      <c r="P1099">
        <v>0.91897459999999997</v>
      </c>
      <c r="Q1099">
        <v>-4.208775E-2</v>
      </c>
      <c r="R1099">
        <v>-0.39206459999999999</v>
      </c>
      <c r="S1099">
        <v>2.4105379999999998</v>
      </c>
      <c r="T1099">
        <v>-0.3195035</v>
      </c>
      <c r="U1099">
        <v>-1.9775389999999999</v>
      </c>
      <c r="V1099">
        <v>0.17041220000000001</v>
      </c>
      <c r="W1099">
        <v>-3.0276330000000001E-2</v>
      </c>
      <c r="X1099">
        <v>0.98490759999999999</v>
      </c>
      <c r="Y1099">
        <v>0.43900840000000002</v>
      </c>
      <c r="Z1099">
        <v>4.3118369999999999E-4</v>
      </c>
      <c r="AA1099">
        <v>0.89848289999999997</v>
      </c>
      <c r="AB1099">
        <v>32</v>
      </c>
      <c r="AC1099">
        <v>8.1618999999999993</v>
      </c>
      <c r="AD1099">
        <v>-1.102719963865</v>
      </c>
      <c r="AE1099">
        <v>-6.7847999999999598</v>
      </c>
      <c r="AF1099">
        <v>4.6819743888610299</v>
      </c>
      <c r="AG1099">
        <v>-1.102719963865</v>
      </c>
      <c r="AH1099">
        <v>9.3987272731750604</v>
      </c>
      <c r="AI1099">
        <v>95.995092331426306</v>
      </c>
      <c r="AJ1099">
        <v>63.519817137029598</v>
      </c>
      <c r="AK1099">
        <v>10.558075101654699</v>
      </c>
      <c r="AL1099">
        <v>91.734971098395405</v>
      </c>
      <c r="AM1099">
        <v>80.183669027836103</v>
      </c>
      <c r="AN1099">
        <v>0.99999997730243395</v>
      </c>
    </row>
    <row r="1100" spans="1:40" x14ac:dyDescent="0.25">
      <c r="A1100" t="str">
        <f>"20190312151518935"</f>
        <v>20190312151518935</v>
      </c>
      <c r="B1100" t="str">
        <f>"1552374918929036"</f>
        <v>1552374918929036</v>
      </c>
      <c r="C1100" t="s">
        <v>40</v>
      </c>
      <c r="D1100">
        <v>5.0787360000000001</v>
      </c>
      <c r="E1100">
        <v>0.61086989999999997</v>
      </c>
      <c r="F1100" t="s">
        <v>45</v>
      </c>
      <c r="G1100">
        <v>-203.07050000000001</v>
      </c>
      <c r="H1100" s="1">
        <v>-3.9167820000000003E-6</v>
      </c>
      <c r="I1100">
        <v>360.89909999999998</v>
      </c>
      <c r="J1100">
        <v>-211.18790000000001</v>
      </c>
      <c r="K1100">
        <v>1.1026629999999999</v>
      </c>
      <c r="L1100">
        <v>367.72120000000001</v>
      </c>
      <c r="M1100">
        <v>0.97218689999999996</v>
      </c>
      <c r="N1100">
        <v>0</v>
      </c>
      <c r="O1100">
        <v>-0.2337302</v>
      </c>
      <c r="P1100">
        <v>0.91706869999999996</v>
      </c>
      <c r="Q1100">
        <v>-4.2460919999999999E-2</v>
      </c>
      <c r="R1100">
        <v>-0.39646239999999999</v>
      </c>
      <c r="S1100">
        <v>2.401367</v>
      </c>
      <c r="T1100">
        <v>-0.31935170000000002</v>
      </c>
      <c r="U1100">
        <v>-1.988831</v>
      </c>
      <c r="V1100">
        <v>0.1706114</v>
      </c>
      <c r="W1100">
        <v>-3.0667779999999999E-2</v>
      </c>
      <c r="X1100">
        <v>0.98486099999999999</v>
      </c>
      <c r="Y1100">
        <v>0.4391063</v>
      </c>
      <c r="Z1100">
        <v>9.0573909999999995E-4</v>
      </c>
      <c r="AA1100">
        <v>0.89843459999999997</v>
      </c>
      <c r="AB1100">
        <v>32</v>
      </c>
      <c r="AC1100">
        <v>8.1173999999999999</v>
      </c>
      <c r="AD1100">
        <v>-1.102666916782</v>
      </c>
      <c r="AE1100">
        <v>-6.82210000000003</v>
      </c>
      <c r="AF1100">
        <v>4.6849385441127698</v>
      </c>
      <c r="AG1100">
        <v>-1.102666916782</v>
      </c>
      <c r="AH1100">
        <v>9.3857188460621508</v>
      </c>
      <c r="AI1100">
        <v>96.000659880388696</v>
      </c>
      <c r="AJ1100">
        <v>63.473644728758401</v>
      </c>
      <c r="AK1100">
        <v>10.5478074379846</v>
      </c>
      <c r="AL1100">
        <v>91.757409954525698</v>
      </c>
      <c r="AM1100">
        <v>80.1719620936979</v>
      </c>
      <c r="AN1100">
        <v>0.99999997593054302</v>
      </c>
    </row>
    <row r="1101" spans="1:40" x14ac:dyDescent="0.25">
      <c r="A1101" t="str">
        <f>"20190312151518947"</f>
        <v>20190312151518947</v>
      </c>
      <c r="B1101" t="str">
        <f>"1552374918938797"</f>
        <v>1552374918938797</v>
      </c>
      <c r="C1101" t="s">
        <v>40</v>
      </c>
      <c r="D1101">
        <v>5.0675319999999999</v>
      </c>
      <c r="E1101">
        <v>0.61094510000000002</v>
      </c>
      <c r="F1101" t="s">
        <v>45</v>
      </c>
      <c r="G1101">
        <v>-202.9693</v>
      </c>
      <c r="H1101" s="1">
        <v>-3.878223E-6</v>
      </c>
      <c r="I1101">
        <v>360.8433</v>
      </c>
      <c r="J1101">
        <v>-211.0206</v>
      </c>
      <c r="K1101">
        <v>1.1026149999999999</v>
      </c>
      <c r="L1101">
        <v>367.67669999999998</v>
      </c>
      <c r="M1101">
        <v>0.97113850000000002</v>
      </c>
      <c r="N1101">
        <v>0</v>
      </c>
      <c r="O1101">
        <v>-0.23804929999999999</v>
      </c>
      <c r="P1101">
        <v>0.91515179999999996</v>
      </c>
      <c r="Q1101">
        <v>-4.3045699999999999E-2</v>
      </c>
      <c r="R1101">
        <v>-0.40080510000000003</v>
      </c>
      <c r="S1101">
        <v>2.3912810000000002</v>
      </c>
      <c r="T1101">
        <v>-0.32082959999999999</v>
      </c>
      <c r="U1101">
        <v>-2.0011899999999998</v>
      </c>
      <c r="V1101">
        <v>0.17089499999999999</v>
      </c>
      <c r="W1101">
        <v>-3.1272000000000001E-2</v>
      </c>
      <c r="X1101">
        <v>0.98479280000000002</v>
      </c>
      <c r="Y1101">
        <v>0.4397181</v>
      </c>
      <c r="Z1101">
        <v>1.3423039999999999E-3</v>
      </c>
      <c r="AA1101">
        <v>0.89813489999999996</v>
      </c>
      <c r="AB1101">
        <v>32</v>
      </c>
      <c r="AC1101">
        <v>8.0512999999999906</v>
      </c>
      <c r="AD1101">
        <v>-1.102618878223</v>
      </c>
      <c r="AE1101">
        <v>-6.8333999999999797</v>
      </c>
      <c r="AF1101">
        <v>4.6691935882670501</v>
      </c>
      <c r="AG1101">
        <v>-1.102618878223</v>
      </c>
      <c r="AH1101">
        <v>9.3447886068394901</v>
      </c>
      <c r="AI1101">
        <v>96.025290320726498</v>
      </c>
      <c r="AJ1101">
        <v>63.450650630747099</v>
      </c>
      <c r="AK1101">
        <v>10.5043900947101</v>
      </c>
      <c r="AL1101">
        <v>91.792045874322596</v>
      </c>
      <c r="AM1101">
        <v>80.155276322232496</v>
      </c>
      <c r="AN1101">
        <v>0.999999948970418</v>
      </c>
    </row>
    <row r="1102" spans="1:40" x14ac:dyDescent="0.25">
      <c r="A1102" t="str">
        <f>"20190312151518960"</f>
        <v>20190312151518960</v>
      </c>
      <c r="B1102" t="str">
        <f>"1552374918948556"</f>
        <v>1552374918948556</v>
      </c>
      <c r="C1102" t="s">
        <v>40</v>
      </c>
      <c r="D1102">
        <v>5.0499320000000001</v>
      </c>
      <c r="E1102">
        <v>0.61096709999999999</v>
      </c>
      <c r="F1102" t="s">
        <v>45</v>
      </c>
      <c r="G1102">
        <v>-202.8869</v>
      </c>
      <c r="H1102" s="1">
        <v>-3.8460180000000002E-6</v>
      </c>
      <c r="I1102">
        <v>360.80149999999998</v>
      </c>
      <c r="J1102">
        <v>-210.86</v>
      </c>
      <c r="K1102">
        <v>1.1025689999999999</v>
      </c>
      <c r="L1102">
        <v>367.63319999999999</v>
      </c>
      <c r="M1102">
        <v>0.97010560000000001</v>
      </c>
      <c r="N1102">
        <v>0</v>
      </c>
      <c r="O1102">
        <v>-0.24222270000000001</v>
      </c>
      <c r="P1102">
        <v>0.9133426</v>
      </c>
      <c r="Q1102">
        <v>-4.3255719999999998E-2</v>
      </c>
      <c r="R1102">
        <v>-0.40488790000000002</v>
      </c>
      <c r="S1102">
        <v>2.3813930000000001</v>
      </c>
      <c r="T1102">
        <v>-0.322824</v>
      </c>
      <c r="U1102">
        <v>-2.0129090000000001</v>
      </c>
      <c r="V1102">
        <v>0.17105390000000001</v>
      </c>
      <c r="W1102">
        <v>-3.1497749999999998E-2</v>
      </c>
      <c r="X1102">
        <v>0.98475809999999997</v>
      </c>
      <c r="Y1102">
        <v>0.440278</v>
      </c>
      <c r="Z1102">
        <v>1.773424E-3</v>
      </c>
      <c r="AA1102">
        <v>0.89785979999999999</v>
      </c>
      <c r="AB1102">
        <v>32</v>
      </c>
      <c r="AC1102">
        <v>7.9731000000000103</v>
      </c>
      <c r="AD1102">
        <v>-1.102572846018</v>
      </c>
      <c r="AE1102">
        <v>-6.8317000000000103</v>
      </c>
      <c r="AF1102">
        <v>4.64550207264665</v>
      </c>
      <c r="AG1102">
        <v>-1.102572846018</v>
      </c>
      <c r="AH1102">
        <v>9.2881676464297005</v>
      </c>
      <c r="AI1102">
        <v>96.060305354134897</v>
      </c>
      <c r="AJ1102">
        <v>63.427950263328597</v>
      </c>
      <c r="AK1102">
        <v>10.443486707796501</v>
      </c>
      <c r="AL1102">
        <v>91.804986625530205</v>
      </c>
      <c r="AM1102">
        <v>80.145961531039902</v>
      </c>
      <c r="AN1102">
        <v>1.0000000302379399</v>
      </c>
    </row>
    <row r="1103" spans="1:40" x14ac:dyDescent="0.25">
      <c r="A1103" t="str">
        <f>"20190312151518971"</f>
        <v>20190312151518971</v>
      </c>
      <c r="B1103" t="str">
        <f>"1552374918969053"</f>
        <v>1552374918969053</v>
      </c>
      <c r="C1103" t="s">
        <v>40</v>
      </c>
      <c r="D1103">
        <v>5.0602510000000001</v>
      </c>
      <c r="E1103">
        <v>0.61106579999999999</v>
      </c>
      <c r="F1103" t="s">
        <v>45</v>
      </c>
      <c r="G1103">
        <v>-202.78360000000001</v>
      </c>
      <c r="H1103" s="1">
        <v>-3.8069259999999998E-6</v>
      </c>
      <c r="I1103">
        <v>360.74340000000001</v>
      </c>
      <c r="J1103">
        <v>-210.6891</v>
      </c>
      <c r="K1103">
        <v>1.1025210000000001</v>
      </c>
      <c r="L1103">
        <v>367.58629999999999</v>
      </c>
      <c r="M1103">
        <v>0.96897979999999995</v>
      </c>
      <c r="N1103">
        <v>0</v>
      </c>
      <c r="O1103">
        <v>-0.2466883</v>
      </c>
      <c r="P1103">
        <v>0.91140160000000003</v>
      </c>
      <c r="Q1103">
        <v>-4.3217070000000003E-2</v>
      </c>
      <c r="R1103">
        <v>-0.40924270000000001</v>
      </c>
      <c r="S1103">
        <v>2.3721920000000001</v>
      </c>
      <c r="T1103">
        <v>-0.3238434</v>
      </c>
      <c r="U1103">
        <v>-2.0236510000000001</v>
      </c>
      <c r="V1103">
        <v>0.17121510000000001</v>
      </c>
      <c r="W1103">
        <v>-3.1475219999999998E-2</v>
      </c>
      <c r="X1103">
        <v>0.98473080000000002</v>
      </c>
      <c r="Y1103">
        <v>0.44023190000000001</v>
      </c>
      <c r="Z1103">
        <v>2.2714380000000002E-3</v>
      </c>
      <c r="AA1103">
        <v>0.89788129999999999</v>
      </c>
      <c r="AB1103">
        <v>32</v>
      </c>
      <c r="AC1103">
        <v>7.9054999999999804</v>
      </c>
      <c r="AD1103">
        <v>-1.1025248069260001</v>
      </c>
      <c r="AE1103">
        <v>-6.8428999999999798</v>
      </c>
      <c r="AF1103">
        <v>4.6294840023814396</v>
      </c>
      <c r="AG1103">
        <v>-1.1025248069260001</v>
      </c>
      <c r="AH1103">
        <v>9.2465626829549397</v>
      </c>
      <c r="AI1103">
        <v>96.085853668405406</v>
      </c>
      <c r="AJ1103">
        <v>63.404209536382901</v>
      </c>
      <c r="AK1103">
        <v>10.3993559669821</v>
      </c>
      <c r="AL1103">
        <v>91.803695122179803</v>
      </c>
      <c r="AM1103">
        <v>80.136589377514497</v>
      </c>
      <c r="AN1103">
        <v>1.00000002420534</v>
      </c>
    </row>
    <row r="1104" spans="1:40" x14ac:dyDescent="0.25">
      <c r="A1104" t="str">
        <f>"20190312151518987"</f>
        <v>20190312151518987</v>
      </c>
      <c r="B1104" t="str">
        <f>"1552374918978813"</f>
        <v>1552374918978813</v>
      </c>
      <c r="C1104" t="s">
        <v>40</v>
      </c>
      <c r="D1104">
        <v>5.1005649999999996</v>
      </c>
      <c r="E1104">
        <v>0.611120199999999</v>
      </c>
      <c r="F1104" t="s">
        <v>45</v>
      </c>
      <c r="G1104">
        <v>-202.65309999999999</v>
      </c>
      <c r="H1104" s="1">
        <v>-3.7595269999999999E-6</v>
      </c>
      <c r="I1104">
        <v>360.661</v>
      </c>
      <c r="J1104">
        <v>-210.4768</v>
      </c>
      <c r="K1104">
        <v>1.102465</v>
      </c>
      <c r="L1104">
        <v>367.52640000000002</v>
      </c>
      <c r="M1104">
        <v>0.96753420000000001</v>
      </c>
      <c r="N1104">
        <v>0</v>
      </c>
      <c r="O1104">
        <v>-0.2522973</v>
      </c>
      <c r="P1104">
        <v>0.90891770000000005</v>
      </c>
      <c r="Q1104">
        <v>-4.3480989999999997E-2</v>
      </c>
      <c r="R1104">
        <v>-0.41470240000000003</v>
      </c>
      <c r="S1104">
        <v>2.3621829999999999</v>
      </c>
      <c r="T1104">
        <v>-0.32408710000000002</v>
      </c>
      <c r="U1104">
        <v>-2.0356749999999999</v>
      </c>
      <c r="V1104">
        <v>0.17141210000000001</v>
      </c>
      <c r="W1104">
        <v>-3.1758109999999999E-2</v>
      </c>
      <c r="X1104">
        <v>0.98468739999999999</v>
      </c>
      <c r="Y1104">
        <v>0.43956600000000001</v>
      </c>
      <c r="Z1104">
        <v>2.9283820000000002E-3</v>
      </c>
      <c r="AA1104">
        <v>0.89820549999999999</v>
      </c>
      <c r="AB1104">
        <v>32</v>
      </c>
      <c r="AC1104">
        <v>7.8236999999999997</v>
      </c>
      <c r="AD1104">
        <v>-1.102468759527</v>
      </c>
      <c r="AE1104">
        <v>-6.8654000000000197</v>
      </c>
      <c r="AF1104">
        <v>4.6173343302448098</v>
      </c>
      <c r="AG1104">
        <v>-1.102468759527</v>
      </c>
      <c r="AH1104">
        <v>9.1996548793591906</v>
      </c>
      <c r="AI1104">
        <v>96.113345761159394</v>
      </c>
      <c r="AJ1104">
        <v>63.347788404213503</v>
      </c>
      <c r="AK1104">
        <v>10.352239544287301</v>
      </c>
      <c r="AL1104">
        <v>91.819911711352802</v>
      </c>
      <c r="AM1104">
        <v>80.125037158730294</v>
      </c>
      <c r="AN1104">
        <v>0.99999998064797002</v>
      </c>
    </row>
    <row r="1105" spans="1:40" x14ac:dyDescent="0.25">
      <c r="A1105" t="str">
        <f>"20190312151519002"</f>
        <v>20190312151519002</v>
      </c>
      <c r="B1105" t="str">
        <f>"1552374918998333"</f>
        <v>1552374918998333</v>
      </c>
      <c r="C1105" t="s">
        <v>40</v>
      </c>
      <c r="D1105">
        <v>5.0661670000000001</v>
      </c>
      <c r="E1105">
        <v>0.61123719999999904</v>
      </c>
      <c r="F1105" t="s">
        <v>45</v>
      </c>
      <c r="G1105">
        <v>-202.5078</v>
      </c>
      <c r="H1105" s="1">
        <v>-3.7062359999999999E-6</v>
      </c>
      <c r="I1105">
        <v>360.57170000000002</v>
      </c>
      <c r="J1105">
        <v>-210.2732</v>
      </c>
      <c r="K1105">
        <v>1.1024119999999999</v>
      </c>
      <c r="L1105">
        <v>367.46769999999998</v>
      </c>
      <c r="M1105">
        <v>0.96610410000000002</v>
      </c>
      <c r="N1105">
        <v>0</v>
      </c>
      <c r="O1105">
        <v>-0.25771909999999998</v>
      </c>
      <c r="P1105">
        <v>0.90636689999999998</v>
      </c>
      <c r="Q1105">
        <v>-4.3563020000000001E-2</v>
      </c>
      <c r="R1105">
        <v>-0.42023969999999999</v>
      </c>
      <c r="S1105">
        <v>2.3495330000000001</v>
      </c>
      <c r="T1105">
        <v>-0.32504549999999999</v>
      </c>
      <c r="U1105">
        <v>-2.0504760000000002</v>
      </c>
      <c r="V1105">
        <v>0.17189289999999999</v>
      </c>
      <c r="W1105">
        <v>-3.1863349999999999E-2</v>
      </c>
      <c r="X1105">
        <v>0.98460020000000004</v>
      </c>
      <c r="Y1105">
        <v>0.44015569999999998</v>
      </c>
      <c r="Z1105">
        <v>3.500225E-3</v>
      </c>
      <c r="AA1105">
        <v>0.89791460000000001</v>
      </c>
      <c r="AB1105">
        <v>32</v>
      </c>
      <c r="AC1105">
        <v>7.7653999999999996</v>
      </c>
      <c r="AD1105">
        <v>-1.102415706236</v>
      </c>
      <c r="AE1105">
        <v>-6.8959999999999502</v>
      </c>
      <c r="AF1105">
        <v>4.6095433000828798</v>
      </c>
      <c r="AG1105">
        <v>-1.102415706236</v>
      </c>
      <c r="AH1105">
        <v>9.1770472844288804</v>
      </c>
      <c r="AI1105">
        <v>96.127054003630406</v>
      </c>
      <c r="AJ1105">
        <v>63.330058095753202</v>
      </c>
      <c r="AK1105">
        <v>10.328669163321001</v>
      </c>
      <c r="AL1105">
        <v>91.825944540795305</v>
      </c>
      <c r="AM1105">
        <v>80.097026422303401</v>
      </c>
      <c r="AN1105">
        <v>0.99999999799183603</v>
      </c>
    </row>
    <row r="1106" spans="1:40" x14ac:dyDescent="0.25">
      <c r="A1106" t="str">
        <f>"20190312151519015"</f>
        <v>20190312151519015</v>
      </c>
      <c r="B1106" t="str">
        <f>"1552374919009068"</f>
        <v>1552374919009068</v>
      </c>
      <c r="C1106" t="s">
        <v>40</v>
      </c>
      <c r="D1106">
        <v>5.0486789999999999</v>
      </c>
      <c r="E1106">
        <v>0.61129149999999999</v>
      </c>
      <c r="F1106" t="s">
        <v>45</v>
      </c>
      <c r="G1106">
        <v>-202.3682</v>
      </c>
      <c r="H1106" s="1">
        <v>-3.6564569999999999E-6</v>
      </c>
      <c r="I1106">
        <v>360.47930000000002</v>
      </c>
      <c r="J1106">
        <v>-210.09399999999999</v>
      </c>
      <c r="K1106">
        <v>1.1023689999999999</v>
      </c>
      <c r="L1106">
        <v>367.4153</v>
      </c>
      <c r="M1106">
        <v>0.964812</v>
      </c>
      <c r="N1106">
        <v>0</v>
      </c>
      <c r="O1106">
        <v>-0.26251429999999998</v>
      </c>
      <c r="P1106">
        <v>0.90404490000000004</v>
      </c>
      <c r="Q1106">
        <v>-4.376356E-2</v>
      </c>
      <c r="R1106">
        <v>-0.42519089999999998</v>
      </c>
      <c r="S1106">
        <v>2.3365330000000002</v>
      </c>
      <c r="T1106">
        <v>-0.32584990000000003</v>
      </c>
      <c r="U1106">
        <v>-2.0656129999999999</v>
      </c>
      <c r="V1106">
        <v>0.1723835</v>
      </c>
      <c r="W1106">
        <v>-3.2085280000000001E-2</v>
      </c>
      <c r="X1106">
        <v>0.98450720000000003</v>
      </c>
      <c r="Y1106">
        <v>0.44145299999999998</v>
      </c>
      <c r="Z1106">
        <v>3.9629490000000003E-3</v>
      </c>
      <c r="AA1106">
        <v>0.89727559999999995</v>
      </c>
      <c r="AB1106">
        <v>32</v>
      </c>
      <c r="AC1106">
        <v>7.72580000000002</v>
      </c>
      <c r="AD1106">
        <v>-1.102372656457</v>
      </c>
      <c r="AE1106">
        <v>-6.9359999999999697</v>
      </c>
      <c r="AF1106">
        <v>4.6123290884804504</v>
      </c>
      <c r="AG1106">
        <v>-1.102372656457</v>
      </c>
      <c r="AH1106">
        <v>9.1723792423669703</v>
      </c>
      <c r="AI1106">
        <v>96.1285458307635</v>
      </c>
      <c r="AJ1106">
        <v>63.3044724668814</v>
      </c>
      <c r="AK1106">
        <v>10.3257612823438</v>
      </c>
      <c r="AL1106">
        <v>91.8386667283756</v>
      </c>
      <c r="AM1106">
        <v>80.068404794367595</v>
      </c>
      <c r="AN1106">
        <v>0.99999998155838399</v>
      </c>
    </row>
    <row r="1107" spans="1:40" x14ac:dyDescent="0.25">
      <c r="A1107" t="str">
        <f>"20190312151519027"</f>
        <v>20190312151519027</v>
      </c>
      <c r="B1107" t="str">
        <f>"1552374919018829"</f>
        <v>1552374919018829</v>
      </c>
      <c r="C1107" t="s">
        <v>40</v>
      </c>
      <c r="D1107">
        <v>5.1033150000000003</v>
      </c>
      <c r="E1107">
        <v>0.61132699999999995</v>
      </c>
      <c r="F1107" t="s">
        <v>45</v>
      </c>
      <c r="G1107">
        <v>-202.26490000000001</v>
      </c>
      <c r="H1107" s="1">
        <v>-3.6185740000000001E-6</v>
      </c>
      <c r="I1107">
        <v>360.41570000000002</v>
      </c>
      <c r="J1107">
        <v>-209.91970000000001</v>
      </c>
      <c r="K1107">
        <v>1.102328</v>
      </c>
      <c r="L1107">
        <v>367.363</v>
      </c>
      <c r="M1107">
        <v>0.96351929999999997</v>
      </c>
      <c r="N1107">
        <v>0</v>
      </c>
      <c r="O1107">
        <v>-0.26722030000000002</v>
      </c>
      <c r="P1107">
        <v>0.9018273</v>
      </c>
      <c r="Q1107">
        <v>-4.3928639999999998E-2</v>
      </c>
      <c r="R1107">
        <v>-0.42985849999999998</v>
      </c>
      <c r="S1107">
        <v>2.3249659999999999</v>
      </c>
      <c r="T1107">
        <v>-0.32736490000000001</v>
      </c>
      <c r="U1107">
        <v>-2.0786129999999998</v>
      </c>
      <c r="V1107">
        <v>0.1726636</v>
      </c>
      <c r="W1107">
        <v>-3.2265729999999999E-2</v>
      </c>
      <c r="X1107">
        <v>0.9844522</v>
      </c>
      <c r="Y1107">
        <v>0.44209179999999998</v>
      </c>
      <c r="Z1107">
        <v>4.4675899999999996E-3</v>
      </c>
      <c r="AA1107">
        <v>0.8969587</v>
      </c>
      <c r="AB1107">
        <v>32</v>
      </c>
      <c r="AC1107">
        <v>7.6547999999999901</v>
      </c>
      <c r="AD1107">
        <v>-1.102331618574</v>
      </c>
      <c r="AE1107">
        <v>-6.9473000000000402</v>
      </c>
      <c r="AF1107">
        <v>4.5965914105155399</v>
      </c>
      <c r="AG1107">
        <v>-1.102331618574</v>
      </c>
      <c r="AH1107">
        <v>9.1292305603391508</v>
      </c>
      <c r="AI1107">
        <v>96.155461294377403</v>
      </c>
      <c r="AJ1107">
        <v>63.274626064539298</v>
      </c>
      <c r="AK1107">
        <v>10.280400683648599</v>
      </c>
      <c r="AL1107">
        <v>91.849011138416401</v>
      </c>
      <c r="AM1107">
        <v>80.052044718671098</v>
      </c>
      <c r="AN1107">
        <v>0.999999965091115</v>
      </c>
    </row>
    <row r="1108" spans="1:40" x14ac:dyDescent="0.25">
      <c r="A1108" t="str">
        <f>"20190312151519046"</f>
        <v>20190312151519046</v>
      </c>
      <c r="B1108" t="str">
        <f>"1552374919038348"</f>
        <v>1552374919038348</v>
      </c>
      <c r="C1108" t="s">
        <v>40</v>
      </c>
      <c r="D1108">
        <v>5.0389390000000001</v>
      </c>
      <c r="E1108">
        <v>0.61141309999999904</v>
      </c>
      <c r="F1108" t="s">
        <v>45</v>
      </c>
      <c r="G1108">
        <v>-202.15</v>
      </c>
      <c r="H1108" s="1">
        <v>-3.5769730000000001E-6</v>
      </c>
      <c r="I1108">
        <v>360.34269999999998</v>
      </c>
      <c r="J1108">
        <v>-209.66890000000001</v>
      </c>
      <c r="K1108">
        <v>1.102271</v>
      </c>
      <c r="L1108">
        <v>367.28629999999998</v>
      </c>
      <c r="M1108">
        <v>0.96160409999999996</v>
      </c>
      <c r="N1108">
        <v>0</v>
      </c>
      <c r="O1108">
        <v>-0.27403159999999999</v>
      </c>
      <c r="P1108">
        <v>0.8984181</v>
      </c>
      <c r="Q1108">
        <v>-4.4506589999999999E-2</v>
      </c>
      <c r="R1108">
        <v>-0.4368804</v>
      </c>
      <c r="S1108">
        <v>2.3139949999999998</v>
      </c>
      <c r="T1108">
        <v>-0.32829960000000002</v>
      </c>
      <c r="U1108">
        <v>-2.0908199999999999</v>
      </c>
      <c r="V1108">
        <v>0.1733703</v>
      </c>
      <c r="W1108">
        <v>-3.2870400000000001E-2</v>
      </c>
      <c r="X1108">
        <v>0.98430799999999996</v>
      </c>
      <c r="Y1108">
        <v>0.44050319999999998</v>
      </c>
      <c r="Z1108">
        <v>5.3364129999999999E-3</v>
      </c>
      <c r="AA1108">
        <v>0.89773519999999896</v>
      </c>
      <c r="AB1108">
        <v>32</v>
      </c>
      <c r="AC1108">
        <v>7.5189000000000004</v>
      </c>
      <c r="AD1108">
        <v>-1.102274576973</v>
      </c>
      <c r="AE1108">
        <v>-6.9436</v>
      </c>
      <c r="AF1108">
        <v>4.56415419357426</v>
      </c>
      <c r="AG1108">
        <v>-1.102274576973</v>
      </c>
      <c r="AH1108">
        <v>9.0292608683538091</v>
      </c>
      <c r="AI1108">
        <v>96.217842184201203</v>
      </c>
      <c r="AJ1108">
        <v>63.184095716299502</v>
      </c>
      <c r="AK1108">
        <v>10.1771343989626</v>
      </c>
      <c r="AL1108">
        <v>91.883674536512302</v>
      </c>
      <c r="AM1108">
        <v>80.0107129312631</v>
      </c>
      <c r="AN1108">
        <v>0.99999998149112401</v>
      </c>
    </row>
    <row r="1109" spans="1:40" x14ac:dyDescent="0.25">
      <c r="A1109" t="str">
        <f>"20190312151519056"</f>
        <v>20190312151519056</v>
      </c>
      <c r="B1109" t="str">
        <f>"1552374919049084"</f>
        <v>1552374919049084</v>
      </c>
      <c r="C1109" t="s">
        <v>40</v>
      </c>
      <c r="D1109">
        <v>5.0524909999999998</v>
      </c>
      <c r="E1109">
        <v>0.61147200000000002</v>
      </c>
      <c r="F1109" t="s">
        <v>45</v>
      </c>
      <c r="G1109">
        <v>-202.00649999999999</v>
      </c>
      <c r="H1109" s="1">
        <v>-3.5251919999999999E-6</v>
      </c>
      <c r="I1109">
        <v>360.25049999999999</v>
      </c>
      <c r="J1109">
        <v>-209.5223</v>
      </c>
      <c r="K1109">
        <v>1.1022459999999901</v>
      </c>
      <c r="L1109">
        <v>367.24059999999997</v>
      </c>
      <c r="M1109">
        <v>0.96045579999999997</v>
      </c>
      <c r="N1109">
        <v>0</v>
      </c>
      <c r="O1109">
        <v>-0.27802909999999997</v>
      </c>
      <c r="P1109">
        <v>0.89636019999999905</v>
      </c>
      <c r="Q1109">
        <v>-4.4388379999999998E-2</v>
      </c>
      <c r="R1109">
        <v>-0.44109910000000002</v>
      </c>
      <c r="S1109">
        <v>2.2971499999999998</v>
      </c>
      <c r="T1109">
        <v>-0.33045910000000001</v>
      </c>
      <c r="U1109">
        <v>-2.1093139999999999</v>
      </c>
      <c r="V1109">
        <v>0.17390149999999999</v>
      </c>
      <c r="W1109">
        <v>-3.2768970000000001E-2</v>
      </c>
      <c r="X1109">
        <v>0.98421769999999997</v>
      </c>
      <c r="Y1109">
        <v>0.44395600000000002</v>
      </c>
      <c r="Z1109">
        <v>5.6159419999999996E-3</v>
      </c>
      <c r="AA1109">
        <v>0.89603099999999902</v>
      </c>
      <c r="AB1109">
        <v>32</v>
      </c>
      <c r="AC1109">
        <v>7.5158000000000103</v>
      </c>
      <c r="AD1109">
        <v>-1.1022495251919999</v>
      </c>
      <c r="AE1109">
        <v>-6.9900999999999804</v>
      </c>
      <c r="AF1109">
        <v>4.5718641875904602</v>
      </c>
      <c r="AG1109">
        <v>-1.1022495251919999</v>
      </c>
      <c r="AH1109">
        <v>9.0586033878925694</v>
      </c>
      <c r="AI1109">
        <v>96.199664669591002</v>
      </c>
      <c r="AJ1109">
        <v>63.219987195519302</v>
      </c>
      <c r="AK1109">
        <v>10.2066248831186</v>
      </c>
      <c r="AL1109">
        <v>91.877859841312699</v>
      </c>
      <c r="AM1109">
        <v>79.979824750029593</v>
      </c>
      <c r="AN1109">
        <v>1.0000000090451999</v>
      </c>
    </row>
    <row r="1110" spans="1:40" x14ac:dyDescent="0.25">
      <c r="A1110" t="str">
        <f>"20190312151519067"</f>
        <v>20190312151519067</v>
      </c>
      <c r="B1110" t="str">
        <f>"1552374919058845"</f>
        <v>1552374919058845</v>
      </c>
      <c r="C1110" t="s">
        <v>40</v>
      </c>
      <c r="D1110">
        <v>5.0651089999999996</v>
      </c>
      <c r="E1110">
        <v>0.61150490000000002</v>
      </c>
      <c r="F1110" t="s">
        <v>45</v>
      </c>
      <c r="G1110">
        <v>-201.88890000000001</v>
      </c>
      <c r="H1110" s="1">
        <v>-3.485709E-6</v>
      </c>
      <c r="I1110">
        <v>360.1617</v>
      </c>
      <c r="J1110">
        <v>-209.369</v>
      </c>
      <c r="K1110">
        <v>1.1022259999999999</v>
      </c>
      <c r="L1110">
        <v>367.19200000000001</v>
      </c>
      <c r="M1110">
        <v>0.95923080000000005</v>
      </c>
      <c r="N1110">
        <v>0</v>
      </c>
      <c r="O1110">
        <v>-0.2822267</v>
      </c>
      <c r="P1110">
        <v>0.89418909999999996</v>
      </c>
      <c r="Q1110">
        <v>-4.4600710000000002E-2</v>
      </c>
      <c r="R1110">
        <v>-0.44546259999999999</v>
      </c>
      <c r="S1110">
        <v>2.28688</v>
      </c>
      <c r="T1110">
        <v>-0.33022449999999998</v>
      </c>
      <c r="U1110">
        <v>-2.1207889999999998</v>
      </c>
      <c r="V1110">
        <v>0.17439160000000001</v>
      </c>
      <c r="W1110">
        <v>-3.2996669999999999E-2</v>
      </c>
      <c r="X1110">
        <v>0.98412330000000003</v>
      </c>
      <c r="Y1110">
        <v>0.44448120000000002</v>
      </c>
      <c r="Z1110">
        <v>6.0537350000000002E-3</v>
      </c>
      <c r="AA1110">
        <v>0.89576769999999994</v>
      </c>
      <c r="AB1110">
        <v>32</v>
      </c>
      <c r="AC1110">
        <v>7.4801000000000197</v>
      </c>
      <c r="AD1110">
        <v>-1.102229485709</v>
      </c>
      <c r="AE1110">
        <v>-7.0302999999999498</v>
      </c>
      <c r="AF1110">
        <v>4.5803089567105797</v>
      </c>
      <c r="AG1110">
        <v>-1.102229485709</v>
      </c>
      <c r="AH1110">
        <v>9.0559012930915497</v>
      </c>
      <c r="AI1110">
        <v>96.198706405826897</v>
      </c>
      <c r="AJ1110">
        <v>63.170549549638501</v>
      </c>
      <c r="AK1110">
        <v>10.208010981984</v>
      </c>
      <c r="AL1110">
        <v>91.890913279886703</v>
      </c>
      <c r="AM1110">
        <v>79.951215743758794</v>
      </c>
      <c r="AN1110">
        <v>0.999999939992267</v>
      </c>
    </row>
    <row r="1111" spans="1:40" x14ac:dyDescent="0.25">
      <c r="A1111" t="str">
        <f>"20190312151519079"</f>
        <v>20190312151519079</v>
      </c>
      <c r="B1111" t="str">
        <f>"1552374919068604"</f>
        <v>1552374919068604</v>
      </c>
      <c r="C1111" t="s">
        <v>40</v>
      </c>
      <c r="D1111">
        <v>5.0486060000000004</v>
      </c>
      <c r="E1111">
        <v>0.61153789999999997</v>
      </c>
      <c r="F1111" t="s">
        <v>45</v>
      </c>
      <c r="G1111">
        <v>-201.78440000000001</v>
      </c>
      <c r="H1111" s="1">
        <v>-3.4495070000000002E-6</v>
      </c>
      <c r="I1111">
        <v>360.08780000000002</v>
      </c>
      <c r="J1111">
        <v>-209.2098</v>
      </c>
      <c r="K1111">
        <v>1.102206</v>
      </c>
      <c r="L1111">
        <v>367.14069999999998</v>
      </c>
      <c r="M1111">
        <v>0.95793349999999999</v>
      </c>
      <c r="N1111">
        <v>0</v>
      </c>
      <c r="O1111">
        <v>-0.28659859999999998</v>
      </c>
      <c r="P1111">
        <v>0.89192109999999902</v>
      </c>
      <c r="Q1111">
        <v>-4.480609E-2</v>
      </c>
      <c r="R1111">
        <v>-0.44996639999999999</v>
      </c>
      <c r="S1111">
        <v>2.2763209999999998</v>
      </c>
      <c r="T1111">
        <v>-0.3308064</v>
      </c>
      <c r="U1111">
        <v>-2.1321409999999998</v>
      </c>
      <c r="V1111">
        <v>0.17486350000000001</v>
      </c>
      <c r="W1111">
        <v>-3.3216309999999999E-2</v>
      </c>
      <c r="X1111">
        <v>0.98403220000000002</v>
      </c>
      <c r="Y1111">
        <v>0.44486589999999998</v>
      </c>
      <c r="Z1111">
        <v>6.5359249999999997E-3</v>
      </c>
      <c r="AA1111">
        <v>0.89557339999999996</v>
      </c>
      <c r="AB1111">
        <v>32</v>
      </c>
      <c r="AC1111">
        <v>7.42539999999999</v>
      </c>
      <c r="AD1111">
        <v>-1.1022094495070001</v>
      </c>
      <c r="AE1111">
        <v>-7.0528999999999602</v>
      </c>
      <c r="AF1111">
        <v>4.57561869900091</v>
      </c>
      <c r="AG1111">
        <v>-1.1022094495070001</v>
      </c>
      <c r="AH1111">
        <v>9.0308094785026292</v>
      </c>
      <c r="AI1111">
        <v>96.213481345979602</v>
      </c>
      <c r="AJ1111">
        <v>63.130143681255198</v>
      </c>
      <c r="AK1111">
        <v>10.1836472830829</v>
      </c>
      <c r="AL1111">
        <v>91.903504573101898</v>
      </c>
      <c r="AM1111">
        <v>79.923666676579302</v>
      </c>
      <c r="AN1111">
        <v>0.99999996875955199</v>
      </c>
    </row>
    <row r="1112" spans="1:40" x14ac:dyDescent="0.25">
      <c r="A1112" t="str">
        <f>"20190312151519090"</f>
        <v>20190312151519090</v>
      </c>
      <c r="B1112" t="str">
        <f>"1552374919078364"</f>
        <v>1552374919078364</v>
      </c>
      <c r="C1112" t="s">
        <v>40</v>
      </c>
      <c r="D1112">
        <v>5.0355169999999996</v>
      </c>
      <c r="E1112">
        <v>0.61156739999999998</v>
      </c>
      <c r="F1112" t="s">
        <v>45</v>
      </c>
      <c r="G1112">
        <v>-201.6885</v>
      </c>
      <c r="H1112" s="1">
        <v>-3.4155280000000001E-6</v>
      </c>
      <c r="I1112">
        <v>360.02319999999997</v>
      </c>
      <c r="J1112">
        <v>-209.0609</v>
      </c>
      <c r="K1112">
        <v>1.10219</v>
      </c>
      <c r="L1112">
        <v>367.09210000000002</v>
      </c>
      <c r="M1112">
        <v>0.9566981</v>
      </c>
      <c r="N1112">
        <v>0</v>
      </c>
      <c r="O1112">
        <v>-0.2906957</v>
      </c>
      <c r="P1112">
        <v>0.88988020000000001</v>
      </c>
      <c r="Q1112">
        <v>-4.494128E-2</v>
      </c>
      <c r="R1112">
        <v>-0.45397549999999998</v>
      </c>
      <c r="S1112">
        <v>2.2653660000000002</v>
      </c>
      <c r="T1112">
        <v>-0.33197459999999901</v>
      </c>
      <c r="U1112">
        <v>-2.143707</v>
      </c>
      <c r="V1112">
        <v>0.1750786</v>
      </c>
      <c r="W1112">
        <v>-3.3359420000000001E-2</v>
      </c>
      <c r="X1112">
        <v>0.98398909999999995</v>
      </c>
      <c r="Y1112">
        <v>0.44561830000000002</v>
      </c>
      <c r="Z1112">
        <v>6.9795899999999999E-3</v>
      </c>
      <c r="AA1112">
        <v>0.89519579999999999</v>
      </c>
      <c r="AB1112">
        <v>32</v>
      </c>
      <c r="AC1112">
        <v>7.3723999999999901</v>
      </c>
      <c r="AD1112">
        <v>-1.102193415528</v>
      </c>
      <c r="AE1112">
        <v>-7.0689000000000402</v>
      </c>
      <c r="AF1112">
        <v>4.5670143577292697</v>
      </c>
      <c r="AG1112">
        <v>-1.102193415528</v>
      </c>
      <c r="AH1112">
        <v>9.0042289479730702</v>
      </c>
      <c r="AI1112">
        <v>96.230242998610095</v>
      </c>
      <c r="AJ1112">
        <v>63.105525064842098</v>
      </c>
      <c r="AK1112">
        <v>10.1562094019597</v>
      </c>
      <c r="AL1112">
        <v>91.911708739641597</v>
      </c>
      <c r="AM1112">
        <v>79.911093397070005</v>
      </c>
      <c r="AN1112">
        <v>0.99999995799975205</v>
      </c>
    </row>
    <row r="1113" spans="1:40" x14ac:dyDescent="0.25">
      <c r="A1113" t="str">
        <f>"20190312151519101"</f>
        <v>20190312151519101</v>
      </c>
      <c r="B1113" t="str">
        <f>"1552374919098861"</f>
        <v>1552374919098861</v>
      </c>
      <c r="C1113" t="s">
        <v>40</v>
      </c>
      <c r="D1113">
        <v>5.0500990000000003</v>
      </c>
      <c r="E1113">
        <v>0.61162349999999999</v>
      </c>
      <c r="F1113" t="s">
        <v>45</v>
      </c>
      <c r="G1113">
        <v>-201.59559999999999</v>
      </c>
      <c r="H1113" s="1">
        <v>-3.3823499999999999E-6</v>
      </c>
      <c r="I1113">
        <v>359.96210000000002</v>
      </c>
      <c r="J1113">
        <v>-208.91149999999999</v>
      </c>
      <c r="K1113">
        <v>1.1021719999999999</v>
      </c>
      <c r="L1113">
        <v>367.04239999999999</v>
      </c>
      <c r="M1113">
        <v>0.95543520000000004</v>
      </c>
      <c r="N1113">
        <v>0</v>
      </c>
      <c r="O1113">
        <v>-0.29481960000000001</v>
      </c>
      <c r="P1113">
        <v>0.88771900000000004</v>
      </c>
      <c r="Q1113">
        <v>-4.528418E-2</v>
      </c>
      <c r="R1113">
        <v>-0.45815319999999998</v>
      </c>
      <c r="S1113">
        <v>2.2554780000000001</v>
      </c>
      <c r="T1113">
        <v>-0.33300419999999997</v>
      </c>
      <c r="U1113">
        <v>-2.154175</v>
      </c>
      <c r="V1113">
        <v>0.1754571</v>
      </c>
      <c r="W1113">
        <v>-3.3712619999999999E-2</v>
      </c>
      <c r="X1113">
        <v>0.9839097</v>
      </c>
      <c r="Y1113">
        <v>0.44590429999999998</v>
      </c>
      <c r="Z1113">
        <v>7.4545180000000003E-3</v>
      </c>
      <c r="AA1113">
        <v>0.895049599999999</v>
      </c>
      <c r="AB1113">
        <v>32</v>
      </c>
      <c r="AC1113">
        <v>7.3158999999999903</v>
      </c>
      <c r="AD1113">
        <v>-1.10217538235</v>
      </c>
      <c r="AE1113">
        <v>-7.0802999999999603</v>
      </c>
      <c r="AF1113">
        <v>4.5550316126182802</v>
      </c>
      <c r="AG1113">
        <v>-1.10217538235</v>
      </c>
      <c r="AH1113">
        <v>8.9731377013386204</v>
      </c>
      <c r="AI1113">
        <v>96.250502082816695</v>
      </c>
      <c r="AJ1113">
        <v>63.086295396377402</v>
      </c>
      <c r="AK1113">
        <v>10.123255591586799</v>
      </c>
      <c r="AL1113">
        <v>91.931956886852902</v>
      </c>
      <c r="AM1113">
        <v>79.888932756612704</v>
      </c>
      <c r="AN1113">
        <v>1.00000001622088</v>
      </c>
    </row>
    <row r="1114" spans="1:40" x14ac:dyDescent="0.25">
      <c r="A1114" t="str">
        <f>"20190312151519112"</f>
        <v>20190312151519112</v>
      </c>
      <c r="B1114" t="str">
        <f>"1552374919108620"</f>
        <v>1552374919108620</v>
      </c>
      <c r="C1114" t="s">
        <v>40</v>
      </c>
      <c r="D1114">
        <v>5.052435</v>
      </c>
      <c r="E1114">
        <v>0.61167640000000001</v>
      </c>
      <c r="F1114" t="s">
        <v>45</v>
      </c>
      <c r="G1114">
        <v>-201.52600000000001</v>
      </c>
      <c r="H1114" s="1">
        <v>-3.3570070000000002E-6</v>
      </c>
      <c r="I1114">
        <v>359.91849999999999</v>
      </c>
      <c r="J1114">
        <v>-208.7594</v>
      </c>
      <c r="K1114">
        <v>1.1021609999999999</v>
      </c>
      <c r="L1114">
        <v>366.99149999999997</v>
      </c>
      <c r="M1114">
        <v>0.95412969999999997</v>
      </c>
      <c r="N1114">
        <v>0</v>
      </c>
      <c r="O1114">
        <v>-0.29901809999999901</v>
      </c>
      <c r="P1114">
        <v>0.88560810000000001</v>
      </c>
      <c r="Q1114">
        <v>-4.5679749999999998E-2</v>
      </c>
      <c r="R1114">
        <v>-0.46218179999999998</v>
      </c>
      <c r="S1114">
        <v>2.2448429999999999</v>
      </c>
      <c r="T1114">
        <v>-0.33500980000000002</v>
      </c>
      <c r="U1114">
        <v>-2.1653440000000002</v>
      </c>
      <c r="V1114">
        <v>0.1755989</v>
      </c>
      <c r="W1114">
        <v>-3.4113350000000001E-2</v>
      </c>
      <c r="X1114">
        <v>0.98387060000000004</v>
      </c>
      <c r="Y1114">
        <v>0.44640340000000001</v>
      </c>
      <c r="Z1114">
        <v>7.9514630000000006E-3</v>
      </c>
      <c r="AA1114">
        <v>0.89479649999999999</v>
      </c>
      <c r="AB1114">
        <v>32</v>
      </c>
      <c r="AC1114">
        <v>7.2334000000000103</v>
      </c>
      <c r="AD1114">
        <v>-1.1021643570070001</v>
      </c>
      <c r="AE1114">
        <v>-7.0729999999999702</v>
      </c>
      <c r="AF1114">
        <v>4.5323633204950804</v>
      </c>
      <c r="AG1114">
        <v>-1.1021643570070001</v>
      </c>
      <c r="AH1114">
        <v>8.9117974497758308</v>
      </c>
      <c r="AI1114">
        <v>96.290722490986496</v>
      </c>
      <c r="AJ1114">
        <v>63.043014804057599</v>
      </c>
      <c r="AK1114">
        <v>10.0586886483605</v>
      </c>
      <c r="AL1114">
        <v>91.954930219875294</v>
      </c>
      <c r="AM1114">
        <v>79.880536214193896</v>
      </c>
      <c r="AN1114">
        <v>1.00000002593689</v>
      </c>
    </row>
    <row r="1115" spans="1:40" x14ac:dyDescent="0.25">
      <c r="A1115" t="str">
        <f>"20190312151519124"</f>
        <v>20190312151519124</v>
      </c>
      <c r="B1115" t="str">
        <f>"1552374919118380"</f>
        <v>1552374919118380</v>
      </c>
      <c r="C1115" t="s">
        <v>40</v>
      </c>
      <c r="D1115">
        <v>5.0327650000000004</v>
      </c>
      <c r="E1115">
        <v>0.611711</v>
      </c>
      <c r="F1115" t="s">
        <v>45</v>
      </c>
      <c r="G1115">
        <v>-201.4452</v>
      </c>
      <c r="H1115" s="1">
        <v>-3.327014E-6</v>
      </c>
      <c r="I1115">
        <v>359.87029999999999</v>
      </c>
      <c r="J1115">
        <v>-208.60499999999999</v>
      </c>
      <c r="K1115">
        <v>1.102155</v>
      </c>
      <c r="L1115">
        <v>366.9384</v>
      </c>
      <c r="M1115">
        <v>0.95277880000000004</v>
      </c>
      <c r="N1115">
        <v>0</v>
      </c>
      <c r="O1115">
        <v>-0.30329450000000002</v>
      </c>
      <c r="P1115">
        <v>0.88349999999999995</v>
      </c>
      <c r="Q1115">
        <v>-4.5847510000000001E-2</v>
      </c>
      <c r="R1115">
        <v>-0.4661825</v>
      </c>
      <c r="S1115">
        <v>2.23468</v>
      </c>
      <c r="T1115">
        <v>-0.3367385</v>
      </c>
      <c r="U1115">
        <v>-2.1756899999999999</v>
      </c>
      <c r="V1115">
        <v>0.17563500000000001</v>
      </c>
      <c r="W1115">
        <v>-3.4282640000000003E-2</v>
      </c>
      <c r="X1115">
        <v>0.98385820000000002</v>
      </c>
      <c r="Y1115">
        <v>0.44656319999999999</v>
      </c>
      <c r="Z1115">
        <v>8.4774199999999994E-3</v>
      </c>
      <c r="AA1115">
        <v>0.8947119</v>
      </c>
      <c r="AB1115">
        <v>32</v>
      </c>
      <c r="AC1115">
        <v>7.15979999999999</v>
      </c>
      <c r="AD1115">
        <v>-1.1021583270140001</v>
      </c>
      <c r="AE1115">
        <v>-7.06810000000001</v>
      </c>
      <c r="AF1115">
        <v>4.5092061943495203</v>
      </c>
      <c r="AG1115">
        <v>-1.1021583270140001</v>
      </c>
      <c r="AH1115">
        <v>8.8601000312412292</v>
      </c>
      <c r="AI1115">
        <v>96.326199366932599</v>
      </c>
      <c r="AJ1115">
        <v>63.026909288499098</v>
      </c>
      <c r="AK1115">
        <v>10.002453001367501</v>
      </c>
      <c r="AL1115">
        <v>91.964635638072906</v>
      </c>
      <c r="AM1115">
        <v>79.878373912027698</v>
      </c>
      <c r="AN1115">
        <v>0.99999995516880302</v>
      </c>
    </row>
    <row r="1116" spans="1:40" x14ac:dyDescent="0.25">
      <c r="A1116" t="str">
        <f>"20190312151519134"</f>
        <v>20190312151519134</v>
      </c>
      <c r="B1116" t="str">
        <f>"1552374919128141"</f>
        <v>1552374919128141</v>
      </c>
      <c r="C1116" t="s">
        <v>40</v>
      </c>
      <c r="D1116">
        <v>5.0272050000000004</v>
      </c>
      <c r="E1116">
        <v>0.61174919999999899</v>
      </c>
      <c r="F1116" t="s">
        <v>45</v>
      </c>
      <c r="G1116">
        <v>-201.35599999999999</v>
      </c>
      <c r="H1116" s="1">
        <v>-3.2944190000000001E-6</v>
      </c>
      <c r="I1116">
        <v>359.81479999999999</v>
      </c>
      <c r="J1116">
        <v>-208.45419999999999</v>
      </c>
      <c r="K1116">
        <v>1.102152</v>
      </c>
      <c r="L1116">
        <v>366.88639999999998</v>
      </c>
      <c r="M1116">
        <v>0.95143999999999995</v>
      </c>
      <c r="N1116">
        <v>0</v>
      </c>
      <c r="O1116">
        <v>-0.30746869999999998</v>
      </c>
      <c r="P1116">
        <v>0.88126389999999999</v>
      </c>
      <c r="Q1116">
        <v>-4.6156320000000001E-2</v>
      </c>
      <c r="R1116">
        <v>-0.47036539999999999</v>
      </c>
      <c r="S1116">
        <v>2.224548</v>
      </c>
      <c r="T1116">
        <v>-0.33822459999999999</v>
      </c>
      <c r="U1116">
        <v>-2.1860659999999998</v>
      </c>
      <c r="V1116">
        <v>0.17598440000000001</v>
      </c>
      <c r="W1116">
        <v>-3.4599419999999999E-2</v>
      </c>
      <c r="X1116">
        <v>0.98378469999999996</v>
      </c>
      <c r="Y1116">
        <v>0.4468144</v>
      </c>
      <c r="Z1116">
        <v>8.9847609999999904E-3</v>
      </c>
      <c r="AA1116">
        <v>0.89458159999999898</v>
      </c>
      <c r="AB1116">
        <v>32</v>
      </c>
      <c r="AC1116">
        <v>7.0981999999999896</v>
      </c>
      <c r="AD1116">
        <v>-1.1021552944190001</v>
      </c>
      <c r="AE1116">
        <v>-7.0715999999999797</v>
      </c>
      <c r="AF1116">
        <v>4.4918880871607598</v>
      </c>
      <c r="AG1116">
        <v>-1.1021552944190001</v>
      </c>
      <c r="AH1116">
        <v>8.8220640011459803</v>
      </c>
      <c r="AI1116">
        <v>96.3526456915842</v>
      </c>
      <c r="AJ1116">
        <v>63.016388402707499</v>
      </c>
      <c r="AK1116">
        <v>9.9609546791915697</v>
      </c>
      <c r="AL1116">
        <v>91.982796516225804</v>
      </c>
      <c r="AM1116">
        <v>79.8579139991472</v>
      </c>
      <c r="AN1116">
        <v>0.99999998243089205</v>
      </c>
    </row>
    <row r="1117" spans="1:40" x14ac:dyDescent="0.25">
      <c r="A1117" t="str">
        <f>"20190312151519145"</f>
        <v>20190312151519145</v>
      </c>
      <c r="B1117" t="str">
        <f>"1552374919138878"</f>
        <v>1552374919138878</v>
      </c>
      <c r="C1117" t="s">
        <v>40</v>
      </c>
      <c r="D1117">
        <v>5.0408359999999997</v>
      </c>
      <c r="E1117">
        <v>0.6117882</v>
      </c>
      <c r="F1117" t="s">
        <v>45</v>
      </c>
      <c r="G1117">
        <v>-201.27199999999999</v>
      </c>
      <c r="H1117" s="1">
        <v>-3.264085E-6</v>
      </c>
      <c r="I1117">
        <v>359.7611</v>
      </c>
      <c r="J1117">
        <v>-208.30869999999999</v>
      </c>
      <c r="K1117">
        <v>1.1021510000000001</v>
      </c>
      <c r="L1117">
        <v>366.83510000000001</v>
      </c>
      <c r="M1117">
        <v>0.95012549999999996</v>
      </c>
      <c r="N1117">
        <v>0</v>
      </c>
      <c r="O1117">
        <v>-0.31150670000000003</v>
      </c>
      <c r="P1117">
        <v>0.87925730000000002</v>
      </c>
      <c r="Q1117">
        <v>-4.6293689999999998E-2</v>
      </c>
      <c r="R1117">
        <v>-0.47409240000000002</v>
      </c>
      <c r="S1117">
        <v>2.2140499999999999</v>
      </c>
      <c r="T1117">
        <v>-0.33976129999999999</v>
      </c>
      <c r="U1117">
        <v>-2.1965029999999999</v>
      </c>
      <c r="V1117">
        <v>0.17597099999999999</v>
      </c>
      <c r="W1117">
        <v>-3.4736219999999998E-2</v>
      </c>
      <c r="X1117">
        <v>0.9837823</v>
      </c>
      <c r="Y1117">
        <v>0.44727220000000001</v>
      </c>
      <c r="Z1117">
        <v>9.4700570000000005E-3</v>
      </c>
      <c r="AA1117">
        <v>0.89434780000000003</v>
      </c>
      <c r="AB1117">
        <v>32</v>
      </c>
      <c r="AC1117">
        <v>7.0366999999999598</v>
      </c>
      <c r="AD1117">
        <v>-1.1021542640849999</v>
      </c>
      <c r="AE1117">
        <v>-7.0740000000000096</v>
      </c>
      <c r="AF1117">
        <v>4.4751151700065899</v>
      </c>
      <c r="AG1117">
        <v>-1.1021542640849999</v>
      </c>
      <c r="AH1117">
        <v>8.7831789110046898</v>
      </c>
      <c r="AI1117">
        <v>96.3796512869515</v>
      </c>
      <c r="AJ1117">
        <v>63.000714750076199</v>
      </c>
      <c r="AK1117">
        <v>9.9189531498732908</v>
      </c>
      <c r="AL1117">
        <v>91.990639246823093</v>
      </c>
      <c r="AM1117">
        <v>79.858645993250803</v>
      </c>
      <c r="AN1117">
        <v>1.0000000058070799</v>
      </c>
    </row>
    <row r="1118" spans="1:40" x14ac:dyDescent="0.25">
      <c r="A1118" t="str">
        <f>"20190312151519157"</f>
        <v>20190312151519157</v>
      </c>
      <c r="B1118" t="str">
        <f>"1552374919148637"</f>
        <v>1552374919148637</v>
      </c>
      <c r="C1118" t="s">
        <v>40</v>
      </c>
      <c r="D1118">
        <v>5.0269789999999999</v>
      </c>
      <c r="E1118">
        <v>0.61183120000000002</v>
      </c>
      <c r="F1118" t="s">
        <v>45</v>
      </c>
      <c r="G1118">
        <v>-201.1841</v>
      </c>
      <c r="H1118" s="1">
        <v>-3.2319590000000001E-6</v>
      </c>
      <c r="I1118">
        <v>359.70639999999997</v>
      </c>
      <c r="J1118">
        <v>-208.16069999999999</v>
      </c>
      <c r="K1118">
        <v>1.10215</v>
      </c>
      <c r="L1118">
        <v>366.78230000000002</v>
      </c>
      <c r="M1118">
        <v>0.9487698</v>
      </c>
      <c r="N1118">
        <v>0</v>
      </c>
      <c r="O1118">
        <v>-0.31561149999999999</v>
      </c>
      <c r="P1118">
        <v>0.87719460000000005</v>
      </c>
      <c r="Q1118">
        <v>-4.6089280000000003E-2</v>
      </c>
      <c r="R1118">
        <v>-0.4779177</v>
      </c>
      <c r="S1118">
        <v>2.2046049999999999</v>
      </c>
      <c r="T1118">
        <v>-0.34104559999999901</v>
      </c>
      <c r="U1118">
        <v>-2.2058719999999998</v>
      </c>
      <c r="V1118">
        <v>0.1760033</v>
      </c>
      <c r="W1118">
        <v>-3.453175E-2</v>
      </c>
      <c r="X1118">
        <v>0.98378370000000004</v>
      </c>
      <c r="Y1118">
        <v>0.44723669999999999</v>
      </c>
      <c r="Z1118">
        <v>9.99039E-3</v>
      </c>
      <c r="AA1118">
        <v>0.89435980000000004</v>
      </c>
      <c r="AB1118">
        <v>32</v>
      </c>
      <c r="AC1118">
        <v>6.9765999999999897</v>
      </c>
      <c r="AD1118">
        <v>-1.1021532319589999</v>
      </c>
      <c r="AE1118">
        <v>-7.0759000000000398</v>
      </c>
      <c r="AF1118">
        <v>4.4571798182950699</v>
      </c>
      <c r="AG1118">
        <v>-1.1021532319589999</v>
      </c>
      <c r="AH1118">
        <v>8.7458264863241695</v>
      </c>
      <c r="AI1118">
        <v>96.406343931547497</v>
      </c>
      <c r="AJ1118">
        <v>62.995014337843898</v>
      </c>
      <c r="AK1118">
        <v>9.8777869286710196</v>
      </c>
      <c r="AL1118">
        <v>91.978916985653598</v>
      </c>
      <c r="AM1118">
        <v>79.856837298685804</v>
      </c>
      <c r="AN1118">
        <v>0.99999998587732097</v>
      </c>
    </row>
    <row r="1119" spans="1:40" x14ac:dyDescent="0.25">
      <c r="A1119" t="str">
        <f>"20190312151519168"</f>
        <v>20190312151519168</v>
      </c>
      <c r="B1119" t="str">
        <f>"1552374919158396"</f>
        <v>1552374919158396</v>
      </c>
      <c r="C1119" t="s">
        <v>40</v>
      </c>
      <c r="D1119">
        <v>5.033366</v>
      </c>
      <c r="E1119">
        <v>0.61186649999999998</v>
      </c>
      <c r="F1119" t="s">
        <v>45</v>
      </c>
      <c r="G1119">
        <v>-201.07259999999999</v>
      </c>
      <c r="H1119" s="1">
        <v>-3.1938740000000002E-6</v>
      </c>
      <c r="I1119">
        <v>359.62520000000001</v>
      </c>
      <c r="J1119">
        <v>-208.00739999999999</v>
      </c>
      <c r="K1119">
        <v>1.1021529999999999</v>
      </c>
      <c r="L1119">
        <v>366.72699999999998</v>
      </c>
      <c r="M1119">
        <v>0.94734359999999995</v>
      </c>
      <c r="N1119">
        <v>0</v>
      </c>
      <c r="O1119">
        <v>-0.31986730000000002</v>
      </c>
      <c r="P1119">
        <v>0.87507469999999998</v>
      </c>
      <c r="Q1119">
        <v>-4.5930289999999999E-2</v>
      </c>
      <c r="R1119">
        <v>-0.48180440000000002</v>
      </c>
      <c r="S1119">
        <v>2.1946720000000002</v>
      </c>
      <c r="T1119">
        <v>-0.34126000000000001</v>
      </c>
      <c r="U1119">
        <v>-2.2160639999999998</v>
      </c>
      <c r="V1119">
        <v>0.1759511</v>
      </c>
      <c r="W1119">
        <v>-3.4370629999999999E-2</v>
      </c>
      <c r="X1119">
        <v>0.98379870000000003</v>
      </c>
      <c r="Y1119">
        <v>0.447324</v>
      </c>
      <c r="Z1119">
        <v>1.0491510000000001E-2</v>
      </c>
      <c r="AA1119">
        <v>0.89431050000000001</v>
      </c>
      <c r="AB1119">
        <v>32</v>
      </c>
      <c r="AC1119">
        <v>6.9347999999999903</v>
      </c>
      <c r="AD1119">
        <v>-1.1021561938740001</v>
      </c>
      <c r="AE1119">
        <v>-7.1017999999999599</v>
      </c>
      <c r="AF1119">
        <v>4.4552078253251004</v>
      </c>
      <c r="AG1119">
        <v>-1.1021561938740001</v>
      </c>
      <c r="AH1119">
        <v>8.7345774824701508</v>
      </c>
      <c r="AI1119">
        <v>96.413434604021504</v>
      </c>
      <c r="AJ1119">
        <v>62.975434035547302</v>
      </c>
      <c r="AK1119">
        <v>9.8669381694529505</v>
      </c>
      <c r="AL1119">
        <v>91.969679966705101</v>
      </c>
      <c r="AM1119">
        <v>79.859934577876302</v>
      </c>
      <c r="AN1119">
        <v>1.00000000595974</v>
      </c>
    </row>
    <row r="1120" spans="1:40" x14ac:dyDescent="0.25">
      <c r="A1120" t="str">
        <f>"20190312151519180"</f>
        <v>20190312151519180</v>
      </c>
      <c r="B1120" t="str">
        <f>"1552374919169134"</f>
        <v>1552374919169134</v>
      </c>
      <c r="C1120" t="s">
        <v>40</v>
      </c>
      <c r="D1120">
        <v>5.0085290000000002</v>
      </c>
      <c r="E1120">
        <v>0.61193540000000002</v>
      </c>
      <c r="F1120" t="s">
        <v>45</v>
      </c>
      <c r="G1120">
        <v>-200.9453</v>
      </c>
      <c r="H1120" s="1">
        <v>-6.4494319999999996E-6</v>
      </c>
      <c r="I1120">
        <v>359.53070000000002</v>
      </c>
      <c r="J1120">
        <v>-207.8458</v>
      </c>
      <c r="K1120">
        <v>1.1021559999999999</v>
      </c>
      <c r="L1120">
        <v>366.66770000000002</v>
      </c>
      <c r="M1120">
        <v>0.9458164</v>
      </c>
      <c r="N1120">
        <v>0</v>
      </c>
      <c r="O1120">
        <v>-0.324355</v>
      </c>
      <c r="P1120">
        <v>0.87294819999999995</v>
      </c>
      <c r="Q1120">
        <v>-4.5711929999999998E-2</v>
      </c>
      <c r="R1120">
        <v>-0.48566690000000001</v>
      </c>
      <c r="S1120">
        <v>2.1846770000000002</v>
      </c>
      <c r="T1120">
        <v>-0.34095540000000002</v>
      </c>
      <c r="U1120">
        <v>-2.2261959999999998</v>
      </c>
      <c r="V1120">
        <v>0.1756356</v>
      </c>
      <c r="W1120">
        <v>-3.4144300000000002E-2</v>
      </c>
      <c r="X1120">
        <v>0.98386289999999998</v>
      </c>
      <c r="Y1120">
        <v>0.44719029999999999</v>
      </c>
      <c r="Z1120">
        <v>1.101795E-2</v>
      </c>
      <c r="AA1120">
        <v>0.89437099999999903</v>
      </c>
      <c r="AB1120">
        <v>32</v>
      </c>
      <c r="AC1120">
        <v>6.9004999999999903</v>
      </c>
      <c r="AD1120">
        <v>-1.1021624494319999</v>
      </c>
      <c r="AE1120">
        <v>-7.1369999999999996</v>
      </c>
      <c r="AF1120">
        <v>4.4576436090251601</v>
      </c>
      <c r="AG1120">
        <v>-1.1021624494319999</v>
      </c>
      <c r="AH1120">
        <v>8.7348583642906394</v>
      </c>
      <c r="AI1120">
        <v>96.412590502475993</v>
      </c>
      <c r="AJ1120">
        <v>62.9635022668391</v>
      </c>
      <c r="AK1120">
        <v>9.8682875542942607</v>
      </c>
      <c r="AL1120">
        <v>91.956704703365901</v>
      </c>
      <c r="AM1120">
        <v>79.878387402044396</v>
      </c>
      <c r="AN1120">
        <v>0.99999995160312805</v>
      </c>
    </row>
    <row r="1121" spans="1:40" x14ac:dyDescent="0.25">
      <c r="A1121" t="str">
        <f>"20190312151519192"</f>
        <v>20190312151519192</v>
      </c>
      <c r="B1121" t="str">
        <f>"1552374919188653"</f>
        <v>1552374919188653</v>
      </c>
      <c r="C1121" t="s">
        <v>40</v>
      </c>
      <c r="D1121">
        <v>5.0312190000000001</v>
      </c>
      <c r="E1121">
        <v>0.6118403</v>
      </c>
      <c r="F1121" t="s">
        <v>45</v>
      </c>
      <c r="G1121">
        <v>-200.81899999999999</v>
      </c>
      <c r="H1121" s="1">
        <v>-6.47436799999999E-6</v>
      </c>
      <c r="I1121">
        <v>359.44110000000001</v>
      </c>
      <c r="J1121">
        <v>-207.68369999999999</v>
      </c>
      <c r="K1121">
        <v>1.1021590000000001</v>
      </c>
      <c r="L1121">
        <v>366.60759999999999</v>
      </c>
      <c r="M1121">
        <v>0.94426180000000004</v>
      </c>
      <c r="N1121">
        <v>0</v>
      </c>
      <c r="O1121">
        <v>-0.32885360000000002</v>
      </c>
      <c r="P1121">
        <v>0.87057629999999997</v>
      </c>
      <c r="Q1121">
        <v>-4.5094259999999997E-2</v>
      </c>
      <c r="R1121">
        <v>-0.48996339999999999</v>
      </c>
      <c r="S1121">
        <v>2.1745760000000001</v>
      </c>
      <c r="T1121">
        <v>-0.34108450000000001</v>
      </c>
      <c r="U1121">
        <v>-2.236389</v>
      </c>
      <c r="V1121">
        <v>0.17580179999999901</v>
      </c>
      <c r="W1121">
        <v>-3.3528189999999999E-2</v>
      </c>
      <c r="X1121">
        <v>0.98385449999999997</v>
      </c>
      <c r="Y1121">
        <v>0.44707079999999999</v>
      </c>
      <c r="Z1121">
        <v>1.1558850000000001E-2</v>
      </c>
      <c r="AA1121">
        <v>0.89442389999999905</v>
      </c>
      <c r="AB1121">
        <v>31</v>
      </c>
      <c r="AC1121">
        <v>6.8646999999999698</v>
      </c>
      <c r="AD1121">
        <v>-1.1021654743680001</v>
      </c>
      <c r="AE1121">
        <v>-7.1664999999999797</v>
      </c>
      <c r="AF1121">
        <v>4.4551250102752098</v>
      </c>
      <c r="AG1121">
        <v>-1.1021654743680001</v>
      </c>
      <c r="AH1121">
        <v>8.7320888589584698</v>
      </c>
      <c r="AI1121">
        <v>96.414950829475401</v>
      </c>
      <c r="AJ1121">
        <v>62.969256187865703</v>
      </c>
      <c r="AK1121">
        <v>9.8646988515015099</v>
      </c>
      <c r="AL1121">
        <v>91.921383794273794</v>
      </c>
      <c r="AM1121">
        <v>79.868923142741394</v>
      </c>
      <c r="AN1121">
        <v>1.00000004478908</v>
      </c>
    </row>
    <row r="1122" spans="1:40" x14ac:dyDescent="0.25">
      <c r="A1122" t="str">
        <f>"20190312151519205"</f>
        <v>20190312151519205</v>
      </c>
      <c r="B1122" t="str">
        <f>"1552374919198413"</f>
        <v>1552374919198413</v>
      </c>
      <c r="C1122" t="s">
        <v>40</v>
      </c>
      <c r="D1122">
        <v>4.9716500000000003</v>
      </c>
      <c r="E1122">
        <v>0.6118403</v>
      </c>
      <c r="F1122" t="s">
        <v>45</v>
      </c>
      <c r="G1122">
        <v>-200.65719999999999</v>
      </c>
      <c r="H1122" s="1">
        <v>-6.502861E-6</v>
      </c>
      <c r="I1122">
        <v>359.31439999999998</v>
      </c>
      <c r="J1122">
        <v>-207.52080000000001</v>
      </c>
      <c r="K1122">
        <v>1.1021650000000001</v>
      </c>
      <c r="L1122">
        <v>366.54579999999999</v>
      </c>
      <c r="M1122">
        <v>0.94267140000000005</v>
      </c>
      <c r="N1122">
        <v>0</v>
      </c>
      <c r="O1122">
        <v>-0.33338509999999999</v>
      </c>
      <c r="P1122">
        <v>0.86818930000000005</v>
      </c>
      <c r="Q1122">
        <v>-4.4616589999999998E-2</v>
      </c>
      <c r="R1122">
        <v>-0.49422379999999999</v>
      </c>
      <c r="S1122">
        <v>2.1641689999999998</v>
      </c>
      <c r="T1122">
        <v>-0.33946589999999999</v>
      </c>
      <c r="U1122">
        <v>-2.2463069999999998</v>
      </c>
      <c r="V1122">
        <v>0.17589859999999999</v>
      </c>
      <c r="W1122">
        <v>-3.3050509999999998E-2</v>
      </c>
      <c r="X1122">
        <v>0.98385330000000004</v>
      </c>
      <c r="Y1122">
        <v>0.44692779999999999</v>
      </c>
      <c r="Z1122">
        <v>1.204565E-2</v>
      </c>
      <c r="AA1122">
        <v>0.89448890000000003</v>
      </c>
      <c r="AB1122">
        <v>31</v>
      </c>
      <c r="AC1122">
        <v>6.8636000000000204</v>
      </c>
      <c r="AD1122">
        <v>-1.102171502861</v>
      </c>
      <c r="AE1122">
        <v>-7.2313999999999998</v>
      </c>
      <c r="AF1122">
        <v>4.4744399540486999</v>
      </c>
      <c r="AG1122">
        <v>-1.102171502861</v>
      </c>
      <c r="AH1122">
        <v>8.7747248569326501</v>
      </c>
      <c r="AI1122">
        <v>96.384785526027599</v>
      </c>
      <c r="AJ1122">
        <v>62.981888914300399</v>
      </c>
      <c r="AK1122">
        <v>9.9111649789001994</v>
      </c>
      <c r="AL1122">
        <v>91.893999683386895</v>
      </c>
      <c r="AM1122">
        <v>79.863448303452003</v>
      </c>
      <c r="AN1122">
        <v>0.99999998480705499</v>
      </c>
    </row>
    <row r="1123" spans="1:40" x14ac:dyDescent="0.25">
      <c r="A1123" t="str">
        <f>"20190312151519218"</f>
        <v>20190312151519218</v>
      </c>
      <c r="B1123" t="str">
        <f>"1552374919208172"</f>
        <v>1552374919208172</v>
      </c>
      <c r="C1123" t="s">
        <v>40</v>
      </c>
      <c r="D1123">
        <v>4.9555709999999999</v>
      </c>
      <c r="E1123">
        <v>0.60438049999999999</v>
      </c>
      <c r="F1123" t="s">
        <v>45</v>
      </c>
      <c r="G1123">
        <v>-200.51679999999999</v>
      </c>
      <c r="H1123" s="1">
        <v>-6.527901E-6</v>
      </c>
      <c r="I1123">
        <v>359.2056</v>
      </c>
      <c r="J1123">
        <v>-207.34950000000001</v>
      </c>
      <c r="K1123">
        <v>1.102168</v>
      </c>
      <c r="L1123">
        <v>366.4803</v>
      </c>
      <c r="M1123">
        <v>0.94097359999999997</v>
      </c>
      <c r="N1123">
        <v>0</v>
      </c>
      <c r="O1123">
        <v>-0.33814749999999999</v>
      </c>
      <c r="P1123">
        <v>0.86565579999999998</v>
      </c>
      <c r="Q1123">
        <v>-4.4247799999999997E-2</v>
      </c>
      <c r="R1123">
        <v>-0.49868079999999998</v>
      </c>
      <c r="S1123">
        <v>2.153381</v>
      </c>
      <c r="T1123">
        <v>-0.33886470000000002</v>
      </c>
      <c r="U1123">
        <v>-2.2567750000000002</v>
      </c>
      <c r="V1123">
        <v>0.17598249999999999</v>
      </c>
      <c r="W1123">
        <v>-3.2681509999999997E-2</v>
      </c>
      <c r="X1123">
        <v>0.98385069999999997</v>
      </c>
      <c r="Y1123">
        <v>0.446743</v>
      </c>
      <c r="Z1123">
        <v>1.259424E-2</v>
      </c>
      <c r="AA1123">
        <v>0.89457369999999903</v>
      </c>
      <c r="AB1123">
        <v>31</v>
      </c>
      <c r="AC1123">
        <v>6.8327000000000098</v>
      </c>
      <c r="AD1123">
        <v>-1.102174527901</v>
      </c>
      <c r="AE1123">
        <v>-7.2746999999999904</v>
      </c>
      <c r="AF1123">
        <v>4.4807045490233701</v>
      </c>
      <c r="AG1123">
        <v>-1.102174527901</v>
      </c>
      <c r="AH1123">
        <v>8.7831937734049905</v>
      </c>
      <c r="AI1123">
        <v>96.378130028613</v>
      </c>
      <c r="AJ1123">
        <v>62.971814568693702</v>
      </c>
      <c r="AK1123">
        <v>9.9214915615935801</v>
      </c>
      <c r="AL1123">
        <v>91.872845970356707</v>
      </c>
      <c r="AM1123">
        <v>79.858687460672897</v>
      </c>
      <c r="AN1123">
        <v>1.0000000606463</v>
      </c>
    </row>
    <row r="1124" spans="1:40" x14ac:dyDescent="0.25">
      <c r="A1124" t="str">
        <f>"20190312151519230"</f>
        <v>20190312151519230</v>
      </c>
      <c r="B1124" t="str">
        <f>"1552374919218908"</f>
        <v>1552374919218908</v>
      </c>
      <c r="C1124" t="s">
        <v>40</v>
      </c>
      <c r="D1124">
        <v>5.0001389999999999</v>
      </c>
      <c r="E1124">
        <v>0.60479329999999998</v>
      </c>
      <c r="F1124" t="s">
        <v>45</v>
      </c>
      <c r="G1124">
        <v>-199.62629999999999</v>
      </c>
      <c r="H1124" s="1">
        <v>-6.4569059999999997E-6</v>
      </c>
      <c r="I1124">
        <v>358.60300000000001</v>
      </c>
      <c r="J1124">
        <v>-207.18700000000001</v>
      </c>
      <c r="K1124">
        <v>1.102171</v>
      </c>
      <c r="L1124">
        <v>366.41719999999998</v>
      </c>
      <c r="M1124">
        <v>0.93933730000000004</v>
      </c>
      <c r="N1124">
        <v>0</v>
      </c>
      <c r="O1124">
        <v>-0.34266639999999998</v>
      </c>
      <c r="P1124">
        <v>0.8632514</v>
      </c>
      <c r="Q1124">
        <v>-4.4383400000000003E-2</v>
      </c>
      <c r="R1124">
        <v>-0.50281949999999997</v>
      </c>
      <c r="S1124">
        <v>2.172974</v>
      </c>
      <c r="T1124">
        <v>-0.31010270000000001</v>
      </c>
      <c r="U1124">
        <v>-2.2163089999999999</v>
      </c>
      <c r="V1124">
        <v>0.17596410000000001</v>
      </c>
      <c r="W1124">
        <v>-3.2815400000000002E-2</v>
      </c>
      <c r="X1124">
        <v>0.98384950000000004</v>
      </c>
      <c r="Y1124">
        <v>0.43042950000000002</v>
      </c>
      <c r="Z1124">
        <v>1.29716E-2</v>
      </c>
      <c r="AA1124">
        <v>0.90253099999999997</v>
      </c>
      <c r="AB1124">
        <v>31</v>
      </c>
      <c r="AC1124">
        <v>7.5607000000000202</v>
      </c>
      <c r="AD1124">
        <v>-1.1021774569059899</v>
      </c>
      <c r="AE1124">
        <v>-7.8141999999999703</v>
      </c>
      <c r="AF1124">
        <v>4.7015966314490196</v>
      </c>
      <c r="AG1124">
        <v>-1.1021774569059899</v>
      </c>
      <c r="AH1124">
        <v>9.6813348887925397</v>
      </c>
      <c r="AI1124">
        <v>95.847175999181104</v>
      </c>
      <c r="AJ1124">
        <v>64.097160227604803</v>
      </c>
      <c r="AK1124">
        <v>10.818874768677</v>
      </c>
      <c r="AL1124">
        <v>91.880521482386797</v>
      </c>
      <c r="AM1124">
        <v>79.859713678568497</v>
      </c>
      <c r="AN1124">
        <v>1.0000000268081</v>
      </c>
    </row>
    <row r="1125" spans="1:40" x14ac:dyDescent="0.25">
      <c r="A1125" t="str">
        <f>"20190312151519241"</f>
        <v>20190312151519241</v>
      </c>
      <c r="B1125" t="str">
        <f>"1552374919238428"</f>
        <v>1552374919238428</v>
      </c>
      <c r="C1125" t="s">
        <v>40</v>
      </c>
      <c r="D1125">
        <v>4.9616179999999996</v>
      </c>
      <c r="E1125">
        <v>0.60454609999999998</v>
      </c>
      <c r="F1125" t="s">
        <v>45</v>
      </c>
      <c r="G1125">
        <v>-199.5206</v>
      </c>
      <c r="H1125" s="1">
        <v>-6.4087449999999999E-6</v>
      </c>
      <c r="I1125">
        <v>358.50850000000003</v>
      </c>
      <c r="J1125">
        <v>-207.04130000000001</v>
      </c>
      <c r="K1125">
        <v>1.1021729999999901</v>
      </c>
      <c r="L1125">
        <v>366.3596</v>
      </c>
      <c r="M1125">
        <v>0.9378476</v>
      </c>
      <c r="N1125">
        <v>0</v>
      </c>
      <c r="O1125">
        <v>-0.34672350000000002</v>
      </c>
      <c r="P1125">
        <v>0.86104729999999996</v>
      </c>
      <c r="Q1125">
        <v>-4.4892649999999999E-2</v>
      </c>
      <c r="R1125">
        <v>-0.50654030000000005</v>
      </c>
      <c r="S1125">
        <v>2.1608429999999998</v>
      </c>
      <c r="T1125">
        <v>-0.31065619999999999</v>
      </c>
      <c r="U1125">
        <v>-2.2291259999999999</v>
      </c>
      <c r="V1125">
        <v>0.17595720000000001</v>
      </c>
      <c r="W1125">
        <v>-3.3323850000000002E-2</v>
      </c>
      <c r="X1125">
        <v>0.98383359999999997</v>
      </c>
      <c r="Y1125">
        <v>0.43166480000000002</v>
      </c>
      <c r="Z1125">
        <v>1.3362779999999999E-2</v>
      </c>
      <c r="AA1125">
        <v>0.90193509999999999</v>
      </c>
      <c r="AB1125">
        <v>31</v>
      </c>
      <c r="AC1125">
        <v>7.5206999999999997</v>
      </c>
      <c r="AD1125">
        <v>-1.1021794087450001</v>
      </c>
      <c r="AE1125">
        <v>-7.8510999999999704</v>
      </c>
      <c r="AF1125">
        <v>4.70768333780084</v>
      </c>
      <c r="AG1125">
        <v>-1.1021794087450001</v>
      </c>
      <c r="AH1125">
        <v>9.6770742841283006</v>
      </c>
      <c r="AI1125">
        <v>95.847818192888496</v>
      </c>
      <c r="AJ1125">
        <v>64.058099639357494</v>
      </c>
      <c r="AK1125">
        <v>10.817709949827901</v>
      </c>
      <c r="AL1125">
        <v>91.909669545557506</v>
      </c>
      <c r="AM1125">
        <v>79.859942581030097</v>
      </c>
      <c r="AN1125">
        <v>0.99999998384981104</v>
      </c>
    </row>
    <row r="1126" spans="1:40" x14ac:dyDescent="0.25">
      <c r="A1126" t="str">
        <f>"20190312151519251"</f>
        <v>20190312151519251</v>
      </c>
      <c r="B1126" t="str">
        <f>"1552374919248189"</f>
        <v>1552374919248189</v>
      </c>
      <c r="C1126" t="s">
        <v>40</v>
      </c>
      <c r="D1126">
        <v>4.9841709999999999</v>
      </c>
      <c r="E1126">
        <v>0.604495</v>
      </c>
      <c r="F1126" t="s">
        <v>45</v>
      </c>
      <c r="G1126">
        <v>-199.45490000000001</v>
      </c>
      <c r="H1126" s="1">
        <v>-6.3870860000000003E-6</v>
      </c>
      <c r="I1126">
        <v>358.4744</v>
      </c>
      <c r="J1126">
        <v>-206.90729999999999</v>
      </c>
      <c r="K1126">
        <v>1.102174</v>
      </c>
      <c r="L1126">
        <v>366.30630000000002</v>
      </c>
      <c r="M1126">
        <v>0.93646019999999996</v>
      </c>
      <c r="N1126">
        <v>0</v>
      </c>
      <c r="O1126">
        <v>-0.3504526</v>
      </c>
      <c r="P1126">
        <v>0.85910750000000002</v>
      </c>
      <c r="Q1126">
        <v>-4.5350170000000002E-2</v>
      </c>
      <c r="R1126">
        <v>-0.50978210000000002</v>
      </c>
      <c r="S1126">
        <v>2.1520079999999999</v>
      </c>
      <c r="T1126">
        <v>-0.31264890000000001</v>
      </c>
      <c r="U1126">
        <v>-2.236755</v>
      </c>
      <c r="V1126">
        <v>0.1757514</v>
      </c>
      <c r="W1126">
        <v>-3.377662E-2</v>
      </c>
      <c r="X1126">
        <v>0.98385489999999998</v>
      </c>
      <c r="Y1126">
        <v>0.4314731</v>
      </c>
      <c r="Z1126">
        <v>1.386751E-2</v>
      </c>
      <c r="AA1126">
        <v>0.90201920000000002</v>
      </c>
      <c r="AB1126">
        <v>31</v>
      </c>
      <c r="AC1126">
        <v>7.4523999999999804</v>
      </c>
      <c r="AD1126">
        <v>-1.1021803870860001</v>
      </c>
      <c r="AE1126">
        <v>-7.8319000000000099</v>
      </c>
      <c r="AF1126">
        <v>4.6744956732954703</v>
      </c>
      <c r="AG1126">
        <v>-1.1021803870860001</v>
      </c>
      <c r="AH1126">
        <v>9.6246439702416602</v>
      </c>
      <c r="AI1126">
        <v>95.8812891714025</v>
      </c>
      <c r="AJ1126">
        <v>64.095088261424095</v>
      </c>
      <c r="AK1126">
        <v>10.756369413479799</v>
      </c>
      <c r="AL1126">
        <v>91.935626054875002</v>
      </c>
      <c r="AM1126">
        <v>79.871771481420495</v>
      </c>
      <c r="AN1126">
        <v>0.99999993945729504</v>
      </c>
    </row>
    <row r="1127" spans="1:40" x14ac:dyDescent="0.25">
      <c r="A1127" t="str">
        <f>"20190312151519261"</f>
        <v>20190312151519261</v>
      </c>
      <c r="B1127" t="str">
        <f>"1552374919258925"</f>
        <v>1552374919258925</v>
      </c>
      <c r="C1127" t="s">
        <v>40</v>
      </c>
      <c r="D1127">
        <v>4.9462129999999904</v>
      </c>
      <c r="E1127">
        <v>0.60450349999999997</v>
      </c>
      <c r="F1127" t="s">
        <v>45</v>
      </c>
      <c r="G1127">
        <v>-199.29519999999999</v>
      </c>
      <c r="H1127" s="1">
        <v>-6.3159259999999901E-6</v>
      </c>
      <c r="I1127">
        <v>358.33629999999999</v>
      </c>
      <c r="J1127">
        <v>-206.7722</v>
      </c>
      <c r="K1127">
        <v>1.1021700000000001</v>
      </c>
      <c r="L1127">
        <v>366.2516</v>
      </c>
      <c r="M1127">
        <v>0.93503930000000002</v>
      </c>
      <c r="N1127">
        <v>0</v>
      </c>
      <c r="O1127">
        <v>-0.3542265</v>
      </c>
      <c r="P1127">
        <v>0.85700580000000004</v>
      </c>
      <c r="Q1127">
        <v>-4.5478850000000001E-2</v>
      </c>
      <c r="R1127">
        <v>-0.51329570000000002</v>
      </c>
      <c r="S1127">
        <v>2.1437379999999999</v>
      </c>
      <c r="T1127">
        <v>-0.31039949999999999</v>
      </c>
      <c r="U1127">
        <v>-2.2445369999999998</v>
      </c>
      <c r="V1127">
        <v>0.17581250000000001</v>
      </c>
      <c r="W1127">
        <v>-3.3906470000000001E-2</v>
      </c>
      <c r="X1127">
        <v>0.98383960000000004</v>
      </c>
      <c r="Y1127">
        <v>0.43115890000000001</v>
      </c>
      <c r="Z1127">
        <v>1.419427E-2</v>
      </c>
      <c r="AA1127">
        <v>0.90216430000000003</v>
      </c>
      <c r="AB1127">
        <v>31</v>
      </c>
      <c r="AC1127">
        <v>7.4770000000000003</v>
      </c>
      <c r="AD1127">
        <v>-1.1021763159260001</v>
      </c>
      <c r="AE1127">
        <v>-7.9153000000000002</v>
      </c>
      <c r="AF1127">
        <v>4.7048916073605804</v>
      </c>
      <c r="AG1127">
        <v>-1.1021763159260001</v>
      </c>
      <c r="AH1127">
        <v>9.6968423206240093</v>
      </c>
      <c r="AI1127">
        <v>95.838878703863003</v>
      </c>
      <c r="AJ1127">
        <v>64.117416418508896</v>
      </c>
      <c r="AK1127">
        <v>10.834184263683399</v>
      </c>
      <c r="AL1127">
        <v>91.9430700173275</v>
      </c>
      <c r="AM1127">
        <v>79.868169035601298</v>
      </c>
      <c r="AN1127">
        <v>1.00000002119613</v>
      </c>
    </row>
    <row r="1128" spans="1:40" x14ac:dyDescent="0.25">
      <c r="A1128" t="str">
        <f>"20190312151519272"</f>
        <v>20190312151519272</v>
      </c>
      <c r="B1128" t="str">
        <f>"1552374919268685"</f>
        <v>1552374919268685</v>
      </c>
      <c r="C1128" t="s">
        <v>40</v>
      </c>
      <c r="D1128">
        <v>4.959943</v>
      </c>
      <c r="E1128">
        <v>0.60445209999999905</v>
      </c>
      <c r="F1128" t="s">
        <v>45</v>
      </c>
      <c r="G1128">
        <v>-199.24549999999999</v>
      </c>
      <c r="H1128" s="1">
        <v>-6.2980660000000002E-6</v>
      </c>
      <c r="I1128">
        <v>358.30619999999999</v>
      </c>
      <c r="J1128">
        <v>-206.63489999999999</v>
      </c>
      <c r="K1128">
        <v>1.1021719999999999</v>
      </c>
      <c r="L1128">
        <v>366.19580000000002</v>
      </c>
      <c r="M1128">
        <v>0.93358059999999998</v>
      </c>
      <c r="N1128">
        <v>0</v>
      </c>
      <c r="O1128">
        <v>-0.35805369999999997</v>
      </c>
      <c r="P1128">
        <v>0.85475619999999997</v>
      </c>
      <c r="Q1128">
        <v>-4.5983820000000002E-2</v>
      </c>
      <c r="R1128">
        <v>-0.51698920000000004</v>
      </c>
      <c r="S1128">
        <v>2.1344449999999999</v>
      </c>
      <c r="T1128">
        <v>-0.31255850000000002</v>
      </c>
      <c r="U1128">
        <v>-2.253174</v>
      </c>
      <c r="V1128">
        <v>0.17602809999999999</v>
      </c>
      <c r="W1128">
        <v>-3.4416200000000001E-2</v>
      </c>
      <c r="X1128">
        <v>0.98378330000000003</v>
      </c>
      <c r="Y1128">
        <v>0.43116120000000002</v>
      </c>
      <c r="Z1128">
        <v>1.471051E-2</v>
      </c>
      <c r="AA1128">
        <v>0.90215500000000004</v>
      </c>
      <c r="AB1128">
        <v>31</v>
      </c>
      <c r="AC1128">
        <v>7.3893999999999904</v>
      </c>
      <c r="AD1128">
        <v>-1.102178298066</v>
      </c>
      <c r="AE1128">
        <v>-7.8896000000000299</v>
      </c>
      <c r="AF1128">
        <v>4.6717373455689604</v>
      </c>
      <c r="AG1128">
        <v>-1.102178298066</v>
      </c>
      <c r="AH1128">
        <v>9.6245346072187097</v>
      </c>
      <c r="AI1128">
        <v>95.8819894645533</v>
      </c>
      <c r="AJ1128">
        <v>64.108120354763003</v>
      </c>
      <c r="AK1128">
        <v>10.755072906878</v>
      </c>
      <c r="AL1128">
        <v>91.972292543890404</v>
      </c>
      <c r="AM1128">
        <v>79.855433703798596</v>
      </c>
      <c r="AN1128">
        <v>0.99999997408546903</v>
      </c>
    </row>
    <row r="1129" spans="1:40" x14ac:dyDescent="0.25">
      <c r="A1129" t="str">
        <f>"20190312151519282"</f>
        <v>20190312151519282</v>
      </c>
      <c r="B1129" t="str">
        <f>"1552374919278444"</f>
        <v>1552374919278444</v>
      </c>
      <c r="C1129" t="s">
        <v>40</v>
      </c>
      <c r="D1129">
        <v>4.9320339999999998</v>
      </c>
      <c r="E1129">
        <v>0.60439069999999995</v>
      </c>
      <c r="F1129" t="s">
        <v>45</v>
      </c>
      <c r="G1129">
        <v>-199.03399999999999</v>
      </c>
      <c r="H1129" s="1">
        <v>-6.1971250000000004E-6</v>
      </c>
      <c r="I1129">
        <v>358.10329999999999</v>
      </c>
      <c r="J1129">
        <v>-206.50659999999999</v>
      </c>
      <c r="K1129">
        <v>1.102169</v>
      </c>
      <c r="L1129">
        <v>366.14249999999998</v>
      </c>
      <c r="M1129">
        <v>0.9321933</v>
      </c>
      <c r="N1129">
        <v>0</v>
      </c>
      <c r="O1129">
        <v>-0.36164960000000002</v>
      </c>
      <c r="P1129">
        <v>0.85271779999999997</v>
      </c>
      <c r="Q1129">
        <v>-4.6157330000000003E-2</v>
      </c>
      <c r="R1129">
        <v>-0.52032879999999904</v>
      </c>
      <c r="S1129">
        <v>2.1248779999999998</v>
      </c>
      <c r="T1129">
        <v>-0.30811690000000003</v>
      </c>
      <c r="U1129">
        <v>-2.2622680000000002</v>
      </c>
      <c r="V1129">
        <v>0.1760842</v>
      </c>
      <c r="W1129">
        <v>-3.4591879999999998E-2</v>
      </c>
      <c r="X1129">
        <v>0.98376719999999895</v>
      </c>
      <c r="Y1129">
        <v>0.43154480000000001</v>
      </c>
      <c r="Z1129">
        <v>1.486879E-2</v>
      </c>
      <c r="AA1129">
        <v>0.90196900000000002</v>
      </c>
      <c r="AB1129">
        <v>31</v>
      </c>
      <c r="AC1129">
        <v>7.4725999999999697</v>
      </c>
      <c r="AD1129">
        <v>-1.102175197125</v>
      </c>
      <c r="AE1129">
        <v>-8.0391999999999904</v>
      </c>
      <c r="AF1129">
        <v>4.7443240385158001</v>
      </c>
      <c r="AG1129">
        <v>-1.102175197125</v>
      </c>
      <c r="AH1129">
        <v>9.7758149504389902</v>
      </c>
      <c r="AI1129">
        <v>95.791768527841199</v>
      </c>
      <c r="AJ1129">
        <v>64.112126750467297</v>
      </c>
      <c r="AK1129">
        <v>10.921994263541</v>
      </c>
      <c r="AL1129">
        <v>91.982364066232904</v>
      </c>
      <c r="AM1129">
        <v>79.852105193999805</v>
      </c>
      <c r="AN1129">
        <v>1.0000000737237</v>
      </c>
    </row>
    <row r="1130" spans="1:40" x14ac:dyDescent="0.25">
      <c r="A1130" t="str">
        <f>"20190312151519292"</f>
        <v>20190312151519292</v>
      </c>
      <c r="B1130" t="str">
        <f>"1552374919288205"</f>
        <v>1552374919288205</v>
      </c>
      <c r="C1130" t="s">
        <v>40</v>
      </c>
      <c r="D1130">
        <v>4.9515399999999996</v>
      </c>
      <c r="E1130">
        <v>0.6044505</v>
      </c>
      <c r="F1130" t="s">
        <v>45</v>
      </c>
      <c r="G1130">
        <v>-199.00630000000001</v>
      </c>
      <c r="H1130" s="1">
        <v>-6.1900479999999997E-6</v>
      </c>
      <c r="I1130">
        <v>358.0951</v>
      </c>
      <c r="J1130">
        <v>-206.37139999999999</v>
      </c>
      <c r="K1130">
        <v>1.102169</v>
      </c>
      <c r="L1130">
        <v>366.08620000000002</v>
      </c>
      <c r="M1130">
        <v>0.93071530000000002</v>
      </c>
      <c r="N1130">
        <v>0</v>
      </c>
      <c r="O1130">
        <v>-0.3654367</v>
      </c>
      <c r="P1130">
        <v>0.85054799999999997</v>
      </c>
      <c r="Q1130">
        <v>-4.6717420000000003E-2</v>
      </c>
      <c r="R1130">
        <v>-0.52381869999999997</v>
      </c>
      <c r="S1130">
        <v>2.1159819999999998</v>
      </c>
      <c r="T1130">
        <v>-0.3109421</v>
      </c>
      <c r="U1130">
        <v>-2.2702939999999998</v>
      </c>
      <c r="V1130">
        <v>0.17611660000000001</v>
      </c>
      <c r="W1130">
        <v>-3.5154060000000001E-2</v>
      </c>
      <c r="X1130">
        <v>0.98374139999999999</v>
      </c>
      <c r="Y1130">
        <v>0.43136869999999999</v>
      </c>
      <c r="Z1130">
        <v>1.5426789999999999E-2</v>
      </c>
      <c r="AA1130">
        <v>0.90204379999999995</v>
      </c>
      <c r="AB1130">
        <v>31</v>
      </c>
      <c r="AC1130">
        <v>7.3650999999999804</v>
      </c>
      <c r="AD1130">
        <v>-1.1021751900479999</v>
      </c>
      <c r="AE1130">
        <v>-7.9911000000000101</v>
      </c>
      <c r="AF1130">
        <v>4.6981703741086402</v>
      </c>
      <c r="AG1130">
        <v>-1.1021751900479999</v>
      </c>
      <c r="AH1130">
        <v>9.6766197685656508</v>
      </c>
      <c r="AI1130">
        <v>95.850261532654301</v>
      </c>
      <c r="AJ1130">
        <v>64.102605236470396</v>
      </c>
      <c r="AK1130">
        <v>10.813166287406499</v>
      </c>
      <c r="AL1130">
        <v>92.014594351224304</v>
      </c>
      <c r="AM1130">
        <v>79.850016111310495</v>
      </c>
      <c r="AN1130">
        <v>1.000000003402</v>
      </c>
    </row>
    <row r="1131" spans="1:40" x14ac:dyDescent="0.25">
      <c r="A1131" t="str">
        <f>"20190312151519302"</f>
        <v>20190312151519302</v>
      </c>
      <c r="B1131" t="str">
        <f>"1552374919298941"</f>
        <v>1552374919298941</v>
      </c>
      <c r="C1131" t="s">
        <v>40</v>
      </c>
      <c r="D1131">
        <v>4.9200309999999998</v>
      </c>
      <c r="E1131">
        <v>0.60444350000000002</v>
      </c>
      <c r="F1131" t="s">
        <v>45</v>
      </c>
      <c r="G1131">
        <v>-198.93</v>
      </c>
      <c r="H1131" s="1">
        <v>-6.1574840000000003E-6</v>
      </c>
      <c r="I1131">
        <v>358.03339999999997</v>
      </c>
      <c r="J1131">
        <v>-206.23400000000001</v>
      </c>
      <c r="K1131">
        <v>1.1021639999999999</v>
      </c>
      <c r="L1131">
        <v>366.02789999999999</v>
      </c>
      <c r="M1131">
        <v>0.92918590000000001</v>
      </c>
      <c r="N1131">
        <v>0</v>
      </c>
      <c r="O1131">
        <v>-0.36930790000000002</v>
      </c>
      <c r="P1131">
        <v>0.84827180000000002</v>
      </c>
      <c r="Q1131">
        <v>-4.6953599999999998E-2</v>
      </c>
      <c r="R1131">
        <v>-0.52747519999999903</v>
      </c>
      <c r="S1131">
        <v>2.1062470000000002</v>
      </c>
      <c r="T1131">
        <v>-0.31196420000000002</v>
      </c>
      <c r="U1131">
        <v>-2.2792970000000001</v>
      </c>
      <c r="V1131">
        <v>0.1762562</v>
      </c>
      <c r="W1131">
        <v>-3.5396320000000002E-2</v>
      </c>
      <c r="X1131">
        <v>0.98370769999999996</v>
      </c>
      <c r="Y1131">
        <v>0.43148069999999999</v>
      </c>
      <c r="Z1131">
        <v>1.589401E-2</v>
      </c>
      <c r="AA1131">
        <v>0.90198210000000001</v>
      </c>
      <c r="AB1131">
        <v>31</v>
      </c>
      <c r="AC1131">
        <v>7.3040000000000003</v>
      </c>
      <c r="AD1131">
        <v>-1.1021701574839999</v>
      </c>
      <c r="AE1131">
        <v>-7.9945000000000102</v>
      </c>
      <c r="AF1131">
        <v>4.6829706498582899</v>
      </c>
      <c r="AG1131">
        <v>-1.1021701574839999</v>
      </c>
      <c r="AH1131">
        <v>9.6404311793123192</v>
      </c>
      <c r="AI1131">
        <v>95.871479257951094</v>
      </c>
      <c r="AJ1131">
        <v>64.091205435105806</v>
      </c>
      <c r="AK1131">
        <v>10.7741777638267</v>
      </c>
      <c r="AL1131">
        <v>92.028483491386496</v>
      </c>
      <c r="AM1131">
        <v>79.841797379821998</v>
      </c>
      <c r="AN1131">
        <v>0.99999999327363598</v>
      </c>
    </row>
    <row r="1132" spans="1:40" x14ac:dyDescent="0.25">
      <c r="A1132" t="str">
        <f>"20190312151519314"</f>
        <v>20190312151519314</v>
      </c>
      <c r="B1132" t="str">
        <f>"1552374919308701"</f>
        <v>1552374919308701</v>
      </c>
      <c r="C1132" t="s">
        <v>40</v>
      </c>
      <c r="D1132">
        <v>4.9317760000000002</v>
      </c>
      <c r="E1132">
        <v>0.60439399999999999</v>
      </c>
      <c r="F1132" t="s">
        <v>45</v>
      </c>
      <c r="G1132">
        <v>-198.81540000000001</v>
      </c>
      <c r="H1132" s="1">
        <v>-6.1048530000000004E-6</v>
      </c>
      <c r="I1132">
        <v>357.92959999999999</v>
      </c>
      <c r="J1132">
        <v>-206.08529999999999</v>
      </c>
      <c r="K1132">
        <v>1.1021540000000001</v>
      </c>
      <c r="L1132">
        <v>365.96449999999999</v>
      </c>
      <c r="M1132">
        <v>0.92750880000000002</v>
      </c>
      <c r="N1132">
        <v>0</v>
      </c>
      <c r="O1132">
        <v>-0.37349979999999999</v>
      </c>
      <c r="P1132">
        <v>0.84585390000000005</v>
      </c>
      <c r="Q1132">
        <v>-4.6931920000000002E-2</v>
      </c>
      <c r="R1132">
        <v>-0.53134630000000005</v>
      </c>
      <c r="S1132">
        <v>2.0963590000000001</v>
      </c>
      <c r="T1132">
        <v>-0.31145329999999999</v>
      </c>
      <c r="U1132">
        <v>-2.2884220000000002</v>
      </c>
      <c r="V1132">
        <v>0.17630860000000001</v>
      </c>
      <c r="W1132">
        <v>-3.5379420000000002E-2</v>
      </c>
      <c r="X1132">
        <v>0.98369890000000004</v>
      </c>
      <c r="Y1132">
        <v>0.43133739999999998</v>
      </c>
      <c r="Z1132">
        <v>1.6333259999999999E-2</v>
      </c>
      <c r="AA1132">
        <v>0.90204289999999998</v>
      </c>
      <c r="AB1132">
        <v>31</v>
      </c>
      <c r="AC1132">
        <v>7.2698999999999696</v>
      </c>
      <c r="AD1132">
        <v>-1.1021601048530001</v>
      </c>
      <c r="AE1132">
        <v>-8.0348999999999897</v>
      </c>
      <c r="AF1132">
        <v>4.6891531907819601</v>
      </c>
      <c r="AG1132">
        <v>-1.1021601048530001</v>
      </c>
      <c r="AH1132">
        <v>9.6452363063104603</v>
      </c>
      <c r="AI1132">
        <v>95.867607430527698</v>
      </c>
      <c r="AJ1132">
        <v>64.072712172096601</v>
      </c>
      <c r="AK1132">
        <v>10.781164034923099</v>
      </c>
      <c r="AL1132">
        <v>92.027514621222707</v>
      </c>
      <c r="AM1132">
        <v>79.838751311758003</v>
      </c>
      <c r="AN1132">
        <v>0.99999997582735201</v>
      </c>
    </row>
    <row r="1133" spans="1:40" x14ac:dyDescent="0.25">
      <c r="A1133" t="str">
        <f>"20190312151519325"</f>
        <v>20190312151519325</v>
      </c>
      <c r="B1133" t="str">
        <f>"1552374919318461"</f>
        <v>1552374919318461</v>
      </c>
      <c r="C1133" t="s">
        <v>40</v>
      </c>
      <c r="D1133">
        <v>4.9427250000000003</v>
      </c>
      <c r="E1133">
        <v>0.60447090000000003</v>
      </c>
      <c r="F1133" t="s">
        <v>45</v>
      </c>
      <c r="G1133">
        <v>-198.70750000000001</v>
      </c>
      <c r="H1133" s="1">
        <v>-6.057309E-6</v>
      </c>
      <c r="I1133">
        <v>357.83800000000002</v>
      </c>
      <c r="J1133">
        <v>-205.94120000000001</v>
      </c>
      <c r="K1133">
        <v>1.102142</v>
      </c>
      <c r="L1133">
        <v>365.90179999999998</v>
      </c>
      <c r="M1133">
        <v>0.92584900000000003</v>
      </c>
      <c r="N1133">
        <v>0</v>
      </c>
      <c r="O1133">
        <v>-0.37759579999999998</v>
      </c>
      <c r="P1133">
        <v>0.8433117</v>
      </c>
      <c r="Q1133">
        <v>-4.6957440000000003E-2</v>
      </c>
      <c r="R1133">
        <v>-0.53536980000000001</v>
      </c>
      <c r="S1133">
        <v>2.0860439999999998</v>
      </c>
      <c r="T1133">
        <v>-0.31163010000000002</v>
      </c>
      <c r="U1133">
        <v>-2.2977289999999999</v>
      </c>
      <c r="V1133">
        <v>0.17664530000000001</v>
      </c>
      <c r="W1133">
        <v>-3.5417730000000001E-2</v>
      </c>
      <c r="X1133">
        <v>0.98363719999999999</v>
      </c>
      <c r="Y1133">
        <v>0.43140459999999903</v>
      </c>
      <c r="Z1133">
        <v>1.678696E-2</v>
      </c>
      <c r="AA1133">
        <v>0.90200239999999998</v>
      </c>
      <c r="AB1133">
        <v>31</v>
      </c>
      <c r="AC1133">
        <v>7.23369999999999</v>
      </c>
      <c r="AD1133">
        <v>-1.1021480573089999</v>
      </c>
      <c r="AE1133">
        <v>-8.0637999999999508</v>
      </c>
      <c r="AF1133">
        <v>4.6864685190158104</v>
      </c>
      <c r="AG1133">
        <v>-1.1021480573089999</v>
      </c>
      <c r="AH1133">
        <v>9.6434457620209297</v>
      </c>
      <c r="AI1133">
        <v>95.869056658126993</v>
      </c>
      <c r="AJ1133">
        <v>64.081431019755499</v>
      </c>
      <c r="AK1133">
        <v>10.7783933721587</v>
      </c>
      <c r="AL1133">
        <v>92.029710829381997</v>
      </c>
      <c r="AM1133">
        <v>79.819126427171398</v>
      </c>
      <c r="AN1133">
        <v>1.0000000594171301</v>
      </c>
    </row>
    <row r="1134" spans="1:40" x14ac:dyDescent="0.25">
      <c r="A1134" t="str">
        <f>"20190312151519336"</f>
        <v>20190312151519336</v>
      </c>
      <c r="B1134" t="str">
        <f>"1552374919328221"</f>
        <v>1552374919328221</v>
      </c>
      <c r="C1134" t="s">
        <v>40</v>
      </c>
      <c r="D1134">
        <v>4.9564789999999999</v>
      </c>
      <c r="E1134">
        <v>0.60439690000000001</v>
      </c>
      <c r="F1134" t="s">
        <v>45</v>
      </c>
      <c r="G1134">
        <v>-198.60990000000001</v>
      </c>
      <c r="H1134" s="1">
        <v>-6.0108659999999998E-6</v>
      </c>
      <c r="I1134">
        <v>357.7448</v>
      </c>
      <c r="J1134">
        <v>-205.80410000000001</v>
      </c>
      <c r="K1134">
        <v>1.102128</v>
      </c>
      <c r="L1134">
        <v>365.8417</v>
      </c>
      <c r="M1134">
        <v>0.92424740000000005</v>
      </c>
      <c r="N1134">
        <v>0</v>
      </c>
      <c r="O1134">
        <v>-0.38149880000000003</v>
      </c>
      <c r="P1134">
        <v>0.84094829999999998</v>
      </c>
      <c r="Q1134">
        <v>-4.7256529999999998E-2</v>
      </c>
      <c r="R1134">
        <v>-0.53904830000000004</v>
      </c>
      <c r="S1134">
        <v>2.0746150000000001</v>
      </c>
      <c r="T1134">
        <v>-0.31188709999999997</v>
      </c>
      <c r="U1134">
        <v>-2.3082889999999998</v>
      </c>
      <c r="V1134">
        <v>0.1767909</v>
      </c>
      <c r="W1134">
        <v>-3.5726050000000002E-2</v>
      </c>
      <c r="X1134">
        <v>0.98359980000000002</v>
      </c>
      <c r="Y1134">
        <v>0.43213279999999898</v>
      </c>
      <c r="Z1134">
        <v>1.7187899999999999E-2</v>
      </c>
      <c r="AA1134">
        <v>0.90164610000000001</v>
      </c>
      <c r="AB1134">
        <v>31</v>
      </c>
      <c r="AC1134">
        <v>7.1941999999999897</v>
      </c>
      <c r="AD1134">
        <v>-1.102134010866</v>
      </c>
      <c r="AE1134">
        <v>-8.0968999999999998</v>
      </c>
      <c r="AF1134">
        <v>4.6909242148059302</v>
      </c>
      <c r="AG1134">
        <v>-1.102134010866</v>
      </c>
      <c r="AH1134">
        <v>9.6394684220530298</v>
      </c>
      <c r="AI1134">
        <v>95.869867536224504</v>
      </c>
      <c r="AJ1134">
        <v>64.050720852101406</v>
      </c>
      <c r="AK1134">
        <v>10.7767722824006</v>
      </c>
      <c r="AL1134">
        <v>92.0473876339491</v>
      </c>
      <c r="AM1134">
        <v>79.810531262009306</v>
      </c>
      <c r="AN1134">
        <v>0.99999996976572503</v>
      </c>
    </row>
    <row r="1135" spans="1:40" x14ac:dyDescent="0.25">
      <c r="A1135" t="str">
        <f>"20190312151519347"</f>
        <v>20190312151519347</v>
      </c>
      <c r="B1135" t="str">
        <f>"1552374919338956"</f>
        <v>1552374919338956</v>
      </c>
      <c r="C1135" t="s">
        <v>40</v>
      </c>
      <c r="D1135">
        <v>4.9117860000000002</v>
      </c>
      <c r="E1135">
        <v>0.60431990000000002</v>
      </c>
      <c r="F1135" t="s">
        <v>45</v>
      </c>
      <c r="G1135">
        <v>-198.52680000000001</v>
      </c>
      <c r="H1135" s="1">
        <v>-5.9751900000000001E-6</v>
      </c>
      <c r="I1135">
        <v>357.67700000000002</v>
      </c>
      <c r="J1135">
        <v>-205.66059999999999</v>
      </c>
      <c r="K1135">
        <v>1.1021080000000001</v>
      </c>
      <c r="L1135">
        <v>365.77789999999999</v>
      </c>
      <c r="M1135">
        <v>0.92253850000000004</v>
      </c>
      <c r="N1135">
        <v>0</v>
      </c>
      <c r="O1135">
        <v>-0.38561309999999999</v>
      </c>
      <c r="P1135">
        <v>0.83843630000000002</v>
      </c>
      <c r="Q1135">
        <v>-4.723335E-2</v>
      </c>
      <c r="R1135">
        <v>-0.54294880000000001</v>
      </c>
      <c r="S1135">
        <v>2.0648499999999999</v>
      </c>
      <c r="T1135">
        <v>-0.31271650000000001</v>
      </c>
      <c r="U1135">
        <v>-2.3166500000000001</v>
      </c>
      <c r="V1135">
        <v>0.17697560000000001</v>
      </c>
      <c r="W1135">
        <v>-3.5713910000000001E-2</v>
      </c>
      <c r="X1135">
        <v>0.98356710000000003</v>
      </c>
      <c r="Y1135">
        <v>0.43186600000000003</v>
      </c>
      <c r="Z1135">
        <v>1.7701640000000001E-2</v>
      </c>
      <c r="AA1135">
        <v>0.90176409999999996</v>
      </c>
      <c r="AB1135">
        <v>31</v>
      </c>
      <c r="AC1135">
        <v>7.1337999999999804</v>
      </c>
      <c r="AD1135">
        <v>-1.10211397519</v>
      </c>
      <c r="AE1135">
        <v>-8.1009000000000206</v>
      </c>
      <c r="AF1135">
        <v>4.6743085385637899</v>
      </c>
      <c r="AG1135">
        <v>-1.10211397519</v>
      </c>
      <c r="AH1135">
        <v>9.6059710063711208</v>
      </c>
      <c r="AI1135">
        <v>95.890161986738306</v>
      </c>
      <c r="AJ1135">
        <v>64.052237980105801</v>
      </c>
      <c r="AK1135">
        <v>10.739576085825799</v>
      </c>
      <c r="AL1135">
        <v>92.046691468463905</v>
      </c>
      <c r="AM1135">
        <v>79.799777335630907</v>
      </c>
      <c r="AN1135">
        <v>1.0000000432826199</v>
      </c>
    </row>
    <row r="1136" spans="1:40" x14ac:dyDescent="0.25">
      <c r="A1136" t="str">
        <f>"20190312151519359"</f>
        <v>20190312151519359</v>
      </c>
      <c r="B1136" t="str">
        <f>"1552374919348717"</f>
        <v>1552374919348717</v>
      </c>
      <c r="C1136" t="s">
        <v>40</v>
      </c>
      <c r="D1136">
        <v>4.9220499999999996</v>
      </c>
      <c r="E1136">
        <v>0.60431769999999996</v>
      </c>
      <c r="F1136" t="s">
        <v>45</v>
      </c>
      <c r="G1136">
        <v>-198.3603</v>
      </c>
      <c r="H1136" s="1">
        <v>-5.8941610000000002E-6</v>
      </c>
      <c r="I1136">
        <v>357.51260000000002</v>
      </c>
      <c r="J1136">
        <v>-205.5128</v>
      </c>
      <c r="K1136">
        <v>1.1020810000000001</v>
      </c>
      <c r="L1136">
        <v>365.71140000000003</v>
      </c>
      <c r="M1136">
        <v>0.92074699999999998</v>
      </c>
      <c r="N1136">
        <v>0</v>
      </c>
      <c r="O1136">
        <v>-0.38987100000000002</v>
      </c>
      <c r="P1136">
        <v>0.83577630000000003</v>
      </c>
      <c r="Q1136">
        <v>-4.703094E-2</v>
      </c>
      <c r="R1136">
        <v>-0.54705219999999999</v>
      </c>
      <c r="S1136">
        <v>2.0543819999999999</v>
      </c>
      <c r="T1136">
        <v>-0.31014809999999998</v>
      </c>
      <c r="U1136">
        <v>-2.325958</v>
      </c>
      <c r="V1136">
        <v>0.17724960000000001</v>
      </c>
      <c r="W1136">
        <v>-3.5525580000000001E-2</v>
      </c>
      <c r="X1136">
        <v>0.98352459999999997</v>
      </c>
      <c r="Y1136">
        <v>0.43179210000000001</v>
      </c>
      <c r="Z1136">
        <v>1.8025679999999999E-2</v>
      </c>
      <c r="AA1136">
        <v>0.90179299999999996</v>
      </c>
      <c r="AB1136">
        <v>31</v>
      </c>
      <c r="AC1136">
        <v>7.1524999999999999</v>
      </c>
      <c r="AD1136">
        <v>-1.10208689416099</v>
      </c>
      <c r="AE1136">
        <v>-8.1988000000000003</v>
      </c>
      <c r="AF1136">
        <v>4.7126521079957904</v>
      </c>
      <c r="AG1136">
        <v>-1.10208689416099</v>
      </c>
      <c r="AH1136">
        <v>9.6838617292750708</v>
      </c>
      <c r="AI1136">
        <v>95.842867758124498</v>
      </c>
      <c r="AJ1136">
        <v>64.050125482613396</v>
      </c>
      <c r="AK1136">
        <v>10.8259347589479</v>
      </c>
      <c r="AL1136">
        <v>92.035894062414101</v>
      </c>
      <c r="AM1136">
        <v>79.783885162666493</v>
      </c>
      <c r="AN1136">
        <v>1.00000006316982</v>
      </c>
    </row>
    <row r="1137" spans="1:40" x14ac:dyDescent="0.25">
      <c r="A1137" t="str">
        <f>"20190312151519370"</f>
        <v>20190312151519370</v>
      </c>
      <c r="B1137" t="str">
        <f>"1552374919358476"</f>
        <v>1552374919358476</v>
      </c>
      <c r="C1137" t="s">
        <v>40</v>
      </c>
      <c r="D1137">
        <v>4.9336479999999998</v>
      </c>
      <c r="E1137">
        <v>0.60422310000000001</v>
      </c>
      <c r="F1137" t="s">
        <v>45</v>
      </c>
      <c r="G1137">
        <v>-198.23830000000001</v>
      </c>
      <c r="H1137" s="1">
        <v>-5.8355640000000004E-6</v>
      </c>
      <c r="I1137">
        <v>357.39449999999999</v>
      </c>
      <c r="J1137">
        <v>-205.36089999999999</v>
      </c>
      <c r="K1137">
        <v>1.1020509999999999</v>
      </c>
      <c r="L1137">
        <v>365.64240000000001</v>
      </c>
      <c r="M1137">
        <v>0.91887249999999998</v>
      </c>
      <c r="N1137">
        <v>0</v>
      </c>
      <c r="O1137">
        <v>-0.39426879999999997</v>
      </c>
      <c r="P1137">
        <v>0.83299729999999905</v>
      </c>
      <c r="Q1137">
        <v>-4.7602770000000003E-2</v>
      </c>
      <c r="R1137">
        <v>-0.55122569999999904</v>
      </c>
      <c r="S1137">
        <v>2.0431210000000002</v>
      </c>
      <c r="T1137">
        <v>-0.30953249999999999</v>
      </c>
      <c r="U1137">
        <v>-2.3359070000000002</v>
      </c>
      <c r="V1137">
        <v>0.17746609999999999</v>
      </c>
      <c r="W1137">
        <v>-3.6112289999999998E-2</v>
      </c>
      <c r="X1137">
        <v>0.98346409999999995</v>
      </c>
      <c r="Y1137">
        <v>0.431865</v>
      </c>
      <c r="Z1137">
        <v>1.846559E-2</v>
      </c>
      <c r="AA1137">
        <v>0.90174920000000003</v>
      </c>
      <c r="AB1137">
        <v>31</v>
      </c>
      <c r="AC1137">
        <v>7.1225999999999701</v>
      </c>
      <c r="AD1137">
        <v>-1.1020568355639999</v>
      </c>
      <c r="AE1137">
        <v>-8.2479000000000102</v>
      </c>
      <c r="AF1137">
        <v>4.7227882868582904</v>
      </c>
      <c r="AG1137">
        <v>-1.1020568355639999</v>
      </c>
      <c r="AH1137">
        <v>9.6985698969605494</v>
      </c>
      <c r="AI1137">
        <v>95.833209851918198</v>
      </c>
      <c r="AJ1137">
        <v>64.035900785288206</v>
      </c>
      <c r="AK1137">
        <v>10.8435011189896</v>
      </c>
      <c r="AL1137">
        <v>92.069531835363193</v>
      </c>
      <c r="AM1137">
        <v>79.771054116125399</v>
      </c>
      <c r="AN1137">
        <v>0.999999975063531</v>
      </c>
    </row>
    <row r="1138" spans="1:40" x14ac:dyDescent="0.25">
      <c r="A1138" t="str">
        <f>"20190312151519382"</f>
        <v>20190312151519382</v>
      </c>
      <c r="B1138" t="str">
        <f>"1552374919378973"</f>
        <v>1552374919378973</v>
      </c>
      <c r="C1138" t="s">
        <v>40</v>
      </c>
      <c r="D1138">
        <v>4.9198870000000001</v>
      </c>
      <c r="E1138">
        <v>0.60411809999999999</v>
      </c>
      <c r="F1138" t="s">
        <v>45</v>
      </c>
      <c r="G1138">
        <v>-198.15100000000001</v>
      </c>
      <c r="H1138" s="1">
        <v>-5.7966469999999999E-6</v>
      </c>
      <c r="I1138">
        <v>357.31889999999999</v>
      </c>
      <c r="J1138">
        <v>-205.2139</v>
      </c>
      <c r="K1138">
        <v>1.102015</v>
      </c>
      <c r="L1138">
        <v>365.57429999999999</v>
      </c>
      <c r="M1138">
        <v>0.91701250000000001</v>
      </c>
      <c r="N1138">
        <v>0</v>
      </c>
      <c r="O1138">
        <v>-0.39857550000000003</v>
      </c>
      <c r="P1138">
        <v>0.83023210000000003</v>
      </c>
      <c r="Q1138">
        <v>-4.7672239999999998E-2</v>
      </c>
      <c r="R1138">
        <v>-0.55537559999999997</v>
      </c>
      <c r="S1138">
        <v>2.031647</v>
      </c>
      <c r="T1138">
        <v>-0.31054389999999998</v>
      </c>
      <c r="U1138">
        <v>-2.3454280000000001</v>
      </c>
      <c r="V1138">
        <v>0.17775669999999999</v>
      </c>
      <c r="W1138">
        <v>-3.6199410000000001E-2</v>
      </c>
      <c r="X1138">
        <v>0.98340850000000002</v>
      </c>
      <c r="Y1138">
        <v>0.43198059999999999</v>
      </c>
      <c r="Z1138">
        <v>1.8993309999999999E-2</v>
      </c>
      <c r="AA1138">
        <v>0.90168289999999995</v>
      </c>
      <c r="AB1138">
        <v>31</v>
      </c>
      <c r="AC1138">
        <v>7.0629000000000097</v>
      </c>
      <c r="AD1138">
        <v>-1.1020207966469999</v>
      </c>
      <c r="AE1138">
        <v>-8.2553999999999998</v>
      </c>
      <c r="AF1138">
        <v>4.7073101422284598</v>
      </c>
      <c r="AG1138">
        <v>-1.1020207966469999</v>
      </c>
      <c r="AH1138">
        <v>9.6687897422551394</v>
      </c>
      <c r="AI1138">
        <v>95.851092803568903</v>
      </c>
      <c r="AJ1138">
        <v>64.040578337867998</v>
      </c>
      <c r="AK1138">
        <v>10.8101208916139</v>
      </c>
      <c r="AL1138">
        <v>92.074526533817206</v>
      </c>
      <c r="AM1138">
        <v>79.754091770178903</v>
      </c>
      <c r="AN1138">
        <v>1.0000000597757399</v>
      </c>
    </row>
    <row r="1139" spans="1:40" x14ac:dyDescent="0.25">
      <c r="A1139" t="str">
        <f>"20190312151519395"</f>
        <v>20190312151519395</v>
      </c>
      <c r="B1139" t="str">
        <f>"1552374919388732"</f>
        <v>1552374919388732</v>
      </c>
      <c r="C1139" t="s">
        <v>40</v>
      </c>
      <c r="D1139">
        <v>4.9404539999999999</v>
      </c>
      <c r="E1139">
        <v>0.6041126</v>
      </c>
      <c r="F1139" t="s">
        <v>45</v>
      </c>
      <c r="G1139">
        <v>-198.0231</v>
      </c>
      <c r="H1139" s="1">
        <v>-5.734826E-6</v>
      </c>
      <c r="I1139">
        <v>357.19389999999999</v>
      </c>
      <c r="J1139">
        <v>-205.05179999999999</v>
      </c>
      <c r="K1139">
        <v>1.1019730000000001</v>
      </c>
      <c r="L1139">
        <v>365.49860000000001</v>
      </c>
      <c r="M1139">
        <v>0.91492439999999997</v>
      </c>
      <c r="N1139">
        <v>0</v>
      </c>
      <c r="O1139">
        <v>-0.40334550000000002</v>
      </c>
      <c r="P1139">
        <v>0.82721739999999999</v>
      </c>
      <c r="Q1139">
        <v>-4.8125889999999998E-2</v>
      </c>
      <c r="R1139">
        <v>-0.55981709999999996</v>
      </c>
      <c r="S1139">
        <v>2.020508</v>
      </c>
      <c r="T1139">
        <v>-0.30965140000000002</v>
      </c>
      <c r="U1139">
        <v>-2.3547669999999998</v>
      </c>
      <c r="V1139">
        <v>0.17790439999999999</v>
      </c>
      <c r="W1139">
        <v>-3.6670439999999999E-2</v>
      </c>
      <c r="X1139">
        <v>0.98336429999999997</v>
      </c>
      <c r="Y1139">
        <v>0.43153019999999997</v>
      </c>
      <c r="Z1139">
        <v>1.9485849999999999E-2</v>
      </c>
      <c r="AA1139">
        <v>0.90188800000000002</v>
      </c>
      <c r="AB1139">
        <v>31</v>
      </c>
      <c r="AC1139">
        <v>7.0286999999999802</v>
      </c>
      <c r="AD1139">
        <v>-1.101978734826</v>
      </c>
      <c r="AE1139">
        <v>-8.30470000000002</v>
      </c>
      <c r="AF1139">
        <v>4.7153414949002697</v>
      </c>
      <c r="AG1139">
        <v>-1.101978734826</v>
      </c>
      <c r="AH1139">
        <v>9.6821679076739198</v>
      </c>
      <c r="AI1139">
        <v>95.842484571353495</v>
      </c>
      <c r="AJ1139">
        <v>64.033316499077799</v>
      </c>
      <c r="AK1139">
        <v>10.825579796848199</v>
      </c>
      <c r="AL1139">
        <v>92.101532574925599</v>
      </c>
      <c r="AM1139">
        <v>79.745307765820101</v>
      </c>
      <c r="AN1139">
        <v>1.0000000216118199</v>
      </c>
    </row>
    <row r="1140" spans="1:40" x14ac:dyDescent="0.25">
      <c r="A1140" t="str">
        <f>"20190312151519407"</f>
        <v>20190312151519407</v>
      </c>
      <c r="B1140" t="str">
        <f>"1552374919398492"</f>
        <v>1552374919398492</v>
      </c>
      <c r="C1140" t="s">
        <v>40</v>
      </c>
      <c r="D1140">
        <v>4.9175690000000003</v>
      </c>
      <c r="E1140">
        <v>0.60406729999999997</v>
      </c>
      <c r="F1140" t="s">
        <v>45</v>
      </c>
      <c r="G1140">
        <v>-197.98159999999999</v>
      </c>
      <c r="H1140" s="1">
        <v>-5.7191400000000003E-6</v>
      </c>
      <c r="I1140">
        <v>357.16640000000001</v>
      </c>
      <c r="J1140">
        <v>-204.89439999999999</v>
      </c>
      <c r="K1140">
        <v>1.1019239999999999</v>
      </c>
      <c r="L1140">
        <v>365.4239</v>
      </c>
      <c r="M1140">
        <v>0.91284050000000005</v>
      </c>
      <c r="N1140">
        <v>0</v>
      </c>
      <c r="O1140">
        <v>-0.4080395</v>
      </c>
      <c r="P1140">
        <v>0.82406819999999903</v>
      </c>
      <c r="Q1140">
        <v>-4.8470779999999998E-2</v>
      </c>
      <c r="R1140">
        <v>-0.56441339999999995</v>
      </c>
      <c r="S1140">
        <v>2.0074160000000001</v>
      </c>
      <c r="T1140">
        <v>-0.3128802</v>
      </c>
      <c r="U1140">
        <v>-2.365723</v>
      </c>
      <c r="V1140">
        <v>0.1783246</v>
      </c>
      <c r="W1140">
        <v>-3.7040360000000001E-2</v>
      </c>
      <c r="X1140">
        <v>0.98327430000000005</v>
      </c>
      <c r="Y1140">
        <v>0.43187209999999998</v>
      </c>
      <c r="Z1140">
        <v>2.0189990000000001E-2</v>
      </c>
      <c r="AA1140">
        <v>0.90170879999999998</v>
      </c>
      <c r="AB1140">
        <v>31</v>
      </c>
      <c r="AC1140">
        <v>6.9127999999999998</v>
      </c>
      <c r="AD1140">
        <v>-1.1019297191399999</v>
      </c>
      <c r="AE1140">
        <v>-8.2574999999999896</v>
      </c>
      <c r="AF1140">
        <v>4.6687359717133496</v>
      </c>
      <c r="AG1140">
        <v>-1.1019297191399999</v>
      </c>
      <c r="AH1140">
        <v>9.5804556597010908</v>
      </c>
      <c r="AI1140">
        <v>95.903109737840694</v>
      </c>
      <c r="AJ1140">
        <v>64.019156335210099</v>
      </c>
      <c r="AK1140">
        <v>10.714311705704301</v>
      </c>
      <c r="AL1140">
        <v>92.122741884335397</v>
      </c>
      <c r="AM1140">
        <v>79.720681758675696</v>
      </c>
      <c r="AN1140">
        <v>1.00000000013728</v>
      </c>
    </row>
    <row r="1141" spans="1:40" x14ac:dyDescent="0.25">
      <c r="A1141" t="str">
        <f>"20190312151519420"</f>
        <v>20190312151519420</v>
      </c>
      <c r="B1141" t="str">
        <f>"1552374919408253"</f>
        <v>1552374919408253</v>
      </c>
      <c r="C1141" t="s">
        <v>40</v>
      </c>
      <c r="D1141">
        <v>4.9134900000000004</v>
      </c>
      <c r="E1141">
        <v>0.60393920000000001</v>
      </c>
      <c r="F1141" t="s">
        <v>45</v>
      </c>
      <c r="G1141">
        <v>-197.90479999999999</v>
      </c>
      <c r="H1141" s="1">
        <v>-5.6826259999999999E-6</v>
      </c>
      <c r="I1141">
        <v>357.09320000000002</v>
      </c>
      <c r="J1141">
        <v>-204.733</v>
      </c>
      <c r="K1141">
        <v>1.1018699999999999</v>
      </c>
      <c r="L1141">
        <v>365.34620000000001</v>
      </c>
      <c r="M1141">
        <v>0.91065269999999998</v>
      </c>
      <c r="N1141">
        <v>0</v>
      </c>
      <c r="O1141">
        <v>-0.41289890000000001</v>
      </c>
      <c r="P1141">
        <v>0.82093110000000002</v>
      </c>
      <c r="Q1141">
        <v>-4.8626589999999997E-2</v>
      </c>
      <c r="R1141">
        <v>-0.56895319999999905</v>
      </c>
      <c r="S1141">
        <v>1.994156</v>
      </c>
      <c r="T1141">
        <v>-0.31438100000000002</v>
      </c>
      <c r="U1141">
        <v>-2.3767399999999999</v>
      </c>
      <c r="V1141">
        <v>0.178507</v>
      </c>
      <c r="W1141">
        <v>-3.7217119999999999E-2</v>
      </c>
      <c r="X1141">
        <v>0.98323450000000001</v>
      </c>
      <c r="Y1141">
        <v>0.43209229999999998</v>
      </c>
      <c r="Z1141">
        <v>2.0816270000000001E-2</v>
      </c>
      <c r="AA1141">
        <v>0.90158910000000003</v>
      </c>
      <c r="AB1141">
        <v>31</v>
      </c>
      <c r="AC1141">
        <v>6.8282000000000096</v>
      </c>
      <c r="AD1141">
        <v>-1.1018756826260001</v>
      </c>
      <c r="AE1141">
        <v>-8.2529999999999806</v>
      </c>
      <c r="AF1141">
        <v>4.6476109795873501</v>
      </c>
      <c r="AG1141">
        <v>-1.1018756826260001</v>
      </c>
      <c r="AH1141">
        <v>9.52605811073302</v>
      </c>
      <c r="AI1141">
        <v>95.934977597262801</v>
      </c>
      <c r="AJ1141">
        <v>63.992994023795802</v>
      </c>
      <c r="AK1141">
        <v>10.6564628731397</v>
      </c>
      <c r="AL1141">
        <v>92.132876533138599</v>
      </c>
      <c r="AM1141">
        <v>79.709984410980098</v>
      </c>
      <c r="AN1141">
        <v>0.99999997253017103</v>
      </c>
    </row>
    <row r="1142" spans="1:40" x14ac:dyDescent="0.25">
      <c r="A1142" t="str">
        <f>"20190312151519432"</f>
        <v>20190312151519432</v>
      </c>
      <c r="B1142" t="str">
        <f>"1552374919428748"</f>
        <v>1552374919428748</v>
      </c>
      <c r="C1142" t="s">
        <v>40</v>
      </c>
      <c r="D1142">
        <v>4.8828290000000001</v>
      </c>
      <c r="E1142">
        <v>0.60372320000000002</v>
      </c>
      <c r="F1142" t="s">
        <v>45</v>
      </c>
      <c r="G1142">
        <v>-197.8126</v>
      </c>
      <c r="H1142" s="1">
        <v>-5.6407720000000003E-6</v>
      </c>
      <c r="I1142">
        <v>357.01119999999997</v>
      </c>
      <c r="J1142">
        <v>-204.5763</v>
      </c>
      <c r="K1142">
        <v>1.101817</v>
      </c>
      <c r="L1142">
        <v>365.27</v>
      </c>
      <c r="M1142">
        <v>0.90848680000000004</v>
      </c>
      <c r="N1142">
        <v>0</v>
      </c>
      <c r="O1142">
        <v>-0.41764279999999998</v>
      </c>
      <c r="P1142">
        <v>0.81773809999999902</v>
      </c>
      <c r="Q1142">
        <v>-4.8663039999999998E-2</v>
      </c>
      <c r="R1142">
        <v>-0.57352999999999998</v>
      </c>
      <c r="S1142">
        <v>1.981598</v>
      </c>
      <c r="T1142">
        <v>-0.3155135</v>
      </c>
      <c r="U1142">
        <v>-2.3866580000000002</v>
      </c>
      <c r="V1142">
        <v>0.17886629999999901</v>
      </c>
      <c r="W1142">
        <v>-3.7278480000000003E-2</v>
      </c>
      <c r="X1142">
        <v>0.98316689999999995</v>
      </c>
      <c r="Y1142">
        <v>0.4320563</v>
      </c>
      <c r="Z1142">
        <v>2.1426420000000002E-2</v>
      </c>
      <c r="AA1142">
        <v>0.90159210000000001</v>
      </c>
      <c r="AB1142">
        <v>31</v>
      </c>
      <c r="AC1142">
        <v>6.7637</v>
      </c>
      <c r="AD1142">
        <v>-1.101822640772</v>
      </c>
      <c r="AE1142">
        <v>-8.2588000000000008</v>
      </c>
      <c r="AF1142">
        <v>4.6294104500527604</v>
      </c>
      <c r="AG1142">
        <v>-1.101822640772</v>
      </c>
      <c r="AH1142">
        <v>9.4939035164281407</v>
      </c>
      <c r="AI1142">
        <v>95.955266341330002</v>
      </c>
      <c r="AJ1142">
        <v>64.005244495843399</v>
      </c>
      <c r="AK1142">
        <v>10.619776750291001</v>
      </c>
      <c r="AL1142">
        <v>92.136394593885498</v>
      </c>
      <c r="AM1142">
        <v>79.689022702486099</v>
      </c>
      <c r="AN1142">
        <v>0.99999999580120502</v>
      </c>
    </row>
    <row r="1143" spans="1:40" x14ac:dyDescent="0.25">
      <c r="A1143" t="str">
        <f>"20190312151519443"</f>
        <v>20190312151519443</v>
      </c>
      <c r="B1143" t="str">
        <f>"1552374919438510"</f>
        <v>1552374919438510</v>
      </c>
      <c r="C1143" t="s">
        <v>40</v>
      </c>
      <c r="D1143">
        <v>4.9028039999999997</v>
      </c>
      <c r="E1143">
        <v>0.60357119999999997</v>
      </c>
      <c r="F1143" t="s">
        <v>45</v>
      </c>
      <c r="G1143">
        <v>-197.7329</v>
      </c>
      <c r="H1143" s="1">
        <v>-5.6054700000000004E-6</v>
      </c>
      <c r="I1143">
        <v>356.94290000000001</v>
      </c>
      <c r="J1143">
        <v>-204.43870000000001</v>
      </c>
      <c r="K1143">
        <v>1.101761</v>
      </c>
      <c r="L1143">
        <v>365.20159999999998</v>
      </c>
      <c r="M1143">
        <v>0.9065242</v>
      </c>
      <c r="N1143">
        <v>0</v>
      </c>
      <c r="O1143">
        <v>-0.42188579999999998</v>
      </c>
      <c r="P1143">
        <v>0.81482349999999903</v>
      </c>
      <c r="Q1143">
        <v>-4.8792820000000001E-2</v>
      </c>
      <c r="R1143">
        <v>-0.57765250000000001</v>
      </c>
      <c r="S1143">
        <v>1.9692229999999999</v>
      </c>
      <c r="T1143">
        <v>-0.31705749999999999</v>
      </c>
      <c r="U1143">
        <v>-2.3961790000000001</v>
      </c>
      <c r="V1143">
        <v>0.17923059999999999</v>
      </c>
      <c r="W1143">
        <v>-3.7432409999999999E-2</v>
      </c>
      <c r="X1143">
        <v>0.98309469999999999</v>
      </c>
      <c r="Y1143">
        <v>0.43238989999999999</v>
      </c>
      <c r="Z1143">
        <v>2.1994099999999999E-2</v>
      </c>
      <c r="AA1143">
        <v>0.90141839999999995</v>
      </c>
      <c r="AB1143">
        <v>31</v>
      </c>
      <c r="AC1143">
        <v>6.7058000000000098</v>
      </c>
      <c r="AD1143">
        <v>-1.1017666054699999</v>
      </c>
      <c r="AE1143">
        <v>-8.2586999999999708</v>
      </c>
      <c r="AF1143">
        <v>4.6087239602279402</v>
      </c>
      <c r="AG1143">
        <v>-1.1017666054699999</v>
      </c>
      <c r="AH1143">
        <v>9.4627835430220202</v>
      </c>
      <c r="AI1143">
        <v>95.975768796519105</v>
      </c>
      <c r="AJ1143">
        <v>64.032212898203298</v>
      </c>
      <c r="AK1143">
        <v>10.582934308432399</v>
      </c>
      <c r="AL1143">
        <v>92.145220303048902</v>
      </c>
      <c r="AM1143">
        <v>79.667731567546696</v>
      </c>
      <c r="AN1143">
        <v>0.99999999123142902</v>
      </c>
    </row>
    <row r="1144" spans="1:40" x14ac:dyDescent="0.25">
      <c r="A1144" t="str">
        <f>"20190312151519460"</f>
        <v>20190312151519460</v>
      </c>
      <c r="B1144" t="str">
        <f>"1552374919448269"</f>
        <v>1552374919448269</v>
      </c>
      <c r="C1144" t="s">
        <v>40</v>
      </c>
      <c r="D1144">
        <v>4.9107010000000004</v>
      </c>
      <c r="E1144">
        <v>0.60347569999999995</v>
      </c>
      <c r="F1144" t="s">
        <v>45</v>
      </c>
      <c r="G1144">
        <v>-197.65989999999999</v>
      </c>
      <c r="H1144" s="1">
        <v>-5.5706359999999998E-6</v>
      </c>
      <c r="I1144">
        <v>356.87290000000002</v>
      </c>
      <c r="J1144">
        <v>-204.23009999999999</v>
      </c>
      <c r="K1144">
        <v>1.101674</v>
      </c>
      <c r="L1144">
        <v>365.09679999999997</v>
      </c>
      <c r="M1144">
        <v>0.90347710000000003</v>
      </c>
      <c r="N1144">
        <v>0</v>
      </c>
      <c r="O1144">
        <v>-0.42837170000000002</v>
      </c>
      <c r="P1144">
        <v>0.81014649999999999</v>
      </c>
      <c r="Q1144">
        <v>-4.903163E-2</v>
      </c>
      <c r="R1144">
        <v>-0.58417359999999996</v>
      </c>
      <c r="S1144">
        <v>1.9575959999999999</v>
      </c>
      <c r="T1144">
        <v>-0.31817040000000002</v>
      </c>
      <c r="U1144">
        <v>-2.4051819999999999</v>
      </c>
      <c r="V1144">
        <v>0.1800686</v>
      </c>
      <c r="W1144">
        <v>-3.7716069999999997E-2</v>
      </c>
      <c r="X1144">
        <v>0.98293070000000005</v>
      </c>
      <c r="Y1144">
        <v>0.43023479999999997</v>
      </c>
      <c r="Z1144">
        <v>2.2923579999999999E-2</v>
      </c>
      <c r="AA1144">
        <v>0.9024259</v>
      </c>
      <c r="AB1144">
        <v>31</v>
      </c>
      <c r="AC1144">
        <v>6.5701999999999998</v>
      </c>
      <c r="AD1144">
        <v>-1.1016795706360001</v>
      </c>
      <c r="AE1144">
        <v>-8.2238999999999507</v>
      </c>
      <c r="AF1144">
        <v>4.5661240407218404</v>
      </c>
      <c r="AG1144">
        <v>-1.1016795706360001</v>
      </c>
      <c r="AH1144">
        <v>9.3574828045109104</v>
      </c>
      <c r="AI1144">
        <v>96.039853935182407</v>
      </c>
      <c r="AJ1144">
        <v>63.989244030888798</v>
      </c>
      <c r="AK1144">
        <v>10.4702278422359</v>
      </c>
      <c r="AL1144">
        <v>92.161484329418499</v>
      </c>
      <c r="AM1144">
        <v>79.618776126641194</v>
      </c>
      <c r="AN1144">
        <v>0.99999998182234695</v>
      </c>
    </row>
    <row r="1145" spans="1:40" x14ac:dyDescent="0.25">
      <c r="A1145" t="str">
        <f>"20190312151519471"</f>
        <v>20190312151519471</v>
      </c>
      <c r="B1145" t="str">
        <f>"1552374919459005"</f>
        <v>1552374919459005</v>
      </c>
      <c r="C1145" t="s">
        <v>40</v>
      </c>
      <c r="D1145">
        <v>4.9926320000000004</v>
      </c>
      <c r="E1145">
        <v>0.60382009999999997</v>
      </c>
      <c r="F1145" t="s">
        <v>45</v>
      </c>
      <c r="G1145">
        <v>-197.54769999999999</v>
      </c>
      <c r="H1145" s="1">
        <v>-5.513292E-6</v>
      </c>
      <c r="I1145">
        <v>356.75389999999999</v>
      </c>
      <c r="J1145">
        <v>-204.09229999999999</v>
      </c>
      <c r="K1145">
        <v>1.1016109999999999</v>
      </c>
      <c r="L1145">
        <v>365.02679999999998</v>
      </c>
      <c r="M1145">
        <v>0.90141210000000005</v>
      </c>
      <c r="N1145">
        <v>0</v>
      </c>
      <c r="O1145">
        <v>-0.43269990000000003</v>
      </c>
      <c r="P1145">
        <v>0.80711860000000002</v>
      </c>
      <c r="Q1145">
        <v>-4.9498939999999998E-2</v>
      </c>
      <c r="R1145">
        <v>-0.58831099999999903</v>
      </c>
      <c r="S1145">
        <v>1.9385380000000001</v>
      </c>
      <c r="T1145">
        <v>-0.31959140000000003</v>
      </c>
      <c r="U1145">
        <v>-2.4202270000000001</v>
      </c>
      <c r="V1145">
        <v>0.18038090000000001</v>
      </c>
      <c r="W1145">
        <v>-3.8209340000000001E-2</v>
      </c>
      <c r="X1145">
        <v>0.98285440000000002</v>
      </c>
      <c r="Y1145">
        <v>0.43297360000000001</v>
      </c>
      <c r="Z1145">
        <v>2.3371960000000001E-2</v>
      </c>
      <c r="AA1145">
        <v>0.9011036</v>
      </c>
      <c r="AB1145">
        <v>31</v>
      </c>
      <c r="AC1145">
        <v>6.5446</v>
      </c>
      <c r="AD1145">
        <v>-1.1016165132919999</v>
      </c>
      <c r="AE1145">
        <v>-8.2728999999999893</v>
      </c>
      <c r="AF1145">
        <v>4.5760621990114201</v>
      </c>
      <c r="AG1145">
        <v>-1.1016165132919999</v>
      </c>
      <c r="AH1145">
        <v>9.3778641850128395</v>
      </c>
      <c r="AI1145">
        <v>96.026483335264004</v>
      </c>
      <c r="AJ1145">
        <v>63.989279767525801</v>
      </c>
      <c r="AK1145">
        <v>10.492770885906401</v>
      </c>
      <c r="AL1145">
        <v>92.189766973127504</v>
      </c>
      <c r="AM1145">
        <v>79.600374361766896</v>
      </c>
      <c r="AN1145">
        <v>0.99999999717370203</v>
      </c>
    </row>
    <row r="1146" spans="1:40" x14ac:dyDescent="0.25">
      <c r="A1146" t="str">
        <f>"20190312151519483"</f>
        <v>20190312151519483</v>
      </c>
      <c r="B1146" t="str">
        <f>"1552374919478525"</f>
        <v>1552374919478525</v>
      </c>
      <c r="C1146" t="s">
        <v>40</v>
      </c>
      <c r="D1146">
        <v>4.9206329999999996</v>
      </c>
      <c r="E1146">
        <v>0.64520339999999998</v>
      </c>
      <c r="F1146" t="s">
        <v>45</v>
      </c>
      <c r="G1146">
        <v>-197.4768</v>
      </c>
      <c r="H1146" s="1">
        <v>-5.4722209999999998E-6</v>
      </c>
      <c r="I1146">
        <v>356.66430000000003</v>
      </c>
      <c r="J1146">
        <v>-203.94540000000001</v>
      </c>
      <c r="K1146">
        <v>1.1015440000000001</v>
      </c>
      <c r="L1146">
        <v>364.95060000000001</v>
      </c>
      <c r="M1146">
        <v>0.89914470000000002</v>
      </c>
      <c r="N1146">
        <v>0</v>
      </c>
      <c r="O1146">
        <v>-0.43739139999999999</v>
      </c>
      <c r="P1146">
        <v>0.80368909999999905</v>
      </c>
      <c r="Q1146">
        <v>-4.9832580000000001E-2</v>
      </c>
      <c r="R1146">
        <v>-0.59295929999999997</v>
      </c>
      <c r="S1146">
        <v>1.924255</v>
      </c>
      <c r="T1146">
        <v>-0.32042989999999999</v>
      </c>
      <c r="U1146">
        <v>-2.432404</v>
      </c>
      <c r="V1146">
        <v>0.18092730000000001</v>
      </c>
      <c r="W1146">
        <v>-3.857476E-2</v>
      </c>
      <c r="X1146">
        <v>0.98273969999999999</v>
      </c>
      <c r="Y1146">
        <v>0.43374210000000002</v>
      </c>
      <c r="Z1146">
        <v>2.392275E-2</v>
      </c>
      <c r="AA1146">
        <v>0.90071950000000001</v>
      </c>
      <c r="AB1146">
        <v>31</v>
      </c>
      <c r="AC1146">
        <v>6.4686000000000003</v>
      </c>
      <c r="AD1146">
        <v>-1.101549472221</v>
      </c>
      <c r="AE1146">
        <v>-8.2862999999999793</v>
      </c>
      <c r="AF1146">
        <v>4.5715999819285402</v>
      </c>
      <c r="AG1146">
        <v>-1.101549472221</v>
      </c>
      <c r="AH1146">
        <v>9.3390898507043794</v>
      </c>
      <c r="AI1146">
        <v>96.047286366507507</v>
      </c>
      <c r="AJ1146">
        <v>63.917680201332601</v>
      </c>
      <c r="AK1146">
        <v>10.4561721903404</v>
      </c>
      <c r="AL1146">
        <v>92.210719418087194</v>
      </c>
      <c r="AM1146">
        <v>79.5683721109814</v>
      </c>
      <c r="AN1146">
        <v>1.0000000089752099</v>
      </c>
    </row>
    <row r="1147" spans="1:40" x14ac:dyDescent="0.25">
      <c r="A1147" t="str">
        <f>"20190312151519494"</f>
        <v>20190312151519494</v>
      </c>
      <c r="B1147" t="str">
        <f>"1552374919488284"</f>
        <v>1552374919488284</v>
      </c>
      <c r="C1147" t="s">
        <v>40</v>
      </c>
      <c r="D1147">
        <v>4.7748710000000001</v>
      </c>
      <c r="E1147">
        <v>0.65467120000000001</v>
      </c>
      <c r="F1147" t="s">
        <v>45</v>
      </c>
      <c r="G1147">
        <v>-194.71180000000001</v>
      </c>
      <c r="H1147" s="1">
        <v>-1.7283940000000001E-6</v>
      </c>
      <c r="I1147">
        <v>350.40460000000002</v>
      </c>
      <c r="J1147">
        <v>-203.81020000000001</v>
      </c>
      <c r="K1147">
        <v>1.1014809999999999</v>
      </c>
      <c r="L1147">
        <v>364.88</v>
      </c>
      <c r="M1147">
        <v>0.89702340000000003</v>
      </c>
      <c r="N1147">
        <v>0</v>
      </c>
      <c r="O1147">
        <v>-0.44172549999999999</v>
      </c>
      <c r="P1147">
        <v>0.80045719999999898</v>
      </c>
      <c r="Q1147">
        <v>-5.0044070000000003E-2</v>
      </c>
      <c r="R1147">
        <v>-0.59729730000000003</v>
      </c>
      <c r="S1147">
        <v>1.7204279999999901</v>
      </c>
      <c r="T1147">
        <v>-0.20524290000000001</v>
      </c>
      <c r="U1147">
        <v>-2.7102360000000001</v>
      </c>
      <c r="V1147">
        <v>0.1814953</v>
      </c>
      <c r="W1147">
        <v>-3.8817560000000001E-2</v>
      </c>
      <c r="X1147">
        <v>0.98262539999999998</v>
      </c>
      <c r="Y1147">
        <v>0.52045980000000003</v>
      </c>
      <c r="Z1147">
        <v>1.2128430000000001E-2</v>
      </c>
      <c r="AA1147">
        <v>0.85380009999999995</v>
      </c>
      <c r="AB1147">
        <v>31</v>
      </c>
      <c r="AC1147">
        <v>9.0983999999999892</v>
      </c>
      <c r="AD1147">
        <v>-1.1014827283940001</v>
      </c>
      <c r="AE1147">
        <v>-14.475399999999899</v>
      </c>
      <c r="AF1147">
        <v>8.9297349230035508</v>
      </c>
      <c r="AG1147">
        <v>-1.1014827283940001</v>
      </c>
      <c r="AH1147">
        <v>14.497117550980899</v>
      </c>
      <c r="AI1147">
        <v>93.701404409140906</v>
      </c>
      <c r="AJ1147">
        <v>58.368333129155602</v>
      </c>
      <c r="AK1147">
        <v>17.062234533701002</v>
      </c>
      <c r="AL1147">
        <v>92.224641254100206</v>
      </c>
      <c r="AM1147">
        <v>79.535155210893393</v>
      </c>
      <c r="AN1147">
        <v>1.0000000118057999</v>
      </c>
    </row>
    <row r="1148" spans="1:40" x14ac:dyDescent="0.25">
      <c r="A1148" t="str">
        <f>"20190312151519503"</f>
        <v>20190312151519503</v>
      </c>
      <c r="B1148" t="str">
        <f>"1552374919499021"</f>
        <v>1552374919499021</v>
      </c>
      <c r="C1148" t="s">
        <v>40</v>
      </c>
      <c r="D1148">
        <v>4.759576</v>
      </c>
      <c r="E1148">
        <v>0.66081579999999995</v>
      </c>
      <c r="F1148" t="s">
        <v>45</v>
      </c>
      <c r="G1148">
        <v>-194.81120000000001</v>
      </c>
      <c r="H1148" s="1">
        <v>-1.4037579999999999E-6</v>
      </c>
      <c r="I1148">
        <v>349.81150000000002</v>
      </c>
      <c r="J1148">
        <v>-203.68029999999999</v>
      </c>
      <c r="K1148">
        <v>1.101418</v>
      </c>
      <c r="L1148">
        <v>364.8109</v>
      </c>
      <c r="M1148">
        <v>0.89492430000000001</v>
      </c>
      <c r="N1148">
        <v>0</v>
      </c>
      <c r="O1148">
        <v>-0.44596239999999998</v>
      </c>
      <c r="P1148">
        <v>0.7971876</v>
      </c>
      <c r="Q1148">
        <v>-5.0448819999999998E-2</v>
      </c>
      <c r="R1148">
        <v>-0.60162040000000006</v>
      </c>
      <c r="S1148">
        <v>1.6604460000000001</v>
      </c>
      <c r="T1148">
        <v>-0.20324030000000001</v>
      </c>
      <c r="U1148">
        <v>-2.7803650000000002</v>
      </c>
      <c r="V1148">
        <v>0.1821633</v>
      </c>
      <c r="W1148">
        <v>-3.9255699999999998E-2</v>
      </c>
      <c r="X1148">
        <v>0.98248429999999998</v>
      </c>
      <c r="Y1148">
        <v>0.53953189999999995</v>
      </c>
      <c r="Z1148">
        <v>1.1525519999999999E-2</v>
      </c>
      <c r="AA1148">
        <v>0.84188629999999998</v>
      </c>
      <c r="AB1148">
        <v>31</v>
      </c>
      <c r="AC1148">
        <v>8.8690999999999693</v>
      </c>
      <c r="AD1148">
        <v>-1.1014194037580001</v>
      </c>
      <c r="AE1148">
        <v>-14.9993999999999</v>
      </c>
      <c r="AF1148">
        <v>9.4314413121656209</v>
      </c>
      <c r="AG1148">
        <v>-1.1014194037580001</v>
      </c>
      <c r="AH1148">
        <v>14.569799711106899</v>
      </c>
      <c r="AI1148">
        <v>93.631143659863696</v>
      </c>
      <c r="AJ1148">
        <v>57.083881750332701</v>
      </c>
      <c r="AK1148">
        <v>17.390925034326699</v>
      </c>
      <c r="AL1148">
        <v>92.249764140210402</v>
      </c>
      <c r="AM1148">
        <v>79.496019687616595</v>
      </c>
      <c r="AN1148">
        <v>0.99999993879793303</v>
      </c>
    </row>
    <row r="1149" spans="1:40" x14ac:dyDescent="0.25">
      <c r="A1149" t="str">
        <f>"20190312151519515"</f>
        <v>20190312151519515</v>
      </c>
      <c r="B1149" t="str">
        <f>"1552374919508780"</f>
        <v>1552374919508780</v>
      </c>
      <c r="C1149" t="s">
        <v>40</v>
      </c>
      <c r="D1149">
        <v>4.7924860000000002</v>
      </c>
      <c r="E1149">
        <v>0.66401790000000005</v>
      </c>
      <c r="F1149" t="s">
        <v>43</v>
      </c>
      <c r="G1149">
        <v>-194.84299999999999</v>
      </c>
      <c r="H1149" s="1">
        <v>-5.0651760000000004E-6</v>
      </c>
      <c r="I1149">
        <v>349.34660000000002</v>
      </c>
      <c r="J1149">
        <v>-203.54560000000001</v>
      </c>
      <c r="K1149">
        <v>1.101356</v>
      </c>
      <c r="L1149">
        <v>364.73880000000003</v>
      </c>
      <c r="M1149">
        <v>0.8927136</v>
      </c>
      <c r="N1149">
        <v>0</v>
      </c>
      <c r="O1149">
        <v>-0.45037109999999902</v>
      </c>
      <c r="P1149">
        <v>0.79386060000000003</v>
      </c>
      <c r="Q1149">
        <v>-5.0714049999999997E-2</v>
      </c>
      <c r="R1149">
        <v>-0.60598160000000001</v>
      </c>
      <c r="S1149">
        <v>1.6161650000000001</v>
      </c>
      <c r="T1149">
        <v>-0.20142789999999999</v>
      </c>
      <c r="U1149">
        <v>-2.8280940000000001</v>
      </c>
      <c r="V1149">
        <v>0.1826991</v>
      </c>
      <c r="W1149">
        <v>-3.9552249999999997E-2</v>
      </c>
      <c r="X1149">
        <v>0.98237300000000005</v>
      </c>
      <c r="Y1149">
        <v>0.55146839999999997</v>
      </c>
      <c r="Z1149">
        <v>1.124197E-2</v>
      </c>
      <c r="AA1149">
        <v>0.83411999999999997</v>
      </c>
      <c r="AB1149">
        <v>31</v>
      </c>
      <c r="AC1149">
        <v>8.7026000000000092</v>
      </c>
      <c r="AD1149">
        <v>-1.101361065176</v>
      </c>
      <c r="AE1149">
        <v>-15.392200000000001</v>
      </c>
      <c r="AF1149">
        <v>9.78458715259797</v>
      </c>
      <c r="AG1149">
        <v>-1.101361065176</v>
      </c>
      <c r="AH1149">
        <v>14.645988352827199</v>
      </c>
      <c r="AI1149">
        <v>93.577966115718198</v>
      </c>
      <c r="AJ1149">
        <v>56.254190640039603</v>
      </c>
      <c r="AK1149">
        <v>17.6481193551557</v>
      </c>
      <c r="AL1149">
        <v>92.266768212274997</v>
      </c>
      <c r="AM1149">
        <v>79.464647952347306</v>
      </c>
      <c r="AN1149">
        <v>1.00000002637493</v>
      </c>
    </row>
    <row r="1150" spans="1:40" x14ac:dyDescent="0.25">
      <c r="A1150" t="str">
        <f>"20190312151519526"</f>
        <v>20190312151519526</v>
      </c>
      <c r="B1150" t="str">
        <f>"1552374919518540"</f>
        <v>1552374919518540</v>
      </c>
      <c r="C1150" t="s">
        <v>40</v>
      </c>
      <c r="D1150">
        <v>4.6776289999999996</v>
      </c>
      <c r="E1150">
        <v>0.66607700000000003</v>
      </c>
      <c r="F1150" t="s">
        <v>43</v>
      </c>
      <c r="G1150">
        <v>-194.708</v>
      </c>
      <c r="H1150" s="1">
        <v>-4.8570950000000001E-6</v>
      </c>
      <c r="I1150">
        <v>348.80560000000003</v>
      </c>
      <c r="J1150">
        <v>-203.41399999999999</v>
      </c>
      <c r="K1150">
        <v>1.101294</v>
      </c>
      <c r="L1150">
        <v>364.6671</v>
      </c>
      <c r="M1150">
        <v>0.89049460000000003</v>
      </c>
      <c r="N1150">
        <v>0</v>
      </c>
      <c r="O1150">
        <v>-0.45474229999999999</v>
      </c>
      <c r="P1150">
        <v>0.790502699999999</v>
      </c>
      <c r="Q1150">
        <v>-5.0805379999999997E-2</v>
      </c>
      <c r="R1150">
        <v>-0.61034790000000005</v>
      </c>
      <c r="S1150">
        <v>1.5850519999999999</v>
      </c>
      <c r="T1150">
        <v>-0.19753190000000001</v>
      </c>
      <c r="U1150">
        <v>-2.857666</v>
      </c>
      <c r="V1150">
        <v>0.1832917</v>
      </c>
      <c r="W1150">
        <v>-3.967495E-2</v>
      </c>
      <c r="X1150">
        <v>0.98225759999999995</v>
      </c>
      <c r="Y1150">
        <v>0.55800709999999998</v>
      </c>
      <c r="Z1150">
        <v>1.1063180000000001E-2</v>
      </c>
      <c r="AA1150">
        <v>0.82976249999999996</v>
      </c>
      <c r="AB1150">
        <v>31</v>
      </c>
      <c r="AC1150">
        <v>8.7060000000000102</v>
      </c>
      <c r="AD1150">
        <v>-1.101298857095</v>
      </c>
      <c r="AE1150">
        <v>-15.8614999999999</v>
      </c>
      <c r="AF1150">
        <v>10.1292307940407</v>
      </c>
      <c r="AG1150">
        <v>-1.101298857095</v>
      </c>
      <c r="AH1150">
        <v>14.9120084857585</v>
      </c>
      <c r="AI1150">
        <v>93.495966167593807</v>
      </c>
      <c r="AJ1150">
        <v>55.813037832239203</v>
      </c>
      <c r="AK1150">
        <v>18.060514187888302</v>
      </c>
      <c r="AL1150">
        <v>92.273804053074599</v>
      </c>
      <c r="AM1150">
        <v>79.430030652092398</v>
      </c>
      <c r="AN1150">
        <v>0.99999997085207504</v>
      </c>
    </row>
    <row r="1151" spans="1:40" x14ac:dyDescent="0.25">
      <c r="A1151" t="str">
        <f>"20190312151519538"</f>
        <v>20190312151519538</v>
      </c>
      <c r="B1151" t="str">
        <f>"1552374919528300"</f>
        <v>1552374919528300</v>
      </c>
      <c r="C1151" t="s">
        <v>40</v>
      </c>
      <c r="D1151">
        <v>4.6357049999999997</v>
      </c>
      <c r="E1151">
        <v>0.66722669999999995</v>
      </c>
      <c r="F1151" t="s">
        <v>43</v>
      </c>
      <c r="G1151">
        <v>-194.73060000000001</v>
      </c>
      <c r="H1151" s="1">
        <v>-4.801742E-6</v>
      </c>
      <c r="I1151">
        <v>348.6311</v>
      </c>
      <c r="J1151">
        <v>-203.2783</v>
      </c>
      <c r="K1151">
        <v>1.1012299999999999</v>
      </c>
      <c r="L1151">
        <v>364.5926</v>
      </c>
      <c r="M1151">
        <v>0.88816419999999996</v>
      </c>
      <c r="N1151">
        <v>0</v>
      </c>
      <c r="O1151">
        <v>-0.4592773</v>
      </c>
      <c r="P1151">
        <v>0.78700939999999997</v>
      </c>
      <c r="Q1151">
        <v>-5.0892699999999999E-2</v>
      </c>
      <c r="R1151">
        <v>-0.61483869999999996</v>
      </c>
      <c r="S1151">
        <v>1.5591740000000001</v>
      </c>
      <c r="T1151">
        <v>-0.1977487</v>
      </c>
      <c r="U1151">
        <v>-2.8794249999999999</v>
      </c>
      <c r="V1151">
        <v>0.1838697</v>
      </c>
      <c r="W1151">
        <v>-3.9794070000000001E-2</v>
      </c>
      <c r="X1151">
        <v>0.98214480000000004</v>
      </c>
      <c r="Y1151">
        <v>0.56217779999999995</v>
      </c>
      <c r="Z1151">
        <v>1.1221780000000001E-2</v>
      </c>
      <c r="AA1151">
        <v>0.82694020000000001</v>
      </c>
      <c r="AB1151">
        <v>31</v>
      </c>
      <c r="AC1151">
        <v>8.5476999999999901</v>
      </c>
      <c r="AD1151">
        <v>-1.1012348017419999</v>
      </c>
      <c r="AE1151">
        <v>-15.961499999999999</v>
      </c>
      <c r="AF1151">
        <v>10.2140569213304</v>
      </c>
      <c r="AG1151">
        <v>-1.1012348017419999</v>
      </c>
      <c r="AH1151">
        <v>14.8692183638396</v>
      </c>
      <c r="AI1151">
        <v>93.493344502182296</v>
      </c>
      <c r="AJ1151">
        <v>55.5138042134515</v>
      </c>
      <c r="AK1151">
        <v>18.073000072823799</v>
      </c>
      <c r="AL1151">
        <v>92.280634405453696</v>
      </c>
      <c r="AM1151">
        <v>79.396263343030995</v>
      </c>
      <c r="AN1151">
        <v>1.00000002137614</v>
      </c>
    </row>
    <row r="1152" spans="1:40" x14ac:dyDescent="0.25">
      <c r="A1152" t="str">
        <f>"20190312151519548"</f>
        <v>20190312151519548</v>
      </c>
      <c r="B1152" t="str">
        <f>"1552374919539037"</f>
        <v>1552374919539037</v>
      </c>
      <c r="C1152" t="s">
        <v>40</v>
      </c>
      <c r="D1152">
        <v>4.7329109999999996</v>
      </c>
      <c r="E1152">
        <v>0.66819130000000004</v>
      </c>
      <c r="F1152" t="s">
        <v>43</v>
      </c>
      <c r="G1152">
        <v>-194.7072</v>
      </c>
      <c r="H1152" s="1">
        <v>-4.7356269999999997E-6</v>
      </c>
      <c r="I1152">
        <v>348.44900000000001</v>
      </c>
      <c r="J1152">
        <v>-203.14349999999999</v>
      </c>
      <c r="K1152">
        <v>1.1011660000000001</v>
      </c>
      <c r="L1152">
        <v>364.51749999999998</v>
      </c>
      <c r="M1152">
        <v>0.88579609999999998</v>
      </c>
      <c r="N1152">
        <v>0</v>
      </c>
      <c r="O1152">
        <v>-0.46382770000000001</v>
      </c>
      <c r="P1152">
        <v>0.78356329999999996</v>
      </c>
      <c r="Q1152">
        <v>-5.0987619999999997E-2</v>
      </c>
      <c r="R1152">
        <v>-0.61921669999999995</v>
      </c>
      <c r="S1152">
        <v>1.5372159999999999</v>
      </c>
      <c r="T1152">
        <v>-0.1975054</v>
      </c>
      <c r="U1152">
        <v>-2.8953250000000001</v>
      </c>
      <c r="V1152">
        <v>0.18430079999999999</v>
      </c>
      <c r="W1152">
        <v>-3.9917189999999998E-2</v>
      </c>
      <c r="X1152">
        <v>0.98205889999999996</v>
      </c>
      <c r="Y1152">
        <v>0.56471610000000005</v>
      </c>
      <c r="Z1152">
        <v>1.1423610000000001E-2</v>
      </c>
      <c r="AA1152">
        <v>0.8252062</v>
      </c>
      <c r="AB1152">
        <v>31</v>
      </c>
      <c r="AC1152">
        <v>8.4362999999999797</v>
      </c>
      <c r="AD1152">
        <v>-1.101170735627</v>
      </c>
      <c r="AE1152">
        <v>-16.068499999999901</v>
      </c>
      <c r="AF1152">
        <v>10.283747684487601</v>
      </c>
      <c r="AG1152">
        <v>-1.101170735627</v>
      </c>
      <c r="AH1152">
        <v>14.872812662516999</v>
      </c>
      <c r="AI1152">
        <v>93.484950359599097</v>
      </c>
      <c r="AJ1152">
        <v>55.3382327083213</v>
      </c>
      <c r="AK1152">
        <v>18.115424364930899</v>
      </c>
      <c r="AL1152">
        <v>92.287694491694097</v>
      </c>
      <c r="AM1152">
        <v>79.371059168442699</v>
      </c>
      <c r="AN1152">
        <v>0.99999992500366996</v>
      </c>
    </row>
    <row r="1153" spans="1:40" x14ac:dyDescent="0.25">
      <c r="A1153" t="str">
        <f>"20190312151519560"</f>
        <v>20190312151519560</v>
      </c>
      <c r="B1153" t="str">
        <f>"1552374919548797"</f>
        <v>1552374919548797</v>
      </c>
      <c r="C1153" t="s">
        <v>40</v>
      </c>
      <c r="D1153">
        <v>4.7211319999999999</v>
      </c>
      <c r="E1153">
        <v>0.66845019999999999</v>
      </c>
      <c r="F1153" t="s">
        <v>43</v>
      </c>
      <c r="G1153">
        <v>-194.7619</v>
      </c>
      <c r="H1153" s="1">
        <v>-4.7378629999999996E-6</v>
      </c>
      <c r="I1153">
        <v>348.4271</v>
      </c>
      <c r="J1153">
        <v>-203.0008</v>
      </c>
      <c r="K1153">
        <v>1.101097</v>
      </c>
      <c r="L1153">
        <v>364.43680000000001</v>
      </c>
      <c r="M1153">
        <v>0.8832257</v>
      </c>
      <c r="N1153">
        <v>0</v>
      </c>
      <c r="O1153">
        <v>-0.46870329999999899</v>
      </c>
      <c r="P1153">
        <v>0.77988150000000001</v>
      </c>
      <c r="Q1153">
        <v>-5.0949990000000001E-2</v>
      </c>
      <c r="R1153">
        <v>-0.62385059999999903</v>
      </c>
      <c r="S1153">
        <v>1.51593</v>
      </c>
      <c r="T1153">
        <v>-0.19916249999999999</v>
      </c>
      <c r="U1153">
        <v>-2.9101870000000001</v>
      </c>
      <c r="V1153">
        <v>0.1847018</v>
      </c>
      <c r="W1153">
        <v>-3.9907940000000003E-2</v>
      </c>
      <c r="X1153">
        <v>0.98198399999999997</v>
      </c>
      <c r="Y1153">
        <v>0.56664669999999995</v>
      </c>
      <c r="Z1153">
        <v>1.178298E-2</v>
      </c>
      <c r="AA1153">
        <v>0.82387659999999996</v>
      </c>
      <c r="AB1153">
        <v>31</v>
      </c>
      <c r="AC1153">
        <v>8.2388999999999992</v>
      </c>
      <c r="AD1153">
        <v>-1.1011017378629999</v>
      </c>
      <c r="AE1153">
        <v>-16.009699999999999</v>
      </c>
      <c r="AF1153">
        <v>10.241457334326199</v>
      </c>
      <c r="AG1153">
        <v>-1.1011017378629999</v>
      </c>
      <c r="AH1153">
        <v>14.727226632299599</v>
      </c>
      <c r="AI1153">
        <v>93.512585444563697</v>
      </c>
      <c r="AJ1153">
        <v>55.184871183298497</v>
      </c>
      <c r="AK1153">
        <v>17.9719525273985</v>
      </c>
      <c r="AL1153">
        <v>92.287163940202902</v>
      </c>
      <c r="AM1153">
        <v>79.347667584355406</v>
      </c>
      <c r="AN1153">
        <v>0.99999998742714102</v>
      </c>
    </row>
    <row r="1154" spans="1:40" x14ac:dyDescent="0.25">
      <c r="A1154" t="str">
        <f>"20190312151519571"</f>
        <v>20190312151519571</v>
      </c>
      <c r="B1154" t="str">
        <f>"1552374919568316"</f>
        <v>1552374919568316</v>
      </c>
      <c r="C1154" t="s">
        <v>40</v>
      </c>
      <c r="D1154">
        <v>4.7526270000000004</v>
      </c>
      <c r="E1154">
        <v>0.66850880000000001</v>
      </c>
      <c r="F1154" t="s">
        <v>43</v>
      </c>
      <c r="G1154">
        <v>-195.3168</v>
      </c>
      <c r="H1154" s="1">
        <v>-5.1833519999999997E-6</v>
      </c>
      <c r="I1154">
        <v>349.44690000000003</v>
      </c>
      <c r="J1154">
        <v>-202.8665</v>
      </c>
      <c r="K1154">
        <v>1.1010310000000001</v>
      </c>
      <c r="L1154">
        <v>364.3603</v>
      </c>
      <c r="M1154">
        <v>0.88076359999999998</v>
      </c>
      <c r="N1154">
        <v>0</v>
      </c>
      <c r="O1154">
        <v>-0.4733135</v>
      </c>
      <c r="P1154">
        <v>0.77628149999999996</v>
      </c>
      <c r="Q1154">
        <v>-5.1148260000000001E-2</v>
      </c>
      <c r="R1154">
        <v>-0.62830790000000003</v>
      </c>
      <c r="S1154">
        <v>1.4968570000000001</v>
      </c>
      <c r="T1154">
        <v>-0.21449779999999999</v>
      </c>
      <c r="U1154">
        <v>-2.9200740000000001</v>
      </c>
      <c r="V1154">
        <v>0.1851902</v>
      </c>
      <c r="W1154">
        <v>-4.0136140000000001E-2</v>
      </c>
      <c r="X1154">
        <v>0.98188279999999994</v>
      </c>
      <c r="Y1154">
        <v>0.56770559999999903</v>
      </c>
      <c r="Z1154">
        <v>1.299838E-2</v>
      </c>
      <c r="AA1154">
        <v>0.823129</v>
      </c>
      <c r="AB1154">
        <v>31</v>
      </c>
      <c r="AC1154">
        <v>7.5496999999999996</v>
      </c>
      <c r="AD1154">
        <v>-1.1010361833519999</v>
      </c>
      <c r="AE1154">
        <v>-14.9133999999999</v>
      </c>
      <c r="AF1154">
        <v>9.5215919787693597</v>
      </c>
      <c r="AG1154">
        <v>-1.1010361833519999</v>
      </c>
      <c r="AH1154">
        <v>13.6505634705166</v>
      </c>
      <c r="AI1154">
        <v>93.784888379726794</v>
      </c>
      <c r="AJ1154">
        <v>55.103311888446299</v>
      </c>
      <c r="AK1154">
        <v>16.679654599236098</v>
      </c>
      <c r="AL1154">
        <v>92.3002491165024</v>
      </c>
      <c r="AM1154">
        <v>79.319071705936494</v>
      </c>
      <c r="AN1154">
        <v>1.0000000764229799</v>
      </c>
    </row>
    <row r="1155" spans="1:40" x14ac:dyDescent="0.25">
      <c r="A1155" t="str">
        <f>"20190312151519588"</f>
        <v>20190312151519588</v>
      </c>
      <c r="B1155" t="str">
        <f>"1552374919579053"</f>
        <v>1552374919579053</v>
      </c>
      <c r="C1155" t="s">
        <v>40</v>
      </c>
      <c r="D1155">
        <v>4.7686479999999998</v>
      </c>
      <c r="E1155">
        <v>0.66855390000000003</v>
      </c>
      <c r="F1155" t="s">
        <v>45</v>
      </c>
      <c r="G1155">
        <v>-196.0136</v>
      </c>
      <c r="H1155" s="1">
        <v>-2.2982400000000001E-6</v>
      </c>
      <c r="I1155">
        <v>350.78219999999999</v>
      </c>
      <c r="J1155">
        <v>-202.67320000000001</v>
      </c>
      <c r="K1155">
        <v>1.1009420000000001</v>
      </c>
      <c r="L1155">
        <v>364.24779999999998</v>
      </c>
      <c r="M1155">
        <v>0.87710359999999998</v>
      </c>
      <c r="N1155">
        <v>0</v>
      </c>
      <c r="O1155">
        <v>-0.48006140000000003</v>
      </c>
      <c r="P1155">
        <v>0.77113909999999997</v>
      </c>
      <c r="Q1155">
        <v>-5.1193900000000001E-2</v>
      </c>
      <c r="R1155">
        <v>-0.63460509999999903</v>
      </c>
      <c r="S1155">
        <v>1.478256</v>
      </c>
      <c r="T1155">
        <v>-0.2375062</v>
      </c>
      <c r="U1155">
        <v>-2.9289550000000002</v>
      </c>
      <c r="V1155">
        <v>0.18563470000000001</v>
      </c>
      <c r="W1155">
        <v>-4.0217719999999998E-2</v>
      </c>
      <c r="X1155">
        <v>0.98179539999999998</v>
      </c>
      <c r="Y1155">
        <v>0.56651619999999903</v>
      </c>
      <c r="Z1155">
        <v>1.5011190000000001E-2</v>
      </c>
      <c r="AA1155">
        <v>0.82391389999999998</v>
      </c>
      <c r="AB1155">
        <v>31</v>
      </c>
      <c r="AC1155">
        <v>6.65960000000001</v>
      </c>
      <c r="AD1155">
        <v>-1.10094429824</v>
      </c>
      <c r="AE1155">
        <v>-13.465599999999901</v>
      </c>
      <c r="AF1155">
        <v>8.5686794761204403</v>
      </c>
      <c r="AG1155">
        <v>-1.10094429824</v>
      </c>
      <c r="AH1155">
        <v>12.241144635947901</v>
      </c>
      <c r="AI1155">
        <v>94.213963672480304</v>
      </c>
      <c r="AJ1155">
        <v>55.008362320657703</v>
      </c>
      <c r="AK1155">
        <v>14.9826555827233</v>
      </c>
      <c r="AL1155">
        <v>92.304927357972204</v>
      </c>
      <c r="AM1155">
        <v>79.293095842480199</v>
      </c>
      <c r="AN1155">
        <v>0.999999957153623</v>
      </c>
    </row>
    <row r="1156" spans="1:40" x14ac:dyDescent="0.25">
      <c r="A1156" t="str">
        <f>"20190312151519604"</f>
        <v>20190312151519604</v>
      </c>
      <c r="B1156" t="str">
        <f>"1552374919598547"</f>
        <v>1552374919598547</v>
      </c>
      <c r="C1156" t="s">
        <v>40</v>
      </c>
      <c r="D1156">
        <v>4.7226379999999999</v>
      </c>
      <c r="E1156">
        <v>0.66825279999999998</v>
      </c>
      <c r="F1156" t="s">
        <v>45</v>
      </c>
      <c r="G1156">
        <v>-196.14869999999999</v>
      </c>
      <c r="H1156" s="1">
        <v>-2.4906459999999999E-6</v>
      </c>
      <c r="I1156">
        <v>351.04649999999998</v>
      </c>
      <c r="J1156">
        <v>-202.48320000000001</v>
      </c>
      <c r="K1156">
        <v>1.100851</v>
      </c>
      <c r="L1156">
        <v>364.13529999999997</v>
      </c>
      <c r="M1156">
        <v>0.87339500000000003</v>
      </c>
      <c r="N1156">
        <v>0</v>
      </c>
      <c r="O1156">
        <v>-0.48677569999999998</v>
      </c>
      <c r="P1156">
        <v>0.76585809999999999</v>
      </c>
      <c r="Q1156">
        <v>-5.1298700000000003E-2</v>
      </c>
      <c r="R1156">
        <v>-0.64096059999999999</v>
      </c>
      <c r="S1156">
        <v>1.4536290000000001</v>
      </c>
      <c r="T1156">
        <v>-0.24528610000000001</v>
      </c>
      <c r="U1156">
        <v>-2.9411930000000002</v>
      </c>
      <c r="V1156">
        <v>0.18621409999999999</v>
      </c>
      <c r="W1156">
        <v>-4.0361309999999997E-2</v>
      </c>
      <c r="X1156">
        <v>0.98167979999999999</v>
      </c>
      <c r="Y1156">
        <v>0.56709469999999995</v>
      </c>
      <c r="Z1156">
        <v>1.6063529999999999E-2</v>
      </c>
      <c r="AA1156">
        <v>0.82349599999999901</v>
      </c>
      <c r="AB1156">
        <v>31</v>
      </c>
      <c r="AC1156">
        <v>6.33450000000001</v>
      </c>
      <c r="AD1156">
        <v>-1.1008534906459999</v>
      </c>
      <c r="AE1156">
        <v>-13.0887999999999</v>
      </c>
      <c r="AF1156">
        <v>8.3015940843185199</v>
      </c>
      <c r="AG1156">
        <v>-1.1008534906459999</v>
      </c>
      <c r="AH1156">
        <v>11.837357559384399</v>
      </c>
      <c r="AI1156">
        <v>94.354124323273197</v>
      </c>
      <c r="AJ1156">
        <v>54.957841531837197</v>
      </c>
      <c r="AK1156">
        <v>14.5000474736248</v>
      </c>
      <c r="AL1156">
        <v>92.313161096377002</v>
      </c>
      <c r="AM1156">
        <v>79.259218482110995</v>
      </c>
      <c r="AN1156">
        <v>0.99999997805588203</v>
      </c>
    </row>
    <row r="1157" spans="1:40" x14ac:dyDescent="0.25">
      <c r="A1157" t="str">
        <f>"20190312151519618"</f>
        <v>20190312151519618</v>
      </c>
      <c r="B1157" t="str">
        <f>"1552374919608307"</f>
        <v>1552374919608307</v>
      </c>
      <c r="C1157" t="s">
        <v>40</v>
      </c>
      <c r="D1157">
        <v>4.8092739999999896</v>
      </c>
      <c r="E1157">
        <v>0.66819669999999998</v>
      </c>
      <c r="F1157" t="s">
        <v>45</v>
      </c>
      <c r="G1157">
        <v>-196.3049</v>
      </c>
      <c r="H1157" s="1">
        <v>-2.7342360000000002E-6</v>
      </c>
      <c r="I1157">
        <v>351.38780000000003</v>
      </c>
      <c r="J1157">
        <v>-202.31659999999999</v>
      </c>
      <c r="K1157">
        <v>1.100765</v>
      </c>
      <c r="L1157">
        <v>364.0351</v>
      </c>
      <c r="M1157">
        <v>0.87005250000000001</v>
      </c>
      <c r="N1157">
        <v>0</v>
      </c>
      <c r="O1157">
        <v>-0.4927242</v>
      </c>
      <c r="P1157">
        <v>0.76099859999999997</v>
      </c>
      <c r="Q1157">
        <v>-5.1274130000000001E-2</v>
      </c>
      <c r="R1157">
        <v>-0.64672379999999996</v>
      </c>
      <c r="S1157">
        <v>1.430283</v>
      </c>
      <c r="T1157">
        <v>-0.25484859999999998</v>
      </c>
      <c r="U1157">
        <v>-2.95105</v>
      </c>
      <c r="V1157">
        <v>0.1869178</v>
      </c>
      <c r="W1157">
        <v>-4.037549E-2</v>
      </c>
      <c r="X1157">
        <v>0.98154549999999996</v>
      </c>
      <c r="Y1157">
        <v>0.56781459999999995</v>
      </c>
      <c r="Z1157">
        <v>1.720435E-2</v>
      </c>
      <c r="AA1157">
        <v>0.82297670000000001</v>
      </c>
      <c r="AB1157">
        <v>31</v>
      </c>
      <c r="AC1157">
        <v>6.0116999999999896</v>
      </c>
      <c r="AD1157">
        <v>-1.1007677342360001</v>
      </c>
      <c r="AE1157">
        <v>-12.6472999999999</v>
      </c>
      <c r="AF1157">
        <v>7.9932448541626897</v>
      </c>
      <c r="AG1157">
        <v>-1.1007677342360001</v>
      </c>
      <c r="AH1157">
        <v>11.393053563491</v>
      </c>
      <c r="AI1157">
        <v>94.522280443695195</v>
      </c>
      <c r="AJ1157">
        <v>54.946909925541704</v>
      </c>
      <c r="AK1157">
        <v>13.9608496304454</v>
      </c>
      <c r="AL1157">
        <v>92.313974147818897</v>
      </c>
      <c r="AM1157">
        <v>79.218138261569607</v>
      </c>
      <c r="AN1157">
        <v>1.0000000063599099</v>
      </c>
    </row>
    <row r="1158" spans="1:40" x14ac:dyDescent="0.25">
      <c r="A1158" t="str">
        <f>"20190312151519629"</f>
        <v>20190312151519629</v>
      </c>
      <c r="B1158" t="str">
        <f>"1552374919619045"</f>
        <v>1552374919619045</v>
      </c>
      <c r="C1158" t="s">
        <v>40</v>
      </c>
      <c r="D1158">
        <v>4.792618</v>
      </c>
      <c r="E1158">
        <v>0.66799929999999996</v>
      </c>
      <c r="F1158" t="s">
        <v>45</v>
      </c>
      <c r="G1158">
        <v>-196.38149999999999</v>
      </c>
      <c r="H1158" s="1">
        <v>-2.8379310000000002E-6</v>
      </c>
      <c r="I1158">
        <v>351.5496</v>
      </c>
      <c r="J1158">
        <v>-202.17859999999999</v>
      </c>
      <c r="K1158">
        <v>1.1007</v>
      </c>
      <c r="L1158">
        <v>363.95080000000002</v>
      </c>
      <c r="M1158">
        <v>0.86721459999999995</v>
      </c>
      <c r="N1158">
        <v>0</v>
      </c>
      <c r="O1158">
        <v>-0.49770180000000003</v>
      </c>
      <c r="P1158">
        <v>0.75699659999999902</v>
      </c>
      <c r="Q1158">
        <v>-5.142704E-2</v>
      </c>
      <c r="R1158">
        <v>-0.65139209999999903</v>
      </c>
      <c r="S1158">
        <v>1.407791</v>
      </c>
      <c r="T1158">
        <v>-0.26110149999999999</v>
      </c>
      <c r="U1158">
        <v>-2.9615480000000001</v>
      </c>
      <c r="V1158">
        <v>0.18732499999999999</v>
      </c>
      <c r="W1158">
        <v>-4.0556109999999999E-2</v>
      </c>
      <c r="X1158">
        <v>0.98146040000000001</v>
      </c>
      <c r="Y1158">
        <v>0.56931799999999999</v>
      </c>
      <c r="Z1158">
        <v>1.8022969999999999E-2</v>
      </c>
      <c r="AA1158">
        <v>0.82191979999999998</v>
      </c>
      <c r="AB1158">
        <v>31</v>
      </c>
      <c r="AC1158">
        <v>5.7971000000000004</v>
      </c>
      <c r="AD1158">
        <v>-1.100702837931</v>
      </c>
      <c r="AE1158">
        <v>-12.401199999999999</v>
      </c>
      <c r="AF1158">
        <v>7.8196314257475601</v>
      </c>
      <c r="AG1158">
        <v>-1.100702837931</v>
      </c>
      <c r="AH1158">
        <v>11.128777935960899</v>
      </c>
      <c r="AI1158">
        <v>94.626640636058198</v>
      </c>
      <c r="AJ1158">
        <v>54.9062198598591</v>
      </c>
      <c r="AK1158">
        <v>13.6458008456777</v>
      </c>
      <c r="AL1158">
        <v>92.324331443984207</v>
      </c>
      <c r="AM1158">
        <v>79.194287535922101</v>
      </c>
      <c r="AN1158">
        <v>0.99999998522574596</v>
      </c>
    </row>
    <row r="1159" spans="1:40" x14ac:dyDescent="0.25">
      <c r="A1159" t="str">
        <f>"20190312151519640"</f>
        <v>20190312151519640</v>
      </c>
      <c r="B1159" t="str">
        <f>"1552374919638563"</f>
        <v>1552374919638563</v>
      </c>
      <c r="C1159" t="s">
        <v>40</v>
      </c>
      <c r="D1159">
        <v>4.7735810000000001</v>
      </c>
      <c r="E1159">
        <v>0.66750140000000002</v>
      </c>
      <c r="F1159" t="s">
        <v>45</v>
      </c>
      <c r="G1159">
        <v>-196.41800000000001</v>
      </c>
      <c r="H1159" s="1">
        <v>-2.8970930000000002E-6</v>
      </c>
      <c r="I1159">
        <v>351.65109999999999</v>
      </c>
      <c r="J1159">
        <v>-202.0402</v>
      </c>
      <c r="K1159">
        <v>1.1006339999999999</v>
      </c>
      <c r="L1159">
        <v>363.86489999999998</v>
      </c>
      <c r="M1159">
        <v>0.86429880000000003</v>
      </c>
      <c r="N1159">
        <v>0</v>
      </c>
      <c r="O1159">
        <v>-0.50274790000000003</v>
      </c>
      <c r="P1159">
        <v>0.75292159999999997</v>
      </c>
      <c r="Q1159">
        <v>-5.1531349999999997E-2</v>
      </c>
      <c r="R1159">
        <v>-0.65609010000000001</v>
      </c>
      <c r="S1159">
        <v>1.3904110000000001</v>
      </c>
      <c r="T1159">
        <v>-0.26566790000000001</v>
      </c>
      <c r="U1159">
        <v>-2.9686889999999999</v>
      </c>
      <c r="V1159">
        <v>0.1877064</v>
      </c>
      <c r="W1159">
        <v>-4.0686710000000001E-2</v>
      </c>
      <c r="X1159">
        <v>0.98138210000000003</v>
      </c>
      <c r="Y1159">
        <v>0.5692313</v>
      </c>
      <c r="Z1159">
        <v>1.8828029999999999E-2</v>
      </c>
      <c r="AA1159">
        <v>0.82196179999999996</v>
      </c>
      <c r="AB1159">
        <v>31</v>
      </c>
      <c r="AC1159">
        <v>5.6221999999999897</v>
      </c>
      <c r="AD1159">
        <v>-1.1006368970930001</v>
      </c>
      <c r="AE1159">
        <v>-12.2137999999999</v>
      </c>
      <c r="AF1159">
        <v>7.6792639644879097</v>
      </c>
      <c r="AG1159">
        <v>-1.1006368970930001</v>
      </c>
      <c r="AH1159">
        <v>10.927775675432599</v>
      </c>
      <c r="AI1159">
        <v>94.710906082851807</v>
      </c>
      <c r="AJ1159">
        <v>54.903177754998502</v>
      </c>
      <c r="AK1159">
        <v>13.401446855772701</v>
      </c>
      <c r="AL1159">
        <v>92.331820504747597</v>
      </c>
      <c r="AM1159">
        <v>79.171962835936</v>
      </c>
      <c r="AN1159">
        <v>0.99999996358599597</v>
      </c>
    </row>
    <row r="1160" spans="1:40" x14ac:dyDescent="0.25">
      <c r="A1160" t="str">
        <f>"20190312151519650"</f>
        <v>20190312151519650</v>
      </c>
      <c r="B1160" t="str">
        <f>"1552374919638563"</f>
        <v>1552374919638563</v>
      </c>
      <c r="C1160" t="s">
        <v>40</v>
      </c>
      <c r="D1160">
        <v>4.7735810000000001</v>
      </c>
      <c r="E1160">
        <v>0.66750140000000002</v>
      </c>
      <c r="F1160" t="s">
        <v>45</v>
      </c>
      <c r="G1160">
        <v>-196.51759999999999</v>
      </c>
      <c r="H1160" s="1">
        <v>-3.050476E-6</v>
      </c>
      <c r="I1160">
        <v>351.91199999999998</v>
      </c>
      <c r="J1160">
        <v>-201.92339999999999</v>
      </c>
      <c r="K1160">
        <v>1.100579</v>
      </c>
      <c r="L1160">
        <v>363.79199999999997</v>
      </c>
      <c r="M1160">
        <v>0.86179899999999998</v>
      </c>
      <c r="N1160">
        <v>0</v>
      </c>
      <c r="O1160">
        <v>-0.50702049999999999</v>
      </c>
      <c r="P1160">
        <v>0.749386199999999</v>
      </c>
      <c r="Q1160">
        <v>-5.1451110000000001E-2</v>
      </c>
      <c r="R1160">
        <v>-0.66013089999999996</v>
      </c>
      <c r="S1160">
        <v>1.3741300000000001</v>
      </c>
      <c r="T1160">
        <v>-0.27385959999999998</v>
      </c>
      <c r="U1160">
        <v>-2.9741209999999998</v>
      </c>
      <c r="V1160">
        <v>0.18812119999999999</v>
      </c>
      <c r="W1160">
        <v>-4.0630909999999999E-2</v>
      </c>
      <c r="X1160">
        <v>0.98130499999999998</v>
      </c>
      <c r="Y1160">
        <v>0.56942859999999995</v>
      </c>
      <c r="Z1160">
        <v>1.9829599999999999E-2</v>
      </c>
      <c r="AA1160">
        <v>0.82180159999999902</v>
      </c>
      <c r="AB1160">
        <v>31</v>
      </c>
      <c r="AC1160">
        <v>5.4057999999999904</v>
      </c>
      <c r="AD1160">
        <v>-1.100582050476</v>
      </c>
      <c r="AE1160">
        <v>-11.8799999999999</v>
      </c>
      <c r="AF1160">
        <v>7.4452555473434598</v>
      </c>
      <c r="AG1160">
        <v>-1.100582050476</v>
      </c>
      <c r="AH1160">
        <v>10.607934601191999</v>
      </c>
      <c r="AI1160">
        <v>94.854016321340794</v>
      </c>
      <c r="AJ1160">
        <v>54.936625196139403</v>
      </c>
      <c r="AK1160">
        <v>13.0065901572336</v>
      </c>
      <c r="AL1160">
        <v>92.3286207162583</v>
      </c>
      <c r="AM1160">
        <v>79.147769834612504</v>
      </c>
      <c r="AN1160">
        <v>0.99999997988093303</v>
      </c>
    </row>
    <row r="1161" spans="1:40" x14ac:dyDescent="0.25">
      <c r="A1161" t="str">
        <f>"20190312151519661"</f>
        <v>20190312151519661</v>
      </c>
      <c r="B1161" t="str">
        <f>"1552374919659059"</f>
        <v>1552374919659059</v>
      </c>
      <c r="C1161" t="s">
        <v>40</v>
      </c>
      <c r="D1161">
        <v>4.8048349999999997</v>
      </c>
      <c r="E1161">
        <v>0.66697890000000004</v>
      </c>
      <c r="F1161" t="s">
        <v>45</v>
      </c>
      <c r="G1161">
        <v>-196.45820000000001</v>
      </c>
      <c r="H1161" s="1">
        <v>-2.978495E-6</v>
      </c>
      <c r="I1161">
        <v>351.79509999999999</v>
      </c>
      <c r="J1161">
        <v>-201.7945</v>
      </c>
      <c r="K1161">
        <v>1.1005199999999999</v>
      </c>
      <c r="L1161">
        <v>363.70979999999997</v>
      </c>
      <c r="M1161">
        <v>0.85896649999999997</v>
      </c>
      <c r="N1161">
        <v>0</v>
      </c>
      <c r="O1161">
        <v>-0.5118045</v>
      </c>
      <c r="P1161">
        <v>0.74542089999999905</v>
      </c>
      <c r="Q1161">
        <v>-5.1554349999999999E-2</v>
      </c>
      <c r="R1161">
        <v>-0.66459789999999996</v>
      </c>
      <c r="S1161">
        <v>1.3582000000000001</v>
      </c>
      <c r="T1161">
        <v>-0.2735108</v>
      </c>
      <c r="U1161">
        <v>-2.9813839999999998</v>
      </c>
      <c r="V1161">
        <v>0.18852450000000001</v>
      </c>
      <c r="W1161">
        <v>-4.0759509999999999E-2</v>
      </c>
      <c r="X1161">
        <v>0.98122229999999999</v>
      </c>
      <c r="Y1161">
        <v>0.5692623</v>
      </c>
      <c r="Z1161">
        <v>2.0284730000000001E-2</v>
      </c>
      <c r="AA1161">
        <v>0.82190569999999896</v>
      </c>
      <c r="AB1161">
        <v>31</v>
      </c>
      <c r="AC1161">
        <v>5.3362999999999898</v>
      </c>
      <c r="AD1161">
        <v>-1.1005229784949999</v>
      </c>
      <c r="AE1161">
        <v>-11.9146999999999</v>
      </c>
      <c r="AF1161">
        <v>7.4511100140669297</v>
      </c>
      <c r="AG1161">
        <v>-1.1005229784949999</v>
      </c>
      <c r="AH1161">
        <v>10.607563772173</v>
      </c>
      <c r="AI1161">
        <v>94.852616476506498</v>
      </c>
      <c r="AJ1161">
        <v>54.9145032936175</v>
      </c>
      <c r="AK1161">
        <v>13.0096349083531</v>
      </c>
      <c r="AL1161">
        <v>92.335994984203197</v>
      </c>
      <c r="AM1161">
        <v>79.124163958582798</v>
      </c>
      <c r="AN1161">
        <v>1.0000000133864899</v>
      </c>
    </row>
    <row r="1162" spans="1:40" x14ac:dyDescent="0.25">
      <c r="A1162" t="str">
        <f>"20190312151519672"</f>
        <v>20190312151519672</v>
      </c>
      <c r="B1162" t="str">
        <f>"1552374919668819"</f>
        <v>1552374919668819</v>
      </c>
      <c r="C1162" t="s">
        <v>40</v>
      </c>
      <c r="D1162">
        <v>4.8475270000000004</v>
      </c>
      <c r="E1162">
        <v>0.6667708</v>
      </c>
      <c r="F1162" t="s">
        <v>45</v>
      </c>
      <c r="G1162">
        <v>-196.5224</v>
      </c>
      <c r="H1162" s="1">
        <v>-3.0878470000000001E-6</v>
      </c>
      <c r="I1162">
        <v>351.98410000000001</v>
      </c>
      <c r="J1162">
        <v>-201.67240000000001</v>
      </c>
      <c r="K1162">
        <v>1.1004700000000001</v>
      </c>
      <c r="L1162">
        <v>363.63170000000002</v>
      </c>
      <c r="M1162">
        <v>0.85624859999999903</v>
      </c>
      <c r="N1162">
        <v>0</v>
      </c>
      <c r="O1162">
        <v>-0.51633839999999998</v>
      </c>
      <c r="P1162">
        <v>0.74152580000000001</v>
      </c>
      <c r="Q1162">
        <v>-5.156616E-2</v>
      </c>
      <c r="R1162">
        <v>-0.66893999999999998</v>
      </c>
      <c r="S1162">
        <v>1.3426819999999999</v>
      </c>
      <c r="T1162">
        <v>-0.28028059999999899</v>
      </c>
      <c r="U1162">
        <v>-2.9862980000000001</v>
      </c>
      <c r="V1162">
        <v>0.18906210000000001</v>
      </c>
      <c r="W1162">
        <v>-4.0799759999999997E-2</v>
      </c>
      <c r="X1162">
        <v>0.98111720000000002</v>
      </c>
      <c r="Y1162">
        <v>0.56896849999999999</v>
      </c>
      <c r="Z1162">
        <v>2.1270689999999998E-2</v>
      </c>
      <c r="AA1162">
        <v>0.82208419999999904</v>
      </c>
      <c r="AB1162">
        <v>30</v>
      </c>
      <c r="AC1162">
        <v>5.15</v>
      </c>
      <c r="AD1162">
        <v>-1.1004730878469999</v>
      </c>
      <c r="AE1162">
        <v>-11.647600000000001</v>
      </c>
      <c r="AF1162">
        <v>7.2607358438761498</v>
      </c>
      <c r="AG1162">
        <v>-1.1004730878469999</v>
      </c>
      <c r="AH1162">
        <v>10.347733042629899</v>
      </c>
      <c r="AI1162">
        <v>94.9754052072972</v>
      </c>
      <c r="AJ1162">
        <v>54.943656922225003</v>
      </c>
      <c r="AK1162">
        <v>12.6887708283016</v>
      </c>
      <c r="AL1162">
        <v>92.338303022462995</v>
      </c>
      <c r="AM1162">
        <v>79.092752651338401</v>
      </c>
      <c r="AN1162">
        <v>1.00000002910415</v>
      </c>
    </row>
    <row r="1163" spans="1:40" x14ac:dyDescent="0.25">
      <c r="A1163" t="str">
        <f>"20190312151519684"</f>
        <v>20190312151519684</v>
      </c>
      <c r="B1163" t="str">
        <f>"1552374919678579"</f>
        <v>1552374919678579</v>
      </c>
      <c r="C1163" t="s">
        <v>40</v>
      </c>
      <c r="D1163">
        <v>4.8500750000000004</v>
      </c>
      <c r="E1163">
        <v>0.66663119999999998</v>
      </c>
      <c r="F1163" t="s">
        <v>45</v>
      </c>
      <c r="G1163">
        <v>-196.5258</v>
      </c>
      <c r="H1163" s="1">
        <v>-3.1051679999999999E-6</v>
      </c>
      <c r="I1163">
        <v>352.01710000000003</v>
      </c>
      <c r="J1163">
        <v>-201.53229999999999</v>
      </c>
      <c r="K1163">
        <v>1.1004069999999999</v>
      </c>
      <c r="L1163">
        <v>363.5401</v>
      </c>
      <c r="M1163">
        <v>0.85303779999999996</v>
      </c>
      <c r="N1163">
        <v>0</v>
      </c>
      <c r="O1163">
        <v>-0.52162520000000001</v>
      </c>
      <c r="P1163">
        <v>0.73696740000000005</v>
      </c>
      <c r="Q1163">
        <v>-5.179247E-2</v>
      </c>
      <c r="R1163">
        <v>-0.67394100000000001</v>
      </c>
      <c r="S1163">
        <v>1.326141</v>
      </c>
      <c r="T1163">
        <v>-0.28356559999999997</v>
      </c>
      <c r="U1163">
        <v>-2.9928279999999998</v>
      </c>
      <c r="V1163">
        <v>0.18962660000000001</v>
      </c>
      <c r="W1163">
        <v>-4.1057490000000002E-2</v>
      </c>
      <c r="X1163">
        <v>0.98099740000000002</v>
      </c>
      <c r="Y1163">
        <v>0.56835029999999997</v>
      </c>
      <c r="Z1163">
        <v>2.209767E-2</v>
      </c>
      <c r="AA1163">
        <v>0.82248999999999906</v>
      </c>
      <c r="AB1163">
        <v>30</v>
      </c>
      <c r="AC1163">
        <v>5.0064999999999804</v>
      </c>
      <c r="AD1163">
        <v>-1.100410105168</v>
      </c>
      <c r="AE1163">
        <v>-11.5229999999999</v>
      </c>
      <c r="AF1163">
        <v>7.1639235077676604</v>
      </c>
      <c r="AG1163">
        <v>-1.100410105168</v>
      </c>
      <c r="AH1163">
        <v>10.2043398777987</v>
      </c>
      <c r="AI1163">
        <v>95.043795493403707</v>
      </c>
      <c r="AJ1163">
        <v>54.929351191826399</v>
      </c>
      <c r="AK1163">
        <v>12.516439380524099</v>
      </c>
      <c r="AL1163">
        <v>92.353082476195397</v>
      </c>
      <c r="AM1163">
        <v>79.059666762694107</v>
      </c>
      <c r="AN1163">
        <v>0.99999993185970704</v>
      </c>
    </row>
    <row r="1164" spans="1:40" x14ac:dyDescent="0.25">
      <c r="A1164" t="str">
        <f>"20190312151519695"</f>
        <v>20190312151519695</v>
      </c>
      <c r="B1164" t="str">
        <f>"1552374919688947"</f>
        <v>1552374919688947</v>
      </c>
      <c r="C1164" t="s">
        <v>40</v>
      </c>
      <c r="D1164">
        <v>4.8004049999999996</v>
      </c>
      <c r="E1164">
        <v>0.66629899999999997</v>
      </c>
      <c r="F1164" t="s">
        <v>45</v>
      </c>
      <c r="G1164">
        <v>-196.53380000000001</v>
      </c>
      <c r="H1164" s="1">
        <v>-3.1287740000000001E-6</v>
      </c>
      <c r="I1164">
        <v>352.06040000000002</v>
      </c>
      <c r="J1164">
        <v>-201.40819999999999</v>
      </c>
      <c r="K1164">
        <v>1.1003480000000001</v>
      </c>
      <c r="L1164">
        <v>363.45839999999998</v>
      </c>
      <c r="M1164">
        <v>0.85014889999999999</v>
      </c>
      <c r="N1164">
        <v>0</v>
      </c>
      <c r="O1164">
        <v>-0.52632040000000002</v>
      </c>
      <c r="P1164">
        <v>0.73279850000000002</v>
      </c>
      <c r="Q1164">
        <v>-5.1907729999999999E-2</v>
      </c>
      <c r="R1164">
        <v>-0.6784635</v>
      </c>
      <c r="S1164">
        <v>1.306519</v>
      </c>
      <c r="T1164">
        <v>-0.28762979999999999</v>
      </c>
      <c r="U1164">
        <v>-3.00061</v>
      </c>
      <c r="V1164">
        <v>0.1902499</v>
      </c>
      <c r="W1164">
        <v>-4.1204270000000001E-2</v>
      </c>
      <c r="X1164">
        <v>0.98087060000000004</v>
      </c>
      <c r="Y1164">
        <v>0.56911579999999995</v>
      </c>
      <c r="Z1164">
        <v>2.287049E-2</v>
      </c>
      <c r="AA1164">
        <v>0.82193919999999998</v>
      </c>
      <c r="AB1164">
        <v>30</v>
      </c>
      <c r="AC1164">
        <v>4.8743999999999801</v>
      </c>
      <c r="AD1164">
        <v>-1.100351128774</v>
      </c>
      <c r="AE1164">
        <v>-11.3979999999999</v>
      </c>
      <c r="AF1164">
        <v>7.0696331606905396</v>
      </c>
      <c r="AG1164">
        <v>-1.100351128774</v>
      </c>
      <c r="AH1164">
        <v>10.064851803446601</v>
      </c>
      <c r="AI1164">
        <v>95.112192218307896</v>
      </c>
      <c r="AJ1164">
        <v>54.915485580568998</v>
      </c>
      <c r="AK1164">
        <v>12.348754085278101</v>
      </c>
      <c r="AL1164">
        <v>92.361499371791396</v>
      </c>
      <c r="AM1164">
        <v>79.023193566221295</v>
      </c>
      <c r="AN1164">
        <v>0.99999997513030103</v>
      </c>
    </row>
    <row r="1165" spans="1:40" x14ac:dyDescent="0.25">
      <c r="A1165" t="str">
        <f>"20190312151519706"</f>
        <v>20190312151519706</v>
      </c>
      <c r="B1165" t="str">
        <f>"1552374919698708"</f>
        <v>1552374919698708</v>
      </c>
      <c r="C1165" t="s">
        <v>40</v>
      </c>
      <c r="D1165">
        <v>4.8658020000000004</v>
      </c>
      <c r="E1165">
        <v>0.66604209999999997</v>
      </c>
      <c r="F1165" t="s">
        <v>45</v>
      </c>
      <c r="G1165">
        <v>-196.50829999999999</v>
      </c>
      <c r="H1165" s="1">
        <v>-3.1105410000000002E-6</v>
      </c>
      <c r="I1165">
        <v>352.03550000000001</v>
      </c>
      <c r="J1165">
        <v>-201.27600000000001</v>
      </c>
      <c r="K1165">
        <v>1.1002809999999901</v>
      </c>
      <c r="L1165">
        <v>363.36989999999997</v>
      </c>
      <c r="M1165">
        <v>0.84699230000000003</v>
      </c>
      <c r="N1165">
        <v>0</v>
      </c>
      <c r="O1165">
        <v>-0.53138459999999998</v>
      </c>
      <c r="P1165">
        <v>0.72839759999999998</v>
      </c>
      <c r="Q1165">
        <v>-5.2048369999999997E-2</v>
      </c>
      <c r="R1165">
        <v>-0.68317490000000003</v>
      </c>
      <c r="S1165">
        <v>1.2896879999999999</v>
      </c>
      <c r="T1165">
        <v>-0.28962159999999998</v>
      </c>
      <c r="U1165">
        <v>-3.0066220000000001</v>
      </c>
      <c r="V1165">
        <v>0.1907171</v>
      </c>
      <c r="W1165">
        <v>-4.1373390000000003E-2</v>
      </c>
      <c r="X1165">
        <v>0.9807728</v>
      </c>
      <c r="Y1165">
        <v>0.56869820000000004</v>
      </c>
      <c r="Z1165">
        <v>2.3591060000000001E-2</v>
      </c>
      <c r="AA1165">
        <v>0.82220789999999999</v>
      </c>
      <c r="AB1165">
        <v>30</v>
      </c>
      <c r="AC1165">
        <v>4.7676999999999898</v>
      </c>
      <c r="AD1165">
        <v>-1.1002841105409999</v>
      </c>
      <c r="AE1165">
        <v>-11.334399999999899</v>
      </c>
      <c r="AF1165">
        <v>7.0113571584731904</v>
      </c>
      <c r="AG1165">
        <v>-1.1002841105409999</v>
      </c>
      <c r="AH1165">
        <v>9.9823834596292098</v>
      </c>
      <c r="AI1165">
        <v>95.153971666969696</v>
      </c>
      <c r="AJ1165">
        <v>54.916829157002397</v>
      </c>
      <c r="AK1165">
        <v>12.2481726744303</v>
      </c>
      <c r="AL1165">
        <v>92.371197380257598</v>
      </c>
      <c r="AM1165">
        <v>78.995824315192607</v>
      </c>
      <c r="AN1165">
        <v>1.00000002742617</v>
      </c>
    </row>
    <row r="1166" spans="1:40" x14ac:dyDescent="0.25">
      <c r="A1166" t="str">
        <f>"20190312151519718"</f>
        <v>20190312151519718</v>
      </c>
      <c r="B1166" t="str">
        <f>"1552374919708467"</f>
        <v>1552374919708467</v>
      </c>
      <c r="C1166" t="s">
        <v>40</v>
      </c>
      <c r="D1166">
        <v>4.9081400000000004</v>
      </c>
      <c r="E1166">
        <v>0.6658229</v>
      </c>
      <c r="F1166" t="s">
        <v>45</v>
      </c>
      <c r="G1166">
        <v>-196.51300000000001</v>
      </c>
      <c r="H1166" s="1">
        <v>-3.1333920000000001E-6</v>
      </c>
      <c r="I1166">
        <v>352.0788</v>
      </c>
      <c r="J1166">
        <v>-201.14959999999999</v>
      </c>
      <c r="K1166">
        <v>1.1002209999999999</v>
      </c>
      <c r="L1166">
        <v>363.28429999999997</v>
      </c>
      <c r="M1166">
        <v>0.84391519999999998</v>
      </c>
      <c r="N1166">
        <v>0</v>
      </c>
      <c r="O1166">
        <v>-0.5362576</v>
      </c>
      <c r="P1166">
        <v>0.72404499999999905</v>
      </c>
      <c r="Q1166">
        <v>-5.2083400000000002E-2</v>
      </c>
      <c r="R1166">
        <v>-0.68778339999999905</v>
      </c>
      <c r="S1166">
        <v>1.27121</v>
      </c>
      <c r="T1166">
        <v>-0.29365730000000001</v>
      </c>
      <c r="U1166">
        <v>-3.0135190000000001</v>
      </c>
      <c r="V1166">
        <v>0.19128229999999999</v>
      </c>
      <c r="W1166">
        <v>-4.1438490000000001E-2</v>
      </c>
      <c r="X1166">
        <v>0.98065999999999998</v>
      </c>
      <c r="Y1166">
        <v>0.56891380000000003</v>
      </c>
      <c r="Z1166">
        <v>2.443588E-2</v>
      </c>
      <c r="AA1166">
        <v>0.82203409999999999</v>
      </c>
      <c r="AB1166">
        <v>30</v>
      </c>
      <c r="AC1166">
        <v>4.6365999999999801</v>
      </c>
      <c r="AD1166">
        <v>-1.100224133392</v>
      </c>
      <c r="AE1166">
        <v>-11.205499999999899</v>
      </c>
      <c r="AF1166">
        <v>6.9139881160453101</v>
      </c>
      <c r="AG1166">
        <v>-1.100224133392</v>
      </c>
      <c r="AH1166">
        <v>9.8420850752074696</v>
      </c>
      <c r="AI1166">
        <v>95.226462457807997</v>
      </c>
      <c r="AJ1166">
        <v>54.912257580357299</v>
      </c>
      <c r="AK1166">
        <v>12.0780943629421</v>
      </c>
      <c r="AL1166">
        <v>92.374930480503295</v>
      </c>
      <c r="AM1166">
        <v>78.962774126113601</v>
      </c>
      <c r="AN1166">
        <v>1.00000005117338</v>
      </c>
    </row>
    <row r="1167" spans="1:40" x14ac:dyDescent="0.25">
      <c r="A1167" t="str">
        <f>"20190312151519728"</f>
        <v>20190312151519728</v>
      </c>
      <c r="B1167" t="str">
        <f>"1552374919718228"</f>
        <v>1552374919718228</v>
      </c>
      <c r="C1167" t="s">
        <v>40</v>
      </c>
      <c r="D1167">
        <v>4.8721550000000002</v>
      </c>
      <c r="E1167">
        <v>0.66557739999999999</v>
      </c>
      <c r="F1167" t="s">
        <v>45</v>
      </c>
      <c r="G1167">
        <v>-196.49539999999999</v>
      </c>
      <c r="H1167" s="1">
        <v>-3.1225880000000001E-6</v>
      </c>
      <c r="I1167">
        <v>352.06509999999997</v>
      </c>
      <c r="J1167">
        <v>-201.02420000000001</v>
      </c>
      <c r="K1167">
        <v>1.1001609999999999</v>
      </c>
      <c r="L1167">
        <v>363.19830000000002</v>
      </c>
      <c r="M1167">
        <v>0.84080049999999995</v>
      </c>
      <c r="N1167">
        <v>0</v>
      </c>
      <c r="O1167">
        <v>-0.54112799999999905</v>
      </c>
      <c r="P1167">
        <v>0.71957559999999998</v>
      </c>
      <c r="Q1167">
        <v>-5.1834449999999997E-2</v>
      </c>
      <c r="R1167">
        <v>-0.69247760000000003</v>
      </c>
      <c r="S1167">
        <v>1.2529749999999999</v>
      </c>
      <c r="T1167">
        <v>-0.29619430000000002</v>
      </c>
      <c r="U1167">
        <v>-3.0203549999999999</v>
      </c>
      <c r="V1167">
        <v>0.1919786</v>
      </c>
      <c r="W1167">
        <v>-4.1222269999999998E-2</v>
      </c>
      <c r="X1167">
        <v>0.98053299999999999</v>
      </c>
      <c r="Y1167">
        <v>0.56905749999999999</v>
      </c>
      <c r="Z1167">
        <v>2.517169E-2</v>
      </c>
      <c r="AA1167">
        <v>0.82191239999999999</v>
      </c>
      <c r="AB1167">
        <v>30</v>
      </c>
      <c r="AC1167">
        <v>4.5288000000000102</v>
      </c>
      <c r="AD1167">
        <v>-1.1001641225879999</v>
      </c>
      <c r="AE1167">
        <v>-11.1332</v>
      </c>
      <c r="AF1167">
        <v>6.8535285905477696</v>
      </c>
      <c r="AG1167">
        <v>-1.1001641225879999</v>
      </c>
      <c r="AH1167">
        <v>9.7517527903869006</v>
      </c>
      <c r="AI1167">
        <v>95.273559788127997</v>
      </c>
      <c r="AJ1167">
        <v>54.900464315919898</v>
      </c>
      <c r="AK1167">
        <v>11.969874590943</v>
      </c>
      <c r="AL1167">
        <v>92.3625314874634</v>
      </c>
      <c r="AM1167">
        <v>78.922189439126996</v>
      </c>
      <c r="AN1167">
        <v>1.0000000112454499</v>
      </c>
    </row>
    <row r="1168" spans="1:40" x14ac:dyDescent="0.25">
      <c r="A1168" t="str">
        <f>"20190312151519740"</f>
        <v>20190312151519740</v>
      </c>
      <c r="B1168" t="str">
        <f>"1552374919728965"</f>
        <v>1552374919728965</v>
      </c>
      <c r="C1168" t="s">
        <v>40</v>
      </c>
      <c r="D1168">
        <v>4.8638329999999996</v>
      </c>
      <c r="E1168">
        <v>0.66550710000000002</v>
      </c>
      <c r="F1168" t="s">
        <v>45</v>
      </c>
      <c r="G1168">
        <v>-196.45849999999999</v>
      </c>
      <c r="H1168" s="1">
        <v>-3.0825979999999999E-6</v>
      </c>
      <c r="I1168">
        <v>352.00189999999998</v>
      </c>
      <c r="J1168">
        <v>-200.89879999999999</v>
      </c>
      <c r="K1168">
        <v>1.100104</v>
      </c>
      <c r="L1168">
        <v>363.11099999999999</v>
      </c>
      <c r="M1168">
        <v>0.83761540000000001</v>
      </c>
      <c r="N1168">
        <v>0</v>
      </c>
      <c r="O1168">
        <v>-0.54604490000000006</v>
      </c>
      <c r="P1168">
        <v>0.71525030000000001</v>
      </c>
      <c r="Q1168">
        <v>-5.1912270000000003E-2</v>
      </c>
      <c r="R1168">
        <v>-0.69693819999999995</v>
      </c>
      <c r="S1168">
        <v>1.234451</v>
      </c>
      <c r="T1168">
        <v>-0.29745899999999997</v>
      </c>
      <c r="U1168">
        <v>-3.0272519999999998</v>
      </c>
      <c r="V1168">
        <v>0.19232579999999999</v>
      </c>
      <c r="W1168">
        <v>-4.1323800000000001E-2</v>
      </c>
      <c r="X1168">
        <v>0.98046069999999996</v>
      </c>
      <c r="Y1168">
        <v>0.56921569999999899</v>
      </c>
      <c r="Z1168">
        <v>2.5811850000000001E-2</v>
      </c>
      <c r="AA1168">
        <v>0.82178300000000004</v>
      </c>
      <c r="AB1168">
        <v>30</v>
      </c>
      <c r="AC1168">
        <v>4.4402999999999997</v>
      </c>
      <c r="AD1168">
        <v>-1.1001070825979999</v>
      </c>
      <c r="AE1168">
        <v>-11.1091</v>
      </c>
      <c r="AF1168">
        <v>6.82366195871926</v>
      </c>
      <c r="AG1168">
        <v>-1.1001070825979999</v>
      </c>
      <c r="AH1168">
        <v>9.70442633457988</v>
      </c>
      <c r="AI1168">
        <v>95.297991641429903</v>
      </c>
      <c r="AJ1168">
        <v>54.887051715930099</v>
      </c>
      <c r="AK1168">
        <v>11.914213721574001</v>
      </c>
      <c r="AL1168">
        <v>92.368353651584698</v>
      </c>
      <c r="AM1168">
        <v>78.901853694011194</v>
      </c>
      <c r="AN1168">
        <v>1.0000000270182801</v>
      </c>
    </row>
    <row r="1169" spans="1:40" x14ac:dyDescent="0.25">
      <c r="A1169" t="str">
        <f>"20190312151519752"</f>
        <v>20190312151519752</v>
      </c>
      <c r="B1169" t="str">
        <f>"1552374919748484"</f>
        <v>1552374919748484</v>
      </c>
      <c r="C1169" t="s">
        <v>40</v>
      </c>
      <c r="D1169">
        <v>4.8354049999999997</v>
      </c>
      <c r="E1169">
        <v>0.68700799999999995</v>
      </c>
      <c r="F1169" t="s">
        <v>45</v>
      </c>
      <c r="G1169">
        <v>-196.416</v>
      </c>
      <c r="H1169" s="1">
        <v>-3.0363839999999998E-6</v>
      </c>
      <c r="I1169">
        <v>351.92880000000002</v>
      </c>
      <c r="J1169">
        <v>-200.75749999999999</v>
      </c>
      <c r="K1169">
        <v>1.1000379999999901</v>
      </c>
      <c r="L1169">
        <v>363.01179999999999</v>
      </c>
      <c r="M1169">
        <v>0.83396579999999998</v>
      </c>
      <c r="N1169">
        <v>0</v>
      </c>
      <c r="O1169">
        <v>-0.55160240000000005</v>
      </c>
      <c r="P1169">
        <v>0.71011669999999905</v>
      </c>
      <c r="Q1169">
        <v>-5.1824950000000002E-2</v>
      </c>
      <c r="R1169">
        <v>-0.70217439999999998</v>
      </c>
      <c r="S1169">
        <v>1.216324</v>
      </c>
      <c r="T1169">
        <v>-0.29849059999999999</v>
      </c>
      <c r="U1169">
        <v>-3.0340579999999999</v>
      </c>
      <c r="V1169">
        <v>0.19300129999999999</v>
      </c>
      <c r="W1169">
        <v>-4.1270889999999998E-2</v>
      </c>
      <c r="X1169">
        <v>0.98033020000000004</v>
      </c>
      <c r="Y1169">
        <v>0.56862889999999999</v>
      </c>
      <c r="Z1169">
        <v>2.654403E-2</v>
      </c>
      <c r="AA1169">
        <v>0.82216579999999995</v>
      </c>
      <c r="AB1169">
        <v>30</v>
      </c>
      <c r="AC1169">
        <v>4.3414999999999901</v>
      </c>
      <c r="AD1169">
        <v>-1.1000410363840001</v>
      </c>
      <c r="AE1169">
        <v>-11.082999999999901</v>
      </c>
      <c r="AF1169">
        <v>6.7908685401623003</v>
      </c>
      <c r="AG1169">
        <v>-1.1000410363840001</v>
      </c>
      <c r="AH1169">
        <v>9.6527763698019893</v>
      </c>
      <c r="AI1169">
        <v>95.324949899662599</v>
      </c>
      <c r="AJ1169">
        <v>54.873056260719601</v>
      </c>
      <c r="AK1169">
        <v>11.853357223036101</v>
      </c>
      <c r="AL1169">
        <v>92.365319501972905</v>
      </c>
      <c r="AM1169">
        <v>78.862401306024594</v>
      </c>
      <c r="AN1169">
        <v>1.0000000445975601</v>
      </c>
    </row>
    <row r="1170" spans="1:40" x14ac:dyDescent="0.25">
      <c r="A1170" t="str">
        <f>"20190312151519764"</f>
        <v>20190312151519764</v>
      </c>
      <c r="B1170" t="str">
        <f>"1552374919759220"</f>
        <v>1552374919759220</v>
      </c>
      <c r="C1170" t="s">
        <v>40</v>
      </c>
      <c r="D1170">
        <v>4.8238890000000003</v>
      </c>
      <c r="E1170">
        <v>0.68788309999999997</v>
      </c>
      <c r="F1170" t="s">
        <v>45</v>
      </c>
      <c r="G1170">
        <v>-197.46559999999999</v>
      </c>
      <c r="H1170" s="1">
        <v>-3.9472519999999998E-6</v>
      </c>
      <c r="I1170">
        <v>353.27640000000002</v>
      </c>
      <c r="J1170">
        <v>-200.63390000000001</v>
      </c>
      <c r="K1170">
        <v>1.099979</v>
      </c>
      <c r="L1170">
        <v>362.923</v>
      </c>
      <c r="M1170">
        <v>0.83067549999999901</v>
      </c>
      <c r="N1170">
        <v>0</v>
      </c>
      <c r="O1170">
        <v>-0.5565445</v>
      </c>
      <c r="P1170">
        <v>0.70546500000000001</v>
      </c>
      <c r="Q1170">
        <v>-5.2060380000000003E-2</v>
      </c>
      <c r="R1170">
        <v>-0.70683079999999998</v>
      </c>
      <c r="S1170">
        <v>1.069885</v>
      </c>
      <c r="T1170">
        <v>-0.35751909999999998</v>
      </c>
      <c r="U1170">
        <v>-3.1640630000000001</v>
      </c>
      <c r="V1170">
        <v>0.1936271</v>
      </c>
      <c r="W1170">
        <v>-4.1537289999999998E-2</v>
      </c>
      <c r="X1170">
        <v>0.9801955</v>
      </c>
      <c r="Y1170">
        <v>0.60817710000000003</v>
      </c>
      <c r="Z1170">
        <v>2.9325009999999999E-2</v>
      </c>
      <c r="AA1170">
        <v>0.79325959999999995</v>
      </c>
      <c r="AB1170">
        <v>30</v>
      </c>
      <c r="AC1170">
        <v>3.1683000000000101</v>
      </c>
      <c r="AD1170">
        <v>-1.099982947252</v>
      </c>
      <c r="AE1170">
        <v>-9.6465999999999692</v>
      </c>
      <c r="AF1170">
        <v>6.17812448300044</v>
      </c>
      <c r="AG1170">
        <v>-1.099982947252</v>
      </c>
      <c r="AH1170">
        <v>7.9087176008425999</v>
      </c>
      <c r="AI1170">
        <v>96.254995099760194</v>
      </c>
      <c r="AJ1170">
        <v>52.003792108208401</v>
      </c>
      <c r="AK1170">
        <v>10.0958901886645</v>
      </c>
      <c r="AL1170">
        <v>92.380596281179194</v>
      </c>
      <c r="AM1170">
        <v>78.825698426607602</v>
      </c>
      <c r="AN1170">
        <v>1.0000000092676</v>
      </c>
    </row>
    <row r="1171" spans="1:40" x14ac:dyDescent="0.25">
      <c r="A1171" t="str">
        <f>"20190312151519774"</f>
        <v>20190312151519774</v>
      </c>
      <c r="B1171" t="str">
        <f>"1552374919768979"</f>
        <v>1552374919768979</v>
      </c>
      <c r="C1171" t="s">
        <v>40</v>
      </c>
      <c r="D1171">
        <v>4.8024469999999999</v>
      </c>
      <c r="E1171">
        <v>0.68763940000000001</v>
      </c>
      <c r="F1171" t="s">
        <v>45</v>
      </c>
      <c r="G1171">
        <v>-197.46029999999999</v>
      </c>
      <c r="H1171" s="1">
        <v>-3.9413639999999999E-6</v>
      </c>
      <c r="I1171">
        <v>353.267</v>
      </c>
      <c r="J1171">
        <v>-200.51400000000001</v>
      </c>
      <c r="K1171">
        <v>1.0999239999999999</v>
      </c>
      <c r="L1171">
        <v>362.8365</v>
      </c>
      <c r="M1171">
        <v>0.82744409999999902</v>
      </c>
      <c r="N1171">
        <v>0</v>
      </c>
      <c r="O1171">
        <v>-0.56133690000000003</v>
      </c>
      <c r="P1171">
        <v>0.70094279999999998</v>
      </c>
      <c r="Q1171">
        <v>-5.2441260000000003E-2</v>
      </c>
      <c r="R1171">
        <v>-0.7112868</v>
      </c>
      <c r="S1171">
        <v>1.043793</v>
      </c>
      <c r="T1171">
        <v>-0.36178470000000001</v>
      </c>
      <c r="U1171">
        <v>-3.1758730000000002</v>
      </c>
      <c r="V1171">
        <v>0.1941735</v>
      </c>
      <c r="W1171">
        <v>-4.194751E-2</v>
      </c>
      <c r="X1171">
        <v>0.98006990000000005</v>
      </c>
      <c r="Y1171">
        <v>0.61034519999999903</v>
      </c>
      <c r="Z1171">
        <v>3.014462E-2</v>
      </c>
      <c r="AA1171">
        <v>0.79156179999999998</v>
      </c>
      <c r="AB1171">
        <v>30</v>
      </c>
      <c r="AC1171">
        <v>3.0537000000000201</v>
      </c>
      <c r="AD1171">
        <v>-1.099927941364</v>
      </c>
      <c r="AE1171">
        <v>-9.5694999999999997</v>
      </c>
      <c r="AF1171">
        <v>6.1312906494005501</v>
      </c>
      <c r="AG1171">
        <v>-1.099927941364</v>
      </c>
      <c r="AH1171">
        <v>7.8058209123256503</v>
      </c>
      <c r="AI1171">
        <v>96.323368992629</v>
      </c>
      <c r="AJ1171">
        <v>51.851190143169198</v>
      </c>
      <c r="AK1171">
        <v>9.98666143508032</v>
      </c>
      <c r="AL1171">
        <v>92.404120741231594</v>
      </c>
      <c r="AM1171">
        <v>78.793562614320606</v>
      </c>
      <c r="AN1171">
        <v>0.99999997529172902</v>
      </c>
    </row>
    <row r="1172" spans="1:40" x14ac:dyDescent="0.25">
      <c r="A1172" t="str">
        <f>"20190312151519785"</f>
        <v>20190312151519785</v>
      </c>
      <c r="B1172" t="str">
        <f>"1552374919778739"</f>
        <v>1552374919778739</v>
      </c>
      <c r="C1172" t="s">
        <v>40</v>
      </c>
      <c r="D1172">
        <v>4.8219000000000003</v>
      </c>
      <c r="E1172">
        <v>0.68756379999999995</v>
      </c>
      <c r="F1172" t="s">
        <v>45</v>
      </c>
      <c r="G1172">
        <v>-197.38239999999999</v>
      </c>
      <c r="H1172" s="1">
        <v>-3.8515000000000003E-6</v>
      </c>
      <c r="I1172">
        <v>353.12270000000001</v>
      </c>
      <c r="J1172">
        <v>-200.39570000000001</v>
      </c>
      <c r="K1172">
        <v>1.099864</v>
      </c>
      <c r="L1172">
        <v>362.74950000000001</v>
      </c>
      <c r="M1172">
        <v>0.82416789999999995</v>
      </c>
      <c r="N1172">
        <v>0</v>
      </c>
      <c r="O1172">
        <v>-0.56613619999999898</v>
      </c>
      <c r="P1172">
        <v>0.69650269999999903</v>
      </c>
      <c r="Q1172">
        <v>-5.2836609999999999E-2</v>
      </c>
      <c r="R1172">
        <v>-0.71560669999999904</v>
      </c>
      <c r="S1172">
        <v>1.025406</v>
      </c>
      <c r="T1172">
        <v>-0.3601509</v>
      </c>
      <c r="U1172">
        <v>-3.1806030000000001</v>
      </c>
      <c r="V1172">
        <v>0.19453799999999999</v>
      </c>
      <c r="W1172">
        <v>-4.2366859999999999E-2</v>
      </c>
      <c r="X1172">
        <v>0.97997959999999995</v>
      </c>
      <c r="Y1172">
        <v>0.61025059999999998</v>
      </c>
      <c r="Z1172">
        <v>3.0660469999999999E-2</v>
      </c>
      <c r="AA1172">
        <v>0.79161490000000001</v>
      </c>
      <c r="AB1172">
        <v>30</v>
      </c>
      <c r="AC1172">
        <v>3.0133000000000099</v>
      </c>
      <c r="AD1172">
        <v>-1.0998678515</v>
      </c>
      <c r="AE1172">
        <v>-9.6267999999999994</v>
      </c>
      <c r="AF1172">
        <v>6.1557179668166802</v>
      </c>
      <c r="AG1172">
        <v>-1.0998678515</v>
      </c>
      <c r="AH1172">
        <v>7.8412654326902897</v>
      </c>
      <c r="AI1172">
        <v>96.295995087911294</v>
      </c>
      <c r="AJ1172">
        <v>51.8666188270563</v>
      </c>
      <c r="AK1172">
        <v>10.0293577343545</v>
      </c>
      <c r="AL1172">
        <v>92.428169045496801</v>
      </c>
      <c r="AM1172">
        <v>78.772051680710405</v>
      </c>
      <c r="AN1172">
        <v>1.0000000003431999</v>
      </c>
    </row>
    <row r="1173" spans="1:40" x14ac:dyDescent="0.25">
      <c r="A1173" t="str">
        <f>"20190312151519799"</f>
        <v>20190312151519799</v>
      </c>
      <c r="B1173" t="str">
        <f>"1552374919788499"</f>
        <v>1552374919788499</v>
      </c>
      <c r="C1173" t="s">
        <v>40</v>
      </c>
      <c r="D1173">
        <v>4.8468679999999997</v>
      </c>
      <c r="E1173">
        <v>0.6869963</v>
      </c>
      <c r="F1173" t="s">
        <v>45</v>
      </c>
      <c r="G1173">
        <v>-197.27549999999999</v>
      </c>
      <c r="H1173" s="1">
        <v>-3.6988000000000001E-6</v>
      </c>
      <c r="I1173">
        <v>352.8664</v>
      </c>
      <c r="J1173">
        <v>-200.25210000000001</v>
      </c>
      <c r="K1173">
        <v>1.0997939999999999</v>
      </c>
      <c r="L1173">
        <v>362.64269999999999</v>
      </c>
      <c r="M1173">
        <v>0.82011749999999894</v>
      </c>
      <c r="N1173">
        <v>0</v>
      </c>
      <c r="O1173">
        <v>-0.57198769999999999</v>
      </c>
      <c r="P1173">
        <v>0.69093890000000002</v>
      </c>
      <c r="Q1173">
        <v>-5.327374E-2</v>
      </c>
      <c r="R1173">
        <v>-0.72094780000000003</v>
      </c>
      <c r="S1173">
        <v>1.006119</v>
      </c>
      <c r="T1173">
        <v>-0.3546532</v>
      </c>
      <c r="U1173">
        <v>-3.186798</v>
      </c>
      <c r="V1173">
        <v>0.19510959999999999</v>
      </c>
      <c r="W1173">
        <v>-4.2836609999999997E-2</v>
      </c>
      <c r="X1173">
        <v>0.97984550000000004</v>
      </c>
      <c r="Y1173">
        <v>0.60944929999999997</v>
      </c>
      <c r="Z1173">
        <v>3.100812E-2</v>
      </c>
      <c r="AA1173">
        <v>0.79221839999999999</v>
      </c>
      <c r="AB1173">
        <v>30</v>
      </c>
      <c r="AC1173">
        <v>2.9766000000000101</v>
      </c>
      <c r="AD1173">
        <v>-1.0997976988</v>
      </c>
      <c r="AE1173">
        <v>-9.7762999999999902</v>
      </c>
      <c r="AF1173">
        <v>6.24357414926207</v>
      </c>
      <c r="AG1173">
        <v>-1.0997976988</v>
      </c>
      <c r="AH1173">
        <v>7.9420556373886404</v>
      </c>
      <c r="AI1173">
        <v>96.213037510905195</v>
      </c>
      <c r="AJ1173">
        <v>51.827666152644497</v>
      </c>
      <c r="AK1173">
        <v>10.162087427443</v>
      </c>
      <c r="AL1173">
        <v>92.455108275937405</v>
      </c>
      <c r="AM1173">
        <v>78.738401303116206</v>
      </c>
      <c r="AN1173">
        <v>0.99999996751935005</v>
      </c>
    </row>
    <row r="1174" spans="1:40" x14ac:dyDescent="0.25">
      <c r="A1174" t="str">
        <f>"20190312151519812"</f>
        <v>20190312151519812</v>
      </c>
      <c r="B1174" t="str">
        <f>"1552374919808996"</f>
        <v>1552374919808996</v>
      </c>
      <c r="C1174" t="s">
        <v>40</v>
      </c>
      <c r="D1174">
        <v>4.8313220000000001</v>
      </c>
      <c r="E1174">
        <v>0.68645940000000005</v>
      </c>
      <c r="F1174" t="s">
        <v>45</v>
      </c>
      <c r="G1174">
        <v>-197.20400000000001</v>
      </c>
      <c r="H1174" s="1">
        <v>-3.6311829999999998E-6</v>
      </c>
      <c r="I1174">
        <v>352.76350000000002</v>
      </c>
      <c r="J1174">
        <v>-200.09469999999999</v>
      </c>
      <c r="K1174">
        <v>1.0997140000000001</v>
      </c>
      <c r="L1174">
        <v>362.52409999999998</v>
      </c>
      <c r="M1174">
        <v>0.81557709999999894</v>
      </c>
      <c r="N1174">
        <v>0</v>
      </c>
      <c r="O1174">
        <v>-0.57844269999999998</v>
      </c>
      <c r="P1174">
        <v>0.68507189999999996</v>
      </c>
      <c r="Q1174">
        <v>-5.3662189999999999E-2</v>
      </c>
      <c r="R1174">
        <v>-0.72649629999999998</v>
      </c>
      <c r="S1174">
        <v>0.98461909999999997</v>
      </c>
      <c r="T1174">
        <v>-0.35526819999999998</v>
      </c>
      <c r="U1174">
        <v>-3.191284</v>
      </c>
      <c r="V1174">
        <v>0.19527849999999999</v>
      </c>
      <c r="W1174">
        <v>-4.3248019999999998E-2</v>
      </c>
      <c r="X1174">
        <v>0.97979380000000005</v>
      </c>
      <c r="Y1174">
        <v>0.60839840000000001</v>
      </c>
      <c r="Z1174">
        <v>3.1991789999999999E-2</v>
      </c>
      <c r="AA1174">
        <v>0.79298669999999905</v>
      </c>
      <c r="AB1174">
        <v>30</v>
      </c>
      <c r="AC1174">
        <v>2.8906999999999798</v>
      </c>
      <c r="AD1174">
        <v>-1.0997176311829999</v>
      </c>
      <c r="AE1174">
        <v>-9.7605999999999504</v>
      </c>
      <c r="AF1174">
        <v>6.2166140293975696</v>
      </c>
      <c r="AG1174">
        <v>-1.0997176311829999</v>
      </c>
      <c r="AH1174">
        <v>7.9121491711782896</v>
      </c>
      <c r="AI1174">
        <v>96.237197045954005</v>
      </c>
      <c r="AJ1174">
        <v>51.843107450326599</v>
      </c>
      <c r="AK1174">
        <v>10.1221427260148</v>
      </c>
      <c r="AL1174">
        <v>92.478702150479705</v>
      </c>
      <c r="AM1174">
        <v>78.728322460766407</v>
      </c>
      <c r="AN1174">
        <v>0.99999998715730498</v>
      </c>
    </row>
    <row r="1175" spans="1:40" x14ac:dyDescent="0.25">
      <c r="A1175" t="str">
        <f>"20190312151519830"</f>
        <v>20190312151519830</v>
      </c>
      <c r="B1175" t="str">
        <f>"1552374919818755"</f>
        <v>1552374919818755</v>
      </c>
      <c r="C1175" t="s">
        <v>40</v>
      </c>
      <c r="D1175">
        <v>4.8337190000000003</v>
      </c>
      <c r="E1175">
        <v>0.68609949999999997</v>
      </c>
      <c r="F1175" t="s">
        <v>45</v>
      </c>
      <c r="G1175">
        <v>-197.09389999999999</v>
      </c>
      <c r="H1175" s="1">
        <v>-3.5034950000000001E-6</v>
      </c>
      <c r="I1175">
        <v>352.55829999999997</v>
      </c>
      <c r="J1175">
        <v>-199.91139999999999</v>
      </c>
      <c r="K1175">
        <v>1.099628</v>
      </c>
      <c r="L1175">
        <v>362.38279999999997</v>
      </c>
      <c r="M1175">
        <v>0.81011259999999996</v>
      </c>
      <c r="N1175">
        <v>0</v>
      </c>
      <c r="O1175">
        <v>-0.58607069999999895</v>
      </c>
      <c r="P1175">
        <v>0.67787619999999904</v>
      </c>
      <c r="Q1175">
        <v>-5.4328309999999998E-2</v>
      </c>
      <c r="R1175">
        <v>-0.7331664</v>
      </c>
      <c r="S1175">
        <v>0.96231080000000002</v>
      </c>
      <c r="T1175">
        <v>-0.35266700000000001</v>
      </c>
      <c r="U1175">
        <v>-3.1959230000000001</v>
      </c>
      <c r="V1175">
        <v>0.19567870000000001</v>
      </c>
      <c r="W1175">
        <v>-4.394526E-2</v>
      </c>
      <c r="X1175">
        <v>0.97968290000000002</v>
      </c>
      <c r="Y1175">
        <v>0.6063769</v>
      </c>
      <c r="Z1175">
        <v>3.2896750000000002E-2</v>
      </c>
      <c r="AA1175">
        <v>0.79449650000000005</v>
      </c>
      <c r="AB1175">
        <v>30</v>
      </c>
      <c r="AC1175">
        <v>2.8174999999999901</v>
      </c>
      <c r="AD1175">
        <v>-1.0996315034949999</v>
      </c>
      <c r="AE1175">
        <v>-9.8245000000000005</v>
      </c>
      <c r="AF1175">
        <v>6.2362608176385201</v>
      </c>
      <c r="AG1175">
        <v>-1.0996315034949999</v>
      </c>
      <c r="AH1175">
        <v>7.9492849667258003</v>
      </c>
      <c r="AI1175">
        <v>96.211393027236497</v>
      </c>
      <c r="AJ1175">
        <v>51.885607180439997</v>
      </c>
      <c r="AK1175">
        <v>10.163231273138701</v>
      </c>
      <c r="AL1175">
        <v>92.518689143435395</v>
      </c>
      <c r="AM1175">
        <v>78.704570043626305</v>
      </c>
      <c r="AN1175">
        <v>0.99999996203128305</v>
      </c>
    </row>
    <row r="1176" spans="1:40" x14ac:dyDescent="0.25">
      <c r="A1176" t="str">
        <f>"20190312151519843"</f>
        <v>20190312151519843</v>
      </c>
      <c r="B1176" t="str">
        <f>"1552374919838277"</f>
        <v>1552374919838277</v>
      </c>
      <c r="C1176" t="s">
        <v>40</v>
      </c>
      <c r="D1176">
        <v>4.8627820000000002</v>
      </c>
      <c r="E1176">
        <v>0.68530729999999995</v>
      </c>
      <c r="F1176" t="s">
        <v>45</v>
      </c>
      <c r="G1176">
        <v>-197.0069</v>
      </c>
      <c r="H1176" s="1">
        <v>-3.4067229999999999E-6</v>
      </c>
      <c r="I1176">
        <v>352.40429999999998</v>
      </c>
      <c r="J1176">
        <v>-199.77199999999999</v>
      </c>
      <c r="K1176">
        <v>1.099561</v>
      </c>
      <c r="L1176">
        <v>362.27330000000001</v>
      </c>
      <c r="M1176">
        <v>0.80583729999999998</v>
      </c>
      <c r="N1176">
        <v>0</v>
      </c>
      <c r="O1176">
        <v>-0.59193499999999999</v>
      </c>
      <c r="P1176">
        <v>0.67257739999999999</v>
      </c>
      <c r="Q1176">
        <v>-5.4532259999999999E-2</v>
      </c>
      <c r="R1176">
        <v>-0.73801499999999998</v>
      </c>
      <c r="S1176">
        <v>0.93247990000000003</v>
      </c>
      <c r="T1176">
        <v>-0.35303709999999899</v>
      </c>
      <c r="U1176">
        <v>-3.2035830000000001</v>
      </c>
      <c r="V1176">
        <v>0.19560130000000001</v>
      </c>
      <c r="W1176">
        <v>-4.4162680000000003E-2</v>
      </c>
      <c r="X1176">
        <v>0.97968860000000002</v>
      </c>
      <c r="Y1176">
        <v>0.60794349999999997</v>
      </c>
      <c r="Z1176">
        <v>3.3618370000000002E-2</v>
      </c>
      <c r="AA1176">
        <v>0.79326819999999998</v>
      </c>
      <c r="AB1176">
        <v>30</v>
      </c>
      <c r="AC1176">
        <v>2.7651000000000101</v>
      </c>
      <c r="AD1176">
        <v>-1.0995644067229999</v>
      </c>
      <c r="AE1176">
        <v>-9.8690000000000193</v>
      </c>
      <c r="AF1176">
        <v>6.2449254331564399</v>
      </c>
      <c r="AG1176">
        <v>-1.0995644067229999</v>
      </c>
      <c r="AH1176">
        <v>7.9791527187702398</v>
      </c>
      <c r="AI1176">
        <v>96.1934675228309</v>
      </c>
      <c r="AJ1176">
        <v>51.951304781517898</v>
      </c>
      <c r="AK1176">
        <v>10.191909225443201</v>
      </c>
      <c r="AL1176">
        <v>92.531158447786694</v>
      </c>
      <c r="AM1176">
        <v>78.708987115512201</v>
      </c>
      <c r="AN1176">
        <v>0.99999998191821604</v>
      </c>
    </row>
    <row r="1177" spans="1:40" x14ac:dyDescent="0.25">
      <c r="A1177" t="str">
        <f>"20190312151519853"</f>
        <v>20190312151519853</v>
      </c>
      <c r="B1177" t="str">
        <f>"1552374919849012"</f>
        <v>1552374919849012</v>
      </c>
      <c r="C1177" t="s">
        <v>40</v>
      </c>
      <c r="D1177">
        <v>4.8661919999999999</v>
      </c>
      <c r="E1177">
        <v>0.68473909999999905</v>
      </c>
      <c r="F1177" t="s">
        <v>45</v>
      </c>
      <c r="G1177">
        <v>-196.89410000000001</v>
      </c>
      <c r="H1177" s="1">
        <v>-3.2722339999999999E-6</v>
      </c>
      <c r="I1177">
        <v>352.18680000000001</v>
      </c>
      <c r="J1177">
        <v>-199.65559999999999</v>
      </c>
      <c r="K1177">
        <v>1.0995010000000001</v>
      </c>
      <c r="L1177">
        <v>362.18110000000001</v>
      </c>
      <c r="M1177">
        <v>0.80221030000000004</v>
      </c>
      <c r="N1177">
        <v>0</v>
      </c>
      <c r="O1177">
        <v>-0.59684090000000001</v>
      </c>
      <c r="P1177">
        <v>0.66814059999999997</v>
      </c>
      <c r="Q1177">
        <v>-5.462376E-2</v>
      </c>
      <c r="R1177">
        <v>-0.74202760000000001</v>
      </c>
      <c r="S1177">
        <v>0.91462710000000003</v>
      </c>
      <c r="T1177">
        <v>-0.34945029999999999</v>
      </c>
      <c r="U1177">
        <v>-3.2055660000000001</v>
      </c>
      <c r="V1177">
        <v>0.19548399999999999</v>
      </c>
      <c r="W1177">
        <v>-4.4264459999999999E-2</v>
      </c>
      <c r="X1177">
        <v>0.97970740000000001</v>
      </c>
      <c r="Y1177">
        <v>0.60733490000000001</v>
      </c>
      <c r="Z1177">
        <v>3.39852E-2</v>
      </c>
      <c r="AA1177">
        <v>0.79371859999999905</v>
      </c>
      <c r="AB1177">
        <v>30</v>
      </c>
      <c r="AC1177">
        <v>2.7614999999999799</v>
      </c>
      <c r="AD1177">
        <v>-1.099504272234</v>
      </c>
      <c r="AE1177">
        <v>-9.9943000000000097</v>
      </c>
      <c r="AF1177">
        <v>6.2992855184462098</v>
      </c>
      <c r="AG1177">
        <v>-1.099504272234</v>
      </c>
      <c r="AH1177">
        <v>8.0903198307464095</v>
      </c>
      <c r="AI1177">
        <v>96.120558055375</v>
      </c>
      <c r="AJ1177">
        <v>52.094958506189201</v>
      </c>
      <c r="AK1177">
        <v>10.3122830959654</v>
      </c>
      <c r="AL1177">
        <v>92.536995768250307</v>
      </c>
      <c r="AM1177">
        <v>78.715795405242403</v>
      </c>
      <c r="AN1177">
        <v>0.99999996314492501</v>
      </c>
    </row>
    <row r="1178" spans="1:40" x14ac:dyDescent="0.25">
      <c r="A1178" t="str">
        <f>"20190312151519863"</f>
        <v>20190312151519863</v>
      </c>
      <c r="B1178" t="str">
        <f>"1552374919858771"</f>
        <v>1552374919858771</v>
      </c>
      <c r="C1178" t="s">
        <v>40</v>
      </c>
      <c r="D1178">
        <v>5.0098669999999998</v>
      </c>
      <c r="E1178">
        <v>0.68470880000000001</v>
      </c>
      <c r="F1178" t="s">
        <v>45</v>
      </c>
      <c r="G1178">
        <v>-196.81870000000001</v>
      </c>
      <c r="H1178" s="1">
        <v>-3.1883539999999998E-6</v>
      </c>
      <c r="I1178">
        <v>352.05329999999998</v>
      </c>
      <c r="J1178">
        <v>-199.5454</v>
      </c>
      <c r="K1178">
        <v>1.0994459999999999</v>
      </c>
      <c r="L1178">
        <v>362.09190000000001</v>
      </c>
      <c r="M1178">
        <v>0.79867429999999995</v>
      </c>
      <c r="N1178">
        <v>0</v>
      </c>
      <c r="O1178">
        <v>-0.60156369999999904</v>
      </c>
      <c r="P1178">
        <v>0.66369679999999998</v>
      </c>
      <c r="Q1178">
        <v>-5.478131E-2</v>
      </c>
      <c r="R1178">
        <v>-0.74599309999999996</v>
      </c>
      <c r="S1178">
        <v>0.89866639999999998</v>
      </c>
      <c r="T1178">
        <v>-0.34828789999999998</v>
      </c>
      <c r="U1178">
        <v>-3.2081599999999999</v>
      </c>
      <c r="V1178">
        <v>0.19553580000000001</v>
      </c>
      <c r="W1178">
        <v>-4.443536E-2</v>
      </c>
      <c r="X1178">
        <v>0.97968940000000004</v>
      </c>
      <c r="Y1178">
        <v>0.60649280000000005</v>
      </c>
      <c r="Z1178">
        <v>3.4556570000000002E-2</v>
      </c>
      <c r="AA1178">
        <v>0.79433769999999904</v>
      </c>
      <c r="AB1178">
        <v>30</v>
      </c>
      <c r="AC1178">
        <v>2.7266999999999899</v>
      </c>
      <c r="AD1178">
        <v>-1.0994491883540001</v>
      </c>
      <c r="AE1178">
        <v>-10.038600000000001</v>
      </c>
      <c r="AF1178">
        <v>6.3075933242993596</v>
      </c>
      <c r="AG1178">
        <v>-1.0994491883540001</v>
      </c>
      <c r="AH1178">
        <v>8.1268066969792603</v>
      </c>
      <c r="AI1178">
        <v>96.100234858138606</v>
      </c>
      <c r="AJ1178">
        <v>52.183295193731702</v>
      </c>
      <c r="AK1178">
        <v>10.345990003502999</v>
      </c>
      <c r="AL1178">
        <v>92.546797077331803</v>
      </c>
      <c r="AM1178">
        <v>78.712679975545299</v>
      </c>
      <c r="AN1178">
        <v>1.00000003538616</v>
      </c>
    </row>
    <row r="1179" spans="1:40" x14ac:dyDescent="0.25">
      <c r="A1179" t="str">
        <f>"20190312151519874"</f>
        <v>20190312151519874</v>
      </c>
      <c r="B1179" t="str">
        <f>"1552374919868533"</f>
        <v>1552374919868533</v>
      </c>
      <c r="C1179" t="s">
        <v>40</v>
      </c>
      <c r="D1179">
        <v>4.861713</v>
      </c>
      <c r="E1179">
        <v>0.68443750000000003</v>
      </c>
      <c r="F1179" t="s">
        <v>45</v>
      </c>
      <c r="G1179">
        <v>-196.7978</v>
      </c>
      <c r="H1179" s="1">
        <v>-3.1819599999999902E-6</v>
      </c>
      <c r="I1179">
        <v>352.0498</v>
      </c>
      <c r="J1179">
        <v>-199.42930000000001</v>
      </c>
      <c r="K1179">
        <v>1.0993820000000001</v>
      </c>
      <c r="L1179">
        <v>361.9975</v>
      </c>
      <c r="M1179">
        <v>0.79490349999999999</v>
      </c>
      <c r="N1179">
        <v>0</v>
      </c>
      <c r="O1179">
        <v>-0.60653729999999995</v>
      </c>
      <c r="P1179">
        <v>0.65918859999999901</v>
      </c>
      <c r="Q1179">
        <v>-5.5226440000000002E-2</v>
      </c>
      <c r="R1179">
        <v>-0.74994700000000003</v>
      </c>
      <c r="S1179">
        <v>0.87921139999999998</v>
      </c>
      <c r="T1179">
        <v>-0.35181630000000003</v>
      </c>
      <c r="U1179">
        <v>-3.213409</v>
      </c>
      <c r="V1179">
        <v>0.1952826</v>
      </c>
      <c r="W1179">
        <v>-4.4886710000000003E-2</v>
      </c>
      <c r="X1179">
        <v>0.97971929999999996</v>
      </c>
      <c r="Y1179">
        <v>0.60634169999999998</v>
      </c>
      <c r="Z1179">
        <v>3.5570810000000001E-2</v>
      </c>
      <c r="AA1179">
        <v>0.79440829999999996</v>
      </c>
      <c r="AB1179">
        <v>30</v>
      </c>
      <c r="AC1179">
        <v>2.6315000000000102</v>
      </c>
      <c r="AD1179">
        <v>-1.09938518196</v>
      </c>
      <c r="AE1179">
        <v>-9.9476999999999904</v>
      </c>
      <c r="AF1179">
        <v>6.2408788455451898</v>
      </c>
      <c r="AG1179">
        <v>-1.09938518196</v>
      </c>
      <c r="AH1179">
        <v>8.0347017746734402</v>
      </c>
      <c r="AI1179">
        <v>96.167510395355194</v>
      </c>
      <c r="AJ1179">
        <v>52.162062907401598</v>
      </c>
      <c r="AK1179">
        <v>10.232968735954699</v>
      </c>
      <c r="AL1179">
        <v>92.572683424809895</v>
      </c>
      <c r="AM1179">
        <v>78.727256671124806</v>
      </c>
      <c r="AN1179">
        <v>1.0000000086949301</v>
      </c>
    </row>
    <row r="1180" spans="1:40" x14ac:dyDescent="0.25">
      <c r="A1180" t="str">
        <f>"20190312151519885"</f>
        <v>20190312151519885</v>
      </c>
      <c r="B1180" t="str">
        <f>"1552374919878291"</f>
        <v>1552374919878291</v>
      </c>
      <c r="C1180" t="s">
        <v>40</v>
      </c>
      <c r="D1180">
        <v>4.9135949999999999</v>
      </c>
      <c r="E1180">
        <v>0.68398369999999997</v>
      </c>
      <c r="F1180" t="s">
        <v>45</v>
      </c>
      <c r="G1180">
        <v>-196.7585</v>
      </c>
      <c r="H1180" s="1">
        <v>-3.1584289999999999E-6</v>
      </c>
      <c r="I1180">
        <v>352.0204</v>
      </c>
      <c r="J1180">
        <v>-199.316</v>
      </c>
      <c r="K1180">
        <v>1.0993269999999999</v>
      </c>
      <c r="L1180">
        <v>361.90350000000001</v>
      </c>
      <c r="M1180">
        <v>0.79113029999999995</v>
      </c>
      <c r="N1180">
        <v>0</v>
      </c>
      <c r="O1180">
        <v>-0.61145070000000001</v>
      </c>
      <c r="P1180">
        <v>0.65484240000000005</v>
      </c>
      <c r="Q1180">
        <v>-5.5305510000000002E-2</v>
      </c>
      <c r="R1180">
        <v>-0.75373979999999996</v>
      </c>
      <c r="S1180">
        <v>0.86119080000000003</v>
      </c>
      <c r="T1180">
        <v>-0.3544949</v>
      </c>
      <c r="U1180">
        <v>-3.2171020000000001</v>
      </c>
      <c r="V1180">
        <v>0.1948646</v>
      </c>
      <c r="W1180">
        <v>-4.4965409999999997E-2</v>
      </c>
      <c r="X1180">
        <v>0.97979890000000003</v>
      </c>
      <c r="Y1180">
        <v>0.60580409999999996</v>
      </c>
      <c r="Z1180">
        <v>3.6538670000000002E-2</v>
      </c>
      <c r="AA1180">
        <v>0.79477439999999999</v>
      </c>
      <c r="AB1180">
        <v>30</v>
      </c>
      <c r="AC1180">
        <v>2.5574999999999699</v>
      </c>
      <c r="AD1180">
        <v>-1.0993301584289901</v>
      </c>
      <c r="AE1180">
        <v>-9.8831000000000095</v>
      </c>
      <c r="AF1180">
        <v>6.1840757499161203</v>
      </c>
      <c r="AG1180">
        <v>-1.0993301584289901</v>
      </c>
      <c r="AH1180">
        <v>7.9748371756654803</v>
      </c>
      <c r="AI1180">
        <v>96.216997619368101</v>
      </c>
      <c r="AJ1180">
        <v>52.208263721760403</v>
      </c>
      <c r="AK1180">
        <v>10.151322458493199</v>
      </c>
      <c r="AL1180">
        <v>92.577197202003305</v>
      </c>
      <c r="AM1180">
        <v>78.751660481736593</v>
      </c>
      <c r="AN1180">
        <v>0.99999999243541904</v>
      </c>
    </row>
    <row r="1181" spans="1:40" x14ac:dyDescent="0.25">
      <c r="A1181" t="str">
        <f>"20190312151519896"</f>
        <v>20190312151519896</v>
      </c>
      <c r="B1181" t="str">
        <f>"1552374919889028"</f>
        <v>1552374919889028</v>
      </c>
      <c r="C1181" t="s">
        <v>40</v>
      </c>
      <c r="D1181">
        <v>4.7419250000000002</v>
      </c>
      <c r="E1181">
        <v>0.68398369999999997</v>
      </c>
      <c r="F1181" t="s">
        <v>45</v>
      </c>
      <c r="G1181">
        <v>-196.70529999999999</v>
      </c>
      <c r="H1181" s="1">
        <v>-3.118005E-6</v>
      </c>
      <c r="I1181">
        <v>351.96350000000001</v>
      </c>
      <c r="J1181">
        <v>-199.20089999999999</v>
      </c>
      <c r="K1181">
        <v>1.0992710000000001</v>
      </c>
      <c r="L1181">
        <v>361.8073</v>
      </c>
      <c r="M1181">
        <v>0.78723679999999996</v>
      </c>
      <c r="N1181">
        <v>0</v>
      </c>
      <c r="O1181">
        <v>-0.61645459999999996</v>
      </c>
      <c r="P1181">
        <v>0.65041959999999999</v>
      </c>
      <c r="Q1181">
        <v>-5.5403569999999999E-2</v>
      </c>
      <c r="R1181">
        <v>-0.75755189999999994</v>
      </c>
      <c r="S1181">
        <v>0.84559629999999997</v>
      </c>
      <c r="T1181">
        <v>-0.35605959999999998</v>
      </c>
      <c r="U1181">
        <v>-3.219452</v>
      </c>
      <c r="V1181">
        <v>0.19437280000000001</v>
      </c>
      <c r="W1181">
        <v>-4.506135E-2</v>
      </c>
      <c r="X1181">
        <v>0.97989219999999999</v>
      </c>
      <c r="Y1181">
        <v>0.60451650000000001</v>
      </c>
      <c r="Z1181">
        <v>3.7465369999999998E-2</v>
      </c>
      <c r="AA1181">
        <v>0.7957111</v>
      </c>
      <c r="AB1181">
        <v>30</v>
      </c>
      <c r="AC1181">
        <v>2.4955999999999898</v>
      </c>
      <c r="AD1181">
        <v>-1.0992741180050001</v>
      </c>
      <c r="AE1181">
        <v>-9.8437999999999803</v>
      </c>
      <c r="AF1181">
        <v>6.13978628319206</v>
      </c>
      <c r="AG1181">
        <v>-1.0992741180050001</v>
      </c>
      <c r="AH1181">
        <v>7.9408097343867503</v>
      </c>
      <c r="AI1181">
        <v>96.249876002577196</v>
      </c>
      <c r="AJ1181">
        <v>52.289020320572703</v>
      </c>
      <c r="AK1181">
        <v>10.097615482257201</v>
      </c>
      <c r="AL1181">
        <v>92.582699672762402</v>
      </c>
      <c r="AM1181">
        <v>78.780369175834593</v>
      </c>
      <c r="AN1181">
        <v>1.0000000171322501</v>
      </c>
    </row>
    <row r="1182" spans="1:40" x14ac:dyDescent="0.25">
      <c r="A1182" t="str">
        <f>"20190312151519907"</f>
        <v>20190312151519907</v>
      </c>
      <c r="B1182" t="str">
        <f>"1552374919898788"</f>
        <v>1552374919898788</v>
      </c>
      <c r="C1182" t="s">
        <v>40</v>
      </c>
      <c r="D1182">
        <v>5.073671</v>
      </c>
      <c r="E1182">
        <v>0.67573539999999999</v>
      </c>
      <c r="F1182" t="s">
        <v>45</v>
      </c>
      <c r="G1182">
        <v>-196.64750000000001</v>
      </c>
      <c r="H1182" s="1">
        <v>-3.0472280000000002E-6</v>
      </c>
      <c r="I1182">
        <v>351.84829999999999</v>
      </c>
      <c r="J1182">
        <v>-199.08709999999999</v>
      </c>
      <c r="K1182">
        <v>1.099218</v>
      </c>
      <c r="L1182">
        <v>361.71050000000002</v>
      </c>
      <c r="M1182">
        <v>0.78329530000000003</v>
      </c>
      <c r="N1182">
        <v>0</v>
      </c>
      <c r="O1182">
        <v>-0.62145499999999998</v>
      </c>
      <c r="P1182">
        <v>0.64582799999999996</v>
      </c>
      <c r="Q1182">
        <v>-5.5487540000000002E-2</v>
      </c>
      <c r="R1182">
        <v>-0.76146429999999998</v>
      </c>
      <c r="S1182">
        <v>0.826690699999999</v>
      </c>
      <c r="T1182">
        <v>-0.35589520000000002</v>
      </c>
      <c r="U1182">
        <v>-3.2242739999999999</v>
      </c>
      <c r="V1182">
        <v>0.194045</v>
      </c>
      <c r="W1182">
        <v>-4.5147090000000001E-2</v>
      </c>
      <c r="X1182">
        <v>0.97995319999999997</v>
      </c>
      <c r="Y1182">
        <v>0.60412469999999996</v>
      </c>
      <c r="Z1182">
        <v>3.8144860000000003E-2</v>
      </c>
      <c r="AA1182">
        <v>0.79597629999999997</v>
      </c>
      <c r="AB1182">
        <v>30</v>
      </c>
      <c r="AC1182">
        <v>2.43959999999998</v>
      </c>
      <c r="AD1182">
        <v>-1.099221047228</v>
      </c>
      <c r="AE1182">
        <v>-9.8622000000000298</v>
      </c>
      <c r="AF1182">
        <v>6.1378126024917599</v>
      </c>
      <c r="AG1182">
        <v>-1.099221047228</v>
      </c>
      <c r="AH1182">
        <v>7.9477733638182002</v>
      </c>
      <c r="AI1182">
        <v>96.246919617409304</v>
      </c>
      <c r="AJ1182">
        <v>52.322232419255897</v>
      </c>
      <c r="AK1182">
        <v>10.1018875412763</v>
      </c>
      <c r="AL1182">
        <v>92.587617267069604</v>
      </c>
      <c r="AM1182">
        <v>78.799491319795095</v>
      </c>
      <c r="AN1182">
        <v>0.99999999797535399</v>
      </c>
    </row>
    <row r="1183" spans="1:40" x14ac:dyDescent="0.25">
      <c r="A1183" t="str">
        <f>"20190312151519920"</f>
        <v>20190312151519920</v>
      </c>
      <c r="B1183" t="str">
        <f>"1552374919908548"</f>
        <v>1552374919908548</v>
      </c>
      <c r="C1183" t="s">
        <v>40</v>
      </c>
      <c r="D1183">
        <v>4.8960100000000004</v>
      </c>
      <c r="E1183">
        <v>0.67675769999999902</v>
      </c>
      <c r="F1183" t="s">
        <v>43</v>
      </c>
      <c r="G1183">
        <v>-195.64349999999999</v>
      </c>
      <c r="H1183" s="1">
        <v>-5.0797909999999996E-6</v>
      </c>
      <c r="I1183">
        <v>348.97230000000002</v>
      </c>
      <c r="J1183">
        <v>-198.9589</v>
      </c>
      <c r="K1183">
        <v>1.0991599999999999</v>
      </c>
      <c r="L1183">
        <v>361.6001</v>
      </c>
      <c r="M1183">
        <v>0.77876489999999998</v>
      </c>
      <c r="N1183">
        <v>0</v>
      </c>
      <c r="O1183">
        <v>-0.62712230000000002</v>
      </c>
      <c r="P1183">
        <v>0.64073610000000003</v>
      </c>
      <c r="Q1183">
        <v>-5.5538240000000003E-2</v>
      </c>
      <c r="R1183">
        <v>-0.76575019999999905</v>
      </c>
      <c r="S1183">
        <v>0.86196899999999999</v>
      </c>
      <c r="T1183">
        <v>-0.27515440000000002</v>
      </c>
      <c r="U1183">
        <v>-3.188599</v>
      </c>
      <c r="V1183">
        <v>0.19345870000000001</v>
      </c>
      <c r="W1183">
        <v>-4.519339E-2</v>
      </c>
      <c r="X1183">
        <v>0.98006700000000002</v>
      </c>
      <c r="Y1183">
        <v>0.58803070000000002</v>
      </c>
      <c r="Z1183">
        <v>3.1080730000000001E-2</v>
      </c>
      <c r="AA1183">
        <v>0.80824119999999899</v>
      </c>
      <c r="AB1183">
        <v>30</v>
      </c>
      <c r="AC1183">
        <v>3.3154000000000101</v>
      </c>
      <c r="AD1183">
        <v>-1.099165079791</v>
      </c>
      <c r="AE1183">
        <v>-12.627799999999899</v>
      </c>
      <c r="AF1183">
        <v>7.7012816483713102</v>
      </c>
      <c r="AG1183">
        <v>-1.099165079791</v>
      </c>
      <c r="AH1183">
        <v>10.4284511212567</v>
      </c>
      <c r="AI1183">
        <v>94.8463291501253</v>
      </c>
      <c r="AJ1183">
        <v>53.554592658229403</v>
      </c>
      <c r="AK1183">
        <v>13.010399520714699</v>
      </c>
      <c r="AL1183">
        <v>92.590272720751599</v>
      </c>
      <c r="AM1183">
        <v>78.833745528788299</v>
      </c>
      <c r="AN1183">
        <v>1.0000000177971899</v>
      </c>
    </row>
    <row r="1184" spans="1:40" x14ac:dyDescent="0.25">
      <c r="A1184" t="str">
        <f>"20190312151519942"</f>
        <v>20190312151519942</v>
      </c>
      <c r="B1184" t="str">
        <f>"1552374919938804"</f>
        <v>1552374919938804</v>
      </c>
      <c r="C1184" t="s">
        <v>40</v>
      </c>
      <c r="D1184">
        <v>4.8766129999999999</v>
      </c>
      <c r="E1184">
        <v>0.67415930000000002</v>
      </c>
      <c r="F1184" t="s">
        <v>43</v>
      </c>
      <c r="G1184">
        <v>-195.4034</v>
      </c>
      <c r="H1184" s="1">
        <v>-4.6970759999999996E-6</v>
      </c>
      <c r="I1184">
        <v>347.97280000000001</v>
      </c>
      <c r="J1184">
        <v>-198.72970000000001</v>
      </c>
      <c r="K1184">
        <v>1.0990519999999999</v>
      </c>
      <c r="L1184">
        <v>361.39839999999998</v>
      </c>
      <c r="M1184">
        <v>0.77039919999999995</v>
      </c>
      <c r="N1184">
        <v>0</v>
      </c>
      <c r="O1184">
        <v>-0.63737060000000001</v>
      </c>
      <c r="P1184">
        <v>0.63087329999999997</v>
      </c>
      <c r="Q1184">
        <v>-5.5542580000000001E-2</v>
      </c>
      <c r="R1184">
        <v>-0.77389569999999996</v>
      </c>
      <c r="S1184">
        <v>0.83502199999999904</v>
      </c>
      <c r="T1184">
        <v>-0.25814280000000001</v>
      </c>
      <c r="U1184">
        <v>-3.2004090000000001</v>
      </c>
      <c r="V1184">
        <v>0.19303680000000001</v>
      </c>
      <c r="W1184">
        <v>-4.5207160000000003E-2</v>
      </c>
      <c r="X1184">
        <v>0.98014959999999995</v>
      </c>
      <c r="Y1184">
        <v>0.58447660000000001</v>
      </c>
      <c r="Z1184">
        <v>3.0282670000000001E-2</v>
      </c>
      <c r="AA1184">
        <v>0.81084529999999999</v>
      </c>
      <c r="AB1184">
        <v>30</v>
      </c>
      <c r="AC1184">
        <v>3.3262999999999998</v>
      </c>
      <c r="AD1184">
        <v>-1.0990566970760001</v>
      </c>
      <c r="AE1184">
        <v>-13.4255999999999</v>
      </c>
      <c r="AF1184">
        <v>8.1723882569361397</v>
      </c>
      <c r="AG1184">
        <v>-1.0990566970760001</v>
      </c>
      <c r="AH1184">
        <v>11.0512404357461</v>
      </c>
      <c r="AI1184">
        <v>94.571757413145406</v>
      </c>
      <c r="AJ1184">
        <v>53.517088036020297</v>
      </c>
      <c r="AK1184">
        <v>13.788610177032499</v>
      </c>
      <c r="AL1184">
        <v>92.591062366022896</v>
      </c>
      <c r="AM1184">
        <v>78.858402719626696</v>
      </c>
      <c r="AN1184">
        <v>1.00000006592483</v>
      </c>
    </row>
    <row r="1185" spans="1:40" x14ac:dyDescent="0.25">
      <c r="A1185" t="str">
        <f>"20190312151519955"</f>
        <v>20190312151519955</v>
      </c>
      <c r="B1185" t="str">
        <f>"1552374919948564"</f>
        <v>1552374919948564</v>
      </c>
      <c r="C1185" t="s">
        <v>40</v>
      </c>
      <c r="D1185">
        <v>4.9487420000000002</v>
      </c>
      <c r="E1185">
        <v>0.67392410000000003</v>
      </c>
      <c r="F1185" t="s">
        <v>45</v>
      </c>
      <c r="G1185">
        <v>-195.786</v>
      </c>
      <c r="H1185" s="1">
        <v>-1.626153E-6</v>
      </c>
      <c r="I1185">
        <v>349.7491</v>
      </c>
      <c r="J1185">
        <v>-198.59719999999999</v>
      </c>
      <c r="K1185">
        <v>1.0989910000000001</v>
      </c>
      <c r="L1185">
        <v>361.27949999999998</v>
      </c>
      <c r="M1185">
        <v>0.76541569999999903</v>
      </c>
      <c r="N1185">
        <v>0</v>
      </c>
      <c r="O1185">
        <v>-0.64334639999999998</v>
      </c>
      <c r="P1185">
        <v>0.62523569999999995</v>
      </c>
      <c r="Q1185">
        <v>-5.5647769999999999E-2</v>
      </c>
      <c r="R1185">
        <v>-0.77844959999999996</v>
      </c>
      <c r="S1185">
        <v>0.807724</v>
      </c>
      <c r="T1185">
        <v>-0.30157050000000002</v>
      </c>
      <c r="U1185">
        <v>-3.196472</v>
      </c>
      <c r="V1185">
        <v>0.19251380000000001</v>
      </c>
      <c r="W1185">
        <v>-4.5309589999999997E-2</v>
      </c>
      <c r="X1185">
        <v>0.98024770000000006</v>
      </c>
      <c r="Y1185">
        <v>0.58437720000000004</v>
      </c>
      <c r="Z1185">
        <v>3.6158349999999999E-2</v>
      </c>
      <c r="AA1185">
        <v>0.81067619999999996</v>
      </c>
      <c r="AB1185">
        <v>30</v>
      </c>
      <c r="AC1185">
        <v>2.8112000000000101</v>
      </c>
      <c r="AD1185">
        <v>-1.0989926261530001</v>
      </c>
      <c r="AE1185">
        <v>-11.530399999999901</v>
      </c>
      <c r="AF1185">
        <v>6.9581659529113704</v>
      </c>
      <c r="AG1185">
        <v>-1.0989926261530001</v>
      </c>
      <c r="AH1185">
        <v>9.4895755776134596</v>
      </c>
      <c r="AI1185">
        <v>95.335615870674701</v>
      </c>
      <c r="AJ1185">
        <v>53.749523849788503</v>
      </c>
      <c r="AK1185">
        <v>11.8184560270718</v>
      </c>
      <c r="AL1185">
        <v>92.596937265410205</v>
      </c>
      <c r="AM1185">
        <v>78.888921096123596</v>
      </c>
      <c r="AN1185">
        <v>1.00000003774584</v>
      </c>
    </row>
    <row r="1186" spans="1:40" x14ac:dyDescent="0.25">
      <c r="A1186" t="str">
        <f>"20190312151519968"</f>
        <v>20190312151519968</v>
      </c>
      <c r="B1186" t="str">
        <f>"1552374919958324"</f>
        <v>1552374919958324</v>
      </c>
      <c r="C1186" t="s">
        <v>40</v>
      </c>
      <c r="D1186">
        <v>4.8018739999999998</v>
      </c>
      <c r="E1186">
        <v>0.67306699999999997</v>
      </c>
      <c r="F1186" t="s">
        <v>45</v>
      </c>
      <c r="G1186">
        <v>-195.81399999999999</v>
      </c>
      <c r="H1186" s="1">
        <v>-1.7450319999999901E-6</v>
      </c>
      <c r="I1186">
        <v>349.93729999999999</v>
      </c>
      <c r="J1186">
        <v>-198.47399999999999</v>
      </c>
      <c r="K1186">
        <v>1.0989340000000001</v>
      </c>
      <c r="L1186">
        <v>361.16680000000002</v>
      </c>
      <c r="M1186">
        <v>0.76065780000000005</v>
      </c>
      <c r="N1186">
        <v>0</v>
      </c>
      <c r="O1186">
        <v>-0.6489646</v>
      </c>
      <c r="P1186">
        <v>0.6197395</v>
      </c>
      <c r="Q1186">
        <v>-5.5668860000000001E-2</v>
      </c>
      <c r="R1186">
        <v>-0.78283100000000005</v>
      </c>
      <c r="S1186">
        <v>0.78541559999999999</v>
      </c>
      <c r="T1186">
        <v>-0.31013600000000002</v>
      </c>
      <c r="U1186">
        <v>-3.2007750000000001</v>
      </c>
      <c r="V1186">
        <v>0.19219069999999999</v>
      </c>
      <c r="W1186">
        <v>-4.5331459999999997E-2</v>
      </c>
      <c r="X1186">
        <v>0.98031009999999996</v>
      </c>
      <c r="Y1186">
        <v>0.58398439999999996</v>
      </c>
      <c r="Z1186">
        <v>3.7881940000000003E-2</v>
      </c>
      <c r="AA1186">
        <v>0.8108805</v>
      </c>
      <c r="AB1186">
        <v>30</v>
      </c>
      <c r="AC1186">
        <v>2.6599999999999899</v>
      </c>
      <c r="AD1186">
        <v>-1.0989357450319901</v>
      </c>
      <c r="AE1186">
        <v>-11.2295</v>
      </c>
      <c r="AF1186">
        <v>6.7551388081618802</v>
      </c>
      <c r="AG1186">
        <v>-1.0989357450319901</v>
      </c>
      <c r="AH1186">
        <v>9.2283536463810094</v>
      </c>
      <c r="AI1186">
        <v>95.488693810552107</v>
      </c>
      <c r="AJ1186">
        <v>53.7959372067956</v>
      </c>
      <c r="AK1186">
        <v>11.489215426299401</v>
      </c>
      <c r="AL1186">
        <v>92.598191582873397</v>
      </c>
      <c r="AM1186">
        <v>78.907794753135093</v>
      </c>
      <c r="AN1186">
        <v>1.0000000492971099</v>
      </c>
    </row>
    <row r="1187" spans="1:40" x14ac:dyDescent="0.25">
      <c r="A1187" t="str">
        <f>"20190312151519988"</f>
        <v>20190312151519988</v>
      </c>
      <c r="B1187" t="str">
        <f>"1552374919978820"</f>
        <v>1552374919978820</v>
      </c>
      <c r="C1187" t="s">
        <v>40</v>
      </c>
      <c r="D1187">
        <v>4.7517579999999997</v>
      </c>
      <c r="E1187">
        <v>0.67121909999999996</v>
      </c>
      <c r="F1187" t="s">
        <v>45</v>
      </c>
      <c r="G1187">
        <v>-195.76390000000001</v>
      </c>
      <c r="H1187" s="1">
        <v>-1.693232E-6</v>
      </c>
      <c r="I1187">
        <v>349.8723</v>
      </c>
      <c r="J1187">
        <v>-198.27619999999999</v>
      </c>
      <c r="K1187">
        <v>1.0988450000000001</v>
      </c>
      <c r="L1187">
        <v>360.98239999999998</v>
      </c>
      <c r="M1187">
        <v>0.75280029999999998</v>
      </c>
      <c r="N1187">
        <v>0</v>
      </c>
      <c r="O1187">
        <v>-0.65806260000000005</v>
      </c>
      <c r="P1187">
        <v>0.61055859999999995</v>
      </c>
      <c r="Q1187">
        <v>-5.5490459999999998E-2</v>
      </c>
      <c r="R1187">
        <v>-0.79002479999999997</v>
      </c>
      <c r="S1187">
        <v>0.76827999999999996</v>
      </c>
      <c r="T1187">
        <v>-0.31153629999999999</v>
      </c>
      <c r="U1187">
        <v>-3.2018740000000001</v>
      </c>
      <c r="V1187">
        <v>0.19185389999999999</v>
      </c>
      <c r="W1187">
        <v>-4.5158709999999998E-2</v>
      </c>
      <c r="X1187">
        <v>0.98038400000000003</v>
      </c>
      <c r="Y1187">
        <v>0.57840530000000001</v>
      </c>
      <c r="Z1187">
        <v>3.9449909999999998E-2</v>
      </c>
      <c r="AA1187">
        <v>0.81479509999999999</v>
      </c>
      <c r="AB1187">
        <v>30</v>
      </c>
      <c r="AC1187">
        <v>2.5122999999999802</v>
      </c>
      <c r="AD1187">
        <v>-1.098846693232</v>
      </c>
      <c r="AE1187">
        <v>-11.1100999999999</v>
      </c>
      <c r="AF1187">
        <v>6.6493776363333303</v>
      </c>
      <c r="AG1187">
        <v>-1.098846693232</v>
      </c>
      <c r="AH1187">
        <v>9.1186687661643209</v>
      </c>
      <c r="AI1187">
        <v>95.561206046344196</v>
      </c>
      <c r="AJ1187">
        <v>53.900287132064101</v>
      </c>
      <c r="AK1187">
        <v>11.3389508806069</v>
      </c>
      <c r="AL1187">
        <v>92.588283698452301</v>
      </c>
      <c r="AM1187">
        <v>78.927566251177893</v>
      </c>
      <c r="AN1187">
        <v>1.00000000774503</v>
      </c>
    </row>
    <row r="1188" spans="1:40" x14ac:dyDescent="0.25">
      <c r="A1188" t="str">
        <f>"20190312151520009"</f>
        <v>20190312151520009</v>
      </c>
      <c r="B1188" t="str">
        <f>"1552374919998339"</f>
        <v>1552374919998339</v>
      </c>
      <c r="C1188" t="s">
        <v>40</v>
      </c>
      <c r="D1188">
        <v>5.2706999999999997</v>
      </c>
      <c r="E1188">
        <v>0.67050140000000003</v>
      </c>
      <c r="F1188" t="s">
        <v>45</v>
      </c>
      <c r="G1188">
        <v>-195.68440000000001</v>
      </c>
      <c r="H1188" s="1">
        <v>-1.6271390000000001E-6</v>
      </c>
      <c r="I1188">
        <v>349.79640000000001</v>
      </c>
      <c r="J1188">
        <v>-198.07050000000001</v>
      </c>
      <c r="K1188">
        <v>1.098754</v>
      </c>
      <c r="L1188">
        <v>360.78570000000002</v>
      </c>
      <c r="M1188">
        <v>0.74432200000000004</v>
      </c>
      <c r="N1188">
        <v>0</v>
      </c>
      <c r="O1188">
        <v>-0.66763629999999996</v>
      </c>
      <c r="P1188">
        <v>0.60060009999999997</v>
      </c>
      <c r="Q1188">
        <v>-5.5854210000000001E-2</v>
      </c>
      <c r="R1188">
        <v>-0.79759659999999999</v>
      </c>
      <c r="S1188">
        <v>0.741867099999999</v>
      </c>
      <c r="T1188">
        <v>-0.3145329</v>
      </c>
      <c r="U1188">
        <v>-3.2018740000000001</v>
      </c>
      <c r="V1188">
        <v>0.1915762</v>
      </c>
      <c r="W1188">
        <v>-4.5530569999999999E-2</v>
      </c>
      <c r="X1188">
        <v>0.98042110000000005</v>
      </c>
      <c r="Y1188">
        <v>0.57435890000000001</v>
      </c>
      <c r="Z1188">
        <v>4.126254E-2</v>
      </c>
      <c r="AA1188">
        <v>0.81756300000000004</v>
      </c>
      <c r="AB1188">
        <v>30</v>
      </c>
      <c r="AC1188">
        <v>2.3860999999999901</v>
      </c>
      <c r="AD1188">
        <v>-1.098755627139</v>
      </c>
      <c r="AE1188">
        <v>-10.9893</v>
      </c>
      <c r="AF1188">
        <v>6.52504984253095</v>
      </c>
      <c r="AG1188">
        <v>-1.098755627139</v>
      </c>
      <c r="AH1188">
        <v>9.0278195476893597</v>
      </c>
      <c r="AI1188">
        <v>95.633444984794295</v>
      </c>
      <c r="AJ1188">
        <v>54.141672950091397</v>
      </c>
      <c r="AK1188">
        <v>11.1930811290423</v>
      </c>
      <c r="AL1188">
        <v>92.609611656537496</v>
      </c>
      <c r="AM1188">
        <v>78.943605977417405</v>
      </c>
      <c r="AN1188">
        <v>1.00000000326808</v>
      </c>
    </row>
    <row r="1189" spans="1:40" x14ac:dyDescent="0.25">
      <c r="A1189" t="str">
        <f>"20190312151520022"</f>
        <v>20190312151520022</v>
      </c>
      <c r="B1189" t="str">
        <f>"1552374920018835"</f>
        <v>1552374920018835</v>
      </c>
      <c r="C1189" t="s">
        <v>40</v>
      </c>
      <c r="D1189">
        <v>4.9002509999999999</v>
      </c>
      <c r="E1189">
        <v>0.67035440000000002</v>
      </c>
      <c r="F1189" t="s">
        <v>43</v>
      </c>
      <c r="G1189">
        <v>-195.58529999999999</v>
      </c>
      <c r="H1189" s="1">
        <v>-5.2501449999999997E-6</v>
      </c>
      <c r="I1189">
        <v>349.50330000000002</v>
      </c>
      <c r="J1189">
        <v>-197.9366</v>
      </c>
      <c r="K1189">
        <v>1.0986929999999999</v>
      </c>
      <c r="L1189">
        <v>360.65460000000002</v>
      </c>
      <c r="M1189">
        <v>0.73862099999999997</v>
      </c>
      <c r="N1189">
        <v>0</v>
      </c>
      <c r="O1189">
        <v>-0.67393760000000003</v>
      </c>
      <c r="P1189">
        <v>0.59408930000000004</v>
      </c>
      <c r="Q1189">
        <v>-5.5552799999999999E-2</v>
      </c>
      <c r="R1189">
        <v>-0.80247840000000004</v>
      </c>
      <c r="S1189">
        <v>0.7064819</v>
      </c>
      <c r="T1189">
        <v>-0.31235540000000001</v>
      </c>
      <c r="U1189">
        <v>-3.2073670000000001</v>
      </c>
      <c r="V1189">
        <v>0.19124060000000001</v>
      </c>
      <c r="W1189">
        <v>-4.5228329999999997E-2</v>
      </c>
      <c r="X1189">
        <v>0.98050060000000006</v>
      </c>
      <c r="Y1189">
        <v>0.57630059999999905</v>
      </c>
      <c r="Z1189">
        <v>4.168463E-2</v>
      </c>
      <c r="AA1189">
        <v>0.81617399999999996</v>
      </c>
      <c r="AB1189">
        <v>30</v>
      </c>
      <c r="AC1189">
        <v>2.3513000000000002</v>
      </c>
      <c r="AD1189">
        <v>-1.098698250145</v>
      </c>
      <c r="AE1189">
        <v>-11.1512999999999</v>
      </c>
      <c r="AF1189">
        <v>6.5915138167252598</v>
      </c>
      <c r="AG1189">
        <v>-1.098698250145</v>
      </c>
      <c r="AH1189">
        <v>9.1679342981843597</v>
      </c>
      <c r="AI1189">
        <v>95.557539197049294</v>
      </c>
      <c r="AJ1189">
        <v>54.2848164080686</v>
      </c>
      <c r="AK1189">
        <v>11.344876003587499</v>
      </c>
      <c r="AL1189">
        <v>92.592276736345696</v>
      </c>
      <c r="AM1189">
        <v>78.963371304672805</v>
      </c>
      <c r="AN1189">
        <v>0.99999999776165405</v>
      </c>
    </row>
    <row r="1190" spans="1:40" x14ac:dyDescent="0.25">
      <c r="A1190" t="str">
        <f>"20190312151520037"</f>
        <v>20190312151520037</v>
      </c>
      <c r="B1190" t="str">
        <f>"1552374920028597"</f>
        <v>1552374920028597</v>
      </c>
      <c r="C1190" t="s">
        <v>40</v>
      </c>
      <c r="D1190">
        <v>4.7900280000000004</v>
      </c>
      <c r="E1190">
        <v>0.66953830000000003</v>
      </c>
      <c r="F1190" t="s">
        <v>43</v>
      </c>
      <c r="G1190">
        <v>-195.43790000000001</v>
      </c>
      <c r="H1190" s="1">
        <v>-5.0127420000000002E-6</v>
      </c>
      <c r="I1190">
        <v>348.88249999999999</v>
      </c>
      <c r="J1190">
        <v>-197.80070000000001</v>
      </c>
      <c r="K1190">
        <v>1.098635</v>
      </c>
      <c r="L1190">
        <v>360.51949999999999</v>
      </c>
      <c r="M1190">
        <v>0.73270299999999999</v>
      </c>
      <c r="N1190">
        <v>0</v>
      </c>
      <c r="O1190">
        <v>-0.68036640000000004</v>
      </c>
      <c r="P1190">
        <v>0.58720209999999995</v>
      </c>
      <c r="Q1190">
        <v>-5.5659029999999998E-2</v>
      </c>
      <c r="R1190">
        <v>-0.80752429999999997</v>
      </c>
      <c r="S1190">
        <v>0.68196109999999999</v>
      </c>
      <c r="T1190">
        <v>-0.29985620000000002</v>
      </c>
      <c r="U1190">
        <v>-3.2128299999999999</v>
      </c>
      <c r="V1190">
        <v>0.19104650000000001</v>
      </c>
      <c r="W1190">
        <v>-4.5338089999999998E-2</v>
      </c>
      <c r="X1190">
        <v>0.9805334</v>
      </c>
      <c r="Y1190">
        <v>0.57542559999999998</v>
      </c>
      <c r="Z1190">
        <v>4.0819399999999999E-2</v>
      </c>
      <c r="AA1190">
        <v>0.81683490000000003</v>
      </c>
      <c r="AB1190">
        <v>30</v>
      </c>
      <c r="AC1190">
        <v>2.3627999999999898</v>
      </c>
      <c r="AD1190">
        <v>-1.098640012742</v>
      </c>
      <c r="AE1190">
        <v>-11.637</v>
      </c>
      <c r="AF1190">
        <v>6.8610210656258399</v>
      </c>
      <c r="AG1190">
        <v>-1.098640012742</v>
      </c>
      <c r="AH1190">
        <v>9.5679469955379197</v>
      </c>
      <c r="AI1190">
        <v>95.331022658688596</v>
      </c>
      <c r="AJ1190">
        <v>54.356300741576803</v>
      </c>
      <c r="AK1190">
        <v>11.8248141486444</v>
      </c>
      <c r="AL1190">
        <v>92.598571900111594</v>
      </c>
      <c r="AM1190">
        <v>78.974658103424304</v>
      </c>
      <c r="AN1190">
        <v>1.0000000280413199</v>
      </c>
    </row>
    <row r="1191" spans="1:40" x14ac:dyDescent="0.25">
      <c r="A1191" t="str">
        <f>"20190312151520053"</f>
        <v>20190312151520053</v>
      </c>
      <c r="B1191" t="str">
        <f>"1552374920049092"</f>
        <v>1552374920049092</v>
      </c>
      <c r="C1191" t="s">
        <v>40</v>
      </c>
      <c r="D1191">
        <v>4.9141570000000003</v>
      </c>
      <c r="E1191">
        <v>0.66870680000000005</v>
      </c>
      <c r="F1191" t="s">
        <v>43</v>
      </c>
      <c r="G1191">
        <v>-195.40729999999999</v>
      </c>
      <c r="H1191" s="1">
        <v>-4.9985630000000003E-6</v>
      </c>
      <c r="I1191">
        <v>348.85680000000002</v>
      </c>
      <c r="J1191">
        <v>-197.6388</v>
      </c>
      <c r="K1191">
        <v>1.098568</v>
      </c>
      <c r="L1191">
        <v>360.35539999999997</v>
      </c>
      <c r="M1191">
        <v>0.72545499999999996</v>
      </c>
      <c r="N1191">
        <v>0</v>
      </c>
      <c r="O1191">
        <v>-0.68808899999999995</v>
      </c>
      <c r="P1191">
        <v>0.57859899999999997</v>
      </c>
      <c r="Q1191">
        <v>-5.561344E-2</v>
      </c>
      <c r="R1191">
        <v>-0.81371400000000005</v>
      </c>
      <c r="S1191">
        <v>0.65968319999999903</v>
      </c>
      <c r="T1191">
        <v>-0.30280629999999997</v>
      </c>
      <c r="U1191">
        <v>-3.2144780000000002</v>
      </c>
      <c r="V1191">
        <v>0.19106329999999999</v>
      </c>
      <c r="W1191">
        <v>-4.5302670000000003E-2</v>
      </c>
      <c r="X1191">
        <v>0.98053179999999995</v>
      </c>
      <c r="Y1191">
        <v>0.57228639999999997</v>
      </c>
      <c r="Z1191">
        <v>4.2315999999999999E-2</v>
      </c>
      <c r="AA1191">
        <v>0.8189613</v>
      </c>
      <c r="AB1191">
        <v>30</v>
      </c>
      <c r="AC1191">
        <v>2.2315000000000098</v>
      </c>
      <c r="AD1191">
        <v>-1.0985729985629999</v>
      </c>
      <c r="AE1191">
        <v>-11.4985999999999</v>
      </c>
      <c r="AF1191">
        <v>6.7477355959228804</v>
      </c>
      <c r="AG1191">
        <v>-1.0985729985629999</v>
      </c>
      <c r="AH1191">
        <v>9.4489794393328292</v>
      </c>
      <c r="AI1191">
        <v>95.404944938460901</v>
      </c>
      <c r="AJ1191">
        <v>54.468487676805502</v>
      </c>
      <c r="AK1191">
        <v>11.6628474546566</v>
      </c>
      <c r="AL1191">
        <v>92.596540303737399</v>
      </c>
      <c r="AM1191">
        <v>78.973694779905301</v>
      </c>
      <c r="AN1191">
        <v>1.0000000636636199</v>
      </c>
    </row>
    <row r="1192" spans="1:40" x14ac:dyDescent="0.25">
      <c r="A1192" t="str">
        <f>"20190312151520065"</f>
        <v>20190312151520065</v>
      </c>
      <c r="B1192" t="str">
        <f>"1552374920058852"</f>
        <v>1552374920058852</v>
      </c>
      <c r="C1192" t="s">
        <v>40</v>
      </c>
      <c r="D1192">
        <v>4.8877680000000003</v>
      </c>
      <c r="E1192">
        <v>0.66826869999999905</v>
      </c>
      <c r="F1192" t="s">
        <v>43</v>
      </c>
      <c r="G1192">
        <v>-195.4016</v>
      </c>
      <c r="H1192" s="1">
        <v>-5.0266409999999999E-6</v>
      </c>
      <c r="I1192">
        <v>348.94220000000001</v>
      </c>
      <c r="J1192">
        <v>-197.52860000000001</v>
      </c>
      <c r="K1192">
        <v>1.0985229999999999</v>
      </c>
      <c r="L1192">
        <v>360.24099999999999</v>
      </c>
      <c r="M1192">
        <v>0.72037369999999901</v>
      </c>
      <c r="N1192">
        <v>0</v>
      </c>
      <c r="O1192">
        <v>-0.69340679999999999</v>
      </c>
      <c r="P1192">
        <v>0.57265250000000001</v>
      </c>
      <c r="Q1192">
        <v>-5.5221159999999998E-2</v>
      </c>
      <c r="R1192">
        <v>-0.81793640000000001</v>
      </c>
      <c r="S1192">
        <v>0.63063049999999998</v>
      </c>
      <c r="T1192">
        <v>-0.30967280000000003</v>
      </c>
      <c r="U1192">
        <v>-3.2172239999999999</v>
      </c>
      <c r="V1192">
        <v>0.1910231</v>
      </c>
      <c r="W1192">
        <v>-4.4913790000000002E-2</v>
      </c>
      <c r="X1192">
        <v>0.98055740000000002</v>
      </c>
      <c r="Y1192">
        <v>0.57350279999999998</v>
      </c>
      <c r="Z1192">
        <v>4.3903739999999997E-2</v>
      </c>
      <c r="AA1192">
        <v>0.81802619999999904</v>
      </c>
      <c r="AB1192">
        <v>30</v>
      </c>
      <c r="AC1192">
        <v>2.1269999999999998</v>
      </c>
      <c r="AD1192">
        <v>-1.098528026641</v>
      </c>
      <c r="AE1192">
        <v>-11.2987999999999</v>
      </c>
      <c r="AF1192">
        <v>6.6050125323135704</v>
      </c>
      <c r="AG1192">
        <v>-1.098528026641</v>
      </c>
      <c r="AH1192">
        <v>9.2833154047189907</v>
      </c>
      <c r="AI1192">
        <v>95.507388647485598</v>
      </c>
      <c r="AJ1192">
        <v>54.568420997745498</v>
      </c>
      <c r="AK1192">
        <v>11.4460866360878</v>
      </c>
      <c r="AL1192">
        <v>92.574236727584903</v>
      </c>
      <c r="AM1192">
        <v>78.976238651842493</v>
      </c>
      <c r="AN1192">
        <v>0.99999994398026504</v>
      </c>
    </row>
    <row r="1193" spans="1:40" x14ac:dyDescent="0.25">
      <c r="A1193" t="str">
        <f>"20190312151520078"</f>
        <v>20190312151520078</v>
      </c>
      <c r="B1193" t="str">
        <f>"1552374920068612"</f>
        <v>1552374920068612</v>
      </c>
      <c r="C1193" t="s">
        <v>40</v>
      </c>
      <c r="D1193">
        <v>4.8857869999999997</v>
      </c>
      <c r="E1193">
        <v>0.66777350000000002</v>
      </c>
      <c r="F1193" t="s">
        <v>43</v>
      </c>
      <c r="G1193">
        <v>-195.38470000000001</v>
      </c>
      <c r="H1193" s="1">
        <v>-5.0165909999999999E-6</v>
      </c>
      <c r="I1193">
        <v>348.92149999999998</v>
      </c>
      <c r="J1193">
        <v>-197.41210000000001</v>
      </c>
      <c r="K1193">
        <v>1.098473</v>
      </c>
      <c r="L1193">
        <v>360.11860000000001</v>
      </c>
      <c r="M1193">
        <v>0.71490810000000005</v>
      </c>
      <c r="N1193">
        <v>0</v>
      </c>
      <c r="O1193">
        <v>-0.69904029999999995</v>
      </c>
      <c r="P1193">
        <v>0.56617299999999904</v>
      </c>
      <c r="Q1193">
        <v>-5.5455329999999997E-2</v>
      </c>
      <c r="R1193">
        <v>-0.82241909999999896</v>
      </c>
      <c r="S1193">
        <v>0.60981750000000001</v>
      </c>
      <c r="T1193">
        <v>-0.31246439999999998</v>
      </c>
      <c r="U1193">
        <v>-3.2196959999999999</v>
      </c>
      <c r="V1193">
        <v>0.19105030000000001</v>
      </c>
      <c r="W1193">
        <v>-4.5153980000000003E-2</v>
      </c>
      <c r="X1193">
        <v>0.98054110000000005</v>
      </c>
      <c r="Y1193">
        <v>0.57229949999999996</v>
      </c>
      <c r="Z1193">
        <v>4.5069989999999997E-2</v>
      </c>
      <c r="AA1193">
        <v>0.81880520000000001</v>
      </c>
      <c r="AB1193">
        <v>30</v>
      </c>
      <c r="AC1193">
        <v>2.0274000000000001</v>
      </c>
      <c r="AD1193">
        <v>-1.098478016591</v>
      </c>
      <c r="AE1193">
        <v>-11.197100000000001</v>
      </c>
      <c r="AF1193">
        <v>6.5276535511676297</v>
      </c>
      <c r="AG1193">
        <v>-1.098478016591</v>
      </c>
      <c r="AH1193">
        <v>9.1921243416974701</v>
      </c>
      <c r="AI1193">
        <v>95.564976097566898</v>
      </c>
      <c r="AJ1193">
        <v>54.620087971001603</v>
      </c>
      <c r="AK1193">
        <v>11.3274915471269</v>
      </c>
      <c r="AL1193">
        <v>92.588012500300707</v>
      </c>
      <c r="AM1193">
        <v>78.974528638182605</v>
      </c>
      <c r="AN1193">
        <v>0.99999997391456896</v>
      </c>
    </row>
    <row r="1194" spans="1:40" x14ac:dyDescent="0.25">
      <c r="A1194" t="str">
        <f>"20190312151520091"</f>
        <v>20190312151520091</v>
      </c>
      <c r="B1194" t="str">
        <f>"1552374920078372"</f>
        <v>1552374920078372</v>
      </c>
      <c r="C1194" t="s">
        <v>40</v>
      </c>
      <c r="D1194">
        <v>4.9427209999999997</v>
      </c>
      <c r="E1194">
        <v>0.66733469999999995</v>
      </c>
      <c r="F1194" t="s">
        <v>43</v>
      </c>
      <c r="G1194">
        <v>-195.37200000000001</v>
      </c>
      <c r="H1194" s="1">
        <v>-5.0167190000000001E-6</v>
      </c>
      <c r="I1194">
        <v>348.92849999999999</v>
      </c>
      <c r="J1194">
        <v>-197.29499999999999</v>
      </c>
      <c r="K1194">
        <v>1.098433</v>
      </c>
      <c r="L1194">
        <v>359.9939</v>
      </c>
      <c r="M1194">
        <v>0.70930799999999905</v>
      </c>
      <c r="N1194">
        <v>0</v>
      </c>
      <c r="O1194">
        <v>-0.70472159999999995</v>
      </c>
      <c r="P1194">
        <v>0.55964849999999999</v>
      </c>
      <c r="Q1194">
        <v>-5.5544219999999998E-2</v>
      </c>
      <c r="R1194">
        <v>-0.82686689999999996</v>
      </c>
      <c r="S1194">
        <v>0.58741759999999998</v>
      </c>
      <c r="T1194">
        <v>-0.31629859999999999</v>
      </c>
      <c r="U1194">
        <v>-3.2221069999999998</v>
      </c>
      <c r="V1194">
        <v>0.19097459999999999</v>
      </c>
      <c r="W1194">
        <v>-4.5244640000000003E-2</v>
      </c>
      <c r="X1194">
        <v>0.98055170000000003</v>
      </c>
      <c r="Y1194">
        <v>0.57138080000000002</v>
      </c>
      <c r="Z1194">
        <v>4.6400110000000001E-2</v>
      </c>
      <c r="AA1194">
        <v>0.81937229999999905</v>
      </c>
      <c r="AB1194">
        <v>30</v>
      </c>
      <c r="AC1194">
        <v>1.9229999999999701</v>
      </c>
      <c r="AD1194">
        <v>-1.098438016719</v>
      </c>
      <c r="AE1194">
        <v>-11.0654</v>
      </c>
      <c r="AF1194">
        <v>6.4328758959367898</v>
      </c>
      <c r="AG1194">
        <v>-1.098438016719</v>
      </c>
      <c r="AH1194">
        <v>9.0763521615966098</v>
      </c>
      <c r="AI1194">
        <v>95.638960139619002</v>
      </c>
      <c r="AJ1194">
        <v>54.672845102069601</v>
      </c>
      <c r="AK1194">
        <v>11.1789367531271</v>
      </c>
      <c r="AL1194">
        <v>92.593212167181804</v>
      </c>
      <c r="AM1194">
        <v>78.9789065053602</v>
      </c>
      <c r="AN1194">
        <v>1.00000000583338</v>
      </c>
    </row>
    <row r="1195" spans="1:40" x14ac:dyDescent="0.25">
      <c r="A1195" t="str">
        <f>"20190312151520102"</f>
        <v>20190312151520102</v>
      </c>
      <c r="B1195" t="str">
        <f>"1552374920098868"</f>
        <v>1552374920098868</v>
      </c>
      <c r="C1195" t="s">
        <v>40</v>
      </c>
      <c r="D1195">
        <v>4.879677</v>
      </c>
      <c r="E1195">
        <v>0.66628580000000004</v>
      </c>
      <c r="F1195" t="s">
        <v>43</v>
      </c>
      <c r="G1195">
        <v>-195.35489999999999</v>
      </c>
      <c r="H1195" s="1">
        <v>-5.008063E-6</v>
      </c>
      <c r="I1195">
        <v>348.91199999999998</v>
      </c>
      <c r="J1195">
        <v>-197.18639999999999</v>
      </c>
      <c r="K1195">
        <v>1.0984</v>
      </c>
      <c r="L1195">
        <v>359.87569999999999</v>
      </c>
      <c r="M1195">
        <v>0.70397670000000001</v>
      </c>
      <c r="N1195">
        <v>0</v>
      </c>
      <c r="O1195">
        <v>-0.71004690000000004</v>
      </c>
      <c r="P1195">
        <v>0.55332360000000003</v>
      </c>
      <c r="Q1195">
        <v>-5.5579299999999998E-2</v>
      </c>
      <c r="R1195">
        <v>-0.83111009999999996</v>
      </c>
      <c r="S1195">
        <v>0.56452939999999996</v>
      </c>
      <c r="T1195">
        <v>-0.31962429999999997</v>
      </c>
      <c r="U1195">
        <v>-3.22464</v>
      </c>
      <c r="V1195">
        <v>0.1910599</v>
      </c>
      <c r="W1195">
        <v>-4.5284970000000001E-2</v>
      </c>
      <c r="X1195">
        <v>0.98053319999999999</v>
      </c>
      <c r="Y1195">
        <v>0.57095379999999996</v>
      </c>
      <c r="Z1195">
        <v>4.760557E-2</v>
      </c>
      <c r="AA1195">
        <v>0.81960080000000002</v>
      </c>
      <c r="AB1195">
        <v>30</v>
      </c>
      <c r="AC1195">
        <v>1.8314999999999999</v>
      </c>
      <c r="AD1195">
        <v>-1.0984050080629999</v>
      </c>
      <c r="AE1195">
        <v>-10.963699999999999</v>
      </c>
      <c r="AF1195">
        <v>6.3564726618296596</v>
      </c>
      <c r="AG1195">
        <v>-1.0984050080629999</v>
      </c>
      <c r="AH1195">
        <v>8.9874505020630409</v>
      </c>
      <c r="AI1195">
        <v>95.698181710467694</v>
      </c>
      <c r="AJ1195">
        <v>54.729722433181898</v>
      </c>
      <c r="AK1195">
        <v>11.062798235047</v>
      </c>
      <c r="AL1195">
        <v>92.595525330692695</v>
      </c>
      <c r="AM1195">
        <v>78.973901543180403</v>
      </c>
      <c r="AN1195">
        <v>0.99999998509907495</v>
      </c>
    </row>
    <row r="1196" spans="1:40" x14ac:dyDescent="0.25">
      <c r="A1196" t="str">
        <f>"20190312151520121"</f>
        <v>20190312151520121</v>
      </c>
      <c r="B1196" t="str">
        <f>"1552374920118387"</f>
        <v>1552374920118387</v>
      </c>
      <c r="C1196" t="s">
        <v>40</v>
      </c>
      <c r="D1196">
        <v>4.8278559999999997</v>
      </c>
      <c r="E1196">
        <v>0.66521859999999999</v>
      </c>
      <c r="F1196" t="s">
        <v>43</v>
      </c>
      <c r="G1196">
        <v>-195.3323</v>
      </c>
      <c r="H1196" s="1">
        <v>-5.0141750000000002E-6</v>
      </c>
      <c r="I1196">
        <v>348.94170000000003</v>
      </c>
      <c r="J1196">
        <v>-197.01660000000001</v>
      </c>
      <c r="K1196">
        <v>1.0983510000000001</v>
      </c>
      <c r="L1196">
        <v>359.68770000000001</v>
      </c>
      <c r="M1196">
        <v>0.6954534</v>
      </c>
      <c r="N1196">
        <v>0</v>
      </c>
      <c r="O1196">
        <v>-0.7183967</v>
      </c>
      <c r="P1196">
        <v>0.5432553</v>
      </c>
      <c r="Q1196">
        <v>-5.5870089999999997E-2</v>
      </c>
      <c r="R1196">
        <v>-0.83770639999999996</v>
      </c>
      <c r="S1196">
        <v>0.54670719999999995</v>
      </c>
      <c r="T1196">
        <v>-0.32387759999999999</v>
      </c>
      <c r="U1196">
        <v>-3.2239990000000001</v>
      </c>
      <c r="V1196">
        <v>0.191164</v>
      </c>
      <c r="W1196">
        <v>-4.5582699999999997E-2</v>
      </c>
      <c r="X1196">
        <v>0.98049909999999996</v>
      </c>
      <c r="Y1196">
        <v>0.56554130000000002</v>
      </c>
      <c r="Z1196">
        <v>4.9621289999999998E-2</v>
      </c>
      <c r="AA1196">
        <v>0.82322580000000001</v>
      </c>
      <c r="AB1196">
        <v>30</v>
      </c>
      <c r="AC1196">
        <v>1.6842999999999999</v>
      </c>
      <c r="AD1196">
        <v>-1.098356014175</v>
      </c>
      <c r="AE1196">
        <v>-10.745999999999899</v>
      </c>
      <c r="AF1196">
        <v>6.2009043824333201</v>
      </c>
      <c r="AG1196">
        <v>-1.098356014175</v>
      </c>
      <c r="AH1196">
        <v>8.8026020540469307</v>
      </c>
      <c r="AI1196">
        <v>95.824452348129299</v>
      </c>
      <c r="AJ1196">
        <v>54.837604611800501</v>
      </c>
      <c r="AK1196">
        <v>10.8232806494087</v>
      </c>
      <c r="AL1196">
        <v>92.612601673451096</v>
      </c>
      <c r="AM1196">
        <v>78.967667001935197</v>
      </c>
      <c r="AN1196">
        <v>0.99999997126804896</v>
      </c>
    </row>
    <row r="1197" spans="1:40" x14ac:dyDescent="0.25">
      <c r="A1197" t="str">
        <f>"20190312151520134"</f>
        <v>20190312151520134</v>
      </c>
      <c r="B1197" t="str">
        <f>"1552374920128148"</f>
        <v>1552374920128148</v>
      </c>
      <c r="C1197" t="s">
        <v>40</v>
      </c>
      <c r="D1197">
        <v>4.9299980000000003</v>
      </c>
      <c r="E1197">
        <v>0.66468269999999996</v>
      </c>
      <c r="F1197" t="s">
        <v>43</v>
      </c>
      <c r="G1197">
        <v>-195.30340000000001</v>
      </c>
      <c r="H1197" s="1">
        <v>-5.0103299999999997E-6</v>
      </c>
      <c r="I1197">
        <v>348.94549999999998</v>
      </c>
      <c r="J1197">
        <v>-196.9033</v>
      </c>
      <c r="K1197">
        <v>1.0983210000000001</v>
      </c>
      <c r="L1197">
        <v>359.56020000000001</v>
      </c>
      <c r="M1197">
        <v>0.68963339999999995</v>
      </c>
      <c r="N1197">
        <v>0</v>
      </c>
      <c r="O1197">
        <v>-0.72398530000000005</v>
      </c>
      <c r="P1197">
        <v>0.53628869999999995</v>
      </c>
      <c r="Q1197">
        <v>-5.5759370000000003E-2</v>
      </c>
      <c r="R1197">
        <v>-0.84219080000000002</v>
      </c>
      <c r="S1197">
        <v>0.51443479999999997</v>
      </c>
      <c r="T1197">
        <v>-0.32980559999999998</v>
      </c>
      <c r="U1197">
        <v>-3.2255859999999998</v>
      </c>
      <c r="V1197">
        <v>0.19138869999999999</v>
      </c>
      <c r="W1197">
        <v>-4.5480399999999997E-2</v>
      </c>
      <c r="X1197">
        <v>0.98046</v>
      </c>
      <c r="Y1197">
        <v>0.56697489999999995</v>
      </c>
      <c r="Z1197">
        <v>5.1254880000000003E-2</v>
      </c>
      <c r="AA1197">
        <v>0.82213899999999995</v>
      </c>
      <c r="AB1197">
        <v>29</v>
      </c>
      <c r="AC1197">
        <v>1.5998999999999901</v>
      </c>
      <c r="AD1197">
        <v>-1.0983260103300001</v>
      </c>
      <c r="AE1197">
        <v>-10.614699999999999</v>
      </c>
      <c r="AF1197">
        <v>6.0988741679503997</v>
      </c>
      <c r="AG1197">
        <v>-1.0983260103300001</v>
      </c>
      <c r="AH1197">
        <v>8.6982753245576703</v>
      </c>
      <c r="AI1197">
        <v>95.902701272925398</v>
      </c>
      <c r="AJ1197">
        <v>54.9634357907319</v>
      </c>
      <c r="AK1197">
        <v>10.68000841588</v>
      </c>
      <c r="AL1197">
        <v>92.606734268606999</v>
      </c>
      <c r="AM1197">
        <v>78.954588329125201</v>
      </c>
      <c r="AN1197">
        <v>0.99999995643592399</v>
      </c>
    </row>
    <row r="1198" spans="1:40" x14ac:dyDescent="0.25">
      <c r="A1198" t="str">
        <f>"20190312151520145"</f>
        <v>20190312151520145</v>
      </c>
      <c r="B1198" t="str">
        <f>"1552374920138884"</f>
        <v>1552374920138884</v>
      </c>
      <c r="C1198" t="s">
        <v>40</v>
      </c>
      <c r="D1198">
        <v>4.8733839999999997</v>
      </c>
      <c r="E1198">
        <v>0.6641859</v>
      </c>
      <c r="F1198" t="s">
        <v>43</v>
      </c>
      <c r="G1198">
        <v>-195.27780000000001</v>
      </c>
      <c r="H1198" s="1">
        <v>-4.9854949999999996E-6</v>
      </c>
      <c r="I1198">
        <v>348.88580000000002</v>
      </c>
      <c r="J1198">
        <v>-196.7989</v>
      </c>
      <c r="K1198">
        <v>1.0983000000000001</v>
      </c>
      <c r="L1198">
        <v>359.43990000000002</v>
      </c>
      <c r="M1198">
        <v>0.68413219999999997</v>
      </c>
      <c r="N1198">
        <v>0</v>
      </c>
      <c r="O1198">
        <v>-0.72918559999999999</v>
      </c>
      <c r="P1198">
        <v>0.52994750000000002</v>
      </c>
      <c r="Q1198">
        <v>-5.5762859999999997E-2</v>
      </c>
      <c r="R1198">
        <v>-0.84619509999999898</v>
      </c>
      <c r="S1198">
        <v>0.49143979999999998</v>
      </c>
      <c r="T1198">
        <v>-0.33205679999999999</v>
      </c>
      <c r="U1198">
        <v>-3.2271730000000001</v>
      </c>
      <c r="V1198">
        <v>0.191328</v>
      </c>
      <c r="W1198">
        <v>-4.5482450000000001E-2</v>
      </c>
      <c r="X1198">
        <v>0.9804718</v>
      </c>
      <c r="Y1198">
        <v>0.56652950000000002</v>
      </c>
      <c r="Z1198">
        <v>5.2352290000000003E-2</v>
      </c>
      <c r="AA1198">
        <v>0.82237680000000002</v>
      </c>
      <c r="AB1198">
        <v>29</v>
      </c>
      <c r="AC1198">
        <v>1.5210999999999899</v>
      </c>
      <c r="AD1198">
        <v>-1.098304985495</v>
      </c>
      <c r="AE1198">
        <v>-10.5541</v>
      </c>
      <c r="AF1198">
        <v>6.0478424287900996</v>
      </c>
      <c r="AG1198">
        <v>-1.098304985495</v>
      </c>
      <c r="AH1198">
        <v>8.6459055309012705</v>
      </c>
      <c r="AI1198">
        <v>95.942674894551601</v>
      </c>
      <c r="AJ1198">
        <v>55.027070880586599</v>
      </c>
      <c r="AK1198">
        <v>10.6082210730124</v>
      </c>
      <c r="AL1198">
        <v>92.606851723287605</v>
      </c>
      <c r="AM1198">
        <v>78.958134958260999</v>
      </c>
      <c r="AN1198">
        <v>1.0000000037186201</v>
      </c>
    </row>
    <row r="1199" spans="1:40" x14ac:dyDescent="0.25">
      <c r="A1199" t="str">
        <f>"20190312151520158"</f>
        <v>20190312151520158</v>
      </c>
      <c r="B1199" t="str">
        <f>"1552374920148644"</f>
        <v>1552374920148644</v>
      </c>
      <c r="C1199" t="s">
        <v>40</v>
      </c>
      <c r="D1199">
        <v>4.9090009999999999</v>
      </c>
      <c r="E1199">
        <v>0.66369100000000003</v>
      </c>
      <c r="F1199" t="s">
        <v>43</v>
      </c>
      <c r="G1199">
        <v>-195.25839999999999</v>
      </c>
      <c r="H1199" s="1">
        <v>-4.9737719999999998E-6</v>
      </c>
      <c r="I1199">
        <v>348.86149999999998</v>
      </c>
      <c r="J1199">
        <v>-196.69909999999999</v>
      </c>
      <c r="K1199">
        <v>1.098276</v>
      </c>
      <c r="L1199">
        <v>359.3236</v>
      </c>
      <c r="M1199">
        <v>0.67878909999999903</v>
      </c>
      <c r="N1199">
        <v>0</v>
      </c>
      <c r="O1199">
        <v>-0.73416190000000003</v>
      </c>
      <c r="P1199">
        <v>0.52352540000000003</v>
      </c>
      <c r="Q1199">
        <v>-5.580475E-2</v>
      </c>
      <c r="R1199">
        <v>-0.85018079999999996</v>
      </c>
      <c r="S1199">
        <v>0.4701996</v>
      </c>
      <c r="T1199">
        <v>-0.33522590000000002</v>
      </c>
      <c r="U1199">
        <v>-3.2287599999999999</v>
      </c>
      <c r="V1199">
        <v>0.1915866</v>
      </c>
      <c r="W1199">
        <v>-4.553244E-2</v>
      </c>
      <c r="X1199">
        <v>0.98041900000000004</v>
      </c>
      <c r="Y1199">
        <v>0.56587310000000002</v>
      </c>
      <c r="Z1199">
        <v>5.3580900000000001E-2</v>
      </c>
      <c r="AA1199">
        <v>0.82274950000000002</v>
      </c>
      <c r="AB1199">
        <v>29</v>
      </c>
      <c r="AC1199">
        <v>1.4406999999999901</v>
      </c>
      <c r="AD1199">
        <v>-1.0982809737720001</v>
      </c>
      <c r="AE1199">
        <v>-10.4621</v>
      </c>
      <c r="AF1199">
        <v>5.9799393717970197</v>
      </c>
      <c r="AG1199">
        <v>-1.0982809737720001</v>
      </c>
      <c r="AH1199">
        <v>8.5672408171570495</v>
      </c>
      <c r="AI1199">
        <v>96.000917182439693</v>
      </c>
      <c r="AJ1199">
        <v>55.084935421468899</v>
      </c>
      <c r="AK1199">
        <v>10.505403904985201</v>
      </c>
      <c r="AL1199">
        <v>92.6097188620206</v>
      </c>
      <c r="AM1199">
        <v>78.942997455721098</v>
      </c>
      <c r="AN1199">
        <v>1.00000002197645</v>
      </c>
    </row>
    <row r="1200" spans="1:40" x14ac:dyDescent="0.25">
      <c r="A1200" t="str">
        <f>"20190312151520169"</f>
        <v>20190312151520169</v>
      </c>
      <c r="B1200" t="str">
        <f>"1552374920158404"</f>
        <v>1552374920158404</v>
      </c>
      <c r="C1200" t="s">
        <v>40</v>
      </c>
      <c r="D1200">
        <v>4.8850519999999999</v>
      </c>
      <c r="E1200">
        <v>0.66317559999999998</v>
      </c>
      <c r="F1200" t="s">
        <v>43</v>
      </c>
      <c r="G1200">
        <v>-195.23920000000001</v>
      </c>
      <c r="H1200" s="1">
        <v>-4.9584900000000002E-6</v>
      </c>
      <c r="I1200">
        <v>348.82659999999998</v>
      </c>
      <c r="J1200">
        <v>-196.59710000000001</v>
      </c>
      <c r="K1200">
        <v>1.0982559999999999</v>
      </c>
      <c r="L1200">
        <v>359.20299999999997</v>
      </c>
      <c r="M1200">
        <v>0.67323080000000002</v>
      </c>
      <c r="N1200">
        <v>0</v>
      </c>
      <c r="O1200">
        <v>-0.73926190000000003</v>
      </c>
      <c r="P1200">
        <v>0.51691379999999998</v>
      </c>
      <c r="Q1200">
        <v>-5.5996299999999999E-2</v>
      </c>
      <c r="R1200">
        <v>-0.85420399999999996</v>
      </c>
      <c r="S1200">
        <v>0.44920349999999998</v>
      </c>
      <c r="T1200">
        <v>-0.33794000000000002</v>
      </c>
      <c r="U1200">
        <v>-3.2299190000000002</v>
      </c>
      <c r="V1200">
        <v>0.19178010000000001</v>
      </c>
      <c r="W1200">
        <v>-4.572967E-2</v>
      </c>
      <c r="X1200">
        <v>0.98037200000000002</v>
      </c>
      <c r="Y1200">
        <v>0.56494619999999995</v>
      </c>
      <c r="Z1200">
        <v>5.4786420000000002E-2</v>
      </c>
      <c r="AA1200">
        <v>0.82330689999999995</v>
      </c>
      <c r="AB1200">
        <v>29</v>
      </c>
      <c r="AC1200">
        <v>1.3579000000000001</v>
      </c>
      <c r="AD1200">
        <v>-1.0982609584899901</v>
      </c>
      <c r="AE1200">
        <v>-10.3764</v>
      </c>
      <c r="AF1200">
        <v>5.9174481093550604</v>
      </c>
      <c r="AG1200">
        <v>-1.0982609584899901</v>
      </c>
      <c r="AH1200">
        <v>8.4926026627450906</v>
      </c>
      <c r="AI1200">
        <v>96.056608578328394</v>
      </c>
      <c r="AJ1200">
        <v>55.132112840657797</v>
      </c>
      <c r="AK1200">
        <v>10.408970614192199</v>
      </c>
      <c r="AL1200">
        <v>92.621031060293902</v>
      </c>
      <c r="AM1200">
        <v>78.931588131876893</v>
      </c>
      <c r="AN1200">
        <v>1.0000000339291499</v>
      </c>
    </row>
    <row r="1201" spans="1:40" x14ac:dyDescent="0.25">
      <c r="A1201" t="str">
        <f>"20190312151520187"</f>
        <v>20190312151520187</v>
      </c>
      <c r="B1201" t="str">
        <f>"1552374920178900"</f>
        <v>1552374920178900</v>
      </c>
      <c r="C1201" t="s">
        <v>40</v>
      </c>
      <c r="D1201">
        <v>4.9027010000000004</v>
      </c>
      <c r="E1201">
        <v>0.66220140000000005</v>
      </c>
      <c r="F1201" t="s">
        <v>43</v>
      </c>
      <c r="G1201">
        <v>-195.22030000000001</v>
      </c>
      <c r="H1201" s="1">
        <v>-4.9476410000000004E-6</v>
      </c>
      <c r="I1201">
        <v>348.80459999999999</v>
      </c>
      <c r="J1201">
        <v>-196.44229999999999</v>
      </c>
      <c r="K1201">
        <v>1.0982229999999999</v>
      </c>
      <c r="L1201">
        <v>359.01589999999999</v>
      </c>
      <c r="M1201">
        <v>0.664578</v>
      </c>
      <c r="N1201">
        <v>0</v>
      </c>
      <c r="O1201">
        <v>-0.74704999999999999</v>
      </c>
      <c r="P1201">
        <v>0.50677589999999995</v>
      </c>
      <c r="Q1201">
        <v>-5.64003E-2</v>
      </c>
      <c r="R1201">
        <v>-0.86023099999999997</v>
      </c>
      <c r="S1201">
        <v>0.4277649</v>
      </c>
      <c r="T1201">
        <v>-0.34122989999999997</v>
      </c>
      <c r="U1201">
        <v>-3.230804</v>
      </c>
      <c r="V1201">
        <v>0.1919283</v>
      </c>
      <c r="W1201">
        <v>-4.6137160000000003E-2</v>
      </c>
      <c r="X1201">
        <v>0.98032390000000003</v>
      </c>
      <c r="Y1201">
        <v>0.56074820000000003</v>
      </c>
      <c r="Z1201">
        <v>5.6630560000000003E-2</v>
      </c>
      <c r="AA1201">
        <v>0.82604750000000005</v>
      </c>
      <c r="AB1201">
        <v>29</v>
      </c>
      <c r="AC1201">
        <v>1.22199999999998</v>
      </c>
      <c r="AD1201">
        <v>-1.098227947641</v>
      </c>
      <c r="AE1201">
        <v>-10.2112999999999</v>
      </c>
      <c r="AF1201">
        <v>5.8078206330135203</v>
      </c>
      <c r="AG1201">
        <v>-1.098227947641</v>
      </c>
      <c r="AH1201">
        <v>8.3463516390850394</v>
      </c>
      <c r="AI1201">
        <v>96.164397491548897</v>
      </c>
      <c r="AJ1201">
        <v>55.167818545217003</v>
      </c>
      <c r="AK1201">
        <v>10.2273393809678</v>
      </c>
      <c r="AL1201">
        <v>92.6444031980554</v>
      </c>
      <c r="AM1201">
        <v>78.922716313045399</v>
      </c>
      <c r="AN1201">
        <v>1.00000002939248</v>
      </c>
    </row>
    <row r="1202" spans="1:40" x14ac:dyDescent="0.25">
      <c r="A1202" t="str">
        <f>"20190312151520200"</f>
        <v>20190312151520200</v>
      </c>
      <c r="B1202" t="str">
        <f>"1552374920188660"</f>
        <v>1552374920188660</v>
      </c>
      <c r="C1202" t="s">
        <v>40</v>
      </c>
      <c r="D1202">
        <v>4.8210569999999997</v>
      </c>
      <c r="E1202">
        <v>0.66220140000000005</v>
      </c>
      <c r="F1202" t="s">
        <v>43</v>
      </c>
      <c r="G1202">
        <v>-195.1885</v>
      </c>
      <c r="H1202" s="1">
        <v>-4.9344499999999998E-6</v>
      </c>
      <c r="I1202">
        <v>348.7824</v>
      </c>
      <c r="J1202">
        <v>-196.3407</v>
      </c>
      <c r="K1202">
        <v>1.0982069999999999</v>
      </c>
      <c r="L1202">
        <v>358.89080000000001</v>
      </c>
      <c r="M1202">
        <v>0.65877169999999996</v>
      </c>
      <c r="N1202">
        <v>0</v>
      </c>
      <c r="O1202">
        <v>-0.75217489999999998</v>
      </c>
      <c r="P1202">
        <v>0.49994719999999998</v>
      </c>
      <c r="Q1202">
        <v>-5.664541E-2</v>
      </c>
      <c r="R1202">
        <v>-0.86420169999999996</v>
      </c>
      <c r="S1202">
        <v>0.39591979999999999</v>
      </c>
      <c r="T1202">
        <v>-0.34679529999999997</v>
      </c>
      <c r="U1202">
        <v>-3.231506</v>
      </c>
      <c r="V1202">
        <v>0.19208030000000001</v>
      </c>
      <c r="W1202">
        <v>-4.638569E-2</v>
      </c>
      <c r="X1202">
        <v>0.9802824</v>
      </c>
      <c r="Y1202">
        <v>0.56236949999999997</v>
      </c>
      <c r="Z1202">
        <v>5.8260079999999999E-2</v>
      </c>
      <c r="AA1202">
        <v>0.82483109999999904</v>
      </c>
      <c r="AB1202">
        <v>29</v>
      </c>
      <c r="AC1202">
        <v>1.1521999999999899</v>
      </c>
      <c r="AD1202">
        <v>-1.0982119344500001</v>
      </c>
      <c r="AE1202">
        <v>-10.1084</v>
      </c>
      <c r="AF1202">
        <v>5.7264790876334803</v>
      </c>
      <c r="AG1202">
        <v>-1.0982119344500001</v>
      </c>
      <c r="AH1202">
        <v>8.2670507203122998</v>
      </c>
      <c r="AI1202">
        <v>96.232136224259094</v>
      </c>
      <c r="AJ1202">
        <v>55.290155290792903</v>
      </c>
      <c r="AK1202">
        <v>10.116459845533299</v>
      </c>
      <c r="AL1202">
        <v>92.658658181137099</v>
      </c>
      <c r="AM1202">
        <v>78.913703061525695</v>
      </c>
      <c r="AN1202">
        <v>1.0000000288173101</v>
      </c>
    </row>
    <row r="1203" spans="1:40" x14ac:dyDescent="0.25">
      <c r="A1203" t="str">
        <f>"20190312151520215"</f>
        <v>20190312151520215</v>
      </c>
      <c r="B1203" t="str">
        <f>"1552374920208180"</f>
        <v>1552374920208180</v>
      </c>
      <c r="C1203" t="s">
        <v>40</v>
      </c>
      <c r="D1203">
        <v>4.8817510000000004</v>
      </c>
      <c r="E1203">
        <v>0.64556939999999996</v>
      </c>
      <c r="F1203" t="s">
        <v>43</v>
      </c>
      <c r="G1203">
        <v>-195.17230000000001</v>
      </c>
      <c r="H1203" s="1">
        <v>-4.8979740000000001E-6</v>
      </c>
      <c r="I1203">
        <v>348.68369999999999</v>
      </c>
      <c r="J1203">
        <v>-196.2165</v>
      </c>
      <c r="K1203">
        <v>1.0981890000000001</v>
      </c>
      <c r="L1203">
        <v>358.7353</v>
      </c>
      <c r="M1203">
        <v>0.65153099999999997</v>
      </c>
      <c r="N1203">
        <v>0</v>
      </c>
      <c r="O1203">
        <v>-0.75845530000000005</v>
      </c>
      <c r="P1203">
        <v>0.4914596</v>
      </c>
      <c r="Q1203">
        <v>-5.7000429999999998E-2</v>
      </c>
      <c r="R1203">
        <v>-0.8690331</v>
      </c>
      <c r="S1203">
        <v>0.37026979999999998</v>
      </c>
      <c r="T1203">
        <v>-0.34799970000000002</v>
      </c>
      <c r="U1203">
        <v>-3.2344059999999999</v>
      </c>
      <c r="V1203">
        <v>0.19225719999999999</v>
      </c>
      <c r="W1203">
        <v>-4.6744170000000002E-2</v>
      </c>
      <c r="X1203">
        <v>0.98023070000000001</v>
      </c>
      <c r="Y1203">
        <v>0.56099529999999997</v>
      </c>
      <c r="Z1203">
        <v>5.9429540000000003E-2</v>
      </c>
      <c r="AA1203">
        <v>0.82568299999999994</v>
      </c>
      <c r="AB1203">
        <v>29</v>
      </c>
      <c r="AC1203">
        <v>1.04419999999998</v>
      </c>
      <c r="AD1203">
        <v>-1.09819389797399</v>
      </c>
      <c r="AE1203">
        <v>-10.051600000000001</v>
      </c>
      <c r="AF1203">
        <v>5.6904772942777599</v>
      </c>
      <c r="AG1203">
        <v>-1.09819389797399</v>
      </c>
      <c r="AH1203">
        <v>8.2081355363531401</v>
      </c>
      <c r="AI1203">
        <v>96.274703142480604</v>
      </c>
      <c r="AJ1203">
        <v>55.267481962852202</v>
      </c>
      <c r="AK1203">
        <v>10.0479376320407</v>
      </c>
      <c r="AL1203">
        <v>92.6792198542704</v>
      </c>
      <c r="AM1203">
        <v>78.903175483028306</v>
      </c>
      <c r="AN1203">
        <v>1.0000000368016499</v>
      </c>
    </row>
    <row r="1204" spans="1:40" x14ac:dyDescent="0.25">
      <c r="A1204" t="str">
        <f>"20190312151520234"</f>
        <v>20190312151520234</v>
      </c>
      <c r="B1204" t="str">
        <f>"1552374920228676"</f>
        <v>1552374920228676</v>
      </c>
      <c r="C1204" t="s">
        <v>40</v>
      </c>
      <c r="D1204">
        <v>4.8944530000000004</v>
      </c>
      <c r="E1204">
        <v>0.64407590000000003</v>
      </c>
      <c r="F1204" t="s">
        <v>45</v>
      </c>
      <c r="G1204">
        <v>-194.99680000000001</v>
      </c>
      <c r="H1204" s="1">
        <v>-1.6610679999999901E-6</v>
      </c>
      <c r="I1204">
        <v>350.1628</v>
      </c>
      <c r="J1204">
        <v>-196.05439999999999</v>
      </c>
      <c r="K1204">
        <v>1.0981719999999999</v>
      </c>
      <c r="L1204">
        <v>358.52730000000003</v>
      </c>
      <c r="M1204">
        <v>0.64181730000000003</v>
      </c>
      <c r="N1204">
        <v>0</v>
      </c>
      <c r="O1204">
        <v>-0.76669229999999999</v>
      </c>
      <c r="P1204">
        <v>0.480296</v>
      </c>
      <c r="Q1204">
        <v>-5.743111E-2</v>
      </c>
      <c r="R1204">
        <v>-0.87522459999999902</v>
      </c>
      <c r="S1204">
        <v>0.45108029999999999</v>
      </c>
      <c r="T1204">
        <v>-0.40614470000000003</v>
      </c>
      <c r="U1204">
        <v>-3.1703800000000002</v>
      </c>
      <c r="V1204">
        <v>0.19228709999999999</v>
      </c>
      <c r="W1204">
        <v>-4.7171780000000003E-2</v>
      </c>
      <c r="X1204">
        <v>0.98020430000000003</v>
      </c>
      <c r="Y1204">
        <v>0.527524199999999</v>
      </c>
      <c r="Z1204">
        <v>7.3543769999999994E-2</v>
      </c>
      <c r="AA1204">
        <v>0.84635070000000001</v>
      </c>
      <c r="AB1204">
        <v>29</v>
      </c>
      <c r="AC1204">
        <v>1.0575999999999699</v>
      </c>
      <c r="AD1204">
        <v>-1.098173661068</v>
      </c>
      <c r="AE1204">
        <v>-8.3645000000000191</v>
      </c>
      <c r="AF1204">
        <v>4.4821613601849002</v>
      </c>
      <c r="AG1204">
        <v>-1.098173661068</v>
      </c>
      <c r="AH1204">
        <v>6.9743572168089401</v>
      </c>
      <c r="AI1204">
        <v>97.545620923519493</v>
      </c>
      <c r="AJ1204">
        <v>57.272645085988799</v>
      </c>
      <c r="AK1204">
        <v>8.3628592261410795</v>
      </c>
      <c r="AL1204">
        <v>92.703747291606305</v>
      </c>
      <c r="AM1204">
        <v>78.901201043200601</v>
      </c>
      <c r="AN1204">
        <v>0.99999998769663401</v>
      </c>
    </row>
    <row r="1205" spans="1:40" x14ac:dyDescent="0.25">
      <c r="A1205" t="str">
        <f>"20190312151520255"</f>
        <v>20190312151520255</v>
      </c>
      <c r="B1205" t="str">
        <f>"1552374920248196"</f>
        <v>1552374920248196</v>
      </c>
      <c r="C1205" t="s">
        <v>40</v>
      </c>
      <c r="D1205">
        <v>4.8823889999999999</v>
      </c>
      <c r="E1205">
        <v>0.63119360000000002</v>
      </c>
      <c r="F1205" t="s">
        <v>45</v>
      </c>
      <c r="G1205">
        <v>-194.92070000000001</v>
      </c>
      <c r="H1205" s="1">
        <v>-1.5376680000000001E-6</v>
      </c>
      <c r="I1205">
        <v>349.98849999999999</v>
      </c>
      <c r="J1205">
        <v>-195.88939999999999</v>
      </c>
      <c r="K1205">
        <v>1.0981650000000001</v>
      </c>
      <c r="L1205">
        <v>358.30939999999998</v>
      </c>
      <c r="M1205">
        <v>0.63161309999999904</v>
      </c>
      <c r="N1205">
        <v>0</v>
      </c>
      <c r="O1205">
        <v>-0.77512000000000003</v>
      </c>
      <c r="P1205">
        <v>0.46867360000000002</v>
      </c>
      <c r="Q1205">
        <v>-5.7397539999999997E-2</v>
      </c>
      <c r="R1205">
        <v>-0.88150459999999997</v>
      </c>
      <c r="S1205">
        <v>0.42088320000000001</v>
      </c>
      <c r="T1205">
        <v>-0.40768840000000001</v>
      </c>
      <c r="U1205">
        <v>-3.1699519999999999</v>
      </c>
      <c r="V1205">
        <v>0.19228419999999999</v>
      </c>
      <c r="W1205">
        <v>-4.7132489999999999E-2</v>
      </c>
      <c r="X1205">
        <v>0.98020680000000004</v>
      </c>
      <c r="Y1205">
        <v>0.52420250000000002</v>
      </c>
      <c r="Z1205">
        <v>7.5523190000000004E-2</v>
      </c>
      <c r="AA1205">
        <v>0.84823819999999905</v>
      </c>
      <c r="AB1205">
        <v>29</v>
      </c>
      <c r="AC1205">
        <v>0.96869999999998402</v>
      </c>
      <c r="AD1205">
        <v>-1.0981665376680001</v>
      </c>
      <c r="AE1205">
        <v>-8.3208999999999893</v>
      </c>
      <c r="AF1205">
        <v>4.4291870932249804</v>
      </c>
      <c r="AG1205">
        <v>-1.0981665376680001</v>
      </c>
      <c r="AH1205">
        <v>6.9431187386334896</v>
      </c>
      <c r="AI1205">
        <v>97.595263192325902</v>
      </c>
      <c r="AJ1205">
        <v>57.465189895290898</v>
      </c>
      <c r="AK1205">
        <v>8.3084635083755494</v>
      </c>
      <c r="AL1205">
        <v>92.701493524809806</v>
      </c>
      <c r="AM1205">
        <v>78.901391879137407</v>
      </c>
      <c r="AN1205">
        <v>1.0000000279747301</v>
      </c>
    </row>
    <row r="1206" spans="1:40" x14ac:dyDescent="0.25">
      <c r="A1206" t="str">
        <f>"20190312151520266"</f>
        <v>20190312151520266</v>
      </c>
      <c r="B1206" t="str">
        <f>"1552374920258932"</f>
        <v>1552374920258932</v>
      </c>
      <c r="C1206" t="s">
        <v>40</v>
      </c>
      <c r="D1206">
        <v>4.970383</v>
      </c>
      <c r="E1206">
        <v>0.62939230000000002</v>
      </c>
      <c r="F1206" t="s">
        <v>43</v>
      </c>
      <c r="G1206">
        <v>-194.45400000000001</v>
      </c>
      <c r="H1206" s="1">
        <v>-4.8092870000000001E-6</v>
      </c>
      <c r="I1206">
        <v>348.79750000000001</v>
      </c>
      <c r="J1206">
        <v>-195.7954</v>
      </c>
      <c r="K1206">
        <v>1.0981639999999999</v>
      </c>
      <c r="L1206">
        <v>358.18239999999997</v>
      </c>
      <c r="M1206">
        <v>0.62565000000000004</v>
      </c>
      <c r="N1206">
        <v>0</v>
      </c>
      <c r="O1206">
        <v>-0.77994129999999995</v>
      </c>
      <c r="P1206">
        <v>0.46193020000000001</v>
      </c>
      <c r="Q1206">
        <v>-5.7576849999999999E-2</v>
      </c>
      <c r="R1206">
        <v>-0.88504559999999999</v>
      </c>
      <c r="S1206">
        <v>0.47213749999999999</v>
      </c>
      <c r="T1206">
        <v>-0.36121540000000002</v>
      </c>
      <c r="U1206">
        <v>-3.1287229999999999</v>
      </c>
      <c r="V1206">
        <v>0.19223789999999999</v>
      </c>
      <c r="W1206">
        <v>-4.7306769999999998E-2</v>
      </c>
      <c r="X1206">
        <v>0.98020739999999995</v>
      </c>
      <c r="Y1206">
        <v>0.50246650000000004</v>
      </c>
      <c r="Z1206">
        <v>6.9420969999999999E-2</v>
      </c>
      <c r="AA1206">
        <v>0.86180509999999999</v>
      </c>
      <c r="AB1206">
        <v>29</v>
      </c>
      <c r="AC1206">
        <v>1.3413999999999899</v>
      </c>
      <c r="AD1206">
        <v>-1.0981688092869999</v>
      </c>
      <c r="AE1206">
        <v>-9.3848999999999592</v>
      </c>
      <c r="AF1206">
        <v>4.7621616392392703</v>
      </c>
      <c r="AG1206">
        <v>-1.0981688092869999</v>
      </c>
      <c r="AH1206">
        <v>8.0519103966789594</v>
      </c>
      <c r="AI1206">
        <v>96.695394235384796</v>
      </c>
      <c r="AJ1206">
        <v>59.398549686995501</v>
      </c>
      <c r="AK1206">
        <v>9.4189924752108993</v>
      </c>
      <c r="AL1206">
        <v>92.711490412233303</v>
      </c>
      <c r="AM1206">
        <v>78.904004602345097</v>
      </c>
      <c r="AN1206">
        <v>0.99999994384949897</v>
      </c>
    </row>
    <row r="1207" spans="1:40" x14ac:dyDescent="0.25">
      <c r="A1207" t="str">
        <f>"20190312151520278"</f>
        <v>20190312151520278</v>
      </c>
      <c r="B1207" t="str">
        <f>"1552374920268692"</f>
        <v>1552374920268692</v>
      </c>
      <c r="C1207" t="s">
        <v>40</v>
      </c>
      <c r="D1207">
        <v>5.0165470000000001</v>
      </c>
      <c r="E1207">
        <v>0.62902480000000005</v>
      </c>
      <c r="F1207" t="s">
        <v>43</v>
      </c>
      <c r="G1207">
        <v>-194.37860000000001</v>
      </c>
      <c r="H1207" s="1">
        <v>-4.7227919999999997E-6</v>
      </c>
      <c r="I1207">
        <v>348.58260000000001</v>
      </c>
      <c r="J1207">
        <v>-195.7063</v>
      </c>
      <c r="K1207">
        <v>1.0981650000000001</v>
      </c>
      <c r="L1207">
        <v>358.06040000000002</v>
      </c>
      <c r="M1207">
        <v>0.61990919999999905</v>
      </c>
      <c r="N1207">
        <v>0</v>
      </c>
      <c r="O1207">
        <v>-0.78451179999999998</v>
      </c>
      <c r="P1207">
        <v>0.45556219999999997</v>
      </c>
      <c r="Q1207">
        <v>-5.7641730000000002E-2</v>
      </c>
      <c r="R1207">
        <v>-0.88833609999999896</v>
      </c>
      <c r="S1207">
        <v>0.46128849999999999</v>
      </c>
      <c r="T1207">
        <v>-0.35755999999999999</v>
      </c>
      <c r="U1207">
        <v>-3.1256710000000001</v>
      </c>
      <c r="V1207">
        <v>0.19207949999999999</v>
      </c>
      <c r="W1207">
        <v>-4.7363120000000002E-2</v>
      </c>
      <c r="X1207">
        <v>0.98023579999999999</v>
      </c>
      <c r="Y1207">
        <v>0.49893310000000002</v>
      </c>
      <c r="Z1207">
        <v>6.9664980000000001E-2</v>
      </c>
      <c r="AA1207">
        <v>0.86383600000000005</v>
      </c>
      <c r="AB1207">
        <v>29</v>
      </c>
      <c r="AC1207">
        <v>1.3276999999999901</v>
      </c>
      <c r="AD1207">
        <v>-1.098169722792</v>
      </c>
      <c r="AE1207">
        <v>-9.4778000000000002</v>
      </c>
      <c r="AF1207">
        <v>4.7715658923882902</v>
      </c>
      <c r="AG1207">
        <v>-1.098169722792</v>
      </c>
      <c r="AH1207">
        <v>8.1522082766726705</v>
      </c>
      <c r="AI1207">
        <v>96.631324670201707</v>
      </c>
      <c r="AJ1207">
        <v>59.659151053965999</v>
      </c>
      <c r="AK1207">
        <v>9.5095908214660199</v>
      </c>
      <c r="AL1207">
        <v>92.714722468827105</v>
      </c>
      <c r="AM1207">
        <v>78.913234112690404</v>
      </c>
      <c r="AN1207">
        <v>1.00000001152901</v>
      </c>
    </row>
    <row r="1208" spans="1:40" x14ac:dyDescent="0.25">
      <c r="A1208" t="str">
        <f>"20190312151520289"</f>
        <v>20190312151520289</v>
      </c>
      <c r="B1208" t="str">
        <f>"1552374920278452"</f>
        <v>1552374920278452</v>
      </c>
      <c r="C1208" t="s">
        <v>40</v>
      </c>
      <c r="D1208">
        <v>4.9495110000000002</v>
      </c>
      <c r="E1208">
        <v>0.62819159999999996</v>
      </c>
      <c r="F1208" t="s">
        <v>43</v>
      </c>
      <c r="G1208">
        <v>-194.36670000000001</v>
      </c>
      <c r="H1208" s="1">
        <v>-4.7136850000000001E-6</v>
      </c>
      <c r="I1208">
        <v>348.56199999999899</v>
      </c>
      <c r="J1208">
        <v>-195.6138</v>
      </c>
      <c r="K1208">
        <v>1.0981669999999999</v>
      </c>
      <c r="L1208">
        <v>357.93180000000001</v>
      </c>
      <c r="M1208">
        <v>0.61385049999999997</v>
      </c>
      <c r="N1208">
        <v>0</v>
      </c>
      <c r="O1208">
        <v>-0.7892614</v>
      </c>
      <c r="P1208">
        <v>0.44903110000000002</v>
      </c>
      <c r="Q1208">
        <v>-5.8028730000000001E-2</v>
      </c>
      <c r="R1208">
        <v>-0.89163009999999998</v>
      </c>
      <c r="S1208">
        <v>0.44107059999999998</v>
      </c>
      <c r="T1208">
        <v>-0.36158200000000001</v>
      </c>
      <c r="U1208">
        <v>-3.1274109999999999</v>
      </c>
      <c r="V1208">
        <v>0.19170010000000001</v>
      </c>
      <c r="W1208">
        <v>-4.7734949999999998E-2</v>
      </c>
      <c r="X1208">
        <v>0.98029200000000005</v>
      </c>
      <c r="Y1208">
        <v>0.49781449999999999</v>
      </c>
      <c r="Z1208">
        <v>7.1237419999999996E-2</v>
      </c>
      <c r="AA1208">
        <v>0.86435289999999998</v>
      </c>
      <c r="AB1208">
        <v>29</v>
      </c>
      <c r="AC1208">
        <v>1.2470999999999799</v>
      </c>
      <c r="AD1208">
        <v>-1.098171713685</v>
      </c>
      <c r="AE1208">
        <v>-9.3698000000000494</v>
      </c>
      <c r="AF1208">
        <v>4.70447540234077</v>
      </c>
      <c r="AG1208">
        <v>-1.098171713685</v>
      </c>
      <c r="AH1208">
        <v>8.0530943367651595</v>
      </c>
      <c r="AI1208">
        <v>96.715479770037604</v>
      </c>
      <c r="AJ1208">
        <v>59.707282392277101</v>
      </c>
      <c r="AK1208">
        <v>9.3909743009341895</v>
      </c>
      <c r="AL1208">
        <v>92.736050970488407</v>
      </c>
      <c r="AM1208">
        <v>78.935210685825894</v>
      </c>
      <c r="AN1208">
        <v>0.99999997952775599</v>
      </c>
    </row>
    <row r="1209" spans="1:40" x14ac:dyDescent="0.25">
      <c r="A1209" t="str">
        <f>"20190312151520300"</f>
        <v>20190312151520300</v>
      </c>
      <c r="B1209" t="str">
        <f>"1552374920298947"</f>
        <v>1552374920298947</v>
      </c>
      <c r="C1209" t="s">
        <v>40</v>
      </c>
      <c r="D1209">
        <v>4.9629989999999999</v>
      </c>
      <c r="E1209">
        <v>0.62708560000000002</v>
      </c>
      <c r="F1209" t="s">
        <v>43</v>
      </c>
      <c r="G1209">
        <v>-194.31399999999999</v>
      </c>
      <c r="H1209" s="1">
        <v>-4.6313419999999999E-6</v>
      </c>
      <c r="I1209">
        <v>348.34750000000003</v>
      </c>
      <c r="J1209">
        <v>-195.5284</v>
      </c>
      <c r="K1209">
        <v>1.098169</v>
      </c>
      <c r="L1209">
        <v>357.81060000000002</v>
      </c>
      <c r="M1209">
        <v>0.60813609999999996</v>
      </c>
      <c r="N1209">
        <v>0</v>
      </c>
      <c r="O1209">
        <v>-0.79367279999999996</v>
      </c>
      <c r="P1209">
        <v>0.44285079999999999</v>
      </c>
      <c r="Q1209">
        <v>-5.7887969999999997E-2</v>
      </c>
      <c r="R1209">
        <v>-0.89472489999999905</v>
      </c>
      <c r="S1209">
        <v>0.42417909999999998</v>
      </c>
      <c r="T1209">
        <v>-0.35837360000000001</v>
      </c>
      <c r="U1209">
        <v>-3.1276860000000002</v>
      </c>
      <c r="V1209">
        <v>0.19141559999999999</v>
      </c>
      <c r="W1209">
        <v>-4.7581329999999998E-2</v>
      </c>
      <c r="X1209">
        <v>0.98035510000000003</v>
      </c>
      <c r="Y1209">
        <v>0.49615229999999999</v>
      </c>
      <c r="Z1209">
        <v>7.1396310000000004E-2</v>
      </c>
      <c r="AA1209">
        <v>0.86529509999999898</v>
      </c>
      <c r="AB1209">
        <v>29</v>
      </c>
      <c r="AC1209">
        <v>1.2143999999999799</v>
      </c>
      <c r="AD1209">
        <v>-1.0981736313420001</v>
      </c>
      <c r="AE1209">
        <v>-9.4630999999999901</v>
      </c>
      <c r="AF1209">
        <v>4.7289711198876097</v>
      </c>
      <c r="AG1209">
        <v>-1.0981736313420001</v>
      </c>
      <c r="AH1209">
        <v>8.1422964569433507</v>
      </c>
      <c r="AI1209">
        <v>96.652298996714407</v>
      </c>
      <c r="AJ1209">
        <v>59.852373039133802</v>
      </c>
      <c r="AK1209">
        <v>9.4797755653843492</v>
      </c>
      <c r="AL1209">
        <v>92.7272390735139</v>
      </c>
      <c r="AM1209">
        <v>78.951921102190795</v>
      </c>
      <c r="AN1209">
        <v>1.00000001849196</v>
      </c>
    </row>
    <row r="1210" spans="1:40" x14ac:dyDescent="0.25">
      <c r="A1210" t="str">
        <f>"20190312151520313"</f>
        <v>20190312151520313</v>
      </c>
      <c r="B1210" t="str">
        <f>"1552374920308707"</f>
        <v>1552374920308707</v>
      </c>
      <c r="C1210" t="s">
        <v>40</v>
      </c>
      <c r="D1210">
        <v>5.0932230000000001</v>
      </c>
      <c r="E1210">
        <v>0.62680789999999997</v>
      </c>
      <c r="F1210" t="s">
        <v>43</v>
      </c>
      <c r="G1210">
        <v>-194.26009999999999</v>
      </c>
      <c r="H1210" s="1">
        <v>-4.5555230000000003E-6</v>
      </c>
      <c r="I1210">
        <v>348.15289999999999</v>
      </c>
      <c r="J1210">
        <v>-195.43940000000001</v>
      </c>
      <c r="K1210">
        <v>1.0981730000000001</v>
      </c>
      <c r="L1210">
        <v>357.68340000000001</v>
      </c>
      <c r="M1210">
        <v>0.60211870000000001</v>
      </c>
      <c r="N1210">
        <v>0</v>
      </c>
      <c r="O1210">
        <v>-0.79824759999999995</v>
      </c>
      <c r="P1210">
        <v>0.43641799999999997</v>
      </c>
      <c r="Q1210">
        <v>-5.8040910000000001E-2</v>
      </c>
      <c r="R1210">
        <v>-0.89787050000000002</v>
      </c>
      <c r="S1210">
        <v>0.41061399999999998</v>
      </c>
      <c r="T1210">
        <v>-0.35553590000000002</v>
      </c>
      <c r="U1210">
        <v>-3.126709</v>
      </c>
      <c r="V1210">
        <v>0.1910308</v>
      </c>
      <c r="W1210">
        <v>-4.7718410000000003E-2</v>
      </c>
      <c r="X1210">
        <v>0.9804235</v>
      </c>
      <c r="Y1210">
        <v>0.49325029999999997</v>
      </c>
      <c r="Z1210">
        <v>7.1709510000000004E-2</v>
      </c>
      <c r="AA1210">
        <v>0.86692669999999905</v>
      </c>
      <c r="AB1210">
        <v>29</v>
      </c>
      <c r="AC1210">
        <v>1.17930000000001</v>
      </c>
      <c r="AD1210">
        <v>-1.098177555523</v>
      </c>
      <c r="AE1210">
        <v>-9.5305000000000106</v>
      </c>
      <c r="AF1210">
        <v>4.7357969228217396</v>
      </c>
      <c r="AG1210">
        <v>-1.098177555523</v>
      </c>
      <c r="AH1210">
        <v>8.2114505242345999</v>
      </c>
      <c r="AI1210">
        <v>96.608313722668996</v>
      </c>
      <c r="AJ1210">
        <v>60.026624287613302</v>
      </c>
      <c r="AK1210">
        <v>9.5426246991912596</v>
      </c>
      <c r="AL1210">
        <v>92.735102089146594</v>
      </c>
      <c r="AM1210">
        <v>78.974336456558504</v>
      </c>
      <c r="AN1210">
        <v>1.0000000262769</v>
      </c>
    </row>
    <row r="1211" spans="1:40" x14ac:dyDescent="0.25">
      <c r="A1211" t="str">
        <f>"20190312151520334"</f>
        <v>20190312151520334</v>
      </c>
      <c r="B1211" t="str">
        <f>"1552374920328228"</f>
        <v>1552374920328228</v>
      </c>
      <c r="C1211" t="s">
        <v>40</v>
      </c>
      <c r="D1211">
        <v>4.9269249999999998</v>
      </c>
      <c r="E1211">
        <v>0.62588009999999905</v>
      </c>
      <c r="F1211" t="s">
        <v>43</v>
      </c>
      <c r="G1211">
        <v>-194.2182</v>
      </c>
      <c r="H1211" s="1">
        <v>-4.460189E-6</v>
      </c>
      <c r="I1211">
        <v>347.89449999999999</v>
      </c>
      <c r="J1211">
        <v>-195.28440000000001</v>
      </c>
      <c r="K1211">
        <v>1.098182</v>
      </c>
      <c r="L1211">
        <v>357.4554</v>
      </c>
      <c r="M1211">
        <v>0.59132890000000005</v>
      </c>
      <c r="N1211">
        <v>0</v>
      </c>
      <c r="O1211">
        <v>-0.80627260000000001</v>
      </c>
      <c r="P1211">
        <v>0.42524479999999998</v>
      </c>
      <c r="Q1211">
        <v>-5.7900010000000002E-2</v>
      </c>
      <c r="R1211">
        <v>-0.90322449999999999</v>
      </c>
      <c r="S1211">
        <v>0.39033509999999999</v>
      </c>
      <c r="T1211">
        <v>-0.35101130000000003</v>
      </c>
      <c r="U1211">
        <v>-3.1288149999999999</v>
      </c>
      <c r="V1211">
        <v>0.19002089999999999</v>
      </c>
      <c r="W1211">
        <v>-4.7538339999999998E-2</v>
      </c>
      <c r="X1211">
        <v>0.98062839999999996</v>
      </c>
      <c r="Y1211">
        <v>0.4871645</v>
      </c>
      <c r="Z1211">
        <v>7.2262610000000005E-2</v>
      </c>
      <c r="AA1211">
        <v>0.87031539999999996</v>
      </c>
      <c r="AB1211">
        <v>29</v>
      </c>
      <c r="AC1211">
        <v>1.0662</v>
      </c>
      <c r="AD1211">
        <v>-1.0981864601889999</v>
      </c>
      <c r="AE1211">
        <v>-9.5609000000000002</v>
      </c>
      <c r="AF1211">
        <v>4.7329230470948698</v>
      </c>
      <c r="AG1211">
        <v>-1.0981864601889999</v>
      </c>
      <c r="AH1211">
        <v>8.2329426889114004</v>
      </c>
      <c r="AI1211">
        <v>96.596509358741997</v>
      </c>
      <c r="AJ1211">
        <v>60.106427936186797</v>
      </c>
      <c r="AK1211">
        <v>9.5597028923478593</v>
      </c>
      <c r="AL1211">
        <v>92.724773330977897</v>
      </c>
      <c r="AM1211">
        <v>79.033443487152098</v>
      </c>
      <c r="AN1211">
        <v>0.99999994754666099</v>
      </c>
    </row>
    <row r="1212" spans="1:40" x14ac:dyDescent="0.25">
      <c r="A1212" t="str">
        <f>"20190312151520345"</f>
        <v>20190312151520345</v>
      </c>
      <c r="B1212" t="str">
        <f>"1552374920338965"</f>
        <v>1552374920338965</v>
      </c>
      <c r="C1212" t="s">
        <v>40</v>
      </c>
      <c r="D1212">
        <v>4.9758599999999999</v>
      </c>
      <c r="E1212">
        <v>0.625395699999999</v>
      </c>
      <c r="F1212" t="s">
        <v>43</v>
      </c>
      <c r="G1212">
        <v>-194.13220000000001</v>
      </c>
      <c r="H1212" s="1">
        <v>-4.2775040000000002E-6</v>
      </c>
      <c r="I1212">
        <v>347.40260000000001</v>
      </c>
      <c r="J1212">
        <v>-195.19290000000001</v>
      </c>
      <c r="K1212">
        <v>1.0981860000000001</v>
      </c>
      <c r="L1212">
        <v>357.31709999999998</v>
      </c>
      <c r="M1212">
        <v>0.58478520000000001</v>
      </c>
      <c r="N1212">
        <v>0</v>
      </c>
      <c r="O1212">
        <v>-0.81103130000000001</v>
      </c>
      <c r="P1212">
        <v>0.41854239999999998</v>
      </c>
      <c r="Q1212">
        <v>-5.805606E-2</v>
      </c>
      <c r="R1212">
        <v>-0.90633980000000003</v>
      </c>
      <c r="S1212">
        <v>0.35881039999999997</v>
      </c>
      <c r="T1212">
        <v>-0.3419875</v>
      </c>
      <c r="U1212">
        <v>-3.1305540000000001</v>
      </c>
      <c r="V1212">
        <v>0.18934119999999999</v>
      </c>
      <c r="W1212">
        <v>-4.7668799999999997E-2</v>
      </c>
      <c r="X1212">
        <v>0.9807536</v>
      </c>
      <c r="Y1212">
        <v>0.48879620000000001</v>
      </c>
      <c r="Z1212">
        <v>7.1101280000000003E-2</v>
      </c>
      <c r="AA1212">
        <v>0.86949580000000004</v>
      </c>
      <c r="AB1212">
        <v>29</v>
      </c>
      <c r="AC1212">
        <v>1.06069999999999</v>
      </c>
      <c r="AD1212">
        <v>-1.098190277504</v>
      </c>
      <c r="AE1212">
        <v>-9.9144999999999701</v>
      </c>
      <c r="AF1212">
        <v>4.8790362986955502</v>
      </c>
      <c r="AG1212">
        <v>-1.098190277504</v>
      </c>
      <c r="AH1212">
        <v>8.5585363645257804</v>
      </c>
      <c r="AI1212">
        <v>96.360704952424001</v>
      </c>
      <c r="AJ1212">
        <v>60.313471612548398</v>
      </c>
      <c r="AK1212">
        <v>9.9125961176930506</v>
      </c>
      <c r="AL1212">
        <v>92.7322564402388</v>
      </c>
      <c r="AM1212">
        <v>79.073085962610804</v>
      </c>
      <c r="AN1212">
        <v>1.0000000142119101</v>
      </c>
    </row>
    <row r="1213" spans="1:40" x14ac:dyDescent="0.25">
      <c r="A1213" t="str">
        <f>"20190312151520358"</f>
        <v>20190312151520358</v>
      </c>
      <c r="B1213" t="str">
        <f>"1552374920348723"</f>
        <v>1552374920348723</v>
      </c>
      <c r="C1213" t="s">
        <v>40</v>
      </c>
      <c r="D1213">
        <v>4.9174879999999996</v>
      </c>
      <c r="E1213">
        <v>0.6250116</v>
      </c>
      <c r="F1213" t="s">
        <v>43</v>
      </c>
      <c r="G1213">
        <v>-194.08799999999999</v>
      </c>
      <c r="H1213" s="1">
        <v>-4.1719139999999998E-6</v>
      </c>
      <c r="I1213">
        <v>347.11529999999999</v>
      </c>
      <c r="J1213">
        <v>-195.10749999999999</v>
      </c>
      <c r="K1213">
        <v>1.098193</v>
      </c>
      <c r="L1213">
        <v>357.18639999999999</v>
      </c>
      <c r="M1213">
        <v>0.5785806</v>
      </c>
      <c r="N1213">
        <v>0</v>
      </c>
      <c r="O1213">
        <v>-0.81546909999999995</v>
      </c>
      <c r="P1213">
        <v>0.41203699999999999</v>
      </c>
      <c r="Q1213">
        <v>-5.8009970000000001E-2</v>
      </c>
      <c r="R1213">
        <v>-0.90931859999999998</v>
      </c>
      <c r="S1213">
        <v>0.33920289999999997</v>
      </c>
      <c r="T1213">
        <v>-0.33712409999999998</v>
      </c>
      <c r="U1213">
        <v>-3.1317750000000002</v>
      </c>
      <c r="V1213">
        <v>0.188891</v>
      </c>
      <c r="W1213">
        <v>-4.7604109999999998E-2</v>
      </c>
      <c r="X1213">
        <v>0.98084349999999998</v>
      </c>
      <c r="Y1213">
        <v>0.48756129999999998</v>
      </c>
      <c r="Z1213">
        <v>7.0811410000000005E-2</v>
      </c>
      <c r="AA1213">
        <v>0.8702124</v>
      </c>
      <c r="AB1213">
        <v>29</v>
      </c>
      <c r="AC1213">
        <v>1.0194999999999901</v>
      </c>
      <c r="AD1213">
        <v>-1.098197171914</v>
      </c>
      <c r="AE1213">
        <v>-10.071099999999999</v>
      </c>
      <c r="AF1213">
        <v>4.9380868579369901</v>
      </c>
      <c r="AG1213">
        <v>-1.098197171914</v>
      </c>
      <c r="AH1213">
        <v>8.70124050861474</v>
      </c>
      <c r="AI1213">
        <v>96.264101253572207</v>
      </c>
      <c r="AJ1213">
        <v>60.424427723383602</v>
      </c>
      <c r="AK1213">
        <v>10.0649056246786</v>
      </c>
      <c r="AL1213">
        <v>92.728545894474294</v>
      </c>
      <c r="AM1213">
        <v>79.099419103399001</v>
      </c>
      <c r="AN1213">
        <v>0.99999996633107002</v>
      </c>
    </row>
    <row r="1214" spans="1:40" x14ac:dyDescent="0.25">
      <c r="A1214" t="str">
        <f>"20190312151520370"</f>
        <v>20190312151520370</v>
      </c>
      <c r="B1214" t="str">
        <f>"1552374920358484"</f>
        <v>1552374920358484</v>
      </c>
      <c r="C1214" t="s">
        <v>40</v>
      </c>
      <c r="D1214">
        <v>4.9284420000000004</v>
      </c>
      <c r="E1214">
        <v>0.62469160000000001</v>
      </c>
      <c r="F1214" t="s">
        <v>43</v>
      </c>
      <c r="G1214">
        <v>-194.0547</v>
      </c>
      <c r="H1214" s="1">
        <v>-4.0819949999999997E-6</v>
      </c>
      <c r="I1214">
        <v>346.86840000000001</v>
      </c>
      <c r="J1214">
        <v>-195.01779999999999</v>
      </c>
      <c r="K1214">
        <v>1.098201</v>
      </c>
      <c r="L1214">
        <v>357.04680000000002</v>
      </c>
      <c r="M1214">
        <v>0.57194619999999996</v>
      </c>
      <c r="N1214">
        <v>0</v>
      </c>
      <c r="O1214">
        <v>-0.82013599999999998</v>
      </c>
      <c r="P1214">
        <v>0.4050571</v>
      </c>
      <c r="Q1214">
        <v>-5.7780459999999999E-2</v>
      </c>
      <c r="R1214">
        <v>-0.9124641</v>
      </c>
      <c r="S1214">
        <v>0.3196716</v>
      </c>
      <c r="T1214">
        <v>-0.33346340000000002</v>
      </c>
      <c r="U1214">
        <v>-3.1330260000000001</v>
      </c>
      <c r="V1214">
        <v>0.1884661</v>
      </c>
      <c r="W1214">
        <v>-4.7356120000000002E-2</v>
      </c>
      <c r="X1214">
        <v>0.98093719999999995</v>
      </c>
      <c r="Y1214">
        <v>0.48588769999999998</v>
      </c>
      <c r="Z1214">
        <v>7.0801379999999997E-2</v>
      </c>
      <c r="AA1214">
        <v>0.87114879999999995</v>
      </c>
      <c r="AB1214">
        <v>29</v>
      </c>
      <c r="AC1214">
        <v>0.96309999999999696</v>
      </c>
      <c r="AD1214">
        <v>-1.098205081995</v>
      </c>
      <c r="AE1214">
        <v>-10.1784</v>
      </c>
      <c r="AF1214">
        <v>4.9748637749405296</v>
      </c>
      <c r="AG1214">
        <v>-1.098205081995</v>
      </c>
      <c r="AH1214">
        <v>8.7981318271290796</v>
      </c>
      <c r="AI1214">
        <v>96.201159454824307</v>
      </c>
      <c r="AJ1214">
        <v>60.514208088596803</v>
      </c>
      <c r="AK1214">
        <v>10.1667323968361</v>
      </c>
      <c r="AL1214">
        <v>92.714321164816994</v>
      </c>
      <c r="AM1214">
        <v>79.124368046185793</v>
      </c>
      <c r="AN1214">
        <v>0.99999993164724899</v>
      </c>
    </row>
    <row r="1215" spans="1:40" x14ac:dyDescent="0.25">
      <c r="A1215" t="str">
        <f>"20190312151520389"</f>
        <v>20190312151520389</v>
      </c>
      <c r="B1215" t="str">
        <f>"1552374920378980"</f>
        <v>1552374920378980</v>
      </c>
      <c r="C1215" t="s">
        <v>40</v>
      </c>
      <c r="D1215">
        <v>4.9033740000000003</v>
      </c>
      <c r="E1215">
        <v>0.62423890000000004</v>
      </c>
      <c r="F1215" t="s">
        <v>43</v>
      </c>
      <c r="G1215">
        <v>-194.01580000000001</v>
      </c>
      <c r="H1215" s="1">
        <v>-3.9546859999999996E-6</v>
      </c>
      <c r="I1215">
        <v>346.51459999999997</v>
      </c>
      <c r="J1215">
        <v>-194.88759999999999</v>
      </c>
      <c r="K1215">
        <v>1.0982149999999999</v>
      </c>
      <c r="L1215">
        <v>356.83920000000001</v>
      </c>
      <c r="M1215">
        <v>0.56207059999999998</v>
      </c>
      <c r="N1215">
        <v>0</v>
      </c>
      <c r="O1215">
        <v>-0.82693539999999999</v>
      </c>
      <c r="P1215">
        <v>0.39500760000000001</v>
      </c>
      <c r="Q1215">
        <v>-5.7860969999999998E-2</v>
      </c>
      <c r="R1215">
        <v>-0.91685430000000001</v>
      </c>
      <c r="S1215">
        <v>0.29821779999999998</v>
      </c>
      <c r="T1215">
        <v>-0.32685779999999998</v>
      </c>
      <c r="U1215">
        <v>-3.1347049999999999</v>
      </c>
      <c r="V1215">
        <v>0.1874786</v>
      </c>
      <c r="W1215">
        <v>-4.7398969999999999E-2</v>
      </c>
      <c r="X1215">
        <v>0.98112440000000001</v>
      </c>
      <c r="Y1215">
        <v>0.48136469999999998</v>
      </c>
      <c r="Z1215">
        <v>7.0546540000000005E-2</v>
      </c>
      <c r="AA1215">
        <v>0.87367689999999998</v>
      </c>
      <c r="AB1215">
        <v>29</v>
      </c>
      <c r="AC1215">
        <v>0.87179999999997904</v>
      </c>
      <c r="AD1215">
        <v>-1.0982189546859999</v>
      </c>
      <c r="AE1215">
        <v>-10.3246</v>
      </c>
      <c r="AF1215">
        <v>5.0264104484405996</v>
      </c>
      <c r="AG1215">
        <v>-1.0982189546859999</v>
      </c>
      <c r="AH1215">
        <v>8.9286324128509804</v>
      </c>
      <c r="AI1215">
        <v>96.117761024866198</v>
      </c>
      <c r="AJ1215">
        <v>60.622484773960799</v>
      </c>
      <c r="AK1215">
        <v>10.3049193899048</v>
      </c>
      <c r="AL1215">
        <v>92.716778895874299</v>
      </c>
      <c r="AM1215">
        <v>79.182019928831707</v>
      </c>
      <c r="AN1215">
        <v>0.99999998804518997</v>
      </c>
    </row>
    <row r="1216" spans="1:40" x14ac:dyDescent="0.25">
      <c r="A1216" t="str">
        <f>"20190312151520403"</f>
        <v>20190312151520403</v>
      </c>
      <c r="B1216" t="str">
        <f>"1552374920398500"</f>
        <v>1552374920398500</v>
      </c>
      <c r="C1216" t="s">
        <v>40</v>
      </c>
      <c r="D1216">
        <v>4.8699139999999996</v>
      </c>
      <c r="E1216">
        <v>0.61511400000000005</v>
      </c>
      <c r="F1216" t="s">
        <v>43</v>
      </c>
      <c r="G1216">
        <v>-193.9838</v>
      </c>
      <c r="H1216" s="1">
        <v>-3.8528130000000003E-6</v>
      </c>
      <c r="I1216">
        <v>346.2319</v>
      </c>
      <c r="J1216">
        <v>-194.79509999999999</v>
      </c>
      <c r="K1216">
        <v>1.098225</v>
      </c>
      <c r="L1216">
        <v>356.68799999999999</v>
      </c>
      <c r="M1216">
        <v>0.55487540000000002</v>
      </c>
      <c r="N1216">
        <v>0</v>
      </c>
      <c r="O1216">
        <v>-0.83178039999999998</v>
      </c>
      <c r="P1216">
        <v>0.38740210000000003</v>
      </c>
      <c r="Q1216">
        <v>-5.7919690000000003E-2</v>
      </c>
      <c r="R1216">
        <v>-0.92008979999999996</v>
      </c>
      <c r="S1216">
        <v>0.2672272</v>
      </c>
      <c r="T1216">
        <v>-0.3247333</v>
      </c>
      <c r="U1216">
        <v>-3.1364749999999999</v>
      </c>
      <c r="V1216">
        <v>0.18708900000000001</v>
      </c>
      <c r="W1216">
        <v>-4.7440450000000002E-2</v>
      </c>
      <c r="X1216">
        <v>0.98119679999999998</v>
      </c>
      <c r="Y1216">
        <v>0.48237350000000001</v>
      </c>
      <c r="Z1216">
        <v>7.0765220000000004E-2</v>
      </c>
      <c r="AA1216">
        <v>0.8731025</v>
      </c>
      <c r="AB1216">
        <v>29</v>
      </c>
      <c r="AC1216">
        <v>0.81129999999998803</v>
      </c>
      <c r="AD1216">
        <v>-1.098228852813</v>
      </c>
      <c r="AE1216">
        <v>-10.456099999999999</v>
      </c>
      <c r="AF1216">
        <v>5.0720432670059097</v>
      </c>
      <c r="AG1216">
        <v>-1.098228852813</v>
      </c>
      <c r="AH1216">
        <v>9.0492819706606706</v>
      </c>
      <c r="AI1216">
        <v>96.043161225808504</v>
      </c>
      <c r="AJ1216">
        <v>60.729751581116297</v>
      </c>
      <c r="AK1216">
        <v>10.431741642700599</v>
      </c>
      <c r="AL1216">
        <v>92.719158100123906</v>
      </c>
      <c r="AM1216">
        <v>79.204749828007905</v>
      </c>
      <c r="AN1216">
        <v>1.00000002527372</v>
      </c>
    </row>
    <row r="1217" spans="1:40" x14ac:dyDescent="0.25">
      <c r="A1217" t="str">
        <f>"20190312151520424"</f>
        <v>20190312151520424</v>
      </c>
      <c r="B1217" t="str">
        <f>"1552374920418995"</f>
        <v>1552374920418995</v>
      </c>
      <c r="C1217" t="s">
        <v>40</v>
      </c>
      <c r="D1217">
        <v>4.8681780000000003</v>
      </c>
      <c r="E1217">
        <v>0.61273440000000001</v>
      </c>
      <c r="F1217" t="s">
        <v>43</v>
      </c>
      <c r="G1217">
        <v>-193.65459999999999</v>
      </c>
      <c r="H1217" s="1">
        <v>-3.3927109999999998E-6</v>
      </c>
      <c r="I1217">
        <v>345.23090000000002</v>
      </c>
      <c r="J1217">
        <v>-194.65010000000001</v>
      </c>
      <c r="K1217">
        <v>1.098244</v>
      </c>
      <c r="L1217">
        <v>356.44540000000001</v>
      </c>
      <c r="M1217">
        <v>0.5433019</v>
      </c>
      <c r="N1217">
        <v>0</v>
      </c>
      <c r="O1217">
        <v>-0.83938599999999997</v>
      </c>
      <c r="P1217">
        <v>0.375697</v>
      </c>
      <c r="Q1217">
        <v>-5.8416620000000002E-2</v>
      </c>
      <c r="R1217">
        <v>-0.9249001</v>
      </c>
      <c r="S1217">
        <v>0.30972290000000002</v>
      </c>
      <c r="T1217">
        <v>-0.29824420000000001</v>
      </c>
      <c r="U1217">
        <v>-3.111389</v>
      </c>
      <c r="V1217">
        <v>0.18592130000000001</v>
      </c>
      <c r="W1217">
        <v>-4.7893560000000002E-2</v>
      </c>
      <c r="X1217">
        <v>0.98139670000000001</v>
      </c>
      <c r="Y1217">
        <v>0.45765670000000003</v>
      </c>
      <c r="Z1217">
        <v>6.7246769999999997E-2</v>
      </c>
      <c r="AA1217">
        <v>0.88658230000000005</v>
      </c>
      <c r="AB1217">
        <v>29</v>
      </c>
      <c r="AC1217">
        <v>0.99550000000002103</v>
      </c>
      <c r="AD1217">
        <v>-1.0982473927109999</v>
      </c>
      <c r="AE1217">
        <v>-11.2144999999999</v>
      </c>
      <c r="AF1217">
        <v>5.2083585390192004</v>
      </c>
      <c r="AG1217">
        <v>-1.0982473927109999</v>
      </c>
      <c r="AH1217">
        <v>9.8615788161909297</v>
      </c>
      <c r="AI1217">
        <v>95.624106097527203</v>
      </c>
      <c r="AJ1217">
        <v>62.159381618594303</v>
      </c>
      <c r="AK1217">
        <v>11.2064214963794</v>
      </c>
      <c r="AL1217">
        <v>92.745148996255097</v>
      </c>
      <c r="AM1217">
        <v>79.272693300023406</v>
      </c>
      <c r="AN1217">
        <v>1.00000000282702</v>
      </c>
    </row>
    <row r="1218" spans="1:40" x14ac:dyDescent="0.25">
      <c r="A1218" t="str">
        <f>"20190312151520447"</f>
        <v>20190312151520447</v>
      </c>
      <c r="B1218" t="str">
        <f>"1552374920438516"</f>
        <v>1552374920438516</v>
      </c>
      <c r="C1218" t="s">
        <v>40</v>
      </c>
      <c r="D1218">
        <v>4.8828120000000004</v>
      </c>
      <c r="E1218">
        <v>0.61090840000000002</v>
      </c>
      <c r="F1218" t="s">
        <v>43</v>
      </c>
      <c r="G1218">
        <v>-193.60409999999999</v>
      </c>
      <c r="H1218" s="1">
        <v>-3.3439849999999999E-6</v>
      </c>
      <c r="I1218">
        <v>345.14870000000002</v>
      </c>
      <c r="J1218">
        <v>-194.50040000000001</v>
      </c>
      <c r="K1218">
        <v>1.0982700000000001</v>
      </c>
      <c r="L1218">
        <v>356.18639999999999</v>
      </c>
      <c r="M1218">
        <v>0.53093419999999902</v>
      </c>
      <c r="N1218">
        <v>0</v>
      </c>
      <c r="O1218">
        <v>-0.84726299999999899</v>
      </c>
      <c r="P1218">
        <v>0.36308550000000001</v>
      </c>
      <c r="Q1218">
        <v>-5.8795399999999998E-2</v>
      </c>
      <c r="R1218">
        <v>-0.92989909999999998</v>
      </c>
      <c r="S1218">
        <v>0.28776550000000001</v>
      </c>
      <c r="T1218">
        <v>-0.3021259</v>
      </c>
      <c r="U1218">
        <v>-3.1076969999999999</v>
      </c>
      <c r="V1218">
        <v>0.1848552</v>
      </c>
      <c r="W1218">
        <v>-4.8230929999999998E-2</v>
      </c>
      <c r="X1218">
        <v>0.98158160000000005</v>
      </c>
      <c r="Y1218">
        <v>0.45072479999999998</v>
      </c>
      <c r="Z1218">
        <v>6.9496719999999998E-2</v>
      </c>
      <c r="AA1218">
        <v>0.88995360000000001</v>
      </c>
      <c r="AB1218">
        <v>29</v>
      </c>
      <c r="AC1218">
        <v>0.89630000000002497</v>
      </c>
      <c r="AD1218">
        <v>-1.0982733439849901</v>
      </c>
      <c r="AE1218">
        <v>-11.0376999999999</v>
      </c>
      <c r="AF1218">
        <v>5.0518503009090701</v>
      </c>
      <c r="AG1218">
        <v>-1.0982733439849901</v>
      </c>
      <c r="AH1218">
        <v>9.7332268890780096</v>
      </c>
      <c r="AI1218">
        <v>95.719161052588802</v>
      </c>
      <c r="AJ1218">
        <v>62.569270476395303</v>
      </c>
      <c r="AK1218">
        <v>11.0210299643533</v>
      </c>
      <c r="AL1218">
        <v>92.764501100514806</v>
      </c>
      <c r="AM1218">
        <v>79.334753000019205</v>
      </c>
      <c r="AN1218">
        <v>1.00000005251713</v>
      </c>
    </row>
    <row r="1219" spans="1:40" x14ac:dyDescent="0.25">
      <c r="A1219" t="str">
        <f>"20190312151520468"</f>
        <v>20190312151520468</v>
      </c>
      <c r="B1219" t="str">
        <f>"1552374920459012"</f>
        <v>1552374920459012</v>
      </c>
      <c r="C1219" t="s">
        <v>40</v>
      </c>
      <c r="D1219">
        <v>5.1123339999999997</v>
      </c>
      <c r="E1219">
        <v>0.60900410000000005</v>
      </c>
      <c r="F1219" t="s">
        <v>43</v>
      </c>
      <c r="G1219">
        <v>-193.54939999999999</v>
      </c>
      <c r="H1219" s="1">
        <v>-3.1764849999999998E-6</v>
      </c>
      <c r="I1219">
        <v>344.7921</v>
      </c>
      <c r="J1219">
        <v>-194.36369999999999</v>
      </c>
      <c r="K1219">
        <v>1.098298</v>
      </c>
      <c r="L1219">
        <v>355.94220000000001</v>
      </c>
      <c r="M1219">
        <v>0.51924970000000004</v>
      </c>
      <c r="N1219">
        <v>0</v>
      </c>
      <c r="O1219">
        <v>-0.8544735</v>
      </c>
      <c r="P1219">
        <v>0.35128340000000002</v>
      </c>
      <c r="Q1219">
        <v>-5.883029E-2</v>
      </c>
      <c r="R1219">
        <v>-0.93441920000000001</v>
      </c>
      <c r="S1219">
        <v>0.25921630000000001</v>
      </c>
      <c r="T1219">
        <v>-0.29938550000000003</v>
      </c>
      <c r="U1219">
        <v>-3.1060490000000001</v>
      </c>
      <c r="V1219">
        <v>0.18380550000000001</v>
      </c>
      <c r="W1219">
        <v>-4.8225120000000003E-2</v>
      </c>
      <c r="X1219">
        <v>0.98177890000000001</v>
      </c>
      <c r="Y1219">
        <v>0.44654490000000002</v>
      </c>
      <c r="Z1219">
        <v>7.0039190000000001E-2</v>
      </c>
      <c r="AA1219">
        <v>0.89201580000000003</v>
      </c>
      <c r="AB1219">
        <v>29</v>
      </c>
      <c r="AC1219">
        <v>0.81430000000000202</v>
      </c>
      <c r="AD1219">
        <v>-1.0983011764849999</v>
      </c>
      <c r="AE1219">
        <v>-11.1501</v>
      </c>
      <c r="AF1219">
        <v>5.04583963643634</v>
      </c>
      <c r="AG1219">
        <v>-1.0983011764849999</v>
      </c>
      <c r="AH1219">
        <v>9.8564327772081501</v>
      </c>
      <c r="AI1219">
        <v>95.664523132099106</v>
      </c>
      <c r="AJ1219">
        <v>62.890565518183003</v>
      </c>
      <c r="AK1219">
        <v>11.127265171753701</v>
      </c>
      <c r="AL1219">
        <v>92.764168062859</v>
      </c>
      <c r="AM1219">
        <v>79.396020838625702</v>
      </c>
      <c r="AN1219">
        <v>0.99999996625723597</v>
      </c>
    </row>
    <row r="1220" spans="1:40" x14ac:dyDescent="0.25">
      <c r="A1220" t="str">
        <f>"20190312151520490"</f>
        <v>20190312151520490</v>
      </c>
      <c r="B1220" t="str">
        <f>"1552374920478532"</f>
        <v>1552374920478532</v>
      </c>
      <c r="C1220" t="s">
        <v>40</v>
      </c>
      <c r="D1220">
        <v>4.911276</v>
      </c>
      <c r="E1220">
        <v>0.60747850000000003</v>
      </c>
      <c r="F1220" t="s">
        <v>43</v>
      </c>
      <c r="G1220">
        <v>-193.464</v>
      </c>
      <c r="H1220" s="1">
        <v>-2.8324729999999999E-6</v>
      </c>
      <c r="I1220">
        <v>344.04320000000001</v>
      </c>
      <c r="J1220">
        <v>-194.2287</v>
      </c>
      <c r="K1220">
        <v>1.0983240000000001</v>
      </c>
      <c r="L1220">
        <v>355.69279999999998</v>
      </c>
      <c r="M1220">
        <v>0.50730559999999902</v>
      </c>
      <c r="N1220">
        <v>0</v>
      </c>
      <c r="O1220">
        <v>-0.86161860000000001</v>
      </c>
      <c r="P1220">
        <v>0.33960750000000001</v>
      </c>
      <c r="Q1220">
        <v>-5.8891829999999999E-2</v>
      </c>
      <c r="R1220">
        <v>-0.9387221</v>
      </c>
      <c r="S1220">
        <v>0.23471069999999999</v>
      </c>
      <c r="T1220">
        <v>-0.28653400000000001</v>
      </c>
      <c r="U1220">
        <v>-3.1043090000000002</v>
      </c>
      <c r="V1220">
        <v>0.1823795</v>
      </c>
      <c r="W1220">
        <v>-4.8234480000000003E-2</v>
      </c>
      <c r="X1220">
        <v>0.98204440000000004</v>
      </c>
      <c r="Y1220">
        <v>0.44104139999999997</v>
      </c>
      <c r="Z1220">
        <v>6.8196800000000002E-2</v>
      </c>
      <c r="AA1220">
        <v>0.89489200000000002</v>
      </c>
      <c r="AB1220">
        <v>29</v>
      </c>
      <c r="AC1220">
        <v>0.76469999999997595</v>
      </c>
      <c r="AD1220">
        <v>-1.098326832473</v>
      </c>
      <c r="AE1220">
        <v>-11.6495999999999</v>
      </c>
      <c r="AF1220">
        <v>5.2056226681718796</v>
      </c>
      <c r="AG1220">
        <v>-1.098326832473</v>
      </c>
      <c r="AH1220">
        <v>10.3353012284293</v>
      </c>
      <c r="AI1220">
        <v>95.421724681236498</v>
      </c>
      <c r="AJ1220">
        <v>63.266791978251298</v>
      </c>
      <c r="AK1220">
        <v>11.6242539836623</v>
      </c>
      <c r="AL1220">
        <v>92.764704812762403</v>
      </c>
      <c r="AM1220">
        <v>79.479225515527702</v>
      </c>
      <c r="AN1220">
        <v>1.00000002532624</v>
      </c>
    </row>
    <row r="1221" spans="1:40" x14ac:dyDescent="0.25">
      <c r="A1221" t="str">
        <f>"20190312151520515"</f>
        <v>20190312151520515</v>
      </c>
      <c r="B1221" t="str">
        <f>"1552374920508788"</f>
        <v>1552374920508788</v>
      </c>
      <c r="C1221" t="s">
        <v>40</v>
      </c>
      <c r="D1221">
        <v>4.89682</v>
      </c>
      <c r="E1221">
        <v>0.6057051</v>
      </c>
      <c r="F1221" t="s">
        <v>43</v>
      </c>
      <c r="G1221">
        <v>-193.4059</v>
      </c>
      <c r="H1221" s="1">
        <v>-2.545475E-6</v>
      </c>
      <c r="I1221">
        <v>343.41019999999997</v>
      </c>
      <c r="J1221">
        <v>-194.0746</v>
      </c>
      <c r="K1221">
        <v>1.098366</v>
      </c>
      <c r="L1221">
        <v>355.39749999999998</v>
      </c>
      <c r="M1221">
        <v>0.49314200000000002</v>
      </c>
      <c r="N1221">
        <v>0</v>
      </c>
      <c r="O1221">
        <v>-0.86980249999999903</v>
      </c>
      <c r="P1221">
        <v>0.3253335</v>
      </c>
      <c r="Q1221">
        <v>-5.8767560000000003E-2</v>
      </c>
      <c r="R1221">
        <v>-0.94377149999999999</v>
      </c>
      <c r="S1221">
        <v>0.20785519999999999</v>
      </c>
      <c r="T1221">
        <v>-0.27749089999999998</v>
      </c>
      <c r="U1221">
        <v>-3.10318</v>
      </c>
      <c r="V1221">
        <v>0.1812175</v>
      </c>
      <c r="W1221">
        <v>-4.8064509999999998E-2</v>
      </c>
      <c r="X1221">
        <v>0.98226780000000002</v>
      </c>
      <c r="Y1221">
        <v>0.43403330000000001</v>
      </c>
      <c r="Z1221">
        <v>6.7322699999999999E-2</v>
      </c>
      <c r="AA1221">
        <v>0.8983778</v>
      </c>
      <c r="AB1221">
        <v>29</v>
      </c>
      <c r="AC1221">
        <v>0.66870000000000096</v>
      </c>
      <c r="AD1221">
        <v>-1.0983685454749901</v>
      </c>
      <c r="AE1221">
        <v>-11.987299999999999</v>
      </c>
      <c r="AF1221">
        <v>5.2862390808043704</v>
      </c>
      <c r="AG1221">
        <v>-1.0983685454749901</v>
      </c>
      <c r="AH1221">
        <v>10.6684266624047</v>
      </c>
      <c r="AI1221">
        <v>95.270683443622502</v>
      </c>
      <c r="AJ1221">
        <v>63.641439498814997</v>
      </c>
      <c r="AK1221">
        <v>11.9568417457211</v>
      </c>
      <c r="AL1221">
        <v>92.754954996437704</v>
      </c>
      <c r="AM1221">
        <v>79.547099575749002</v>
      </c>
      <c r="AN1221">
        <v>1.0000000051723099</v>
      </c>
    </row>
    <row r="1222" spans="1:40" x14ac:dyDescent="0.25">
      <c r="A1222" t="str">
        <f>"20190312151520535"</f>
        <v>20190312151520535</v>
      </c>
      <c r="B1222" t="str">
        <f>"1552374920528310"</f>
        <v>1552374920528310</v>
      </c>
      <c r="C1222" t="s">
        <v>40</v>
      </c>
      <c r="D1222">
        <v>4.7936019999999999</v>
      </c>
      <c r="E1222">
        <v>0.59229119999999902</v>
      </c>
      <c r="F1222" t="s">
        <v>43</v>
      </c>
      <c r="G1222">
        <v>-193.37219999999999</v>
      </c>
      <c r="H1222" s="1">
        <v>-2.3176839999999998E-6</v>
      </c>
      <c r="I1222">
        <v>342.90010000000001</v>
      </c>
      <c r="J1222">
        <v>-193.95769999999999</v>
      </c>
      <c r="K1222">
        <v>1.0983940000000001</v>
      </c>
      <c r="L1222">
        <v>355.1651</v>
      </c>
      <c r="M1222">
        <v>0.48198400000000002</v>
      </c>
      <c r="N1222">
        <v>0</v>
      </c>
      <c r="O1222">
        <v>-0.87603500000000001</v>
      </c>
      <c r="P1222">
        <v>0.31425429999999999</v>
      </c>
      <c r="Q1222">
        <v>-5.8017190000000003E-2</v>
      </c>
      <c r="R1222">
        <v>-0.94756459999999998</v>
      </c>
      <c r="S1222">
        <v>0.17431640000000001</v>
      </c>
      <c r="T1222">
        <v>-0.2726017</v>
      </c>
      <c r="U1222">
        <v>-3.1016849999999998</v>
      </c>
      <c r="V1222">
        <v>0.18021690000000001</v>
      </c>
      <c r="W1222">
        <v>-4.7274900000000002E-2</v>
      </c>
      <c r="X1222">
        <v>0.98249019999999998</v>
      </c>
      <c r="Y1222">
        <v>0.43216929999999998</v>
      </c>
      <c r="Z1222">
        <v>6.7032369999999994E-2</v>
      </c>
      <c r="AA1222">
        <v>0.89929769999999898</v>
      </c>
      <c r="AB1222">
        <v>29</v>
      </c>
      <c r="AC1222">
        <v>0.58549999999999602</v>
      </c>
      <c r="AD1222">
        <v>-1.0983963176839999</v>
      </c>
      <c r="AE1222">
        <v>-12.264999999999899</v>
      </c>
      <c r="AF1222">
        <v>5.3564394739310801</v>
      </c>
      <c r="AG1222">
        <v>-1.0983963176839999</v>
      </c>
      <c r="AH1222">
        <v>10.940626073471</v>
      </c>
      <c r="AI1222">
        <v>95.152385379711802</v>
      </c>
      <c r="AJ1222">
        <v>63.914014567033398</v>
      </c>
      <c r="AK1222">
        <v>12.230912361230599</v>
      </c>
      <c r="AL1222">
        <v>92.709662143414704</v>
      </c>
      <c r="AM1222">
        <v>79.6058558574654</v>
      </c>
      <c r="AN1222">
        <v>1.0000000201558299</v>
      </c>
    </row>
    <row r="1223" spans="1:40" x14ac:dyDescent="0.25">
      <c r="A1223" t="str">
        <f>"20190312151520559"</f>
        <v>20190312151520559</v>
      </c>
      <c r="B1223" t="str">
        <f>"1552374920548808"</f>
        <v>1552374920548808</v>
      </c>
      <c r="C1223" t="s">
        <v>40</v>
      </c>
      <c r="D1223">
        <v>4.7800789999999997</v>
      </c>
      <c r="E1223">
        <v>0.59144790000000003</v>
      </c>
      <c r="F1223" t="s">
        <v>43</v>
      </c>
      <c r="G1223">
        <v>-192.87450000000001</v>
      </c>
      <c r="H1223" s="1">
        <v>-1.5199090000000001E-6</v>
      </c>
      <c r="I1223">
        <v>341.3492</v>
      </c>
      <c r="J1223">
        <v>-193.8236</v>
      </c>
      <c r="K1223">
        <v>1.0984290000000001</v>
      </c>
      <c r="L1223">
        <v>354.8886</v>
      </c>
      <c r="M1223">
        <v>0.46869450000000001</v>
      </c>
      <c r="N1223">
        <v>0</v>
      </c>
      <c r="O1223">
        <v>-0.88321669999999997</v>
      </c>
      <c r="P1223">
        <v>0.30125030000000003</v>
      </c>
      <c r="Q1223">
        <v>-5.7458950000000002E-2</v>
      </c>
      <c r="R1223">
        <v>-0.95181269999999996</v>
      </c>
      <c r="S1223">
        <v>0.24079900000000001</v>
      </c>
      <c r="T1223">
        <v>-0.244175</v>
      </c>
      <c r="U1223">
        <v>-3.0712890000000002</v>
      </c>
      <c r="V1223">
        <v>0.17886270000000001</v>
      </c>
      <c r="W1223">
        <v>-4.6666109999999997E-2</v>
      </c>
      <c r="X1223">
        <v>0.98276669999999999</v>
      </c>
      <c r="Y1223">
        <v>0.39838109999999999</v>
      </c>
      <c r="Z1223">
        <v>6.2111899999999998E-2</v>
      </c>
      <c r="AA1223">
        <v>0.91511450000000005</v>
      </c>
      <c r="AB1223">
        <v>29</v>
      </c>
      <c r="AC1223">
        <v>0.94909999999998695</v>
      </c>
      <c r="AD1223">
        <v>-1.0984305199089901</v>
      </c>
      <c r="AE1223">
        <v>-13.539400000000001</v>
      </c>
      <c r="AF1223">
        <v>5.4724376837084696</v>
      </c>
      <c r="AG1223">
        <v>-1.0984305199089901</v>
      </c>
      <c r="AH1223">
        <v>12.3239186869543</v>
      </c>
      <c r="AI1223">
        <v>94.657026527449304</v>
      </c>
      <c r="AJ1223">
        <v>66.056379776812406</v>
      </c>
      <c r="AK1223">
        <v>13.528972452178399</v>
      </c>
      <c r="AL1223">
        <v>92.674742587872402</v>
      </c>
      <c r="AM1223">
        <v>79.685117165230196</v>
      </c>
      <c r="AN1223">
        <v>0.999999988951355</v>
      </c>
    </row>
    <row r="1224" spans="1:40" x14ac:dyDescent="0.25">
      <c r="A1224" t="str">
        <f>"20190312151520580"</f>
        <v>20190312151520580</v>
      </c>
      <c r="B1224" t="str">
        <f>"1552374920569300"</f>
        <v>1552374920569300</v>
      </c>
      <c r="C1224" t="s">
        <v>40</v>
      </c>
      <c r="D1224">
        <v>4.8138550000000002</v>
      </c>
      <c r="E1224">
        <v>0.58962329999999996</v>
      </c>
      <c r="F1224" t="s">
        <v>43</v>
      </c>
      <c r="G1224">
        <v>-192.88640000000001</v>
      </c>
      <c r="H1224" s="1">
        <v>-1.3090390000000001E-6</v>
      </c>
      <c r="I1224">
        <v>340.8503</v>
      </c>
      <c r="J1224">
        <v>-193.70570000000001</v>
      </c>
      <c r="K1224">
        <v>1.0984609999999999</v>
      </c>
      <c r="L1224">
        <v>354.63639999999998</v>
      </c>
      <c r="M1224">
        <v>0.45655709999999999</v>
      </c>
      <c r="N1224">
        <v>0</v>
      </c>
      <c r="O1224">
        <v>-0.88955139999999999</v>
      </c>
      <c r="P1224">
        <v>0.28977560000000002</v>
      </c>
      <c r="Q1224">
        <v>-5.7012790000000001E-2</v>
      </c>
      <c r="R1224">
        <v>-0.95539529999999995</v>
      </c>
      <c r="S1224">
        <v>0.2051239</v>
      </c>
      <c r="T1224">
        <v>-0.24040410000000001</v>
      </c>
      <c r="U1224">
        <v>-3.0724490000000002</v>
      </c>
      <c r="V1224">
        <v>0.17726069999999999</v>
      </c>
      <c r="W1224">
        <v>-4.6163259999999998E-2</v>
      </c>
      <c r="X1224">
        <v>0.98308070000000003</v>
      </c>
      <c r="Y1224">
        <v>0.39641929999999997</v>
      </c>
      <c r="Z1224">
        <v>6.1914509999999999E-2</v>
      </c>
      <c r="AA1224">
        <v>0.9159794</v>
      </c>
      <c r="AB1224">
        <v>29</v>
      </c>
      <c r="AC1224">
        <v>0.81929999999999803</v>
      </c>
      <c r="AD1224">
        <v>-1.098462309039</v>
      </c>
      <c r="AE1224">
        <v>-13.7860999999999</v>
      </c>
      <c r="AF1224">
        <v>5.5310474953581501</v>
      </c>
      <c r="AG1224">
        <v>-1.098462309039</v>
      </c>
      <c r="AH1224">
        <v>12.559649255205599</v>
      </c>
      <c r="AI1224">
        <v>94.576302779951604</v>
      </c>
      <c r="AJ1224">
        <v>66.232155710888804</v>
      </c>
      <c r="AK1224">
        <v>13.767494153043</v>
      </c>
      <c r="AL1224">
        <v>92.645900204613596</v>
      </c>
      <c r="AM1224">
        <v>79.778742838534399</v>
      </c>
      <c r="AN1224">
        <v>1.0000000325253999</v>
      </c>
    </row>
    <row r="1225" spans="1:40" x14ac:dyDescent="0.25">
      <c r="A1225" t="str">
        <f>"20190312151520602"</f>
        <v>20190312151520602</v>
      </c>
      <c r="B1225" t="str">
        <f>"1552374920598580"</f>
        <v>1552374920598580</v>
      </c>
      <c r="C1225" t="s">
        <v>40</v>
      </c>
      <c r="D1225">
        <v>4.7726240000000004</v>
      </c>
      <c r="E1225">
        <v>0.5874104</v>
      </c>
      <c r="F1225" t="s">
        <v>43</v>
      </c>
      <c r="G1225">
        <v>-192.88220000000001</v>
      </c>
      <c r="H1225" s="1">
        <v>-1.266874E-6</v>
      </c>
      <c r="I1225">
        <v>340.75459999999998</v>
      </c>
      <c r="J1225">
        <v>-193.58860000000001</v>
      </c>
      <c r="K1225">
        <v>1.098487</v>
      </c>
      <c r="L1225">
        <v>354.37670000000003</v>
      </c>
      <c r="M1225">
        <v>0.44404690000000002</v>
      </c>
      <c r="N1225">
        <v>0</v>
      </c>
      <c r="O1225">
        <v>-0.89586200000000005</v>
      </c>
      <c r="P1225">
        <v>0.2780243</v>
      </c>
      <c r="Q1225">
        <v>-5.6841580000000003E-2</v>
      </c>
      <c r="R1225">
        <v>-0.9588911</v>
      </c>
      <c r="S1225">
        <v>0.18212890000000001</v>
      </c>
      <c r="T1225">
        <v>-0.24295310000000001</v>
      </c>
      <c r="U1225">
        <v>-3.0703130000000001</v>
      </c>
      <c r="V1225">
        <v>0.1755679</v>
      </c>
      <c r="W1225">
        <v>-4.5933269999999998E-2</v>
      </c>
      <c r="X1225">
        <v>0.98339520000000002</v>
      </c>
      <c r="Y1225">
        <v>0.3903432</v>
      </c>
      <c r="Z1225">
        <v>6.3459860000000007E-2</v>
      </c>
      <c r="AA1225">
        <v>0.91847970000000001</v>
      </c>
      <c r="AB1225">
        <v>28</v>
      </c>
      <c r="AC1225">
        <v>0.70640000000000203</v>
      </c>
      <c r="AD1225">
        <v>-1.0984882668739999</v>
      </c>
      <c r="AE1225">
        <v>-13.6221</v>
      </c>
      <c r="AF1225">
        <v>5.38179823039391</v>
      </c>
      <c r="AG1225">
        <v>-1.0984882668739999</v>
      </c>
      <c r="AH1225">
        <v>12.438118031753101</v>
      </c>
      <c r="AI1225">
        <v>94.6339349722017</v>
      </c>
      <c r="AJ1225">
        <v>66.602545572459405</v>
      </c>
      <c r="AK1225">
        <v>13.596955866551699</v>
      </c>
      <c r="AL1225">
        <v>92.632708746006003</v>
      </c>
      <c r="AM1225">
        <v>79.877495722544495</v>
      </c>
      <c r="AN1225">
        <v>1.00000003609317</v>
      </c>
    </row>
    <row r="1226" spans="1:40" x14ac:dyDescent="0.25">
      <c r="A1226" t="str">
        <f>"20190312151520628"</f>
        <v>20190312151520628</v>
      </c>
      <c r="B1226" t="str">
        <f>"1552374920619076"</f>
        <v>1552374920619076</v>
      </c>
      <c r="C1226" t="s">
        <v>40</v>
      </c>
      <c r="D1226">
        <v>4.8747870000000004</v>
      </c>
      <c r="E1226">
        <v>0.58691009999999999</v>
      </c>
      <c r="F1226" t="s">
        <v>43</v>
      </c>
      <c r="G1226">
        <v>-192.85329999999999</v>
      </c>
      <c r="H1226" s="1">
        <v>-1.1020330000000001E-6</v>
      </c>
      <c r="I1226">
        <v>340.38830000000002</v>
      </c>
      <c r="J1226">
        <v>-193.45500000000001</v>
      </c>
      <c r="K1226">
        <v>1.0985229999999999</v>
      </c>
      <c r="L1226">
        <v>354.06799999999998</v>
      </c>
      <c r="M1226">
        <v>0.42915880000000001</v>
      </c>
      <c r="N1226">
        <v>0</v>
      </c>
      <c r="O1226">
        <v>-0.90308889999999997</v>
      </c>
      <c r="P1226">
        <v>0.26362649999999999</v>
      </c>
      <c r="Q1226">
        <v>-5.755474E-2</v>
      </c>
      <c r="R1226">
        <v>-0.96290659999999895</v>
      </c>
      <c r="S1226">
        <v>0.16123959999999901</v>
      </c>
      <c r="T1226">
        <v>-0.24088860000000001</v>
      </c>
      <c r="U1226">
        <v>-3.0675349999999999</v>
      </c>
      <c r="V1226">
        <v>0.1739936</v>
      </c>
      <c r="W1226">
        <v>-4.6591140000000003E-2</v>
      </c>
      <c r="X1226">
        <v>0.98364399999999996</v>
      </c>
      <c r="Y1226">
        <v>0.3812779</v>
      </c>
      <c r="Z1226">
        <v>6.3976190000000002E-2</v>
      </c>
      <c r="AA1226">
        <v>0.92224410000000001</v>
      </c>
      <c r="AB1226">
        <v>28</v>
      </c>
      <c r="AC1226">
        <v>0.601700000000022</v>
      </c>
      <c r="AD1226">
        <v>-1.0985241020330001</v>
      </c>
      <c r="AE1226">
        <v>-13.6797</v>
      </c>
      <c r="AF1226">
        <v>5.2939766557919103</v>
      </c>
      <c r="AG1226">
        <v>-1.0985241020330001</v>
      </c>
      <c r="AH1226">
        <v>12.5331415846744</v>
      </c>
      <c r="AI1226">
        <v>94.616162320370407</v>
      </c>
      <c r="AJ1226">
        <v>67.100890802071504</v>
      </c>
      <c r="AK1226">
        <v>13.649636699059499</v>
      </c>
      <c r="AL1226">
        <v>92.670442381805998</v>
      </c>
      <c r="AM1226">
        <v>79.968897117283802</v>
      </c>
      <c r="AN1226">
        <v>1.0000000129517199</v>
      </c>
    </row>
    <row r="1227" spans="1:40" x14ac:dyDescent="0.25">
      <c r="A1227" t="str">
        <f>"20190312151520648"</f>
        <v>20190312151520648</v>
      </c>
      <c r="B1227" t="str">
        <f>"1552374920638595"</f>
        <v>1552374920638595</v>
      </c>
      <c r="C1227" t="s">
        <v>40</v>
      </c>
      <c r="D1227">
        <v>4.8986400000000003</v>
      </c>
      <c r="E1227">
        <v>0.59686859999999997</v>
      </c>
      <c r="F1227" t="s">
        <v>43</v>
      </c>
      <c r="G1227">
        <v>-192.9134</v>
      </c>
      <c r="H1227" s="1">
        <v>-1.0028200000000001E-6</v>
      </c>
      <c r="I1227">
        <v>340.1198</v>
      </c>
      <c r="J1227">
        <v>-193.3553</v>
      </c>
      <c r="K1227">
        <v>1.098552</v>
      </c>
      <c r="L1227">
        <v>353.8279</v>
      </c>
      <c r="M1227">
        <v>0.4175662</v>
      </c>
      <c r="N1227">
        <v>0</v>
      </c>
      <c r="O1227">
        <v>-0.90850719999999996</v>
      </c>
      <c r="P1227">
        <v>0.25342179999999997</v>
      </c>
      <c r="Q1227">
        <v>-5.8175159999999997E-2</v>
      </c>
      <c r="R1227">
        <v>-0.96560500000000005</v>
      </c>
      <c r="S1227">
        <v>0.1191559</v>
      </c>
      <c r="T1227">
        <v>-0.24166209999999999</v>
      </c>
      <c r="U1227">
        <v>-3.068451</v>
      </c>
      <c r="V1227">
        <v>0.17178779999999999</v>
      </c>
      <c r="W1227">
        <v>-4.7139540000000001E-2</v>
      </c>
      <c r="X1227">
        <v>0.98400549999999998</v>
      </c>
      <c r="Y1227">
        <v>0.38208510000000001</v>
      </c>
      <c r="Z1227">
        <v>6.4791029999999999E-2</v>
      </c>
      <c r="AA1227">
        <v>0.92185309999999998</v>
      </c>
      <c r="AB1227">
        <v>28</v>
      </c>
      <c r="AC1227">
        <v>0.44190000000000401</v>
      </c>
      <c r="AD1227">
        <v>-1.0985530028199999</v>
      </c>
      <c r="AE1227">
        <v>-13.7081</v>
      </c>
      <c r="AF1227">
        <v>5.2893096616030002</v>
      </c>
      <c r="AG1227">
        <v>-1.0985530028199999</v>
      </c>
      <c r="AH1227">
        <v>12.559453704993301</v>
      </c>
      <c r="AI1227">
        <v>94.608717956270894</v>
      </c>
      <c r="AJ1227">
        <v>67.162011292458899</v>
      </c>
      <c r="AK1227">
        <v>13.671996663406601</v>
      </c>
      <c r="AL1227">
        <v>92.701897973687807</v>
      </c>
      <c r="AM1227">
        <v>80.097098546875799</v>
      </c>
      <c r="AN1227">
        <v>1.0000000042452499</v>
      </c>
    </row>
    <row r="1228" spans="1:40" x14ac:dyDescent="0.25">
      <c r="A1228" t="str">
        <f>"20190312151520669"</f>
        <v>20190312151520669</v>
      </c>
      <c r="B1228" t="str">
        <f>"1552374920659092"</f>
        <v>1552374920659092</v>
      </c>
      <c r="C1228" t="s">
        <v>40</v>
      </c>
      <c r="D1228">
        <v>4.8811910000000003</v>
      </c>
      <c r="E1228">
        <v>0.59691459999999996</v>
      </c>
      <c r="F1228" t="s">
        <v>43</v>
      </c>
      <c r="G1228">
        <v>-193.29990000000001</v>
      </c>
      <c r="H1228" s="1">
        <v>-4.3832900000000002E-6</v>
      </c>
      <c r="I1228">
        <v>338.1472</v>
      </c>
      <c r="J1228">
        <v>-193.25489999999999</v>
      </c>
      <c r="K1228">
        <v>1.098584</v>
      </c>
      <c r="L1228">
        <v>353.57679999999999</v>
      </c>
      <c r="M1228">
        <v>0.40544910000000001</v>
      </c>
      <c r="N1228">
        <v>0</v>
      </c>
      <c r="O1228">
        <v>-0.91397919999999999</v>
      </c>
      <c r="P1228">
        <v>0.24280360000000001</v>
      </c>
      <c r="Q1228">
        <v>-5.8372159999999999E-2</v>
      </c>
      <c r="R1228">
        <v>-0.9683176</v>
      </c>
      <c r="S1228">
        <v>1.0910029999999999E-2</v>
      </c>
      <c r="T1228">
        <v>-0.21654570000000001</v>
      </c>
      <c r="U1228">
        <v>-3.0909420000000001</v>
      </c>
      <c r="V1228">
        <v>0.16950479999999901</v>
      </c>
      <c r="W1228">
        <v>-4.7260820000000002E-2</v>
      </c>
      <c r="X1228">
        <v>0.98439549999999998</v>
      </c>
      <c r="Y1228">
        <v>0.40223409999999998</v>
      </c>
      <c r="Z1228">
        <v>5.7939060000000001E-2</v>
      </c>
      <c r="AA1228">
        <v>0.91370169999999995</v>
      </c>
      <c r="AB1228">
        <v>28</v>
      </c>
      <c r="AC1228">
        <v>-4.5000000000015902E-2</v>
      </c>
      <c r="AD1228">
        <v>-1.0985883832899901</v>
      </c>
      <c r="AE1228">
        <v>-15.429599999999899</v>
      </c>
      <c r="AF1228">
        <v>6.26607809346695</v>
      </c>
      <c r="AG1228">
        <v>-1.0985883832899901</v>
      </c>
      <c r="AH1228">
        <v>14.014823761740001</v>
      </c>
      <c r="AI1228">
        <v>94.093148320779406</v>
      </c>
      <c r="AJ1228">
        <v>65.910409778716399</v>
      </c>
      <c r="AK1228">
        <v>15.391098602177699</v>
      </c>
      <c r="AL1228">
        <v>92.708854621259505</v>
      </c>
      <c r="AM1228">
        <v>80.229947379281697</v>
      </c>
      <c r="AN1228">
        <v>0.99999998137518098</v>
      </c>
    </row>
    <row r="1229" spans="1:40" x14ac:dyDescent="0.25">
      <c r="A1229" t="str">
        <f>"20190312151520692"</f>
        <v>20190312151520692</v>
      </c>
      <c r="B1229" t="str">
        <f>"1552374920689349"</f>
        <v>1552374920689349</v>
      </c>
      <c r="C1229" t="s">
        <v>40</v>
      </c>
      <c r="D1229">
        <v>4.8912430000000002</v>
      </c>
      <c r="E1229">
        <v>0.59494040000000004</v>
      </c>
      <c r="F1229" t="s">
        <v>43</v>
      </c>
      <c r="G1229">
        <v>-193.37370000000001</v>
      </c>
      <c r="H1229" s="1">
        <v>-4.1912790000000001E-6</v>
      </c>
      <c r="I1229">
        <v>337.54450000000003</v>
      </c>
      <c r="J1229">
        <v>-193.15039999999999</v>
      </c>
      <c r="K1229">
        <v>1.0986290000000001</v>
      </c>
      <c r="L1229">
        <v>353.30509999999998</v>
      </c>
      <c r="M1229">
        <v>0.39234279999999999</v>
      </c>
      <c r="N1229">
        <v>0</v>
      </c>
      <c r="O1229">
        <v>-0.91968170000000005</v>
      </c>
      <c r="P1229">
        <v>0.23109650000000001</v>
      </c>
      <c r="Q1229">
        <v>-5.858265E-2</v>
      </c>
      <c r="R1229">
        <v>-0.97116570000000002</v>
      </c>
      <c r="S1229">
        <v>-2.2903440000000001E-2</v>
      </c>
      <c r="T1229">
        <v>-0.21181539999999999</v>
      </c>
      <c r="U1229">
        <v>-3.0911249999999999</v>
      </c>
      <c r="V1229">
        <v>0.1673135</v>
      </c>
      <c r="W1229">
        <v>-4.7396069999999998E-2</v>
      </c>
      <c r="X1229">
        <v>0.98476390000000003</v>
      </c>
      <c r="Y1229">
        <v>0.39914359999999999</v>
      </c>
      <c r="Z1229">
        <v>5.7299269999999999E-2</v>
      </c>
      <c r="AA1229">
        <v>0.91509629999999997</v>
      </c>
      <c r="AB1229">
        <v>28</v>
      </c>
      <c r="AC1229">
        <v>-0.22330000000002301</v>
      </c>
      <c r="AD1229">
        <v>-1.0986331912789999</v>
      </c>
      <c r="AE1229">
        <v>-15.760599999999901</v>
      </c>
      <c r="AF1229">
        <v>6.3588379244516204</v>
      </c>
      <c r="AG1229">
        <v>-1.0986331912789999</v>
      </c>
      <c r="AH1229">
        <v>14.3392832395099</v>
      </c>
      <c r="AI1229">
        <v>94.006407742107697</v>
      </c>
      <c r="AJ1229">
        <v>66.084831322573194</v>
      </c>
      <c r="AK1229">
        <v>15.7244032783859</v>
      </c>
      <c r="AL1229">
        <v>92.716612337218393</v>
      </c>
      <c r="AM1229">
        <v>80.357403908119494</v>
      </c>
      <c r="AN1229">
        <v>1.0000000667384501</v>
      </c>
    </row>
    <row r="1230" spans="1:40" x14ac:dyDescent="0.25">
      <c r="A1230" t="str">
        <f>"20190312151520715"</f>
        <v>20190312151520715</v>
      </c>
      <c r="B1230" t="str">
        <f>"1552374920708868"</f>
        <v>1552374920708868</v>
      </c>
      <c r="C1230" t="s">
        <v>40</v>
      </c>
      <c r="D1230">
        <v>4.9104910000000004</v>
      </c>
      <c r="E1230">
        <v>0.59339919999999902</v>
      </c>
      <c r="F1230" t="s">
        <v>43</v>
      </c>
      <c r="G1230">
        <v>-193.3828</v>
      </c>
      <c r="H1230" s="1">
        <v>-4.144242E-6</v>
      </c>
      <c r="I1230">
        <v>337.40159999999997</v>
      </c>
      <c r="J1230">
        <v>-193.047</v>
      </c>
      <c r="K1230">
        <v>1.0986880000000001</v>
      </c>
      <c r="L1230">
        <v>353.02319999999997</v>
      </c>
      <c r="M1230">
        <v>0.37878780000000001</v>
      </c>
      <c r="N1230">
        <v>0</v>
      </c>
      <c r="O1230">
        <v>-0.92534729999999998</v>
      </c>
      <c r="P1230">
        <v>0.21934960000000001</v>
      </c>
      <c r="Q1230">
        <v>-5.9188579999999998E-2</v>
      </c>
      <c r="R1230">
        <v>-0.97384950000000003</v>
      </c>
      <c r="S1230">
        <v>-4.5104980000000003E-2</v>
      </c>
      <c r="T1230">
        <v>-0.21325179999999999</v>
      </c>
      <c r="U1230">
        <v>-3.0869749999999998</v>
      </c>
      <c r="V1230">
        <v>0.16471830000000001</v>
      </c>
      <c r="W1230">
        <v>-4.7913339999999999E-2</v>
      </c>
      <c r="X1230">
        <v>0.98517619999999895</v>
      </c>
      <c r="Y1230">
        <v>0.39225169999999998</v>
      </c>
      <c r="Z1230">
        <v>5.844535E-2</v>
      </c>
      <c r="AA1230">
        <v>0.91799929999999996</v>
      </c>
      <c r="AB1230">
        <v>28</v>
      </c>
      <c r="AC1230">
        <v>-0.33580000000000598</v>
      </c>
      <c r="AD1230">
        <v>-1.0986921442419999</v>
      </c>
      <c r="AE1230">
        <v>-15.621600000000001</v>
      </c>
      <c r="AF1230">
        <v>6.1981433801776804</v>
      </c>
      <c r="AG1230">
        <v>-1.0986921442419999</v>
      </c>
      <c r="AH1230">
        <v>14.259512812364999</v>
      </c>
      <c r="AI1230">
        <v>94.041973890789706</v>
      </c>
      <c r="AJ1230">
        <v>66.506992779771807</v>
      </c>
      <c r="AK1230">
        <v>15.5871040105294</v>
      </c>
      <c r="AL1230">
        <v>92.746283683687395</v>
      </c>
      <c r="AM1230">
        <v>80.508127319156102</v>
      </c>
      <c r="AN1230">
        <v>0.99999997577564204</v>
      </c>
    </row>
    <row r="1231" spans="1:40" x14ac:dyDescent="0.25">
      <c r="A1231" t="str">
        <f>"20190312151520737"</f>
        <v>20190312151520737</v>
      </c>
      <c r="B1231" t="str">
        <f>"1552374920729365"</f>
        <v>1552374920729365</v>
      </c>
      <c r="C1231" t="s">
        <v>40</v>
      </c>
      <c r="D1231">
        <v>4.967606</v>
      </c>
      <c r="E1231">
        <v>0.58387749999999905</v>
      </c>
      <c r="F1231" t="s">
        <v>43</v>
      </c>
      <c r="G1231">
        <v>-193.404</v>
      </c>
      <c r="H1231" s="1">
        <v>-4.1636390000000003E-6</v>
      </c>
      <c r="I1231">
        <v>337.44749999999999</v>
      </c>
      <c r="J1231">
        <v>-192.95480000000001</v>
      </c>
      <c r="K1231">
        <v>1.0987499999999999</v>
      </c>
      <c r="L1231">
        <v>352.76089999999999</v>
      </c>
      <c r="M1231">
        <v>0.36621769999999998</v>
      </c>
      <c r="N1231">
        <v>0</v>
      </c>
      <c r="O1231">
        <v>-0.93039380000000005</v>
      </c>
      <c r="P1231">
        <v>0.2085824</v>
      </c>
      <c r="Q1231">
        <v>-5.9869510000000001E-2</v>
      </c>
      <c r="R1231">
        <v>-0.97617069999999995</v>
      </c>
      <c r="S1231">
        <v>-7.0678710000000006E-2</v>
      </c>
      <c r="T1231">
        <v>-0.21749089999999999</v>
      </c>
      <c r="U1231">
        <v>-3.0832820000000001</v>
      </c>
      <c r="V1231">
        <v>0.1622287</v>
      </c>
      <c r="W1231">
        <v>-4.8507359999999999E-2</v>
      </c>
      <c r="X1231">
        <v>0.9855602</v>
      </c>
      <c r="Y1231">
        <v>0.38741100000000001</v>
      </c>
      <c r="Z1231">
        <v>6.0269200000000002E-2</v>
      </c>
      <c r="AA1231">
        <v>0.91993499999999995</v>
      </c>
      <c r="AB1231">
        <v>28</v>
      </c>
      <c r="AC1231">
        <v>-0.44920000000001797</v>
      </c>
      <c r="AD1231">
        <v>-1.0987541636389999</v>
      </c>
      <c r="AE1231">
        <v>-15.3134</v>
      </c>
      <c r="AF1231">
        <v>5.9958886903858097</v>
      </c>
      <c r="AG1231">
        <v>-1.0987541636389999</v>
      </c>
      <c r="AH1231">
        <v>14.0126835533456</v>
      </c>
      <c r="AI1231">
        <v>94.123275342219699</v>
      </c>
      <c r="AJ1231">
        <v>66.834396940720893</v>
      </c>
      <c r="AK1231">
        <v>15.2811400839666</v>
      </c>
      <c r="AL1231">
        <v>92.780358046309999</v>
      </c>
      <c r="AM1231">
        <v>80.652616429284606</v>
      </c>
      <c r="AN1231">
        <v>1.00000001145094</v>
      </c>
    </row>
    <row r="1232" spans="1:40" x14ac:dyDescent="0.25">
      <c r="A1232" t="str">
        <f>"20190312151520759"</f>
        <v>20190312151520759</v>
      </c>
      <c r="B1232" t="str">
        <f>"1552374920748884"</f>
        <v>1552374920748884</v>
      </c>
      <c r="C1232" t="s">
        <v>40</v>
      </c>
      <c r="D1232">
        <v>4.9434469999999999</v>
      </c>
      <c r="E1232">
        <v>0.58338800000000002</v>
      </c>
      <c r="F1232" t="s">
        <v>43</v>
      </c>
      <c r="G1232">
        <v>-193.0994</v>
      </c>
      <c r="H1232" s="1">
        <v>-4.4464689999999999E-6</v>
      </c>
      <c r="I1232">
        <v>338.43740000000003</v>
      </c>
      <c r="J1232">
        <v>-192.8614</v>
      </c>
      <c r="K1232">
        <v>1.0988290000000001</v>
      </c>
      <c r="L1232">
        <v>352.48259999999999</v>
      </c>
      <c r="M1232">
        <v>0.35293950000000002</v>
      </c>
      <c r="N1232">
        <v>0</v>
      </c>
      <c r="O1232">
        <v>-0.93551189999999995</v>
      </c>
      <c r="P1232">
        <v>0.19747310000000001</v>
      </c>
      <c r="Q1232">
        <v>-6.0259609999999998E-2</v>
      </c>
      <c r="R1232">
        <v>-0.97845490000000002</v>
      </c>
      <c r="S1232">
        <v>-3.0944820000000001E-2</v>
      </c>
      <c r="T1232">
        <v>-0.23514840000000001</v>
      </c>
      <c r="U1232">
        <v>-3.0654300000000001</v>
      </c>
      <c r="V1232">
        <v>0.15939879999999901</v>
      </c>
      <c r="W1232">
        <v>-4.8800110000000001E-2</v>
      </c>
      <c r="X1232">
        <v>0.98600739999999998</v>
      </c>
      <c r="Y1232">
        <v>0.36235010000000001</v>
      </c>
      <c r="Z1232">
        <v>6.6501690000000002E-2</v>
      </c>
      <c r="AA1232">
        <v>0.92966660000000001</v>
      </c>
      <c r="AB1232">
        <v>28</v>
      </c>
      <c r="AC1232">
        <v>-0.23799999999999899</v>
      </c>
      <c r="AD1232">
        <v>-1.0988334464689999</v>
      </c>
      <c r="AE1232">
        <v>-14.0451999999999</v>
      </c>
      <c r="AF1232">
        <v>5.1489020522190696</v>
      </c>
      <c r="AG1232">
        <v>-1.0988334464689999</v>
      </c>
      <c r="AH1232">
        <v>12.9776812400656</v>
      </c>
      <c r="AI1232">
        <v>94.500070324819802</v>
      </c>
      <c r="AJ1232">
        <v>68.359270384758503</v>
      </c>
      <c r="AK1232">
        <v>14.004957609902901</v>
      </c>
      <c r="AL1232">
        <v>92.797151276369902</v>
      </c>
      <c r="AM1232">
        <v>80.816962462643303</v>
      </c>
      <c r="AN1232">
        <v>1.0000000105161</v>
      </c>
    </row>
    <row r="1233" spans="1:40" x14ac:dyDescent="0.25">
      <c r="A1233" t="str">
        <f>"20190312151520781"</f>
        <v>20190312151520781</v>
      </c>
      <c r="B1233" t="str">
        <f>"1552374920779140"</f>
        <v>1552374920779140</v>
      </c>
      <c r="C1233" t="s">
        <v>40</v>
      </c>
      <c r="D1233">
        <v>4.8543690000000002</v>
      </c>
      <c r="E1233">
        <v>0.58236960000000004</v>
      </c>
      <c r="F1233" t="s">
        <v>43</v>
      </c>
      <c r="G1233">
        <v>-193.15119999999999</v>
      </c>
      <c r="H1233" s="1">
        <v>-4.3418459999999997E-6</v>
      </c>
      <c r="I1233">
        <v>338.10300000000001</v>
      </c>
      <c r="J1233">
        <v>-192.77719999999999</v>
      </c>
      <c r="K1233">
        <v>1.0989150000000001</v>
      </c>
      <c r="L1233">
        <v>352.22050000000002</v>
      </c>
      <c r="M1233">
        <v>0.34050340000000001</v>
      </c>
      <c r="N1233">
        <v>0</v>
      </c>
      <c r="O1233">
        <v>-0.94011</v>
      </c>
      <c r="P1233">
        <v>0.18817829999999999</v>
      </c>
      <c r="Q1233">
        <v>-6.1079340000000003E-2</v>
      </c>
      <c r="R1233">
        <v>-0.98023400000000005</v>
      </c>
      <c r="S1233">
        <v>-6.1752319999999999E-2</v>
      </c>
      <c r="T1233">
        <v>-0.23414989999999999</v>
      </c>
      <c r="U1233">
        <v>-3.0641479999999999</v>
      </c>
      <c r="V1233">
        <v>0.1556572</v>
      </c>
      <c r="W1233">
        <v>-4.9496869999999998E-2</v>
      </c>
      <c r="X1233">
        <v>0.98657030000000001</v>
      </c>
      <c r="Y1233">
        <v>0.35933979999999999</v>
      </c>
      <c r="Z1233">
        <v>6.6809129999999994E-2</v>
      </c>
      <c r="AA1233">
        <v>0.93081219999999998</v>
      </c>
      <c r="AB1233">
        <v>28</v>
      </c>
      <c r="AC1233">
        <v>-0.373999999999995</v>
      </c>
      <c r="AD1233">
        <v>-1.0989193418459999</v>
      </c>
      <c r="AE1233">
        <v>-14.1175</v>
      </c>
      <c r="AF1233">
        <v>5.1282530764413101</v>
      </c>
      <c r="AG1233">
        <v>-1.0989193418459999</v>
      </c>
      <c r="AH1233">
        <v>13.067180865446099</v>
      </c>
      <c r="AI1233">
        <v>94.476258613794201</v>
      </c>
      <c r="AJ1233">
        <v>68.572330929973205</v>
      </c>
      <c r="AK1233">
        <v>14.0804055021932</v>
      </c>
      <c r="AL1233">
        <v>92.837120931593603</v>
      </c>
      <c r="AM1233">
        <v>81.034006365575195</v>
      </c>
      <c r="AN1233">
        <v>1.0000000304468599</v>
      </c>
    </row>
    <row r="1234" spans="1:40" x14ac:dyDescent="0.25">
      <c r="A1234" t="str">
        <f>"20190312151520804"</f>
        <v>20190312151520804</v>
      </c>
      <c r="B1234" t="str">
        <f>"1552374920798660"</f>
        <v>1552374920798660</v>
      </c>
      <c r="C1234" t="s">
        <v>40</v>
      </c>
      <c r="D1234">
        <v>4.8367500000000003</v>
      </c>
      <c r="E1234">
        <v>0.570355099999999</v>
      </c>
      <c r="F1234" t="s">
        <v>43</v>
      </c>
      <c r="G1234">
        <v>-193.2818</v>
      </c>
      <c r="H1234" s="1">
        <v>-2.3491819999999998E-6</v>
      </c>
      <c r="I1234">
        <v>333.02969999999999</v>
      </c>
      <c r="J1234">
        <v>-192.68860000000001</v>
      </c>
      <c r="K1234">
        <v>1.099038</v>
      </c>
      <c r="L1234">
        <v>351.93090000000001</v>
      </c>
      <c r="M1234">
        <v>0.32688820000000002</v>
      </c>
      <c r="N1234">
        <v>0</v>
      </c>
      <c r="O1234">
        <v>-0.94493079999999996</v>
      </c>
      <c r="P1234">
        <v>0.1788642</v>
      </c>
      <c r="Q1234">
        <v>-6.2046610000000002E-2</v>
      </c>
      <c r="R1234">
        <v>-0.98191530000000005</v>
      </c>
      <c r="S1234">
        <v>-8.0581669999999994E-2</v>
      </c>
      <c r="T1234">
        <v>-0.17551220000000001</v>
      </c>
      <c r="U1234">
        <v>-3.0650330000000001</v>
      </c>
      <c r="V1234">
        <v>0.15074570000000001</v>
      </c>
      <c r="W1234">
        <v>-5.0305620000000002E-2</v>
      </c>
      <c r="X1234">
        <v>0.98729180000000005</v>
      </c>
      <c r="Y1234">
        <v>0.35160029999999998</v>
      </c>
      <c r="Z1234">
        <v>5.0618370000000003E-2</v>
      </c>
      <c r="AA1234">
        <v>0.93478070000000002</v>
      </c>
      <c r="AB1234">
        <v>28</v>
      </c>
      <c r="AC1234">
        <v>-0.59319999999999595</v>
      </c>
      <c r="AD1234">
        <v>-1.099040349182</v>
      </c>
      <c r="AE1234">
        <v>-18.901199999999999</v>
      </c>
      <c r="AF1234">
        <v>6.7172654638685803</v>
      </c>
      <c r="AG1234">
        <v>-1.099040349182</v>
      </c>
      <c r="AH1234">
        <v>17.6091452876842</v>
      </c>
      <c r="AI1234">
        <v>93.337382625847297</v>
      </c>
      <c r="AJ1234">
        <v>69.119917971130405</v>
      </c>
      <c r="AK1234">
        <v>18.878864975521701</v>
      </c>
      <c r="AL1234">
        <v>92.883516754251204</v>
      </c>
      <c r="AM1234">
        <v>81.318780387266202</v>
      </c>
      <c r="AN1234">
        <v>1.00000000990965</v>
      </c>
    </row>
    <row r="1235" spans="1:40" x14ac:dyDescent="0.25">
      <c r="A1235" t="str">
        <f>"20190312151520827"</f>
        <v>20190312151520827</v>
      </c>
      <c r="B1235" t="str">
        <f>"1552374920819156"</f>
        <v>1552374920819156</v>
      </c>
      <c r="C1235" t="s">
        <v>40</v>
      </c>
      <c r="D1235">
        <v>4.7938210000000003</v>
      </c>
      <c r="E1235">
        <v>0.57080430000000004</v>
      </c>
      <c r="F1235" t="s">
        <v>43</v>
      </c>
      <c r="G1235">
        <v>-192.79310000000001</v>
      </c>
      <c r="H1235" s="1">
        <v>-4.6474559999999996E-6</v>
      </c>
      <c r="I1235">
        <v>329.18770000000001</v>
      </c>
      <c r="J1235">
        <v>-192.60640000000001</v>
      </c>
      <c r="K1235">
        <v>1.0991709999999999</v>
      </c>
      <c r="L1235">
        <v>351.64909999999998</v>
      </c>
      <c r="M1235">
        <v>0.31378529999999999</v>
      </c>
      <c r="N1235">
        <v>0</v>
      </c>
      <c r="O1235">
        <v>-0.94936299999999996</v>
      </c>
      <c r="P1235">
        <v>0.17415990000000001</v>
      </c>
      <c r="Q1235">
        <v>-6.2862909999999994E-2</v>
      </c>
      <c r="R1235">
        <v>-0.98270919999999895</v>
      </c>
      <c r="S1235">
        <v>-1.400757E-2</v>
      </c>
      <c r="T1235">
        <v>-0.1473151</v>
      </c>
      <c r="U1235">
        <v>-3.048492</v>
      </c>
      <c r="V1235">
        <v>0.1418005</v>
      </c>
      <c r="W1235">
        <v>-5.0852790000000002E-2</v>
      </c>
      <c r="X1235">
        <v>0.98858820000000003</v>
      </c>
      <c r="Y1235">
        <v>0.31816939999999999</v>
      </c>
      <c r="Z1235">
        <v>4.3356060000000002E-2</v>
      </c>
      <c r="AA1235">
        <v>0.94704200000000005</v>
      </c>
      <c r="AB1235">
        <v>28</v>
      </c>
      <c r="AC1235">
        <v>-0.186700000000001</v>
      </c>
      <c r="AD1235">
        <v>-1.0991756474559999</v>
      </c>
      <c r="AE1235">
        <v>-22.461399999999902</v>
      </c>
      <c r="AF1235">
        <v>7.2089393408264399</v>
      </c>
      <c r="AG1235">
        <v>-1.0991756474559999</v>
      </c>
      <c r="AH1235">
        <v>21.2172764020223</v>
      </c>
      <c r="AI1235">
        <v>92.808204088513705</v>
      </c>
      <c r="AJ1235">
        <v>71.233912443939602</v>
      </c>
      <c r="AK1235">
        <v>22.435458797258601</v>
      </c>
      <c r="AL1235">
        <v>92.914907468236905</v>
      </c>
      <c r="AM1235">
        <v>81.837320133340299</v>
      </c>
      <c r="AN1235">
        <v>1.0000000086151299</v>
      </c>
    </row>
    <row r="1236" spans="1:40" x14ac:dyDescent="0.25">
      <c r="A1236" t="str">
        <f>"20190312151520851"</f>
        <v>20190312151520851</v>
      </c>
      <c r="B1236" t="str">
        <f>"1552374920838676"</f>
        <v>1552374920838676</v>
      </c>
      <c r="C1236" t="s">
        <v>40</v>
      </c>
      <c r="D1236">
        <v>4.9282629999999896</v>
      </c>
      <c r="E1236">
        <v>0.57018939999999996</v>
      </c>
      <c r="F1236" t="s">
        <v>43</v>
      </c>
      <c r="G1236">
        <v>-192.8415</v>
      </c>
      <c r="H1236" s="1">
        <v>-4.7133229999999998E-6</v>
      </c>
      <c r="I1236">
        <v>329.35599999999999</v>
      </c>
      <c r="J1236">
        <v>-192.5292</v>
      </c>
      <c r="K1236">
        <v>1.099337</v>
      </c>
      <c r="L1236">
        <v>351.37099999999998</v>
      </c>
      <c r="M1236">
        <v>0.30103659999999999</v>
      </c>
      <c r="N1236">
        <v>0</v>
      </c>
      <c r="O1236">
        <v>-0.95348279999999996</v>
      </c>
      <c r="P1236">
        <v>0.166733299999999</v>
      </c>
      <c r="Q1236">
        <v>-6.3597890000000004E-2</v>
      </c>
      <c r="R1236">
        <v>-0.98394910000000002</v>
      </c>
      <c r="S1236">
        <v>-3.2150270000000002E-2</v>
      </c>
      <c r="T1236">
        <v>-0.1503246</v>
      </c>
      <c r="U1236">
        <v>-3.0488279999999999</v>
      </c>
      <c r="V1236">
        <v>0.13601260000000001</v>
      </c>
      <c r="W1236">
        <v>-5.1408379999999997E-2</v>
      </c>
      <c r="X1236">
        <v>0.98937240000000004</v>
      </c>
      <c r="Y1236">
        <v>0.31109219999999999</v>
      </c>
      <c r="Z1236">
        <v>4.4594849999999998E-2</v>
      </c>
      <c r="AA1236">
        <v>0.94933290000000004</v>
      </c>
      <c r="AB1236">
        <v>28</v>
      </c>
      <c r="AC1236">
        <v>-0.31229999999999303</v>
      </c>
      <c r="AD1236">
        <v>-1.0993417133229999</v>
      </c>
      <c r="AE1236">
        <v>-22.014999999999901</v>
      </c>
      <c r="AF1236">
        <v>6.9087264372624402</v>
      </c>
      <c r="AG1236">
        <v>-1.0993417133229999</v>
      </c>
      <c r="AH1236">
        <v>20.847521677407499</v>
      </c>
      <c r="AI1236">
        <v>92.865576639262301</v>
      </c>
      <c r="AJ1236">
        <v>71.665155843310501</v>
      </c>
      <c r="AK1236">
        <v>21.989957100402801</v>
      </c>
      <c r="AL1236">
        <v>92.946782156438502</v>
      </c>
      <c r="AM1236">
        <v>82.172407216459703</v>
      </c>
      <c r="AN1236">
        <v>0.999999997387372</v>
      </c>
    </row>
    <row r="1237" spans="1:40" x14ac:dyDescent="0.25">
      <c r="A1237" t="str">
        <f>"20190312151520872"</f>
        <v>20190312151520872</v>
      </c>
      <c r="B1237" t="str">
        <f>"1552374920868933"</f>
        <v>1552374920868933</v>
      </c>
      <c r="C1237" t="s">
        <v>40</v>
      </c>
      <c r="D1237">
        <v>4.8961739999999896</v>
      </c>
      <c r="E1237">
        <v>0.56956799999999996</v>
      </c>
      <c r="F1237" t="s">
        <v>43</v>
      </c>
      <c r="G1237">
        <v>-192.87729999999999</v>
      </c>
      <c r="H1237" s="1">
        <v>-1.11096E-6</v>
      </c>
      <c r="I1237">
        <v>330.39420000000001</v>
      </c>
      <c r="J1237">
        <v>-192.45760000000001</v>
      </c>
      <c r="K1237">
        <v>1.0995349999999999</v>
      </c>
      <c r="L1237">
        <v>351.1001</v>
      </c>
      <c r="M1237">
        <v>0.28883399999999998</v>
      </c>
      <c r="N1237">
        <v>0</v>
      </c>
      <c r="O1237">
        <v>-0.95725039999999995</v>
      </c>
      <c r="P1237">
        <v>0.16007569999999999</v>
      </c>
      <c r="Q1237">
        <v>-6.3952239999999994E-2</v>
      </c>
      <c r="R1237">
        <v>-0.98503099999999999</v>
      </c>
      <c r="S1237">
        <v>-5.0567630000000002E-2</v>
      </c>
      <c r="T1237">
        <v>-0.159695</v>
      </c>
      <c r="U1237">
        <v>-3.04718</v>
      </c>
      <c r="V1237">
        <v>0.1300789</v>
      </c>
      <c r="W1237">
        <v>-5.1581879999999997E-2</v>
      </c>
      <c r="X1237">
        <v>0.99016099999999996</v>
      </c>
      <c r="Y1237">
        <v>0.30468579999999901</v>
      </c>
      <c r="Z1237">
        <v>4.774014E-2</v>
      </c>
      <c r="AA1237">
        <v>0.95125570000000004</v>
      </c>
      <c r="AB1237">
        <v>28</v>
      </c>
      <c r="AC1237">
        <v>-0.41969999999997698</v>
      </c>
      <c r="AD1237">
        <v>-1.0995361109599999</v>
      </c>
      <c r="AE1237">
        <v>-20.7058999999999</v>
      </c>
      <c r="AF1237">
        <v>6.3651713210128902</v>
      </c>
      <c r="AG1237">
        <v>-1.0995361109599999</v>
      </c>
      <c r="AH1237">
        <v>19.646558545553098</v>
      </c>
      <c r="AI1237">
        <v>93.047624109879493</v>
      </c>
      <c r="AJ1237">
        <v>72.048503494609307</v>
      </c>
      <c r="AK1237">
        <v>20.681190688376599</v>
      </c>
      <c r="AL1237">
        <v>92.956736148635201</v>
      </c>
      <c r="AM1237">
        <v>82.515828291304203</v>
      </c>
      <c r="AN1237">
        <v>1.00000000824527</v>
      </c>
    </row>
    <row r="1238" spans="1:40" x14ac:dyDescent="0.25">
      <c r="A1238" t="str">
        <f>"20190312151520895"</f>
        <v>20190312151520895</v>
      </c>
      <c r="B1238" t="str">
        <f>"1552374920888452"</f>
        <v>1552374920888452</v>
      </c>
      <c r="C1238" t="s">
        <v>40</v>
      </c>
      <c r="D1238">
        <v>4.9631410000000002</v>
      </c>
      <c r="E1238">
        <v>0.56913519999999995</v>
      </c>
      <c r="F1238" t="s">
        <v>43</v>
      </c>
      <c r="G1238">
        <v>-192.8869</v>
      </c>
      <c r="H1238" s="1">
        <v>-1.6189519999999901E-6</v>
      </c>
      <c r="I1238">
        <v>331.57240000000002</v>
      </c>
      <c r="J1238">
        <v>-192.3887</v>
      </c>
      <c r="K1238">
        <v>1.099761</v>
      </c>
      <c r="L1238">
        <v>350.82499999999999</v>
      </c>
      <c r="M1238">
        <v>0.27671299999999999</v>
      </c>
      <c r="N1238">
        <v>0</v>
      </c>
      <c r="O1238">
        <v>-0.96082529999999999</v>
      </c>
      <c r="P1238">
        <v>0.15261839999999999</v>
      </c>
      <c r="Q1238">
        <v>-6.4065230000000001E-2</v>
      </c>
      <c r="R1238">
        <v>-0.98620660000000004</v>
      </c>
      <c r="S1238">
        <v>-6.6940310000000003E-2</v>
      </c>
      <c r="T1238">
        <v>-0.17147119999999999</v>
      </c>
      <c r="U1238">
        <v>-3.0453190000000001</v>
      </c>
      <c r="V1238">
        <v>0.12508319999999901</v>
      </c>
      <c r="W1238">
        <v>-5.154048E-2</v>
      </c>
      <c r="X1238">
        <v>0.99080659999999998</v>
      </c>
      <c r="Y1238">
        <v>0.2977571</v>
      </c>
      <c r="Z1238">
        <v>5.1640900000000003E-2</v>
      </c>
      <c r="AA1238">
        <v>0.95324390000000003</v>
      </c>
      <c r="AB1238">
        <v>28</v>
      </c>
      <c r="AC1238">
        <v>-0.49819999999999698</v>
      </c>
      <c r="AD1238">
        <v>-1.099762618952</v>
      </c>
      <c r="AE1238">
        <v>-19.252599999999902</v>
      </c>
      <c r="AF1238">
        <v>5.7879646777953297</v>
      </c>
      <c r="AG1238">
        <v>-1.099762618952</v>
      </c>
      <c r="AH1238">
        <v>18.3030898957375</v>
      </c>
      <c r="AI1238">
        <v>93.278885380210198</v>
      </c>
      <c r="AJ1238">
        <v>72.451544038508501</v>
      </c>
      <c r="AK1238">
        <v>19.227925334286599</v>
      </c>
      <c r="AL1238">
        <v>92.954361047301106</v>
      </c>
      <c r="AM1238">
        <v>82.804825757262904</v>
      </c>
      <c r="AN1238">
        <v>0.99999997330221402</v>
      </c>
    </row>
    <row r="1239" spans="1:40" x14ac:dyDescent="0.25">
      <c r="A1239" t="str">
        <f>"20190312151520917"</f>
        <v>20190312151520917</v>
      </c>
      <c r="B1239" t="str">
        <f>"1552374920908949"</f>
        <v>1552374920908949</v>
      </c>
      <c r="C1239" t="s">
        <v>40</v>
      </c>
      <c r="D1239">
        <v>4.9880890000000004</v>
      </c>
      <c r="E1239">
        <v>0.56800850000000003</v>
      </c>
      <c r="F1239" t="s">
        <v>43</v>
      </c>
      <c r="G1239">
        <v>-192.9152</v>
      </c>
      <c r="H1239" s="1">
        <v>-1.9805910000000001E-6</v>
      </c>
      <c r="I1239">
        <v>332.39789999999999</v>
      </c>
      <c r="J1239">
        <v>-192.3229</v>
      </c>
      <c r="K1239">
        <v>1.100007</v>
      </c>
      <c r="L1239">
        <v>350.54880000000003</v>
      </c>
      <c r="M1239">
        <v>0.26482679999999997</v>
      </c>
      <c r="N1239">
        <v>0</v>
      </c>
      <c r="O1239">
        <v>-0.96416970000000002</v>
      </c>
      <c r="P1239">
        <v>0.14541689999999999</v>
      </c>
      <c r="Q1239">
        <v>-6.4905489999999996E-2</v>
      </c>
      <c r="R1239">
        <v>-0.98723939999999999</v>
      </c>
      <c r="S1239">
        <v>-8.6959839999999997E-2</v>
      </c>
      <c r="T1239">
        <v>-0.181644</v>
      </c>
      <c r="U1239">
        <v>-3.0435490000000001</v>
      </c>
      <c r="V1239">
        <v>0.12007900000000001</v>
      </c>
      <c r="W1239">
        <v>-5.2231920000000001E-2</v>
      </c>
      <c r="X1239">
        <v>0.99138939999999998</v>
      </c>
      <c r="Y1239">
        <v>0.292236</v>
      </c>
      <c r="Z1239">
        <v>5.5070239999999999E-2</v>
      </c>
      <c r="AA1239">
        <v>0.95475940000000004</v>
      </c>
      <c r="AB1239">
        <v>28</v>
      </c>
      <c r="AC1239">
        <v>-0.59229999999999405</v>
      </c>
      <c r="AD1239">
        <v>-1.1000089805910001</v>
      </c>
      <c r="AE1239">
        <v>-18.1509</v>
      </c>
      <c r="AF1239">
        <v>5.3589162691506402</v>
      </c>
      <c r="AG1239">
        <v>-1.1000089805910001</v>
      </c>
      <c r="AH1239">
        <v>17.282396257945798</v>
      </c>
      <c r="AI1239">
        <v>93.478931510002298</v>
      </c>
      <c r="AJ1239">
        <v>72.772409823075293</v>
      </c>
      <c r="AK1239">
        <v>18.1275818506994</v>
      </c>
      <c r="AL1239">
        <v>92.994030875237897</v>
      </c>
      <c r="AM1239">
        <v>83.0938655451573</v>
      </c>
      <c r="AN1239">
        <v>1.00000004107012</v>
      </c>
    </row>
    <row r="1240" spans="1:40" x14ac:dyDescent="0.25">
      <c r="A1240" t="str">
        <f>"20190312151520941"</f>
        <v>20190312151520941</v>
      </c>
      <c r="B1240" t="str">
        <f>"1552374920928469"</f>
        <v>1552374920928469</v>
      </c>
      <c r="C1240" t="s">
        <v>40</v>
      </c>
      <c r="D1240">
        <v>4.9609100000000002</v>
      </c>
      <c r="E1240">
        <v>0.56675169999999997</v>
      </c>
      <c r="F1240" t="s">
        <v>43</v>
      </c>
      <c r="G1240">
        <v>-192.86789999999999</v>
      </c>
      <c r="H1240" s="1">
        <v>-2.718596E-6</v>
      </c>
      <c r="I1240">
        <v>334.14749999999998</v>
      </c>
      <c r="J1240">
        <v>-192.25530000000001</v>
      </c>
      <c r="K1240">
        <v>1.1002670000000001</v>
      </c>
      <c r="L1240">
        <v>350.24959999999999</v>
      </c>
      <c r="M1240">
        <v>0.25223719999999999</v>
      </c>
      <c r="N1240">
        <v>0</v>
      </c>
      <c r="O1240">
        <v>-0.96754059999999997</v>
      </c>
      <c r="P1240">
        <v>0.13800119999999999</v>
      </c>
      <c r="Q1240">
        <v>-6.5559829999999999E-2</v>
      </c>
      <c r="R1240">
        <v>-0.98826000000000003</v>
      </c>
      <c r="S1240">
        <v>-0.1010284</v>
      </c>
      <c r="T1240">
        <v>-0.2039049</v>
      </c>
      <c r="U1240">
        <v>-3.0402529999999999</v>
      </c>
      <c r="V1240">
        <v>0.1146103</v>
      </c>
      <c r="W1240">
        <v>-5.2734669999999997E-2</v>
      </c>
      <c r="X1240">
        <v>0.99200980000000005</v>
      </c>
      <c r="Y1240">
        <v>0.28418789999999999</v>
      </c>
      <c r="Z1240">
        <v>6.2272420000000002E-2</v>
      </c>
      <c r="AA1240">
        <v>0.95674409999999999</v>
      </c>
      <c r="AB1240">
        <v>28</v>
      </c>
      <c r="AC1240">
        <v>-0.61259999999998604</v>
      </c>
      <c r="AD1240">
        <v>-1.100269718596</v>
      </c>
      <c r="AE1240">
        <v>-16.1021</v>
      </c>
      <c r="AF1240">
        <v>4.6332245577027003</v>
      </c>
      <c r="AG1240">
        <v>-1.100269718596</v>
      </c>
      <c r="AH1240">
        <v>15.355187216406099</v>
      </c>
      <c r="AI1240">
        <v>93.924329474630099</v>
      </c>
      <c r="AJ1240">
        <v>73.209506380803703</v>
      </c>
      <c r="AK1240">
        <v>16.076664383715901</v>
      </c>
      <c r="AL1240">
        <v>93.022876342963201</v>
      </c>
      <c r="AM1240">
        <v>83.409640767328398</v>
      </c>
      <c r="AN1240">
        <v>0.99999995479106796</v>
      </c>
    </row>
    <row r="1241" spans="1:40" x14ac:dyDescent="0.25">
      <c r="A1241" t="str">
        <f>"20190312151520962"</f>
        <v>20190312151520962</v>
      </c>
      <c r="B1241" t="str">
        <f>"1552374920958724"</f>
        <v>1552374920958724</v>
      </c>
      <c r="C1241" t="s">
        <v>40</v>
      </c>
      <c r="D1241">
        <v>4.9999320000000003</v>
      </c>
      <c r="E1241">
        <v>0.56555029999999995</v>
      </c>
      <c r="F1241" t="s">
        <v>43</v>
      </c>
      <c r="G1241">
        <v>-192.8502</v>
      </c>
      <c r="H1241" s="1">
        <v>-2.8186539999999998E-6</v>
      </c>
      <c r="I1241">
        <v>334.39170000000001</v>
      </c>
      <c r="J1241">
        <v>-192.20140000000001</v>
      </c>
      <c r="K1241">
        <v>1.1004799999999999</v>
      </c>
      <c r="L1241">
        <v>349.9984</v>
      </c>
      <c r="M1241">
        <v>0.2419162</v>
      </c>
      <c r="N1241">
        <v>0</v>
      </c>
      <c r="O1241">
        <v>-0.97017350000000002</v>
      </c>
      <c r="P1241">
        <v>0.131487299999999</v>
      </c>
      <c r="Q1241">
        <v>-6.5668509999999999E-2</v>
      </c>
      <c r="R1241">
        <v>-0.98914049999999998</v>
      </c>
      <c r="S1241">
        <v>-0.1139526</v>
      </c>
      <c r="T1241">
        <v>-0.21075530000000001</v>
      </c>
      <c r="U1241">
        <v>-3.0375670000000001</v>
      </c>
      <c r="V1241">
        <v>0.1106046</v>
      </c>
      <c r="W1241">
        <v>-5.2735299999999999E-2</v>
      </c>
      <c r="X1241">
        <v>0.99246440000000002</v>
      </c>
      <c r="Y1241">
        <v>0.2780569</v>
      </c>
      <c r="Z1241">
        <v>6.4741800000000002E-2</v>
      </c>
      <c r="AA1241">
        <v>0.95838029999999996</v>
      </c>
      <c r="AB1241">
        <v>28</v>
      </c>
      <c r="AC1241">
        <v>-0.64879999999999405</v>
      </c>
      <c r="AD1241">
        <v>-1.1004828186540001</v>
      </c>
      <c r="AE1241">
        <v>-15.606699999999901</v>
      </c>
      <c r="AF1241">
        <v>4.3837316917548597</v>
      </c>
      <c r="AG1241">
        <v>-1.1004828186540001</v>
      </c>
      <c r="AH1241">
        <v>14.912032487113001</v>
      </c>
      <c r="AI1241">
        <v>94.0499163419383</v>
      </c>
      <c r="AJ1241">
        <v>73.618099224045906</v>
      </c>
      <c r="AK1241">
        <v>15.5819407929873</v>
      </c>
      <c r="AL1241">
        <v>93.022912391126596</v>
      </c>
      <c r="AM1241">
        <v>83.640945752710394</v>
      </c>
      <c r="AN1241">
        <v>0.999999987337305</v>
      </c>
    </row>
    <row r="1242" spans="1:40" x14ac:dyDescent="0.25">
      <c r="A1242" t="str">
        <f>"20190312151520987"</f>
        <v>20190312151520987</v>
      </c>
      <c r="B1242" t="str">
        <f>"1552374920979221"</f>
        <v>1552374920979221</v>
      </c>
      <c r="C1242" t="s">
        <v>40</v>
      </c>
      <c r="D1242">
        <v>4.9600519999999904</v>
      </c>
      <c r="E1242">
        <v>0.56481819999999905</v>
      </c>
      <c r="F1242" t="s">
        <v>43</v>
      </c>
      <c r="G1242">
        <v>-192.8409</v>
      </c>
      <c r="H1242" s="1">
        <v>-2.8349550000000002E-6</v>
      </c>
      <c r="I1242">
        <v>334.43549999999999</v>
      </c>
      <c r="J1242">
        <v>-192.13990000000001</v>
      </c>
      <c r="K1242">
        <v>1.100741</v>
      </c>
      <c r="L1242">
        <v>349.69600000000003</v>
      </c>
      <c r="M1242">
        <v>0.2298297</v>
      </c>
      <c r="N1242">
        <v>0</v>
      </c>
      <c r="O1242">
        <v>-0.97310870000000005</v>
      </c>
      <c r="P1242">
        <v>0.12328649999999999</v>
      </c>
      <c r="Q1242">
        <v>-6.6645469999999998E-2</v>
      </c>
      <c r="R1242">
        <v>-0.99013099999999998</v>
      </c>
      <c r="S1242">
        <v>-0.1247101</v>
      </c>
      <c r="T1242">
        <v>-0.21463450000000001</v>
      </c>
      <c r="U1242">
        <v>-3.035339</v>
      </c>
      <c r="V1242">
        <v>0.1064843</v>
      </c>
      <c r="W1242">
        <v>-5.3604440000000003E-2</v>
      </c>
      <c r="X1242">
        <v>0.99286839999999998</v>
      </c>
      <c r="Y1242">
        <v>0.26951180000000002</v>
      </c>
      <c r="Z1242">
        <v>6.6367339999999997E-2</v>
      </c>
      <c r="AA1242">
        <v>0.96070739999999999</v>
      </c>
      <c r="AB1242">
        <v>28</v>
      </c>
      <c r="AC1242">
        <v>-0.70099999999999296</v>
      </c>
      <c r="AD1242">
        <v>-1.1007438349550001</v>
      </c>
      <c r="AE1242">
        <v>-15.260499999999899</v>
      </c>
      <c r="AF1242">
        <v>4.1683223065116799</v>
      </c>
      <c r="AG1242">
        <v>-1.1007438349550001</v>
      </c>
      <c r="AH1242">
        <v>14.6148834556918</v>
      </c>
      <c r="AI1242">
        <v>94.142606334621703</v>
      </c>
      <c r="AJ1242">
        <v>74.081279145699895</v>
      </c>
      <c r="AK1242">
        <v>15.237498687927999</v>
      </c>
      <c r="AL1242">
        <v>93.072780945379094</v>
      </c>
      <c r="AM1242">
        <v>83.878475029612204</v>
      </c>
      <c r="AN1242">
        <v>1.0000000009263801</v>
      </c>
    </row>
    <row r="1243" spans="1:40" x14ac:dyDescent="0.25">
      <c r="A1243" t="str">
        <f>"20190312151521005"</f>
        <v>20190312151521005</v>
      </c>
      <c r="B1243" t="str">
        <f>"1552374920998741"</f>
        <v>1552374920998741</v>
      </c>
      <c r="C1243" t="s">
        <v>40</v>
      </c>
      <c r="D1243">
        <v>4.9655100000000001</v>
      </c>
      <c r="E1243">
        <v>0.564137</v>
      </c>
      <c r="F1243" t="s">
        <v>43</v>
      </c>
      <c r="G1243">
        <v>-192.86619999999999</v>
      </c>
      <c r="H1243" s="1">
        <v>-2.8207119999999999E-6</v>
      </c>
      <c r="I1243">
        <v>334.38659999999999</v>
      </c>
      <c r="J1243">
        <v>-192.09289999999999</v>
      </c>
      <c r="K1243">
        <v>1.100973</v>
      </c>
      <c r="L1243">
        <v>349.45209999999997</v>
      </c>
      <c r="M1243">
        <v>0.22038559999999999</v>
      </c>
      <c r="N1243">
        <v>0</v>
      </c>
      <c r="O1243">
        <v>-0.97529149999999998</v>
      </c>
      <c r="P1243">
        <v>0.1186522</v>
      </c>
      <c r="Q1243">
        <v>-6.8087049999999996E-2</v>
      </c>
      <c r="R1243">
        <v>-0.99059889999999995</v>
      </c>
      <c r="S1243">
        <v>-0.14390559999999999</v>
      </c>
      <c r="T1243">
        <v>-0.21808269999999999</v>
      </c>
      <c r="U1243">
        <v>-3.0331419999999998</v>
      </c>
      <c r="V1243">
        <v>0.1014876</v>
      </c>
      <c r="W1243">
        <v>-5.4926089999999997E-2</v>
      </c>
      <c r="X1243">
        <v>0.99331939999999996</v>
      </c>
      <c r="Y1243">
        <v>0.2662678</v>
      </c>
      <c r="Z1243">
        <v>6.7734000000000003E-2</v>
      </c>
      <c r="AA1243">
        <v>0.96151629999999999</v>
      </c>
      <c r="AB1243">
        <v>28</v>
      </c>
      <c r="AC1243">
        <v>-0.77330000000000598</v>
      </c>
      <c r="AD1243">
        <v>-1.100975820712</v>
      </c>
      <c r="AE1243">
        <v>-15.065499999999901</v>
      </c>
      <c r="AF1243">
        <v>4.0533043052592204</v>
      </c>
      <c r="AG1243">
        <v>-1.100975820712</v>
      </c>
      <c r="AH1243">
        <v>14.4475930474128</v>
      </c>
      <c r="AI1243">
        <v>94.196383116581302</v>
      </c>
      <c r="AJ1243">
        <v>74.328418096543601</v>
      </c>
      <c r="AK1243">
        <v>15.045742534434</v>
      </c>
      <c r="AL1243">
        <v>93.148617600987293</v>
      </c>
      <c r="AM1243">
        <v>84.166323704511697</v>
      </c>
      <c r="AN1243">
        <v>1.0000000193664</v>
      </c>
    </row>
    <row r="1244" spans="1:40" x14ac:dyDescent="0.25">
      <c r="A1244" t="str">
        <f>"20190312151521029"</f>
        <v>20190312151521029</v>
      </c>
      <c r="B1244" t="str">
        <f>"1552374921019237"</f>
        <v>1552374921019237</v>
      </c>
      <c r="C1244" t="s">
        <v>40</v>
      </c>
      <c r="D1244">
        <v>4.960026</v>
      </c>
      <c r="E1244">
        <v>0.56341730000000001</v>
      </c>
      <c r="F1244" t="s">
        <v>43</v>
      </c>
      <c r="G1244">
        <v>-192.84979999999999</v>
      </c>
      <c r="H1244" s="1">
        <v>-2.837541E-6</v>
      </c>
      <c r="I1244">
        <v>334.43599999999998</v>
      </c>
      <c r="J1244">
        <v>-192.0384</v>
      </c>
      <c r="K1244">
        <v>1.1012789999999999</v>
      </c>
      <c r="L1244">
        <v>349.15480000000002</v>
      </c>
      <c r="M1244">
        <v>0.2092359</v>
      </c>
      <c r="N1244">
        <v>0</v>
      </c>
      <c r="O1244">
        <v>-0.97774530000000004</v>
      </c>
      <c r="P1244">
        <v>0.1116456</v>
      </c>
      <c r="Q1244">
        <v>-6.8785499999999999E-2</v>
      </c>
      <c r="R1244">
        <v>-0.99136469999999999</v>
      </c>
      <c r="S1244">
        <v>-0.15280150000000001</v>
      </c>
      <c r="T1244">
        <v>-0.22226309999999999</v>
      </c>
      <c r="U1244">
        <v>-3.0314329999999998</v>
      </c>
      <c r="V1244">
        <v>9.7189750000000005E-2</v>
      </c>
      <c r="W1244">
        <v>-5.5521250000000001E-2</v>
      </c>
      <c r="X1244">
        <v>0.99371600000000004</v>
      </c>
      <c r="Y1244">
        <v>0.2580886</v>
      </c>
      <c r="Z1244">
        <v>6.9409620000000005E-2</v>
      </c>
      <c r="AA1244">
        <v>0.9636247</v>
      </c>
      <c r="AB1244">
        <v>28</v>
      </c>
      <c r="AC1244">
        <v>-0.81139999999999102</v>
      </c>
      <c r="AD1244">
        <v>-1.1012818375409901</v>
      </c>
      <c r="AE1244">
        <v>-14.7188</v>
      </c>
      <c r="AF1244">
        <v>3.8519989198165101</v>
      </c>
      <c r="AG1244">
        <v>-1.1012818375409901</v>
      </c>
      <c r="AH1244">
        <v>14.144188262091401</v>
      </c>
      <c r="AI1244">
        <v>94.296273884352104</v>
      </c>
      <c r="AJ1244">
        <v>74.765646789000002</v>
      </c>
      <c r="AK1244">
        <v>14.7006387261727</v>
      </c>
      <c r="AL1244">
        <v>93.182770021776506</v>
      </c>
      <c r="AM1244">
        <v>84.413989523690603</v>
      </c>
      <c r="AN1244">
        <v>0.99999997268131202</v>
      </c>
    </row>
    <row r="1245" spans="1:40" x14ac:dyDescent="0.25">
      <c r="A1245" t="str">
        <f>"20190312151521054"</f>
        <v>20190312151521054</v>
      </c>
      <c r="B1245" t="str">
        <f>"1552374921048517"</f>
        <v>1552374921048517</v>
      </c>
      <c r="C1245" t="s">
        <v>40</v>
      </c>
      <c r="D1245">
        <v>4.9383019999999904</v>
      </c>
      <c r="E1245">
        <v>0.56227159999999998</v>
      </c>
      <c r="F1245" t="s">
        <v>43</v>
      </c>
      <c r="G1245">
        <v>-192.86660000000001</v>
      </c>
      <c r="H1245" s="1">
        <v>-2.7701770000000002E-6</v>
      </c>
      <c r="I1245">
        <v>334.26850000000002</v>
      </c>
      <c r="J1245">
        <v>-191.98869999999999</v>
      </c>
      <c r="K1245">
        <v>1.1016060000000001</v>
      </c>
      <c r="L1245">
        <v>348.86790000000002</v>
      </c>
      <c r="M1245">
        <v>0.19888210000000001</v>
      </c>
      <c r="N1245">
        <v>0</v>
      </c>
      <c r="O1245">
        <v>-0.97990469999999996</v>
      </c>
      <c r="P1245">
        <v>0.1052471</v>
      </c>
      <c r="Q1245">
        <v>-7.03323E-2</v>
      </c>
      <c r="R1245">
        <v>-0.99195610000000001</v>
      </c>
      <c r="S1245">
        <v>-0.16854859999999999</v>
      </c>
      <c r="T1245">
        <v>-0.22412609999999999</v>
      </c>
      <c r="U1245">
        <v>-3.0295719999999999</v>
      </c>
      <c r="V1245">
        <v>9.3086089999999996E-2</v>
      </c>
      <c r="W1245">
        <v>-5.6973500000000003E-2</v>
      </c>
      <c r="X1245">
        <v>0.99402670000000004</v>
      </c>
      <c r="Y1245">
        <v>0.25288759999999999</v>
      </c>
      <c r="Z1245">
        <v>7.0310810000000001E-2</v>
      </c>
      <c r="AA1245">
        <v>0.96493739999999995</v>
      </c>
      <c r="AB1245">
        <v>28</v>
      </c>
      <c r="AC1245">
        <v>-0.877900000000011</v>
      </c>
      <c r="AD1245">
        <v>-1.1016087701770001</v>
      </c>
      <c r="AE1245">
        <v>-14.599399999999999</v>
      </c>
      <c r="AF1245">
        <v>3.7430212672310001</v>
      </c>
      <c r="AG1245">
        <v>-1.1016087701770001</v>
      </c>
      <c r="AH1245">
        <v>14.0533410672882</v>
      </c>
      <c r="AI1245">
        <v>94.331711318462894</v>
      </c>
      <c r="AJ1245">
        <v>75.085851139735993</v>
      </c>
      <c r="AK1245">
        <v>14.5849287020199</v>
      </c>
      <c r="AL1245">
        <v>93.266109545090401</v>
      </c>
      <c r="AM1245">
        <v>84.650112391771401</v>
      </c>
      <c r="AN1245">
        <v>1.00000004008331</v>
      </c>
    </row>
    <row r="1246" spans="1:40" x14ac:dyDescent="0.25">
      <c r="A1246" t="str">
        <f>"20190312151521074"</f>
        <v>20190312151521074</v>
      </c>
      <c r="B1246" t="str">
        <f>"1552374921069012"</f>
        <v>1552374921069012</v>
      </c>
      <c r="C1246" t="s">
        <v>40</v>
      </c>
      <c r="D1246">
        <v>5.0797840000000001</v>
      </c>
      <c r="E1246">
        <v>0.56189529999999999</v>
      </c>
      <c r="F1246" t="s">
        <v>43</v>
      </c>
      <c r="G1246">
        <v>-192.8553</v>
      </c>
      <c r="H1246" s="1">
        <v>-2.7342839999999998E-6</v>
      </c>
      <c r="I1246">
        <v>334.1918</v>
      </c>
      <c r="J1246">
        <v>-191.9453</v>
      </c>
      <c r="K1246">
        <v>1.1019319999999999</v>
      </c>
      <c r="L1246">
        <v>348.60250000000002</v>
      </c>
      <c r="M1246">
        <v>0.1897229</v>
      </c>
      <c r="N1246">
        <v>0</v>
      </c>
      <c r="O1246">
        <v>-0.98172040000000005</v>
      </c>
      <c r="P1246">
        <v>0.10068580000000001</v>
      </c>
      <c r="Q1246">
        <v>-7.2553270000000003E-2</v>
      </c>
      <c r="R1246">
        <v>-0.99226930000000002</v>
      </c>
      <c r="S1246">
        <v>-0.17875669999999999</v>
      </c>
      <c r="T1246">
        <v>-0.2272257</v>
      </c>
      <c r="U1246">
        <v>-3.0271910000000002</v>
      </c>
      <c r="V1246">
        <v>8.8350709999999999E-2</v>
      </c>
      <c r="W1246">
        <v>-5.9092350000000002E-2</v>
      </c>
      <c r="X1246">
        <v>0.99433510000000003</v>
      </c>
      <c r="Y1246">
        <v>0.2471293</v>
      </c>
      <c r="Z1246">
        <v>7.1585949999999995E-2</v>
      </c>
      <c r="AA1246">
        <v>0.96633460000000004</v>
      </c>
      <c r="AB1246">
        <v>28</v>
      </c>
      <c r="AC1246">
        <v>-0.90999999999999603</v>
      </c>
      <c r="AD1246">
        <v>-1.101934734284</v>
      </c>
      <c r="AE1246">
        <v>-14.4107</v>
      </c>
      <c r="AF1246">
        <v>3.6068173747429602</v>
      </c>
      <c r="AG1246">
        <v>-1.101934734284</v>
      </c>
      <c r="AH1246">
        <v>13.8953148293125</v>
      </c>
      <c r="AI1246">
        <v>94.389352150731298</v>
      </c>
      <c r="AJ1246">
        <v>75.448822806243001</v>
      </c>
      <c r="AK1246">
        <v>14.398026459868699</v>
      </c>
      <c r="AL1246">
        <v>93.387715731988195</v>
      </c>
      <c r="AM1246">
        <v>84.922372087046</v>
      </c>
      <c r="AN1246">
        <v>1.00000002243901</v>
      </c>
    </row>
    <row r="1247" spans="1:40" x14ac:dyDescent="0.25">
      <c r="A1247" t="str">
        <f>"20190312151521095"</f>
        <v>20190312151521095</v>
      </c>
      <c r="B1247" t="str">
        <f>"1552374921088533"</f>
        <v>1552374921088533</v>
      </c>
      <c r="C1247" t="s">
        <v>40</v>
      </c>
      <c r="D1247">
        <v>4.9235160000000002</v>
      </c>
      <c r="E1247">
        <v>0.54798780000000002</v>
      </c>
      <c r="F1247" t="s">
        <v>43</v>
      </c>
      <c r="G1247">
        <v>-192.84010000000001</v>
      </c>
      <c r="H1247" s="1">
        <v>-2.7901370000000002E-6</v>
      </c>
      <c r="I1247">
        <v>334.33150000000001</v>
      </c>
      <c r="J1247">
        <v>-191.90520000000001</v>
      </c>
      <c r="K1247">
        <v>1.1022320000000001</v>
      </c>
      <c r="L1247">
        <v>348.34519999999998</v>
      </c>
      <c r="M1247">
        <v>0.1811461</v>
      </c>
      <c r="N1247">
        <v>0</v>
      </c>
      <c r="O1247">
        <v>-0.98333999999999999</v>
      </c>
      <c r="P1247">
        <v>9.6544379999999999E-2</v>
      </c>
      <c r="Q1247">
        <v>-7.3788339999999994E-2</v>
      </c>
      <c r="R1247">
        <v>-0.99259010000000003</v>
      </c>
      <c r="S1247">
        <v>-0.18971250000000001</v>
      </c>
      <c r="T1247">
        <v>-0.23361979999999999</v>
      </c>
      <c r="U1247">
        <v>-3.0255740000000002</v>
      </c>
      <c r="V1247">
        <v>8.3828079999999999E-2</v>
      </c>
      <c r="W1247">
        <v>-6.0238729999999997E-2</v>
      </c>
      <c r="X1247">
        <v>0.99465780000000004</v>
      </c>
      <c r="Y1247">
        <v>0.24217449999999999</v>
      </c>
      <c r="Z1247">
        <v>7.3854669999999997E-2</v>
      </c>
      <c r="AA1247">
        <v>0.96741770000000005</v>
      </c>
      <c r="AB1247">
        <v>28</v>
      </c>
      <c r="AC1247">
        <v>-0.93489999999999895</v>
      </c>
      <c r="AD1247">
        <v>-1.102234790137</v>
      </c>
      <c r="AE1247">
        <v>-14.013699999999901</v>
      </c>
      <c r="AF1247">
        <v>3.43707770909048</v>
      </c>
      <c r="AG1247">
        <v>-1.102234790137</v>
      </c>
      <c r="AH1247">
        <v>13.5291073178907</v>
      </c>
      <c r="AI1247">
        <v>94.5148784637083</v>
      </c>
      <c r="AJ1247">
        <v>75.7455356730392</v>
      </c>
      <c r="AK1247">
        <v>14.0023272897729</v>
      </c>
      <c r="AL1247">
        <v>93.453515791155397</v>
      </c>
      <c r="AM1247">
        <v>85.182592665445398</v>
      </c>
      <c r="AN1247">
        <v>0.99999999534466899</v>
      </c>
    </row>
    <row r="1248" spans="1:40" x14ac:dyDescent="0.25">
      <c r="A1248" t="str">
        <f>"20190312151521116"</f>
        <v>20190312151521116</v>
      </c>
      <c r="B1248" t="str">
        <f>"1552374921109029"</f>
        <v>1552374921109029</v>
      </c>
      <c r="C1248" t="s">
        <v>40</v>
      </c>
      <c r="D1248">
        <v>4.9092909999999996</v>
      </c>
      <c r="E1248">
        <v>0.54259569999999901</v>
      </c>
      <c r="F1248" t="s">
        <v>43</v>
      </c>
      <c r="G1248">
        <v>-192.45160000000001</v>
      </c>
      <c r="H1248" s="1">
        <v>-8.4497790000000005E-7</v>
      </c>
      <c r="I1248">
        <v>330.03820000000002</v>
      </c>
      <c r="J1248">
        <v>-191.86619999999999</v>
      </c>
      <c r="K1248">
        <v>1.1025100000000001</v>
      </c>
      <c r="L1248">
        <v>348.08170000000001</v>
      </c>
      <c r="M1248">
        <v>0.1726849</v>
      </c>
      <c r="N1248">
        <v>0</v>
      </c>
      <c r="O1248">
        <v>-0.98486200000000002</v>
      </c>
      <c r="P1248">
        <v>9.244115E-2</v>
      </c>
      <c r="Q1248">
        <v>-7.4039820000000006E-2</v>
      </c>
      <c r="R1248">
        <v>-0.99296209999999996</v>
      </c>
      <c r="S1248">
        <v>-9.0072630000000001E-2</v>
      </c>
      <c r="T1248">
        <v>-0.18168899999999999</v>
      </c>
      <c r="U1248">
        <v>-3.0176699999999999</v>
      </c>
      <c r="V1248">
        <v>7.942507E-2</v>
      </c>
      <c r="W1248">
        <v>-6.0410459999999999E-2</v>
      </c>
      <c r="X1248">
        <v>0.99500860000000002</v>
      </c>
      <c r="Y1248">
        <v>0.2019601</v>
      </c>
      <c r="Z1248">
        <v>5.8112339999999998E-2</v>
      </c>
      <c r="AA1248">
        <v>0.97766819999999999</v>
      </c>
      <c r="AB1248">
        <v>28</v>
      </c>
      <c r="AC1248">
        <v>-0.58540000000002101</v>
      </c>
      <c r="AD1248">
        <v>-1.1025108449779</v>
      </c>
      <c r="AE1248">
        <v>-18.043499999999899</v>
      </c>
      <c r="AF1248">
        <v>3.6790752948228</v>
      </c>
      <c r="AG1248">
        <v>-1.1025108449779</v>
      </c>
      <c r="AH1248">
        <v>17.605608856842</v>
      </c>
      <c r="AI1248">
        <v>93.507760613089104</v>
      </c>
      <c r="AJ1248">
        <v>78.196657277399098</v>
      </c>
      <c r="AK1248">
        <v>18.019672261403201</v>
      </c>
      <c r="AL1248">
        <v>93.463373340303207</v>
      </c>
      <c r="AM1248">
        <v>85.436127218090107</v>
      </c>
      <c r="AN1248">
        <v>0.999999939747936</v>
      </c>
    </row>
    <row r="1249" spans="1:40" x14ac:dyDescent="0.25">
      <c r="A1249" t="str">
        <f>"20190312151521140"</f>
        <v>20190312151521140</v>
      </c>
      <c r="B1249" t="str">
        <f>"1552374921128548"</f>
        <v>1552374921128548</v>
      </c>
      <c r="C1249" t="s">
        <v>40</v>
      </c>
      <c r="D1249">
        <v>5.0152999999999999</v>
      </c>
      <c r="E1249">
        <v>0.53843459999999999</v>
      </c>
      <c r="F1249" t="s">
        <v>43</v>
      </c>
      <c r="G1249">
        <v>-192.23580000000001</v>
      </c>
      <c r="H1249" s="1">
        <v>-4.6189279999999999E-6</v>
      </c>
      <c r="I1249">
        <v>329.39429999999999</v>
      </c>
      <c r="J1249">
        <v>-191.82589999999999</v>
      </c>
      <c r="K1249">
        <v>1.102822</v>
      </c>
      <c r="L1249">
        <v>347.7937</v>
      </c>
      <c r="M1249">
        <v>0.16384199999999999</v>
      </c>
      <c r="N1249">
        <v>0</v>
      </c>
      <c r="O1249">
        <v>-0.98637260000000004</v>
      </c>
      <c r="P1249">
        <v>8.7659219999999996E-2</v>
      </c>
      <c r="Q1249">
        <v>-7.4964600000000006E-2</v>
      </c>
      <c r="R1249">
        <v>-0.9933263</v>
      </c>
      <c r="S1249">
        <v>-5.960083E-2</v>
      </c>
      <c r="T1249">
        <v>-0.177792899999999</v>
      </c>
      <c r="U1249">
        <v>-3.01355</v>
      </c>
      <c r="V1249">
        <v>7.5310310000000005E-2</v>
      </c>
      <c r="W1249">
        <v>-6.1268469999999998E-2</v>
      </c>
      <c r="X1249">
        <v>0.9952761</v>
      </c>
      <c r="Y1249">
        <v>0.18329960000000001</v>
      </c>
      <c r="Z1249">
        <v>5.7196789999999997E-2</v>
      </c>
      <c r="AA1249">
        <v>0.98139169999999998</v>
      </c>
      <c r="AB1249">
        <v>28</v>
      </c>
      <c r="AC1249">
        <v>-0.40990000000002103</v>
      </c>
      <c r="AD1249">
        <v>-1.102826618928</v>
      </c>
      <c r="AE1249">
        <v>-18.3994</v>
      </c>
      <c r="AF1249">
        <v>3.4070590523147102</v>
      </c>
      <c r="AG1249">
        <v>-1.102826618928</v>
      </c>
      <c r="AH1249">
        <v>18.0188366196777</v>
      </c>
      <c r="AI1249">
        <v>93.44153663438</v>
      </c>
      <c r="AJ1249">
        <v>79.292740700840497</v>
      </c>
      <c r="AK1249">
        <v>18.371247945199901</v>
      </c>
      <c r="AL1249">
        <v>93.512624749221899</v>
      </c>
      <c r="AM1249">
        <v>85.672802925094402</v>
      </c>
      <c r="AN1249">
        <v>0.99999999171982301</v>
      </c>
    </row>
    <row r="1250" spans="1:40" x14ac:dyDescent="0.25">
      <c r="A1250" t="str">
        <f>"20190312151521162"</f>
        <v>20190312151521162</v>
      </c>
      <c r="B1250" t="str">
        <f>"1552374921158804"</f>
        <v>1552374921158804</v>
      </c>
      <c r="C1250" t="s">
        <v>40</v>
      </c>
      <c r="D1250">
        <v>4.9226070000000002</v>
      </c>
      <c r="E1250">
        <v>0.53450129999999996</v>
      </c>
      <c r="F1250" t="s">
        <v>43</v>
      </c>
      <c r="G1250">
        <v>-192.0762</v>
      </c>
      <c r="H1250" s="1">
        <v>-4.6129000000000003E-6</v>
      </c>
      <c r="I1250">
        <v>329.45979999999997</v>
      </c>
      <c r="J1250">
        <v>-191.7903</v>
      </c>
      <c r="K1250">
        <v>1.1031219999999999</v>
      </c>
      <c r="L1250">
        <v>347.52499999999998</v>
      </c>
      <c r="M1250">
        <v>0.155964299999999</v>
      </c>
      <c r="N1250">
        <v>0</v>
      </c>
      <c r="O1250">
        <v>-0.98764989999999997</v>
      </c>
      <c r="P1250">
        <v>8.3794789999999994E-2</v>
      </c>
      <c r="Q1250">
        <v>-7.5260880000000002E-2</v>
      </c>
      <c r="R1250">
        <v>-0.99363710000000005</v>
      </c>
      <c r="S1250">
        <v>-4.1091919999999997E-2</v>
      </c>
      <c r="T1250">
        <v>-0.18106839999999999</v>
      </c>
      <c r="U1250">
        <v>-3.0101619999999998</v>
      </c>
      <c r="V1250">
        <v>7.1276339999999994E-2</v>
      </c>
      <c r="W1250">
        <v>-6.1504009999999998E-2</v>
      </c>
      <c r="X1250">
        <v>0.99555859999999996</v>
      </c>
      <c r="Y1250">
        <v>0.16942409999999999</v>
      </c>
      <c r="Z1250">
        <v>5.850491E-2</v>
      </c>
      <c r="AA1250">
        <v>0.98380520000000005</v>
      </c>
      <c r="AB1250">
        <v>27</v>
      </c>
      <c r="AC1250">
        <v>-0.28589999999999799</v>
      </c>
      <c r="AD1250">
        <v>-1.1031266128999999</v>
      </c>
      <c r="AE1250">
        <v>-18.065200000000001</v>
      </c>
      <c r="AF1250">
        <v>3.0887265278814402</v>
      </c>
      <c r="AG1250">
        <v>-1.1031266128999999</v>
      </c>
      <c r="AH1250">
        <v>17.733378791893799</v>
      </c>
      <c r="AI1250">
        <v>93.506904987942406</v>
      </c>
      <c r="AJ1250">
        <v>80.119577424208401</v>
      </c>
      <c r="AK1250">
        <v>18.0341299558619</v>
      </c>
      <c r="AL1250">
        <v>93.526145692225001</v>
      </c>
      <c r="AM1250">
        <v>85.904934900889501</v>
      </c>
      <c r="AN1250">
        <v>0.99999999296191699</v>
      </c>
    </row>
    <row r="1251" spans="1:40" x14ac:dyDescent="0.25">
      <c r="A1251" t="str">
        <f>"20190312151521185"</f>
        <v>20190312151521185</v>
      </c>
      <c r="B1251" t="str">
        <f>"1552374921178325"</f>
        <v>1552374921178325</v>
      </c>
      <c r="C1251" t="s">
        <v>40</v>
      </c>
      <c r="D1251">
        <v>4.9618500000000001</v>
      </c>
      <c r="E1251">
        <v>0.53234209999999904</v>
      </c>
      <c r="F1251" t="s">
        <v>43</v>
      </c>
      <c r="G1251">
        <v>-191.91890000000001</v>
      </c>
      <c r="H1251" s="1">
        <v>-4.6362389999999998E-6</v>
      </c>
      <c r="I1251">
        <v>329.61040000000003</v>
      </c>
      <c r="J1251">
        <v>-191.7552</v>
      </c>
      <c r="K1251">
        <v>1.103448</v>
      </c>
      <c r="L1251">
        <v>347.24709999999999</v>
      </c>
      <c r="M1251">
        <v>0.14820439999999999</v>
      </c>
      <c r="N1251">
        <v>0</v>
      </c>
      <c r="O1251">
        <v>-0.98884499999999997</v>
      </c>
      <c r="P1251">
        <v>7.907256E-2</v>
      </c>
      <c r="Q1251">
        <v>-7.4551399999999907E-2</v>
      </c>
      <c r="R1251">
        <v>-0.9940774</v>
      </c>
      <c r="S1251">
        <v>-2.159119E-2</v>
      </c>
      <c r="T1251">
        <v>-0.18516270000000001</v>
      </c>
      <c r="U1251">
        <v>-3.0070190000000001</v>
      </c>
      <c r="V1251">
        <v>6.8257750000000006E-2</v>
      </c>
      <c r="W1251">
        <v>-6.075299E-2</v>
      </c>
      <c r="X1251">
        <v>0.99581620000000004</v>
      </c>
      <c r="Y1251">
        <v>0.15530289999999999</v>
      </c>
      <c r="Z1251">
        <v>6.0068900000000001E-2</v>
      </c>
      <c r="AA1251">
        <v>0.98603890000000005</v>
      </c>
      <c r="AB1251">
        <v>27</v>
      </c>
      <c r="AC1251">
        <v>-0.16370000000000501</v>
      </c>
      <c r="AD1251">
        <v>-1.103452636239</v>
      </c>
      <c r="AE1251">
        <v>-17.636699999999902</v>
      </c>
      <c r="AF1251">
        <v>2.76519393459929</v>
      </c>
      <c r="AG1251">
        <v>-1.103452636239</v>
      </c>
      <c r="AH1251">
        <v>17.349717433342899</v>
      </c>
      <c r="AI1251">
        <v>93.593906405981897</v>
      </c>
      <c r="AJ1251">
        <v>80.944376088419901</v>
      </c>
      <c r="AK1251">
        <v>17.6033121949595</v>
      </c>
      <c r="AL1251">
        <v>93.483034854992894</v>
      </c>
      <c r="AM1251">
        <v>86.078821268616807</v>
      </c>
      <c r="AN1251">
        <v>0.99999997520572004</v>
      </c>
    </row>
    <row r="1252" spans="1:40" x14ac:dyDescent="0.25">
      <c r="A1252" t="str">
        <f>"20190312151521206"</f>
        <v>20190312151521206</v>
      </c>
      <c r="B1252" t="str">
        <f>"1552374921198820"</f>
        <v>1552374921198820</v>
      </c>
      <c r="C1252" t="s">
        <v>40</v>
      </c>
      <c r="D1252">
        <v>4.9792699999999996</v>
      </c>
      <c r="E1252">
        <v>0.53049789999999997</v>
      </c>
      <c r="F1252" t="s">
        <v>43</v>
      </c>
      <c r="G1252">
        <v>-191.87649999999999</v>
      </c>
      <c r="H1252" s="1">
        <v>-3.84886999999999E-6</v>
      </c>
      <c r="I1252">
        <v>327.39710000000002</v>
      </c>
      <c r="J1252">
        <v>-191.7225</v>
      </c>
      <c r="K1252">
        <v>1.1037950000000001</v>
      </c>
      <c r="L1252">
        <v>346.97359999999998</v>
      </c>
      <c r="M1252">
        <v>0.14097009999999999</v>
      </c>
      <c r="N1252">
        <v>0</v>
      </c>
      <c r="O1252">
        <v>-0.98990319999999998</v>
      </c>
      <c r="P1252">
        <v>7.4935290000000002E-2</v>
      </c>
      <c r="Q1252">
        <v>-7.3192480000000004E-2</v>
      </c>
      <c r="R1252">
        <v>-0.99449900000000002</v>
      </c>
      <c r="S1252">
        <v>-1.8371579999999998E-2</v>
      </c>
      <c r="T1252">
        <v>-0.16714660000000001</v>
      </c>
      <c r="U1252">
        <v>-3.0068049999999999</v>
      </c>
      <c r="V1252">
        <v>6.5205050000000001E-2</v>
      </c>
      <c r="W1252">
        <v>-5.9352099999999998E-2</v>
      </c>
      <c r="X1252">
        <v>0.99610529999999997</v>
      </c>
      <c r="Y1252">
        <v>0.1470215</v>
      </c>
      <c r="Z1252">
        <v>5.437036E-2</v>
      </c>
      <c r="AA1252">
        <v>0.98763789999999996</v>
      </c>
      <c r="AB1252">
        <v>27</v>
      </c>
      <c r="AC1252">
        <v>-0.153999999999996</v>
      </c>
      <c r="AD1252">
        <v>-1.1037988488699999</v>
      </c>
      <c r="AE1252">
        <v>-19.5764999999999</v>
      </c>
      <c r="AF1252">
        <v>2.9032360869869298</v>
      </c>
      <c r="AG1252">
        <v>-1.1037988488699999</v>
      </c>
      <c r="AH1252">
        <v>19.297904420673799</v>
      </c>
      <c r="AI1252">
        <v>93.237278047575202</v>
      </c>
      <c r="AJ1252">
        <v>81.444408286925295</v>
      </c>
      <c r="AK1252">
        <v>19.546259660226799</v>
      </c>
      <c r="AL1252">
        <v>93.402624317568396</v>
      </c>
      <c r="AM1252">
        <v>86.254761805634104</v>
      </c>
      <c r="AN1252">
        <v>1.0000000695039899</v>
      </c>
    </row>
    <row r="1253" spans="1:40" x14ac:dyDescent="0.25">
      <c r="A1253" t="str">
        <f>"20190312151521232"</f>
        <v>20190312151521232</v>
      </c>
      <c r="B1253" t="str">
        <f>"1552374921229076"</f>
        <v>1552374921229076</v>
      </c>
      <c r="C1253" t="s">
        <v>40</v>
      </c>
      <c r="D1253">
        <v>5.0308890000000002</v>
      </c>
      <c r="E1253">
        <v>0.52793449999999997</v>
      </c>
      <c r="F1253" t="s">
        <v>43</v>
      </c>
      <c r="G1253">
        <v>-191.83670000000001</v>
      </c>
      <c r="H1253" s="1">
        <v>-2.9720140000000001E-6</v>
      </c>
      <c r="I1253">
        <v>325.3777</v>
      </c>
      <c r="J1253">
        <v>-191.68770000000001</v>
      </c>
      <c r="K1253">
        <v>1.1041989999999999</v>
      </c>
      <c r="L1253">
        <v>346.66719999999998</v>
      </c>
      <c r="M1253">
        <v>0.1333415</v>
      </c>
      <c r="N1253">
        <v>0</v>
      </c>
      <c r="O1253">
        <v>-0.99096039999999996</v>
      </c>
      <c r="P1253">
        <v>7.0719550000000006E-2</v>
      </c>
      <c r="Q1253">
        <v>-7.3199719999999996E-2</v>
      </c>
      <c r="R1253">
        <v>-0.99480710000000006</v>
      </c>
      <c r="S1253">
        <v>-1.5899659999999999E-2</v>
      </c>
      <c r="T1253">
        <v>-0.153667</v>
      </c>
      <c r="U1253">
        <v>-3.0065</v>
      </c>
      <c r="V1253">
        <v>6.1813949999999999E-2</v>
      </c>
      <c r="W1253">
        <v>-5.9316199999999902E-2</v>
      </c>
      <c r="X1253">
        <v>0.99632350000000003</v>
      </c>
      <c r="Y1253">
        <v>0.13858770000000001</v>
      </c>
      <c r="Z1253">
        <v>5.0114640000000002E-2</v>
      </c>
      <c r="AA1253">
        <v>0.9890814</v>
      </c>
      <c r="AB1253">
        <v>27</v>
      </c>
      <c r="AC1253">
        <v>-0.14899999999999999</v>
      </c>
      <c r="AD1253">
        <v>-1.1042019720139999</v>
      </c>
      <c r="AE1253">
        <v>-21.289499999999901</v>
      </c>
      <c r="AF1253">
        <v>2.9787391644960102</v>
      </c>
      <c r="AG1253">
        <v>-1.1042019720139999</v>
      </c>
      <c r="AH1253">
        <v>21.022925684935799</v>
      </c>
      <c r="AI1253">
        <v>92.976944006663501</v>
      </c>
      <c r="AJ1253">
        <v>81.935441037957403</v>
      </c>
      <c r="AK1253">
        <v>21.261598090440799</v>
      </c>
      <c r="AL1253">
        <v>93.400564188277599</v>
      </c>
      <c r="AM1253">
        <v>86.449803012545303</v>
      </c>
      <c r="AN1253">
        <v>0.99999994632464495</v>
      </c>
    </row>
    <row r="1254" spans="1:40" x14ac:dyDescent="0.25">
      <c r="A1254" t="str">
        <f>"20190312151521254"</f>
        <v>20190312151521254</v>
      </c>
      <c r="B1254" t="str">
        <f>"1552374921248597"</f>
        <v>1552374921248597</v>
      </c>
      <c r="C1254" t="s">
        <v>40</v>
      </c>
      <c r="D1254">
        <v>4.9347250000000003</v>
      </c>
      <c r="E1254">
        <v>0.52644349999999995</v>
      </c>
      <c r="F1254" t="s">
        <v>43</v>
      </c>
      <c r="G1254">
        <v>-191.75</v>
      </c>
      <c r="H1254" s="1">
        <v>-2.0265259999999999E-6</v>
      </c>
      <c r="I1254">
        <v>323.2276</v>
      </c>
      <c r="J1254">
        <v>-191.65889999999999</v>
      </c>
      <c r="K1254">
        <v>1.104552</v>
      </c>
      <c r="L1254">
        <v>346.4008</v>
      </c>
      <c r="M1254">
        <v>0.12717000000000001</v>
      </c>
      <c r="N1254">
        <v>0</v>
      </c>
      <c r="O1254">
        <v>-0.9917724</v>
      </c>
      <c r="P1254">
        <v>6.82286E-2</v>
      </c>
      <c r="Q1254">
        <v>-7.310817E-2</v>
      </c>
      <c r="R1254">
        <v>-0.99498770000000003</v>
      </c>
      <c r="S1254">
        <v>-7.9956049999999994E-3</v>
      </c>
      <c r="T1254">
        <v>-0.14159659999999999</v>
      </c>
      <c r="U1254">
        <v>-3.0057680000000002</v>
      </c>
      <c r="V1254">
        <v>5.8161690000000002E-2</v>
      </c>
      <c r="W1254">
        <v>-5.9180700000000003E-2</v>
      </c>
      <c r="X1254">
        <v>0.99655150000000003</v>
      </c>
      <c r="Y1254">
        <v>0.1298183</v>
      </c>
      <c r="Z1254">
        <v>4.6283900000000003E-2</v>
      </c>
      <c r="AA1254">
        <v>0.99045689999999997</v>
      </c>
      <c r="AB1254">
        <v>27</v>
      </c>
      <c r="AC1254">
        <v>-9.1100000000011505E-2</v>
      </c>
      <c r="AD1254">
        <v>-1.1045540265260001</v>
      </c>
      <c r="AE1254">
        <v>-23.173200000000001</v>
      </c>
      <c r="AF1254">
        <v>3.0307277176593299</v>
      </c>
      <c r="AG1254">
        <v>-1.1045540265260001</v>
      </c>
      <c r="AH1254">
        <v>22.921352450856599</v>
      </c>
      <c r="AI1254">
        <v>92.735115887415702</v>
      </c>
      <c r="AJ1254">
        <v>82.467877463116693</v>
      </c>
      <c r="AK1254">
        <v>23.147219018112999</v>
      </c>
      <c r="AL1254">
        <v>93.392786714623</v>
      </c>
      <c r="AM1254">
        <v>86.659838038300606</v>
      </c>
      <c r="AN1254">
        <v>1.0000000147941901</v>
      </c>
    </row>
    <row r="1255" spans="1:40" x14ac:dyDescent="0.25">
      <c r="A1255" t="str">
        <f>"20190312151521274"</f>
        <v>20190312151521274</v>
      </c>
      <c r="B1255" t="str">
        <f>"1552374921269093"</f>
        <v>1552374921269093</v>
      </c>
      <c r="C1255" t="s">
        <v>40</v>
      </c>
      <c r="D1255">
        <v>4.9217459999999997</v>
      </c>
      <c r="E1255">
        <v>0.52520330000000004</v>
      </c>
      <c r="F1255" t="s">
        <v>43</v>
      </c>
      <c r="G1255">
        <v>-191.68690000000001</v>
      </c>
      <c r="H1255" s="1">
        <v>-1.5424240000000001E-6</v>
      </c>
      <c r="I1255">
        <v>322.13830000000002</v>
      </c>
      <c r="J1255">
        <v>-191.6317</v>
      </c>
      <c r="K1255">
        <v>1.1048979999999999</v>
      </c>
      <c r="L1255">
        <v>346.13699999999898</v>
      </c>
      <c r="M1255">
        <v>0.12149980000000001</v>
      </c>
      <c r="N1255">
        <v>0</v>
      </c>
      <c r="O1255">
        <v>-0.99248360000000002</v>
      </c>
      <c r="P1255">
        <v>6.5800079999999997E-2</v>
      </c>
      <c r="Q1255">
        <v>-7.3493249999999996E-2</v>
      </c>
      <c r="R1255">
        <v>-0.99512259999999997</v>
      </c>
      <c r="S1255">
        <v>-3.4637449999999998E-3</v>
      </c>
      <c r="T1255">
        <v>-0.13681750000000001</v>
      </c>
      <c r="U1255">
        <v>-3.0053100000000001</v>
      </c>
      <c r="V1255">
        <v>5.4943159999999998E-2</v>
      </c>
      <c r="W1255">
        <v>-5.9532670000000003E-2</v>
      </c>
      <c r="X1255">
        <v>0.99671319999999997</v>
      </c>
      <c r="Y1255">
        <v>0.1226551</v>
      </c>
      <c r="Z1255">
        <v>4.4801090000000002E-2</v>
      </c>
      <c r="AA1255">
        <v>0.99143760000000003</v>
      </c>
      <c r="AB1255">
        <v>27</v>
      </c>
      <c r="AC1255">
        <v>-5.5200000000013398E-2</v>
      </c>
      <c r="AD1255">
        <v>-1.104899542424</v>
      </c>
      <c r="AE1255">
        <v>-23.9986999999999</v>
      </c>
      <c r="AF1255">
        <v>2.9646563173268801</v>
      </c>
      <c r="AG1255">
        <v>-1.104899542424</v>
      </c>
      <c r="AH1255">
        <v>23.763787510865399</v>
      </c>
      <c r="AI1255">
        <v>92.6416074129572</v>
      </c>
      <c r="AJ1255">
        <v>82.888793686844295</v>
      </c>
      <c r="AK1255">
        <v>23.9734767386851</v>
      </c>
      <c r="AL1255">
        <v>93.412988621580098</v>
      </c>
      <c r="AM1255">
        <v>86.844801123623697</v>
      </c>
      <c r="AN1255">
        <v>1.00000004634117</v>
      </c>
    </row>
    <row r="1256" spans="1:40" x14ac:dyDescent="0.25">
      <c r="A1256" t="str">
        <f>"20190312151521296"</f>
        <v>20190312151521296</v>
      </c>
      <c r="B1256" t="str">
        <f>"1552374921288613"</f>
        <v>1552374921288613</v>
      </c>
      <c r="C1256" t="s">
        <v>40</v>
      </c>
      <c r="D1256">
        <v>4.8858079999999999</v>
      </c>
      <c r="E1256">
        <v>0.52454529999999999</v>
      </c>
      <c r="F1256" t="s">
        <v>43</v>
      </c>
      <c r="G1256">
        <v>-191.64080000000001</v>
      </c>
      <c r="H1256" s="1">
        <v>-1.766257E-6</v>
      </c>
      <c r="I1256">
        <v>322.68860000000001</v>
      </c>
      <c r="J1256">
        <v>-191.60570000000001</v>
      </c>
      <c r="K1256">
        <v>1.1052109999999999</v>
      </c>
      <c r="L1256">
        <v>345.87470000000002</v>
      </c>
      <c r="M1256">
        <v>0.1162045</v>
      </c>
      <c r="N1256">
        <v>0</v>
      </c>
      <c r="O1256">
        <v>-0.99311830000000001</v>
      </c>
      <c r="P1256">
        <v>6.3675300000000004E-2</v>
      </c>
      <c r="Q1256">
        <v>-7.4903090000000005E-2</v>
      </c>
      <c r="R1256">
        <v>-0.99515600000000004</v>
      </c>
      <c r="S1256">
        <v>-1.1749270000000001E-3</v>
      </c>
      <c r="T1256">
        <v>-0.141566</v>
      </c>
      <c r="U1256">
        <v>-3.0043329999999999</v>
      </c>
      <c r="V1256">
        <v>5.1775290000000002E-2</v>
      </c>
      <c r="W1256">
        <v>-6.091829E-2</v>
      </c>
      <c r="X1256">
        <v>0.99679899999999999</v>
      </c>
      <c r="Y1256">
        <v>0.116604399999999</v>
      </c>
      <c r="Z1256">
        <v>4.6429600000000001E-2</v>
      </c>
      <c r="AA1256">
        <v>0.99209259999999999</v>
      </c>
      <c r="AB1256">
        <v>27</v>
      </c>
      <c r="AC1256">
        <v>-3.5099999999999902E-2</v>
      </c>
      <c r="AD1256">
        <v>-1.1052127662569999</v>
      </c>
      <c r="AE1256">
        <v>-23.1861</v>
      </c>
      <c r="AF1256">
        <v>2.7232900088076999</v>
      </c>
      <c r="AG1256">
        <v>-1.1052127662569999</v>
      </c>
      <c r="AH1256">
        <v>22.9727113616966</v>
      </c>
      <c r="AI1256">
        <v>92.735242814854701</v>
      </c>
      <c r="AJ1256">
        <v>83.239447359624293</v>
      </c>
      <c r="AK1256">
        <v>23.159949720122299</v>
      </c>
      <c r="AL1256">
        <v>93.492523396641701</v>
      </c>
      <c r="AM1256">
        <v>87.026640168230003</v>
      </c>
      <c r="AN1256">
        <v>0.99999998255605305</v>
      </c>
    </row>
    <row r="1257" spans="1:40" x14ac:dyDescent="0.25">
      <c r="A1257" t="str">
        <f>"20190312151521318"</f>
        <v>20190312151521318</v>
      </c>
      <c r="B1257" t="str">
        <f>"1552374921309108"</f>
        <v>1552374921309108</v>
      </c>
      <c r="C1257" t="s">
        <v>40</v>
      </c>
      <c r="D1257">
        <v>5.083793</v>
      </c>
      <c r="E1257">
        <v>0.52383760000000001</v>
      </c>
      <c r="F1257" t="s">
        <v>43</v>
      </c>
      <c r="G1257">
        <v>-191.62350000000001</v>
      </c>
      <c r="H1257" s="1">
        <v>-2.2834090000000001E-6</v>
      </c>
      <c r="I1257">
        <v>323.90480000000002</v>
      </c>
      <c r="J1257">
        <v>-191.5797</v>
      </c>
      <c r="K1257">
        <v>1.1054999999999999</v>
      </c>
      <c r="L1257">
        <v>345.60210000000001</v>
      </c>
      <c r="M1257">
        <v>0.1110565</v>
      </c>
      <c r="N1257">
        <v>0</v>
      </c>
      <c r="O1257">
        <v>-0.99370789999999998</v>
      </c>
      <c r="P1257">
        <v>6.2735369999999999E-2</v>
      </c>
      <c r="Q1257">
        <v>-7.5347919999999999E-2</v>
      </c>
      <c r="R1257">
        <v>-0.99518200000000001</v>
      </c>
      <c r="S1257">
        <v>-2.4414060000000001E-3</v>
      </c>
      <c r="T1257">
        <v>-0.151088</v>
      </c>
      <c r="U1257">
        <v>-3.003387</v>
      </c>
      <c r="V1257">
        <v>4.7588940000000003E-2</v>
      </c>
      <c r="W1257">
        <v>-6.1332989999999997E-2</v>
      </c>
      <c r="X1257">
        <v>0.99698220000000004</v>
      </c>
      <c r="Y1257">
        <v>0.1118746</v>
      </c>
      <c r="Z1257">
        <v>4.9618509999999998E-2</v>
      </c>
      <c r="AA1257">
        <v>0.9924828</v>
      </c>
      <c r="AB1257">
        <v>27</v>
      </c>
      <c r="AC1257">
        <v>-4.3800000000004502E-2</v>
      </c>
      <c r="AD1257">
        <v>-1.105502283409</v>
      </c>
      <c r="AE1257">
        <v>-21.697299999999899</v>
      </c>
      <c r="AF1257">
        <v>2.4470569485356499</v>
      </c>
      <c r="AG1257">
        <v>-1.105502283409</v>
      </c>
      <c r="AH1257">
        <v>21.5023689998593</v>
      </c>
      <c r="AI1257">
        <v>92.9243162054224</v>
      </c>
      <c r="AJ1257">
        <v>83.507440534802797</v>
      </c>
      <c r="AK1257">
        <v>21.669381523571701</v>
      </c>
      <c r="AL1257">
        <v>93.516328497205507</v>
      </c>
      <c r="AM1257">
        <v>87.267175473309194</v>
      </c>
      <c r="AN1257">
        <v>0.99999997499475102</v>
      </c>
    </row>
    <row r="1258" spans="1:40" x14ac:dyDescent="0.25">
      <c r="A1258" t="str">
        <f>"20190312151521342"</f>
        <v>20190312151521342</v>
      </c>
      <c r="B1258" t="str">
        <f>"1552374921338389"</f>
        <v>1552374921338389</v>
      </c>
      <c r="C1258" t="s">
        <v>40</v>
      </c>
      <c r="D1258">
        <v>4.9489650000000003</v>
      </c>
      <c r="E1258">
        <v>0.52297749999999998</v>
      </c>
      <c r="F1258" t="s">
        <v>43</v>
      </c>
      <c r="G1258">
        <v>-191.5804</v>
      </c>
      <c r="H1258" s="1">
        <v>-2.5338000000000002E-6</v>
      </c>
      <c r="I1258">
        <v>324.51530000000002</v>
      </c>
      <c r="J1258">
        <v>-191.5549</v>
      </c>
      <c r="K1258">
        <v>1.1057760000000001</v>
      </c>
      <c r="L1258">
        <v>345.3297</v>
      </c>
      <c r="M1258">
        <v>0.1062781</v>
      </c>
      <c r="N1258">
        <v>0</v>
      </c>
      <c r="O1258">
        <v>-0.99423090000000003</v>
      </c>
      <c r="P1258">
        <v>6.0333539999999998E-2</v>
      </c>
      <c r="Q1258">
        <v>-7.5327309999999995E-2</v>
      </c>
      <c r="R1258">
        <v>-0.99533190000000005</v>
      </c>
      <c r="S1258" s="1">
        <v>-9.1552730000000004E-5</v>
      </c>
      <c r="T1258">
        <v>-0.157419899999999</v>
      </c>
      <c r="U1258">
        <v>-3.0026860000000002</v>
      </c>
      <c r="V1258">
        <v>4.5244369999999999E-2</v>
      </c>
      <c r="W1258">
        <v>-6.1304820000000003E-2</v>
      </c>
      <c r="X1258">
        <v>0.99709309999999995</v>
      </c>
      <c r="Y1258">
        <v>0.1063191</v>
      </c>
      <c r="Z1258">
        <v>5.1761450000000001E-2</v>
      </c>
      <c r="AA1258">
        <v>0.99298390000000003</v>
      </c>
      <c r="AB1258">
        <v>27</v>
      </c>
      <c r="AC1258">
        <v>-2.5499999999993798E-2</v>
      </c>
      <c r="AD1258">
        <v>-1.1057785337999999</v>
      </c>
      <c r="AE1258">
        <v>-20.8143999999999</v>
      </c>
      <c r="AF1258">
        <v>2.2314048508092301</v>
      </c>
      <c r="AG1258">
        <v>-1.1057785337999999</v>
      </c>
      <c r="AH1258">
        <v>20.6355409870703</v>
      </c>
      <c r="AI1258">
        <v>93.049581061145005</v>
      </c>
      <c r="AJ1258">
        <v>83.828355088029198</v>
      </c>
      <c r="AK1258">
        <v>20.785270400047398</v>
      </c>
      <c r="AL1258">
        <v>93.514711372190803</v>
      </c>
      <c r="AM1258">
        <v>87.401913174054101</v>
      </c>
      <c r="AN1258">
        <v>0.99999999201976897</v>
      </c>
    </row>
    <row r="1259" spans="1:40" x14ac:dyDescent="0.25">
      <c r="A1259" t="str">
        <f>"20190312151521363"</f>
        <v>20190312151521363</v>
      </c>
      <c r="B1259" t="str">
        <f>"1552374921358885"</f>
        <v>1552374921358885</v>
      </c>
      <c r="C1259" t="s">
        <v>40</v>
      </c>
      <c r="D1259">
        <v>4.9399949999999997</v>
      </c>
      <c r="E1259">
        <v>0.52243209999999995</v>
      </c>
      <c r="F1259" t="s">
        <v>43</v>
      </c>
      <c r="G1259">
        <v>-191.55869999999999</v>
      </c>
      <c r="H1259" s="1">
        <v>-2.6918849999999998E-6</v>
      </c>
      <c r="I1259">
        <v>324.8972</v>
      </c>
      <c r="J1259">
        <v>-191.53120000000001</v>
      </c>
      <c r="K1259">
        <v>1.1060490000000001</v>
      </c>
      <c r="L1259">
        <v>345.05950000000001</v>
      </c>
      <c r="M1259">
        <v>0.1018854</v>
      </c>
      <c r="N1259">
        <v>0</v>
      </c>
      <c r="O1259">
        <v>-0.9946914</v>
      </c>
      <c r="P1259">
        <v>6.0078800000000002E-2</v>
      </c>
      <c r="Q1259">
        <v>-7.4939119999999998E-2</v>
      </c>
      <c r="R1259">
        <v>-0.99537679999999995</v>
      </c>
      <c r="S1259">
        <v>-5.6457519999999995E-4</v>
      </c>
      <c r="T1259">
        <v>-0.16245479999999901</v>
      </c>
      <c r="U1259">
        <v>-3.0018310000000001</v>
      </c>
      <c r="V1259">
        <v>4.1144720000000003E-2</v>
      </c>
      <c r="W1259">
        <v>-6.0894139999999999E-2</v>
      </c>
      <c r="X1259">
        <v>0.99729590000000001</v>
      </c>
      <c r="Y1259">
        <v>0.1020824</v>
      </c>
      <c r="Z1259">
        <v>5.3476650000000001E-2</v>
      </c>
      <c r="AA1259">
        <v>0.99333749999999998</v>
      </c>
      <c r="AB1259">
        <v>27</v>
      </c>
      <c r="AC1259">
        <v>-2.7499999999974899E-2</v>
      </c>
      <c r="AD1259">
        <v>-1.1060516918850001</v>
      </c>
      <c r="AE1259">
        <v>-20.162299999999998</v>
      </c>
      <c r="AF1259">
        <v>2.0755688609059799</v>
      </c>
      <c r="AG1259">
        <v>-1.1060516918850001</v>
      </c>
      <c r="AH1259">
        <v>19.9943844866817</v>
      </c>
      <c r="AI1259">
        <v>93.149378484909903</v>
      </c>
      <c r="AJ1259">
        <v>84.073490452044993</v>
      </c>
      <c r="AK1259">
        <v>20.132231556455402</v>
      </c>
      <c r="AL1259">
        <v>93.491136900425303</v>
      </c>
      <c r="AM1259">
        <v>87.637528978303294</v>
      </c>
      <c r="AN1259">
        <v>1.0000000482135101</v>
      </c>
    </row>
    <row r="1260" spans="1:40" x14ac:dyDescent="0.25">
      <c r="A1260" t="str">
        <f>"20190312151521387"</f>
        <v>20190312151521387</v>
      </c>
      <c r="B1260" t="str">
        <f>"1552374921378406"</f>
        <v>1552374921378406</v>
      </c>
      <c r="C1260" t="s">
        <v>40</v>
      </c>
      <c r="D1260">
        <v>4.9511409999999998</v>
      </c>
      <c r="E1260">
        <v>0.52198239999999996</v>
      </c>
      <c r="F1260" t="s">
        <v>43</v>
      </c>
      <c r="G1260">
        <v>-191.5112</v>
      </c>
      <c r="H1260" s="1">
        <v>-2.6686760000000001E-6</v>
      </c>
      <c r="I1260">
        <v>324.87259999999998</v>
      </c>
      <c r="J1260">
        <v>-191.50729999999999</v>
      </c>
      <c r="K1260">
        <v>1.106339</v>
      </c>
      <c r="L1260">
        <v>344.77679999999998</v>
      </c>
      <c r="M1260">
        <v>9.7635799999999995E-2</v>
      </c>
      <c r="N1260">
        <v>0</v>
      </c>
      <c r="O1260">
        <v>-0.99511810000000001</v>
      </c>
      <c r="P1260">
        <v>5.9879929999999998E-2</v>
      </c>
      <c r="Q1260">
        <v>-7.4090320000000001E-2</v>
      </c>
      <c r="R1260">
        <v>-0.99545229999999996</v>
      </c>
      <c r="S1260">
        <v>2.9754640000000001E-3</v>
      </c>
      <c r="T1260">
        <v>-0.16444810000000001</v>
      </c>
      <c r="U1260">
        <v>-3.001404</v>
      </c>
      <c r="V1260">
        <v>3.7142479999999999E-2</v>
      </c>
      <c r="W1260">
        <v>-6.0027089999999998E-2</v>
      </c>
      <c r="X1260">
        <v>0.99750550000000004</v>
      </c>
      <c r="Y1260">
        <v>9.6660380000000004E-2</v>
      </c>
      <c r="Z1260">
        <v>5.4188300000000002E-2</v>
      </c>
      <c r="AA1260">
        <v>0.99384119999999998</v>
      </c>
      <c r="AB1260">
        <v>27</v>
      </c>
      <c r="AC1260">
        <v>-3.9000000000157702E-3</v>
      </c>
      <c r="AD1260">
        <v>-1.1063416686759999</v>
      </c>
      <c r="AE1260">
        <v>-19.904199999999999</v>
      </c>
      <c r="AF1260">
        <v>1.9414471209889701</v>
      </c>
      <c r="AG1260">
        <v>-1.1063416686759999</v>
      </c>
      <c r="AH1260">
        <v>19.747690755878001</v>
      </c>
      <c r="AI1260">
        <v>93.191225101488897</v>
      </c>
      <c r="AJ1260">
        <v>84.385145571698402</v>
      </c>
      <c r="AK1260">
        <v>19.873713769731999</v>
      </c>
      <c r="AL1260">
        <v>93.441367647607507</v>
      </c>
      <c r="AM1260">
        <v>87.867555977001203</v>
      </c>
      <c r="AN1260">
        <v>1.0000000189423299</v>
      </c>
    </row>
    <row r="1261" spans="1:40" x14ac:dyDescent="0.25">
      <c r="A1261" t="str">
        <f>"20190312151521407"</f>
        <v>20190312151521407</v>
      </c>
      <c r="B1261" t="str">
        <f>"1552374921398901"</f>
        <v>1552374921398901</v>
      </c>
      <c r="C1261" t="s">
        <v>40</v>
      </c>
      <c r="D1261">
        <v>4.9997930000000004</v>
      </c>
      <c r="E1261">
        <v>0.52140719999999996</v>
      </c>
      <c r="F1261" t="s">
        <v>43</v>
      </c>
      <c r="G1261">
        <v>-191.4692</v>
      </c>
      <c r="H1261" s="1">
        <v>-2.5056300000000002E-6</v>
      </c>
      <c r="I1261">
        <v>324.51859999999999</v>
      </c>
      <c r="J1261">
        <v>-191.4864</v>
      </c>
      <c r="K1261">
        <v>1.106606</v>
      </c>
      <c r="L1261">
        <v>344.52089999999998</v>
      </c>
      <c r="M1261">
        <v>9.4085909999999995E-2</v>
      </c>
      <c r="N1261">
        <v>0</v>
      </c>
      <c r="O1261">
        <v>-0.99546060000000003</v>
      </c>
      <c r="P1261">
        <v>5.940811E-2</v>
      </c>
      <c r="Q1261">
        <v>-7.3407349999999996E-2</v>
      </c>
      <c r="R1261">
        <v>-0.9955311</v>
      </c>
      <c r="S1261">
        <v>5.6457520000000004E-3</v>
      </c>
      <c r="T1261">
        <v>-0.1638993</v>
      </c>
      <c r="U1261">
        <v>-3.00116</v>
      </c>
      <c r="V1261">
        <v>3.4107270000000002E-2</v>
      </c>
      <c r="W1261">
        <v>-5.9334350000000001E-2</v>
      </c>
      <c r="X1261">
        <v>0.99765530000000002</v>
      </c>
      <c r="Y1261">
        <v>9.2225070000000006E-2</v>
      </c>
      <c r="Z1261">
        <v>5.4051759999999997E-2</v>
      </c>
      <c r="AA1261">
        <v>0.99426999999999999</v>
      </c>
      <c r="AB1261">
        <v>27</v>
      </c>
      <c r="AC1261">
        <v>1.7200000000002501E-2</v>
      </c>
      <c r="AD1261">
        <v>-1.1066085056299999</v>
      </c>
      <c r="AE1261">
        <v>-20.002299999999899</v>
      </c>
      <c r="AF1261">
        <v>1.8593139191719199</v>
      </c>
      <c r="AG1261">
        <v>-1.1066085056299999</v>
      </c>
      <c r="AH1261">
        <v>19.854402202468901</v>
      </c>
      <c r="AI1261">
        <v>93.176278420952301</v>
      </c>
      <c r="AJ1261">
        <v>84.6500001276885</v>
      </c>
      <c r="AK1261">
        <v>19.9719532708286</v>
      </c>
      <c r="AL1261">
        <v>93.401605812280494</v>
      </c>
      <c r="AM1261">
        <v>88.0419671898171</v>
      </c>
      <c r="AN1261">
        <v>0.99999998428743198</v>
      </c>
    </row>
    <row r="1262" spans="1:40" x14ac:dyDescent="0.25">
      <c r="A1262" t="str">
        <f>"20190312151521433"</f>
        <v>20190312151521433</v>
      </c>
      <c r="B1262" t="str">
        <f>"1552374921429157"</f>
        <v>1552374921429157</v>
      </c>
      <c r="C1262" t="s">
        <v>40</v>
      </c>
      <c r="D1262">
        <v>5.0207449999999998</v>
      </c>
      <c r="E1262">
        <v>0.50593909999999997</v>
      </c>
      <c r="F1262" t="s">
        <v>43</v>
      </c>
      <c r="G1262">
        <v>-191.42670000000001</v>
      </c>
      <c r="H1262" s="1">
        <v>-2.4000260000000002E-6</v>
      </c>
      <c r="I1262">
        <v>324.2987</v>
      </c>
      <c r="J1262">
        <v>-191.4622</v>
      </c>
      <c r="K1262">
        <v>1.1069119999999999</v>
      </c>
      <c r="L1262">
        <v>344.2167</v>
      </c>
      <c r="M1262">
        <v>9.0200249999999996E-2</v>
      </c>
      <c r="N1262">
        <v>0</v>
      </c>
      <c r="O1262">
        <v>-0.99582059999999994</v>
      </c>
      <c r="P1262">
        <v>5.8238940000000003E-2</v>
      </c>
      <c r="Q1262">
        <v>-7.2110240000000006E-2</v>
      </c>
      <c r="R1262">
        <v>-0.99569479999999999</v>
      </c>
      <c r="S1262">
        <v>8.8500980000000007E-3</v>
      </c>
      <c r="T1262">
        <v>-0.16421140000000001</v>
      </c>
      <c r="U1262">
        <v>-3.0007929999999998</v>
      </c>
      <c r="V1262">
        <v>3.1446920000000003E-2</v>
      </c>
      <c r="W1262">
        <v>-5.8033979999999999E-2</v>
      </c>
      <c r="X1262">
        <v>0.99781920000000002</v>
      </c>
      <c r="Y1262">
        <v>8.7275989999999998E-2</v>
      </c>
      <c r="Z1262">
        <v>5.4202559999999997E-2</v>
      </c>
      <c r="AA1262">
        <v>0.9947085</v>
      </c>
      <c r="AB1262">
        <v>27</v>
      </c>
      <c r="AC1262">
        <v>3.5499999999984697E-2</v>
      </c>
      <c r="AD1262">
        <v>-1.1069144000260001</v>
      </c>
      <c r="AE1262">
        <v>-19.917999999999999</v>
      </c>
      <c r="AF1262">
        <v>1.7560144267109601</v>
      </c>
      <c r="AG1262">
        <v>-1.1069144000260001</v>
      </c>
      <c r="AH1262">
        <v>19.778907562249898</v>
      </c>
      <c r="AI1262">
        <v>93.190657669139398</v>
      </c>
      <c r="AJ1262">
        <v>84.926458537695297</v>
      </c>
      <c r="AK1262">
        <v>19.887534550864501</v>
      </c>
      <c r="AL1262">
        <v>93.3269714032742</v>
      </c>
      <c r="AM1262">
        <v>88.194883782241206</v>
      </c>
      <c r="AN1262">
        <v>1.00000000375038</v>
      </c>
    </row>
    <row r="1263" spans="1:40" x14ac:dyDescent="0.25">
      <c r="A1263" t="str">
        <f>"20190312151521454"</f>
        <v>20190312151521454</v>
      </c>
      <c r="B1263" t="str">
        <f>"1552374921448678"</f>
        <v>1552374921448678</v>
      </c>
      <c r="C1263" t="s">
        <v>40</v>
      </c>
      <c r="D1263">
        <v>4.9768299999999996</v>
      </c>
      <c r="E1263">
        <v>0.50794050000000002</v>
      </c>
      <c r="F1263" t="s">
        <v>41</v>
      </c>
      <c r="G1263">
        <v>-191.43129999999999</v>
      </c>
      <c r="H1263">
        <v>1.0370239999999999</v>
      </c>
      <c r="I1263">
        <v>343.48779999999999</v>
      </c>
      <c r="J1263">
        <v>-191.44239999999999</v>
      </c>
      <c r="K1263">
        <v>1.1071439999999999</v>
      </c>
      <c r="L1263">
        <v>343.95979999999997</v>
      </c>
      <c r="M1263">
        <v>8.7230180000000004E-2</v>
      </c>
      <c r="N1263">
        <v>0</v>
      </c>
      <c r="O1263">
        <v>-0.99608609999999997</v>
      </c>
      <c r="P1263">
        <v>5.8244089999999998E-2</v>
      </c>
      <c r="Q1263">
        <v>-7.1272279999999993E-2</v>
      </c>
      <c r="R1263">
        <v>-0.99575539999999996</v>
      </c>
      <c r="S1263">
        <v>0.12637329999999999</v>
      </c>
      <c r="T1263">
        <v>-0.28622959999999997</v>
      </c>
      <c r="U1263">
        <v>-2.9848940000000002</v>
      </c>
      <c r="V1263">
        <v>2.8510540000000001E-2</v>
      </c>
      <c r="W1263">
        <v>-5.7191159999999998E-2</v>
      </c>
      <c r="X1263">
        <v>0.99795610000000001</v>
      </c>
      <c r="Y1263">
        <v>4.5213620000000003E-2</v>
      </c>
      <c r="Z1263">
        <v>9.4819630000000002E-2</v>
      </c>
      <c r="AA1263">
        <v>0.9944672</v>
      </c>
      <c r="AB1263">
        <v>27</v>
      </c>
      <c r="AC1263">
        <v>1.1099999999999E-2</v>
      </c>
      <c r="AD1263">
        <v>-7.0120000000000099E-2</v>
      </c>
      <c r="AE1263">
        <v>-0.47199999999997899</v>
      </c>
      <c r="AF1263">
        <v>2.9469131700821698E-2</v>
      </c>
      <c r="AG1263">
        <v>-7.0120000000000099E-2</v>
      </c>
      <c r="AH1263">
        <v>0.46100021695644</v>
      </c>
      <c r="AI1263">
        <v>98.631278499192405</v>
      </c>
      <c r="AJ1263">
        <v>86.342382120197399</v>
      </c>
      <c r="AK1263">
        <v>0.46723275158863298</v>
      </c>
      <c r="AL1263">
        <v>93.278600949163703</v>
      </c>
      <c r="AM1263">
        <v>88.3635658824237</v>
      </c>
      <c r="AN1263">
        <v>1.00000002860022</v>
      </c>
    </row>
    <row r="1264" spans="1:40" x14ac:dyDescent="0.25">
      <c r="A1264" t="str">
        <f>"20190312151521476"</f>
        <v>20190312151521476</v>
      </c>
      <c r="B1264" t="str">
        <f>"1552374921469173"</f>
        <v>1552374921469173</v>
      </c>
      <c r="C1264" t="s">
        <v>40</v>
      </c>
      <c r="D1264">
        <v>4.9985989999999996</v>
      </c>
      <c r="E1264">
        <v>0.50834060000000003</v>
      </c>
      <c r="F1264" t="s">
        <v>41</v>
      </c>
      <c r="G1264">
        <v>-191.40719999999999</v>
      </c>
      <c r="H1264">
        <v>1.027658</v>
      </c>
      <c r="I1264">
        <v>343.00850000000003</v>
      </c>
      <c r="J1264">
        <v>-191.42240000000001</v>
      </c>
      <c r="K1264">
        <v>1.1073489999999999</v>
      </c>
      <c r="L1264">
        <v>343.6927</v>
      </c>
      <c r="M1264">
        <v>8.4401439999999994E-2</v>
      </c>
      <c r="N1264">
        <v>0</v>
      </c>
      <c r="O1264">
        <v>-0.99633000000000005</v>
      </c>
      <c r="P1264">
        <v>5.797124E-2</v>
      </c>
      <c r="Q1264">
        <v>-7.0633630000000003E-2</v>
      </c>
      <c r="R1264">
        <v>-0.99581649999999999</v>
      </c>
      <c r="S1264">
        <v>0.1109619</v>
      </c>
      <c r="T1264">
        <v>-0.24979599999999999</v>
      </c>
      <c r="U1264">
        <v>-2.9884029999999999</v>
      </c>
      <c r="V1264">
        <v>2.5988629999999999E-2</v>
      </c>
      <c r="W1264">
        <v>-5.6553440000000003E-2</v>
      </c>
      <c r="X1264">
        <v>0.99806130000000004</v>
      </c>
      <c r="Y1264">
        <v>4.7506670000000001E-2</v>
      </c>
      <c r="Z1264">
        <v>8.2777690000000001E-2</v>
      </c>
      <c r="AA1264">
        <v>0.99543510000000002</v>
      </c>
      <c r="AB1264">
        <v>27</v>
      </c>
      <c r="AC1264">
        <v>1.52000000000214E-2</v>
      </c>
      <c r="AD1264">
        <v>-7.9690999999999901E-2</v>
      </c>
      <c r="AE1264">
        <v>-0.68419999999997505</v>
      </c>
      <c r="AF1264">
        <v>4.20375714371597E-2</v>
      </c>
      <c r="AG1264">
        <v>-7.9690999999999901E-2</v>
      </c>
      <c r="AH1264">
        <v>0.67390351753572497</v>
      </c>
      <c r="AI1264">
        <v>96.731106039628301</v>
      </c>
      <c r="AJ1264">
        <v>86.430559301992403</v>
      </c>
      <c r="AK1264">
        <v>0.67989981897361695</v>
      </c>
      <c r="AL1264">
        <v>93.242003046986198</v>
      </c>
      <c r="AM1264">
        <v>88.508405835541197</v>
      </c>
      <c r="AN1264">
        <v>1.0000000295114</v>
      </c>
    </row>
    <row r="1265" spans="1:40" x14ac:dyDescent="0.25">
      <c r="A1265" t="str">
        <f>"20190312151521497"</f>
        <v>20190312151521497</v>
      </c>
      <c r="B1265" t="str">
        <f>"1552374921488693"</f>
        <v>1552374921488693</v>
      </c>
      <c r="C1265" t="s">
        <v>40</v>
      </c>
      <c r="D1265">
        <v>4.9880110000000002</v>
      </c>
      <c r="E1265">
        <v>0.50836559999999997</v>
      </c>
      <c r="F1265" t="s">
        <v>41</v>
      </c>
      <c r="G1265">
        <v>-191.38919999999999</v>
      </c>
      <c r="H1265">
        <v>1.0331410000000001</v>
      </c>
      <c r="I1265">
        <v>342.76479999999998</v>
      </c>
      <c r="J1265">
        <v>-191.40350000000001</v>
      </c>
      <c r="K1265">
        <v>1.1075189999999999</v>
      </c>
      <c r="L1265">
        <v>343.43360000000001</v>
      </c>
      <c r="M1265">
        <v>8.1845329999999994E-2</v>
      </c>
      <c r="N1265">
        <v>0</v>
      </c>
      <c r="O1265">
        <v>-0.99654370000000003</v>
      </c>
      <c r="P1265">
        <v>5.7705409999999999E-2</v>
      </c>
      <c r="Q1265">
        <v>-7.0913690000000001E-2</v>
      </c>
      <c r="R1265">
        <v>-0.99581189999999997</v>
      </c>
      <c r="S1265">
        <v>0.10713200000000001</v>
      </c>
      <c r="T1265">
        <v>-0.2391152</v>
      </c>
      <c r="U1265">
        <v>-2.9894099999999999</v>
      </c>
      <c r="V1265">
        <v>2.3716310000000001E-2</v>
      </c>
      <c r="W1265">
        <v>-5.683829E-2</v>
      </c>
      <c r="X1265">
        <v>0.99810169999999998</v>
      </c>
      <c r="Y1265">
        <v>4.6220030000000002E-2</v>
      </c>
      <c r="Z1265">
        <v>7.9264349999999997E-2</v>
      </c>
      <c r="AA1265">
        <v>0.99578149999999999</v>
      </c>
      <c r="AB1265">
        <v>27</v>
      </c>
      <c r="AC1265">
        <v>1.4300000000019899E-2</v>
      </c>
      <c r="AD1265">
        <v>-7.4378E-2</v>
      </c>
      <c r="AE1265">
        <v>-0.66880000000003204</v>
      </c>
      <c r="AF1265">
        <v>3.9997215499572601E-2</v>
      </c>
      <c r="AG1265">
        <v>-7.4378E-2</v>
      </c>
      <c r="AH1265">
        <v>0.65957244941892501</v>
      </c>
      <c r="AI1265">
        <v>96.422193866972194</v>
      </c>
      <c r="AJ1265">
        <v>86.529769043140007</v>
      </c>
      <c r="AK1265">
        <v>0.66495690098246196</v>
      </c>
      <c r="AL1265">
        <v>93.258350045049596</v>
      </c>
      <c r="AM1265">
        <v>88.638827267328793</v>
      </c>
      <c r="AN1265">
        <v>1.0000000290565101</v>
      </c>
    </row>
    <row r="1266" spans="1:40" x14ac:dyDescent="0.25">
      <c r="A1266" t="str">
        <f>"20190312151521520"</f>
        <v>20190312151521520</v>
      </c>
      <c r="B1266" t="str">
        <f>"1552374921518949"</f>
        <v>1552374921518949</v>
      </c>
      <c r="C1266" t="s">
        <v>40</v>
      </c>
      <c r="D1266">
        <v>4.9887119999999996</v>
      </c>
      <c r="E1266">
        <v>0.50864509999999996</v>
      </c>
      <c r="F1266" t="s">
        <v>41</v>
      </c>
      <c r="G1266">
        <v>-191.37129999999999</v>
      </c>
      <c r="H1266">
        <v>1.0337609999999999</v>
      </c>
      <c r="I1266">
        <v>342.52390000000003</v>
      </c>
      <c r="J1266">
        <v>-191.3835</v>
      </c>
      <c r="K1266">
        <v>1.107672</v>
      </c>
      <c r="L1266">
        <v>343.15199999999999</v>
      </c>
      <c r="M1266">
        <v>7.9250790000000002E-2</v>
      </c>
      <c r="N1266">
        <v>0</v>
      </c>
      <c r="O1266">
        <v>-0.99675369999999996</v>
      </c>
      <c r="P1266">
        <v>5.6849579999999997E-2</v>
      </c>
      <c r="Q1266">
        <v>-7.111837E-2</v>
      </c>
      <c r="R1266">
        <v>-0.99584660000000003</v>
      </c>
      <c r="S1266">
        <v>0.10592650000000001</v>
      </c>
      <c r="T1266">
        <v>-0.2423913</v>
      </c>
      <c r="U1266">
        <v>-2.9891969999999999</v>
      </c>
      <c r="V1266">
        <v>2.199508E-2</v>
      </c>
      <c r="W1266">
        <v>-5.7052520000000002E-2</v>
      </c>
      <c r="X1266">
        <v>0.99812889999999999</v>
      </c>
      <c r="Y1266">
        <v>4.4021079999999997E-2</v>
      </c>
      <c r="Z1266">
        <v>8.0378980000000003E-2</v>
      </c>
      <c r="AA1266">
        <v>0.99579189999999995</v>
      </c>
      <c r="AB1266">
        <v>27</v>
      </c>
      <c r="AC1266">
        <v>1.2200000000007E-2</v>
      </c>
      <c r="AD1266">
        <v>-7.3910999999999796E-2</v>
      </c>
      <c r="AE1266">
        <v>-0.62809999999996002</v>
      </c>
      <c r="AF1266">
        <v>3.7107179077406703E-2</v>
      </c>
      <c r="AG1266">
        <v>-7.3910999999999796E-2</v>
      </c>
      <c r="AH1266">
        <v>0.618529359535268</v>
      </c>
      <c r="AI1266">
        <v>96.802118039632205</v>
      </c>
      <c r="AJ1266">
        <v>86.566792601959307</v>
      </c>
      <c r="AK1266">
        <v>0.62403393118258499</v>
      </c>
      <c r="AL1266">
        <v>93.270644442812298</v>
      </c>
      <c r="AM1266">
        <v>88.737616629071994</v>
      </c>
      <c r="AN1266">
        <v>1.00000003729888</v>
      </c>
    </row>
    <row r="1267" spans="1:40" x14ac:dyDescent="0.25">
      <c r="A1267" t="str">
        <f>"20190312151521542"</f>
        <v>20190312151521542</v>
      </c>
      <c r="B1267" t="str">
        <f>"1552374921538469"</f>
        <v>1552374921538469</v>
      </c>
      <c r="C1267" t="s">
        <v>40</v>
      </c>
      <c r="D1267">
        <v>5.0225939999999998</v>
      </c>
      <c r="E1267">
        <v>0.50844650000000002</v>
      </c>
      <c r="F1267" t="s">
        <v>41</v>
      </c>
      <c r="G1267">
        <v>-191.35419999999999</v>
      </c>
      <c r="H1267">
        <v>1.037852</v>
      </c>
      <c r="I1267">
        <v>342.28140000000002</v>
      </c>
      <c r="J1267">
        <v>-191.36590000000001</v>
      </c>
      <c r="K1267">
        <v>1.107788</v>
      </c>
      <c r="L1267">
        <v>342.8974</v>
      </c>
      <c r="M1267">
        <v>7.7044089999999996E-2</v>
      </c>
      <c r="N1267">
        <v>0</v>
      </c>
      <c r="O1267">
        <v>-0.99692689999999995</v>
      </c>
      <c r="P1267">
        <v>5.624291E-2</v>
      </c>
      <c r="Q1267">
        <v>-7.077319E-2</v>
      </c>
      <c r="R1267">
        <v>-0.9959057</v>
      </c>
      <c r="S1267">
        <v>0.10112</v>
      </c>
      <c r="T1267">
        <v>-0.23983289999999999</v>
      </c>
      <c r="U1267">
        <v>-2.9896240000000001</v>
      </c>
      <c r="V1267">
        <v>2.04137E-2</v>
      </c>
      <c r="W1267">
        <v>-5.671524E-2</v>
      </c>
      <c r="X1267">
        <v>0.99818169999999995</v>
      </c>
      <c r="Y1267">
        <v>4.34113E-2</v>
      </c>
      <c r="Z1267">
        <v>7.9548670000000002E-2</v>
      </c>
      <c r="AA1267">
        <v>0.99588529999999997</v>
      </c>
      <c r="AB1267">
        <v>27</v>
      </c>
      <c r="AC1267">
        <v>1.17000000000189E-2</v>
      </c>
      <c r="AD1267">
        <v>-6.9935999999999998E-2</v>
      </c>
      <c r="AE1267">
        <v>-0.615999999999985</v>
      </c>
      <c r="AF1267">
        <v>3.5343314373953501E-2</v>
      </c>
      <c r="AG1267">
        <v>-6.9935999999999998E-2</v>
      </c>
      <c r="AH1267">
        <v>0.607245846648923</v>
      </c>
      <c r="AI1267">
        <v>96.558759707814502</v>
      </c>
      <c r="AJ1267">
        <v>86.668992015837205</v>
      </c>
      <c r="AK1267">
        <v>0.61228074625885698</v>
      </c>
      <c r="AL1267">
        <v>93.251288431719701</v>
      </c>
      <c r="AM1267">
        <v>88.828413869755394</v>
      </c>
      <c r="AN1267">
        <v>1.0000000219054099</v>
      </c>
    </row>
    <row r="1268" spans="1:40" x14ac:dyDescent="0.25">
      <c r="A1268" t="str">
        <f>"20190312151521565"</f>
        <v>20190312151521565</v>
      </c>
      <c r="B1268" t="str">
        <f>"1552374921558966"</f>
        <v>1552374921558966</v>
      </c>
      <c r="C1268" t="s">
        <v>40</v>
      </c>
      <c r="D1268">
        <v>5.0562339999999999</v>
      </c>
      <c r="E1268">
        <v>0.50823739999999995</v>
      </c>
      <c r="F1268" t="s">
        <v>41</v>
      </c>
      <c r="G1268">
        <v>-191.33699999999999</v>
      </c>
      <c r="H1268">
        <v>1.0387959999999901</v>
      </c>
      <c r="I1268">
        <v>342.041</v>
      </c>
      <c r="J1268">
        <v>-191.34710000000001</v>
      </c>
      <c r="K1268">
        <v>1.107901</v>
      </c>
      <c r="L1268">
        <v>342.61869999999999</v>
      </c>
      <c r="M1268">
        <v>7.475366E-2</v>
      </c>
      <c r="N1268">
        <v>0</v>
      </c>
      <c r="O1268">
        <v>-0.99710160000000003</v>
      </c>
      <c r="P1268">
        <v>5.5546100000000001E-2</v>
      </c>
      <c r="Q1268">
        <v>-7.0626679999999997E-2</v>
      </c>
      <c r="R1268">
        <v>-0.99595529999999999</v>
      </c>
      <c r="S1268">
        <v>0.1010437</v>
      </c>
      <c r="T1268">
        <v>-0.24088499999999999</v>
      </c>
      <c r="U1268">
        <v>-2.989471</v>
      </c>
      <c r="V1268">
        <v>1.8836599999999998E-2</v>
      </c>
      <c r="W1268">
        <v>-5.6577790000000003E-2</v>
      </c>
      <c r="X1268">
        <v>0.99822049999999996</v>
      </c>
      <c r="Y1268">
        <v>4.1140719999999999E-2</v>
      </c>
      <c r="Z1268">
        <v>7.9924319999999993E-2</v>
      </c>
      <c r="AA1268">
        <v>0.99595160000000005</v>
      </c>
      <c r="AB1268">
        <v>27</v>
      </c>
      <c r="AC1268">
        <v>1.00999999999942E-2</v>
      </c>
      <c r="AD1268">
        <v>-6.9105000000000194E-2</v>
      </c>
      <c r="AE1268">
        <v>-0.577699999999992</v>
      </c>
      <c r="AF1268">
        <v>3.2650718298240497E-2</v>
      </c>
      <c r="AG1268">
        <v>-6.9105000000000194E-2</v>
      </c>
      <c r="AH1268">
        <v>0.56870319683206805</v>
      </c>
      <c r="AI1268">
        <v>96.9169528521616</v>
      </c>
      <c r="AJ1268">
        <v>86.714108578613207</v>
      </c>
      <c r="AK1268">
        <v>0.57381608248410498</v>
      </c>
      <c r="AL1268">
        <v>93.2434004829597</v>
      </c>
      <c r="AM1268">
        <v>88.918946659856303</v>
      </c>
      <c r="AN1268">
        <v>1.0000000152205399</v>
      </c>
    </row>
    <row r="1269" spans="1:40" x14ac:dyDescent="0.25">
      <c r="A1269" t="str">
        <f>"20190312151521587"</f>
        <v>20190312151521587</v>
      </c>
      <c r="B1269" t="str">
        <f>"1552374921578485"</f>
        <v>1552374921578485</v>
      </c>
      <c r="C1269" t="s">
        <v>40</v>
      </c>
      <c r="D1269">
        <v>5.0277079999999996</v>
      </c>
      <c r="E1269">
        <v>0.50813779999999997</v>
      </c>
      <c r="F1269" t="s">
        <v>41</v>
      </c>
      <c r="G1269">
        <v>-191.31970000000001</v>
      </c>
      <c r="H1269">
        <v>1.041366</v>
      </c>
      <c r="I1269">
        <v>341.79919999999998</v>
      </c>
      <c r="J1269">
        <v>-191.3304</v>
      </c>
      <c r="K1269">
        <v>1.108006</v>
      </c>
      <c r="L1269">
        <v>342.36450000000002</v>
      </c>
      <c r="M1269">
        <v>7.276067E-2</v>
      </c>
      <c r="N1269">
        <v>0</v>
      </c>
      <c r="O1269">
        <v>-0.99724919999999995</v>
      </c>
      <c r="P1269">
        <v>5.5495999999999997E-2</v>
      </c>
      <c r="Q1269">
        <v>-7.0310209999999998E-2</v>
      </c>
      <c r="R1269">
        <v>-0.99598039999999999</v>
      </c>
      <c r="S1269">
        <v>0.1004486</v>
      </c>
      <c r="T1269">
        <v>-0.24291860000000001</v>
      </c>
      <c r="U1269">
        <v>-2.9893800000000001</v>
      </c>
      <c r="V1269">
        <v>1.6908619999999999E-2</v>
      </c>
      <c r="W1269">
        <v>-5.6266709999999998E-2</v>
      </c>
      <c r="X1269">
        <v>0.99827259999999995</v>
      </c>
      <c r="Y1269">
        <v>3.9342580000000002E-2</v>
      </c>
      <c r="Z1269">
        <v>8.0618200000000001E-2</v>
      </c>
      <c r="AA1269">
        <v>0.99596830000000003</v>
      </c>
      <c r="AB1269">
        <v>27</v>
      </c>
      <c r="AC1269">
        <v>1.06999999999857E-2</v>
      </c>
      <c r="AD1269">
        <v>-6.6640000000000005E-2</v>
      </c>
      <c r="AE1269">
        <v>-0.565300000000036</v>
      </c>
      <c r="AF1269">
        <v>3.0046685084682698E-2</v>
      </c>
      <c r="AG1269">
        <v>-6.6640000000000005E-2</v>
      </c>
      <c r="AH1269">
        <v>0.55684441544487095</v>
      </c>
      <c r="AI1269">
        <v>96.814560006585907</v>
      </c>
      <c r="AJ1269">
        <v>86.911380785960702</v>
      </c>
      <c r="AK1269">
        <v>0.56162211129612605</v>
      </c>
      <c r="AL1269">
        <v>93.225548477695099</v>
      </c>
      <c r="AM1269">
        <v>89.029623839075498</v>
      </c>
      <c r="AN1269">
        <v>1.0000000139976399</v>
      </c>
    </row>
    <row r="1270" spans="1:40" x14ac:dyDescent="0.25">
      <c r="A1270" t="str">
        <f>"20190312151521608"</f>
        <v>20190312151521608</v>
      </c>
      <c r="B1270" t="str">
        <f>"1552374921598981"</f>
        <v>1552374921598981</v>
      </c>
      <c r="C1270" t="s">
        <v>40</v>
      </c>
      <c r="D1270">
        <v>5.0385249999999999</v>
      </c>
      <c r="E1270">
        <v>0.50775049999999999</v>
      </c>
      <c r="F1270" t="s">
        <v>41</v>
      </c>
      <c r="G1270">
        <v>-191.3031</v>
      </c>
      <c r="H1270">
        <v>1.043223</v>
      </c>
      <c r="I1270">
        <v>341.55799999999999</v>
      </c>
      <c r="J1270">
        <v>-191.3135</v>
      </c>
      <c r="K1270">
        <v>1.1080939999999999</v>
      </c>
      <c r="L1270">
        <v>342.101</v>
      </c>
      <c r="M1270">
        <v>7.077659E-2</v>
      </c>
      <c r="N1270">
        <v>0</v>
      </c>
      <c r="O1270">
        <v>-0.99739239999999996</v>
      </c>
      <c r="P1270">
        <v>5.5318770000000003E-2</v>
      </c>
      <c r="Q1270">
        <v>-6.9111329999999999E-2</v>
      </c>
      <c r="R1270">
        <v>-0.99607440000000003</v>
      </c>
      <c r="S1270">
        <v>0.1012115</v>
      </c>
      <c r="T1270">
        <v>-0.24022569999999999</v>
      </c>
      <c r="U1270">
        <v>-2.989471</v>
      </c>
      <c r="V1270">
        <v>1.5123650000000001E-2</v>
      </c>
      <c r="W1270">
        <v>-5.5073089999999998E-2</v>
      </c>
      <c r="X1270">
        <v>0.99836780000000003</v>
      </c>
      <c r="Y1270">
        <v>3.709933E-2</v>
      </c>
      <c r="Z1270">
        <v>7.9747999999999999E-2</v>
      </c>
      <c r="AA1270">
        <v>0.99612440000000002</v>
      </c>
      <c r="AB1270">
        <v>27</v>
      </c>
      <c r="AC1270">
        <v>1.04000000000041E-2</v>
      </c>
      <c r="AD1270">
        <v>-6.4871000000000095E-2</v>
      </c>
      <c r="AE1270">
        <v>-0.54299999999994897</v>
      </c>
      <c r="AF1270">
        <v>2.7666868801338101E-2</v>
      </c>
      <c r="AG1270">
        <v>-6.4871000000000095E-2</v>
      </c>
      <c r="AH1270">
        <v>0.53474476701113305</v>
      </c>
      <c r="AI1270">
        <v>96.907721443608693</v>
      </c>
      <c r="AJ1270">
        <v>87.038245668858394</v>
      </c>
      <c r="AK1270">
        <v>0.53937525723383195</v>
      </c>
      <c r="AL1270">
        <v>93.157052855511097</v>
      </c>
      <c r="AM1270">
        <v>89.132128416203599</v>
      </c>
      <c r="AN1270">
        <v>1.0000000170541501</v>
      </c>
    </row>
    <row r="1271" spans="1:40" x14ac:dyDescent="0.25">
      <c r="A1271" t="str">
        <f>"20190312151521634"</f>
        <v>20190312151521634</v>
      </c>
      <c r="B1271" t="str">
        <f>"1552374921628261"</f>
        <v>1552374921628261</v>
      </c>
      <c r="C1271" t="s">
        <v>40</v>
      </c>
      <c r="D1271">
        <v>4.9972620000000001</v>
      </c>
      <c r="E1271">
        <v>0.50771560000000004</v>
      </c>
      <c r="F1271" t="s">
        <v>41</v>
      </c>
      <c r="G1271">
        <v>-191.28639999999999</v>
      </c>
      <c r="H1271">
        <v>1.045874</v>
      </c>
      <c r="I1271">
        <v>341.31630000000001</v>
      </c>
      <c r="J1271">
        <v>-191.29509999999999</v>
      </c>
      <c r="K1271">
        <v>1.1081859999999999</v>
      </c>
      <c r="L1271">
        <v>341.8073</v>
      </c>
      <c r="M1271">
        <v>6.8651030000000002E-2</v>
      </c>
      <c r="N1271">
        <v>0</v>
      </c>
      <c r="O1271">
        <v>-0.99754089999999995</v>
      </c>
      <c r="P1271">
        <v>5.4740759999999999E-2</v>
      </c>
      <c r="Q1271">
        <v>-6.7861980000000002E-2</v>
      </c>
      <c r="R1271">
        <v>-0.99619170000000001</v>
      </c>
      <c r="S1271">
        <v>0.1037445</v>
      </c>
      <c r="T1271">
        <v>-0.2371819</v>
      </c>
      <c r="U1271">
        <v>-2.9895939999999999</v>
      </c>
      <c r="V1271">
        <v>1.3597939999999999E-2</v>
      </c>
      <c r="W1271">
        <v>-5.3830589999999998E-2</v>
      </c>
      <c r="X1271">
        <v>0.9984575</v>
      </c>
      <c r="Y1271">
        <v>3.4125339999999997E-2</v>
      </c>
      <c r="Z1271">
        <v>7.8761349999999994E-2</v>
      </c>
      <c r="AA1271">
        <v>0.99630920000000001</v>
      </c>
      <c r="AB1271">
        <v>27</v>
      </c>
      <c r="AC1271">
        <v>8.7000000000045895E-3</v>
      </c>
      <c r="AD1271">
        <v>-6.2312000000000103E-2</v>
      </c>
      <c r="AE1271">
        <v>-0.490999999999985</v>
      </c>
      <c r="AF1271">
        <v>2.4634904451659199E-2</v>
      </c>
      <c r="AG1271">
        <v>-6.2312000000000103E-2</v>
      </c>
      <c r="AH1271">
        <v>0.48266742226008202</v>
      </c>
      <c r="AI1271">
        <v>97.3466964339339</v>
      </c>
      <c r="AJ1271">
        <v>87.078211052585004</v>
      </c>
      <c r="AK1271">
        <v>0.48729611569612902</v>
      </c>
      <c r="AL1271">
        <v>93.085757099915696</v>
      </c>
      <c r="AM1271">
        <v>89.219740039907705</v>
      </c>
      <c r="AN1271">
        <v>1.00000000784912</v>
      </c>
    </row>
    <row r="1272" spans="1:40" x14ac:dyDescent="0.25">
      <c r="A1272" t="str">
        <f>"20190312151521655"</f>
        <v>20190312151521655</v>
      </c>
      <c r="B1272" t="str">
        <f>"1552374921648757"</f>
        <v>1552374921648757</v>
      </c>
      <c r="C1272" t="s">
        <v>40</v>
      </c>
      <c r="D1272">
        <v>5.048781</v>
      </c>
      <c r="E1272">
        <v>0.51685779999999903</v>
      </c>
      <c r="F1272" t="s">
        <v>41</v>
      </c>
      <c r="G1272">
        <v>-191.26240000000001</v>
      </c>
      <c r="H1272">
        <v>1.0327930000000001</v>
      </c>
      <c r="I1272">
        <v>340.84769999999997</v>
      </c>
      <c r="J1272">
        <v>-191.2791</v>
      </c>
      <c r="K1272">
        <v>1.1082559999999999</v>
      </c>
      <c r="L1272">
        <v>341.5428</v>
      </c>
      <c r="M1272">
        <v>6.6821080000000005E-2</v>
      </c>
      <c r="N1272">
        <v>0</v>
      </c>
      <c r="O1272">
        <v>-0.99766549999999998</v>
      </c>
      <c r="P1272">
        <v>5.4617529999999997E-2</v>
      </c>
      <c r="Q1272">
        <v>-6.7032750000000002E-2</v>
      </c>
      <c r="R1272">
        <v>-0.99625469999999905</v>
      </c>
      <c r="S1272">
        <v>0.10238650000000001</v>
      </c>
      <c r="T1272">
        <v>-0.23508039999999999</v>
      </c>
      <c r="U1272">
        <v>-2.9898380000000002</v>
      </c>
      <c r="V1272">
        <v>1.190591E-2</v>
      </c>
      <c r="W1272">
        <v>-5.3006079999999997E-2</v>
      </c>
      <c r="X1272">
        <v>0.99852320000000006</v>
      </c>
      <c r="Y1272">
        <v>3.2744969999999998E-2</v>
      </c>
      <c r="Z1272">
        <v>7.8078449999999994E-2</v>
      </c>
      <c r="AA1272">
        <v>0.99640930000000005</v>
      </c>
      <c r="AB1272">
        <v>27</v>
      </c>
      <c r="AC1272">
        <v>1.66999999999859E-2</v>
      </c>
      <c r="AD1272">
        <v>-7.5462999999999794E-2</v>
      </c>
      <c r="AE1272">
        <v>-0.69510000000002403</v>
      </c>
      <c r="AF1272">
        <v>2.9442461143177098E-2</v>
      </c>
      <c r="AG1272">
        <v>-7.5462999999999794E-2</v>
      </c>
      <c r="AH1272">
        <v>0.68657471340359599</v>
      </c>
      <c r="AI1272">
        <v>96.266619686568404</v>
      </c>
      <c r="AJ1272">
        <v>87.544483065115998</v>
      </c>
      <c r="AK1272">
        <v>0.691336647352357</v>
      </c>
      <c r="AL1272">
        <v>93.038448669862902</v>
      </c>
      <c r="AM1272">
        <v>89.316865076879395</v>
      </c>
      <c r="AN1272">
        <v>0.99999998807406698</v>
      </c>
    </row>
    <row r="1273" spans="1:40" x14ac:dyDescent="0.25">
      <c r="A1273" t="str">
        <f>"20190312151521678"</f>
        <v>20190312151521678</v>
      </c>
      <c r="B1273" t="str">
        <f>"1552374921669253"</f>
        <v>1552374921669253</v>
      </c>
      <c r="C1273" t="s">
        <v>40</v>
      </c>
      <c r="D1273">
        <v>5.0382629999999997</v>
      </c>
      <c r="E1273">
        <v>0.51874690000000001</v>
      </c>
      <c r="F1273" t="s">
        <v>43</v>
      </c>
      <c r="G1273">
        <v>-190.92599999999999</v>
      </c>
      <c r="H1273" s="1">
        <v>-3.5089699999999998E-6</v>
      </c>
      <c r="I1273">
        <v>307.1943</v>
      </c>
      <c r="J1273">
        <v>-191.26349999999999</v>
      </c>
      <c r="K1273">
        <v>1.1083099999999999</v>
      </c>
      <c r="L1273">
        <v>341.27870000000001</v>
      </c>
      <c r="M1273">
        <v>6.5048540000000002E-2</v>
      </c>
      <c r="N1273">
        <v>0</v>
      </c>
      <c r="O1273">
        <v>-0.99778279999999997</v>
      </c>
      <c r="P1273">
        <v>5.4080019999999999E-2</v>
      </c>
      <c r="Q1273">
        <v>-6.6773410000000005E-2</v>
      </c>
      <c r="R1273">
        <v>-0.99630180000000002</v>
      </c>
      <c r="S1273">
        <v>3.0868530000000002E-2</v>
      </c>
      <c r="T1273">
        <v>-9.6893670000000001E-2</v>
      </c>
      <c r="U1273">
        <v>-3.0030519999999998</v>
      </c>
      <c r="V1273">
        <v>1.0679940000000001E-2</v>
      </c>
      <c r="W1273">
        <v>-5.2753099999999997E-2</v>
      </c>
      <c r="X1273">
        <v>0.99855050000000001</v>
      </c>
      <c r="Y1273">
        <v>5.4800099999999997E-2</v>
      </c>
      <c r="Z1273">
        <v>3.212077E-2</v>
      </c>
      <c r="AA1273">
        <v>0.99798050000000005</v>
      </c>
      <c r="AB1273">
        <v>27</v>
      </c>
      <c r="AC1273">
        <v>0.33750000000000502</v>
      </c>
      <c r="AD1273">
        <v>-1.10831350897</v>
      </c>
      <c r="AE1273">
        <v>-34.084400000000002</v>
      </c>
      <c r="AF1273">
        <v>1.87858899988536</v>
      </c>
      <c r="AG1273">
        <v>-1.10831350897</v>
      </c>
      <c r="AH1273">
        <v>33.998210332557797</v>
      </c>
      <c r="AI1273">
        <v>91.864291935604001</v>
      </c>
      <c r="AJ1273">
        <v>86.837307689809606</v>
      </c>
      <c r="AK1273">
        <v>34.0681047503599</v>
      </c>
      <c r="AL1273">
        <v>93.023933560977696</v>
      </c>
      <c r="AM1273">
        <v>89.387219618630695</v>
      </c>
      <c r="AN1273">
        <v>1.0000000258641299</v>
      </c>
    </row>
    <row r="1274" spans="1:40" x14ac:dyDescent="0.25">
      <c r="A1274" t="str">
        <f>"20190312151521700"</f>
        <v>20190312151521700</v>
      </c>
      <c r="B1274" t="str">
        <f>"1552374921688773"</f>
        <v>1552374921688773</v>
      </c>
      <c r="C1274" t="s">
        <v>40</v>
      </c>
      <c r="D1274">
        <v>5.050173</v>
      </c>
      <c r="E1274">
        <v>0.5194607</v>
      </c>
      <c r="F1274" t="s">
        <v>43</v>
      </c>
      <c r="G1274">
        <v>-191.13849999999999</v>
      </c>
      <c r="H1274" s="1">
        <v>-2.536814E-6</v>
      </c>
      <c r="I1274">
        <v>314.31740000000002</v>
      </c>
      <c r="J1274">
        <v>-191.2484</v>
      </c>
      <c r="K1274">
        <v>1.108363</v>
      </c>
      <c r="L1274">
        <v>341.01740000000001</v>
      </c>
      <c r="M1274">
        <v>6.3347420000000002E-2</v>
      </c>
      <c r="N1274">
        <v>0</v>
      </c>
      <c r="O1274">
        <v>-0.99789240000000001</v>
      </c>
      <c r="P1274">
        <v>5.3931470000000002E-2</v>
      </c>
      <c r="Q1274">
        <v>-6.6544649999999997E-2</v>
      </c>
      <c r="R1274">
        <v>-0.99632489999999996</v>
      </c>
      <c r="S1274">
        <v>1.3916019999999999E-2</v>
      </c>
      <c r="T1274">
        <v>-0.123409199999999</v>
      </c>
      <c r="U1274">
        <v>-3.0021059999999999</v>
      </c>
      <c r="V1274">
        <v>9.1347210000000002E-3</v>
      </c>
      <c r="W1274">
        <v>-5.2528909999999998E-2</v>
      </c>
      <c r="X1274">
        <v>0.99857759999999995</v>
      </c>
      <c r="Y1274">
        <v>5.8730789999999998E-2</v>
      </c>
      <c r="Z1274">
        <v>4.0913459999999999E-2</v>
      </c>
      <c r="AA1274">
        <v>0.99743510000000002</v>
      </c>
      <c r="AB1274">
        <v>27</v>
      </c>
      <c r="AC1274">
        <v>0.10990000000001</v>
      </c>
      <c r="AD1274">
        <v>-1.108365536814</v>
      </c>
      <c r="AE1274">
        <v>-26.6999999999999</v>
      </c>
      <c r="AF1274">
        <v>1.5791430605042001</v>
      </c>
      <c r="AG1274">
        <v>-1.108365536814</v>
      </c>
      <c r="AH1274">
        <v>26.607475886388599</v>
      </c>
      <c r="AI1274">
        <v>92.381158508785205</v>
      </c>
      <c r="AJ1274">
        <v>86.603502557138199</v>
      </c>
      <c r="AK1274">
        <v>26.6773300765554</v>
      </c>
      <c r="AL1274">
        <v>93.011070735148806</v>
      </c>
      <c r="AM1274">
        <v>89.475888141246102</v>
      </c>
      <c r="AN1274">
        <v>0.99999997636764704</v>
      </c>
    </row>
    <row r="1275" spans="1:40" x14ac:dyDescent="0.25">
      <c r="A1275" t="str">
        <f>"20190312151521720"</f>
        <v>20190312151521720</v>
      </c>
      <c r="B1275" t="str">
        <f>"1552374921708799"</f>
        <v>1552374921708799</v>
      </c>
      <c r="C1275" t="s">
        <v>40</v>
      </c>
      <c r="D1275">
        <v>5.0277019999999997</v>
      </c>
      <c r="E1275">
        <v>0.5191114</v>
      </c>
      <c r="F1275" t="s">
        <v>43</v>
      </c>
      <c r="G1275">
        <v>-191.1942</v>
      </c>
      <c r="H1275" s="1">
        <v>-4.6816990000000002E-6</v>
      </c>
      <c r="I1275">
        <v>318.92590000000001</v>
      </c>
      <c r="J1275">
        <v>-191.2345</v>
      </c>
      <c r="K1275">
        <v>1.108403</v>
      </c>
      <c r="L1275">
        <v>340.7697</v>
      </c>
      <c r="M1275">
        <v>6.1783909999999997E-2</v>
      </c>
      <c r="N1275">
        <v>0</v>
      </c>
      <c r="O1275">
        <v>-0.99799079999999996</v>
      </c>
      <c r="P1275">
        <v>5.426073E-2</v>
      </c>
      <c r="Q1275">
        <v>-6.5816239999999998E-2</v>
      </c>
      <c r="R1275">
        <v>-0.99635569999999896</v>
      </c>
      <c r="S1275">
        <v>7.3547359999999997E-3</v>
      </c>
      <c r="T1275">
        <v>-0.15054709999999999</v>
      </c>
      <c r="U1275">
        <v>-3.0006409999999999</v>
      </c>
      <c r="V1275">
        <v>7.2517809999999997E-3</v>
      </c>
      <c r="W1275">
        <v>-5.1802849999999998E-2</v>
      </c>
      <c r="X1275">
        <v>0.99863100000000005</v>
      </c>
      <c r="Y1275">
        <v>5.934644E-2</v>
      </c>
      <c r="Z1275">
        <v>4.9920850000000003E-2</v>
      </c>
      <c r="AA1275">
        <v>0.9969884</v>
      </c>
      <c r="AB1275">
        <v>27</v>
      </c>
      <c r="AC1275">
        <v>4.0300000000002001E-2</v>
      </c>
      <c r="AD1275">
        <v>-1.1084076816990001</v>
      </c>
      <c r="AE1275">
        <v>-21.843799999999899</v>
      </c>
      <c r="AF1275">
        <v>1.30614237220984</v>
      </c>
      <c r="AG1275">
        <v>-1.1084076816990001</v>
      </c>
      <c r="AH1275">
        <v>21.748552523745801</v>
      </c>
      <c r="AI1275">
        <v>92.912297693187199</v>
      </c>
      <c r="AJ1275">
        <v>86.563142926700607</v>
      </c>
      <c r="AK1275">
        <v>21.815914199580501</v>
      </c>
      <c r="AL1275">
        <v>92.969413774032802</v>
      </c>
      <c r="AM1275">
        <v>89.583941273523294</v>
      </c>
      <c r="AN1275">
        <v>0.99999999887839697</v>
      </c>
    </row>
    <row r="1276" spans="1:40" x14ac:dyDescent="0.25">
      <c r="A1276" t="str">
        <f>"20190312151521742"</f>
        <v>20190312151521742</v>
      </c>
      <c r="B1276" t="str">
        <f>"1552374921739055"</f>
        <v>1552374921739055</v>
      </c>
      <c r="C1276" t="s">
        <v>40</v>
      </c>
      <c r="D1276">
        <v>5.034249</v>
      </c>
      <c r="E1276">
        <v>0.5190572</v>
      </c>
      <c r="F1276" t="s">
        <v>43</v>
      </c>
      <c r="G1276">
        <v>-191.15539999999999</v>
      </c>
      <c r="H1276" s="1">
        <v>-4.8244209999999999E-6</v>
      </c>
      <c r="I1276">
        <v>319.31549999999999</v>
      </c>
      <c r="J1276">
        <v>-191.21969999999999</v>
      </c>
      <c r="K1276">
        <v>1.108457</v>
      </c>
      <c r="L1276">
        <v>340.50029999999998</v>
      </c>
      <c r="M1276">
        <v>6.0139629999999999E-2</v>
      </c>
      <c r="N1276">
        <v>0</v>
      </c>
      <c r="O1276">
        <v>-0.99809130000000001</v>
      </c>
      <c r="P1276">
        <v>5.3434269999999999E-2</v>
      </c>
      <c r="Q1276">
        <v>-6.4651710000000001E-2</v>
      </c>
      <c r="R1276">
        <v>-0.99647649999999999</v>
      </c>
      <c r="S1276">
        <v>1.106262E-2</v>
      </c>
      <c r="T1276">
        <v>-0.1550001</v>
      </c>
      <c r="U1276">
        <v>-3.0001530000000001</v>
      </c>
      <c r="V1276">
        <v>6.4489930000000001E-3</v>
      </c>
      <c r="W1276">
        <v>-5.0643979999999998E-2</v>
      </c>
      <c r="X1276">
        <v>0.99869600000000003</v>
      </c>
      <c r="Y1276">
        <v>5.6469320000000003E-2</v>
      </c>
      <c r="Z1276">
        <v>5.1413880000000002E-2</v>
      </c>
      <c r="AA1276">
        <v>0.99707970000000001</v>
      </c>
      <c r="AB1276">
        <v>27</v>
      </c>
      <c r="AC1276">
        <v>6.4300000000002897E-2</v>
      </c>
      <c r="AD1276">
        <v>-1.1084618244210001</v>
      </c>
      <c r="AE1276">
        <v>-21.184799999999999</v>
      </c>
      <c r="AF1276">
        <v>1.20668437989283</v>
      </c>
      <c r="AG1276">
        <v>-1.1084618244210001</v>
      </c>
      <c r="AH1276">
        <v>21.092569255436299</v>
      </c>
      <c r="AI1276">
        <v>93.003352665549698</v>
      </c>
      <c r="AJ1276">
        <v>86.725735841426001</v>
      </c>
      <c r="AK1276">
        <v>21.156116198495798</v>
      </c>
      <c r="AL1276">
        <v>92.902927976759599</v>
      </c>
      <c r="AM1276">
        <v>89.630022604165902</v>
      </c>
      <c r="AN1276">
        <v>1.0000000513184699</v>
      </c>
    </row>
    <row r="1277" spans="1:40" x14ac:dyDescent="0.25">
      <c r="A1277" t="str">
        <f>"20190312151521766"</f>
        <v>20190312151521766</v>
      </c>
      <c r="B1277" t="str">
        <f>"1552374921758575"</f>
        <v>1552374921758575</v>
      </c>
      <c r="C1277" t="s">
        <v>40</v>
      </c>
      <c r="D1277">
        <v>5.0345129999999996</v>
      </c>
      <c r="E1277">
        <v>0.51901889999999995</v>
      </c>
      <c r="F1277" t="s">
        <v>43</v>
      </c>
      <c r="G1277">
        <v>-191.15</v>
      </c>
      <c r="H1277" s="1">
        <v>-4.0403159999999997E-6</v>
      </c>
      <c r="I1277">
        <v>317.49149999999997</v>
      </c>
      <c r="J1277">
        <v>-191.20500000000001</v>
      </c>
      <c r="K1277">
        <v>1.1085119999999999</v>
      </c>
      <c r="L1277">
        <v>340.22449999999998</v>
      </c>
      <c r="M1277">
        <v>5.8516949999999998E-2</v>
      </c>
      <c r="N1277">
        <v>0</v>
      </c>
      <c r="O1277">
        <v>-0.99818779999999996</v>
      </c>
      <c r="P1277">
        <v>5.2780800000000003E-2</v>
      </c>
      <c r="Q1277">
        <v>-6.2690469999999998E-2</v>
      </c>
      <c r="R1277">
        <v>-0.99663639999999998</v>
      </c>
      <c r="S1277">
        <v>9.0942379999999993E-3</v>
      </c>
      <c r="T1277">
        <v>-0.14456179999999999</v>
      </c>
      <c r="U1277">
        <v>-3.0007320000000002</v>
      </c>
      <c r="V1277">
        <v>5.4999410000000004E-3</v>
      </c>
      <c r="W1277">
        <v>-4.868687E-2</v>
      </c>
      <c r="X1277">
        <v>0.99879899999999999</v>
      </c>
      <c r="Y1277">
        <v>5.5500430000000003E-2</v>
      </c>
      <c r="Z1277">
        <v>4.7958840000000003E-2</v>
      </c>
      <c r="AA1277">
        <v>0.99730620000000003</v>
      </c>
      <c r="AB1277">
        <v>27</v>
      </c>
      <c r="AC1277">
        <v>5.50000000000068E-2</v>
      </c>
      <c r="AD1277">
        <v>-1.1085160403159999</v>
      </c>
      <c r="AE1277">
        <v>-22.733000000000001</v>
      </c>
      <c r="AF1277">
        <v>1.2724654457148601</v>
      </c>
      <c r="AG1277">
        <v>-1.1085160403159999</v>
      </c>
      <c r="AH1277">
        <v>22.643415550382102</v>
      </c>
      <c r="AI1277">
        <v>92.798288682305099</v>
      </c>
      <c r="AJ1277">
        <v>86.783599250393294</v>
      </c>
      <c r="AK1277">
        <v>22.7062159751347</v>
      </c>
      <c r="AL1277">
        <v>92.790655266334596</v>
      </c>
      <c r="AM1277">
        <v>89.684500863680498</v>
      </c>
      <c r="AN1277">
        <v>1.00000005153119</v>
      </c>
    </row>
    <row r="1278" spans="1:40" x14ac:dyDescent="0.25">
      <c r="A1278" t="str">
        <f>"20190312151521788"</f>
        <v>20190312151521788</v>
      </c>
      <c r="B1278" t="str">
        <f>"1552374921779071"</f>
        <v>1552374921779071</v>
      </c>
      <c r="C1278" t="s">
        <v>40</v>
      </c>
      <c r="D1278">
        <v>5.0268579999999998</v>
      </c>
      <c r="E1278">
        <v>0.51882709999999999</v>
      </c>
      <c r="F1278" t="s">
        <v>43</v>
      </c>
      <c r="G1278">
        <v>-191.14959999999999</v>
      </c>
      <c r="H1278" s="1">
        <v>-3.9570530000000004E-6</v>
      </c>
      <c r="I1278">
        <v>317.31560000000002</v>
      </c>
      <c r="J1278">
        <v>-191.1917</v>
      </c>
      <c r="K1278">
        <v>1.108565</v>
      </c>
      <c r="L1278">
        <v>339.96940000000001</v>
      </c>
      <c r="M1278">
        <v>5.7077459999999997E-2</v>
      </c>
      <c r="N1278">
        <v>0</v>
      </c>
      <c r="O1278">
        <v>-0.99827129999999997</v>
      </c>
      <c r="P1278">
        <v>5.186458E-2</v>
      </c>
      <c r="Q1278">
        <v>-6.1759849999999998E-2</v>
      </c>
      <c r="R1278">
        <v>-0.99674269999999998</v>
      </c>
      <c r="S1278">
        <v>7.2631839999999998E-3</v>
      </c>
      <c r="T1278">
        <v>-0.14519489999999999</v>
      </c>
      <c r="U1278">
        <v>-3.0006409999999999</v>
      </c>
      <c r="V1278">
        <v>4.9898690000000001E-3</v>
      </c>
      <c r="W1278">
        <v>-4.7761249999999998E-2</v>
      </c>
      <c r="X1278">
        <v>0.99884629999999996</v>
      </c>
      <c r="Y1278">
        <v>5.4669099999999998E-2</v>
      </c>
      <c r="Z1278">
        <v>4.8177049999999999E-2</v>
      </c>
      <c r="AA1278">
        <v>0.99734160000000005</v>
      </c>
      <c r="AB1278">
        <v>27</v>
      </c>
      <c r="AC1278">
        <v>4.2100000000004897E-2</v>
      </c>
      <c r="AD1278">
        <v>-1.108568957053</v>
      </c>
      <c r="AE1278">
        <v>-22.653799999999901</v>
      </c>
      <c r="AF1278">
        <v>1.24812828820838</v>
      </c>
      <c r="AG1278">
        <v>-1.108568957053</v>
      </c>
      <c r="AH1278">
        <v>22.565228844145501</v>
      </c>
      <c r="AI1278">
        <v>92.808240590831602</v>
      </c>
      <c r="AJ1278">
        <v>86.834080948433893</v>
      </c>
      <c r="AK1278">
        <v>22.626893338348999</v>
      </c>
      <c r="AL1278">
        <v>92.737559559582806</v>
      </c>
      <c r="AM1278">
        <v>89.713773725014207</v>
      </c>
      <c r="AN1278">
        <v>0.99999998340894403</v>
      </c>
    </row>
    <row r="1279" spans="1:40" x14ac:dyDescent="0.25">
      <c r="A1279" t="str">
        <f>"20190312151521810"</f>
        <v>20190312151521810</v>
      </c>
      <c r="B1279" t="str">
        <f>"1552374921798591"</f>
        <v>1552374921798591</v>
      </c>
      <c r="C1279" t="s">
        <v>40</v>
      </c>
      <c r="D1279">
        <v>7.802295</v>
      </c>
      <c r="E1279">
        <v>0.51898679999999997</v>
      </c>
      <c r="F1279" t="s">
        <v>43</v>
      </c>
      <c r="G1279">
        <v>-191.14510000000001</v>
      </c>
      <c r="H1279" s="1">
        <v>-3.9868139999999996E-6</v>
      </c>
      <c r="I1279">
        <v>317.3811</v>
      </c>
      <c r="J1279">
        <v>-191.1782</v>
      </c>
      <c r="K1279">
        <v>1.1086259999999999</v>
      </c>
      <c r="L1279">
        <v>339.70359999999999</v>
      </c>
      <c r="M1279">
        <v>5.5649900000000002E-2</v>
      </c>
      <c r="N1279">
        <v>0</v>
      </c>
      <c r="O1279">
        <v>-0.99835189999999996</v>
      </c>
      <c r="P1279">
        <v>5.0817170000000002E-2</v>
      </c>
      <c r="Q1279">
        <v>-6.0996170000000002E-2</v>
      </c>
      <c r="R1279">
        <v>-0.99684379999999995</v>
      </c>
      <c r="S1279">
        <v>6.1950679999999998E-3</v>
      </c>
      <c r="T1279">
        <v>-0.14725089999999999</v>
      </c>
      <c r="U1279">
        <v>-3.000397</v>
      </c>
      <c r="V1279">
        <v>4.6224650000000001E-3</v>
      </c>
      <c r="W1279">
        <v>-4.7002929999999998E-2</v>
      </c>
      <c r="X1279">
        <v>0.99888410000000005</v>
      </c>
      <c r="Y1279">
        <v>5.3596129999999999E-2</v>
      </c>
      <c r="Z1279">
        <v>4.8868960000000003E-2</v>
      </c>
      <c r="AA1279">
        <v>0.99736619999999998</v>
      </c>
      <c r="AB1279">
        <v>26</v>
      </c>
      <c r="AC1279">
        <v>3.3099999999990297E-2</v>
      </c>
      <c r="AD1279">
        <v>-1.1086299868139999</v>
      </c>
      <c r="AE1279">
        <v>-22.322499999999899</v>
      </c>
      <c r="AF1279">
        <v>1.2063428277006101</v>
      </c>
      <c r="AG1279">
        <v>-1.1086299868139999</v>
      </c>
      <c r="AH1279">
        <v>22.2349001049569</v>
      </c>
      <c r="AI1279">
        <v>92.850213422957907</v>
      </c>
      <c r="AJ1279">
        <v>86.894492255853507</v>
      </c>
      <c r="AK1279">
        <v>22.295181231446001</v>
      </c>
      <c r="AL1279">
        <v>92.6940620045267</v>
      </c>
      <c r="AM1279">
        <v>89.734858283454201</v>
      </c>
      <c r="AN1279">
        <v>1.00000004392203</v>
      </c>
    </row>
    <row r="1280" spans="1:40" x14ac:dyDescent="0.25">
      <c r="A1280" t="str">
        <f>"20190312151521834"</f>
        <v>20190312151521834</v>
      </c>
      <c r="B1280" t="str">
        <f>"1552374921828848"</f>
        <v>1552374921828848</v>
      </c>
      <c r="C1280" t="s">
        <v>40</v>
      </c>
      <c r="D1280">
        <v>5.0487039999999999</v>
      </c>
      <c r="E1280">
        <v>0.51891830000000005</v>
      </c>
      <c r="F1280" t="s">
        <v>43</v>
      </c>
      <c r="G1280">
        <v>-191.16669999999999</v>
      </c>
      <c r="H1280" s="1">
        <v>-3.6996819999999998E-6</v>
      </c>
      <c r="I1280">
        <v>316.76150000000001</v>
      </c>
      <c r="J1280">
        <v>-191.1645</v>
      </c>
      <c r="K1280">
        <v>1.10869</v>
      </c>
      <c r="L1280">
        <v>339.42919999999998</v>
      </c>
      <c r="M1280">
        <v>5.4262999999999999E-2</v>
      </c>
      <c r="N1280">
        <v>0</v>
      </c>
      <c r="O1280">
        <v>-0.99842850000000005</v>
      </c>
      <c r="P1280">
        <v>4.9660469999999998E-2</v>
      </c>
      <c r="Q1280">
        <v>-6.0483469999999998E-2</v>
      </c>
      <c r="R1280">
        <v>-0.99693319999999996</v>
      </c>
      <c r="S1280">
        <v>1.495361E-3</v>
      </c>
      <c r="T1280">
        <v>-0.14499519999999999</v>
      </c>
      <c r="U1280">
        <v>-3.0005489999999999</v>
      </c>
      <c r="V1280">
        <v>4.4040939999999999E-3</v>
      </c>
      <c r="W1280">
        <v>-4.6496059999999999E-2</v>
      </c>
      <c r="X1280">
        <v>0.99890880000000004</v>
      </c>
      <c r="Y1280">
        <v>5.3771220000000002E-2</v>
      </c>
      <c r="Z1280">
        <v>4.8125010000000003E-2</v>
      </c>
      <c r="AA1280">
        <v>0.99739290000000003</v>
      </c>
      <c r="AB1280">
        <v>26</v>
      </c>
      <c r="AC1280">
        <v>-2.1999999999877599E-3</v>
      </c>
      <c r="AD1280">
        <v>-1.108693699682</v>
      </c>
      <c r="AE1280">
        <v>-22.6676999999999</v>
      </c>
      <c r="AF1280">
        <v>1.2293937292631001</v>
      </c>
      <c r="AG1280">
        <v>-1.108693699682</v>
      </c>
      <c r="AH1280">
        <v>22.580159640756701</v>
      </c>
      <c r="AI1280">
        <v>92.806834758269503</v>
      </c>
      <c r="AJ1280">
        <v>86.883565266175907</v>
      </c>
      <c r="AK1280">
        <v>22.640764564460302</v>
      </c>
      <c r="AL1280">
        <v>92.664988729601703</v>
      </c>
      <c r="AM1280">
        <v>89.747389988163405</v>
      </c>
      <c r="AN1280">
        <v>1.0000000351784599</v>
      </c>
    </row>
    <row r="1281" spans="1:40" x14ac:dyDescent="0.25">
      <c r="A1281" t="str">
        <f>"20190312151521858"</f>
        <v>20190312151521858</v>
      </c>
      <c r="B1281" t="str">
        <f>"1552374921849344"</f>
        <v>1552374921849344</v>
      </c>
      <c r="C1281" t="s">
        <v>40</v>
      </c>
      <c r="D1281">
        <v>5.0567039999999999</v>
      </c>
      <c r="E1281">
        <v>0.51886030000000005</v>
      </c>
      <c r="F1281" t="s">
        <v>43</v>
      </c>
      <c r="G1281">
        <v>-191.17500000000001</v>
      </c>
      <c r="H1281" s="1">
        <v>-3.1861139999999998E-6</v>
      </c>
      <c r="I1281">
        <v>315.67039999999997</v>
      </c>
      <c r="J1281">
        <v>-191.1508</v>
      </c>
      <c r="K1281">
        <v>1.10876</v>
      </c>
      <c r="L1281">
        <v>339.14830000000001</v>
      </c>
      <c r="M1281">
        <v>5.2945300000000001E-2</v>
      </c>
      <c r="N1281">
        <v>0</v>
      </c>
      <c r="O1281">
        <v>-0.99849940000000004</v>
      </c>
      <c r="P1281">
        <v>4.850057E-2</v>
      </c>
      <c r="Q1281">
        <v>-5.9762719999999998E-2</v>
      </c>
      <c r="R1281">
        <v>-0.99703410000000003</v>
      </c>
      <c r="S1281">
        <v>-1.327515E-3</v>
      </c>
      <c r="T1281">
        <v>-0.1400322</v>
      </c>
      <c r="U1281">
        <v>-3.0008240000000002</v>
      </c>
      <c r="V1281">
        <v>4.2594479999999999E-3</v>
      </c>
      <c r="W1281">
        <v>-4.5780880000000003E-2</v>
      </c>
      <c r="X1281">
        <v>0.99894240000000001</v>
      </c>
      <c r="Y1281">
        <v>5.3391719999999997E-2</v>
      </c>
      <c r="Z1281">
        <v>4.6482549999999997E-2</v>
      </c>
      <c r="AA1281">
        <v>0.99749120000000002</v>
      </c>
      <c r="AB1281">
        <v>26</v>
      </c>
      <c r="AC1281">
        <v>-2.42000000000075E-2</v>
      </c>
      <c r="AD1281">
        <v>-1.1087631861139999</v>
      </c>
      <c r="AE1281">
        <v>-23.477900000000002</v>
      </c>
      <c r="AF1281">
        <v>1.2645119754999901</v>
      </c>
      <c r="AG1281">
        <v>-1.1087631861139999</v>
      </c>
      <c r="AH1281">
        <v>23.391512839593702</v>
      </c>
      <c r="AI1281">
        <v>92.709851400260902</v>
      </c>
      <c r="AJ1281">
        <v>86.905683361096393</v>
      </c>
      <c r="AK1281">
        <v>23.451891592448099</v>
      </c>
      <c r="AL1281">
        <v>92.623968407473598</v>
      </c>
      <c r="AM1281">
        <v>89.755694708293703</v>
      </c>
      <c r="AN1281">
        <v>0.99999997519429895</v>
      </c>
    </row>
    <row r="1282" spans="1:40" x14ac:dyDescent="0.25">
      <c r="A1282" t="str">
        <f>"20190312151521888"</f>
        <v>20190312151521888</v>
      </c>
      <c r="B1282" t="str">
        <f>"1552374921878623"</f>
        <v>1552374921878623</v>
      </c>
      <c r="C1282" t="s">
        <v>40</v>
      </c>
      <c r="D1282">
        <v>5.0134420000000004</v>
      </c>
      <c r="E1282">
        <v>0.5189433</v>
      </c>
      <c r="F1282" t="s">
        <v>43</v>
      </c>
      <c r="G1282">
        <v>-191.1857</v>
      </c>
      <c r="H1282" s="1">
        <v>-2.8138489999999999E-6</v>
      </c>
      <c r="I1282">
        <v>314.8768</v>
      </c>
      <c r="J1282">
        <v>-191.13380000000001</v>
      </c>
      <c r="K1282">
        <v>1.1088370000000001</v>
      </c>
      <c r="L1282">
        <v>338.7921</v>
      </c>
      <c r="M1282">
        <v>5.1385930000000003E-2</v>
      </c>
      <c r="N1282">
        <v>0</v>
      </c>
      <c r="O1282">
        <v>-0.99858089999999999</v>
      </c>
      <c r="P1282">
        <v>4.7278069999999998E-2</v>
      </c>
      <c r="Q1282">
        <v>-5.9098110000000002E-2</v>
      </c>
      <c r="R1282">
        <v>-0.99713240000000003</v>
      </c>
      <c r="S1282">
        <v>-4.3182369999999999E-3</v>
      </c>
      <c r="T1282">
        <v>-0.13708709999999999</v>
      </c>
      <c r="U1282">
        <v>-3.0009160000000001</v>
      </c>
      <c r="V1282">
        <v>3.9362670000000002E-3</v>
      </c>
      <c r="W1282">
        <v>-4.512273E-2</v>
      </c>
      <c r="X1282">
        <v>0.99897369999999996</v>
      </c>
      <c r="Y1282">
        <v>5.2826449999999997E-2</v>
      </c>
      <c r="Z1282">
        <v>4.5511870000000003E-2</v>
      </c>
      <c r="AA1282">
        <v>0.99756599999999995</v>
      </c>
      <c r="AB1282">
        <v>26</v>
      </c>
      <c r="AC1282">
        <v>-5.1899999999989101E-2</v>
      </c>
      <c r="AD1282">
        <v>-1.1088398138490001</v>
      </c>
      <c r="AE1282">
        <v>-23.915299999999998</v>
      </c>
      <c r="AF1282">
        <v>1.2781140011995999</v>
      </c>
      <c r="AG1282">
        <v>-1.1088398138490001</v>
      </c>
      <c r="AH1282">
        <v>23.829803767803501</v>
      </c>
      <c r="AI1282">
        <v>92.660326551207106</v>
      </c>
      <c r="AJ1282">
        <v>86.929876623559807</v>
      </c>
      <c r="AK1282">
        <v>23.889802191413398</v>
      </c>
      <c r="AL1282">
        <v>92.586220102126106</v>
      </c>
      <c r="AM1282">
        <v>89.774237981497294</v>
      </c>
      <c r="AN1282">
        <v>1.0000000041261099</v>
      </c>
    </row>
    <row r="1283" spans="1:40" x14ac:dyDescent="0.25">
      <c r="A1283" t="str">
        <f>"20190312151521912"</f>
        <v>20190312151521912</v>
      </c>
      <c r="B1283" t="str">
        <f>"1552374921908880"</f>
        <v>1552374921908880</v>
      </c>
      <c r="C1283" t="s">
        <v>40</v>
      </c>
      <c r="D1283">
        <v>5.0060830000000003</v>
      </c>
      <c r="E1283">
        <v>0.51873709999999995</v>
      </c>
      <c r="F1283" t="s">
        <v>43</v>
      </c>
      <c r="G1283">
        <v>-191.20609999999999</v>
      </c>
      <c r="H1283" s="1">
        <v>-2.2372290000000001E-6</v>
      </c>
      <c r="I1283">
        <v>313.6456</v>
      </c>
      <c r="J1283">
        <v>-191.12039999999999</v>
      </c>
      <c r="K1283">
        <v>1.1088929999999999</v>
      </c>
      <c r="L1283">
        <v>338.50290000000001</v>
      </c>
      <c r="M1283">
        <v>5.0219140000000002E-2</v>
      </c>
      <c r="N1283">
        <v>0</v>
      </c>
      <c r="O1283">
        <v>-0.99864039999999998</v>
      </c>
      <c r="P1283">
        <v>4.6633800000000003E-2</v>
      </c>
      <c r="Q1283">
        <v>-5.8852559999999998E-2</v>
      </c>
      <c r="R1283">
        <v>-0.99717699999999998</v>
      </c>
      <c r="S1283">
        <v>-8.6212159999999993E-3</v>
      </c>
      <c r="T1283">
        <v>-0.13233780000000001</v>
      </c>
      <c r="U1283">
        <v>-3.0011899999999998</v>
      </c>
      <c r="V1283">
        <v>3.4225810000000001E-3</v>
      </c>
      <c r="W1283">
        <v>-4.4881810000000001E-2</v>
      </c>
      <c r="X1283">
        <v>0.99898640000000005</v>
      </c>
      <c r="Y1283">
        <v>5.3089989999999997E-2</v>
      </c>
      <c r="Z1283">
        <v>4.3937780000000003E-2</v>
      </c>
      <c r="AA1283">
        <v>0.99762260000000003</v>
      </c>
      <c r="AB1283">
        <v>26</v>
      </c>
      <c r="AC1283">
        <v>-8.5700000000002705E-2</v>
      </c>
      <c r="AD1283">
        <v>-1.108895237229</v>
      </c>
      <c r="AE1283">
        <v>-24.857299999999999</v>
      </c>
      <c r="AF1283">
        <v>1.33137651458317</v>
      </c>
      <c r="AG1283">
        <v>-1.108895237229</v>
      </c>
      <c r="AH1283">
        <v>24.7723266748425</v>
      </c>
      <c r="AI1283">
        <v>92.559358024618803</v>
      </c>
      <c r="AJ1283">
        <v>86.923626235631005</v>
      </c>
      <c r="AK1283">
        <v>24.8328488288365</v>
      </c>
      <c r="AL1283">
        <v>92.572402519782898</v>
      </c>
      <c r="AM1283">
        <v>89.803702353620096</v>
      </c>
      <c r="AN1283">
        <v>0.99999995915726803</v>
      </c>
    </row>
    <row r="1284" spans="1:40" x14ac:dyDescent="0.25">
      <c r="A1284" t="str">
        <f>"20190312151521934"</f>
        <v>20190312151521934</v>
      </c>
      <c r="B1284" t="str">
        <f>"1552374921928400"</f>
        <v>1552374921928400</v>
      </c>
      <c r="C1284" t="s">
        <v>40</v>
      </c>
      <c r="D1284">
        <v>5.0217739999999997</v>
      </c>
      <c r="E1284">
        <v>0.51857159999999902</v>
      </c>
      <c r="F1284" t="s">
        <v>43</v>
      </c>
      <c r="G1284">
        <v>-191.1943</v>
      </c>
      <c r="H1284" s="1">
        <v>-2.3576559999999999E-6</v>
      </c>
      <c r="I1284">
        <v>313.90699999999998</v>
      </c>
      <c r="J1284">
        <v>-191.1087</v>
      </c>
      <c r="K1284">
        <v>1.108954</v>
      </c>
      <c r="L1284">
        <v>338.24970000000002</v>
      </c>
      <c r="M1284">
        <v>4.9300330000000003E-2</v>
      </c>
      <c r="N1284">
        <v>0</v>
      </c>
      <c r="O1284">
        <v>-0.99868610000000002</v>
      </c>
      <c r="P1284">
        <v>4.6401249999999998E-2</v>
      </c>
      <c r="Q1284">
        <v>-5.8867929999999999E-2</v>
      </c>
      <c r="R1284">
        <v>-0.99718669999999998</v>
      </c>
      <c r="S1284">
        <v>-9.017944E-3</v>
      </c>
      <c r="T1284">
        <v>-0.13529620000000001</v>
      </c>
      <c r="U1284">
        <v>-3.0009459999999999</v>
      </c>
      <c r="V1284">
        <v>2.7434960000000002E-3</v>
      </c>
      <c r="W1284">
        <v>-4.4901099999999999E-2</v>
      </c>
      <c r="X1284">
        <v>0.99898770000000003</v>
      </c>
      <c r="Y1284">
        <v>5.2303229999999999E-2</v>
      </c>
      <c r="Z1284">
        <v>4.4925699999999902E-2</v>
      </c>
      <c r="AA1284">
        <v>0.99762019999999996</v>
      </c>
      <c r="AB1284">
        <v>26</v>
      </c>
      <c r="AC1284">
        <v>-8.5599999999999399E-2</v>
      </c>
      <c r="AD1284">
        <v>-1.108956357656</v>
      </c>
      <c r="AE1284">
        <v>-24.342700000000001</v>
      </c>
      <c r="AF1284">
        <v>1.2830536381900399</v>
      </c>
      <c r="AG1284">
        <v>-1.108956357656</v>
      </c>
      <c r="AH1284">
        <v>24.2585286255749</v>
      </c>
      <c r="AI1284">
        <v>92.613753415782597</v>
      </c>
      <c r="AJ1284">
        <v>86.972399917258102</v>
      </c>
      <c r="AK1284">
        <v>24.317734720148099</v>
      </c>
      <c r="AL1284">
        <v>92.573508687933099</v>
      </c>
      <c r="AM1284">
        <v>89.842650368234104</v>
      </c>
      <c r="AN1284">
        <v>1.0000000301514</v>
      </c>
    </row>
    <row r="1285" spans="1:40" x14ac:dyDescent="0.25">
      <c r="A1285" t="str">
        <f>"20190312151521956"</f>
        <v>20190312151521956</v>
      </c>
      <c r="B1285" t="str">
        <f>"1552374921948896"</f>
        <v>1552374921948896</v>
      </c>
      <c r="C1285" t="s">
        <v>40</v>
      </c>
      <c r="D1285">
        <v>4.9871239999999997</v>
      </c>
      <c r="E1285">
        <v>0.5183063</v>
      </c>
      <c r="F1285" t="s">
        <v>43</v>
      </c>
      <c r="G1285">
        <v>-191.17449999999999</v>
      </c>
      <c r="H1285" s="1">
        <v>-2.477875E-6</v>
      </c>
      <c r="I1285">
        <v>314.17239999999998</v>
      </c>
      <c r="J1285">
        <v>-191.0967</v>
      </c>
      <c r="K1285">
        <v>1.1090260000000001</v>
      </c>
      <c r="L1285">
        <v>337.98349999999999</v>
      </c>
      <c r="M1285">
        <v>4.8438830000000002E-2</v>
      </c>
      <c r="N1285">
        <v>0</v>
      </c>
      <c r="O1285">
        <v>-0.99872839999999996</v>
      </c>
      <c r="P1285">
        <v>4.6382689999999997E-2</v>
      </c>
      <c r="Q1285">
        <v>-5.8975319999999998E-2</v>
      </c>
      <c r="R1285">
        <v>-0.9971814</v>
      </c>
      <c r="S1285">
        <v>-8.1939700000000001E-3</v>
      </c>
      <c r="T1285">
        <v>-0.13820679999999999</v>
      </c>
      <c r="U1285">
        <v>-3.000702</v>
      </c>
      <c r="V1285">
        <v>1.90877E-3</v>
      </c>
      <c r="W1285">
        <v>-4.5012530000000002E-2</v>
      </c>
      <c r="X1285">
        <v>0.9989846</v>
      </c>
      <c r="Y1285">
        <v>5.116793E-2</v>
      </c>
      <c r="Z1285">
        <v>4.5898170000000002E-2</v>
      </c>
      <c r="AA1285">
        <v>0.99763480000000004</v>
      </c>
      <c r="AB1285">
        <v>26</v>
      </c>
      <c r="AC1285">
        <v>-7.7799999999996303E-2</v>
      </c>
      <c r="AD1285">
        <v>-1.1090284778749999</v>
      </c>
      <c r="AE1285">
        <v>-23.8111</v>
      </c>
      <c r="AF1285">
        <v>1.2285380232799801</v>
      </c>
      <c r="AG1285">
        <v>-1.1090284778749999</v>
      </c>
      <c r="AH1285">
        <v>23.727901789899601</v>
      </c>
      <c r="AI1285">
        <v>92.672449740330293</v>
      </c>
      <c r="AJ1285">
        <v>87.036095074267905</v>
      </c>
      <c r="AK1285">
        <v>23.7855538760505</v>
      </c>
      <c r="AL1285">
        <v>92.579899692999405</v>
      </c>
      <c r="AM1285">
        <v>89.890524506612294</v>
      </c>
      <c r="AN1285">
        <v>1.0000000011485299</v>
      </c>
    </row>
    <row r="1286" spans="1:40" x14ac:dyDescent="0.25">
      <c r="A1286" t="str">
        <f>"20190312151521979"</f>
        <v>20190312151521979</v>
      </c>
      <c r="B1286" t="str">
        <f>"1552374921969392"</f>
        <v>1552374921969392</v>
      </c>
      <c r="C1286" t="s">
        <v>40</v>
      </c>
      <c r="D1286">
        <v>5.008794</v>
      </c>
      <c r="E1286">
        <v>0.51811850000000004</v>
      </c>
      <c r="F1286" t="s">
        <v>43</v>
      </c>
      <c r="G1286">
        <v>-191.1463</v>
      </c>
      <c r="H1286" s="1">
        <v>-2.5385049999999998E-6</v>
      </c>
      <c r="I1286">
        <v>314.31659999999999</v>
      </c>
      <c r="J1286">
        <v>-191.08510000000001</v>
      </c>
      <c r="K1286">
        <v>1.109103</v>
      </c>
      <c r="L1286">
        <v>337.72519999999997</v>
      </c>
      <c r="M1286">
        <v>4.7683490000000002E-2</v>
      </c>
      <c r="N1286">
        <v>0</v>
      </c>
      <c r="O1286">
        <v>-0.99876480000000001</v>
      </c>
      <c r="P1286">
        <v>4.5987649999999998E-2</v>
      </c>
      <c r="Q1286">
        <v>-5.8981499999999999E-2</v>
      </c>
      <c r="R1286">
        <v>-0.99719919999999995</v>
      </c>
      <c r="S1286">
        <v>-6.286621E-3</v>
      </c>
      <c r="T1286">
        <v>-0.14060249999999999</v>
      </c>
      <c r="U1286">
        <v>-3.0004879999999998</v>
      </c>
      <c r="V1286">
        <v>1.5571750000000001E-3</v>
      </c>
      <c r="W1286">
        <v>-4.5023100000000003E-2</v>
      </c>
      <c r="X1286">
        <v>0.99898480000000001</v>
      </c>
      <c r="Y1286">
        <v>4.9778530000000001E-2</v>
      </c>
      <c r="Z1286">
        <v>4.6699579999999997E-2</v>
      </c>
      <c r="AA1286">
        <v>0.99766790000000005</v>
      </c>
      <c r="AB1286">
        <v>26</v>
      </c>
      <c r="AC1286">
        <v>-6.1199999999985197E-2</v>
      </c>
      <c r="AD1286">
        <v>-1.1091055385049999</v>
      </c>
      <c r="AE1286">
        <v>-23.4085999999999</v>
      </c>
      <c r="AF1286">
        <v>1.1748057592519101</v>
      </c>
      <c r="AG1286">
        <v>-1.1091055385049999</v>
      </c>
      <c r="AH1286">
        <v>23.326683439115399</v>
      </c>
      <c r="AI1286">
        <v>92.718731407081705</v>
      </c>
      <c r="AJ1286">
        <v>87.116838845653703</v>
      </c>
      <c r="AK1286">
        <v>23.3825670946587</v>
      </c>
      <c r="AL1286">
        <v>92.580505752712</v>
      </c>
      <c r="AM1286">
        <v>89.910689849131103</v>
      </c>
      <c r="AN1286">
        <v>1.0000000674793099</v>
      </c>
    </row>
    <row r="1287" spans="1:40" x14ac:dyDescent="0.25">
      <c r="A1287" t="str">
        <f>"20190312151522000"</f>
        <v>20190312151522000</v>
      </c>
      <c r="B1287" t="str">
        <f>"1552374921988911"</f>
        <v>1552374921988911</v>
      </c>
      <c r="C1287" t="s">
        <v>40</v>
      </c>
      <c r="D1287">
        <v>4.9674060000000004</v>
      </c>
      <c r="E1287">
        <v>0.51799229999999996</v>
      </c>
      <c r="F1287" t="s">
        <v>43</v>
      </c>
      <c r="G1287">
        <v>-191.13319999999999</v>
      </c>
      <c r="H1287" s="1">
        <v>-2.4425790000000002E-6</v>
      </c>
      <c r="I1287">
        <v>314.12099999999998</v>
      </c>
      <c r="J1287">
        <v>-191.0735</v>
      </c>
      <c r="K1287">
        <v>1.10917</v>
      </c>
      <c r="L1287">
        <v>337.46570000000003</v>
      </c>
      <c r="M1287">
        <v>4.70053E-2</v>
      </c>
      <c r="N1287">
        <v>0</v>
      </c>
      <c r="O1287">
        <v>-0.99879689999999999</v>
      </c>
      <c r="P1287">
        <v>4.6201520000000003E-2</v>
      </c>
      <c r="Q1287">
        <v>-5.899107E-2</v>
      </c>
      <c r="R1287">
        <v>-0.99718859999999998</v>
      </c>
      <c r="S1287">
        <v>-6.1187739999999996E-3</v>
      </c>
      <c r="T1287">
        <v>-0.14097870000000001</v>
      </c>
      <c r="U1287">
        <v>-3.0003359999999999</v>
      </c>
      <c r="V1287">
        <v>6.7252360000000005E-4</v>
      </c>
      <c r="W1287">
        <v>-4.5036409999999999E-2</v>
      </c>
      <c r="X1287">
        <v>0.99898509999999996</v>
      </c>
      <c r="Y1287">
        <v>4.9044619999999997E-2</v>
      </c>
      <c r="Z1287">
        <v>4.6829759999999998E-2</v>
      </c>
      <c r="AA1287">
        <v>0.99769810000000003</v>
      </c>
      <c r="AB1287">
        <v>26</v>
      </c>
      <c r="AC1287">
        <v>-5.9699999999992301E-2</v>
      </c>
      <c r="AD1287">
        <v>-1.1091724425789999</v>
      </c>
      <c r="AE1287">
        <v>-23.3447</v>
      </c>
      <c r="AF1287">
        <v>1.15445963010454</v>
      </c>
      <c r="AG1287">
        <v>-1.1091724425789999</v>
      </c>
      <c r="AH1287">
        <v>23.2635677596123</v>
      </c>
      <c r="AI1287">
        <v>92.726360780425097</v>
      </c>
      <c r="AJ1287">
        <v>87.159015029360603</v>
      </c>
      <c r="AK1287">
        <v>23.3185896968705</v>
      </c>
      <c r="AL1287">
        <v>92.581269359093</v>
      </c>
      <c r="AM1287">
        <v>89.961428095292007</v>
      </c>
      <c r="AN1287">
        <v>0.99999998026784498</v>
      </c>
    </row>
    <row r="1288" spans="1:40" x14ac:dyDescent="0.25">
      <c r="A1288" t="str">
        <f>"20190312151522023"</f>
        <v>20190312151522023</v>
      </c>
      <c r="B1288" t="str">
        <f>"1552374922019167"</f>
        <v>1552374922019167</v>
      </c>
      <c r="C1288" t="s">
        <v>40</v>
      </c>
      <c r="D1288">
        <v>5.2812239999999999</v>
      </c>
      <c r="E1288">
        <v>0.5177619</v>
      </c>
      <c r="F1288" t="s">
        <v>43</v>
      </c>
      <c r="G1288">
        <v>-191.10730000000001</v>
      </c>
      <c r="H1288" s="1">
        <v>-2.4921529999999998E-6</v>
      </c>
      <c r="I1288">
        <v>314.24040000000002</v>
      </c>
      <c r="J1288">
        <v>-191.0624</v>
      </c>
      <c r="K1288">
        <v>1.1092229999999901</v>
      </c>
      <c r="L1288">
        <v>337.21379999999999</v>
      </c>
      <c r="M1288">
        <v>4.6426519999999999E-2</v>
      </c>
      <c r="N1288">
        <v>0</v>
      </c>
      <c r="O1288">
        <v>-0.99882420000000005</v>
      </c>
      <c r="P1288">
        <v>4.6194119999999998E-2</v>
      </c>
      <c r="Q1288">
        <v>-5.9299520000000001E-2</v>
      </c>
      <c r="R1288">
        <v>-0.99717129999999998</v>
      </c>
      <c r="S1288">
        <v>-4.3640140000000003E-3</v>
      </c>
      <c r="T1288">
        <v>-0.1432803</v>
      </c>
      <c r="U1288">
        <v>-3.0001829999999998</v>
      </c>
      <c r="V1288">
        <v>1.0662079999999999E-4</v>
      </c>
      <c r="W1288">
        <v>-4.5349180000000003E-2</v>
      </c>
      <c r="X1288">
        <v>0.99897119999999995</v>
      </c>
      <c r="Y1288">
        <v>4.7882319999999999E-2</v>
      </c>
      <c r="Z1288">
        <v>4.759828E-2</v>
      </c>
      <c r="AA1288">
        <v>0.9977182</v>
      </c>
      <c r="AB1288">
        <v>26</v>
      </c>
      <c r="AC1288">
        <v>-4.4900000000012603E-2</v>
      </c>
      <c r="AD1288">
        <v>-1.10922549215299</v>
      </c>
      <c r="AE1288">
        <v>-22.973399999999899</v>
      </c>
      <c r="AF1288">
        <v>1.1089452666391699</v>
      </c>
      <c r="AG1288">
        <v>-1.10922549215299</v>
      </c>
      <c r="AH1288">
        <v>22.8931688471196</v>
      </c>
      <c r="AI1288">
        <v>92.770696297893593</v>
      </c>
      <c r="AJ1288">
        <v>87.226759740519498</v>
      </c>
      <c r="AK1288">
        <v>22.946836833419301</v>
      </c>
      <c r="AL1288">
        <v>92.599208014138597</v>
      </c>
      <c r="AM1288">
        <v>89.993884786843594</v>
      </c>
      <c r="AN1288">
        <v>1.00000000896205</v>
      </c>
    </row>
    <row r="1289" spans="1:40" x14ac:dyDescent="0.25">
      <c r="A1289" t="str">
        <f>"20190312151522046"</f>
        <v>20190312151522046</v>
      </c>
      <c r="B1289" t="str">
        <f>"1552374922038688"</f>
        <v>1552374922038688</v>
      </c>
      <c r="C1289" t="s">
        <v>40</v>
      </c>
      <c r="D1289">
        <v>4.9923279999999997</v>
      </c>
      <c r="E1289">
        <v>0.51771820000000002</v>
      </c>
      <c r="F1289" t="s">
        <v>43</v>
      </c>
      <c r="G1289">
        <v>-191.0831</v>
      </c>
      <c r="H1289" s="1">
        <v>-2.493403E-6</v>
      </c>
      <c r="I1289">
        <v>314.25670000000002</v>
      </c>
      <c r="J1289">
        <v>-191.0504</v>
      </c>
      <c r="K1289">
        <v>1.1092789999999999</v>
      </c>
      <c r="L1289">
        <v>336.94069999999999</v>
      </c>
      <c r="M1289">
        <v>4.5881730000000003E-2</v>
      </c>
      <c r="N1289">
        <v>0</v>
      </c>
      <c r="O1289">
        <v>-0.99884930000000005</v>
      </c>
      <c r="P1289">
        <v>4.6329290000000002E-2</v>
      </c>
      <c r="Q1289">
        <v>-5.9506150000000001E-2</v>
      </c>
      <c r="R1289">
        <v>-0.99715229999999999</v>
      </c>
      <c r="S1289">
        <v>-2.700806E-3</v>
      </c>
      <c r="T1289">
        <v>-0.14495350000000001</v>
      </c>
      <c r="U1289">
        <v>-3.0000309999999999</v>
      </c>
      <c r="V1289">
        <v>-5.6762499999999999E-4</v>
      </c>
      <c r="W1289">
        <v>-4.5560320000000001E-2</v>
      </c>
      <c r="X1289">
        <v>0.9989614</v>
      </c>
      <c r="Y1289">
        <v>4.6784430000000002E-2</v>
      </c>
      <c r="Z1289">
        <v>4.8158390000000002E-2</v>
      </c>
      <c r="AA1289">
        <v>0.99774339999999995</v>
      </c>
      <c r="AB1289">
        <v>26</v>
      </c>
      <c r="AC1289">
        <v>-3.2700000000005502E-2</v>
      </c>
      <c r="AD1289">
        <v>-1.109281493403</v>
      </c>
      <c r="AE1289">
        <v>-22.683999999999902</v>
      </c>
      <c r="AF1289">
        <v>1.07098707455869</v>
      </c>
      <c r="AG1289">
        <v>-1.109281493403</v>
      </c>
      <c r="AH1289">
        <v>22.6045504436984</v>
      </c>
      <c r="AI1289">
        <v>92.8063002912901</v>
      </c>
      <c r="AJ1289">
        <v>87.287396386633006</v>
      </c>
      <c r="AK1289">
        <v>22.657078794654598</v>
      </c>
      <c r="AL1289">
        <v>92.6113180588451</v>
      </c>
      <c r="AM1289">
        <v>90.032556326346395</v>
      </c>
      <c r="AN1289">
        <v>0.99999997182330103</v>
      </c>
    </row>
    <row r="1290" spans="1:40" x14ac:dyDescent="0.25">
      <c r="A1290" t="str">
        <f>"20190312151522068"</f>
        <v>20190312151522068</v>
      </c>
      <c r="B1290" t="str">
        <f>"1552374922059183"</f>
        <v>1552374922059183</v>
      </c>
      <c r="C1290" t="s">
        <v>40</v>
      </c>
      <c r="D1290">
        <v>5.0261839999999998</v>
      </c>
      <c r="E1290">
        <v>0.51759359999999999</v>
      </c>
      <c r="F1290" t="s">
        <v>43</v>
      </c>
      <c r="G1290">
        <v>-191.06360000000001</v>
      </c>
      <c r="H1290" s="1">
        <v>-2.3084330000000001E-6</v>
      </c>
      <c r="I1290">
        <v>313.87639999999999</v>
      </c>
      <c r="J1290">
        <v>-191.03919999999999</v>
      </c>
      <c r="K1290">
        <v>1.109324</v>
      </c>
      <c r="L1290">
        <v>336.68490000000003</v>
      </c>
      <c r="M1290">
        <v>4.5435589999999998E-2</v>
      </c>
      <c r="N1290">
        <v>0</v>
      </c>
      <c r="O1290">
        <v>-0.99887000000000004</v>
      </c>
      <c r="P1290">
        <v>4.707861E-2</v>
      </c>
      <c r="Q1290">
        <v>-5.9259119999999998E-2</v>
      </c>
      <c r="R1290">
        <v>-0.99713209999999997</v>
      </c>
      <c r="S1290">
        <v>-1.7242430000000001E-3</v>
      </c>
      <c r="T1290">
        <v>-0.14428659999999999</v>
      </c>
      <c r="U1290">
        <v>-3.0000309999999999</v>
      </c>
      <c r="V1290">
        <v>-1.7580219999999999E-3</v>
      </c>
      <c r="W1290">
        <v>-4.5316799999999997E-2</v>
      </c>
      <c r="X1290">
        <v>0.9989711</v>
      </c>
      <c r="Y1290">
        <v>4.6013459999999999E-2</v>
      </c>
      <c r="Z1290">
        <v>4.7939679999999998E-2</v>
      </c>
      <c r="AA1290">
        <v>0.99778990000000001</v>
      </c>
      <c r="AB1290">
        <v>26</v>
      </c>
      <c r="AC1290">
        <v>-2.4400000000014101E-2</v>
      </c>
      <c r="AD1290">
        <v>-1.1093263084330001</v>
      </c>
      <c r="AE1290">
        <v>-22.808499999999999</v>
      </c>
      <c r="AF1290">
        <v>1.0582897652385299</v>
      </c>
      <c r="AG1290">
        <v>-1.1093263084330001</v>
      </c>
      <c r="AH1290">
        <v>22.7300634892398</v>
      </c>
      <c r="AI1290">
        <v>92.791048450138902</v>
      </c>
      <c r="AJ1290">
        <v>87.334289018594504</v>
      </c>
      <c r="AK1290">
        <v>22.781711268266601</v>
      </c>
      <c r="AL1290">
        <v>92.597350940687207</v>
      </c>
      <c r="AM1290">
        <v>90.100830881801102</v>
      </c>
      <c r="AN1290">
        <v>0.999999980819401</v>
      </c>
    </row>
    <row r="1291" spans="1:40" x14ac:dyDescent="0.25">
      <c r="A1291" t="str">
        <f>"20190312151522090"</f>
        <v>20190312151522090</v>
      </c>
      <c r="B1291" t="str">
        <f>"1552374922078703"</f>
        <v>1552374922078703</v>
      </c>
      <c r="C1291" t="s">
        <v>40</v>
      </c>
      <c r="D1291">
        <v>4.9984570000000001</v>
      </c>
      <c r="E1291">
        <v>0.51740989999999998</v>
      </c>
      <c r="F1291" t="s">
        <v>43</v>
      </c>
      <c r="G1291">
        <v>-191.02969999999999</v>
      </c>
      <c r="H1291" s="1">
        <v>-2.087856E-6</v>
      </c>
      <c r="I1291">
        <v>313.42880000000002</v>
      </c>
      <c r="J1291">
        <v>-191.0282</v>
      </c>
      <c r="K1291">
        <v>1.109361</v>
      </c>
      <c r="L1291">
        <v>336.4314</v>
      </c>
      <c r="M1291">
        <v>4.5038040000000001E-2</v>
      </c>
      <c r="N1291">
        <v>0</v>
      </c>
      <c r="O1291">
        <v>-0.99888770000000005</v>
      </c>
      <c r="P1291">
        <v>4.7612660000000001E-2</v>
      </c>
      <c r="Q1291">
        <v>-5.9306789999999998E-2</v>
      </c>
      <c r="R1291">
        <v>-0.99710359999999998</v>
      </c>
      <c r="S1291">
        <v>1.2207030000000001E-3</v>
      </c>
      <c r="T1291">
        <v>-0.14310599999999901</v>
      </c>
      <c r="U1291">
        <v>-3.000092</v>
      </c>
      <c r="V1291">
        <v>-2.685939E-3</v>
      </c>
      <c r="W1291">
        <v>-4.5368319999999997E-2</v>
      </c>
      <c r="X1291">
        <v>0.99896669999999999</v>
      </c>
      <c r="Y1291">
        <v>4.4636380000000003E-2</v>
      </c>
      <c r="Z1291">
        <v>4.755011E-2</v>
      </c>
      <c r="AA1291">
        <v>0.99787099999999995</v>
      </c>
      <c r="AB1291">
        <v>26</v>
      </c>
      <c r="AC1291">
        <v>-1.4999999999929499E-3</v>
      </c>
      <c r="AD1291">
        <v>-1.1093630878559999</v>
      </c>
      <c r="AE1291">
        <v>-23.002599999999902</v>
      </c>
      <c r="AF1291">
        <v>1.0351837403799899</v>
      </c>
      <c r="AG1291">
        <v>-1.1093630878559999</v>
      </c>
      <c r="AH1291">
        <v>22.9258629405509</v>
      </c>
      <c r="AI1291">
        <v>92.767517892784895</v>
      </c>
      <c r="AJ1291">
        <v>87.4146491362566</v>
      </c>
      <c r="AK1291">
        <v>22.976019746813598</v>
      </c>
      <c r="AL1291">
        <v>92.600305852203405</v>
      </c>
      <c r="AM1291">
        <v>90.154051779593999</v>
      </c>
      <c r="AN1291">
        <v>0.99999998321841099</v>
      </c>
    </row>
    <row r="1292" spans="1:40" x14ac:dyDescent="0.25">
      <c r="A1292" t="str">
        <f>"20190312151522111"</f>
        <v>20190312151522111</v>
      </c>
      <c r="B1292" t="str">
        <f>"1552374922108959"</f>
        <v>1552374922108959</v>
      </c>
      <c r="C1292" t="s">
        <v>40</v>
      </c>
      <c r="D1292">
        <v>4.9607109999999999</v>
      </c>
      <c r="E1292">
        <v>0.51730370000000003</v>
      </c>
      <c r="F1292" t="s">
        <v>43</v>
      </c>
      <c r="G1292">
        <v>-190.99260000000001</v>
      </c>
      <c r="H1292" s="1">
        <v>-1.9154349999999998E-6</v>
      </c>
      <c r="I1292">
        <v>313.08499999999998</v>
      </c>
      <c r="J1292">
        <v>-191.01730000000001</v>
      </c>
      <c r="K1292">
        <v>1.109389</v>
      </c>
      <c r="L1292">
        <v>336.18150000000003</v>
      </c>
      <c r="M1292">
        <v>4.4674289999999998E-2</v>
      </c>
      <c r="N1292">
        <v>0</v>
      </c>
      <c r="O1292">
        <v>-0.99890429999999997</v>
      </c>
      <c r="P1292">
        <v>4.8403769999999999E-2</v>
      </c>
      <c r="Q1292">
        <v>-5.9031550000000002E-2</v>
      </c>
      <c r="R1292">
        <v>-0.99708189999999997</v>
      </c>
      <c r="S1292">
        <v>4.5623779999999997E-3</v>
      </c>
      <c r="T1292">
        <v>-0.1425536</v>
      </c>
      <c r="U1292">
        <v>-3.0000309999999999</v>
      </c>
      <c r="V1292">
        <v>-3.8373080000000002E-3</v>
      </c>
      <c r="W1292">
        <v>-4.5096360000000002E-2</v>
      </c>
      <c r="X1292">
        <v>0.99897530000000001</v>
      </c>
      <c r="Y1292">
        <v>4.316101E-2</v>
      </c>
      <c r="Z1292">
        <v>4.737061E-2</v>
      </c>
      <c r="AA1292">
        <v>0.99794450000000001</v>
      </c>
      <c r="AB1292">
        <v>26</v>
      </c>
      <c r="AC1292">
        <v>2.4699999999995701E-2</v>
      </c>
      <c r="AD1292">
        <v>-1.1093909154349999</v>
      </c>
      <c r="AE1292">
        <v>-23.096499999999999</v>
      </c>
      <c r="AF1292">
        <v>1.0049261970310199</v>
      </c>
      <c r="AG1292">
        <v>-1.1093909154349999</v>
      </c>
      <c r="AH1292">
        <v>23.0214257098731</v>
      </c>
      <c r="AI1292">
        <v>92.756299747052097</v>
      </c>
      <c r="AJ1292">
        <v>87.500524030455097</v>
      </c>
      <c r="AK1292">
        <v>23.0700382873531</v>
      </c>
      <c r="AL1292">
        <v>92.584707610282607</v>
      </c>
      <c r="AM1292">
        <v>90.220085993855307</v>
      </c>
      <c r="AN1292">
        <v>1.00000002831401</v>
      </c>
    </row>
    <row r="1293" spans="1:40" x14ac:dyDescent="0.25">
      <c r="A1293" t="str">
        <f>"20190312151522136"</f>
        <v>20190312151522136</v>
      </c>
      <c r="B1293" t="str">
        <f>"1552374922128480"</f>
        <v>1552374922128480</v>
      </c>
      <c r="C1293" t="s">
        <v>40</v>
      </c>
      <c r="D1293">
        <v>4.9463470000000003</v>
      </c>
      <c r="E1293">
        <v>0.51717869999999999</v>
      </c>
      <c r="F1293" t="s">
        <v>43</v>
      </c>
      <c r="G1293">
        <v>-190.95650000000001</v>
      </c>
      <c r="H1293" s="1">
        <v>-1.6306159999999999E-6</v>
      </c>
      <c r="I1293">
        <v>312.5027</v>
      </c>
      <c r="J1293">
        <v>-191.00530000000001</v>
      </c>
      <c r="K1293">
        <v>1.109407</v>
      </c>
      <c r="L1293">
        <v>335.90100000000001</v>
      </c>
      <c r="M1293">
        <v>4.4285199999999997E-2</v>
      </c>
      <c r="N1293">
        <v>0</v>
      </c>
      <c r="O1293">
        <v>-0.99892170000000002</v>
      </c>
      <c r="P1293">
        <v>4.878934E-2</v>
      </c>
      <c r="Q1293">
        <v>-5.9133680000000001E-2</v>
      </c>
      <c r="R1293">
        <v>-0.99705719999999998</v>
      </c>
      <c r="S1293">
        <v>7.7056879999999996E-3</v>
      </c>
      <c r="T1293">
        <v>-0.1405594</v>
      </c>
      <c r="U1293">
        <v>-3.000092</v>
      </c>
      <c r="V1293">
        <v>-4.6103990000000003E-3</v>
      </c>
      <c r="W1293">
        <v>-4.5202520000000003E-2</v>
      </c>
      <c r="X1293">
        <v>0.99896719999999894</v>
      </c>
      <c r="Y1293">
        <v>4.1726199999999901E-2</v>
      </c>
      <c r="Z1293">
        <v>4.671107E-2</v>
      </c>
      <c r="AA1293">
        <v>0.99803660000000005</v>
      </c>
      <c r="AB1293">
        <v>26</v>
      </c>
      <c r="AC1293">
        <v>4.8799999999999899E-2</v>
      </c>
      <c r="AD1293">
        <v>-1.109408630616</v>
      </c>
      <c r="AE1293">
        <v>-23.398299999999999</v>
      </c>
      <c r="AF1293">
        <v>0.98533183150578196</v>
      </c>
      <c r="AG1293">
        <v>-1.109408630616</v>
      </c>
      <c r="AH1293">
        <v>23.325064767823701</v>
      </c>
      <c r="AI1293">
        <v>92.720680656401896</v>
      </c>
      <c r="AJ1293">
        <v>87.581065257618107</v>
      </c>
      <c r="AK1293">
        <v>23.372212405996901</v>
      </c>
      <c r="AL1293">
        <v>92.590796425103093</v>
      </c>
      <c r="AM1293">
        <v>90.264427629962796</v>
      </c>
      <c r="AN1293">
        <v>0.99999999513456395</v>
      </c>
    </row>
    <row r="1294" spans="1:40" x14ac:dyDescent="0.25">
      <c r="A1294" t="str">
        <f>"20190312151522158"</f>
        <v>20190312151522158</v>
      </c>
      <c r="B1294" t="str">
        <f>"1552374922148976"</f>
        <v>1552374922148976</v>
      </c>
      <c r="C1294" t="s">
        <v>40</v>
      </c>
      <c r="D1294">
        <v>4.9566530000000002</v>
      </c>
      <c r="E1294">
        <v>0.51712539999999996</v>
      </c>
      <c r="F1294" t="s">
        <v>43</v>
      </c>
      <c r="G1294">
        <v>-190.92830000000001</v>
      </c>
      <c r="H1294" s="1">
        <v>-1.611086E-6</v>
      </c>
      <c r="I1294">
        <v>312.47730000000001</v>
      </c>
      <c r="J1294">
        <v>-190.99420000000001</v>
      </c>
      <c r="K1294">
        <v>1.109416</v>
      </c>
      <c r="L1294">
        <v>335.6422</v>
      </c>
      <c r="M1294">
        <v>4.3933590000000002E-2</v>
      </c>
      <c r="N1294">
        <v>0</v>
      </c>
      <c r="O1294">
        <v>-0.99893719999999997</v>
      </c>
      <c r="P1294">
        <v>4.8964319999999999E-2</v>
      </c>
      <c r="Q1294">
        <v>-5.9648E-2</v>
      </c>
      <c r="R1294">
        <v>-0.99701790000000001</v>
      </c>
      <c r="S1294">
        <v>9.8571779999999994E-3</v>
      </c>
      <c r="T1294">
        <v>-0.1420836</v>
      </c>
      <c r="U1294">
        <v>-2.999908</v>
      </c>
      <c r="V1294">
        <v>-5.1380660000000002E-3</v>
      </c>
      <c r="W1294">
        <v>-4.5720950000000003E-2</v>
      </c>
      <c r="X1294">
        <v>0.99894110000000003</v>
      </c>
      <c r="Y1294">
        <v>4.0658640000000003E-2</v>
      </c>
      <c r="Z1294">
        <v>4.7221440000000003E-2</v>
      </c>
      <c r="AA1294">
        <v>0.99805659999999896</v>
      </c>
      <c r="AB1294">
        <v>26</v>
      </c>
      <c r="AC1294">
        <v>6.5899999999999098E-2</v>
      </c>
      <c r="AD1294">
        <v>-1.1094176110859999</v>
      </c>
      <c r="AE1294">
        <v>-23.1648999999999</v>
      </c>
      <c r="AF1294">
        <v>0.94980124710081804</v>
      </c>
      <c r="AG1294">
        <v>-1.1094176110859999</v>
      </c>
      <c r="AH1294">
        <v>23.0924585267636</v>
      </c>
      <c r="AI1294">
        <v>92.748193104258206</v>
      </c>
      <c r="AJ1294">
        <v>87.644731220657903</v>
      </c>
      <c r="AK1294">
        <v>23.138594828880102</v>
      </c>
      <c r="AL1294">
        <v>92.620530841414705</v>
      </c>
      <c r="AM1294">
        <v>90.294698957331306</v>
      </c>
      <c r="AN1294">
        <v>1.00000006313016</v>
      </c>
    </row>
    <row r="1295" spans="1:40" x14ac:dyDescent="0.25">
      <c r="A1295" t="str">
        <f>"20190312151522180"</f>
        <v>20190312151522180</v>
      </c>
      <c r="B1295" t="str">
        <f>"1552374922168500"</f>
        <v>1552374922168500</v>
      </c>
      <c r="C1295" t="s">
        <v>40</v>
      </c>
      <c r="D1295">
        <v>4.9348020000000004</v>
      </c>
      <c r="E1295">
        <v>0.51715270000000002</v>
      </c>
      <c r="F1295" t="s">
        <v>43</v>
      </c>
      <c r="G1295">
        <v>-190.91329999999999</v>
      </c>
      <c r="H1295" s="1">
        <v>-1.7788839999999901E-6</v>
      </c>
      <c r="I1295">
        <v>312.8408</v>
      </c>
      <c r="J1295">
        <v>-190.9838</v>
      </c>
      <c r="K1295">
        <v>1.109416</v>
      </c>
      <c r="L1295">
        <v>335.39609999999999</v>
      </c>
      <c r="M1295">
        <v>4.3598650000000003E-2</v>
      </c>
      <c r="N1295">
        <v>0</v>
      </c>
      <c r="O1295">
        <v>-0.99895199999999995</v>
      </c>
      <c r="P1295">
        <v>4.9487870000000003E-2</v>
      </c>
      <c r="Q1295">
        <v>-5.9946579999999999E-2</v>
      </c>
      <c r="R1295">
        <v>-0.99697429999999998</v>
      </c>
      <c r="S1295">
        <v>1.0650629999999999E-2</v>
      </c>
      <c r="T1295">
        <v>-0.14595459999999999</v>
      </c>
      <c r="U1295">
        <v>-2.9997560000000001</v>
      </c>
      <c r="V1295">
        <v>-5.9987130000000001E-3</v>
      </c>
      <c r="W1295">
        <v>-4.6022760000000003E-2</v>
      </c>
      <c r="X1295">
        <v>0.99892239999999999</v>
      </c>
      <c r="Y1295">
        <v>4.0059659999999997E-2</v>
      </c>
      <c r="Z1295">
        <v>4.8509049999999998E-2</v>
      </c>
      <c r="AA1295">
        <v>0.99801910000000005</v>
      </c>
      <c r="AB1295">
        <v>26</v>
      </c>
      <c r="AC1295">
        <v>7.0500000000009694E-2</v>
      </c>
      <c r="AD1295">
        <v>-1.1094177788840001</v>
      </c>
      <c r="AE1295">
        <v>-22.5552999999999</v>
      </c>
      <c r="AF1295">
        <v>0.91083952167080395</v>
      </c>
      <c r="AG1295">
        <v>-1.1094177788840001</v>
      </c>
      <c r="AH1295">
        <v>22.4825307388083</v>
      </c>
      <c r="AI1295">
        <v>92.822701061792202</v>
      </c>
      <c r="AJ1295">
        <v>87.680032684356405</v>
      </c>
      <c r="AK1295">
        <v>22.5283071903728</v>
      </c>
      <c r="AL1295">
        <v>92.637841615537198</v>
      </c>
      <c r="AM1295">
        <v>90.344067573174897</v>
      </c>
      <c r="AN1295">
        <v>1.00000002010871</v>
      </c>
    </row>
    <row r="1296" spans="1:40" x14ac:dyDescent="0.25">
      <c r="A1296" t="str">
        <f>"20190312151522312"</f>
        <v>20190312151522312</v>
      </c>
      <c r="B1296" t="str">
        <f>"1552374922309040"</f>
        <v>1552374922309040</v>
      </c>
      <c r="C1296" t="s">
        <v>40</v>
      </c>
      <c r="D1296">
        <v>4.8291230000000001</v>
      </c>
      <c r="E1296">
        <v>0.51884070000000004</v>
      </c>
      <c r="F1296" t="s">
        <v>43</v>
      </c>
      <c r="G1296">
        <v>-190.8929</v>
      </c>
      <c r="H1296" s="1">
        <v>-1.80185E-6</v>
      </c>
      <c r="I1296">
        <v>312.9008</v>
      </c>
      <c r="J1296">
        <v>-190.92099999999999</v>
      </c>
      <c r="K1296">
        <v>1.10941</v>
      </c>
      <c r="L1296">
        <v>333.8655</v>
      </c>
      <c r="M1296">
        <v>4.1384579999999997E-2</v>
      </c>
      <c r="N1296">
        <v>0</v>
      </c>
      <c r="O1296">
        <v>-0.9990464</v>
      </c>
      <c r="P1296">
        <v>4.7439500000000002E-2</v>
      </c>
      <c r="Q1296">
        <v>-5.8204690000000003E-2</v>
      </c>
      <c r="R1296">
        <v>-0.99717710000000004</v>
      </c>
      <c r="S1296">
        <v>1.2130739999999999E-2</v>
      </c>
      <c r="T1296">
        <v>-0.1479338</v>
      </c>
      <c r="U1296">
        <v>-2.999603</v>
      </c>
      <c r="V1296">
        <v>-6.1563809999999998E-3</v>
      </c>
      <c r="W1296">
        <v>-4.4298709999999998E-2</v>
      </c>
      <c r="X1296">
        <v>0.99899939999999998</v>
      </c>
      <c r="Y1296">
        <v>3.7352509999999998E-2</v>
      </c>
      <c r="Z1296">
        <v>4.9177270000000002E-2</v>
      </c>
      <c r="AA1296">
        <v>0.99809139999999996</v>
      </c>
      <c r="AB1296">
        <v>26</v>
      </c>
      <c r="AC1296">
        <v>2.80999999999949E-2</v>
      </c>
      <c r="AD1296">
        <v>-1.1094118018500001</v>
      </c>
      <c r="AE1296">
        <v>-20.964700000000001</v>
      </c>
      <c r="AF1296">
        <v>0.83727873558229304</v>
      </c>
      <c r="AG1296">
        <v>-1.1094118018500001</v>
      </c>
      <c r="AH1296">
        <v>20.8894019135621</v>
      </c>
      <c r="AI1296">
        <v>93.037621586565194</v>
      </c>
      <c r="AJ1296">
        <v>87.704727352796098</v>
      </c>
      <c r="AK1296">
        <v>20.935590331621199</v>
      </c>
      <c r="AL1296">
        <v>92.538959882944098</v>
      </c>
      <c r="AM1296">
        <v>90.353083478538295</v>
      </c>
      <c r="AN1296">
        <v>1.0000000389675101</v>
      </c>
    </row>
    <row r="1297" spans="1:40" x14ac:dyDescent="0.25">
      <c r="A1297" t="str">
        <f>"20190312151522336"</f>
        <v>20190312151522336</v>
      </c>
      <c r="B1297" t="str">
        <f>"1552374922328560"</f>
        <v>1552374922328560</v>
      </c>
      <c r="C1297" t="s">
        <v>40</v>
      </c>
      <c r="D1297">
        <v>4.8158570000000003</v>
      </c>
      <c r="E1297">
        <v>0.51941809999999999</v>
      </c>
      <c r="F1297" t="s">
        <v>43</v>
      </c>
      <c r="G1297">
        <v>-190.97989999999999</v>
      </c>
      <c r="H1297" s="1">
        <v>-7.8237090000000002E-7</v>
      </c>
      <c r="I1297">
        <v>310.6952</v>
      </c>
      <c r="J1297">
        <v>-190.91050000000001</v>
      </c>
      <c r="K1297">
        <v>1.109415</v>
      </c>
      <c r="L1297">
        <v>333.6026</v>
      </c>
      <c r="M1297">
        <v>4.0994700000000002E-2</v>
      </c>
      <c r="N1297">
        <v>0</v>
      </c>
      <c r="O1297">
        <v>-0.99906269999999997</v>
      </c>
      <c r="P1297">
        <v>4.6842300000000003E-2</v>
      </c>
      <c r="Q1297">
        <v>-5.761003E-2</v>
      </c>
      <c r="R1297">
        <v>-0.99724000000000002</v>
      </c>
      <c r="S1297">
        <v>-7.6293949999999998E-3</v>
      </c>
      <c r="T1297">
        <v>-0.14366409999999999</v>
      </c>
      <c r="U1297">
        <v>-3.0004580000000001</v>
      </c>
      <c r="V1297">
        <v>-5.9469369999999898E-3</v>
      </c>
      <c r="W1297">
        <v>-4.3706660000000001E-2</v>
      </c>
      <c r="X1297">
        <v>0.99902670000000005</v>
      </c>
      <c r="Y1297">
        <v>4.3536199999999997E-2</v>
      </c>
      <c r="Z1297">
        <v>4.7742899999999998E-2</v>
      </c>
      <c r="AA1297">
        <v>0.99791039999999998</v>
      </c>
      <c r="AB1297">
        <v>26</v>
      </c>
      <c r="AC1297">
        <v>-6.9399999999973205E-2</v>
      </c>
      <c r="AD1297">
        <v>-1.1094157823708899</v>
      </c>
      <c r="AE1297">
        <v>-22.907399999999999</v>
      </c>
      <c r="AF1297">
        <v>1.0061544247090499</v>
      </c>
      <c r="AG1297">
        <v>-1.1094157823708899</v>
      </c>
      <c r="AH1297">
        <v>22.8317426214821</v>
      </c>
      <c r="AI1297">
        <v>92.779174577259894</v>
      </c>
      <c r="AJ1297">
        <v>87.476709134584695</v>
      </c>
      <c r="AK1297">
        <v>22.880813386724999</v>
      </c>
      <c r="AL1297">
        <v>92.505005145118901</v>
      </c>
      <c r="AM1297">
        <v>90.341062322532693</v>
      </c>
      <c r="AN1297">
        <v>0.99999999275046303</v>
      </c>
    </row>
    <row r="1298" spans="1:40" x14ac:dyDescent="0.25">
      <c r="A1298" t="str">
        <f>"20190312151522357"</f>
        <v>20190312151522357</v>
      </c>
      <c r="B1298" t="str">
        <f>"1552374922349056"</f>
        <v>1552374922349056</v>
      </c>
      <c r="C1298" t="s">
        <v>40</v>
      </c>
      <c r="D1298">
        <v>4.8477209999999999</v>
      </c>
      <c r="E1298">
        <v>0.52004359999999905</v>
      </c>
      <c r="F1298" t="s">
        <v>43</v>
      </c>
      <c r="G1298">
        <v>-191.02289999999999</v>
      </c>
      <c r="H1298" s="1">
        <v>-4.3942089999999998E-6</v>
      </c>
      <c r="I1298">
        <v>309.36619999999999</v>
      </c>
      <c r="J1298">
        <v>-190.9007</v>
      </c>
      <c r="K1298">
        <v>1.1094109999999999</v>
      </c>
      <c r="L1298">
        <v>333.35430000000002</v>
      </c>
      <c r="M1298">
        <v>4.0626799999999998E-2</v>
      </c>
      <c r="N1298">
        <v>0</v>
      </c>
      <c r="O1298">
        <v>-0.99907769999999996</v>
      </c>
      <c r="P1298">
        <v>4.6208020000000002E-2</v>
      </c>
      <c r="Q1298">
        <v>-5.6513189999999998E-2</v>
      </c>
      <c r="R1298">
        <v>-0.9973322</v>
      </c>
      <c r="S1298">
        <v>-1.3916019999999999E-2</v>
      </c>
      <c r="T1298">
        <v>-0.13737379999999999</v>
      </c>
      <c r="U1298">
        <v>-3.0010680000000001</v>
      </c>
      <c r="V1298">
        <v>-5.6766259999999997E-3</v>
      </c>
      <c r="W1298">
        <v>-4.2611780000000002E-2</v>
      </c>
      <c r="X1298">
        <v>0.99907559999999995</v>
      </c>
      <c r="Y1298">
        <v>4.5258569999999998E-2</v>
      </c>
      <c r="Z1298">
        <v>4.5646800000000001E-2</v>
      </c>
      <c r="AA1298">
        <v>0.99793189999999998</v>
      </c>
      <c r="AB1298">
        <v>26</v>
      </c>
      <c r="AC1298">
        <v>-0.122199999999992</v>
      </c>
      <c r="AD1298">
        <v>-1.1094153942089999</v>
      </c>
      <c r="AE1298">
        <v>-23.988099999999999</v>
      </c>
      <c r="AF1298">
        <v>1.09441218346499</v>
      </c>
      <c r="AG1298">
        <v>-1.1094153942089999</v>
      </c>
      <c r="AH1298">
        <v>23.912181132730101</v>
      </c>
      <c r="AI1298">
        <v>92.653582371715601</v>
      </c>
      <c r="AJ1298">
        <v>87.379516710162804</v>
      </c>
      <c r="AK1298">
        <v>23.962907734010901</v>
      </c>
      <c r="AL1298">
        <v>92.442214561142094</v>
      </c>
      <c r="AM1298">
        <v>90.325544144689104</v>
      </c>
      <c r="AN1298">
        <v>1.0000000211964299</v>
      </c>
    </row>
    <row r="1299" spans="1:40" x14ac:dyDescent="0.25">
      <c r="A1299" t="str">
        <f>"20190312151522379"</f>
        <v>20190312151522379</v>
      </c>
      <c r="B1299" t="str">
        <f>"1552374922368576"</f>
        <v>1552374922368576</v>
      </c>
      <c r="C1299" t="s">
        <v>40</v>
      </c>
      <c r="D1299">
        <v>4.8662890000000001</v>
      </c>
      <c r="E1299">
        <v>0.52064979999999905</v>
      </c>
      <c r="F1299" t="s">
        <v>43</v>
      </c>
      <c r="G1299">
        <v>-191.08019999999999</v>
      </c>
      <c r="H1299" s="1">
        <v>-3.7563590000000001E-6</v>
      </c>
      <c r="I1299">
        <v>307.67529999999999</v>
      </c>
      <c r="J1299">
        <v>-190.89099999999999</v>
      </c>
      <c r="K1299">
        <v>1.109415</v>
      </c>
      <c r="L1299">
        <v>333.10430000000002</v>
      </c>
      <c r="M1299">
        <v>4.0256840000000002E-2</v>
      </c>
      <c r="N1299">
        <v>0</v>
      </c>
      <c r="O1299">
        <v>-0.99909269999999994</v>
      </c>
      <c r="P1299">
        <v>4.6126130000000001E-2</v>
      </c>
      <c r="Q1299">
        <v>-5.5872600000000001E-2</v>
      </c>
      <c r="R1299">
        <v>-0.99737209999999998</v>
      </c>
      <c r="S1299">
        <v>-2.0980829999999999E-2</v>
      </c>
      <c r="T1299">
        <v>-0.12968089999999999</v>
      </c>
      <c r="U1299">
        <v>-3.0016479999999999</v>
      </c>
      <c r="V1299">
        <v>-5.9616720000000003E-3</v>
      </c>
      <c r="W1299">
        <v>-4.1973249999999997E-2</v>
      </c>
      <c r="X1299">
        <v>0.99910089999999996</v>
      </c>
      <c r="Y1299">
        <v>4.7237170000000002E-2</v>
      </c>
      <c r="Z1299">
        <v>4.3085869999999998E-2</v>
      </c>
      <c r="AA1299">
        <v>0.99795400000000001</v>
      </c>
      <c r="AB1299">
        <v>26</v>
      </c>
      <c r="AC1299">
        <v>-0.18919999999999901</v>
      </c>
      <c r="AD1299">
        <v>-1.1094187563589999</v>
      </c>
      <c r="AE1299">
        <v>-25.428999999999998</v>
      </c>
      <c r="AF1299">
        <v>1.2105326538990799</v>
      </c>
      <c r="AG1299">
        <v>-1.1094187563589999</v>
      </c>
      <c r="AH1299">
        <v>25.3525114812726</v>
      </c>
      <c r="AI1299">
        <v>92.502800831001196</v>
      </c>
      <c r="AJ1299">
        <v>87.266315230191097</v>
      </c>
      <c r="AK1299">
        <v>25.405630039248798</v>
      </c>
      <c r="AL1299">
        <v>92.405596891174</v>
      </c>
      <c r="AM1299">
        <v>90.341881976583494</v>
      </c>
      <c r="AN1299">
        <v>0.99999995181470203</v>
      </c>
    </row>
    <row r="1300" spans="1:40" x14ac:dyDescent="0.25">
      <c r="A1300" t="str">
        <f>"20190312151522401"</f>
        <v>20190312151522401</v>
      </c>
      <c r="B1300" t="str">
        <f>"1552374922398832"</f>
        <v>1552374922398832</v>
      </c>
      <c r="C1300" t="s">
        <v>40</v>
      </c>
      <c r="D1300">
        <v>5.2037490000000002</v>
      </c>
      <c r="E1300">
        <v>0.52149259999999997</v>
      </c>
      <c r="F1300" t="s">
        <v>43</v>
      </c>
      <c r="G1300">
        <v>-191.12299999999999</v>
      </c>
      <c r="H1300" s="1">
        <v>-3.146389E-6</v>
      </c>
      <c r="I1300">
        <v>306.2269</v>
      </c>
      <c r="J1300">
        <v>-190.88130000000001</v>
      </c>
      <c r="K1300">
        <v>1.109418</v>
      </c>
      <c r="L1300">
        <v>332.85180000000003</v>
      </c>
      <c r="M1300">
        <v>3.9883620000000002E-2</v>
      </c>
      <c r="N1300">
        <v>0</v>
      </c>
      <c r="O1300">
        <v>-0.99910750000000004</v>
      </c>
      <c r="P1300">
        <v>4.5536220000000002E-2</v>
      </c>
      <c r="Q1300">
        <v>-5.4579419999999997E-2</v>
      </c>
      <c r="R1300">
        <v>-0.99747059999999999</v>
      </c>
      <c r="S1300">
        <v>-2.5909419999999999E-2</v>
      </c>
      <c r="T1300">
        <v>-0.1239218</v>
      </c>
      <c r="U1300">
        <v>-3.0021969999999998</v>
      </c>
      <c r="V1300">
        <v>-5.740925E-3</v>
      </c>
      <c r="W1300">
        <v>-4.0682009999999998E-2</v>
      </c>
      <c r="X1300">
        <v>0.99915560000000003</v>
      </c>
      <c r="Y1300">
        <v>4.8501629999999997E-2</v>
      </c>
      <c r="Z1300">
        <v>4.116765E-2</v>
      </c>
      <c r="AA1300">
        <v>0.99797429999999998</v>
      </c>
      <c r="AB1300">
        <v>26</v>
      </c>
      <c r="AC1300">
        <v>-0.24169999999997999</v>
      </c>
      <c r="AD1300">
        <v>-1.109421146389</v>
      </c>
      <c r="AE1300">
        <v>-26.6249</v>
      </c>
      <c r="AF1300">
        <v>1.3012486665508001</v>
      </c>
      <c r="AG1300">
        <v>-1.109421146389</v>
      </c>
      <c r="AH1300">
        <v>26.547979885292701</v>
      </c>
      <c r="AI1300">
        <v>92.390091433368397</v>
      </c>
      <c r="AJ1300">
        <v>87.193894347260198</v>
      </c>
      <c r="AK1300">
        <v>26.602994180395601</v>
      </c>
      <c r="AL1300">
        <v>92.331551026426496</v>
      </c>
      <c r="AM1300">
        <v>90.329205134120002</v>
      </c>
      <c r="AN1300">
        <v>0.99999994858442598</v>
      </c>
    </row>
    <row r="1301" spans="1:40" x14ac:dyDescent="0.25">
      <c r="A1301" t="str">
        <f>"20190312151522425"</f>
        <v>20190312151522425</v>
      </c>
      <c r="B1301" t="str">
        <f>"1552374922418352"</f>
        <v>1552374922418352</v>
      </c>
      <c r="C1301" t="s">
        <v>40</v>
      </c>
      <c r="D1301">
        <v>4.8112839999999997</v>
      </c>
      <c r="E1301">
        <v>0.52205959999999996</v>
      </c>
      <c r="F1301" t="s">
        <v>43</v>
      </c>
      <c r="G1301">
        <v>-191.21549999999999</v>
      </c>
      <c r="H1301" s="1">
        <v>-2.085234E-6</v>
      </c>
      <c r="I1301">
        <v>303.69600000000003</v>
      </c>
      <c r="J1301">
        <v>-190.87129999999999</v>
      </c>
      <c r="K1301">
        <v>1.109423</v>
      </c>
      <c r="L1301">
        <v>332.59179999999998</v>
      </c>
      <c r="M1301">
        <v>3.9499769999999997E-2</v>
      </c>
      <c r="N1301">
        <v>0</v>
      </c>
      <c r="O1301">
        <v>-0.99912290000000004</v>
      </c>
      <c r="P1301">
        <v>4.493639E-2</v>
      </c>
      <c r="Q1301">
        <v>-5.2998690000000001E-2</v>
      </c>
      <c r="R1301">
        <v>-0.9975832</v>
      </c>
      <c r="S1301">
        <v>-3.4423830000000002E-2</v>
      </c>
      <c r="T1301">
        <v>-0.1142633</v>
      </c>
      <c r="U1301">
        <v>-3.002869</v>
      </c>
      <c r="V1301">
        <v>-5.5197309999999999E-3</v>
      </c>
      <c r="W1301">
        <v>-3.9103199999999998E-2</v>
      </c>
      <c r="X1301">
        <v>0.99922</v>
      </c>
      <c r="Y1301">
        <v>5.0946659999999998E-2</v>
      </c>
      <c r="Z1301">
        <v>3.7953420000000002E-2</v>
      </c>
      <c r="AA1301">
        <v>0.99797990000000003</v>
      </c>
      <c r="AB1301">
        <v>25</v>
      </c>
      <c r="AC1301">
        <v>-0.34420000000000001</v>
      </c>
      <c r="AD1301">
        <v>-1.109425085234</v>
      </c>
      <c r="AE1301">
        <v>-28.895800000000001</v>
      </c>
      <c r="AF1301">
        <v>1.4832329323965601</v>
      </c>
      <c r="AG1301">
        <v>-1.109425085234</v>
      </c>
      <c r="AH1301">
        <v>28.817174305070001</v>
      </c>
      <c r="AI1301">
        <v>92.2018151380924</v>
      </c>
      <c r="AJ1301">
        <v>87.053560513041305</v>
      </c>
      <c r="AK1301">
        <v>28.876640020616701</v>
      </c>
      <c r="AL1301">
        <v>92.241019529536203</v>
      </c>
      <c r="AM1301">
        <v>90.316500944277607</v>
      </c>
      <c r="AN1301">
        <v>1.0000000680402701</v>
      </c>
    </row>
    <row r="1302" spans="1:40" x14ac:dyDescent="0.25">
      <c r="A1302" t="str">
        <f>"20190312151522448"</f>
        <v>20190312151522448</v>
      </c>
      <c r="B1302" t="str">
        <f>"1552374922438848"</f>
        <v>1552374922438848</v>
      </c>
      <c r="C1302" t="s">
        <v>40</v>
      </c>
      <c r="D1302">
        <v>4.8319929999999998</v>
      </c>
      <c r="E1302">
        <v>0.52261869999999999</v>
      </c>
      <c r="F1302" t="s">
        <v>43</v>
      </c>
      <c r="G1302">
        <v>-191.29810000000001</v>
      </c>
      <c r="H1302" s="1">
        <v>-9.567591999999999E-7</v>
      </c>
      <c r="I1302">
        <v>301.01429999999999</v>
      </c>
      <c r="J1302">
        <v>-190.8612</v>
      </c>
      <c r="K1302">
        <v>1.1094329999999999</v>
      </c>
      <c r="L1302">
        <v>332.32400000000001</v>
      </c>
      <c r="M1302">
        <v>3.910479E-2</v>
      </c>
      <c r="N1302">
        <v>0</v>
      </c>
      <c r="O1302">
        <v>-0.99913870000000005</v>
      </c>
      <c r="P1302">
        <v>4.4609269999999999E-2</v>
      </c>
      <c r="Q1302">
        <v>-5.1573969999999997E-2</v>
      </c>
      <c r="R1302">
        <v>-0.99767269999999997</v>
      </c>
      <c r="S1302">
        <v>-4.058838E-2</v>
      </c>
      <c r="T1302">
        <v>-0.10552309999999999</v>
      </c>
      <c r="U1302">
        <v>-3.0035099999999999</v>
      </c>
      <c r="V1302">
        <v>-5.5829299999999998E-3</v>
      </c>
      <c r="W1302">
        <v>-3.7680409999999998E-2</v>
      </c>
      <c r="X1302">
        <v>0.99927429999999995</v>
      </c>
      <c r="Y1302">
        <v>5.259875E-2</v>
      </c>
      <c r="Z1302">
        <v>3.5045420000000001E-2</v>
      </c>
      <c r="AA1302">
        <v>0.99800060000000002</v>
      </c>
      <c r="AB1302">
        <v>25</v>
      </c>
      <c r="AC1302">
        <v>-0.436900000000008</v>
      </c>
      <c r="AD1302">
        <v>-1.1094339567592</v>
      </c>
      <c r="AE1302">
        <v>-31.309699999999999</v>
      </c>
      <c r="AF1302">
        <v>1.6589604133399001</v>
      </c>
      <c r="AG1302">
        <v>-1.1094339567592</v>
      </c>
      <c r="AH1302">
        <v>31.229457028018601</v>
      </c>
      <c r="AI1302">
        <v>92.031728441911497</v>
      </c>
      <c r="AJ1302">
        <v>86.959211548515398</v>
      </c>
      <c r="AK1302">
        <v>31.293161866808902</v>
      </c>
      <c r="AL1302">
        <v>92.159439551436506</v>
      </c>
      <c r="AM1302">
        <v>90.320107299977295</v>
      </c>
      <c r="AN1302">
        <v>1.00000005452281</v>
      </c>
    </row>
    <row r="1303" spans="1:40" x14ac:dyDescent="0.25">
      <c r="A1303" t="str">
        <f>"20190312151522470"</f>
        <v>20190312151522470</v>
      </c>
      <c r="B1303" t="str">
        <f>"1552374922458368"</f>
        <v>1552374922458368</v>
      </c>
      <c r="C1303" t="s">
        <v>40</v>
      </c>
      <c r="D1303">
        <v>4.8359670000000001</v>
      </c>
      <c r="E1303">
        <v>0.52313359999999998</v>
      </c>
      <c r="F1303" t="s">
        <v>50</v>
      </c>
      <c r="G1303">
        <v>-191.3862</v>
      </c>
      <c r="H1303" s="1">
        <v>3.9044549999999999E-7</v>
      </c>
      <c r="I1303">
        <v>298.15339999999998</v>
      </c>
      <c r="J1303">
        <v>-190.852</v>
      </c>
      <c r="K1303">
        <v>1.1094389999999901</v>
      </c>
      <c r="L1303">
        <v>332.07729999999998</v>
      </c>
      <c r="M1303">
        <v>3.8741060000000001E-2</v>
      </c>
      <c r="N1303">
        <v>0</v>
      </c>
      <c r="O1303">
        <v>-0.9991525</v>
      </c>
      <c r="P1303">
        <v>4.4240260000000003E-2</v>
      </c>
      <c r="Q1303">
        <v>-5.0365649999999998E-2</v>
      </c>
      <c r="R1303">
        <v>-0.99775049999999998</v>
      </c>
      <c r="S1303">
        <v>-4.6157839999999999E-2</v>
      </c>
      <c r="T1303">
        <v>-9.7533110000000006E-2</v>
      </c>
      <c r="U1303">
        <v>-3.0040279999999999</v>
      </c>
      <c r="V1303">
        <v>-5.573649E-3</v>
      </c>
      <c r="W1303">
        <v>-3.6474020000000003E-2</v>
      </c>
      <c r="X1303">
        <v>0.99931910000000002</v>
      </c>
      <c r="Y1303">
        <v>5.4084119999999999E-2</v>
      </c>
      <c r="Z1303">
        <v>3.2388140000000003E-2</v>
      </c>
      <c r="AA1303">
        <v>0.99801099999999998</v>
      </c>
      <c r="AB1303">
        <v>25</v>
      </c>
      <c r="AC1303">
        <v>-0.53419999999999801</v>
      </c>
      <c r="AD1303">
        <v>-1.1094386095544999</v>
      </c>
      <c r="AE1303">
        <v>-33.923900000000003</v>
      </c>
      <c r="AF1303">
        <v>1.8461997632302201</v>
      </c>
      <c r="AG1303">
        <v>-1.1094386095544999</v>
      </c>
      <c r="AH1303">
        <v>33.841544615327898</v>
      </c>
      <c r="AI1303">
        <v>91.874888187232798</v>
      </c>
      <c r="AJ1303">
        <v>86.8773676343029</v>
      </c>
      <c r="AK1303">
        <v>33.910019898922997</v>
      </c>
      <c r="AL1303">
        <v>92.090270962358105</v>
      </c>
      <c r="AM1303">
        <v>90.319560841824696</v>
      </c>
      <c r="AN1303">
        <v>1.0000000416614701</v>
      </c>
    </row>
    <row r="1304" spans="1:40" x14ac:dyDescent="0.25">
      <c r="A1304" t="str">
        <f>"20190312151522494"</f>
        <v>20190312151522494</v>
      </c>
      <c r="B1304" t="str">
        <f>"1552374922488624"</f>
        <v>1552374922488624</v>
      </c>
      <c r="C1304" t="s">
        <v>40</v>
      </c>
      <c r="D1304">
        <v>5.1965789999999998</v>
      </c>
      <c r="E1304">
        <v>0.52385519999999997</v>
      </c>
      <c r="F1304" t="s">
        <v>50</v>
      </c>
      <c r="G1304">
        <v>-191.47389999999999</v>
      </c>
      <c r="H1304" s="1">
        <v>1.2468299999999901E-6</v>
      </c>
      <c r="I1304">
        <v>295.7088</v>
      </c>
      <c r="J1304">
        <v>-190.84219999999999</v>
      </c>
      <c r="K1304">
        <v>1.1094389999999901</v>
      </c>
      <c r="L1304">
        <v>331.81290000000001</v>
      </c>
      <c r="M1304">
        <v>3.8351330000000003E-2</v>
      </c>
      <c r="N1304">
        <v>0</v>
      </c>
      <c r="O1304">
        <v>-0.99916799999999995</v>
      </c>
      <c r="P1304">
        <v>4.3795929999999997E-2</v>
      </c>
      <c r="Q1304">
        <v>-4.9732560000000002E-2</v>
      </c>
      <c r="R1304">
        <v>-0.99780239999999998</v>
      </c>
      <c r="S1304">
        <v>-5.137634E-2</v>
      </c>
      <c r="T1304">
        <v>-9.1653230000000002E-2</v>
      </c>
      <c r="U1304">
        <v>-3.004486</v>
      </c>
      <c r="V1304">
        <v>-5.5165939999999997E-3</v>
      </c>
      <c r="W1304">
        <v>-3.5843380000000001E-2</v>
      </c>
      <c r="X1304">
        <v>0.99934219999999896</v>
      </c>
      <c r="Y1304">
        <v>5.5426280000000001E-2</v>
      </c>
      <c r="Z1304">
        <v>3.0431960000000001E-2</v>
      </c>
      <c r="AA1304">
        <v>0.99799890000000002</v>
      </c>
      <c r="AB1304">
        <v>25</v>
      </c>
      <c r="AC1304">
        <v>-0.63169999999999504</v>
      </c>
      <c r="AD1304">
        <v>-1.1094377531699999</v>
      </c>
      <c r="AE1304">
        <v>-36.104100000000003</v>
      </c>
      <c r="AF1304">
        <v>2.0141074478618899</v>
      </c>
      <c r="AG1304">
        <v>-1.1094377531699999</v>
      </c>
      <c r="AH1304">
        <v>36.019303573588402</v>
      </c>
      <c r="AI1304">
        <v>91.761470997197193</v>
      </c>
      <c r="AJ1304">
        <v>86.799499322858793</v>
      </c>
      <c r="AK1304">
        <v>36.092626821360703</v>
      </c>
      <c r="AL1304">
        <v>92.054114380448894</v>
      </c>
      <c r="AM1304">
        <v>90.316282393505901</v>
      </c>
      <c r="AN1304">
        <v>1.0000000067000101</v>
      </c>
    </row>
    <row r="1305" spans="1:40" x14ac:dyDescent="0.25">
      <c r="A1305" t="str">
        <f>"20190312151522514"</f>
        <v>20190312151522514</v>
      </c>
      <c r="B1305" t="str">
        <f>"1552374922509119"</f>
        <v>1552374922509119</v>
      </c>
      <c r="C1305" t="s">
        <v>40</v>
      </c>
      <c r="D1305">
        <v>4.7994120000000002</v>
      </c>
      <c r="E1305">
        <v>0.52428509999999995</v>
      </c>
      <c r="F1305" t="s">
        <v>50</v>
      </c>
      <c r="G1305">
        <v>-191.59800000000001</v>
      </c>
      <c r="H1305" s="1">
        <v>2.050894E-6</v>
      </c>
      <c r="I1305">
        <v>292.99149999999997</v>
      </c>
      <c r="J1305">
        <v>-190.83349999999999</v>
      </c>
      <c r="K1305">
        <v>1.109437</v>
      </c>
      <c r="L1305">
        <v>331.57580000000002</v>
      </c>
      <c r="M1305">
        <v>3.800187E-2</v>
      </c>
      <c r="N1305">
        <v>0</v>
      </c>
      <c r="O1305">
        <v>-0.99918130000000005</v>
      </c>
      <c r="P1305">
        <v>4.3714860000000001E-2</v>
      </c>
      <c r="Q1305">
        <v>-4.9776279999999999E-2</v>
      </c>
      <c r="R1305">
        <v>-0.99780360000000001</v>
      </c>
      <c r="S1305">
        <v>-5.85021999999999E-2</v>
      </c>
      <c r="T1305">
        <v>-8.5872770000000001E-2</v>
      </c>
      <c r="U1305">
        <v>-3.0048520000000001</v>
      </c>
      <c r="V1305">
        <v>-5.784867E-3</v>
      </c>
      <c r="W1305">
        <v>-3.5889310000000001E-2</v>
      </c>
      <c r="X1305">
        <v>0.99933899999999998</v>
      </c>
      <c r="Y1305">
        <v>5.7441890000000002E-2</v>
      </c>
      <c r="Z1305">
        <v>2.8509130000000001E-2</v>
      </c>
      <c r="AA1305">
        <v>0.99794170000000004</v>
      </c>
      <c r="AB1305">
        <v>25</v>
      </c>
      <c r="AC1305">
        <v>-0.76449999999999796</v>
      </c>
      <c r="AD1305">
        <v>-1.109434949106</v>
      </c>
      <c r="AE1305">
        <v>-38.584299999999999</v>
      </c>
      <c r="AF1305">
        <v>2.2285226940927299</v>
      </c>
      <c r="AG1305">
        <v>-1.109434949106</v>
      </c>
      <c r="AH1305">
        <v>38.495554416522801</v>
      </c>
      <c r="AI1305">
        <v>91.648039412953693</v>
      </c>
      <c r="AJ1305">
        <v>86.686822771090704</v>
      </c>
      <c r="AK1305">
        <v>38.5759623229266</v>
      </c>
      <c r="AL1305">
        <v>92.056747741069501</v>
      </c>
      <c r="AM1305">
        <v>90.331663991951999</v>
      </c>
      <c r="AN1305">
        <v>0.99999997208974101</v>
      </c>
    </row>
    <row r="1306" spans="1:40" x14ac:dyDescent="0.25">
      <c r="A1306" t="str">
        <f>"20190312151522536"</f>
        <v>20190312151522536</v>
      </c>
      <c r="B1306" t="str">
        <f>"1552374922528640"</f>
        <v>1552374922528640</v>
      </c>
      <c r="C1306" t="s">
        <v>40</v>
      </c>
      <c r="D1306">
        <v>4.8345909999999996</v>
      </c>
      <c r="E1306">
        <v>0.52466579999999996</v>
      </c>
      <c r="F1306" t="s">
        <v>50</v>
      </c>
      <c r="G1306">
        <v>-191.65190000000001</v>
      </c>
      <c r="H1306" s="1">
        <v>2.374145E-6</v>
      </c>
      <c r="I1306">
        <v>292.05</v>
      </c>
      <c r="J1306">
        <v>-190.8244</v>
      </c>
      <c r="K1306">
        <v>1.1094379999999999</v>
      </c>
      <c r="L1306">
        <v>331.32709999999997</v>
      </c>
      <c r="M1306">
        <v>3.763499E-2</v>
      </c>
      <c r="N1306">
        <v>0</v>
      </c>
      <c r="O1306">
        <v>-0.99919519999999995</v>
      </c>
      <c r="P1306">
        <v>4.3799360000000002E-2</v>
      </c>
      <c r="Q1306">
        <v>-4.9984269999999997E-2</v>
      </c>
      <c r="R1306">
        <v>-0.99778960000000005</v>
      </c>
      <c r="S1306">
        <v>-6.2225339999999997E-2</v>
      </c>
      <c r="T1306">
        <v>-8.434904E-2</v>
      </c>
      <c r="U1306">
        <v>-3.005096</v>
      </c>
      <c r="V1306">
        <v>-6.2365629999999997E-3</v>
      </c>
      <c r="W1306">
        <v>-3.609975E-2</v>
      </c>
      <c r="X1306">
        <v>0.99932869999999996</v>
      </c>
      <c r="Y1306">
        <v>5.830991E-2</v>
      </c>
      <c r="Z1306">
        <v>2.8000919999999999E-2</v>
      </c>
      <c r="AA1306">
        <v>0.99790570000000001</v>
      </c>
      <c r="AB1306">
        <v>25</v>
      </c>
      <c r="AC1306">
        <v>-0.827500000000014</v>
      </c>
      <c r="AD1306">
        <v>-1.109435625855</v>
      </c>
      <c r="AE1306">
        <v>-39.277099999999898</v>
      </c>
      <c r="AF1306">
        <v>2.3034122740036498</v>
      </c>
      <c r="AG1306">
        <v>-1.109435625855</v>
      </c>
      <c r="AH1306">
        <v>39.186871263570801</v>
      </c>
      <c r="AI1306">
        <v>91.618898349520705</v>
      </c>
      <c r="AJ1306">
        <v>86.636013165146693</v>
      </c>
      <c r="AK1306">
        <v>39.270185063730203</v>
      </c>
      <c r="AL1306">
        <v>92.0688128907465</v>
      </c>
      <c r="AM1306">
        <v>90.357564132518306</v>
      </c>
      <c r="AN1306">
        <v>0.99999996865590202</v>
      </c>
    </row>
    <row r="1307" spans="1:40" x14ac:dyDescent="0.25">
      <c r="A1307" t="str">
        <f>"20190312151522557"</f>
        <v>20190312151522557</v>
      </c>
      <c r="B1307" t="str">
        <f>"1552374922549136"</f>
        <v>1552374922549136</v>
      </c>
      <c r="C1307" t="s">
        <v>40</v>
      </c>
      <c r="D1307">
        <v>5.1322700000000001</v>
      </c>
      <c r="E1307">
        <v>0.52503129999999998</v>
      </c>
      <c r="F1307" t="s">
        <v>50</v>
      </c>
      <c r="G1307">
        <v>-191.68369999999999</v>
      </c>
      <c r="H1307" s="1">
        <v>2.5151950000000001E-6</v>
      </c>
      <c r="I1307">
        <v>291.63510000000002</v>
      </c>
      <c r="J1307">
        <v>-190.81559999999999</v>
      </c>
      <c r="K1307">
        <v>1.109429</v>
      </c>
      <c r="L1307">
        <v>331.08120000000002</v>
      </c>
      <c r="M1307">
        <v>3.7272350000000003E-2</v>
      </c>
      <c r="N1307">
        <v>0</v>
      </c>
      <c r="O1307">
        <v>-0.99920869999999995</v>
      </c>
      <c r="P1307">
        <v>4.3580639999999997E-2</v>
      </c>
      <c r="Q1307">
        <v>-5.0075830000000002E-2</v>
      </c>
      <c r="R1307">
        <v>-0.99779439999999997</v>
      </c>
      <c r="S1307">
        <v>-6.5063480000000007E-2</v>
      </c>
      <c r="T1307">
        <v>-8.4000950000000005E-2</v>
      </c>
      <c r="U1307">
        <v>-3.00528</v>
      </c>
      <c r="V1307">
        <v>-6.3804489999999998E-3</v>
      </c>
      <c r="W1307">
        <v>-3.6193879999999998E-2</v>
      </c>
      <c r="X1307">
        <v>0.9993244</v>
      </c>
      <c r="Y1307">
        <v>5.8888379999999997E-2</v>
      </c>
      <c r="Z1307">
        <v>2.7883580000000002E-2</v>
      </c>
      <c r="AA1307">
        <v>0.99787510000000001</v>
      </c>
      <c r="AB1307">
        <v>25</v>
      </c>
      <c r="AC1307">
        <v>-0.86809999999999798</v>
      </c>
      <c r="AD1307">
        <v>-1.1094264848049999</v>
      </c>
      <c r="AE1307">
        <v>-39.446100000000001</v>
      </c>
      <c r="AF1307">
        <v>2.3360402713686499</v>
      </c>
      <c r="AG1307">
        <v>-1.1094264848049999</v>
      </c>
      <c r="AH1307">
        <v>39.355210338251801</v>
      </c>
      <c r="AI1307">
        <v>91.611909235504498</v>
      </c>
      <c r="AJ1307">
        <v>86.603032128197199</v>
      </c>
      <c r="AK1307">
        <v>39.440087373669499</v>
      </c>
      <c r="AL1307">
        <v>92.074209642303799</v>
      </c>
      <c r="AM1307">
        <v>90.365814976269306</v>
      </c>
      <c r="AN1307">
        <v>0.99999998175712701</v>
      </c>
    </row>
    <row r="1308" spans="1:40" x14ac:dyDescent="0.25">
      <c r="A1308" t="str">
        <f>"20190312151522580"</f>
        <v>20190312151522580</v>
      </c>
      <c r="B1308" t="str">
        <f>"1552374922568656"</f>
        <v>1552374922568656</v>
      </c>
      <c r="C1308" t="s">
        <v>40</v>
      </c>
      <c r="D1308">
        <v>4.775353</v>
      </c>
      <c r="E1308">
        <v>0.52542679999999997</v>
      </c>
      <c r="F1308" t="s">
        <v>50</v>
      </c>
      <c r="G1308">
        <v>-191.7336</v>
      </c>
      <c r="H1308" s="1">
        <v>2.7309599999999999E-6</v>
      </c>
      <c r="I1308">
        <v>290.99970000000002</v>
      </c>
      <c r="J1308">
        <v>-190.8066</v>
      </c>
      <c r="K1308">
        <v>1.109426</v>
      </c>
      <c r="L1308">
        <v>330.82749999999999</v>
      </c>
      <c r="M1308">
        <v>3.689783E-2</v>
      </c>
      <c r="N1308">
        <v>0</v>
      </c>
      <c r="O1308">
        <v>-0.99922259999999996</v>
      </c>
      <c r="P1308">
        <v>4.3363550000000001E-2</v>
      </c>
      <c r="Q1308">
        <v>-5.0388120000000002E-2</v>
      </c>
      <c r="R1308">
        <v>-0.99778809999999996</v>
      </c>
      <c r="S1308">
        <v>-6.8832400000000002E-2</v>
      </c>
      <c r="T1308">
        <v>-8.3188059999999994E-2</v>
      </c>
      <c r="U1308">
        <v>-3.0054319999999999</v>
      </c>
      <c r="V1308">
        <v>-6.5385759999999999E-3</v>
      </c>
      <c r="W1308">
        <v>-3.6509020000000003E-2</v>
      </c>
      <c r="X1308">
        <v>0.99931190000000003</v>
      </c>
      <c r="Y1308">
        <v>5.9764030000000003E-2</v>
      </c>
      <c r="Z1308">
        <v>2.7612020000000001E-2</v>
      </c>
      <c r="AA1308">
        <v>0.99783060000000001</v>
      </c>
      <c r="AB1308">
        <v>25</v>
      </c>
      <c r="AC1308">
        <v>-0.92699999999999205</v>
      </c>
      <c r="AD1308">
        <v>-1.1094232690399899</v>
      </c>
      <c r="AE1308">
        <v>-39.827799999999897</v>
      </c>
      <c r="AF1308">
        <v>2.39421293811297</v>
      </c>
      <c r="AG1308">
        <v>-1.1094232690399899</v>
      </c>
      <c r="AH1308">
        <v>39.735650829502099</v>
      </c>
      <c r="AI1308">
        <v>91.596394588120205</v>
      </c>
      <c r="AJ1308">
        <v>86.551896183379796</v>
      </c>
      <c r="AK1308">
        <v>39.823171928250801</v>
      </c>
      <c r="AL1308">
        <v>92.092277806323395</v>
      </c>
      <c r="AM1308">
        <v>90.374885421377101</v>
      </c>
      <c r="AN1308">
        <v>0.99999996749953801</v>
      </c>
    </row>
    <row r="1309" spans="1:40" x14ac:dyDescent="0.25">
      <c r="A1309" t="str">
        <f>"20190312151522602"</f>
        <v>20190312151522602</v>
      </c>
      <c r="B1309" t="str">
        <f>"1552374922598912"</f>
        <v>1552374922598912</v>
      </c>
      <c r="C1309" t="s">
        <v>40</v>
      </c>
      <c r="D1309">
        <v>4.8847680000000002</v>
      </c>
      <c r="E1309">
        <v>0.52597399999999905</v>
      </c>
      <c r="F1309" t="s">
        <v>50</v>
      </c>
      <c r="G1309">
        <v>-191.77340000000001</v>
      </c>
      <c r="H1309" s="1">
        <v>2.791092E-6</v>
      </c>
      <c r="I1309">
        <v>290.80959999999999</v>
      </c>
      <c r="J1309">
        <v>-190.79769999999999</v>
      </c>
      <c r="K1309">
        <v>1.1094280000000001</v>
      </c>
      <c r="L1309">
        <v>330.57589999999999</v>
      </c>
      <c r="M1309">
        <v>3.652648E-2</v>
      </c>
      <c r="N1309">
        <v>0</v>
      </c>
      <c r="O1309">
        <v>-0.99923620000000002</v>
      </c>
      <c r="P1309">
        <v>4.2941519999999997E-2</v>
      </c>
      <c r="Q1309">
        <v>-5.1156979999999998E-2</v>
      </c>
      <c r="R1309">
        <v>-0.99776699999999996</v>
      </c>
      <c r="S1309">
        <v>-7.261658E-2</v>
      </c>
      <c r="T1309">
        <v>-8.332705E-2</v>
      </c>
      <c r="U1309">
        <v>-3.0056759999999998</v>
      </c>
      <c r="V1309">
        <v>-6.4888339999999997E-3</v>
      </c>
      <c r="W1309">
        <v>-3.7281219999999997E-2</v>
      </c>
      <c r="X1309">
        <v>0.9992837</v>
      </c>
      <c r="Y1309">
        <v>6.0646749999999999E-2</v>
      </c>
      <c r="Z1309">
        <v>2.7655300000000001E-2</v>
      </c>
      <c r="AA1309">
        <v>0.99777610000000005</v>
      </c>
      <c r="AB1309">
        <v>25</v>
      </c>
      <c r="AC1309">
        <v>-0.975700000000017</v>
      </c>
      <c r="AD1309">
        <v>-1.1094252089079999</v>
      </c>
      <c r="AE1309">
        <v>-39.766300000000001</v>
      </c>
      <c r="AF1309">
        <v>2.4258248399354199</v>
      </c>
      <c r="AG1309">
        <v>-1.1094252089079999</v>
      </c>
      <c r="AH1309">
        <v>39.673255484111401</v>
      </c>
      <c r="AI1309">
        <v>91.598820614584596</v>
      </c>
      <c r="AJ1309">
        <v>86.501000571060402</v>
      </c>
      <c r="AK1309">
        <v>39.7628300194514</v>
      </c>
      <c r="AL1309">
        <v>92.136551783502398</v>
      </c>
      <c r="AM1309">
        <v>90.372044072011093</v>
      </c>
      <c r="AN1309">
        <v>0.99999995370852801</v>
      </c>
    </row>
    <row r="1310" spans="1:40" x14ac:dyDescent="0.25">
      <c r="A1310" t="str">
        <f>"20190312151522625"</f>
        <v>20190312151522625</v>
      </c>
      <c r="B1310" t="str">
        <f>"1552374922618433"</f>
        <v>1552374922618433</v>
      </c>
      <c r="C1310" t="s">
        <v>40</v>
      </c>
      <c r="D1310">
        <v>4.9055070000000001</v>
      </c>
      <c r="E1310">
        <v>0.52630829999999995</v>
      </c>
      <c r="F1310" t="s">
        <v>50</v>
      </c>
      <c r="G1310">
        <v>-191.80950000000001</v>
      </c>
      <c r="H1310" s="1">
        <v>2.4815770000000001E-6</v>
      </c>
      <c r="I1310">
        <v>291.6671</v>
      </c>
      <c r="J1310">
        <v>-190.78899999999999</v>
      </c>
      <c r="K1310">
        <v>1.1094269999999999</v>
      </c>
      <c r="L1310">
        <v>330.32420000000002</v>
      </c>
      <c r="M1310">
        <v>3.615496E-2</v>
      </c>
      <c r="N1310">
        <v>0</v>
      </c>
      <c r="O1310">
        <v>-0.99924979999999997</v>
      </c>
      <c r="P1310">
        <v>4.23836E-2</v>
      </c>
      <c r="Q1310">
        <v>-5.1043449999999997E-2</v>
      </c>
      <c r="R1310">
        <v>-0.99779669999999998</v>
      </c>
      <c r="S1310">
        <v>-7.8155520000000006E-2</v>
      </c>
      <c r="T1310">
        <v>-8.5702299999999995E-2</v>
      </c>
      <c r="U1310">
        <v>-3.0056759999999998</v>
      </c>
      <c r="V1310">
        <v>-6.3015969999999999E-3</v>
      </c>
      <c r="W1310">
        <v>-3.7170410000000001E-2</v>
      </c>
      <c r="X1310">
        <v>0.99928910000000004</v>
      </c>
      <c r="Y1310">
        <v>6.2112529999999999E-2</v>
      </c>
      <c r="Z1310">
        <v>2.8441620000000001E-2</v>
      </c>
      <c r="AA1310">
        <v>0.99766379999999999</v>
      </c>
      <c r="AB1310">
        <v>25</v>
      </c>
      <c r="AC1310">
        <v>-1.02049999999999</v>
      </c>
      <c r="AD1310">
        <v>-1.1094245184230001</v>
      </c>
      <c r="AE1310">
        <v>-38.6571</v>
      </c>
      <c r="AF1310">
        <v>2.4156250025355299</v>
      </c>
      <c r="AG1310">
        <v>-1.1094245184230001</v>
      </c>
      <c r="AH1310">
        <v>38.563181232810997</v>
      </c>
      <c r="AI1310">
        <v>91.644666499708805</v>
      </c>
      <c r="AJ1310">
        <v>86.415635049888806</v>
      </c>
      <c r="AK1310">
        <v>38.654689414217003</v>
      </c>
      <c r="AL1310">
        <v>92.130198277099694</v>
      </c>
      <c r="AM1310">
        <v>90.361306979557398</v>
      </c>
      <c r="AN1310">
        <v>1.0000000274415599</v>
      </c>
    </row>
    <row r="1311" spans="1:40" x14ac:dyDescent="0.25">
      <c r="A1311" t="str">
        <f>"20190312151522648"</f>
        <v>20190312151522648</v>
      </c>
      <c r="B1311" t="str">
        <f>"1552374922638928"</f>
        <v>1552374922638928</v>
      </c>
      <c r="C1311" t="s">
        <v>40</v>
      </c>
      <c r="D1311">
        <v>4.8949509999999998</v>
      </c>
      <c r="E1311">
        <v>0.52658969999999905</v>
      </c>
      <c r="F1311" t="s">
        <v>50</v>
      </c>
      <c r="G1311">
        <v>-191.8614</v>
      </c>
      <c r="H1311" s="1">
        <v>2.6030619999999999E-6</v>
      </c>
      <c r="I1311">
        <v>291.29739999999998</v>
      </c>
      <c r="J1311">
        <v>-190.7801</v>
      </c>
      <c r="K1311">
        <v>1.10944</v>
      </c>
      <c r="L1311">
        <v>330.06760000000003</v>
      </c>
      <c r="M1311">
        <v>3.5775870000000001E-2</v>
      </c>
      <c r="N1311">
        <v>0</v>
      </c>
      <c r="O1311">
        <v>-0.99926380000000004</v>
      </c>
      <c r="P1311">
        <v>4.1913899999999997E-2</v>
      </c>
      <c r="Q1311">
        <v>-5.0531189999999997E-2</v>
      </c>
      <c r="R1311">
        <v>-0.99784300000000004</v>
      </c>
      <c r="S1311">
        <v>-8.2595829999999995E-2</v>
      </c>
      <c r="T1311">
        <v>-8.5444690000000004E-2</v>
      </c>
      <c r="U1311">
        <v>-3.0057369999999999</v>
      </c>
      <c r="V1311">
        <v>-6.2087969999999899E-3</v>
      </c>
      <c r="W1311">
        <v>-3.6660470000000001E-2</v>
      </c>
      <c r="X1311">
        <v>0.99930850000000004</v>
      </c>
      <c r="Y1311">
        <v>6.3206180000000001E-2</v>
      </c>
      <c r="Z1311">
        <v>2.8354669999999998E-2</v>
      </c>
      <c r="AA1311">
        <v>0.99759759999999997</v>
      </c>
      <c r="AB1311">
        <v>25</v>
      </c>
      <c r="AC1311">
        <v>-1.0812999999999899</v>
      </c>
      <c r="AD1311">
        <v>-1.109437396938</v>
      </c>
      <c r="AE1311">
        <v>-38.770200000000003</v>
      </c>
      <c r="AF1311">
        <v>2.4657608894387901</v>
      </c>
      <c r="AG1311">
        <v>-1.109437396938</v>
      </c>
      <c r="AH1311">
        <v>38.675043068257096</v>
      </c>
      <c r="AI1311">
        <v>91.639816123654995</v>
      </c>
      <c r="AJ1311">
        <v>86.351995389901006</v>
      </c>
      <c r="AK1311">
        <v>38.769443953107597</v>
      </c>
      <c r="AL1311">
        <v>92.100960978801197</v>
      </c>
      <c r="AM1311">
        <v>90.3559794463862</v>
      </c>
      <c r="AN1311">
        <v>1.0000000086965199</v>
      </c>
    </row>
    <row r="1312" spans="1:40" x14ac:dyDescent="0.25">
      <c r="A1312" t="str">
        <f>"20190312151522671"</f>
        <v>20190312151522671</v>
      </c>
      <c r="B1312" t="str">
        <f>"1552374922658448"</f>
        <v>1552374922658448</v>
      </c>
      <c r="C1312" t="s">
        <v>40</v>
      </c>
      <c r="D1312">
        <v>4.8932440000000001</v>
      </c>
      <c r="E1312">
        <v>0.52686719999999998</v>
      </c>
      <c r="F1312" t="s">
        <v>50</v>
      </c>
      <c r="G1312">
        <v>-191.91380000000001</v>
      </c>
      <c r="H1312" s="1">
        <v>2.8836639999999999E-6</v>
      </c>
      <c r="I1312">
        <v>290.47730000000001</v>
      </c>
      <c r="J1312">
        <v>-190.7714</v>
      </c>
      <c r="K1312">
        <v>1.109445</v>
      </c>
      <c r="L1312">
        <v>329.81029999999998</v>
      </c>
      <c r="M1312">
        <v>3.5395799999999998E-2</v>
      </c>
      <c r="N1312">
        <v>0</v>
      </c>
      <c r="O1312">
        <v>-0.99927690000000002</v>
      </c>
      <c r="P1312">
        <v>4.2111999999999997E-2</v>
      </c>
      <c r="Q1312">
        <v>-4.954621E-2</v>
      </c>
      <c r="R1312">
        <v>-0.99788399999999999</v>
      </c>
      <c r="S1312">
        <v>-8.6074830000000005E-2</v>
      </c>
      <c r="T1312">
        <v>-8.4233050000000004E-2</v>
      </c>
      <c r="U1312">
        <v>-3.0058590000000001</v>
      </c>
      <c r="V1312">
        <v>-6.7846599999999996E-3</v>
      </c>
      <c r="W1312">
        <v>-3.5677100000000003E-2</v>
      </c>
      <c r="X1312">
        <v>0.99934040000000002</v>
      </c>
      <c r="Y1312">
        <v>6.3979519999999998E-2</v>
      </c>
      <c r="Z1312">
        <v>2.7951199999999999E-2</v>
      </c>
      <c r="AA1312">
        <v>0.99755970000000005</v>
      </c>
      <c r="AB1312">
        <v>25</v>
      </c>
      <c r="AC1312">
        <v>-1.1424000000000001</v>
      </c>
      <c r="AD1312">
        <v>-1.109442116336</v>
      </c>
      <c r="AE1312">
        <v>-39.332999999999899</v>
      </c>
      <c r="AF1312">
        <v>2.5320284579800001</v>
      </c>
      <c r="AG1312">
        <v>-1.109442116336</v>
      </c>
      <c r="AH1312">
        <v>39.236717590392502</v>
      </c>
      <c r="AI1312">
        <v>91.616281425458993</v>
      </c>
      <c r="AJ1312">
        <v>86.307701757224194</v>
      </c>
      <c r="AK1312">
        <v>39.3339806934123</v>
      </c>
      <c r="AL1312">
        <v>92.044581029586794</v>
      </c>
      <c r="AM1312">
        <v>90.388982984237103</v>
      </c>
      <c r="AN1312">
        <v>1.0000000610739399</v>
      </c>
    </row>
    <row r="1313" spans="1:40" x14ac:dyDescent="0.25">
      <c r="A1313" t="str">
        <f>"20190312151522694"</f>
        <v>20190312151522694</v>
      </c>
      <c r="B1313" t="str">
        <f>"1552374922688704"</f>
        <v>1552374922688704</v>
      </c>
      <c r="C1313" t="s">
        <v>40</v>
      </c>
      <c r="D1313">
        <v>4.8325680000000002</v>
      </c>
      <c r="E1313">
        <v>0.52718039999999999</v>
      </c>
      <c r="F1313" t="s">
        <v>50</v>
      </c>
      <c r="G1313">
        <v>-191.98400000000001</v>
      </c>
      <c r="H1313" s="1">
        <v>3.2908470000000001E-6</v>
      </c>
      <c r="I1313">
        <v>288.29750000000001</v>
      </c>
      <c r="J1313">
        <v>-190.7628</v>
      </c>
      <c r="K1313">
        <v>1.10945</v>
      </c>
      <c r="L1313">
        <v>329.55520000000001</v>
      </c>
      <c r="M1313">
        <v>3.5018830000000001E-2</v>
      </c>
      <c r="N1313">
        <v>0</v>
      </c>
      <c r="O1313">
        <v>-0.99929049999999997</v>
      </c>
      <c r="P1313">
        <v>4.1956859999999999E-2</v>
      </c>
      <c r="Q1313">
        <v>-4.8898539999999997E-2</v>
      </c>
      <c r="R1313">
        <v>-0.99792230000000004</v>
      </c>
      <c r="S1313">
        <v>-8.7814329999999996E-2</v>
      </c>
      <c r="T1313">
        <v>-8.0339069999999999E-2</v>
      </c>
      <c r="U1313">
        <v>-3.0061040000000001</v>
      </c>
      <c r="V1313">
        <v>-7.0044959999999998E-3</v>
      </c>
      <c r="W1313">
        <v>-3.5031489999999998E-2</v>
      </c>
      <c r="X1313">
        <v>0.99936159999999996</v>
      </c>
      <c r="Y1313">
        <v>6.4178509999999994E-2</v>
      </c>
      <c r="Z1313">
        <v>2.665797E-2</v>
      </c>
      <c r="AA1313">
        <v>0.99758230000000003</v>
      </c>
      <c r="AB1313">
        <v>25</v>
      </c>
      <c r="AC1313">
        <v>-1.2212000000000101</v>
      </c>
      <c r="AD1313">
        <v>-1.109446709153</v>
      </c>
      <c r="AE1313">
        <v>-41.2577</v>
      </c>
      <c r="AF1313">
        <v>2.6634617845993498</v>
      </c>
      <c r="AG1313">
        <v>-1.109446709153</v>
      </c>
      <c r="AH1313">
        <v>41.1598837620379</v>
      </c>
      <c r="AI1313">
        <v>91.540787858382004</v>
      </c>
      <c r="AJ1313">
        <v>86.297544296428299</v>
      </c>
      <c r="AK1313">
        <v>41.260888647518797</v>
      </c>
      <c r="AL1313">
        <v>92.007567410829495</v>
      </c>
      <c r="AM1313">
        <v>90.401577854075697</v>
      </c>
      <c r="AN1313">
        <v>0.99999993790519504</v>
      </c>
    </row>
    <row r="1314" spans="1:40" x14ac:dyDescent="0.25">
      <c r="A1314" t="str">
        <f>"20190312151522716"</f>
        <v>20190312151522716</v>
      </c>
      <c r="B1314" t="str">
        <f>"1552374922709200"</f>
        <v>1552374922709200</v>
      </c>
      <c r="C1314" t="s">
        <v>40</v>
      </c>
      <c r="D1314">
        <v>4.9894930000000004</v>
      </c>
      <c r="E1314">
        <v>0.55289809999999995</v>
      </c>
      <c r="F1314" t="s">
        <v>50</v>
      </c>
      <c r="G1314">
        <v>-192.0746</v>
      </c>
      <c r="H1314" s="1">
        <v>3.470415E-6</v>
      </c>
      <c r="I1314">
        <v>286.0598</v>
      </c>
      <c r="J1314">
        <v>-190.75460000000001</v>
      </c>
      <c r="K1314">
        <v>1.1094520000000001</v>
      </c>
      <c r="L1314">
        <v>329.3116</v>
      </c>
      <c r="M1314">
        <v>3.4658990000000001E-2</v>
      </c>
      <c r="N1314">
        <v>0</v>
      </c>
      <c r="O1314">
        <v>-0.99930319999999995</v>
      </c>
      <c r="P1314">
        <v>4.1871829999999999E-2</v>
      </c>
      <c r="Q1314">
        <v>-4.8169799999999999E-2</v>
      </c>
      <c r="R1314">
        <v>-0.99796119999999999</v>
      </c>
      <c r="S1314">
        <v>-9.0667719999999993E-2</v>
      </c>
      <c r="T1314">
        <v>-7.6681260000000001E-2</v>
      </c>
      <c r="U1314">
        <v>-3.006256</v>
      </c>
      <c r="V1314">
        <v>-7.2772549999999998E-3</v>
      </c>
      <c r="W1314">
        <v>-3.4304639999999997E-2</v>
      </c>
      <c r="X1314">
        <v>0.99938490000000002</v>
      </c>
      <c r="Y1314">
        <v>6.4764639999999998E-2</v>
      </c>
      <c r="Z1314">
        <v>2.5443400000000001E-2</v>
      </c>
      <c r="AA1314">
        <v>0.99757620000000002</v>
      </c>
      <c r="AB1314">
        <v>25</v>
      </c>
      <c r="AC1314">
        <v>-1.3199999999999901</v>
      </c>
      <c r="AD1314">
        <v>-1.1094485295850001</v>
      </c>
      <c r="AE1314">
        <v>-43.251800000000003</v>
      </c>
      <c r="AF1314">
        <v>2.8165628349232699</v>
      </c>
      <c r="AG1314">
        <v>-1.1094485295850001</v>
      </c>
      <c r="AH1314">
        <v>43.151688845378501</v>
      </c>
      <c r="AI1314">
        <v>91.469648851488799</v>
      </c>
      <c r="AJ1314">
        <v>86.265532632191494</v>
      </c>
      <c r="AK1314">
        <v>43.257740954090899</v>
      </c>
      <c r="AL1314">
        <v>91.965896852948603</v>
      </c>
      <c r="AM1314">
        <v>90.417205251615499</v>
      </c>
      <c r="AN1314">
        <v>0.99999997255693696</v>
      </c>
    </row>
    <row r="1315" spans="1:40" x14ac:dyDescent="0.25">
      <c r="A1315" t="str">
        <f>"20190312151522738"</f>
        <v>20190312151522738</v>
      </c>
      <c r="B1315" t="str">
        <f>"1552374922728720"</f>
        <v>1552374922728720</v>
      </c>
      <c r="C1315" t="s">
        <v>40</v>
      </c>
      <c r="D1315">
        <v>4.9469200000000004</v>
      </c>
      <c r="E1315">
        <v>0.56448999999999905</v>
      </c>
      <c r="F1315" t="s">
        <v>50</v>
      </c>
      <c r="G1315">
        <v>-201.4478</v>
      </c>
      <c r="H1315">
        <v>8.0000070000000006E-2</v>
      </c>
      <c r="I1315">
        <v>220.29310000000001</v>
      </c>
      <c r="J1315">
        <v>-190.74639999999999</v>
      </c>
      <c r="K1315">
        <v>1.109461</v>
      </c>
      <c r="L1315">
        <v>329.0609</v>
      </c>
      <c r="M1315">
        <v>3.4288390000000002E-2</v>
      </c>
      <c r="N1315">
        <v>0</v>
      </c>
      <c r="O1315">
        <v>-0.99931619999999999</v>
      </c>
      <c r="P1315">
        <v>4.1513689999999999E-2</v>
      </c>
      <c r="Q1315">
        <v>-4.7432490000000001E-2</v>
      </c>
      <c r="R1315">
        <v>-0.9980118</v>
      </c>
      <c r="S1315">
        <v>-0.29594419999999999</v>
      </c>
      <c r="T1315">
        <v>-2.8491260000000001E-2</v>
      </c>
      <c r="U1315">
        <v>-3.0172119999999998</v>
      </c>
      <c r="V1315">
        <v>-7.28744599999999E-3</v>
      </c>
      <c r="W1315">
        <v>-3.3569559999999998E-2</v>
      </c>
      <c r="X1315">
        <v>0.99940980000000001</v>
      </c>
      <c r="Y1315">
        <v>0.1316831</v>
      </c>
      <c r="Z1315">
        <v>9.3705579999999993E-3</v>
      </c>
      <c r="AA1315">
        <v>0.99124760000000001</v>
      </c>
      <c r="AB1315">
        <v>25</v>
      </c>
      <c r="AC1315">
        <v>-10.7014</v>
      </c>
      <c r="AD1315">
        <v>-1.0294609299999999</v>
      </c>
      <c r="AE1315">
        <v>-108.76779999999999</v>
      </c>
      <c r="AF1315">
        <v>14.4236562331222</v>
      </c>
      <c r="AG1315">
        <v>-1.0294609299999999</v>
      </c>
      <c r="AH1315">
        <v>108.327250136358</v>
      </c>
      <c r="AI1315">
        <v>90.539716803894393</v>
      </c>
      <c r="AJ1315">
        <v>82.4157384940914</v>
      </c>
      <c r="AK1315">
        <v>109.28812731053</v>
      </c>
      <c r="AL1315">
        <v>91.923755570146696</v>
      </c>
      <c r="AM1315">
        <v>90.417779072529299</v>
      </c>
      <c r="AN1315">
        <v>0.99999998528191802</v>
      </c>
    </row>
    <row r="1316" spans="1:40" x14ac:dyDescent="0.25">
      <c r="A1316" t="str">
        <f>"20190312151522758"</f>
        <v>20190312151522758</v>
      </c>
      <c r="B1316" t="str">
        <f>"1552374922749216"</f>
        <v>1552374922749216</v>
      </c>
      <c r="C1316" t="s">
        <v>40</v>
      </c>
      <c r="D1316">
        <v>4.9379359999999997</v>
      </c>
      <c r="E1316">
        <v>0.56892189999999998</v>
      </c>
      <c r="F1316" t="s">
        <v>50</v>
      </c>
      <c r="G1316">
        <v>-206.13939999999999</v>
      </c>
      <c r="H1316">
        <v>7.0369589999999996E-2</v>
      </c>
      <c r="I1316">
        <v>209.5959</v>
      </c>
      <c r="J1316">
        <v>-190.73869999999999</v>
      </c>
      <c r="K1316">
        <v>1.1094660000000001</v>
      </c>
      <c r="L1316">
        <v>328.82600000000002</v>
      </c>
      <c r="M1316">
        <v>3.3941220000000001E-2</v>
      </c>
      <c r="N1316">
        <v>0</v>
      </c>
      <c r="O1316">
        <v>-0.99932779999999999</v>
      </c>
      <c r="P1316">
        <v>4.1068E-2</v>
      </c>
      <c r="Q1316">
        <v>-4.686034E-2</v>
      </c>
      <c r="R1316">
        <v>-0.99805739999999998</v>
      </c>
      <c r="S1316">
        <v>-0.38925169999999998</v>
      </c>
      <c r="T1316">
        <v>-2.6275989999999999E-2</v>
      </c>
      <c r="U1316">
        <v>-3.020966</v>
      </c>
      <c r="V1316">
        <v>-7.1870270000000003E-3</v>
      </c>
      <c r="W1316">
        <v>-3.2999489999999999E-2</v>
      </c>
      <c r="X1316">
        <v>0.99942949999999997</v>
      </c>
      <c r="Y1316">
        <v>0.16138139999999901</v>
      </c>
      <c r="Z1316">
        <v>8.5974880000000004E-3</v>
      </c>
      <c r="AA1316">
        <v>0.98685469999999997</v>
      </c>
      <c r="AB1316">
        <v>25</v>
      </c>
      <c r="AC1316">
        <v>-15.400700000000001</v>
      </c>
      <c r="AD1316">
        <v>-1.03909641</v>
      </c>
      <c r="AE1316">
        <v>-119.230099999999</v>
      </c>
      <c r="AF1316">
        <v>19.437576276365601</v>
      </c>
      <c r="AG1316">
        <v>-1.03909641</v>
      </c>
      <c r="AH1316">
        <v>118.629759058432</v>
      </c>
      <c r="AI1316">
        <v>90.495246172652898</v>
      </c>
      <c r="AJ1316">
        <v>80.694728106772502</v>
      </c>
      <c r="AK1316">
        <v>120.21613380537001</v>
      </c>
      <c r="AL1316">
        <v>91.891074880378</v>
      </c>
      <c r="AM1316">
        <v>90.412014270562906</v>
      </c>
      <c r="AN1316">
        <v>0.99999997258380402</v>
      </c>
    </row>
    <row r="1317" spans="1:40" x14ac:dyDescent="0.25">
      <c r="A1317" t="str">
        <f>"20190312151522781"</f>
        <v>20190312151522781</v>
      </c>
      <c r="B1317" t="str">
        <f>"1552374922778496"</f>
        <v>1552374922778496</v>
      </c>
      <c r="C1317" t="s">
        <v>40</v>
      </c>
      <c r="D1317">
        <v>5.1350049999999996</v>
      </c>
      <c r="E1317">
        <v>0.57285959999999903</v>
      </c>
      <c r="F1317" t="s">
        <v>50</v>
      </c>
      <c r="G1317">
        <v>-207.53370000000001</v>
      </c>
      <c r="H1317">
        <v>9.0425139999999998E-3</v>
      </c>
      <c r="I1317">
        <v>209.6163</v>
      </c>
      <c r="J1317">
        <v>-190.73070000000001</v>
      </c>
      <c r="K1317">
        <v>1.1094630000000001</v>
      </c>
      <c r="L1317">
        <v>328.57920000000001</v>
      </c>
      <c r="M1317">
        <v>3.3576210000000002E-2</v>
      </c>
      <c r="N1317">
        <v>0</v>
      </c>
      <c r="O1317">
        <v>-0.99933989999999995</v>
      </c>
      <c r="P1317">
        <v>4.0242590000000002E-2</v>
      </c>
      <c r="Q1317">
        <v>-4.6175380000000002E-2</v>
      </c>
      <c r="R1317">
        <v>-0.99812250000000002</v>
      </c>
      <c r="S1317">
        <v>-0.42576599999999998</v>
      </c>
      <c r="T1317">
        <v>-2.789664E-2</v>
      </c>
      <c r="U1317">
        <v>-3.0220639999999999</v>
      </c>
      <c r="V1317">
        <v>-6.7239559999999997E-3</v>
      </c>
      <c r="W1317">
        <v>-3.2316890000000001E-2</v>
      </c>
      <c r="X1317">
        <v>0.99945499999999998</v>
      </c>
      <c r="Y1317">
        <v>0.17267469999999999</v>
      </c>
      <c r="Z1317">
        <v>9.1084819999999993E-3</v>
      </c>
      <c r="AA1317">
        <v>0.98493679999999995</v>
      </c>
      <c r="AB1317">
        <v>25</v>
      </c>
      <c r="AC1317">
        <v>-16.802999999999901</v>
      </c>
      <c r="AD1317">
        <v>-1.100420486</v>
      </c>
      <c r="AE1317">
        <v>-118.9629</v>
      </c>
      <c r="AF1317">
        <v>20.786487802609098</v>
      </c>
      <c r="AG1317">
        <v>-1.100420486</v>
      </c>
      <c r="AH1317">
        <v>118.321649601723</v>
      </c>
      <c r="AI1317">
        <v>90.524812929930306</v>
      </c>
      <c r="AJ1317">
        <v>80.036077406541906</v>
      </c>
      <c r="AK1317">
        <v>120.138677222978</v>
      </c>
      <c r="AL1317">
        <v>91.851943957276802</v>
      </c>
      <c r="AM1317">
        <v>90.385458563186901</v>
      </c>
      <c r="AN1317">
        <v>0.99999994499427902</v>
      </c>
    </row>
    <row r="1318" spans="1:40" x14ac:dyDescent="0.25">
      <c r="A1318" t="str">
        <f>"20190312151522804"</f>
        <v>20190312151522804</v>
      </c>
      <c r="B1318" t="str">
        <f>"1552374922798992"</f>
        <v>1552374922798992</v>
      </c>
      <c r="C1318" t="s">
        <v>40</v>
      </c>
      <c r="D1318">
        <v>4.878082</v>
      </c>
      <c r="E1318">
        <v>0.57389579999999996</v>
      </c>
      <c r="F1318" t="s">
        <v>48</v>
      </c>
      <c r="G1318">
        <v>-202.72</v>
      </c>
      <c r="H1318">
        <v>0.19828789999999999</v>
      </c>
      <c r="I1318">
        <v>249.76079999999999</v>
      </c>
      <c r="J1318">
        <v>-190.7226</v>
      </c>
      <c r="K1318">
        <v>1.1094679999999999</v>
      </c>
      <c r="L1318">
        <v>328.32260000000002</v>
      </c>
      <c r="M1318">
        <v>3.3196919999999998E-2</v>
      </c>
      <c r="N1318">
        <v>0</v>
      </c>
      <c r="O1318">
        <v>-0.99935280000000004</v>
      </c>
      <c r="P1318">
        <v>3.9640910000000001E-2</v>
      </c>
      <c r="Q1318">
        <v>-4.6188380000000001E-2</v>
      </c>
      <c r="R1318">
        <v>-0.99814619999999998</v>
      </c>
      <c r="S1318">
        <v>-0.45976260000000002</v>
      </c>
      <c r="T1318">
        <v>-3.4941670000000001E-2</v>
      </c>
      <c r="U1318">
        <v>-3.0225219999999999</v>
      </c>
      <c r="V1318">
        <v>-6.5009150000000003E-3</v>
      </c>
      <c r="W1318">
        <v>-3.2332630000000001E-2</v>
      </c>
      <c r="X1318">
        <v>0.99945600000000001</v>
      </c>
      <c r="Y1318">
        <v>0.18311230000000001</v>
      </c>
      <c r="Z1318">
        <v>1.138689E-2</v>
      </c>
      <c r="AA1318">
        <v>0.98302610000000001</v>
      </c>
      <c r="AB1318">
        <v>25</v>
      </c>
      <c r="AC1318">
        <v>-11.997400000000001</v>
      </c>
      <c r="AD1318">
        <v>-0.91118010000000005</v>
      </c>
      <c r="AE1318">
        <v>-78.561800000000005</v>
      </c>
      <c r="AF1318">
        <v>14.597127401259399</v>
      </c>
      <c r="AG1318">
        <v>-0.91118010000000005</v>
      </c>
      <c r="AH1318">
        <v>78.109907992797801</v>
      </c>
      <c r="AI1318">
        <v>90.6569729578638</v>
      </c>
      <c r="AJ1318">
        <v>79.414702503968201</v>
      </c>
      <c r="AK1318">
        <v>79.467377609850502</v>
      </c>
      <c r="AL1318">
        <v>91.852846202512893</v>
      </c>
      <c r="AM1318">
        <v>90.3726724735522</v>
      </c>
      <c r="AN1318">
        <v>0.99999997839727695</v>
      </c>
    </row>
    <row r="1319" spans="1:40" x14ac:dyDescent="0.25">
      <c r="A1319" t="str">
        <f>"20190312151522826"</f>
        <v>20190312151522826</v>
      </c>
      <c r="B1319" t="str">
        <f>"1552374922818512"</f>
        <v>1552374922818512</v>
      </c>
      <c r="C1319" t="s">
        <v>40</v>
      </c>
      <c r="D1319">
        <v>4.8953870000000004</v>
      </c>
      <c r="E1319">
        <v>0.57463710000000001</v>
      </c>
      <c r="F1319" t="s">
        <v>48</v>
      </c>
      <c r="G1319">
        <v>-202.9316</v>
      </c>
      <c r="H1319">
        <v>0.1203123</v>
      </c>
      <c r="I1319">
        <v>249.76079999999999</v>
      </c>
      <c r="J1319">
        <v>-190.715</v>
      </c>
      <c r="K1319">
        <v>1.10947</v>
      </c>
      <c r="L1319">
        <v>328.08179999999999</v>
      </c>
      <c r="M1319">
        <v>3.2840859999999999E-2</v>
      </c>
      <c r="N1319">
        <v>0</v>
      </c>
      <c r="O1319">
        <v>-0.99936449999999999</v>
      </c>
      <c r="P1319">
        <v>3.8855199999999999E-2</v>
      </c>
      <c r="Q1319">
        <v>-4.61892E-2</v>
      </c>
      <c r="R1319">
        <v>-0.99817679999999998</v>
      </c>
      <c r="S1319">
        <v>-0.4697113</v>
      </c>
      <c r="T1319">
        <v>-3.8055180000000001E-2</v>
      </c>
      <c r="U1319">
        <v>-3.0224609999999998</v>
      </c>
      <c r="V1319">
        <v>-6.0710390000000003E-3</v>
      </c>
      <c r="W1319">
        <v>-3.2336259999999999E-2</v>
      </c>
      <c r="X1319">
        <v>0.99945859999999997</v>
      </c>
      <c r="Y1319">
        <v>0.18592339999999999</v>
      </c>
      <c r="Z1319">
        <v>1.2395460000000001E-2</v>
      </c>
      <c r="AA1319">
        <v>0.98248610000000003</v>
      </c>
      <c r="AB1319">
        <v>25</v>
      </c>
      <c r="AC1319">
        <v>-12.2166</v>
      </c>
      <c r="AD1319">
        <v>-0.98915770000000003</v>
      </c>
      <c r="AE1319">
        <v>-78.320999999999998</v>
      </c>
      <c r="AF1319">
        <v>14.7800835681183</v>
      </c>
      <c r="AG1319">
        <v>-0.98915770000000003</v>
      </c>
      <c r="AH1319">
        <v>77.865377911804501</v>
      </c>
      <c r="AI1319">
        <v>90.715047753727305</v>
      </c>
      <c r="AJ1319">
        <v>79.252216173704298</v>
      </c>
      <c r="AK1319">
        <v>79.261884790762807</v>
      </c>
      <c r="AL1319">
        <v>91.853054269477695</v>
      </c>
      <c r="AM1319">
        <v>90.348029056787894</v>
      </c>
      <c r="AN1319">
        <v>0.99999999216964297</v>
      </c>
    </row>
    <row r="1320" spans="1:40" x14ac:dyDescent="0.25">
      <c r="A1320" t="str">
        <f>"20190312151522847"</f>
        <v>20190312151522847</v>
      </c>
      <c r="B1320" t="str">
        <f>"1552374922839012"</f>
        <v>1552374922839012</v>
      </c>
      <c r="C1320" t="s">
        <v>40</v>
      </c>
      <c r="D1320">
        <v>4.8847110000000002</v>
      </c>
      <c r="E1320">
        <v>0.5751233</v>
      </c>
      <c r="F1320" t="s">
        <v>43</v>
      </c>
      <c r="G1320">
        <v>-201.3416</v>
      </c>
      <c r="H1320">
        <v>7.9986500000000002E-2</v>
      </c>
      <c r="I1320">
        <v>260.9194</v>
      </c>
      <c r="J1320">
        <v>-190.70740000000001</v>
      </c>
      <c r="K1320">
        <v>1.1094759999999999</v>
      </c>
      <c r="L1320">
        <v>327.83949999999999</v>
      </c>
      <c r="M1320">
        <v>3.2482299999999999E-2</v>
      </c>
      <c r="N1320">
        <v>0</v>
      </c>
      <c r="O1320">
        <v>-0.99937640000000005</v>
      </c>
      <c r="P1320">
        <v>3.7790780000000003E-2</v>
      </c>
      <c r="Q1320">
        <v>-4.5679299999999999E-2</v>
      </c>
      <c r="R1320">
        <v>-0.9982415</v>
      </c>
      <c r="S1320">
        <v>-0.47813420000000001</v>
      </c>
      <c r="T1320">
        <v>-4.6320680000000003E-2</v>
      </c>
      <c r="U1320">
        <v>-3.0219119999999999</v>
      </c>
      <c r="V1320">
        <v>-5.3629300000000001E-3</v>
      </c>
      <c r="W1320">
        <v>-3.1829139999999999E-2</v>
      </c>
      <c r="X1320">
        <v>0.99947889999999995</v>
      </c>
      <c r="Y1320">
        <v>0.1882643</v>
      </c>
      <c r="Z1320">
        <v>1.50835E-2</v>
      </c>
      <c r="AA1320">
        <v>0.98200259999999995</v>
      </c>
      <c r="AB1320">
        <v>25</v>
      </c>
      <c r="AC1320">
        <v>-10.6341999999999</v>
      </c>
      <c r="AD1320">
        <v>-1.0294894999999999</v>
      </c>
      <c r="AE1320">
        <v>-66.920099999999906</v>
      </c>
      <c r="AF1320">
        <v>12.7995599539507</v>
      </c>
      <c r="AG1320">
        <v>-1.0294894999999999</v>
      </c>
      <c r="AH1320">
        <v>66.523967824355594</v>
      </c>
      <c r="AI1320">
        <v>90.870641693804501</v>
      </c>
      <c r="AJ1320">
        <v>79.109083330808105</v>
      </c>
      <c r="AK1320">
        <v>67.7519511065275</v>
      </c>
      <c r="AL1320">
        <v>91.823983520665294</v>
      </c>
      <c r="AM1320">
        <v>90.307430508009602</v>
      </c>
      <c r="AN1320">
        <v>0.99999996335826602</v>
      </c>
    </row>
    <row r="1321" spans="1:40" x14ac:dyDescent="0.25">
      <c r="A1321" t="str">
        <f>"20190312151522873"</f>
        <v>20190312151522873</v>
      </c>
      <c r="B1321" t="str">
        <f>"1552374922869265"</f>
        <v>1552374922869265</v>
      </c>
      <c r="C1321" t="s">
        <v>40</v>
      </c>
      <c r="D1321">
        <v>4.8791219999999997</v>
      </c>
      <c r="E1321">
        <v>0.57558819999999999</v>
      </c>
      <c r="F1321" t="s">
        <v>50</v>
      </c>
      <c r="G1321">
        <v>-199.98179999999999</v>
      </c>
      <c r="H1321">
        <v>7.4049459999999998E-2</v>
      </c>
      <c r="I1321">
        <v>270.09460000000001</v>
      </c>
      <c r="J1321">
        <v>-190.69919999999999</v>
      </c>
      <c r="K1321">
        <v>1.109477</v>
      </c>
      <c r="L1321">
        <v>327.57229999999998</v>
      </c>
      <c r="M1321">
        <v>3.2086879999999998E-2</v>
      </c>
      <c r="N1321">
        <v>0</v>
      </c>
      <c r="O1321">
        <v>-0.99938910000000003</v>
      </c>
      <c r="P1321">
        <v>3.7081250000000003E-2</v>
      </c>
      <c r="Q1321">
        <v>-4.536594E-2</v>
      </c>
      <c r="R1321">
        <v>-0.998282</v>
      </c>
      <c r="S1321">
        <v>-0.48522949999999998</v>
      </c>
      <c r="T1321">
        <v>-5.4172869999999998E-2</v>
      </c>
      <c r="U1321">
        <v>-3.0211790000000001</v>
      </c>
      <c r="V1321">
        <v>-5.0474769999999999E-3</v>
      </c>
      <c r="W1321">
        <v>-3.1518650000000002E-2</v>
      </c>
      <c r="X1321">
        <v>0.9994904</v>
      </c>
      <c r="Y1321">
        <v>0.19015460000000001</v>
      </c>
      <c r="Z1321">
        <v>1.7637750000000001E-2</v>
      </c>
      <c r="AA1321">
        <v>0.98159569999999996</v>
      </c>
      <c r="AB1321">
        <v>25</v>
      </c>
      <c r="AC1321">
        <v>-9.2826000000000004</v>
      </c>
      <c r="AD1321">
        <v>-1.0354275399999999</v>
      </c>
      <c r="AE1321">
        <v>-57.477699999999899</v>
      </c>
      <c r="AF1321">
        <v>11.1187597924056</v>
      </c>
      <c r="AG1321">
        <v>-1.0354275399999999</v>
      </c>
      <c r="AH1321">
        <v>57.132150643478198</v>
      </c>
      <c r="AI1321">
        <v>91.019162554586202</v>
      </c>
      <c r="AJ1321">
        <v>78.987056588556101</v>
      </c>
      <c r="AK1321">
        <v>58.213242193343703</v>
      </c>
      <c r="AL1321">
        <v>91.806184791088398</v>
      </c>
      <c r="AM1321">
        <v>90.289344120608007</v>
      </c>
      <c r="AN1321">
        <v>0.99999998100702303</v>
      </c>
    </row>
    <row r="1322" spans="1:40" x14ac:dyDescent="0.25">
      <c r="A1322" t="str">
        <f>"20190312151522894"</f>
        <v>20190312151522894</v>
      </c>
      <c r="B1322" t="str">
        <f>"1552374922888784"</f>
        <v>1552374922888784</v>
      </c>
      <c r="C1322" t="s">
        <v>40</v>
      </c>
      <c r="D1322">
        <v>4.7314769999999999</v>
      </c>
      <c r="E1322">
        <v>0.57551039999999998</v>
      </c>
      <c r="F1322" t="s">
        <v>50</v>
      </c>
      <c r="G1322">
        <v>-199.6379</v>
      </c>
      <c r="H1322" s="1">
        <v>4.566499E-6</v>
      </c>
      <c r="I1322">
        <v>272.59160000000003</v>
      </c>
      <c r="J1322">
        <v>-190.6918</v>
      </c>
      <c r="K1322">
        <v>1.1094820000000001</v>
      </c>
      <c r="L1322">
        <v>327.3297</v>
      </c>
      <c r="M1322">
        <v>3.1727680000000001E-2</v>
      </c>
      <c r="N1322">
        <v>0</v>
      </c>
      <c r="O1322">
        <v>-0.99940070000000003</v>
      </c>
      <c r="P1322">
        <v>3.602458E-2</v>
      </c>
      <c r="Q1322">
        <v>-4.5225229999999998E-2</v>
      </c>
      <c r="R1322">
        <v>-0.99832739999999998</v>
      </c>
      <c r="S1322">
        <v>-0.49108889999999999</v>
      </c>
      <c r="T1322">
        <v>-6.0954210000000002E-2</v>
      </c>
      <c r="U1322">
        <v>-3.0206300000000001</v>
      </c>
      <c r="V1322">
        <v>-4.348808E-3</v>
      </c>
      <c r="W1322">
        <v>-3.1380789999999999E-2</v>
      </c>
      <c r="X1322">
        <v>0.99949809999999994</v>
      </c>
      <c r="Y1322">
        <v>0.1916784</v>
      </c>
      <c r="Z1322">
        <v>1.984269E-2</v>
      </c>
      <c r="AA1322">
        <v>0.98125720000000005</v>
      </c>
      <c r="AB1322">
        <v>25</v>
      </c>
      <c r="AC1322">
        <v>-8.9460999999999995</v>
      </c>
      <c r="AD1322">
        <v>-1.109477433501</v>
      </c>
      <c r="AE1322">
        <v>-54.738099999999903</v>
      </c>
      <c r="AF1322">
        <v>10.6742033939229</v>
      </c>
      <c r="AG1322">
        <v>-1.109477433501</v>
      </c>
      <c r="AH1322">
        <v>54.404901205889601</v>
      </c>
      <c r="AI1322">
        <v>91.146418240014995</v>
      </c>
      <c r="AJ1322">
        <v>78.899608415876102</v>
      </c>
      <c r="AK1322">
        <v>55.453249079678699</v>
      </c>
      <c r="AL1322">
        <v>91.798281945264605</v>
      </c>
      <c r="AM1322">
        <v>90.249291891584903</v>
      </c>
      <c r="AN1322">
        <v>1.00000005900782</v>
      </c>
    </row>
    <row r="1323" spans="1:40" x14ac:dyDescent="0.25">
      <c r="A1323" t="str">
        <f>"20190312151522927"</f>
        <v>20190312151522927</v>
      </c>
      <c r="B1323" t="str">
        <f>"1552374922919041"</f>
        <v>1552374922919041</v>
      </c>
      <c r="C1323" t="s">
        <v>40</v>
      </c>
      <c r="D1323">
        <v>4.856522</v>
      </c>
      <c r="E1323">
        <v>0.57560009999999995</v>
      </c>
      <c r="F1323" t="s">
        <v>50</v>
      </c>
      <c r="G1323">
        <v>-198.9564</v>
      </c>
      <c r="H1323" s="1">
        <v>3.5676299999999999E-6</v>
      </c>
      <c r="I1323">
        <v>276.76659999999998</v>
      </c>
      <c r="J1323">
        <v>-190.6808</v>
      </c>
      <c r="K1323">
        <v>1.109477</v>
      </c>
      <c r="L1323">
        <v>326.96210000000002</v>
      </c>
      <c r="M1323">
        <v>3.1183789999999999E-2</v>
      </c>
      <c r="N1323">
        <v>0</v>
      </c>
      <c r="O1323">
        <v>-0.99941789999999997</v>
      </c>
      <c r="P1323">
        <v>3.4682560000000001E-2</v>
      </c>
      <c r="Q1323">
        <v>-4.5354409999999998E-2</v>
      </c>
      <c r="R1323">
        <v>-0.99836899999999995</v>
      </c>
      <c r="S1323">
        <v>-0.49359130000000001</v>
      </c>
      <c r="T1323">
        <v>-6.6262600000000005E-2</v>
      </c>
      <c r="U1323">
        <v>-3.0198360000000002</v>
      </c>
      <c r="V1323">
        <v>-3.5500140000000002E-3</v>
      </c>
      <c r="W1323">
        <v>-3.1514470000000003E-2</v>
      </c>
      <c r="X1323">
        <v>0.99949699999999997</v>
      </c>
      <c r="Y1323">
        <v>0.19197139999999999</v>
      </c>
      <c r="Z1323">
        <v>2.1574059999999999E-2</v>
      </c>
      <c r="AA1323">
        <v>0.98116340000000002</v>
      </c>
      <c r="AB1323">
        <v>25</v>
      </c>
      <c r="AC1323">
        <v>-8.2755999999999901</v>
      </c>
      <c r="AD1323">
        <v>-1.10947343237</v>
      </c>
      <c r="AE1323">
        <v>-50.195500000000003</v>
      </c>
      <c r="AF1323">
        <v>9.8323338875874793</v>
      </c>
      <c r="AG1323">
        <v>-1.10947343237</v>
      </c>
      <c r="AH1323">
        <v>49.889266165983102</v>
      </c>
      <c r="AI1323">
        <v>91.249938997608297</v>
      </c>
      <c r="AJ1323">
        <v>78.850852495771093</v>
      </c>
      <c r="AK1323">
        <v>50.861032230524302</v>
      </c>
      <c r="AL1323">
        <v>91.805945125638004</v>
      </c>
      <c r="AM1323">
        <v>90.203502325768696</v>
      </c>
      <c r="AN1323">
        <v>1.0000000087138901</v>
      </c>
    </row>
    <row r="1324" spans="1:40" x14ac:dyDescent="0.25">
      <c r="A1324" t="str">
        <f>"20190312151522950"</f>
        <v>20190312151522950</v>
      </c>
      <c r="B1324" t="str">
        <f>"1552374922938560"</f>
        <v>1552374922938560</v>
      </c>
      <c r="C1324" t="s">
        <v>40</v>
      </c>
      <c r="D1324">
        <v>4.8560540000000003</v>
      </c>
      <c r="E1324">
        <v>0.5756462</v>
      </c>
      <c r="F1324" t="s">
        <v>50</v>
      </c>
      <c r="G1324">
        <v>-198.02160000000001</v>
      </c>
      <c r="H1324" s="1">
        <v>2.7262019999999999E-6</v>
      </c>
      <c r="I1324">
        <v>282.5059</v>
      </c>
      <c r="J1324">
        <v>-190.67359999999999</v>
      </c>
      <c r="K1324">
        <v>1.1094820000000001</v>
      </c>
      <c r="L1324">
        <v>326.71769999999998</v>
      </c>
      <c r="M1324">
        <v>3.082201E-2</v>
      </c>
      <c r="N1324">
        <v>0</v>
      </c>
      <c r="O1324">
        <v>-0.99942909999999996</v>
      </c>
      <c r="P1324">
        <v>3.409454E-2</v>
      </c>
      <c r="Q1324">
        <v>-4.5544599999999998E-2</v>
      </c>
      <c r="R1324">
        <v>-0.9983805</v>
      </c>
      <c r="S1324">
        <v>-0.49847409999999998</v>
      </c>
      <c r="T1324">
        <v>-7.5338959999999996E-2</v>
      </c>
      <c r="U1324">
        <v>-3.018799</v>
      </c>
      <c r="V1324">
        <v>-3.3236089999999999E-3</v>
      </c>
      <c r="W1324">
        <v>-3.1707560000000003E-2</v>
      </c>
      <c r="X1324">
        <v>0.99949169999999998</v>
      </c>
      <c r="Y1324">
        <v>0.19320380000000001</v>
      </c>
      <c r="Z1324">
        <v>2.453002E-2</v>
      </c>
      <c r="AA1324">
        <v>0.9808519</v>
      </c>
      <c r="AB1324">
        <v>25</v>
      </c>
      <c r="AC1324">
        <v>-7.3480000000000096</v>
      </c>
      <c r="AD1324">
        <v>-1.1094792737979999</v>
      </c>
      <c r="AE1324">
        <v>-44.211799999999897</v>
      </c>
      <c r="AF1324">
        <v>8.7020025332225703</v>
      </c>
      <c r="AG1324">
        <v>-1.1094792737979999</v>
      </c>
      <c r="AH1324">
        <v>43.937363232269803</v>
      </c>
      <c r="AI1324">
        <v>91.418940231374293</v>
      </c>
      <c r="AJ1324">
        <v>78.797276606429193</v>
      </c>
      <c r="AK1324">
        <v>44.804549770660699</v>
      </c>
      <c r="AL1324">
        <v>91.817013847767299</v>
      </c>
      <c r="AM1324">
        <v>90.190524910372204</v>
      </c>
      <c r="AN1324">
        <v>1.0000000370534099</v>
      </c>
    </row>
    <row r="1325" spans="1:40" x14ac:dyDescent="0.25">
      <c r="A1325" t="str">
        <f>"20190312151522971"</f>
        <v>20190312151522971</v>
      </c>
      <c r="B1325" t="str">
        <f>"1552374922968816"</f>
        <v>1552374922968816</v>
      </c>
      <c r="C1325" t="s">
        <v>40</v>
      </c>
      <c r="D1325">
        <v>4.7689500000000002</v>
      </c>
      <c r="E1325">
        <v>0.57557150000000001</v>
      </c>
      <c r="F1325" t="s">
        <v>50</v>
      </c>
      <c r="G1325">
        <v>-198.3108</v>
      </c>
      <c r="H1325" s="1">
        <v>2.8357659999999999E-6</v>
      </c>
      <c r="I1325">
        <v>280.66590000000002</v>
      </c>
      <c r="J1325">
        <v>-190.66650000000001</v>
      </c>
      <c r="K1325">
        <v>1.1094850000000001</v>
      </c>
      <c r="L1325">
        <v>326.47230000000002</v>
      </c>
      <c r="M1325">
        <v>3.045875E-2</v>
      </c>
      <c r="N1325">
        <v>0</v>
      </c>
      <c r="O1325">
        <v>-0.99944060000000001</v>
      </c>
      <c r="P1325">
        <v>3.3314690000000001E-2</v>
      </c>
      <c r="Q1325">
        <v>-4.5401209999999997E-2</v>
      </c>
      <c r="R1325">
        <v>-0.99841380000000002</v>
      </c>
      <c r="S1325">
        <v>-0.50061040000000001</v>
      </c>
      <c r="T1325">
        <v>-7.2726009999999994E-2</v>
      </c>
      <c r="U1325">
        <v>-3.0186769999999998</v>
      </c>
      <c r="V1325">
        <v>-2.9056490000000002E-3</v>
      </c>
      <c r="W1325">
        <v>-3.1566999999999998E-2</v>
      </c>
      <c r="X1325">
        <v>0.99949739999999998</v>
      </c>
      <c r="Y1325">
        <v>0.1935325</v>
      </c>
      <c r="Z1325">
        <v>2.3678959999999999E-2</v>
      </c>
      <c r="AA1325">
        <v>0.98080809999999996</v>
      </c>
      <c r="AB1325">
        <v>25</v>
      </c>
      <c r="AC1325">
        <v>-7.6442999999999799</v>
      </c>
      <c r="AD1325">
        <v>-1.109482164234</v>
      </c>
      <c r="AE1325">
        <v>-45.806399999999996</v>
      </c>
      <c r="AF1325">
        <v>9.0309367720394</v>
      </c>
      <c r="AG1325">
        <v>-1.109482164234</v>
      </c>
      <c r="AH1325">
        <v>45.526299973510298</v>
      </c>
      <c r="AI1325">
        <v>91.369358189793303</v>
      </c>
      <c r="AJ1325">
        <v>78.780035404679694</v>
      </c>
      <c r="AK1325">
        <v>46.4266384625397</v>
      </c>
      <c r="AL1325">
        <v>91.808956413207895</v>
      </c>
      <c r="AM1325">
        <v>90.166564670858094</v>
      </c>
      <c r="AN1325">
        <v>0.99999998544593505</v>
      </c>
    </row>
    <row r="1326" spans="1:40" x14ac:dyDescent="0.25">
      <c r="A1326" t="str">
        <f>"20190312151522996"</f>
        <v>20190312151522996</v>
      </c>
      <c r="B1326" t="str">
        <f>"1552374922989312"</f>
        <v>1552374922989312</v>
      </c>
      <c r="C1326" t="s">
        <v>40</v>
      </c>
      <c r="D1326">
        <v>4.9695580000000001</v>
      </c>
      <c r="E1326">
        <v>0.57549830000000002</v>
      </c>
      <c r="F1326" t="s">
        <v>50</v>
      </c>
      <c r="G1326">
        <v>-198.66640000000001</v>
      </c>
      <c r="H1326" s="1">
        <v>3.1834459999999999E-6</v>
      </c>
      <c r="I1326">
        <v>278.4117</v>
      </c>
      <c r="J1326">
        <v>-190.65899999999999</v>
      </c>
      <c r="K1326">
        <v>1.1094839999999999</v>
      </c>
      <c r="L1326">
        <v>326.21129999999999</v>
      </c>
      <c r="M1326">
        <v>3.00723E-2</v>
      </c>
      <c r="N1326">
        <v>0</v>
      </c>
      <c r="O1326">
        <v>-0.99945200000000001</v>
      </c>
      <c r="P1326">
        <v>3.2284500000000001E-2</v>
      </c>
      <c r="Q1326">
        <v>-4.5863170000000002E-2</v>
      </c>
      <c r="R1326">
        <v>-0.99842600000000004</v>
      </c>
      <c r="S1326">
        <v>-0.50242609999999999</v>
      </c>
      <c r="T1326">
        <v>-6.9679980000000002E-2</v>
      </c>
      <c r="U1326">
        <v>-3.018402</v>
      </c>
      <c r="V1326">
        <v>-2.2622079999999999E-3</v>
      </c>
      <c r="W1326">
        <v>-3.203222E-2</v>
      </c>
      <c r="X1326">
        <v>0.99948429999999999</v>
      </c>
      <c r="Y1326">
        <v>0.19374559999999999</v>
      </c>
      <c r="Z1326">
        <v>2.2688570000000002E-2</v>
      </c>
      <c r="AA1326">
        <v>0.98078940000000003</v>
      </c>
      <c r="AB1326">
        <v>25</v>
      </c>
      <c r="AC1326">
        <v>-8.0073999999999899</v>
      </c>
      <c r="AD1326">
        <v>-1.109480816554</v>
      </c>
      <c r="AE1326">
        <v>-47.799599999999998</v>
      </c>
      <c r="AF1326">
        <v>9.4364140947675104</v>
      </c>
      <c r="AG1326">
        <v>-1.109480816554</v>
      </c>
      <c r="AH1326">
        <v>47.512254655660399</v>
      </c>
      <c r="AI1326">
        <v>91.312078752811203</v>
      </c>
      <c r="AJ1326">
        <v>78.766659938696904</v>
      </c>
      <c r="AK1326">
        <v>48.452979280066501</v>
      </c>
      <c r="AL1326">
        <v>91.835624974100099</v>
      </c>
      <c r="AM1326">
        <v>90.129681626262595</v>
      </c>
      <c r="AN1326">
        <v>1.0000000233248201</v>
      </c>
    </row>
    <row r="1327" spans="1:40" x14ac:dyDescent="0.25">
      <c r="A1327" t="str">
        <f>"20190312151523016"</f>
        <v>20190312151523016</v>
      </c>
      <c r="B1327" t="str">
        <f>"1552374923008832"</f>
        <v>1552374923008832</v>
      </c>
      <c r="C1327" t="s">
        <v>40</v>
      </c>
      <c r="D1327">
        <v>4.9139530000000002</v>
      </c>
      <c r="E1327">
        <v>0.57563710000000001</v>
      </c>
      <c r="F1327" t="s">
        <v>50</v>
      </c>
      <c r="G1327">
        <v>-198.4221</v>
      </c>
      <c r="H1327" s="1">
        <v>2.88982E-6</v>
      </c>
      <c r="I1327">
        <v>279.82159999999999</v>
      </c>
      <c r="J1327">
        <v>-190.65260000000001</v>
      </c>
      <c r="K1327">
        <v>1.1094839999999999</v>
      </c>
      <c r="L1327">
        <v>325.98669999999998</v>
      </c>
      <c r="M1327">
        <v>2.9739459999999999E-2</v>
      </c>
      <c r="N1327">
        <v>0</v>
      </c>
      <c r="O1327">
        <v>-0.99946199999999996</v>
      </c>
      <c r="P1327">
        <v>3.1459250000000001E-2</v>
      </c>
      <c r="Q1327">
        <v>-4.5876430000000003E-2</v>
      </c>
      <c r="R1327">
        <v>-0.99845189999999995</v>
      </c>
      <c r="S1327">
        <v>-0.50500489999999998</v>
      </c>
      <c r="T1327">
        <v>-7.2173710000000002E-2</v>
      </c>
      <c r="U1327">
        <v>-3.0177309999999999</v>
      </c>
      <c r="V1327">
        <v>-1.7689349999999999E-3</v>
      </c>
      <c r="W1327">
        <v>-3.2048229999999997E-2</v>
      </c>
      <c r="X1327">
        <v>0.99948479999999995</v>
      </c>
      <c r="Y1327">
        <v>0.19426640000000001</v>
      </c>
      <c r="Z1327">
        <v>2.3502760000000001E-2</v>
      </c>
      <c r="AA1327">
        <v>0.98066719999999996</v>
      </c>
      <c r="AB1327">
        <v>25</v>
      </c>
      <c r="AC1327">
        <v>-7.7694999999999901</v>
      </c>
      <c r="AD1327">
        <v>-1.10948111018</v>
      </c>
      <c r="AE1327">
        <v>-46.165100000000002</v>
      </c>
      <c r="AF1327">
        <v>9.1339889396702105</v>
      </c>
      <c r="AG1327">
        <v>-1.10948111018</v>
      </c>
      <c r="AH1327">
        <v>45.887819846391203</v>
      </c>
      <c r="AI1327">
        <v>91.358395404523193</v>
      </c>
      <c r="AJ1327">
        <v>78.742392467861293</v>
      </c>
      <c r="AK1327">
        <v>46.801204178297702</v>
      </c>
      <c r="AL1327">
        <v>91.836542716763802</v>
      </c>
      <c r="AM1327">
        <v>90.101404647583493</v>
      </c>
      <c r="AN1327">
        <v>1.0000000418041</v>
      </c>
    </row>
    <row r="1328" spans="1:40" x14ac:dyDescent="0.25">
      <c r="A1328" t="str">
        <f>"20190312151523038"</f>
        <v>20190312151523038</v>
      </c>
      <c r="B1328" t="str">
        <f>"1552374923029328"</f>
        <v>1552374923029328</v>
      </c>
      <c r="C1328" t="s">
        <v>40</v>
      </c>
      <c r="D1328">
        <v>4.8417089999999998</v>
      </c>
      <c r="E1328">
        <v>0.57581280000000001</v>
      </c>
      <c r="F1328" t="s">
        <v>50</v>
      </c>
      <c r="G1328">
        <v>-198.37289999999999</v>
      </c>
      <c r="H1328" s="1">
        <v>2.8674869999999999E-6</v>
      </c>
      <c r="I1328">
        <v>280.17700000000002</v>
      </c>
      <c r="J1328">
        <v>-190.64590000000001</v>
      </c>
      <c r="K1328">
        <v>1.1094809999999999</v>
      </c>
      <c r="L1328">
        <v>325.74579999999997</v>
      </c>
      <c r="M1328">
        <v>2.938236E-2</v>
      </c>
      <c r="N1328">
        <v>0</v>
      </c>
      <c r="O1328">
        <v>-0.99947249999999999</v>
      </c>
      <c r="P1328">
        <v>3.0936470000000001E-2</v>
      </c>
      <c r="Q1328">
        <v>-4.6550719999999997E-2</v>
      </c>
      <c r="R1328">
        <v>-0.99843669999999995</v>
      </c>
      <c r="S1328">
        <v>-0.50849909999999998</v>
      </c>
      <c r="T1328">
        <v>-7.3076370000000002E-2</v>
      </c>
      <c r="U1328">
        <v>-3.0172729999999999</v>
      </c>
      <c r="V1328">
        <v>-1.604475E-3</v>
      </c>
      <c r="W1328">
        <v>-3.2725610000000002E-2</v>
      </c>
      <c r="X1328">
        <v>0.99946310000000005</v>
      </c>
      <c r="Y1328">
        <v>0.19504350000000001</v>
      </c>
      <c r="Z1328">
        <v>2.3796350000000001E-2</v>
      </c>
      <c r="AA1328">
        <v>0.98050590000000004</v>
      </c>
      <c r="AB1328">
        <v>25</v>
      </c>
      <c r="AC1328">
        <v>-7.7269999999999701</v>
      </c>
      <c r="AD1328">
        <v>-1.1094781325130001</v>
      </c>
      <c r="AE1328">
        <v>-45.568799999999896</v>
      </c>
      <c r="AF1328">
        <v>9.0574910898913199</v>
      </c>
      <c r="AG1328">
        <v>-1.1094781325130001</v>
      </c>
      <c r="AH1328">
        <v>45.295961855369598</v>
      </c>
      <c r="AI1328">
        <v>91.375893654391206</v>
      </c>
      <c r="AJ1328">
        <v>78.692136757293298</v>
      </c>
      <c r="AK1328">
        <v>46.205987133412499</v>
      </c>
      <c r="AL1328">
        <v>91.875374153738306</v>
      </c>
      <c r="AM1328">
        <v>90.091978950362005</v>
      </c>
      <c r="AN1328">
        <v>1.0000000140757499</v>
      </c>
    </row>
    <row r="1329" spans="1:40" x14ac:dyDescent="0.25">
      <c r="A1329" t="str">
        <f>"20190312151523061"</f>
        <v>20190312151523061</v>
      </c>
      <c r="B1329" t="str">
        <f>"1552374923048849"</f>
        <v>1552374923048849</v>
      </c>
      <c r="C1329" t="s">
        <v>40</v>
      </c>
      <c r="D1329">
        <v>4.871626</v>
      </c>
      <c r="E1329">
        <v>0.57586769999999998</v>
      </c>
      <c r="F1329" t="s">
        <v>50</v>
      </c>
      <c r="G1329">
        <v>-197.9367</v>
      </c>
      <c r="H1329" s="1">
        <v>2.720224E-6</v>
      </c>
      <c r="I1329">
        <v>282.7466</v>
      </c>
      <c r="J1329">
        <v>-190.63910000000001</v>
      </c>
      <c r="K1329">
        <v>1.1094809999999999</v>
      </c>
      <c r="L1329">
        <v>325.49930000000001</v>
      </c>
      <c r="M1329">
        <v>2.9017169999999998E-2</v>
      </c>
      <c r="N1329">
        <v>0</v>
      </c>
      <c r="O1329">
        <v>-0.99948349999999997</v>
      </c>
      <c r="P1329">
        <v>3.023211E-2</v>
      </c>
      <c r="Q1329">
        <v>-4.6777289999999999E-2</v>
      </c>
      <c r="R1329">
        <v>-0.99844809999999995</v>
      </c>
      <c r="S1329">
        <v>-0.51153559999999998</v>
      </c>
      <c r="T1329">
        <v>-7.7843190000000007E-2</v>
      </c>
      <c r="U1329">
        <v>-3.0169069999999998</v>
      </c>
      <c r="V1329">
        <v>-1.2646630000000001E-3</v>
      </c>
      <c r="W1329">
        <v>-3.2955140000000001E-2</v>
      </c>
      <c r="X1329">
        <v>0.99945600000000001</v>
      </c>
      <c r="Y1329">
        <v>0.19565769999999999</v>
      </c>
      <c r="Z1329">
        <v>2.5347390000000001E-2</v>
      </c>
      <c r="AA1329">
        <v>0.98034460000000001</v>
      </c>
      <c r="AB1329">
        <v>24</v>
      </c>
      <c r="AC1329">
        <v>-7.2975999999999797</v>
      </c>
      <c r="AD1329">
        <v>-1.1094782797760001</v>
      </c>
      <c r="AE1329">
        <v>-42.752699999999997</v>
      </c>
      <c r="AF1329">
        <v>8.5296254680013508</v>
      </c>
      <c r="AG1329">
        <v>-1.1094782797760001</v>
      </c>
      <c r="AH1329">
        <v>42.495109633537197</v>
      </c>
      <c r="AI1329">
        <v>91.466326678871397</v>
      </c>
      <c r="AJ1329">
        <v>78.650397561578899</v>
      </c>
      <c r="AK1329">
        <v>43.356888673474003</v>
      </c>
      <c r="AL1329">
        <v>91.888532437778693</v>
      </c>
      <c r="AM1329">
        <v>90.072499253328004</v>
      </c>
      <c r="AN1329">
        <v>0.999999968280461</v>
      </c>
    </row>
    <row r="1330" spans="1:40" x14ac:dyDescent="0.25">
      <c r="A1330" t="str">
        <f>"20190312151523084"</f>
        <v>20190312151523084</v>
      </c>
      <c r="B1330" t="str">
        <f>"1552374923079104"</f>
        <v>1552374923079104</v>
      </c>
      <c r="C1330" t="s">
        <v>40</v>
      </c>
      <c r="D1330">
        <v>4.9768589999999904</v>
      </c>
      <c r="E1330">
        <v>0.57562800000000003</v>
      </c>
      <c r="F1330" t="s">
        <v>50</v>
      </c>
      <c r="G1330">
        <v>-197.71190000000001</v>
      </c>
      <c r="H1330" s="1">
        <v>2.650904E-6</v>
      </c>
      <c r="I1330">
        <v>283.9957</v>
      </c>
      <c r="J1330">
        <v>-190.63210000000001</v>
      </c>
      <c r="K1330">
        <v>1.1094809999999999</v>
      </c>
      <c r="L1330">
        <v>325.24419999999998</v>
      </c>
      <c r="M1330">
        <v>2.8639339999999999E-2</v>
      </c>
      <c r="N1330">
        <v>0</v>
      </c>
      <c r="O1330">
        <v>-0.9994942</v>
      </c>
      <c r="P1330">
        <v>2.9723389999999999E-2</v>
      </c>
      <c r="Q1330">
        <v>-4.6412349999999998E-2</v>
      </c>
      <c r="R1330">
        <v>-0.99848009999999998</v>
      </c>
      <c r="S1330">
        <v>-0.51403809999999905</v>
      </c>
      <c r="T1330">
        <v>-8.0635189999999995E-2</v>
      </c>
      <c r="U1330">
        <v>-3.0164179999999998</v>
      </c>
      <c r="V1330">
        <v>-1.1326649999999999E-3</v>
      </c>
      <c r="W1330">
        <v>-3.259281E-2</v>
      </c>
      <c r="X1330">
        <v>0.99946809999999997</v>
      </c>
      <c r="Y1330">
        <v>0.19609960000000001</v>
      </c>
      <c r="Z1330">
        <v>2.6257519999999999E-2</v>
      </c>
      <c r="AA1330">
        <v>0.9802324</v>
      </c>
      <c r="AB1330">
        <v>24</v>
      </c>
      <c r="AC1330">
        <v>-7.0797999999999996</v>
      </c>
      <c r="AD1330">
        <v>-1.1094783490959901</v>
      </c>
      <c r="AE1330">
        <v>-41.2484999999999</v>
      </c>
      <c r="AF1330">
        <v>8.2525384875500496</v>
      </c>
      <c r="AG1330">
        <v>-1.1094783490959901</v>
      </c>
      <c r="AH1330">
        <v>40.999983379979099</v>
      </c>
      <c r="AI1330">
        <v>91.519609220444195</v>
      </c>
      <c r="AJ1330">
        <v>78.619483988695904</v>
      </c>
      <c r="AK1330">
        <v>41.836992851472601</v>
      </c>
      <c r="AL1330">
        <v>91.867761186110201</v>
      </c>
      <c r="AM1330">
        <v>90.064931433349301</v>
      </c>
      <c r="AN1330">
        <v>1.0000000285556501</v>
      </c>
    </row>
    <row r="1331" spans="1:40" x14ac:dyDescent="0.25">
      <c r="A1331" t="str">
        <f>"20190312151523108"</f>
        <v>20190312151523108</v>
      </c>
      <c r="B1331" t="str">
        <f>"1552374923098624"</f>
        <v>1552374923098624</v>
      </c>
      <c r="C1331" t="s">
        <v>40</v>
      </c>
      <c r="D1331">
        <v>4.9679710000000004</v>
      </c>
      <c r="E1331">
        <v>0.57559289999999996</v>
      </c>
      <c r="F1331" t="s">
        <v>50</v>
      </c>
      <c r="G1331">
        <v>-197.50450000000001</v>
      </c>
      <c r="H1331" s="1">
        <v>2.6085979999999998E-6</v>
      </c>
      <c r="I1331">
        <v>284.90039999999999</v>
      </c>
      <c r="J1331">
        <v>-190.62520000000001</v>
      </c>
      <c r="K1331">
        <v>1.109483</v>
      </c>
      <c r="L1331">
        <v>324.98630000000003</v>
      </c>
      <c r="M1331">
        <v>2.825714E-2</v>
      </c>
      <c r="N1331">
        <v>0</v>
      </c>
      <c r="O1331">
        <v>-0.99950519999999998</v>
      </c>
      <c r="P1331">
        <v>2.890734E-2</v>
      </c>
      <c r="Q1331">
        <v>-4.5935820000000002E-2</v>
      </c>
      <c r="R1331">
        <v>-0.99852620000000003</v>
      </c>
      <c r="S1331">
        <v>-0.51376339999999998</v>
      </c>
      <c r="T1331">
        <v>-8.2942370000000001E-2</v>
      </c>
      <c r="U1331">
        <v>-3.016022</v>
      </c>
      <c r="V1331">
        <v>-6.9755469999999999E-4</v>
      </c>
      <c r="W1331">
        <v>-3.2119170000000002E-2</v>
      </c>
      <c r="X1331">
        <v>0.99948380000000003</v>
      </c>
      <c r="Y1331">
        <v>0.19565589999999999</v>
      </c>
      <c r="Z1331">
        <v>2.701363E-2</v>
      </c>
      <c r="AA1331">
        <v>0.98030050000000002</v>
      </c>
      <c r="AB1331">
        <v>24</v>
      </c>
      <c r="AC1331">
        <v>-6.8792999999999997</v>
      </c>
      <c r="AD1331">
        <v>-1.1094803914019999</v>
      </c>
      <c r="AE1331">
        <v>-40.085900000000002</v>
      </c>
      <c r="AF1331">
        <v>8.0034178968910101</v>
      </c>
      <c r="AG1331">
        <v>-1.1094803914019999</v>
      </c>
      <c r="AH1331">
        <v>39.845831664399597</v>
      </c>
      <c r="AI1331">
        <v>91.563734123767802</v>
      </c>
      <c r="AJ1331">
        <v>78.642718078112694</v>
      </c>
      <c r="AK1331">
        <v>40.656806881491001</v>
      </c>
      <c r="AL1331">
        <v>91.840609455145099</v>
      </c>
      <c r="AM1331">
        <v>90.039987575386803</v>
      </c>
      <c r="AN1331">
        <v>0.99999999706324405</v>
      </c>
    </row>
    <row r="1332" spans="1:40" x14ac:dyDescent="0.25">
      <c r="A1332" t="str">
        <f>"20190312151523128"</f>
        <v>20190312151523128</v>
      </c>
      <c r="B1332" t="str">
        <f>"1552374923119120"</f>
        <v>1552374923119120</v>
      </c>
      <c r="C1332" t="s">
        <v>40</v>
      </c>
      <c r="D1332">
        <v>4.9617120000000003</v>
      </c>
      <c r="E1332">
        <v>0.57531259999999995</v>
      </c>
      <c r="F1332" t="s">
        <v>50</v>
      </c>
      <c r="G1332">
        <v>-197.4477</v>
      </c>
      <c r="H1332" s="1">
        <v>2.6011470000000002E-6</v>
      </c>
      <c r="I1332">
        <v>285.10090000000002</v>
      </c>
      <c r="J1332">
        <v>-190.61920000000001</v>
      </c>
      <c r="K1332">
        <v>1.1094850000000001</v>
      </c>
      <c r="L1332">
        <v>324.75880000000001</v>
      </c>
      <c r="M1332">
        <v>2.7919920000000001E-2</v>
      </c>
      <c r="N1332">
        <v>0</v>
      </c>
      <c r="O1332">
        <v>-0.99951469999999998</v>
      </c>
      <c r="P1332">
        <v>2.8702310000000002E-2</v>
      </c>
      <c r="Q1332">
        <v>-4.6070970000000003E-2</v>
      </c>
      <c r="R1332">
        <v>-0.99852589999999997</v>
      </c>
      <c r="S1332">
        <v>-0.51580809999999999</v>
      </c>
      <c r="T1332">
        <v>-8.3881259999999999E-2</v>
      </c>
      <c r="U1332">
        <v>-3.0155029999999998</v>
      </c>
      <c r="V1332">
        <v>-8.2956659999999999E-4</v>
      </c>
      <c r="W1332">
        <v>-3.2256809999999997E-2</v>
      </c>
      <c r="X1332">
        <v>0.99947929999999996</v>
      </c>
      <c r="Y1332">
        <v>0.19599739999999999</v>
      </c>
      <c r="Z1332">
        <v>2.7321720000000001E-2</v>
      </c>
      <c r="AA1332">
        <v>0.98022370000000003</v>
      </c>
      <c r="AB1332">
        <v>24</v>
      </c>
      <c r="AC1332">
        <v>-6.8284999999999902</v>
      </c>
      <c r="AD1332">
        <v>-1.109482398853</v>
      </c>
      <c r="AE1332">
        <v>-39.657899999999898</v>
      </c>
      <c r="AF1332">
        <v>7.9271628135061603</v>
      </c>
      <c r="AG1332">
        <v>-1.109482398853</v>
      </c>
      <c r="AH1332">
        <v>39.421801534676298</v>
      </c>
      <c r="AI1332">
        <v>91.580479374148993</v>
      </c>
      <c r="AJ1332">
        <v>78.6302633928197</v>
      </c>
      <c r="AK1332">
        <v>40.226226490992197</v>
      </c>
      <c r="AL1332">
        <v>91.848499672831693</v>
      </c>
      <c r="AM1332">
        <v>90.047555416195607</v>
      </c>
      <c r="AN1332">
        <v>1.0000000305503001</v>
      </c>
    </row>
    <row r="1333" spans="1:40" x14ac:dyDescent="0.25">
      <c r="A1333" t="str">
        <f>"20190312151523149"</f>
        <v>20190312151523149</v>
      </c>
      <c r="B1333" t="str">
        <f>"1552374923138641"</f>
        <v>1552374923138641</v>
      </c>
      <c r="C1333" t="s">
        <v>40</v>
      </c>
      <c r="D1333">
        <v>4.8773949999999999</v>
      </c>
      <c r="E1333">
        <v>0.57538789999999995</v>
      </c>
      <c r="F1333" t="s">
        <v>50</v>
      </c>
      <c r="G1333">
        <v>-197.0933</v>
      </c>
      <c r="H1333" s="1">
        <v>2.515122E-6</v>
      </c>
      <c r="I1333">
        <v>286.8039</v>
      </c>
      <c r="J1333">
        <v>-190.61320000000001</v>
      </c>
      <c r="K1333">
        <v>1.109483</v>
      </c>
      <c r="L1333">
        <v>324.53059999999999</v>
      </c>
      <c r="M1333">
        <v>2.7581350000000001E-2</v>
      </c>
      <c r="N1333">
        <v>0</v>
      </c>
      <c r="O1333">
        <v>-0.99952390000000002</v>
      </c>
      <c r="P1333">
        <v>2.825948E-2</v>
      </c>
      <c r="Q1333">
        <v>-4.5962719999999999E-2</v>
      </c>
      <c r="R1333">
        <v>-0.99854330000000002</v>
      </c>
      <c r="S1333">
        <v>-0.51429749999999996</v>
      </c>
      <c r="T1333">
        <v>-8.8135480000000002E-2</v>
      </c>
      <c r="U1333">
        <v>-3.0150760000000001</v>
      </c>
      <c r="V1333">
        <v>-7.2471949999999895E-4</v>
      </c>
      <c r="W1333">
        <v>-3.2150909999999998E-2</v>
      </c>
      <c r="X1333">
        <v>0.9994828</v>
      </c>
      <c r="Y1333">
        <v>0.1952045</v>
      </c>
      <c r="Z1333">
        <v>2.8714170000000001E-2</v>
      </c>
      <c r="AA1333">
        <v>0.98034209999999999</v>
      </c>
      <c r="AB1333">
        <v>24</v>
      </c>
      <c r="AC1333">
        <v>-6.4800999999999904</v>
      </c>
      <c r="AD1333">
        <v>-1.109480484878</v>
      </c>
      <c r="AE1333">
        <v>-37.726700000000001</v>
      </c>
      <c r="AF1333">
        <v>7.5119765176499298</v>
      </c>
      <c r="AG1333">
        <v>-1.109480484878</v>
      </c>
      <c r="AH1333">
        <v>37.502093309166298</v>
      </c>
      <c r="AI1333">
        <v>91.661585104201393</v>
      </c>
      <c r="AJ1333">
        <v>78.673089573885306</v>
      </c>
      <c r="AK1333">
        <v>38.263138145184399</v>
      </c>
      <c r="AL1333">
        <v>91.842428889546795</v>
      </c>
      <c r="AM1333">
        <v>90.041544848399298</v>
      </c>
      <c r="AN1333">
        <v>1.0000000368640101</v>
      </c>
    </row>
    <row r="1334" spans="1:40" x14ac:dyDescent="0.25">
      <c r="A1334" t="str">
        <f>"20190312151523172"</f>
        <v>20190312151523172</v>
      </c>
      <c r="B1334" t="str">
        <f>"1552374923168897"</f>
        <v>1552374923168897</v>
      </c>
      <c r="C1334" t="s">
        <v>40</v>
      </c>
      <c r="D1334">
        <v>5.1062500000000002</v>
      </c>
      <c r="E1334">
        <v>0.57533459999999903</v>
      </c>
      <c r="F1334" t="s">
        <v>50</v>
      </c>
      <c r="G1334">
        <v>-197.0651</v>
      </c>
      <c r="H1334" s="1">
        <v>2.5167009999999998E-6</v>
      </c>
      <c r="I1334">
        <v>286.84309999999999</v>
      </c>
      <c r="J1334">
        <v>-190.6069</v>
      </c>
      <c r="K1334">
        <v>1.1094919999999999</v>
      </c>
      <c r="L1334">
        <v>324.28629999999998</v>
      </c>
      <c r="M1334">
        <v>2.7218849999999999E-2</v>
      </c>
      <c r="N1334">
        <v>0</v>
      </c>
      <c r="O1334">
        <v>-0.99953420000000004</v>
      </c>
      <c r="P1334">
        <v>2.8041799999999999E-2</v>
      </c>
      <c r="Q1334">
        <v>-4.5469629999999997E-2</v>
      </c>
      <c r="R1334">
        <v>-0.99857229999999997</v>
      </c>
      <c r="S1334">
        <v>-0.51612849999999999</v>
      </c>
      <c r="T1334">
        <v>-8.8754420000000001E-2</v>
      </c>
      <c r="U1334">
        <v>-3.0148619999999999</v>
      </c>
      <c r="V1334">
        <v>-8.6818699999999997E-4</v>
      </c>
      <c r="W1334">
        <v>-3.1659899999999998E-2</v>
      </c>
      <c r="X1334">
        <v>0.99949829999999995</v>
      </c>
      <c r="Y1334">
        <v>0.19543779999999999</v>
      </c>
      <c r="Z1334">
        <v>2.8915960000000001E-2</v>
      </c>
      <c r="AA1334">
        <v>0.98028970000000004</v>
      </c>
      <c r="AB1334">
        <v>24</v>
      </c>
      <c r="AC1334">
        <v>-6.4581999999999997</v>
      </c>
      <c r="AD1334">
        <v>-1.1094894832990001</v>
      </c>
      <c r="AE1334">
        <v>-37.443199999999898</v>
      </c>
      <c r="AF1334">
        <v>7.4686965559626</v>
      </c>
      <c r="AG1334">
        <v>-1.1094894832990001</v>
      </c>
      <c r="AH1334">
        <v>37.221786047560997</v>
      </c>
      <c r="AI1334">
        <v>91.673993052643297</v>
      </c>
      <c r="AJ1334">
        <v>78.654047308481196</v>
      </c>
      <c r="AK1334">
        <v>37.979912476584303</v>
      </c>
      <c r="AL1334">
        <v>91.814281867694305</v>
      </c>
      <c r="AM1334">
        <v>90.049768407227404</v>
      </c>
      <c r="AN1334">
        <v>0.99999997735978297</v>
      </c>
    </row>
    <row r="1335" spans="1:40" x14ac:dyDescent="0.25">
      <c r="A1335" t="str">
        <f>"20190312151523197"</f>
        <v>20190312151523197</v>
      </c>
      <c r="B1335" t="str">
        <f>"1552374923189392"</f>
        <v>1552374923189392</v>
      </c>
      <c r="C1335" t="s">
        <v>40</v>
      </c>
      <c r="D1335">
        <v>4.878234</v>
      </c>
      <c r="E1335">
        <v>0.57530959999999998</v>
      </c>
      <c r="F1335" t="s">
        <v>50</v>
      </c>
      <c r="G1335">
        <v>-197.08680000000001</v>
      </c>
      <c r="H1335" s="1">
        <v>2.5467000000000001E-6</v>
      </c>
      <c r="I1335">
        <v>286.45580000000001</v>
      </c>
      <c r="J1335">
        <v>-190.6002</v>
      </c>
      <c r="K1335">
        <v>1.1094949999999999</v>
      </c>
      <c r="L1335">
        <v>324.02330000000001</v>
      </c>
      <c r="M1335">
        <v>2.6828609999999999E-2</v>
      </c>
      <c r="N1335">
        <v>0</v>
      </c>
      <c r="O1335">
        <v>-0.99954469999999995</v>
      </c>
      <c r="P1335">
        <v>2.6938150000000001E-2</v>
      </c>
      <c r="Q1335">
        <v>-4.5423680000000001E-2</v>
      </c>
      <c r="R1335">
        <v>-0.99860470000000001</v>
      </c>
      <c r="S1335">
        <v>-0.51640319999999995</v>
      </c>
      <c r="T1335">
        <v>-8.8417889999999999E-2</v>
      </c>
      <c r="U1335">
        <v>-3.0148009999999998</v>
      </c>
      <c r="V1335">
        <v>-1.5424319999999999E-4</v>
      </c>
      <c r="W1335">
        <v>-3.1617149999999997E-2</v>
      </c>
      <c r="X1335">
        <v>0.99950000000000006</v>
      </c>
      <c r="Y1335">
        <v>0.1951455</v>
      </c>
      <c r="Z1335">
        <v>2.8808070000000002E-2</v>
      </c>
      <c r="AA1335">
        <v>0.98035119999999998</v>
      </c>
      <c r="AB1335">
        <v>24</v>
      </c>
      <c r="AC1335">
        <v>-6.4866000000000099</v>
      </c>
      <c r="AD1335">
        <v>-1.1094924532999999</v>
      </c>
      <c r="AE1335">
        <v>-37.567500000000003</v>
      </c>
      <c r="AF1335">
        <v>7.48590426967887</v>
      </c>
      <c r="AG1335">
        <v>-1.1094924532999999</v>
      </c>
      <c r="AH1335">
        <v>37.348299162271601</v>
      </c>
      <c r="AI1335">
        <v>91.668400651463202</v>
      </c>
      <c r="AJ1335">
        <v>78.666107527573502</v>
      </c>
      <c r="AK1335">
        <v>38.107285216258397</v>
      </c>
      <c r="AL1335">
        <v>91.811831279533394</v>
      </c>
      <c r="AM1335">
        <v>90.008841905260994</v>
      </c>
      <c r="AN1335">
        <v>0.99999995898254201</v>
      </c>
    </row>
    <row r="1336" spans="1:40" x14ac:dyDescent="0.25">
      <c r="A1336" t="str">
        <f>"20190312151523217"</f>
        <v>20190312151523217</v>
      </c>
      <c r="B1336" t="str">
        <f>"1552374923209305"</f>
        <v>1552374923209305</v>
      </c>
      <c r="C1336" t="s">
        <v>40</v>
      </c>
      <c r="D1336">
        <v>4.92117</v>
      </c>
      <c r="E1336">
        <v>0.57540449999999999</v>
      </c>
      <c r="F1336" t="s">
        <v>50</v>
      </c>
      <c r="G1336">
        <v>-197.15710000000001</v>
      </c>
      <c r="H1336" s="1">
        <v>2.5748080000000001E-6</v>
      </c>
      <c r="I1336">
        <v>285.99169999999998</v>
      </c>
      <c r="J1336">
        <v>-190.59469999999999</v>
      </c>
      <c r="K1336">
        <v>1.109497</v>
      </c>
      <c r="L1336">
        <v>323.80430000000001</v>
      </c>
      <c r="M1336">
        <v>2.650344E-2</v>
      </c>
      <c r="N1336">
        <v>0</v>
      </c>
      <c r="O1336">
        <v>-0.99955349999999998</v>
      </c>
      <c r="P1336">
        <v>2.6379179999999999E-2</v>
      </c>
      <c r="Q1336">
        <v>-4.4914519999999999E-2</v>
      </c>
      <c r="R1336">
        <v>-0.99864280000000005</v>
      </c>
      <c r="S1336">
        <v>-0.51966859999999904</v>
      </c>
      <c r="T1336">
        <v>-8.7932830000000003E-2</v>
      </c>
      <c r="U1336">
        <v>-3.0141909999999998</v>
      </c>
      <c r="V1336" s="1">
        <v>8.1017479999999993E-5</v>
      </c>
      <c r="W1336">
        <v>-3.1110220000000001E-2</v>
      </c>
      <c r="X1336">
        <v>0.99951599999999996</v>
      </c>
      <c r="Y1336">
        <v>0.1958918</v>
      </c>
      <c r="Z1336">
        <v>2.8651490000000002E-2</v>
      </c>
      <c r="AA1336">
        <v>0.98020680000000004</v>
      </c>
      <c r="AB1336">
        <v>24</v>
      </c>
      <c r="AC1336">
        <v>-6.5624000000000198</v>
      </c>
      <c r="AD1336">
        <v>-1.109494425192</v>
      </c>
      <c r="AE1336">
        <v>-37.812600000000003</v>
      </c>
      <c r="AF1336">
        <v>7.5560385653807502</v>
      </c>
      <c r="AG1336">
        <v>-1.109494425192</v>
      </c>
      <c r="AH1336">
        <v>37.5939519202959</v>
      </c>
      <c r="AI1336">
        <v>91.657330096818598</v>
      </c>
      <c r="AJ1336">
        <v>78.635492555340505</v>
      </c>
      <c r="AK1336">
        <v>38.361828914515698</v>
      </c>
      <c r="AL1336">
        <v>91.782771882118098</v>
      </c>
      <c r="AM1336">
        <v>89.995355792542895</v>
      </c>
      <c r="AN1336">
        <v>1.0000000433041301</v>
      </c>
    </row>
    <row r="1337" spans="1:40" x14ac:dyDescent="0.25">
      <c r="A1337" t="str">
        <f>"20190312151523240"</f>
        <v>20190312151523240</v>
      </c>
      <c r="B1337" t="str">
        <f>"1552374923228825"</f>
        <v>1552374923228825</v>
      </c>
      <c r="C1337" t="s">
        <v>40</v>
      </c>
      <c r="D1337">
        <v>5.2851460000000001</v>
      </c>
      <c r="E1337">
        <v>0.57503090000000001</v>
      </c>
      <c r="F1337" t="s">
        <v>50</v>
      </c>
      <c r="G1337">
        <v>-197.1859</v>
      </c>
      <c r="H1337" s="1">
        <v>2.5902140000000002E-6</v>
      </c>
      <c r="I1337">
        <v>285.75700000000001</v>
      </c>
      <c r="J1337">
        <v>-190.5883</v>
      </c>
      <c r="K1337">
        <v>1.1094949999999999</v>
      </c>
      <c r="L1337">
        <v>323.54520000000002</v>
      </c>
      <c r="M1337">
        <v>2.6119070000000001E-2</v>
      </c>
      <c r="N1337">
        <v>0</v>
      </c>
      <c r="O1337">
        <v>-0.99956350000000005</v>
      </c>
      <c r="P1337">
        <v>2.5156910000000001E-2</v>
      </c>
      <c r="Q1337">
        <v>-4.524591E-2</v>
      </c>
      <c r="R1337">
        <v>-0.99865939999999997</v>
      </c>
      <c r="S1337">
        <v>-0.52212519999999996</v>
      </c>
      <c r="T1337">
        <v>-8.7888720000000004E-2</v>
      </c>
      <c r="U1337">
        <v>-3.013916</v>
      </c>
      <c r="V1337">
        <v>9.1899050000000002E-4</v>
      </c>
      <c r="W1337">
        <v>-3.1445180000000003E-2</v>
      </c>
      <c r="X1337">
        <v>0.99950499999999998</v>
      </c>
      <c r="Y1337">
        <v>0.19630549999999999</v>
      </c>
      <c r="Z1337">
        <v>2.8636970000000001E-2</v>
      </c>
      <c r="AA1337">
        <v>0.98012449999999995</v>
      </c>
      <c r="AB1337">
        <v>24</v>
      </c>
      <c r="AC1337">
        <v>-6.5975999999999999</v>
      </c>
      <c r="AD1337">
        <v>-1.1094924097859999</v>
      </c>
      <c r="AE1337">
        <v>-37.788200000000003</v>
      </c>
      <c r="AF1337">
        <v>7.5760976078431996</v>
      </c>
      <c r="AG1337">
        <v>-1.1094924097859999</v>
      </c>
      <c r="AH1337">
        <v>37.571535357455303</v>
      </c>
      <c r="AI1337">
        <v>91.658105717947507</v>
      </c>
      <c r="AJ1337">
        <v>78.599491216727102</v>
      </c>
      <c r="AK1337">
        <v>38.3438195474506</v>
      </c>
      <c r="AL1337">
        <v>91.801973248367503</v>
      </c>
      <c r="AM1337">
        <v>89.947319661007199</v>
      </c>
      <c r="AN1337">
        <v>0.999999944456884</v>
      </c>
    </row>
    <row r="1338" spans="1:40" x14ac:dyDescent="0.25">
      <c r="A1338" t="str">
        <f>"20190312151523262"</f>
        <v>20190312151523262</v>
      </c>
      <c r="B1338" t="str">
        <f>"1552374923259081"</f>
        <v>1552374923259081</v>
      </c>
      <c r="C1338" t="s">
        <v>40</v>
      </c>
      <c r="D1338">
        <v>4.9004919999999998</v>
      </c>
      <c r="E1338">
        <v>0.53790309999999997</v>
      </c>
      <c r="F1338" t="s">
        <v>50</v>
      </c>
      <c r="G1338">
        <v>-196.96039999999999</v>
      </c>
      <c r="H1338" s="1">
        <v>2.537237E-6</v>
      </c>
      <c r="I1338">
        <v>286.82069999999999</v>
      </c>
      <c r="J1338">
        <v>-190.58279999999999</v>
      </c>
      <c r="K1338">
        <v>1.1094889999999999</v>
      </c>
      <c r="L1338">
        <v>323.31889999999999</v>
      </c>
      <c r="M1338">
        <v>2.5783130000000001E-2</v>
      </c>
      <c r="N1338">
        <v>0</v>
      </c>
      <c r="O1338">
        <v>-0.99957229999999997</v>
      </c>
      <c r="P1338">
        <v>2.4173190000000001E-2</v>
      </c>
      <c r="Q1338">
        <v>-4.5229239999999997E-2</v>
      </c>
      <c r="R1338">
        <v>-0.99868440000000003</v>
      </c>
      <c r="S1338">
        <v>-0.52279659999999994</v>
      </c>
      <c r="T1338">
        <v>-9.1028330000000005E-2</v>
      </c>
      <c r="U1338">
        <v>-3.0130620000000001</v>
      </c>
      <c r="V1338">
        <v>1.5673389999999901E-3</v>
      </c>
      <c r="W1338">
        <v>-3.1431349999999997E-2</v>
      </c>
      <c r="X1338">
        <v>0.99950470000000002</v>
      </c>
      <c r="Y1338">
        <v>0.1962296</v>
      </c>
      <c r="Z1338">
        <v>2.96674E-2</v>
      </c>
      <c r="AA1338">
        <v>0.98010909999999996</v>
      </c>
      <c r="AB1338">
        <v>24</v>
      </c>
      <c r="AC1338">
        <v>-6.3776000000000002</v>
      </c>
      <c r="AD1338">
        <v>-1.1094864627629999</v>
      </c>
      <c r="AE1338">
        <v>-36.498199999999997</v>
      </c>
      <c r="AF1338">
        <v>7.3100520802468196</v>
      </c>
      <c r="AG1338">
        <v>-1.1094864627629999</v>
      </c>
      <c r="AH1338">
        <v>36.289074258685197</v>
      </c>
      <c r="AI1338">
        <v>91.7167279145187</v>
      </c>
      <c r="AJ1338">
        <v>78.6107858088412</v>
      </c>
      <c r="AK1338">
        <v>37.034642325522</v>
      </c>
      <c r="AL1338">
        <v>91.801180327234903</v>
      </c>
      <c r="AM1338">
        <v>89.910153662950094</v>
      </c>
      <c r="AN1338">
        <v>1.0000000158182201</v>
      </c>
    </row>
    <row r="1339" spans="1:40" x14ac:dyDescent="0.25">
      <c r="A1339" t="str">
        <f>"20190312151523286"</f>
        <v>20190312151523286</v>
      </c>
      <c r="B1339" t="str">
        <f>"1552374923278601"</f>
        <v>1552374923278601</v>
      </c>
      <c r="C1339" t="s">
        <v>40</v>
      </c>
      <c r="D1339">
        <v>4.8694829999999998</v>
      </c>
      <c r="E1339">
        <v>0.53755589999999998</v>
      </c>
      <c r="F1339" t="s">
        <v>43</v>
      </c>
      <c r="G1339">
        <v>-195.07380000000001</v>
      </c>
      <c r="H1339" s="1">
        <v>-3.4880840000000001E-6</v>
      </c>
      <c r="I1339">
        <v>264.59199999999998</v>
      </c>
      <c r="J1339">
        <v>-190.57650000000001</v>
      </c>
      <c r="K1339">
        <v>1.109488</v>
      </c>
      <c r="L1339">
        <v>323.05770000000001</v>
      </c>
      <c r="M1339">
        <v>2.539551E-2</v>
      </c>
      <c r="N1339">
        <v>0</v>
      </c>
      <c r="O1339">
        <v>-0.99958239999999998</v>
      </c>
      <c r="P1339">
        <v>2.3282210000000001E-2</v>
      </c>
      <c r="Q1339">
        <v>-4.5508920000000001E-2</v>
      </c>
      <c r="R1339">
        <v>-0.99869289999999999</v>
      </c>
      <c r="S1339">
        <v>-0.22994999999999999</v>
      </c>
      <c r="T1339">
        <v>-5.6808709999999998E-2</v>
      </c>
      <c r="U1339">
        <v>-3.006958</v>
      </c>
      <c r="V1339">
        <v>2.0707329999999999E-3</v>
      </c>
      <c r="W1339">
        <v>-3.1714190000000003E-2</v>
      </c>
      <c r="X1339">
        <v>0.99949489999999996</v>
      </c>
      <c r="Y1339">
        <v>0.1015359</v>
      </c>
      <c r="Z1339">
        <v>1.8803650000000002E-2</v>
      </c>
      <c r="AA1339">
        <v>0.99465420000000004</v>
      </c>
      <c r="AB1339">
        <v>24</v>
      </c>
      <c r="AC1339">
        <v>-4.4972999999999903</v>
      </c>
      <c r="AD1339">
        <v>-1.1094914880840001</v>
      </c>
      <c r="AE1339">
        <v>-58.465699999999998</v>
      </c>
      <c r="AF1339">
        <v>5.9786163286194904</v>
      </c>
      <c r="AG1339">
        <v>-1.1094914880840001</v>
      </c>
      <c r="AH1339">
        <v>58.311742464831099</v>
      </c>
      <c r="AI1339">
        <v>91.084346232198996</v>
      </c>
      <c r="AJ1339">
        <v>84.146004245580698</v>
      </c>
      <c r="AK1339">
        <v>58.6279296398206</v>
      </c>
      <c r="AL1339">
        <v>91.817393856460001</v>
      </c>
      <c r="AM1339">
        <v>89.881295950937002</v>
      </c>
      <c r="AN1339">
        <v>1.0000000664542501</v>
      </c>
    </row>
    <row r="1340" spans="1:40" x14ac:dyDescent="0.25">
      <c r="A1340" t="str">
        <f>"20190312151523308"</f>
        <v>20190312151523308</v>
      </c>
      <c r="B1340" t="str">
        <f>"1552374923299097"</f>
        <v>1552374923299097</v>
      </c>
      <c r="C1340" t="s">
        <v>40</v>
      </c>
      <c r="D1340">
        <v>4.8802669999999999</v>
      </c>
      <c r="E1340">
        <v>0.53759969999999901</v>
      </c>
      <c r="F1340" t="s">
        <v>50</v>
      </c>
      <c r="G1340">
        <v>-194.53579999999999</v>
      </c>
      <c r="H1340" s="1">
        <v>6.1447349999999997E-6</v>
      </c>
      <c r="I1340">
        <v>271.26089999999999</v>
      </c>
      <c r="J1340">
        <v>-190.57079999999999</v>
      </c>
      <c r="K1340">
        <v>1.109486</v>
      </c>
      <c r="L1340">
        <v>322.81709999999998</v>
      </c>
      <c r="M1340">
        <v>2.5038169999999998E-2</v>
      </c>
      <c r="N1340">
        <v>0</v>
      </c>
      <c r="O1340">
        <v>-0.99959140000000002</v>
      </c>
      <c r="P1340">
        <v>2.2714399999999999E-2</v>
      </c>
      <c r="Q1340">
        <v>-4.6310869999999997E-2</v>
      </c>
      <c r="R1340">
        <v>-0.99866909999999998</v>
      </c>
      <c r="S1340">
        <v>-0.22979740000000001</v>
      </c>
      <c r="T1340">
        <v>-6.4394950000000006E-2</v>
      </c>
      <c r="U1340">
        <v>-3.0063170000000001</v>
      </c>
      <c r="V1340">
        <v>2.2802220000000002E-3</v>
      </c>
      <c r="W1340">
        <v>-3.2519270000000003E-2</v>
      </c>
      <c r="X1340">
        <v>0.99946849999999998</v>
      </c>
      <c r="Y1340">
        <v>0.1011423</v>
      </c>
      <c r="Z1340">
        <v>2.131891E-2</v>
      </c>
      <c r="AA1340">
        <v>0.99464350000000001</v>
      </c>
      <c r="AB1340">
        <v>24</v>
      </c>
      <c r="AC1340">
        <v>-3.9649999999999999</v>
      </c>
      <c r="AD1340">
        <v>-1.109479855265</v>
      </c>
      <c r="AE1340">
        <v>-51.556199999999897</v>
      </c>
      <c r="AF1340">
        <v>5.2523342829708604</v>
      </c>
      <c r="AG1340">
        <v>-1.109479855265</v>
      </c>
      <c r="AH1340">
        <v>51.417076696216299</v>
      </c>
      <c r="AI1340">
        <v>91.229741416218303</v>
      </c>
      <c r="AJ1340">
        <v>84.1673786267948</v>
      </c>
      <c r="AK1340">
        <v>51.696554401177401</v>
      </c>
      <c r="AL1340">
        <v>91.863545487252907</v>
      </c>
      <c r="AM1340">
        <v>89.869283653978698</v>
      </c>
      <c r="AN1340">
        <v>0.99999999241297599</v>
      </c>
    </row>
    <row r="1341" spans="1:40" x14ac:dyDescent="0.25">
      <c r="A1341" t="str">
        <f>"20190312151523329"</f>
        <v>20190312151523329</v>
      </c>
      <c r="B1341" t="str">
        <f>"1552374923318623"</f>
        <v>1552374923318623</v>
      </c>
      <c r="C1341" t="s">
        <v>40</v>
      </c>
      <c r="D1341">
        <v>4.9050370000000001</v>
      </c>
      <c r="E1341">
        <v>0.5378233</v>
      </c>
      <c r="F1341" t="s">
        <v>50</v>
      </c>
      <c r="G1341">
        <v>-194.38810000000001</v>
      </c>
      <c r="H1341" s="1">
        <v>5.539765E-6</v>
      </c>
      <c r="I1341">
        <v>273.31200000000001</v>
      </c>
      <c r="J1341">
        <v>-190.56569999999999</v>
      </c>
      <c r="K1341">
        <v>1.1094809999999999</v>
      </c>
      <c r="L1341">
        <v>322.59789999999998</v>
      </c>
      <c r="M1341">
        <v>2.471251E-2</v>
      </c>
      <c r="N1341">
        <v>0</v>
      </c>
      <c r="O1341">
        <v>-0.99959929999999997</v>
      </c>
      <c r="P1341">
        <v>2.1996660000000001E-2</v>
      </c>
      <c r="Q1341">
        <v>-4.6432330000000001E-2</v>
      </c>
      <c r="R1341">
        <v>-0.99867930000000005</v>
      </c>
      <c r="S1341">
        <v>-0.23179630000000001</v>
      </c>
      <c r="T1341">
        <v>-6.7371009999999995E-2</v>
      </c>
      <c r="U1341">
        <v>-3.0061040000000001</v>
      </c>
      <c r="V1341">
        <v>2.672518E-3</v>
      </c>
      <c r="W1341">
        <v>-3.2643409999999998E-2</v>
      </c>
      <c r="X1341">
        <v>0.99946349999999995</v>
      </c>
      <c r="Y1341">
        <v>0.1014794</v>
      </c>
      <c r="Z1341">
        <v>2.2304589999999999E-2</v>
      </c>
      <c r="AA1341">
        <v>0.99458749999999996</v>
      </c>
      <c r="AB1341">
        <v>24</v>
      </c>
      <c r="AC1341">
        <v>-3.8224000000000098</v>
      </c>
      <c r="AD1341">
        <v>-1.1094754602350001</v>
      </c>
      <c r="AE1341">
        <v>-49.285899999999899</v>
      </c>
      <c r="AF1341">
        <v>5.0367896477432001</v>
      </c>
      <c r="AG1341">
        <v>-1.1094754602350001</v>
      </c>
      <c r="AH1341">
        <v>49.151616635648402</v>
      </c>
      <c r="AI1341">
        <v>91.286355974019997</v>
      </c>
      <c r="AJ1341">
        <v>84.149064203316797</v>
      </c>
      <c r="AK1341">
        <v>49.421469055970199</v>
      </c>
      <c r="AL1341">
        <v>91.8706619284509</v>
      </c>
      <c r="AM1341">
        <v>89.846794167943401</v>
      </c>
      <c r="AN1341">
        <v>1.00000001120056</v>
      </c>
    </row>
    <row r="1342" spans="1:40" x14ac:dyDescent="0.25">
      <c r="A1342" t="str">
        <f>"20190312151523350"</f>
        <v>20190312151523350</v>
      </c>
      <c r="B1342" t="str">
        <f>"1552374923339113"</f>
        <v>1552374923339113</v>
      </c>
      <c r="C1342" t="s">
        <v>40</v>
      </c>
      <c r="D1342">
        <v>4.8828509999999996</v>
      </c>
      <c r="E1342">
        <v>0.53796140000000003</v>
      </c>
      <c r="F1342" t="s">
        <v>50</v>
      </c>
      <c r="G1342">
        <v>-194.24369999999999</v>
      </c>
      <c r="H1342" s="1">
        <v>4.8434049999999996E-6</v>
      </c>
      <c r="I1342">
        <v>275.69970000000001</v>
      </c>
      <c r="J1342">
        <v>-190.56030000000001</v>
      </c>
      <c r="K1342">
        <v>1.1094850000000001</v>
      </c>
      <c r="L1342">
        <v>322.36090000000002</v>
      </c>
      <c r="M1342">
        <v>2.4360409999999999E-2</v>
      </c>
      <c r="N1342">
        <v>0</v>
      </c>
      <c r="O1342">
        <v>-0.9996081</v>
      </c>
      <c r="P1342">
        <v>2.1749370000000001E-2</v>
      </c>
      <c r="Q1342">
        <v>-4.6398700000000001E-2</v>
      </c>
      <c r="R1342">
        <v>-0.99868639999999997</v>
      </c>
      <c r="S1342">
        <v>-0.235733</v>
      </c>
      <c r="T1342">
        <v>-7.1109290000000006E-2</v>
      </c>
      <c r="U1342">
        <v>-3.0058289999999999</v>
      </c>
      <c r="V1342">
        <v>2.5681229999999998E-3</v>
      </c>
      <c r="W1342">
        <v>-3.2612240000000001E-2</v>
      </c>
      <c r="X1342">
        <v>0.99946480000000004</v>
      </c>
      <c r="Y1342">
        <v>0.10242850000000001</v>
      </c>
      <c r="Z1342">
        <v>2.3541659999999999E-2</v>
      </c>
      <c r="AA1342">
        <v>0.99446179999999995</v>
      </c>
      <c r="AB1342">
        <v>24</v>
      </c>
      <c r="AC1342">
        <v>-3.68339999999997</v>
      </c>
      <c r="AD1342">
        <v>-1.1094801565950001</v>
      </c>
      <c r="AE1342">
        <v>-46.661200000000001</v>
      </c>
      <c r="AF1342">
        <v>4.8163946499613699</v>
      </c>
      <c r="AG1342">
        <v>-1.1094801565950001</v>
      </c>
      <c r="AH1342">
        <v>46.531468324686003</v>
      </c>
      <c r="AI1342">
        <v>91.358625838362897</v>
      </c>
      <c r="AJ1342">
        <v>84.090454404256306</v>
      </c>
      <c r="AK1342">
        <v>46.793227587903303</v>
      </c>
      <c r="AL1342">
        <v>91.868875051296101</v>
      </c>
      <c r="AM1342">
        <v>89.852778921934799</v>
      </c>
      <c r="AN1342">
        <v>1.0000000199462999</v>
      </c>
    </row>
    <row r="1343" spans="1:40" x14ac:dyDescent="0.25">
      <c r="A1343" t="str">
        <f>"20190312151523375"</f>
        <v>20190312151523375</v>
      </c>
      <c r="B1343" t="str">
        <f>"1552374923369370"</f>
        <v>1552374923369370</v>
      </c>
      <c r="C1343" t="s">
        <v>40</v>
      </c>
      <c r="D1343">
        <v>5.3323390000000002</v>
      </c>
      <c r="E1343">
        <v>0.53772799999999998</v>
      </c>
      <c r="F1343" t="s">
        <v>50</v>
      </c>
      <c r="G1343">
        <v>-194.03909999999999</v>
      </c>
      <c r="H1343" s="1">
        <v>4.0173410000000001E-6</v>
      </c>
      <c r="I1343">
        <v>278.36219999999997</v>
      </c>
      <c r="J1343">
        <v>-190.55449999999999</v>
      </c>
      <c r="K1343">
        <v>1.1094930000000001</v>
      </c>
      <c r="L1343">
        <v>322.10379999999998</v>
      </c>
      <c r="M1343">
        <v>2.3978510000000001E-2</v>
      </c>
      <c r="N1343">
        <v>0</v>
      </c>
      <c r="O1343">
        <v>-0.9996176</v>
      </c>
      <c r="P1343">
        <v>2.1267540000000001E-2</v>
      </c>
      <c r="Q1343">
        <v>-4.6055989999999998E-2</v>
      </c>
      <c r="R1343">
        <v>-0.99871299999999996</v>
      </c>
      <c r="S1343">
        <v>-0.2376404</v>
      </c>
      <c r="T1343">
        <v>-7.5789570000000001E-2</v>
      </c>
      <c r="U1343">
        <v>-3.005585</v>
      </c>
      <c r="V1343">
        <v>2.6690580000000002E-3</v>
      </c>
      <c r="W1343">
        <v>-3.2271960000000002E-2</v>
      </c>
      <c r="X1343">
        <v>0.99947549999999996</v>
      </c>
      <c r="Y1343">
        <v>0.1026789</v>
      </c>
      <c r="Z1343">
        <v>2.509161E-2</v>
      </c>
      <c r="AA1343">
        <v>0.99439809999999995</v>
      </c>
      <c r="AB1343">
        <v>24</v>
      </c>
      <c r="AC1343">
        <v>-3.4845999999999999</v>
      </c>
      <c r="AD1343">
        <v>-1.109488982659</v>
      </c>
      <c r="AE1343">
        <v>-43.741599999999998</v>
      </c>
      <c r="AF1343">
        <v>4.5296599391222401</v>
      </c>
      <c r="AG1343">
        <v>-1.109488982659</v>
      </c>
      <c r="AH1343">
        <v>43.617572328520303</v>
      </c>
      <c r="AI1343">
        <v>91.449312921315695</v>
      </c>
      <c r="AJ1343">
        <v>84.071118857424807</v>
      </c>
      <c r="AK1343">
        <v>43.866176044880298</v>
      </c>
      <c r="AL1343">
        <v>91.849368325047806</v>
      </c>
      <c r="AM1343">
        <v>89.846994353383494</v>
      </c>
      <c r="AN1343">
        <v>0.99999993918654695</v>
      </c>
    </row>
    <row r="1344" spans="1:40" x14ac:dyDescent="0.25">
      <c r="A1344" t="str">
        <f>"20190312151523395"</f>
        <v>20190312151523395</v>
      </c>
      <c r="B1344" t="str">
        <f>"1552374923388890"</f>
        <v>1552374923388890</v>
      </c>
      <c r="C1344" t="s">
        <v>40</v>
      </c>
      <c r="D1344">
        <v>4.946936</v>
      </c>
      <c r="E1344">
        <v>0.53767919999999902</v>
      </c>
      <c r="F1344" t="s">
        <v>50</v>
      </c>
      <c r="G1344">
        <v>-194.1977</v>
      </c>
      <c r="H1344" s="1">
        <v>4.7700369999999996E-6</v>
      </c>
      <c r="I1344">
        <v>275.93619999999999</v>
      </c>
      <c r="J1344">
        <v>-190.54939999999999</v>
      </c>
      <c r="K1344">
        <v>1.1094980000000001</v>
      </c>
      <c r="L1344">
        <v>321.87650000000002</v>
      </c>
      <c r="M1344">
        <v>2.3640649999999999E-2</v>
      </c>
      <c r="N1344">
        <v>0</v>
      </c>
      <c r="O1344">
        <v>-0.99962549999999994</v>
      </c>
      <c r="P1344">
        <v>2.1543130000000001E-2</v>
      </c>
      <c r="Q1344">
        <v>-4.6278659999999999E-2</v>
      </c>
      <c r="R1344">
        <v>-0.99869660000000005</v>
      </c>
      <c r="S1344">
        <v>-0.23718259999999999</v>
      </c>
      <c r="T1344">
        <v>-7.2230820000000001E-2</v>
      </c>
      <c r="U1344">
        <v>-3.005646</v>
      </c>
      <c r="V1344">
        <v>2.0554420000000002E-3</v>
      </c>
      <c r="W1344">
        <v>-3.2496810000000001E-2</v>
      </c>
      <c r="X1344">
        <v>0.99946970000000002</v>
      </c>
      <c r="Y1344">
        <v>0.1021929</v>
      </c>
      <c r="Z1344">
        <v>2.3914660000000001E-2</v>
      </c>
      <c r="AA1344">
        <v>0.9944771</v>
      </c>
      <c r="AB1344">
        <v>24</v>
      </c>
      <c r="AC1344">
        <v>-3.6482999999999999</v>
      </c>
      <c r="AD1344">
        <v>-1.10949322996299</v>
      </c>
      <c r="AE1344">
        <v>-45.940300000000001</v>
      </c>
      <c r="AF1344">
        <v>4.7306999819907096</v>
      </c>
      <c r="AG1344">
        <v>-1.10949322996299</v>
      </c>
      <c r="AH1344">
        <v>45.814647472038502</v>
      </c>
      <c r="AI1344">
        <v>91.379926550445404</v>
      </c>
      <c r="AJ1344">
        <v>84.104681411588501</v>
      </c>
      <c r="AK1344">
        <v>46.071601019870201</v>
      </c>
      <c r="AL1344">
        <v>91.862257977165996</v>
      </c>
      <c r="AM1344">
        <v>89.8821695288934</v>
      </c>
      <c r="AN1344">
        <v>0.99999997436003996</v>
      </c>
    </row>
    <row r="1345" spans="1:40" x14ac:dyDescent="0.25">
      <c r="A1345" t="str">
        <f>"20190312151523419"</f>
        <v>20190312151523419</v>
      </c>
      <c r="B1345" t="str">
        <f>"1552374923409385"</f>
        <v>1552374923409385</v>
      </c>
      <c r="C1345" t="s">
        <v>40</v>
      </c>
      <c r="D1345">
        <v>4.9169489999999998</v>
      </c>
      <c r="E1345">
        <v>0.53763190000000005</v>
      </c>
      <c r="F1345" t="s">
        <v>50</v>
      </c>
      <c r="G1345">
        <v>-194.28299999999999</v>
      </c>
      <c r="H1345" s="1">
        <v>5.2913259999999999E-6</v>
      </c>
      <c r="I1345">
        <v>274.33819999999997</v>
      </c>
      <c r="J1345">
        <v>-190.54409999999999</v>
      </c>
      <c r="K1345">
        <v>1.109502</v>
      </c>
      <c r="L1345">
        <v>321.63510000000002</v>
      </c>
      <c r="M1345">
        <v>2.3282210000000001E-2</v>
      </c>
      <c r="N1345">
        <v>0</v>
      </c>
      <c r="O1345">
        <v>-0.99963409999999997</v>
      </c>
      <c r="P1345">
        <v>2.1448789999999999E-2</v>
      </c>
      <c r="Q1345">
        <v>-4.576757E-2</v>
      </c>
      <c r="R1345">
        <v>-0.998722</v>
      </c>
      <c r="S1345">
        <v>-0.23606869999999999</v>
      </c>
      <c r="T1345">
        <v>-7.0151450000000004E-2</v>
      </c>
      <c r="U1345">
        <v>-3.0057680000000002</v>
      </c>
      <c r="V1345">
        <v>1.7925009999999999E-3</v>
      </c>
      <c r="W1345">
        <v>-3.1988009999999997E-2</v>
      </c>
      <c r="X1345">
        <v>0.9994866</v>
      </c>
      <c r="Y1345">
        <v>0.101468</v>
      </c>
      <c r="Z1345">
        <v>2.322714E-2</v>
      </c>
      <c r="AA1345">
        <v>0.9945676</v>
      </c>
      <c r="AB1345">
        <v>24</v>
      </c>
      <c r="AC1345">
        <v>-3.7389000000000001</v>
      </c>
      <c r="AD1345">
        <v>-1.109496708674</v>
      </c>
      <c r="AE1345">
        <v>-47.296900000000001</v>
      </c>
      <c r="AF1345">
        <v>4.8365221501825397</v>
      </c>
      <c r="AG1345">
        <v>-1.109496708674</v>
      </c>
      <c r="AH1345">
        <v>47.1712224613198</v>
      </c>
      <c r="AI1345">
        <v>91.340359842488894</v>
      </c>
      <c r="AJ1345">
        <v>84.145851847244501</v>
      </c>
      <c r="AK1345">
        <v>47.431499638437401</v>
      </c>
      <c r="AL1345">
        <v>91.833090754826102</v>
      </c>
      <c r="AM1345">
        <v>89.897244613420995</v>
      </c>
      <c r="AN1345">
        <v>0.99999995471157599</v>
      </c>
    </row>
    <row r="1346" spans="1:40" x14ac:dyDescent="0.25">
      <c r="A1346" t="str">
        <f>"20190312151523440"</f>
        <v>20190312151523440</v>
      </c>
      <c r="B1346" t="str">
        <f>"1552374923428905"</f>
        <v>1552374923428905</v>
      </c>
      <c r="C1346" t="s">
        <v>40</v>
      </c>
      <c r="D1346">
        <v>4.8981389999999996</v>
      </c>
      <c r="E1346">
        <v>0.53755679999999995</v>
      </c>
      <c r="F1346" t="s">
        <v>50</v>
      </c>
      <c r="G1346">
        <v>-194.23869999999999</v>
      </c>
      <c r="H1346" s="1">
        <v>5.2393409999999996E-6</v>
      </c>
      <c r="I1346">
        <v>274.57159999999999</v>
      </c>
      <c r="J1346">
        <v>-190.53899999999999</v>
      </c>
      <c r="K1346">
        <v>1.109504</v>
      </c>
      <c r="L1346">
        <v>321.3997</v>
      </c>
      <c r="M1346">
        <v>2.2932560000000001E-2</v>
      </c>
      <c r="N1346">
        <v>0</v>
      </c>
      <c r="O1346">
        <v>-0.99964219999999904</v>
      </c>
      <c r="P1346">
        <v>2.1624350000000001E-2</v>
      </c>
      <c r="Q1346">
        <v>-4.5703340000000002E-2</v>
      </c>
      <c r="R1346">
        <v>-0.99872139999999998</v>
      </c>
      <c r="S1346">
        <v>-0.23594670000000001</v>
      </c>
      <c r="T1346">
        <v>-7.085574E-2</v>
      </c>
      <c r="U1346">
        <v>-3.0056150000000001</v>
      </c>
      <c r="V1346">
        <v>1.267642E-3</v>
      </c>
      <c r="W1346">
        <v>-3.1925950000000002E-2</v>
      </c>
      <c r="X1346">
        <v>0.99948939999999997</v>
      </c>
      <c r="Y1346">
        <v>0.1010834</v>
      </c>
      <c r="Z1346">
        <v>2.3462170000000001E-2</v>
      </c>
      <c r="AA1346">
        <v>0.99460119999999996</v>
      </c>
      <c r="AB1346">
        <v>24</v>
      </c>
      <c r="AC1346">
        <v>-3.6996999999999698</v>
      </c>
      <c r="AD1346">
        <v>-1.1094987606589899</v>
      </c>
      <c r="AE1346">
        <v>-46.828099999999999</v>
      </c>
      <c r="AF1346">
        <v>4.7700557603717098</v>
      </c>
      <c r="AG1346">
        <v>-1.1094987606589899</v>
      </c>
      <c r="AH1346">
        <v>46.704875349679902</v>
      </c>
      <c r="AI1346">
        <v>91.353795580495003</v>
      </c>
      <c r="AJ1346">
        <v>84.168495391641102</v>
      </c>
      <c r="AK1346">
        <v>46.960939097148497</v>
      </c>
      <c r="AL1346">
        <v>91.829533139120997</v>
      </c>
      <c r="AM1346">
        <v>89.927332398332496</v>
      </c>
      <c r="AN1346">
        <v>0.99999996695600002</v>
      </c>
    </row>
    <row r="1347" spans="1:40" x14ac:dyDescent="0.25">
      <c r="A1347" t="str">
        <f>"20190312151523463"</f>
        <v>20190312151523463</v>
      </c>
      <c r="B1347" t="str">
        <f>"1552374923459162"</f>
        <v>1552374923459162</v>
      </c>
      <c r="C1347" t="s">
        <v>40</v>
      </c>
      <c r="D1347">
        <v>4.898898</v>
      </c>
      <c r="E1347">
        <v>0.53751150000000003</v>
      </c>
      <c r="F1347" t="s">
        <v>50</v>
      </c>
      <c r="G1347">
        <v>-194.3527</v>
      </c>
      <c r="H1347" s="1">
        <v>5.7392829999999996E-6</v>
      </c>
      <c r="I1347">
        <v>272.5881</v>
      </c>
      <c r="J1347">
        <v>-190.53399999999999</v>
      </c>
      <c r="K1347">
        <v>1.1095029999999999</v>
      </c>
      <c r="L1347">
        <v>321.16309999999999</v>
      </c>
      <c r="M1347">
        <v>2.258112E-2</v>
      </c>
      <c r="N1347">
        <v>0</v>
      </c>
      <c r="O1347">
        <v>-0.99965009999999999</v>
      </c>
      <c r="P1347">
        <v>2.172574E-2</v>
      </c>
      <c r="Q1347">
        <v>-4.6097029999999997E-2</v>
      </c>
      <c r="R1347">
        <v>-0.9987009</v>
      </c>
      <c r="S1347">
        <v>-0.234848</v>
      </c>
      <c r="T1347">
        <v>-6.8323140000000004E-2</v>
      </c>
      <c r="U1347">
        <v>-3.0058289999999999</v>
      </c>
      <c r="V1347">
        <v>8.1442609999999996E-4</v>
      </c>
      <c r="W1347">
        <v>-3.2322089999999998E-2</v>
      </c>
      <c r="X1347">
        <v>0.99947710000000001</v>
      </c>
      <c r="Y1347">
        <v>0.10036829999999999</v>
      </c>
      <c r="Z1347">
        <v>2.2623819999999999E-2</v>
      </c>
      <c r="AA1347">
        <v>0.9946931</v>
      </c>
      <c r="AB1347">
        <v>24</v>
      </c>
      <c r="AC1347">
        <v>-3.81869999999997</v>
      </c>
      <c r="AD1347">
        <v>-1.1094972607169999</v>
      </c>
      <c r="AE1347">
        <v>-48.574999999999903</v>
      </c>
      <c r="AF1347">
        <v>4.9121611274630901</v>
      </c>
      <c r="AG1347">
        <v>-1.1094972607169999</v>
      </c>
      <c r="AH1347">
        <v>48.451250890847803</v>
      </c>
      <c r="AI1347">
        <v>91.305113156253199</v>
      </c>
      <c r="AJ1347">
        <v>84.210929419338797</v>
      </c>
      <c r="AK1347">
        <v>48.712257430769696</v>
      </c>
      <c r="AL1347">
        <v>91.852242084215206</v>
      </c>
      <c r="AM1347">
        <v>89.953312419136495</v>
      </c>
      <c r="AN1347">
        <v>0.99999992710812202</v>
      </c>
    </row>
    <row r="1348" spans="1:40" x14ac:dyDescent="0.25">
      <c r="A1348" t="str">
        <f>"20190312151523487"</f>
        <v>20190312151523487</v>
      </c>
      <c r="B1348" t="str">
        <f>"1552374923478684"</f>
        <v>1552374923478684</v>
      </c>
      <c r="C1348" t="s">
        <v>40</v>
      </c>
      <c r="D1348">
        <v>4.9322850000000003</v>
      </c>
      <c r="E1348">
        <v>0.51301830000000004</v>
      </c>
      <c r="F1348" t="s">
        <v>50</v>
      </c>
      <c r="G1348">
        <v>-194.38210000000001</v>
      </c>
      <c r="H1348" s="1">
        <v>6.0093610000000004E-6</v>
      </c>
      <c r="I1348">
        <v>271.75959999999998</v>
      </c>
      <c r="J1348">
        <v>-190.52860000000001</v>
      </c>
      <c r="K1348">
        <v>1.1095010000000001</v>
      </c>
      <c r="L1348">
        <v>320.90320000000003</v>
      </c>
      <c r="M1348">
        <v>2.2194800000000001E-2</v>
      </c>
      <c r="N1348">
        <v>0</v>
      </c>
      <c r="O1348">
        <v>-0.99965890000000002</v>
      </c>
      <c r="P1348">
        <v>2.186194E-2</v>
      </c>
      <c r="Q1348">
        <v>-4.6474630000000003E-2</v>
      </c>
      <c r="R1348">
        <v>-0.99868049999999997</v>
      </c>
      <c r="S1348">
        <v>-0.2341309</v>
      </c>
      <c r="T1348">
        <v>-6.7505720000000005E-2</v>
      </c>
      <c r="U1348">
        <v>-3.00589</v>
      </c>
      <c r="V1348">
        <v>2.9157960000000002E-4</v>
      </c>
      <c r="W1348">
        <v>-3.2702330000000002E-2</v>
      </c>
      <c r="X1348">
        <v>0.9994651</v>
      </c>
      <c r="Y1348">
        <v>9.9746810000000005E-2</v>
      </c>
      <c r="Z1348">
        <v>2.235403E-2</v>
      </c>
      <c r="AA1348">
        <v>0.99476169999999997</v>
      </c>
      <c r="AB1348">
        <v>24</v>
      </c>
      <c r="AC1348">
        <v>-3.8534999999999902</v>
      </c>
      <c r="AD1348">
        <v>-1.1094949906389999</v>
      </c>
      <c r="AE1348">
        <v>-49.143599999999999</v>
      </c>
      <c r="AF1348">
        <v>4.9408832988271696</v>
      </c>
      <c r="AG1348">
        <v>-1.1094949906389999</v>
      </c>
      <c r="AH1348">
        <v>49.021122658529897</v>
      </c>
      <c r="AI1348">
        <v>91.290020178755896</v>
      </c>
      <c r="AJ1348">
        <v>84.244543555681105</v>
      </c>
      <c r="AK1348">
        <v>49.281982241073898</v>
      </c>
      <c r="AL1348">
        <v>91.874039607404299</v>
      </c>
      <c r="AM1348">
        <v>89.9832847790301</v>
      </c>
      <c r="AN1348">
        <v>1.00000000676205</v>
      </c>
    </row>
    <row r="1349" spans="1:40" x14ac:dyDescent="0.25">
      <c r="A1349" t="str">
        <f>"20190312151523508"</f>
        <v>20190312151523508</v>
      </c>
      <c r="B1349" t="str">
        <f>"1552374923499178"</f>
        <v>1552374923499178</v>
      </c>
      <c r="C1349" t="s">
        <v>40</v>
      </c>
      <c r="D1349">
        <v>4.9559579999999999</v>
      </c>
      <c r="E1349">
        <v>0.50660399999999906</v>
      </c>
      <c r="F1349" t="s">
        <v>50</v>
      </c>
      <c r="G1349">
        <v>-190.85290000000001</v>
      </c>
      <c r="H1349" s="1">
        <v>1.4011560000000001E-6</v>
      </c>
      <c r="I1349">
        <v>295.428</v>
      </c>
      <c r="J1349">
        <v>-190.5239</v>
      </c>
      <c r="K1349">
        <v>1.1094999999999999</v>
      </c>
      <c r="L1349">
        <v>320.6739</v>
      </c>
      <c r="M1349">
        <v>2.1853919999999999E-2</v>
      </c>
      <c r="N1349">
        <v>0</v>
      </c>
      <c r="O1349">
        <v>-0.99966650000000001</v>
      </c>
      <c r="P1349">
        <v>2.179878E-2</v>
      </c>
      <c r="Q1349">
        <v>-4.7336870000000003E-2</v>
      </c>
      <c r="R1349">
        <v>-0.99864160000000002</v>
      </c>
      <c r="S1349">
        <v>-3.8177490000000001E-2</v>
      </c>
      <c r="T1349">
        <v>-0.13059949999999901</v>
      </c>
      <c r="U1349">
        <v>-2.998688</v>
      </c>
      <c r="V1349" s="1">
        <v>1.2781859999999999E-5</v>
      </c>
      <c r="W1349">
        <v>-3.3567449999999999E-2</v>
      </c>
      <c r="X1349">
        <v>0.9994364</v>
      </c>
      <c r="Y1349">
        <v>3.4569500000000003E-2</v>
      </c>
      <c r="Z1349">
        <v>4.3480619999999998E-2</v>
      </c>
      <c r="AA1349">
        <v>0.99845600000000001</v>
      </c>
      <c r="AB1349">
        <v>24</v>
      </c>
      <c r="AC1349">
        <v>-0.32900000000000701</v>
      </c>
      <c r="AD1349">
        <v>-1.109498598844</v>
      </c>
      <c r="AE1349">
        <v>-25.245899999999999</v>
      </c>
      <c r="AF1349">
        <v>0.87899810996752903</v>
      </c>
      <c r="AG1349">
        <v>-1.109498598844</v>
      </c>
      <c r="AH1349">
        <v>25.1840467141649</v>
      </c>
      <c r="AI1349">
        <v>92.521036342591501</v>
      </c>
      <c r="AJ1349">
        <v>88.001018405594905</v>
      </c>
      <c r="AK1349">
        <v>25.223794990433198</v>
      </c>
      <c r="AL1349">
        <v>91.923634683944101</v>
      </c>
      <c r="AM1349">
        <v>89.999267240384299</v>
      </c>
      <c r="AN1349">
        <v>0.99999994575391704</v>
      </c>
    </row>
    <row r="1350" spans="1:40" x14ac:dyDescent="0.25">
      <c r="A1350" t="str">
        <f>"20190312151523531"</f>
        <v>20190312151523531</v>
      </c>
      <c r="B1350" t="str">
        <f>"1552374923518699"</f>
        <v>1552374923518699</v>
      </c>
      <c r="C1350" t="s">
        <v>40</v>
      </c>
      <c r="D1350">
        <v>4.9608429999999997</v>
      </c>
      <c r="E1350">
        <v>0.50505109999999998</v>
      </c>
      <c r="F1350" t="s">
        <v>43</v>
      </c>
      <c r="G1350">
        <v>-190.44139999999999</v>
      </c>
      <c r="H1350" s="1">
        <v>-8.7994119999999999E-7</v>
      </c>
      <c r="I1350">
        <v>301.36649999999997</v>
      </c>
      <c r="J1350">
        <v>-190.51910000000001</v>
      </c>
      <c r="K1350">
        <v>1.109499</v>
      </c>
      <c r="L1350">
        <v>320.43790000000001</v>
      </c>
      <c r="M1350">
        <v>2.1502879999999999E-2</v>
      </c>
      <c r="N1350">
        <v>0</v>
      </c>
      <c r="O1350">
        <v>-0.9996739</v>
      </c>
      <c r="P1350">
        <v>2.2133570000000002E-2</v>
      </c>
      <c r="Q1350">
        <v>-4.76047E-2</v>
      </c>
      <c r="R1350">
        <v>-0.99862110000000004</v>
      </c>
      <c r="S1350">
        <v>1.280212E-2</v>
      </c>
      <c r="T1350">
        <v>-0.17214479999999999</v>
      </c>
      <c r="U1350">
        <v>-2.9956360000000002</v>
      </c>
      <c r="V1350">
        <v>-6.7321039999999996E-4</v>
      </c>
      <c r="W1350">
        <v>-3.3837470000000001E-2</v>
      </c>
      <c r="X1350">
        <v>0.99942710000000001</v>
      </c>
      <c r="Y1350">
        <v>1.72392E-2</v>
      </c>
      <c r="Z1350">
        <v>5.7346139999999997E-2</v>
      </c>
      <c r="AA1350">
        <v>0.99820549999999997</v>
      </c>
      <c r="AB1350">
        <v>24</v>
      </c>
      <c r="AC1350">
        <v>7.7700000000021405E-2</v>
      </c>
      <c r="AD1350">
        <v>-1.1094998799411999</v>
      </c>
      <c r="AE1350">
        <v>-19.071400000000001</v>
      </c>
      <c r="AF1350">
        <v>0.33132556152525799</v>
      </c>
      <c r="AG1350">
        <v>-1.1094998799411999</v>
      </c>
      <c r="AH1350">
        <v>19.004342161566999</v>
      </c>
      <c r="AI1350">
        <v>93.340708030218394</v>
      </c>
      <c r="AJ1350">
        <v>89.001194929571199</v>
      </c>
      <c r="AK1350">
        <v>19.039584754012399</v>
      </c>
      <c r="AL1350">
        <v>91.939114422763197</v>
      </c>
      <c r="AM1350">
        <v>90.038594219438806</v>
      </c>
      <c r="AN1350">
        <v>0.999999977901326</v>
      </c>
    </row>
    <row r="1351" spans="1:40" x14ac:dyDescent="0.25">
      <c r="A1351" t="str">
        <f>"20190312151523552"</f>
        <v>20190312151523552</v>
      </c>
      <c r="B1351" t="str">
        <f>"1552374923548954"</f>
        <v>1552374923548954</v>
      </c>
      <c r="C1351" t="s">
        <v>40</v>
      </c>
      <c r="D1351">
        <v>5.0925060000000002</v>
      </c>
      <c r="E1351">
        <v>0.50410129999999997</v>
      </c>
      <c r="F1351" t="s">
        <v>43</v>
      </c>
      <c r="G1351">
        <v>-190.3691</v>
      </c>
      <c r="H1351" s="1">
        <v>-1.7233690000000001E-6</v>
      </c>
      <c r="I1351">
        <v>303.37740000000002</v>
      </c>
      <c r="J1351">
        <v>-190.5146</v>
      </c>
      <c r="K1351">
        <v>1.1094900000000001</v>
      </c>
      <c r="L1351">
        <v>320.20819999999998</v>
      </c>
      <c r="M1351">
        <v>2.1161470000000002E-2</v>
      </c>
      <c r="N1351">
        <v>0</v>
      </c>
      <c r="O1351">
        <v>-0.99968129999999999</v>
      </c>
      <c r="P1351">
        <v>2.2144480000000001E-2</v>
      </c>
      <c r="Q1351">
        <v>-4.7903540000000001E-2</v>
      </c>
      <c r="R1351">
        <v>-0.99860660000000001</v>
      </c>
      <c r="S1351">
        <v>2.632141E-2</v>
      </c>
      <c r="T1351">
        <v>-0.19472890000000001</v>
      </c>
      <c r="U1351">
        <v>-2.9942929999999999</v>
      </c>
      <c r="V1351">
        <v>-1.025857E-3</v>
      </c>
      <c r="W1351">
        <v>-3.4138559999999998E-2</v>
      </c>
      <c r="X1351">
        <v>0.99941659999999999</v>
      </c>
      <c r="Y1351">
        <v>1.239296E-2</v>
      </c>
      <c r="Z1351">
        <v>6.4870739999999996E-2</v>
      </c>
      <c r="AA1351">
        <v>0.9978167</v>
      </c>
      <c r="AB1351">
        <v>24</v>
      </c>
      <c r="AC1351">
        <v>0.14549999999999799</v>
      </c>
      <c r="AD1351">
        <v>-1.10949172336899</v>
      </c>
      <c r="AE1351">
        <v>-16.830799999999901</v>
      </c>
      <c r="AF1351">
        <v>0.20981910841804499</v>
      </c>
      <c r="AG1351">
        <v>-1.10949172336899</v>
      </c>
      <c r="AH1351">
        <v>16.757296468227501</v>
      </c>
      <c r="AI1351">
        <v>93.787698497400598</v>
      </c>
      <c r="AJ1351">
        <v>89.2826336150884</v>
      </c>
      <c r="AK1351">
        <v>16.7952963911493</v>
      </c>
      <c r="AL1351">
        <v>91.956375505724495</v>
      </c>
      <c r="AM1351">
        <v>90.058811566508993</v>
      </c>
      <c r="AN1351">
        <v>1.0000000170084999</v>
      </c>
    </row>
    <row r="1352" spans="1:40" x14ac:dyDescent="0.25">
      <c r="A1352" t="str">
        <f>"20190312151523574"</f>
        <v>20190312151523574</v>
      </c>
      <c r="B1352" t="str">
        <f>"1552374923568473"</f>
        <v>1552374923568473</v>
      </c>
      <c r="C1352" t="s">
        <v>40</v>
      </c>
      <c r="D1352">
        <v>4.9387480000000004</v>
      </c>
      <c r="E1352">
        <v>0.50370159999999997</v>
      </c>
      <c r="F1352" t="s">
        <v>43</v>
      </c>
      <c r="G1352">
        <v>-190.3338</v>
      </c>
      <c r="H1352" s="1">
        <v>-2.0872640000000002E-6</v>
      </c>
      <c r="I1352">
        <v>304.2475</v>
      </c>
      <c r="J1352">
        <v>-190.51009999999999</v>
      </c>
      <c r="K1352">
        <v>1.1094869999999999</v>
      </c>
      <c r="L1352">
        <v>319.97489999999999</v>
      </c>
      <c r="M1352">
        <v>2.081421E-2</v>
      </c>
      <c r="N1352">
        <v>0</v>
      </c>
      <c r="O1352">
        <v>-0.99968869999999999</v>
      </c>
      <c r="P1352">
        <v>2.174011E-2</v>
      </c>
      <c r="Q1352">
        <v>-4.8007019999999997E-2</v>
      </c>
      <c r="R1352">
        <v>-0.99861060000000001</v>
      </c>
      <c r="S1352">
        <v>3.3905030000000003E-2</v>
      </c>
      <c r="T1352">
        <v>-0.2080843</v>
      </c>
      <c r="U1352">
        <v>-2.9934080000000001</v>
      </c>
      <c r="V1352">
        <v>-9.6818999999999996E-4</v>
      </c>
      <c r="W1352">
        <v>-3.4244410000000003E-2</v>
      </c>
      <c r="X1352">
        <v>0.999413</v>
      </c>
      <c r="Y1352">
        <v>9.5187090000000002E-3</v>
      </c>
      <c r="Z1352">
        <v>6.9320560000000003E-2</v>
      </c>
      <c r="AA1352">
        <v>0.99754900000000002</v>
      </c>
      <c r="AB1352">
        <v>24</v>
      </c>
      <c r="AC1352">
        <v>0.17629999999999699</v>
      </c>
      <c r="AD1352">
        <v>-1.109489087264</v>
      </c>
      <c r="AE1352">
        <v>-15.7273999999999</v>
      </c>
      <c r="AF1352">
        <v>0.150374332873255</v>
      </c>
      <c r="AG1352">
        <v>-1.109489087264</v>
      </c>
      <c r="AH1352">
        <v>15.6497892165784</v>
      </c>
      <c r="AI1352">
        <v>94.055002952478901</v>
      </c>
      <c r="AJ1352">
        <v>89.449478241674498</v>
      </c>
      <c r="AK1352">
        <v>15.689789067991899</v>
      </c>
      <c r="AL1352">
        <v>91.962443883130206</v>
      </c>
      <c r="AM1352">
        <v>90.055505765297198</v>
      </c>
      <c r="AN1352">
        <v>0.999999980788561</v>
      </c>
    </row>
    <row r="1353" spans="1:40" x14ac:dyDescent="0.25">
      <c r="A1353" t="str">
        <f>"20190312151523596"</f>
        <v>20190312151523596</v>
      </c>
      <c r="B1353" t="str">
        <f>"1552374923588969"</f>
        <v>1552374923588969</v>
      </c>
      <c r="C1353" t="s">
        <v>40</v>
      </c>
      <c r="D1353">
        <v>4.9385649999999996</v>
      </c>
      <c r="E1353">
        <v>0.50325730000000002</v>
      </c>
      <c r="F1353" t="s">
        <v>41</v>
      </c>
      <c r="G1353">
        <v>-190.499</v>
      </c>
      <c r="H1353">
        <v>1.0434110000000001</v>
      </c>
      <c r="I1353">
        <v>319.04610000000002</v>
      </c>
      <c r="J1353">
        <v>-190.50559999999999</v>
      </c>
      <c r="K1353">
        <v>1.1094889999999999</v>
      </c>
      <c r="L1353">
        <v>319.74250000000001</v>
      </c>
      <c r="M1353">
        <v>2.046862E-2</v>
      </c>
      <c r="N1353">
        <v>0</v>
      </c>
      <c r="O1353">
        <v>-0.99969580000000002</v>
      </c>
      <c r="P1353">
        <v>2.1226249999999999E-2</v>
      </c>
      <c r="Q1353">
        <v>-4.8521759999999997E-2</v>
      </c>
      <c r="R1353">
        <v>-0.99859690000000001</v>
      </c>
      <c r="S1353">
        <v>3.5842899999999997E-2</v>
      </c>
      <c r="T1353">
        <v>-0.21299870000000001</v>
      </c>
      <c r="U1353">
        <v>-2.9931950000000001</v>
      </c>
      <c r="V1353">
        <v>-8.0042749999999999E-4</v>
      </c>
      <c r="W1353">
        <v>-3.4761979999999998E-2</v>
      </c>
      <c r="X1353">
        <v>0.99939529999999999</v>
      </c>
      <c r="Y1353">
        <v>8.5278460000000004E-3</v>
      </c>
      <c r="Z1353">
        <v>7.0955409999999997E-2</v>
      </c>
      <c r="AA1353">
        <v>0.99744299999999997</v>
      </c>
      <c r="AB1353">
        <v>24</v>
      </c>
      <c r="AC1353">
        <v>6.5999999999633002E-3</v>
      </c>
      <c r="AD1353">
        <v>-6.6077999999999804E-2</v>
      </c>
      <c r="AE1353">
        <v>-0.69639999999998203</v>
      </c>
      <c r="AF1353">
        <v>7.5887627186993203E-3</v>
      </c>
      <c r="AG1353">
        <v>-6.6077999999999804E-2</v>
      </c>
      <c r="AH1353">
        <v>0.69017595448314095</v>
      </c>
      <c r="AI1353">
        <v>95.468546239568695</v>
      </c>
      <c r="AJ1353">
        <v>89.370035204049501</v>
      </c>
      <c r="AK1353">
        <v>0.69337344883570196</v>
      </c>
      <c r="AL1353">
        <v>91.992116087979895</v>
      </c>
      <c r="AM1353">
        <v>90.045888856741797</v>
      </c>
      <c r="AN1353">
        <v>1.0000000007998899</v>
      </c>
    </row>
    <row r="1354" spans="1:40" x14ac:dyDescent="0.25">
      <c r="A1354" t="str">
        <f>"20190312151523619"</f>
        <v>20190312151523619</v>
      </c>
      <c r="B1354" t="str">
        <f>"1552374923608490"</f>
        <v>1552374923608490</v>
      </c>
      <c r="C1354" t="s">
        <v>40</v>
      </c>
      <c r="D1354">
        <v>4.9274399999999998</v>
      </c>
      <c r="E1354">
        <v>0.50317749999999895</v>
      </c>
      <c r="F1354" t="s">
        <v>41</v>
      </c>
      <c r="G1354">
        <v>-190.49420000000001</v>
      </c>
      <c r="H1354">
        <v>1.0434939999999999</v>
      </c>
      <c r="I1354">
        <v>318.83010000000002</v>
      </c>
      <c r="J1354">
        <v>-190.50120000000001</v>
      </c>
      <c r="K1354">
        <v>1.109491</v>
      </c>
      <c r="L1354">
        <v>319.50689999999997</v>
      </c>
      <c r="M1354">
        <v>2.011808E-2</v>
      </c>
      <c r="N1354">
        <v>0</v>
      </c>
      <c r="O1354">
        <v>-0.99970289999999995</v>
      </c>
      <c r="P1354">
        <v>2.0525129999999999E-2</v>
      </c>
      <c r="Q1354">
        <v>-4.8401050000000001E-2</v>
      </c>
      <c r="R1354">
        <v>-0.99861739999999999</v>
      </c>
      <c r="S1354">
        <v>3.7963869999999997E-2</v>
      </c>
      <c r="T1354">
        <v>-0.21673870000000001</v>
      </c>
      <c r="U1354">
        <v>-2.9928590000000002</v>
      </c>
      <c r="V1354">
        <v>-4.492128E-4</v>
      </c>
      <c r="W1354">
        <v>-3.4643809999999997E-2</v>
      </c>
      <c r="X1354">
        <v>0.99939960000000005</v>
      </c>
      <c r="Y1354">
        <v>7.4702509999999998E-3</v>
      </c>
      <c r="Z1354">
        <v>7.2203669999999998E-2</v>
      </c>
      <c r="AA1354">
        <v>0.99736199999999997</v>
      </c>
      <c r="AB1354">
        <v>24</v>
      </c>
      <c r="AC1354">
        <v>7.0000000000049996E-3</v>
      </c>
      <c r="AD1354">
        <v>-6.5996999999999806E-2</v>
      </c>
      <c r="AE1354">
        <v>-0.67679999999995699</v>
      </c>
      <c r="AF1354">
        <v>6.5562869365997497E-3</v>
      </c>
      <c r="AG1354">
        <v>-6.5996999999999806E-2</v>
      </c>
      <c r="AH1354">
        <v>0.67042950979436999</v>
      </c>
      <c r="AI1354">
        <v>95.621809146423203</v>
      </c>
      <c r="AJ1354">
        <v>89.439709035590695</v>
      </c>
      <c r="AK1354">
        <v>0.67370194931476501</v>
      </c>
      <c r="AL1354">
        <v>91.985341410557695</v>
      </c>
      <c r="AM1354">
        <v>90.025753458186202</v>
      </c>
      <c r="AN1354">
        <v>0.99999997792180695</v>
      </c>
    </row>
    <row r="1355" spans="1:40" x14ac:dyDescent="0.25">
      <c r="A1355" t="str">
        <f>"20190312151523641"</f>
        <v>20190312151523641</v>
      </c>
      <c r="B1355" t="str">
        <f>"1552374923628986"</f>
        <v>1552374923628986</v>
      </c>
      <c r="C1355" t="s">
        <v>40</v>
      </c>
      <c r="D1355">
        <v>4.8391299999999999</v>
      </c>
      <c r="E1355">
        <v>0.50298559999999903</v>
      </c>
      <c r="F1355" t="s">
        <v>43</v>
      </c>
      <c r="G1355">
        <v>-190.31379999999999</v>
      </c>
      <c r="H1355" s="1">
        <v>-2.0320880000000001E-6</v>
      </c>
      <c r="I1355">
        <v>304.13130000000001</v>
      </c>
      <c r="J1355">
        <v>-190.49690000000001</v>
      </c>
      <c r="K1355">
        <v>1.109497</v>
      </c>
      <c r="L1355">
        <v>319.27140000000003</v>
      </c>
      <c r="M1355">
        <v>1.9767690000000001E-2</v>
      </c>
      <c r="N1355">
        <v>0</v>
      </c>
      <c r="O1355">
        <v>-0.99971010000000005</v>
      </c>
      <c r="P1355">
        <v>1.968224E-2</v>
      </c>
      <c r="Q1355">
        <v>-4.8848849999999999E-2</v>
      </c>
      <c r="R1355">
        <v>-0.99861270000000002</v>
      </c>
      <c r="S1355">
        <v>3.6483759999999997E-2</v>
      </c>
      <c r="T1355">
        <v>-0.21596989999999999</v>
      </c>
      <c r="U1355">
        <v>-2.99295</v>
      </c>
      <c r="V1355" s="1">
        <v>4.3203289999999999E-5</v>
      </c>
      <c r="W1355">
        <v>-3.5094500000000001E-2</v>
      </c>
      <c r="X1355">
        <v>0.99938400000000005</v>
      </c>
      <c r="Y1355">
        <v>7.613079E-3</v>
      </c>
      <c r="Z1355">
        <v>7.1947659999999997E-2</v>
      </c>
      <c r="AA1355">
        <v>0.99737940000000003</v>
      </c>
      <c r="AB1355">
        <v>24</v>
      </c>
      <c r="AC1355">
        <v>0.18310000000002399</v>
      </c>
      <c r="AD1355">
        <v>-1.109499032088</v>
      </c>
      <c r="AE1355">
        <v>-15.1401</v>
      </c>
      <c r="AF1355">
        <v>0.115628004295303</v>
      </c>
      <c r="AG1355">
        <v>-1.109499032088</v>
      </c>
      <c r="AH1355">
        <v>15.0598969415142</v>
      </c>
      <c r="AI1355">
        <v>94.213382805128205</v>
      </c>
      <c r="AJ1355">
        <v>89.560098818118405</v>
      </c>
      <c r="AK1355">
        <v>15.101154056118</v>
      </c>
      <c r="AL1355">
        <v>92.011179709169497</v>
      </c>
      <c r="AM1355">
        <v>89.997523108058004</v>
      </c>
      <c r="AN1355">
        <v>1.00000000262638</v>
      </c>
    </row>
    <row r="1356" spans="1:40" x14ac:dyDescent="0.25">
      <c r="A1356" t="str">
        <f>"20190312151523663"</f>
        <v>20190312151523663</v>
      </c>
      <c r="B1356" t="str">
        <f>"1552374923659241"</f>
        <v>1552374923659241</v>
      </c>
      <c r="C1356" t="s">
        <v>40</v>
      </c>
      <c r="D1356">
        <v>4.8844909999999997</v>
      </c>
      <c r="E1356">
        <v>0.50275769999999997</v>
      </c>
      <c r="F1356" t="s">
        <v>43</v>
      </c>
      <c r="G1356">
        <v>-190.3143</v>
      </c>
      <c r="H1356" s="1">
        <v>-1.9147449999999998E-6</v>
      </c>
      <c r="I1356">
        <v>303.85750000000002</v>
      </c>
      <c r="J1356">
        <v>-190.49260000000001</v>
      </c>
      <c r="K1356">
        <v>1.1094980000000001</v>
      </c>
      <c r="L1356">
        <v>319.03570000000002</v>
      </c>
      <c r="M1356">
        <v>1.941681E-2</v>
      </c>
      <c r="N1356">
        <v>0</v>
      </c>
      <c r="O1356">
        <v>-0.99971679999999996</v>
      </c>
      <c r="P1356">
        <v>1.869813E-2</v>
      </c>
      <c r="Q1356">
        <v>-4.8625679999999998E-2</v>
      </c>
      <c r="R1356">
        <v>-0.99864200000000003</v>
      </c>
      <c r="S1356">
        <v>3.5446169999999999E-2</v>
      </c>
      <c r="T1356">
        <v>-0.21543090000000001</v>
      </c>
      <c r="U1356">
        <v>-2.9929199999999998</v>
      </c>
      <c r="V1356">
        <v>6.7733259999999999E-4</v>
      </c>
      <c r="W1356">
        <v>-3.4873849999999998E-2</v>
      </c>
      <c r="X1356">
        <v>0.99939149999999999</v>
      </c>
      <c r="Y1356">
        <v>7.6075600000000002E-3</v>
      </c>
      <c r="Z1356">
        <v>7.1770609999999999E-2</v>
      </c>
      <c r="AA1356">
        <v>0.99739219999999895</v>
      </c>
      <c r="AB1356">
        <v>24</v>
      </c>
      <c r="AC1356">
        <v>0.17830000000000701</v>
      </c>
      <c r="AD1356">
        <v>-1.109499914745</v>
      </c>
      <c r="AE1356">
        <v>-15.1782</v>
      </c>
      <c r="AF1356">
        <v>0.115854777532561</v>
      </c>
      <c r="AG1356">
        <v>-1.109499914745</v>
      </c>
      <c r="AH1356">
        <v>15.0981367787909</v>
      </c>
      <c r="AI1356">
        <v>94.202753110369201</v>
      </c>
      <c r="AJ1356">
        <v>89.560352406043705</v>
      </c>
      <c r="AK1356">
        <v>15.1392914821459</v>
      </c>
      <c r="AL1356">
        <v>91.998529642692603</v>
      </c>
      <c r="AM1356">
        <v>89.961168077410505</v>
      </c>
      <c r="AN1356">
        <v>1.0000000072327599</v>
      </c>
    </row>
    <row r="1357" spans="1:40" x14ac:dyDescent="0.25">
      <c r="A1357" t="str">
        <f>"20190312151523688"</f>
        <v>20190312151523688</v>
      </c>
      <c r="B1357" t="str">
        <f>"1552374923678761"</f>
        <v>1552374923678761</v>
      </c>
      <c r="C1357" t="s">
        <v>40</v>
      </c>
      <c r="D1357">
        <v>4.8705420000000004</v>
      </c>
      <c r="E1357">
        <v>0.50276239999999905</v>
      </c>
      <c r="F1357" t="s">
        <v>43</v>
      </c>
      <c r="G1357">
        <v>-190.3066</v>
      </c>
      <c r="H1357" s="1">
        <v>-1.474562E-6</v>
      </c>
      <c r="I1357">
        <v>302.83620000000002</v>
      </c>
      <c r="J1357">
        <v>-190.48820000000001</v>
      </c>
      <c r="K1357">
        <v>1.1095029999999999</v>
      </c>
      <c r="L1357">
        <v>318.78530000000001</v>
      </c>
      <c r="M1357">
        <v>1.9043979999999999E-2</v>
      </c>
      <c r="N1357">
        <v>0</v>
      </c>
      <c r="O1357">
        <v>-0.9997239</v>
      </c>
      <c r="P1357">
        <v>1.809053E-2</v>
      </c>
      <c r="Q1357">
        <v>-4.8256149999999998E-2</v>
      </c>
      <c r="R1357">
        <v>-0.99867119999999998</v>
      </c>
      <c r="S1357">
        <v>3.437805E-2</v>
      </c>
      <c r="T1357">
        <v>-0.20502020000000001</v>
      </c>
      <c r="U1357">
        <v>-2.993439</v>
      </c>
      <c r="V1357">
        <v>9.1315000000000005E-4</v>
      </c>
      <c r="W1357">
        <v>-3.450669E-2</v>
      </c>
      <c r="X1357">
        <v>0.99940410000000002</v>
      </c>
      <c r="Y1357">
        <v>7.5897250000000003E-3</v>
      </c>
      <c r="Z1357">
        <v>6.8307989999999999E-2</v>
      </c>
      <c r="AA1357">
        <v>0.99763539999999995</v>
      </c>
      <c r="AB1357">
        <v>24</v>
      </c>
      <c r="AC1357">
        <v>0.18160000000000301</v>
      </c>
      <c r="AD1357">
        <v>-1.109504474562</v>
      </c>
      <c r="AE1357">
        <v>-15.9490999999999</v>
      </c>
      <c r="AF1357">
        <v>0.121607632905836</v>
      </c>
      <c r="AG1357">
        <v>-1.109504474562</v>
      </c>
      <c r="AH1357">
        <v>15.872861599454801</v>
      </c>
      <c r="AI1357">
        <v>93.998323582820802</v>
      </c>
      <c r="AJ1357">
        <v>89.561045262136304</v>
      </c>
      <c r="AK1357">
        <v>15.9120559309883</v>
      </c>
      <c r="AL1357">
        <v>91.977480169741696</v>
      </c>
      <c r="AM1357">
        <v>89.947649177642006</v>
      </c>
      <c r="AN1357">
        <v>1.0000000502972399</v>
      </c>
    </row>
    <row r="1358" spans="1:40" x14ac:dyDescent="0.25">
      <c r="A1358" t="str">
        <f>"20190312151523709"</f>
        <v>20190312151523709</v>
      </c>
      <c r="B1358" t="str">
        <f>"1552374923699258"</f>
        <v>1552374923699258</v>
      </c>
      <c r="C1358" t="s">
        <v>40</v>
      </c>
      <c r="D1358">
        <v>4.8635330000000003</v>
      </c>
      <c r="E1358">
        <v>0.50275720000000002</v>
      </c>
      <c r="F1358" t="s">
        <v>43</v>
      </c>
      <c r="G1358">
        <v>-190.3124</v>
      </c>
      <c r="H1358" s="1">
        <v>-1.3410650000000001E-6</v>
      </c>
      <c r="I1358">
        <v>302.52140000000003</v>
      </c>
      <c r="J1358">
        <v>-190.48410000000001</v>
      </c>
      <c r="K1358">
        <v>1.10951</v>
      </c>
      <c r="L1358">
        <v>318.54640000000001</v>
      </c>
      <c r="M1358">
        <v>1.8688380000000001E-2</v>
      </c>
      <c r="N1358">
        <v>0</v>
      </c>
      <c r="O1358">
        <v>-0.99973080000000003</v>
      </c>
      <c r="P1358">
        <v>1.7488159999999999E-2</v>
      </c>
      <c r="Q1358">
        <v>-4.8119629999999997E-2</v>
      </c>
      <c r="R1358">
        <v>-0.99868880000000004</v>
      </c>
      <c r="S1358">
        <v>3.2363889999999999E-2</v>
      </c>
      <c r="T1358">
        <v>-0.2042136</v>
      </c>
      <c r="U1358">
        <v>-2.9935</v>
      </c>
      <c r="V1358">
        <v>1.16059E-3</v>
      </c>
      <c r="W1358">
        <v>-3.4372670000000001E-2</v>
      </c>
      <c r="X1358">
        <v>0.99940839999999997</v>
      </c>
      <c r="Y1358">
        <v>7.9052419999999998E-3</v>
      </c>
      <c r="Z1358">
        <v>6.803998E-2</v>
      </c>
      <c r="AA1358">
        <v>0.99765130000000002</v>
      </c>
      <c r="AB1358">
        <v>24</v>
      </c>
      <c r="AC1358">
        <v>0.17170000000001501</v>
      </c>
      <c r="AD1358">
        <v>-1.1095113410649999</v>
      </c>
      <c r="AE1358">
        <v>-16.024999999999899</v>
      </c>
      <c r="AF1358">
        <v>0.12722977063711</v>
      </c>
      <c r="AG1358">
        <v>-1.1095113410649999</v>
      </c>
      <c r="AH1358">
        <v>15.948964743082</v>
      </c>
      <c r="AI1358">
        <v>93.979321103268106</v>
      </c>
      <c r="AJ1358">
        <v>89.542943734837905</v>
      </c>
      <c r="AK1358">
        <v>15.9880167377496</v>
      </c>
      <c r="AL1358">
        <v>91.969796953208501</v>
      </c>
      <c r="AM1358">
        <v>89.933463758306004</v>
      </c>
      <c r="AN1358">
        <v>0.99999998870131801</v>
      </c>
    </row>
    <row r="1359" spans="1:40" x14ac:dyDescent="0.25">
      <c r="A1359" t="str">
        <f>"20190312151523731"</f>
        <v>20190312151523731</v>
      </c>
      <c r="B1359" t="str">
        <f>"1552374923718778"</f>
        <v>1552374923718778</v>
      </c>
      <c r="C1359" t="s">
        <v>40</v>
      </c>
      <c r="D1359">
        <v>4.9796279999999999</v>
      </c>
      <c r="E1359">
        <v>0.50290270000000004</v>
      </c>
      <c r="F1359" t="s">
        <v>43</v>
      </c>
      <c r="G1359">
        <v>-190.31870000000001</v>
      </c>
      <c r="H1359" s="1">
        <v>-1.2661160000000001E-6</v>
      </c>
      <c r="I1359">
        <v>302.34280000000001</v>
      </c>
      <c r="J1359">
        <v>-190.48050000000001</v>
      </c>
      <c r="K1359">
        <v>1.109507</v>
      </c>
      <c r="L1359">
        <v>318.33210000000003</v>
      </c>
      <c r="M1359">
        <v>1.8369159999999999E-2</v>
      </c>
      <c r="N1359">
        <v>0</v>
      </c>
      <c r="O1359">
        <v>-0.99973679999999998</v>
      </c>
      <c r="P1359">
        <v>1.6849340000000001E-2</v>
      </c>
      <c r="Q1359">
        <v>-4.8141410000000003E-2</v>
      </c>
      <c r="R1359">
        <v>-0.9986988</v>
      </c>
      <c r="S1359">
        <v>3.056335E-2</v>
      </c>
      <c r="T1359">
        <v>-0.20497799999999999</v>
      </c>
      <c r="U1359">
        <v>-2.9935610000000001</v>
      </c>
      <c r="V1359">
        <v>1.48057299999999E-3</v>
      </c>
      <c r="W1359">
        <v>-3.4396709999999997E-2</v>
      </c>
      <c r="X1359">
        <v>0.99940720000000005</v>
      </c>
      <c r="Y1359">
        <v>8.1863289999999991E-3</v>
      </c>
      <c r="Z1359">
        <v>6.8292820000000004E-2</v>
      </c>
      <c r="AA1359">
        <v>0.99763170000000001</v>
      </c>
      <c r="AB1359">
        <v>23</v>
      </c>
      <c r="AC1359">
        <v>0.161799999999999</v>
      </c>
      <c r="AD1359">
        <v>-1.1095082661160001</v>
      </c>
      <c r="AE1359">
        <v>-15.9893</v>
      </c>
      <c r="AF1359">
        <v>0.13133274972687001</v>
      </c>
      <c r="AG1359">
        <v>-1.1095082661160001</v>
      </c>
      <c r="AH1359">
        <v>15.912959974078801</v>
      </c>
      <c r="AI1359">
        <v>93.988275800665903</v>
      </c>
      <c r="AJ1359">
        <v>89.527137538268505</v>
      </c>
      <c r="AK1359">
        <v>15.952133149531001</v>
      </c>
      <c r="AL1359">
        <v>91.971175060370101</v>
      </c>
      <c r="AM1359">
        <v>89.915119160536406</v>
      </c>
      <c r="AN1359">
        <v>1.0000000385835299</v>
      </c>
    </row>
    <row r="1360" spans="1:40" x14ac:dyDescent="0.25">
      <c r="A1360" t="str">
        <f>"20190312151523753"</f>
        <v>20190312151523753</v>
      </c>
      <c r="B1360" t="str">
        <f>"1552374923749034"</f>
        <v>1552374923749034</v>
      </c>
      <c r="C1360" t="s">
        <v>40</v>
      </c>
      <c r="D1360">
        <v>5.06426</v>
      </c>
      <c r="E1360">
        <v>0.5028222</v>
      </c>
      <c r="F1360" t="s">
        <v>43</v>
      </c>
      <c r="G1360">
        <v>-190.33090000000001</v>
      </c>
      <c r="H1360" s="1">
        <v>-1.170375E-6</v>
      </c>
      <c r="I1360">
        <v>302.1121</v>
      </c>
      <c r="J1360">
        <v>-190.47640000000001</v>
      </c>
      <c r="K1360">
        <v>1.109507</v>
      </c>
      <c r="L1360">
        <v>318.08800000000002</v>
      </c>
      <c r="M1360">
        <v>1.8005239999999999E-2</v>
      </c>
      <c r="N1360">
        <v>0</v>
      </c>
      <c r="O1360">
        <v>-0.99974350000000001</v>
      </c>
      <c r="P1360">
        <v>1.666492E-2</v>
      </c>
      <c r="Q1360">
        <v>-4.8321459999999997E-2</v>
      </c>
      <c r="R1360">
        <v>-0.9986931</v>
      </c>
      <c r="S1360">
        <v>2.7618409999999999E-2</v>
      </c>
      <c r="T1360">
        <v>-0.20477219999999999</v>
      </c>
      <c r="U1360">
        <v>-2.9935909999999999</v>
      </c>
      <c r="V1360">
        <v>1.3012239999999999E-3</v>
      </c>
      <c r="W1360">
        <v>-3.4579400000000003E-2</v>
      </c>
      <c r="X1360">
        <v>0.99940110000000004</v>
      </c>
      <c r="Y1360">
        <v>8.8037180000000003E-3</v>
      </c>
      <c r="Z1360">
        <v>6.8224729999999997E-2</v>
      </c>
      <c r="AA1360">
        <v>0.99763109999999999</v>
      </c>
      <c r="AB1360">
        <v>23</v>
      </c>
      <c r="AC1360">
        <v>0.14549999999999799</v>
      </c>
      <c r="AD1360">
        <v>-1.109508170375</v>
      </c>
      <c r="AE1360">
        <v>-15.9758999999999</v>
      </c>
      <c r="AF1360">
        <v>0.14151814898960999</v>
      </c>
      <c r="AG1360">
        <v>-1.109508170375</v>
      </c>
      <c r="AH1360">
        <v>15.899251667661799</v>
      </c>
      <c r="AI1360">
        <v>93.991680927059605</v>
      </c>
      <c r="AJ1360">
        <v>89.490027662442003</v>
      </c>
      <c r="AK1360">
        <v>15.938545710267</v>
      </c>
      <c r="AL1360">
        <v>91.981648746180298</v>
      </c>
      <c r="AM1360">
        <v>89.925400721219404</v>
      </c>
      <c r="AN1360">
        <v>0.999999993384734</v>
      </c>
    </row>
    <row r="1361" spans="1:40" x14ac:dyDescent="0.25">
      <c r="A1361" t="str">
        <f>"20190312151523775"</f>
        <v>20190312151523775</v>
      </c>
      <c r="B1361" t="str">
        <f>"1552374923768554"</f>
        <v>1552374923768554</v>
      </c>
      <c r="C1361" t="s">
        <v>40</v>
      </c>
      <c r="D1361">
        <v>4.675859</v>
      </c>
      <c r="E1361">
        <v>0.47184019999999999</v>
      </c>
      <c r="F1361" t="s">
        <v>43</v>
      </c>
      <c r="G1361">
        <v>-190.32830000000001</v>
      </c>
      <c r="H1361" s="1">
        <v>-1.135048E-6</v>
      </c>
      <c r="I1361">
        <v>302.03129999999999</v>
      </c>
      <c r="J1361">
        <v>-190.4727</v>
      </c>
      <c r="K1361">
        <v>1.1095060000000001</v>
      </c>
      <c r="L1361">
        <v>317.85989999999998</v>
      </c>
      <c r="M1361">
        <v>1.7665429999999999E-2</v>
      </c>
      <c r="N1361">
        <v>0</v>
      </c>
      <c r="O1361">
        <v>-0.99974940000000001</v>
      </c>
      <c r="P1361">
        <v>1.6841109999999999E-2</v>
      </c>
      <c r="Q1361">
        <v>-4.8523660000000003E-2</v>
      </c>
      <c r="R1361">
        <v>-0.99868020000000002</v>
      </c>
      <c r="S1361">
        <v>2.7618409999999999E-2</v>
      </c>
      <c r="T1361">
        <v>-0.20684540000000001</v>
      </c>
      <c r="U1361">
        <v>-2.993439</v>
      </c>
      <c r="V1361">
        <v>7.8526979999999995E-4</v>
      </c>
      <c r="W1361">
        <v>-3.478386E-2</v>
      </c>
      <c r="X1361">
        <v>0.99939449999999996</v>
      </c>
      <c r="Y1361">
        <v>8.4638070000000003E-3</v>
      </c>
      <c r="Z1361">
        <v>6.8916409999999997E-2</v>
      </c>
      <c r="AA1361">
        <v>0.99758650000000004</v>
      </c>
      <c r="AB1361">
        <v>23</v>
      </c>
      <c r="AC1361">
        <v>0.14439999999999001</v>
      </c>
      <c r="AD1361">
        <v>-1.1095071350479999</v>
      </c>
      <c r="AE1361">
        <v>-15.8285999999999</v>
      </c>
      <c r="AF1361">
        <v>0.134606689173912</v>
      </c>
      <c r="AG1361">
        <v>-1.1095071350479999</v>
      </c>
      <c r="AH1361">
        <v>15.7512959322691</v>
      </c>
      <c r="AI1361">
        <v>94.029061533669505</v>
      </c>
      <c r="AJ1361">
        <v>89.510376322041296</v>
      </c>
      <c r="AK1361">
        <v>15.7908976498935</v>
      </c>
      <c r="AL1361">
        <v>91.993370579349801</v>
      </c>
      <c r="AM1361">
        <v>89.954980104393499</v>
      </c>
      <c r="AN1361">
        <v>0.99999995009770304</v>
      </c>
    </row>
    <row r="1362" spans="1:40" x14ac:dyDescent="0.25">
      <c r="A1362" t="str">
        <f>"20190312151523797"</f>
        <v>20190312151523797</v>
      </c>
      <c r="B1362" t="str">
        <f>"1552374923789049"</f>
        <v>1552374923789049</v>
      </c>
      <c r="C1362" t="s">
        <v>40</v>
      </c>
      <c r="D1362">
        <v>4.6816279999999999</v>
      </c>
      <c r="E1362">
        <v>0.46901490000000001</v>
      </c>
      <c r="F1362" t="s">
        <v>50</v>
      </c>
      <c r="G1362">
        <v>-187.52359999999999</v>
      </c>
      <c r="H1362" s="1">
        <v>3.4429539999999999E-6</v>
      </c>
      <c r="I1362">
        <v>285.72989999999999</v>
      </c>
      <c r="J1362">
        <v>-190.4691</v>
      </c>
      <c r="K1362">
        <v>1.109504</v>
      </c>
      <c r="L1362">
        <v>317.63139999999999</v>
      </c>
      <c r="M1362">
        <v>1.7325259999999999E-2</v>
      </c>
      <c r="N1362">
        <v>0</v>
      </c>
      <c r="O1362">
        <v>-0.99975559999999997</v>
      </c>
      <c r="P1362">
        <v>1.6792660000000001E-2</v>
      </c>
      <c r="Q1362">
        <v>-4.8951250000000002E-2</v>
      </c>
      <c r="R1362">
        <v>-0.9986602</v>
      </c>
      <c r="S1362">
        <v>0.27484130000000001</v>
      </c>
      <c r="T1362">
        <v>-0.10339810000000001</v>
      </c>
      <c r="U1362">
        <v>-2.9942929999999999</v>
      </c>
      <c r="V1362">
        <v>4.9329120000000005E-4</v>
      </c>
      <c r="W1362">
        <v>-3.5213979999999999E-2</v>
      </c>
      <c r="X1362">
        <v>0.99937969999999998</v>
      </c>
      <c r="Y1362">
        <v>-7.4082019999999998E-2</v>
      </c>
      <c r="Z1362">
        <v>3.4383789999999997E-2</v>
      </c>
      <c r="AA1362">
        <v>0.99665919999999997</v>
      </c>
      <c r="AB1362">
        <v>23</v>
      </c>
      <c r="AC1362">
        <v>2.9455</v>
      </c>
      <c r="AD1362">
        <v>-1.1095005570459999</v>
      </c>
      <c r="AE1362">
        <v>-31.901499999999999</v>
      </c>
      <c r="AF1362">
        <v>-2.38943813956657</v>
      </c>
      <c r="AG1362">
        <v>-1.1095005570459999</v>
      </c>
      <c r="AH1362">
        <v>31.909476601849001</v>
      </c>
      <c r="AI1362">
        <v>91.985831165137199</v>
      </c>
      <c r="AJ1362">
        <v>94.282417173078201</v>
      </c>
      <c r="AK1362">
        <v>32.018043399196799</v>
      </c>
      <c r="AL1362">
        <v>92.018029595156307</v>
      </c>
      <c r="AM1362">
        <v>89.971718955732598</v>
      </c>
      <c r="AN1362">
        <v>1.0000000262478601</v>
      </c>
    </row>
    <row r="1363" spans="1:40" x14ac:dyDescent="0.25">
      <c r="A1363" t="str">
        <f>"20190312151523820"</f>
        <v>20190312151523820</v>
      </c>
      <c r="B1363" t="str">
        <f>"1552374923808570"</f>
        <v>1552374923808570</v>
      </c>
      <c r="C1363" t="s">
        <v>40</v>
      </c>
      <c r="D1363">
        <v>4.7813359999999996</v>
      </c>
      <c r="E1363">
        <v>0.46831250000000002</v>
      </c>
      <c r="F1363" t="s">
        <v>50</v>
      </c>
      <c r="G1363">
        <v>-187.2389</v>
      </c>
      <c r="H1363" s="1">
        <v>3.4479769999999999E-6</v>
      </c>
      <c r="I1363">
        <v>285.0949</v>
      </c>
      <c r="J1363">
        <v>-190.46549999999999</v>
      </c>
      <c r="K1363">
        <v>1.1094980000000001</v>
      </c>
      <c r="L1363">
        <v>317.39789999999999</v>
      </c>
      <c r="M1363">
        <v>1.697736E-2</v>
      </c>
      <c r="N1363">
        <v>0</v>
      </c>
      <c r="O1363">
        <v>-0.99976129999999996</v>
      </c>
      <c r="P1363">
        <v>1.709453E-2</v>
      </c>
      <c r="Q1363">
        <v>-4.9078629999999998E-2</v>
      </c>
      <c r="R1363">
        <v>-0.9986486</v>
      </c>
      <c r="S1363">
        <v>0.29724119999999998</v>
      </c>
      <c r="T1363">
        <v>-0.1020967</v>
      </c>
      <c r="U1363">
        <v>-2.9940190000000002</v>
      </c>
      <c r="V1363">
        <v>-1.5660669999999999E-4</v>
      </c>
      <c r="W1363">
        <v>-3.5343640000000003E-2</v>
      </c>
      <c r="X1363">
        <v>0.99937520000000002</v>
      </c>
      <c r="Y1363">
        <v>-8.182565E-2</v>
      </c>
      <c r="Z1363">
        <v>3.3932599999999903E-2</v>
      </c>
      <c r="AA1363">
        <v>0.99606879999999998</v>
      </c>
      <c r="AB1363">
        <v>23</v>
      </c>
      <c r="AC1363">
        <v>3.2265999999999901</v>
      </c>
      <c r="AD1363">
        <v>-1.109494552023</v>
      </c>
      <c r="AE1363">
        <v>-32.302999999999997</v>
      </c>
      <c r="AF1363">
        <v>-2.6745394161187099</v>
      </c>
      <c r="AG1363">
        <v>-1.109494552023</v>
      </c>
      <c r="AH1363">
        <v>32.3153824964403</v>
      </c>
      <c r="AI1363">
        <v>91.959687208548701</v>
      </c>
      <c r="AJ1363">
        <v>94.7312255429799</v>
      </c>
      <c r="AK1363">
        <v>32.444846819496298</v>
      </c>
      <c r="AL1363">
        <v>92.025463258643299</v>
      </c>
      <c r="AM1363">
        <v>90.008978512654707</v>
      </c>
      <c r="AN1363">
        <v>0.99999999389457395</v>
      </c>
    </row>
    <row r="1364" spans="1:40" x14ac:dyDescent="0.25">
      <c r="A1364" t="str">
        <f>"20190312151523842"</f>
        <v>20190312151523842</v>
      </c>
      <c r="B1364" t="str">
        <f>"1552374923838826"</f>
        <v>1552374923838826</v>
      </c>
      <c r="C1364" t="s">
        <v>40</v>
      </c>
      <c r="D1364">
        <v>4.6581289999999997</v>
      </c>
      <c r="E1364">
        <v>0.46697319999999998</v>
      </c>
      <c r="F1364" t="s">
        <v>50</v>
      </c>
      <c r="G1364">
        <v>-187.14089999999999</v>
      </c>
      <c r="H1364" s="1">
        <v>3.4703009999999999E-6</v>
      </c>
      <c r="I1364">
        <v>284.64069999999998</v>
      </c>
      <c r="J1364">
        <v>-190.46190000000001</v>
      </c>
      <c r="K1364">
        <v>1.109499</v>
      </c>
      <c r="L1364">
        <v>317.166</v>
      </c>
      <c r="M1364">
        <v>1.6631900000000002E-2</v>
      </c>
      <c r="N1364">
        <v>0</v>
      </c>
      <c r="O1364">
        <v>-0.99976730000000003</v>
      </c>
      <c r="P1364">
        <v>1.6884719999999999E-2</v>
      </c>
      <c r="Q1364">
        <v>-4.9085450000000003E-2</v>
      </c>
      <c r="R1364">
        <v>-0.99865199999999998</v>
      </c>
      <c r="S1364">
        <v>0.30384830000000002</v>
      </c>
      <c r="T1364">
        <v>-0.10140299999999999</v>
      </c>
      <c r="U1364">
        <v>-2.9938660000000001</v>
      </c>
      <c r="V1364">
        <v>-2.9194369999999999E-4</v>
      </c>
      <c r="W1364">
        <v>-3.5352840000000003E-2</v>
      </c>
      <c r="X1364">
        <v>0.99937489999999995</v>
      </c>
      <c r="Y1364">
        <v>-8.4351819999999994E-2</v>
      </c>
      <c r="Z1364">
        <v>3.3697060000000001E-2</v>
      </c>
      <c r="AA1364">
        <v>0.99586609999999998</v>
      </c>
      <c r="AB1364">
        <v>23</v>
      </c>
      <c r="AC1364">
        <v>3.3210000000000202</v>
      </c>
      <c r="AD1364">
        <v>-1.1094955296989999</v>
      </c>
      <c r="AE1364">
        <v>-32.525300000000001</v>
      </c>
      <c r="AF1364">
        <v>-2.77633471736354</v>
      </c>
      <c r="AG1364">
        <v>-1.1094955296989999</v>
      </c>
      <c r="AH1364">
        <v>32.538568380638402</v>
      </c>
      <c r="AI1364">
        <v>91.945842004369695</v>
      </c>
      <c r="AJ1364">
        <v>94.876917399930903</v>
      </c>
      <c r="AK1364">
        <v>32.675639963966098</v>
      </c>
      <c r="AL1364">
        <v>92.025990596461398</v>
      </c>
      <c r="AM1364">
        <v>90.016737604065895</v>
      </c>
      <c r="AN1364">
        <v>1.0000000496385899</v>
      </c>
    </row>
    <row r="1365" spans="1:40" x14ac:dyDescent="0.25">
      <c r="A1365" t="str">
        <f>"20190312151523865"</f>
        <v>20190312151523865</v>
      </c>
      <c r="B1365" t="str">
        <f>"1552374923859322"</f>
        <v>1552374923859322</v>
      </c>
      <c r="C1365" t="s">
        <v>40</v>
      </c>
      <c r="D1365">
        <v>4.8192830000000004</v>
      </c>
      <c r="E1365">
        <v>0.46657409999999999</v>
      </c>
      <c r="F1365" t="s">
        <v>50</v>
      </c>
      <c r="G1365">
        <v>-187.50960000000001</v>
      </c>
      <c r="H1365" s="1">
        <v>3.1537419999999999E-6</v>
      </c>
      <c r="I1365">
        <v>289.00979999999998</v>
      </c>
      <c r="J1365">
        <v>-190.45840000000001</v>
      </c>
      <c r="K1365">
        <v>1.1095010000000001</v>
      </c>
      <c r="L1365">
        <v>316.92689999999999</v>
      </c>
      <c r="M1365">
        <v>1.627572E-2</v>
      </c>
      <c r="N1365">
        <v>0</v>
      </c>
      <c r="O1365">
        <v>-0.99977329999999998</v>
      </c>
      <c r="P1365">
        <v>1.6744099999999901E-2</v>
      </c>
      <c r="Q1365">
        <v>-4.9174610000000001E-2</v>
      </c>
      <c r="R1365">
        <v>-0.99865009999999999</v>
      </c>
      <c r="S1365">
        <v>0.31382749999999998</v>
      </c>
      <c r="T1365">
        <v>-0.1179371</v>
      </c>
      <c r="U1365">
        <v>-2.99295</v>
      </c>
      <c r="V1365">
        <v>-5.0686129999999896E-4</v>
      </c>
      <c r="W1365">
        <v>-3.5444499999999997E-2</v>
      </c>
      <c r="X1365">
        <v>0.99937149999999997</v>
      </c>
      <c r="Y1365">
        <v>-8.8001460000000004E-2</v>
      </c>
      <c r="Z1365">
        <v>3.9182969999999998E-2</v>
      </c>
      <c r="AA1365">
        <v>0.99534940000000005</v>
      </c>
      <c r="AB1365">
        <v>23</v>
      </c>
      <c r="AC1365">
        <v>2.9487999999999999</v>
      </c>
      <c r="AD1365">
        <v>-1.1094978462580001</v>
      </c>
      <c r="AE1365">
        <v>-27.917100000000001</v>
      </c>
      <c r="AF1365">
        <v>-2.4901059524831499</v>
      </c>
      <c r="AG1365">
        <v>-1.1094978462580001</v>
      </c>
      <c r="AH1365">
        <v>27.917790955392501</v>
      </c>
      <c r="AI1365">
        <v>92.266838912475606</v>
      </c>
      <c r="AJ1365">
        <v>95.096965175403696</v>
      </c>
      <c r="AK1365">
        <v>28.050573344486899</v>
      </c>
      <c r="AL1365">
        <v>92.031245757769497</v>
      </c>
      <c r="AM1365">
        <v>90.029059274552395</v>
      </c>
      <c r="AN1365">
        <v>0.99999998225043796</v>
      </c>
    </row>
    <row r="1366" spans="1:40" x14ac:dyDescent="0.25">
      <c r="A1366" t="str">
        <f>"20190312151523888"</f>
        <v>20190312151523888</v>
      </c>
      <c r="B1366" t="str">
        <f>"1552374923878843"</f>
        <v>1552374923878843</v>
      </c>
      <c r="C1366" t="s">
        <v>40</v>
      </c>
      <c r="D1366">
        <v>4.6442100000000002</v>
      </c>
      <c r="E1366">
        <v>0.46618880000000001</v>
      </c>
      <c r="F1366" t="s">
        <v>50</v>
      </c>
      <c r="G1366">
        <v>-187.47739999999999</v>
      </c>
      <c r="H1366" s="1">
        <v>3.1709570000000001E-6</v>
      </c>
      <c r="I1366">
        <v>288.74759999999998</v>
      </c>
      <c r="J1366">
        <v>-190.45490000000001</v>
      </c>
      <c r="K1366">
        <v>1.109505</v>
      </c>
      <c r="L1366">
        <v>316.69229999999999</v>
      </c>
      <c r="M1366">
        <v>1.5925979999999999E-2</v>
      </c>
      <c r="N1366">
        <v>0</v>
      </c>
      <c r="O1366">
        <v>-0.99977899999999997</v>
      </c>
      <c r="P1366">
        <v>1.6494950000000001E-2</v>
      </c>
      <c r="Q1366">
        <v>-4.9117330000000001E-2</v>
      </c>
      <c r="R1366">
        <v>-0.99865720000000002</v>
      </c>
      <c r="S1366">
        <v>0.31660460000000001</v>
      </c>
      <c r="T1366">
        <v>-0.11783929999999999</v>
      </c>
      <c r="U1366">
        <v>-2.9929199999999998</v>
      </c>
      <c r="V1366">
        <v>-6.0693539999999999E-4</v>
      </c>
      <c r="W1366">
        <v>-3.5389570000000002E-2</v>
      </c>
      <c r="X1366">
        <v>0.99937339999999997</v>
      </c>
      <c r="Y1366">
        <v>-8.9264499999999997E-2</v>
      </c>
      <c r="Z1366">
        <v>3.9147179999999997E-2</v>
      </c>
      <c r="AA1366">
        <v>0.99523839999999997</v>
      </c>
      <c r="AB1366">
        <v>23</v>
      </c>
      <c r="AC1366">
        <v>2.97750000000002</v>
      </c>
      <c r="AD1366">
        <v>-1.1095018290430001</v>
      </c>
      <c r="AE1366">
        <v>-27.944700000000001</v>
      </c>
      <c r="AF1366">
        <v>-2.5280931940891498</v>
      </c>
      <c r="AG1366">
        <v>-1.1095018290430001</v>
      </c>
      <c r="AH1366">
        <v>27.9450221816086</v>
      </c>
      <c r="AI1366">
        <v>92.264383893940206</v>
      </c>
      <c r="AJ1366">
        <v>95.169287024685502</v>
      </c>
      <c r="AK1366">
        <v>28.081070389806101</v>
      </c>
      <c r="AL1366">
        <v>92.028096506353904</v>
      </c>
      <c r="AM1366">
        <v>90.034796636153899</v>
      </c>
      <c r="AN1366">
        <v>0.999999991331462</v>
      </c>
    </row>
    <row r="1367" spans="1:40" x14ac:dyDescent="0.25">
      <c r="A1367" t="str">
        <f>"20190312151523912"</f>
        <v>20190312151523912</v>
      </c>
      <c r="B1367" t="str">
        <f>"1552374923899339"</f>
        <v>1552374923899339</v>
      </c>
      <c r="C1367" t="s">
        <v>40</v>
      </c>
      <c r="D1367">
        <v>6.2320960000000003</v>
      </c>
      <c r="E1367">
        <v>0.46586070000000002</v>
      </c>
      <c r="F1367" t="s">
        <v>50</v>
      </c>
      <c r="G1367">
        <v>-187.44579999999999</v>
      </c>
      <c r="H1367" s="1">
        <v>3.1926620000000002E-6</v>
      </c>
      <c r="I1367">
        <v>288.43520000000001</v>
      </c>
      <c r="J1367">
        <v>-190.45150000000001</v>
      </c>
      <c r="K1367">
        <v>1.109507</v>
      </c>
      <c r="L1367">
        <v>316.4502</v>
      </c>
      <c r="M1367">
        <v>1.5564969999999999E-2</v>
      </c>
      <c r="N1367">
        <v>0</v>
      </c>
      <c r="O1367">
        <v>-0.99978449999999996</v>
      </c>
      <c r="P1367">
        <v>1.6187650000000001E-2</v>
      </c>
      <c r="Q1367">
        <v>-4.8794339999999999E-2</v>
      </c>
      <c r="R1367">
        <v>-0.99867779999999995</v>
      </c>
      <c r="S1367">
        <v>0.3187256</v>
      </c>
      <c r="T1367">
        <v>-0.1175177</v>
      </c>
      <c r="U1367">
        <v>-2.9929809999999999</v>
      </c>
      <c r="V1367">
        <v>-6.593619E-4</v>
      </c>
      <c r="W1367">
        <v>-3.506898E-2</v>
      </c>
      <c r="X1367">
        <v>0.99938470000000001</v>
      </c>
      <c r="Y1367">
        <v>-9.0319830000000004E-2</v>
      </c>
      <c r="Z1367">
        <v>3.9036710000000002E-2</v>
      </c>
      <c r="AA1367">
        <v>0.99514749999999996</v>
      </c>
      <c r="AB1367">
        <v>23</v>
      </c>
      <c r="AC1367">
        <v>3.0057000000000098</v>
      </c>
      <c r="AD1367">
        <v>-1.1095038073379999</v>
      </c>
      <c r="AE1367">
        <v>-28.014999999999901</v>
      </c>
      <c r="AF1367">
        <v>-2.5652642839797499</v>
      </c>
      <c r="AG1367">
        <v>-1.1095038073379999</v>
      </c>
      <c r="AH1367">
        <v>28.0149530406268</v>
      </c>
      <c r="AI1367">
        <v>92.258517182874499</v>
      </c>
      <c r="AJ1367">
        <v>95.231851815682205</v>
      </c>
      <c r="AK1367">
        <v>28.154025882876599</v>
      </c>
      <c r="AL1367">
        <v>92.009716578594194</v>
      </c>
      <c r="AM1367">
        <v>90.037801908074101</v>
      </c>
      <c r="AN1367">
        <v>1.00000002335522</v>
      </c>
    </row>
    <row r="1368" spans="1:40" x14ac:dyDescent="0.25">
      <c r="A1368" t="str">
        <f>"20190312151523932"</f>
        <v>20190312151523932</v>
      </c>
      <c r="B1368" t="str">
        <f>"1552374923928618"</f>
        <v>1552374923928618</v>
      </c>
      <c r="C1368" t="s">
        <v>40</v>
      </c>
      <c r="D1368">
        <v>4.709174</v>
      </c>
      <c r="E1368">
        <v>0.46558680000000002</v>
      </c>
      <c r="F1368" t="s">
        <v>50</v>
      </c>
      <c r="G1368">
        <v>-187.37049999999999</v>
      </c>
      <c r="H1368" s="1">
        <v>3.2448759999999998E-6</v>
      </c>
      <c r="I1368">
        <v>287.68509999999998</v>
      </c>
      <c r="J1368">
        <v>-190.4485</v>
      </c>
      <c r="K1368">
        <v>1.1095120000000001</v>
      </c>
      <c r="L1368">
        <v>316.23259999999999</v>
      </c>
      <c r="M1368">
        <v>1.524037E-2</v>
      </c>
      <c r="N1368">
        <v>0</v>
      </c>
      <c r="O1368">
        <v>-0.9997897</v>
      </c>
      <c r="P1368">
        <v>1.523765E-2</v>
      </c>
      <c r="Q1368">
        <v>-4.843368E-2</v>
      </c>
      <c r="R1368">
        <v>-0.99871030000000005</v>
      </c>
      <c r="S1368">
        <v>0.32058720000000002</v>
      </c>
      <c r="T1368">
        <v>-0.11544749999999999</v>
      </c>
      <c r="U1368">
        <v>-2.9931030000000001</v>
      </c>
      <c r="V1368" s="1">
        <v>-3.340273E-5</v>
      </c>
      <c r="W1368">
        <v>-3.4710860000000003E-2</v>
      </c>
      <c r="X1368">
        <v>0.99939739999999999</v>
      </c>
      <c r="Y1368">
        <v>-9.1253669999999995E-2</v>
      </c>
      <c r="Z1368">
        <v>3.8345919999999999E-2</v>
      </c>
      <c r="AA1368">
        <v>0.99508909999999995</v>
      </c>
      <c r="AB1368">
        <v>23</v>
      </c>
      <c r="AC1368">
        <v>3.0779999999999998</v>
      </c>
      <c r="AD1368">
        <v>-1.1095087551239999</v>
      </c>
      <c r="AE1368">
        <v>-28.547499999999999</v>
      </c>
      <c r="AF1368">
        <v>-2.6385871957424198</v>
      </c>
      <c r="AG1368">
        <v>-1.1095087551239999</v>
      </c>
      <c r="AH1368">
        <v>28.5484707440128</v>
      </c>
      <c r="AI1368">
        <v>92.216188951520294</v>
      </c>
      <c r="AJ1368">
        <v>95.280549962355295</v>
      </c>
      <c r="AK1368">
        <v>28.691607377227701</v>
      </c>
      <c r="AL1368">
        <v>91.989185352650694</v>
      </c>
      <c r="AM1368">
        <v>90.001914989425103</v>
      </c>
      <c r="AN1368">
        <v>1.0000000040222199</v>
      </c>
    </row>
    <row r="1369" spans="1:40" x14ac:dyDescent="0.25">
      <c r="A1369" t="str">
        <f>"20190312151523966"</f>
        <v>20190312151523966</v>
      </c>
      <c r="B1369" t="str">
        <f>"1552374923958874"</f>
        <v>1552374923958874</v>
      </c>
      <c r="C1369" t="s">
        <v>40</v>
      </c>
      <c r="D1369">
        <v>4.743741</v>
      </c>
      <c r="E1369">
        <v>0.46531620000000001</v>
      </c>
      <c r="F1369" t="s">
        <v>50</v>
      </c>
      <c r="G1369">
        <v>-187.3013</v>
      </c>
      <c r="H1369" s="1">
        <v>3.3104929999999999E-6</v>
      </c>
      <c r="I1369">
        <v>286.79410000000001</v>
      </c>
      <c r="J1369">
        <v>-190.44380000000001</v>
      </c>
      <c r="K1369">
        <v>1.1095159999999999</v>
      </c>
      <c r="L1369">
        <v>315.87849999999997</v>
      </c>
      <c r="M1369">
        <v>1.471219E-2</v>
      </c>
      <c r="N1369">
        <v>0</v>
      </c>
      <c r="O1369">
        <v>-0.99979759999999995</v>
      </c>
      <c r="P1369">
        <v>1.3476220000000001E-2</v>
      </c>
      <c r="Q1369">
        <v>-4.8253450000000003E-2</v>
      </c>
      <c r="R1369">
        <v>-0.99874439999999998</v>
      </c>
      <c r="S1369">
        <v>0.32003779999999998</v>
      </c>
      <c r="T1369">
        <v>-0.1128241</v>
      </c>
      <c r="U1369">
        <v>-2.9935610000000001</v>
      </c>
      <c r="V1369">
        <v>1.200827E-3</v>
      </c>
      <c r="W1369">
        <v>-3.4535110000000001E-2</v>
      </c>
      <c r="X1369">
        <v>0.99940280000000004</v>
      </c>
      <c r="Y1369">
        <v>-9.1586630000000002E-2</v>
      </c>
      <c r="Z1369">
        <v>3.7470330000000003E-2</v>
      </c>
      <c r="AA1369">
        <v>0.99509190000000003</v>
      </c>
      <c r="AB1369">
        <v>23</v>
      </c>
      <c r="AC1369">
        <v>3.1425000000000098</v>
      </c>
      <c r="AD1369">
        <v>-1.109512689507</v>
      </c>
      <c r="AE1369">
        <v>-29.084399999999899</v>
      </c>
      <c r="AF1369">
        <v>-2.7103255624381801</v>
      </c>
      <c r="AG1369">
        <v>-1.109512689507</v>
      </c>
      <c r="AH1369">
        <v>29.085649904240199</v>
      </c>
      <c r="AI1369">
        <v>92.175153976894293</v>
      </c>
      <c r="AJ1369">
        <v>95.323692814880204</v>
      </c>
      <c r="AK1369">
        <v>29.232719911335799</v>
      </c>
      <c r="AL1369">
        <v>91.979109514680999</v>
      </c>
      <c r="AM1369">
        <v>89.931156600806801</v>
      </c>
      <c r="AN1369">
        <v>1.0000000362280099</v>
      </c>
    </row>
    <row r="1370" spans="1:40" x14ac:dyDescent="0.25">
      <c r="A1370" t="str">
        <f>"20190312151523989"</f>
        <v>20190312151523989</v>
      </c>
      <c r="B1370" t="str">
        <f>"1552374923979370"</f>
        <v>1552374923979370</v>
      </c>
      <c r="C1370" t="s">
        <v>40</v>
      </c>
      <c r="D1370">
        <v>4.6253019999999996</v>
      </c>
      <c r="E1370">
        <v>0.4650762</v>
      </c>
      <c r="F1370" t="s">
        <v>50</v>
      </c>
      <c r="G1370">
        <v>-187.3777</v>
      </c>
      <c r="H1370" s="1">
        <v>3.3129979999999998E-6</v>
      </c>
      <c r="I1370">
        <v>286.9205</v>
      </c>
      <c r="J1370">
        <v>-190.4408</v>
      </c>
      <c r="K1370">
        <v>1.109515</v>
      </c>
      <c r="L1370">
        <v>315.64699999999999</v>
      </c>
      <c r="M1370">
        <v>1.436695E-2</v>
      </c>
      <c r="N1370">
        <v>0</v>
      </c>
      <c r="O1370">
        <v>-0.99980279999999999</v>
      </c>
      <c r="P1370">
        <v>1.20806E-2</v>
      </c>
      <c r="Q1370">
        <v>-4.7870139999999999E-2</v>
      </c>
      <c r="R1370">
        <v>-0.99878100000000003</v>
      </c>
      <c r="S1370">
        <v>0.31700129999999999</v>
      </c>
      <c r="T1370">
        <v>-0.1147135</v>
      </c>
      <c r="U1370">
        <v>-2.9939879999999999</v>
      </c>
      <c r="V1370">
        <v>2.2521730000000001E-3</v>
      </c>
      <c r="W1370">
        <v>-3.415472E-2</v>
      </c>
      <c r="X1370">
        <v>0.99941400000000002</v>
      </c>
      <c r="Y1370">
        <v>-9.0915040000000003E-2</v>
      </c>
      <c r="Z1370">
        <v>3.8095030000000002E-2</v>
      </c>
      <c r="AA1370">
        <v>0.99512979999999995</v>
      </c>
      <c r="AB1370">
        <v>23</v>
      </c>
      <c r="AC1370">
        <v>3.0630999999999902</v>
      </c>
      <c r="AD1370">
        <v>-1.1095116870020001</v>
      </c>
      <c r="AE1370">
        <v>-28.726499999999898</v>
      </c>
      <c r="AF1370">
        <v>-2.6461298104302302</v>
      </c>
      <c r="AG1370">
        <v>-1.1095116870020001</v>
      </c>
      <c r="AH1370">
        <v>28.725176849345001</v>
      </c>
      <c r="AI1370">
        <v>92.202636705008302</v>
      </c>
      <c r="AJ1370">
        <v>95.263166434805598</v>
      </c>
      <c r="AK1370">
        <v>28.8681278260886</v>
      </c>
      <c r="AL1370">
        <v>91.957302017674095</v>
      </c>
      <c r="AM1370">
        <v>89.870884549143497</v>
      </c>
      <c r="AN1370">
        <v>0.99999998028874904</v>
      </c>
    </row>
    <row r="1371" spans="1:40" x14ac:dyDescent="0.25">
      <c r="A1371" t="str">
        <f>"20190312151524010"</f>
        <v>20190312151524010</v>
      </c>
      <c r="B1371" t="str">
        <f>"1552374923998890"</f>
        <v>1552374923998890</v>
      </c>
      <c r="C1371" t="s">
        <v>40</v>
      </c>
      <c r="D1371">
        <v>4.9666519999999998</v>
      </c>
      <c r="E1371">
        <v>0.4652731</v>
      </c>
      <c r="F1371" t="s">
        <v>50</v>
      </c>
      <c r="G1371">
        <v>-187.3741</v>
      </c>
      <c r="H1371" s="1">
        <v>3.3517099999999999E-6</v>
      </c>
      <c r="I1371">
        <v>286.47039999999998</v>
      </c>
      <c r="J1371">
        <v>-190.43799999999999</v>
      </c>
      <c r="K1371">
        <v>1.1095170000000001</v>
      </c>
      <c r="L1371">
        <v>315.42829999999998</v>
      </c>
      <c r="M1371">
        <v>1.40406E-2</v>
      </c>
      <c r="N1371">
        <v>0</v>
      </c>
      <c r="O1371">
        <v>-0.99980740000000001</v>
      </c>
      <c r="P1371">
        <v>1.045725E-2</v>
      </c>
      <c r="Q1371">
        <v>-4.7513109999999997E-2</v>
      </c>
      <c r="R1371">
        <v>-0.99881609999999998</v>
      </c>
      <c r="S1371">
        <v>0.3147278</v>
      </c>
      <c r="T1371">
        <v>-0.1138687</v>
      </c>
      <c r="U1371">
        <v>-2.9943849999999999</v>
      </c>
      <c r="V1371">
        <v>3.5500739999999999E-3</v>
      </c>
      <c r="W1371">
        <v>-3.3800629999999998E-2</v>
      </c>
      <c r="X1371">
        <v>0.99942229999999999</v>
      </c>
      <c r="Y1371">
        <v>-9.0480169999999999E-2</v>
      </c>
      <c r="Z1371">
        <v>3.7812419999999999E-2</v>
      </c>
      <c r="AA1371">
        <v>0.99518019999999996</v>
      </c>
      <c r="AB1371">
        <v>23</v>
      </c>
      <c r="AC1371">
        <v>3.0638999999999799</v>
      </c>
      <c r="AD1371">
        <v>-1.1095136482899901</v>
      </c>
      <c r="AE1371">
        <v>-28.957899999999899</v>
      </c>
      <c r="AF1371">
        <v>-2.6531216923332899</v>
      </c>
      <c r="AG1371">
        <v>-1.1095136482899901</v>
      </c>
      <c r="AH1371">
        <v>28.956030648776601</v>
      </c>
      <c r="AI1371">
        <v>92.185195033011198</v>
      </c>
      <c r="AJ1371">
        <v>95.235158436551899</v>
      </c>
      <c r="AK1371">
        <v>29.098484259200902</v>
      </c>
      <c r="AL1371">
        <v>91.937002376515196</v>
      </c>
      <c r="AM1371">
        <v>89.796479024257806</v>
      </c>
      <c r="AN1371">
        <v>1.0000000096755399</v>
      </c>
    </row>
    <row r="1372" spans="1:40" x14ac:dyDescent="0.25">
      <c r="A1372" t="str">
        <f>"20190312151524033"</f>
        <v>20190312151524033</v>
      </c>
      <c r="B1372" t="str">
        <f>"1552374924029146"</f>
        <v>1552374924029146</v>
      </c>
      <c r="C1372" t="s">
        <v>40</v>
      </c>
      <c r="D1372">
        <v>5.052988</v>
      </c>
      <c r="E1372">
        <v>0.53150050000000004</v>
      </c>
      <c r="F1372" t="s">
        <v>50</v>
      </c>
      <c r="G1372">
        <v>-187.38570000000001</v>
      </c>
      <c r="H1372" s="1">
        <v>3.4150229999999999E-6</v>
      </c>
      <c r="I1372">
        <v>285.7697</v>
      </c>
      <c r="J1372">
        <v>-190.43520000000001</v>
      </c>
      <c r="K1372">
        <v>1.1095200000000001</v>
      </c>
      <c r="L1372">
        <v>315.19479999999999</v>
      </c>
      <c r="M1372">
        <v>1.3692070000000001E-2</v>
      </c>
      <c r="N1372">
        <v>0</v>
      </c>
      <c r="O1372">
        <v>-0.99981209999999998</v>
      </c>
      <c r="P1372">
        <v>8.6032030000000002E-3</v>
      </c>
      <c r="Q1372">
        <v>-4.7298069999999998E-2</v>
      </c>
      <c r="R1372">
        <v>-0.99884390000000001</v>
      </c>
      <c r="S1372">
        <v>0.30822749999999999</v>
      </c>
      <c r="T1372">
        <v>-0.11204169999999999</v>
      </c>
      <c r="U1372">
        <v>-2.9949949999999999</v>
      </c>
      <c r="V1372">
        <v>5.0563049999999997E-3</v>
      </c>
      <c r="W1372">
        <v>-3.3588750000000001E-2</v>
      </c>
      <c r="X1372">
        <v>0.99942299999999995</v>
      </c>
      <c r="Y1372">
        <v>-8.8671609999999998E-2</v>
      </c>
      <c r="Z1372">
        <v>3.7206509999999998E-2</v>
      </c>
      <c r="AA1372">
        <v>0.99536579999999997</v>
      </c>
      <c r="AB1372">
        <v>23</v>
      </c>
      <c r="AC1372">
        <v>3.0494999999999899</v>
      </c>
      <c r="AD1372">
        <v>-1.1095165849769999</v>
      </c>
      <c r="AE1372">
        <v>-29.425099999999901</v>
      </c>
      <c r="AF1372">
        <v>-2.6425683984784398</v>
      </c>
      <c r="AG1372">
        <v>-1.1095165849769999</v>
      </c>
      <c r="AH1372">
        <v>29.422711017731402</v>
      </c>
      <c r="AI1372">
        <v>92.150923975963593</v>
      </c>
      <c r="AJ1372">
        <v>95.132187260592801</v>
      </c>
      <c r="AK1372">
        <v>29.561970814306498</v>
      </c>
      <c r="AL1372">
        <v>91.924855568802002</v>
      </c>
      <c r="AM1372">
        <v>89.710130280441206</v>
      </c>
      <c r="AN1372">
        <v>1.0000000516379</v>
      </c>
    </row>
    <row r="1373" spans="1:40" x14ac:dyDescent="0.25">
      <c r="A1373" t="str">
        <f>"20190312151524055"</f>
        <v>20190312151524055</v>
      </c>
      <c r="B1373" t="str">
        <f>"1552374924048666"</f>
        <v>1552374924048666</v>
      </c>
      <c r="C1373" t="s">
        <v>40</v>
      </c>
      <c r="D1373">
        <v>5.1131909999999996</v>
      </c>
      <c r="E1373">
        <v>0.59337779999999996</v>
      </c>
      <c r="F1373" t="s">
        <v>50</v>
      </c>
      <c r="G1373">
        <v>-192.2775</v>
      </c>
      <c r="H1373" s="1">
        <v>2.7521459999999999E-6</v>
      </c>
      <c r="I1373">
        <v>290.66680000000002</v>
      </c>
      <c r="J1373">
        <v>-190.4325</v>
      </c>
      <c r="K1373">
        <v>1.1095219999999999</v>
      </c>
      <c r="L1373">
        <v>314.96839999999997</v>
      </c>
      <c r="M1373">
        <v>1.335418E-2</v>
      </c>
      <c r="N1373">
        <v>0</v>
      </c>
      <c r="O1373">
        <v>-0.99981690000000001</v>
      </c>
      <c r="P1373">
        <v>7.0562259999999996E-3</v>
      </c>
      <c r="Q1373">
        <v>-4.6881649999999997E-2</v>
      </c>
      <c r="R1373">
        <v>-0.99887570000000003</v>
      </c>
      <c r="S1373">
        <v>-0.22526550000000001</v>
      </c>
      <c r="T1373">
        <v>-0.1356589</v>
      </c>
      <c r="U1373">
        <v>-2.998993</v>
      </c>
      <c r="V1373">
        <v>6.2662760000000003E-3</v>
      </c>
      <c r="W1373">
        <v>-3.3175290000000003E-2</v>
      </c>
      <c r="X1373">
        <v>0.99942989999999998</v>
      </c>
      <c r="Y1373">
        <v>8.8137939999999998E-2</v>
      </c>
      <c r="Z1373">
        <v>4.503132E-2</v>
      </c>
      <c r="AA1373">
        <v>0.99508989999999997</v>
      </c>
      <c r="AB1373">
        <v>23</v>
      </c>
      <c r="AC1373">
        <v>-1.84499999999999</v>
      </c>
      <c r="AD1373">
        <v>-1.1095192478539999</v>
      </c>
      <c r="AE1373">
        <v>-24.301599999999901</v>
      </c>
      <c r="AF1373">
        <v>2.16490700582415</v>
      </c>
      <c r="AG1373">
        <v>-1.1095192478539999</v>
      </c>
      <c r="AH1373">
        <v>24.224585286616101</v>
      </c>
      <c r="AI1373">
        <v>92.6119972929623</v>
      </c>
      <c r="AJ1373">
        <v>84.893147430554805</v>
      </c>
      <c r="AK1373">
        <v>24.346424534493</v>
      </c>
      <c r="AL1373">
        <v>91.901152953179405</v>
      </c>
      <c r="AM1373">
        <v>89.640768738710506</v>
      </c>
      <c r="AN1373">
        <v>0.99999999554775099</v>
      </c>
    </row>
    <row r="1374" spans="1:40" x14ac:dyDescent="0.25">
      <c r="A1374" t="str">
        <f>"20190312151524076"</f>
        <v>20190312151524076</v>
      </c>
      <c r="B1374" t="str">
        <f>"1552374924069162"</f>
        <v>1552374924069162</v>
      </c>
      <c r="C1374" t="s">
        <v>40</v>
      </c>
      <c r="D1374">
        <v>5.0573839999999999</v>
      </c>
      <c r="E1374">
        <v>0.59439209999999998</v>
      </c>
      <c r="F1374" t="s">
        <v>50</v>
      </c>
      <c r="G1374">
        <v>-195.24950000000001</v>
      </c>
      <c r="H1374" s="1">
        <v>1.1673930000000001E-6</v>
      </c>
      <c r="I1374">
        <v>294.9862</v>
      </c>
      <c r="J1374">
        <v>-190.4298</v>
      </c>
      <c r="K1374">
        <v>1.109534</v>
      </c>
      <c r="L1374">
        <v>314.73989999999998</v>
      </c>
      <c r="M1374">
        <v>1.3012889999999999E-2</v>
      </c>
      <c r="N1374">
        <v>0</v>
      </c>
      <c r="O1374">
        <v>-0.99982119999999997</v>
      </c>
      <c r="P1374">
        <v>4.5612079999999998E-3</v>
      </c>
      <c r="Q1374">
        <v>-4.6210510000000003E-2</v>
      </c>
      <c r="R1374">
        <v>-0.99892119999999995</v>
      </c>
      <c r="S1374">
        <v>-0.72337340000000006</v>
      </c>
      <c r="T1374">
        <v>-0.1666155</v>
      </c>
      <c r="U1374">
        <v>-3.000702</v>
      </c>
      <c r="V1374">
        <v>8.4211300000000006E-3</v>
      </c>
      <c r="W1374">
        <v>-3.2507670000000002E-2</v>
      </c>
      <c r="X1374">
        <v>0.99943599999999999</v>
      </c>
      <c r="Y1374">
        <v>0.24664659999999999</v>
      </c>
      <c r="Z1374">
        <v>5.3808229999999999E-2</v>
      </c>
      <c r="AA1374">
        <v>0.96761050000000004</v>
      </c>
      <c r="AB1374">
        <v>23</v>
      </c>
      <c r="AC1374">
        <v>-4.8197000000000099</v>
      </c>
      <c r="AD1374">
        <v>-1.109532832607</v>
      </c>
      <c r="AE1374">
        <v>-19.753699999999899</v>
      </c>
      <c r="AF1374">
        <v>5.0612981158082997</v>
      </c>
      <c r="AG1374">
        <v>-1.109532832607</v>
      </c>
      <c r="AH1374">
        <v>19.630849711061899</v>
      </c>
      <c r="AI1374">
        <v>93.132677475847004</v>
      </c>
      <c r="AJ1374">
        <v>75.542643405700105</v>
      </c>
      <c r="AK1374">
        <v>20.303153993949199</v>
      </c>
      <c r="AL1374">
        <v>91.862880507134506</v>
      </c>
      <c r="AM1374">
        <v>89.517243935690402</v>
      </c>
      <c r="AN1374">
        <v>0.99999999106765203</v>
      </c>
    </row>
    <row r="1375" spans="1:40" x14ac:dyDescent="0.25">
      <c r="A1375" t="str">
        <f>"20190312151524101"</f>
        <v>20190312151524101</v>
      </c>
      <c r="B1375" t="str">
        <f>"1552374924088682"</f>
        <v>1552374924088682</v>
      </c>
      <c r="C1375" t="s">
        <v>40</v>
      </c>
      <c r="D1375">
        <v>5.3024849999999999</v>
      </c>
      <c r="E1375">
        <v>0.59538849999999999</v>
      </c>
      <c r="F1375" t="s">
        <v>50</v>
      </c>
      <c r="G1375">
        <v>-194.9111</v>
      </c>
      <c r="H1375" s="1">
        <v>6.4310019999999896E-7</v>
      </c>
      <c r="I1375">
        <v>296.55430000000001</v>
      </c>
      <c r="J1375">
        <v>-190.4271</v>
      </c>
      <c r="K1375">
        <v>1.1095349999999999</v>
      </c>
      <c r="L1375">
        <v>314.49509999999998</v>
      </c>
      <c r="M1375">
        <v>1.264741E-2</v>
      </c>
      <c r="N1375">
        <v>0</v>
      </c>
      <c r="O1375">
        <v>-0.99982590000000005</v>
      </c>
      <c r="P1375">
        <v>9.6558379999999995E-4</v>
      </c>
      <c r="Q1375">
        <v>-4.5912170000000002E-2</v>
      </c>
      <c r="R1375">
        <v>-0.99894490000000002</v>
      </c>
      <c r="S1375">
        <v>-0.73880000000000001</v>
      </c>
      <c r="T1375">
        <v>-0.18292159999999999</v>
      </c>
      <c r="U1375">
        <v>-2.998138</v>
      </c>
      <c r="V1375">
        <v>1.165184E-2</v>
      </c>
      <c r="W1375">
        <v>-3.2214090000000001E-2</v>
      </c>
      <c r="X1375">
        <v>0.99941310000000005</v>
      </c>
      <c r="Y1375">
        <v>0.25110670000000002</v>
      </c>
      <c r="Z1375">
        <v>5.9035730000000002E-2</v>
      </c>
      <c r="AA1375">
        <v>0.96615740000000006</v>
      </c>
      <c r="AB1375">
        <v>23</v>
      </c>
      <c r="AC1375">
        <v>-4.484</v>
      </c>
      <c r="AD1375">
        <v>-1.1095343568998</v>
      </c>
      <c r="AE1375">
        <v>-17.9407999999999</v>
      </c>
      <c r="AF1375">
        <v>4.6936708621227297</v>
      </c>
      <c r="AG1375">
        <v>-1.1095343568998</v>
      </c>
      <c r="AH1375">
        <v>17.818504788078901</v>
      </c>
      <c r="AI1375">
        <v>93.445882489100498</v>
      </c>
      <c r="AJ1375">
        <v>75.242632737403994</v>
      </c>
      <c r="AK1375">
        <v>18.459705456314101</v>
      </c>
      <c r="AL1375">
        <v>91.846050727891097</v>
      </c>
      <c r="AM1375">
        <v>89.332036962337696</v>
      </c>
      <c r="AN1375">
        <v>1.00000002871076</v>
      </c>
    </row>
    <row r="1376" spans="1:40" x14ac:dyDescent="0.25">
      <c r="A1376" t="str">
        <f>"20190312151524122"</f>
        <v>20190312151524122</v>
      </c>
      <c r="B1376" t="str">
        <f>"1552374924118938"</f>
        <v>1552374924118938</v>
      </c>
      <c r="C1376" t="s">
        <v>40</v>
      </c>
      <c r="D1376">
        <v>5.0746859999999998</v>
      </c>
      <c r="E1376">
        <v>0.59570069999999997</v>
      </c>
      <c r="F1376" t="s">
        <v>50</v>
      </c>
      <c r="G1376">
        <v>-195.05439999999999</v>
      </c>
      <c r="H1376" s="1">
        <v>7.5507949999999899E-7</v>
      </c>
      <c r="I1376">
        <v>296.20159999999998</v>
      </c>
      <c r="J1376">
        <v>-190.4247</v>
      </c>
      <c r="K1376">
        <v>1.1095429999999999</v>
      </c>
      <c r="L1376">
        <v>314.27350000000001</v>
      </c>
      <c r="M1376">
        <v>1.231647E-2</v>
      </c>
      <c r="N1376">
        <v>0</v>
      </c>
      <c r="O1376">
        <v>-0.99983040000000001</v>
      </c>
      <c r="P1376">
        <v>-3.8425270000000001E-3</v>
      </c>
      <c r="Q1376">
        <v>-4.5551609999999999E-2</v>
      </c>
      <c r="R1376">
        <v>-0.99895509999999998</v>
      </c>
      <c r="S1376">
        <v>-0.75772090000000003</v>
      </c>
      <c r="T1376">
        <v>-0.1816845</v>
      </c>
      <c r="U1376">
        <v>-2.9955440000000002</v>
      </c>
      <c r="V1376">
        <v>1.6129319999999999E-2</v>
      </c>
      <c r="W1376">
        <v>-3.1859110000000003E-2</v>
      </c>
      <c r="X1376">
        <v>0.99936219999999998</v>
      </c>
      <c r="Y1376">
        <v>0.25672689999999998</v>
      </c>
      <c r="Z1376">
        <v>5.859934E-2</v>
      </c>
      <c r="AA1376">
        <v>0.96470590000000001</v>
      </c>
      <c r="AB1376">
        <v>23</v>
      </c>
      <c r="AC1376">
        <v>-4.6296999999999802</v>
      </c>
      <c r="AD1376">
        <v>-1.1095422449204999</v>
      </c>
      <c r="AE1376">
        <v>-18.071899999999999</v>
      </c>
      <c r="AF1376">
        <v>4.8348492595271404</v>
      </c>
      <c r="AG1376">
        <v>-1.1095422449204999</v>
      </c>
      <c r="AH1376">
        <v>17.950007220227299</v>
      </c>
      <c r="AI1376">
        <v>93.415687942175097</v>
      </c>
      <c r="AJ1376">
        <v>74.925098231570104</v>
      </c>
      <c r="AK1376">
        <v>18.622824988755799</v>
      </c>
      <c r="AL1376">
        <v>91.825701511909401</v>
      </c>
      <c r="AM1376">
        <v>89.0753485246982</v>
      </c>
      <c r="AN1376">
        <v>0.99999998232124698</v>
      </c>
    </row>
    <row r="1377" spans="1:40" x14ac:dyDescent="0.25">
      <c r="A1377" t="str">
        <f>"20190312151524145"</f>
        <v>20190312151524145</v>
      </c>
      <c r="B1377" t="str">
        <f>"1552374924138459"</f>
        <v>1552374924138459</v>
      </c>
      <c r="C1377" t="s">
        <v>40</v>
      </c>
      <c r="D1377">
        <v>5.0810690000000003</v>
      </c>
      <c r="E1377">
        <v>0.59547169999999905</v>
      </c>
      <c r="F1377" t="s">
        <v>50</v>
      </c>
      <c r="G1377">
        <v>-195.2946</v>
      </c>
      <c r="H1377" s="1">
        <v>9.9531940000000009E-7</v>
      </c>
      <c r="I1377">
        <v>295.46170000000001</v>
      </c>
      <c r="J1377">
        <v>-190.42230000000001</v>
      </c>
      <c r="K1377">
        <v>1.109542</v>
      </c>
      <c r="L1377">
        <v>314.0471</v>
      </c>
      <c r="M1377">
        <v>1.1978340000000001E-2</v>
      </c>
      <c r="N1377">
        <v>0</v>
      </c>
      <c r="O1377">
        <v>-0.99983449999999996</v>
      </c>
      <c r="P1377">
        <v>-8.5315019999999998E-3</v>
      </c>
      <c r="Q1377">
        <v>-4.513756E-2</v>
      </c>
      <c r="R1377">
        <v>-0.99894450000000001</v>
      </c>
      <c r="S1377">
        <v>-0.77459719999999999</v>
      </c>
      <c r="T1377">
        <v>-0.176481</v>
      </c>
      <c r="U1377">
        <v>-2.9921570000000002</v>
      </c>
      <c r="V1377">
        <v>2.0480310000000002E-2</v>
      </c>
      <c r="W1377">
        <v>-3.1450779999999998E-2</v>
      </c>
      <c r="X1377">
        <v>0.9992955</v>
      </c>
      <c r="Y1377">
        <v>0.26178689999999999</v>
      </c>
      <c r="Z1377">
        <v>5.6910950000000002E-2</v>
      </c>
      <c r="AA1377">
        <v>0.96344629999999998</v>
      </c>
      <c r="AB1377">
        <v>23</v>
      </c>
      <c r="AC1377">
        <v>-4.8722999999999903</v>
      </c>
      <c r="AD1377">
        <v>-1.1095410046806</v>
      </c>
      <c r="AE1377">
        <v>-18.5854</v>
      </c>
      <c r="AF1377">
        <v>5.0776602591100399</v>
      </c>
      <c r="AG1377">
        <v>-1.1095410046806</v>
      </c>
      <c r="AH1377">
        <v>18.4641237576494</v>
      </c>
      <c r="AI1377">
        <v>93.316052491350504</v>
      </c>
      <c r="AJ1377">
        <v>74.623673092119503</v>
      </c>
      <c r="AK1377">
        <v>19.181699118842602</v>
      </c>
      <c r="AL1377">
        <v>91.802294081376004</v>
      </c>
      <c r="AM1377">
        <v>88.825901774813005</v>
      </c>
      <c r="AN1377">
        <v>1.00000004549027</v>
      </c>
    </row>
    <row r="1378" spans="1:40" x14ac:dyDescent="0.25">
      <c r="A1378" t="str">
        <f>"20190312151524165"</f>
        <v>20190312151524165</v>
      </c>
      <c r="B1378" t="str">
        <f>"1552374924158955"</f>
        <v>1552374924158955</v>
      </c>
      <c r="C1378" t="s">
        <v>40</v>
      </c>
      <c r="D1378">
        <v>5.1150710000000004</v>
      </c>
      <c r="E1378">
        <v>0.59511349999999996</v>
      </c>
      <c r="F1378" t="s">
        <v>50</v>
      </c>
      <c r="G1378">
        <v>-195.26499999999999</v>
      </c>
      <c r="H1378" s="1">
        <v>9.2854029999999995E-7</v>
      </c>
      <c r="I1378">
        <v>295.65800000000002</v>
      </c>
      <c r="J1378">
        <v>-190.42009999999999</v>
      </c>
      <c r="K1378">
        <v>1.1095469999999901</v>
      </c>
      <c r="L1378">
        <v>313.82830000000001</v>
      </c>
      <c r="M1378">
        <v>1.1651389999999999E-2</v>
      </c>
      <c r="N1378">
        <v>0</v>
      </c>
      <c r="O1378">
        <v>-0.99983809999999995</v>
      </c>
      <c r="P1378">
        <v>-1.383902E-2</v>
      </c>
      <c r="Q1378">
        <v>-4.3993119999999997E-2</v>
      </c>
      <c r="R1378">
        <v>-0.99893609999999999</v>
      </c>
      <c r="S1378">
        <v>-0.786972</v>
      </c>
      <c r="T1378">
        <v>-0.18030740000000001</v>
      </c>
      <c r="U1378">
        <v>-2.9883419999999998</v>
      </c>
      <c r="V1378">
        <v>2.5461439999999998E-2</v>
      </c>
      <c r="W1378">
        <v>-3.031242E-2</v>
      </c>
      <c r="X1378">
        <v>0.99921610000000005</v>
      </c>
      <c r="Y1378">
        <v>0.26548430000000001</v>
      </c>
      <c r="Z1378">
        <v>5.8152750000000003E-2</v>
      </c>
      <c r="AA1378">
        <v>0.96235979999999999</v>
      </c>
      <c r="AB1378">
        <v>23</v>
      </c>
      <c r="AC1378">
        <v>-4.8448999999999902</v>
      </c>
      <c r="AD1378">
        <v>-1.1095460714597001</v>
      </c>
      <c r="AE1378">
        <v>-18.170300000000001</v>
      </c>
      <c r="AF1378">
        <v>5.0387589298528299</v>
      </c>
      <c r="AG1378">
        <v>-1.1095460714597001</v>
      </c>
      <c r="AH1378">
        <v>18.049775052976301</v>
      </c>
      <c r="AI1378">
        <v>93.388396522599706</v>
      </c>
      <c r="AJ1378">
        <v>74.4024406954413</v>
      </c>
      <c r="AK1378">
        <v>18.7727079426733</v>
      </c>
      <c r="AL1378">
        <v>91.737039863390805</v>
      </c>
      <c r="AM1378">
        <v>88.540338337265098</v>
      </c>
      <c r="AN1378">
        <v>0.99999997111616901</v>
      </c>
    </row>
    <row r="1379" spans="1:40" x14ac:dyDescent="0.25">
      <c r="A1379" t="str">
        <f>"20190312151524190"</f>
        <v>20190312151524190</v>
      </c>
      <c r="B1379" t="str">
        <f>"1552374924178475"</f>
        <v>1552374924178475</v>
      </c>
      <c r="C1379" t="s">
        <v>40</v>
      </c>
      <c r="D1379">
        <v>5.1035349999999999</v>
      </c>
      <c r="E1379">
        <v>0.59481909999999905</v>
      </c>
      <c r="F1379" t="s">
        <v>50</v>
      </c>
      <c r="G1379">
        <v>-195.3323</v>
      </c>
      <c r="H1379" s="1">
        <v>9.7788859999999993E-7</v>
      </c>
      <c r="I1379">
        <v>295.5016</v>
      </c>
      <c r="J1379">
        <v>-190.4177</v>
      </c>
      <c r="K1379">
        <v>1.1095569999999999</v>
      </c>
      <c r="L1379">
        <v>313.58580000000001</v>
      </c>
      <c r="M1379">
        <v>1.1287439999999999E-2</v>
      </c>
      <c r="N1379">
        <v>0</v>
      </c>
      <c r="O1379">
        <v>-0.99984260000000003</v>
      </c>
      <c r="P1379">
        <v>-1.9547510000000001E-2</v>
      </c>
      <c r="Q1379">
        <v>-4.2533620000000001E-2</v>
      </c>
      <c r="R1379">
        <v>-0.99890400000000001</v>
      </c>
      <c r="S1379">
        <v>-0.79986569999999901</v>
      </c>
      <c r="T1379">
        <v>-0.18067050000000001</v>
      </c>
      <c r="U1379">
        <v>-2.9841920000000002</v>
      </c>
      <c r="V1379">
        <v>3.0806449999999999E-2</v>
      </c>
      <c r="W1379">
        <v>-2.885983E-2</v>
      </c>
      <c r="X1379">
        <v>0.99910860000000001</v>
      </c>
      <c r="Y1379">
        <v>0.26934229999999998</v>
      </c>
      <c r="Z1379">
        <v>5.8284389999999998E-2</v>
      </c>
      <c r="AA1379">
        <v>0.9612792</v>
      </c>
      <c r="AB1379">
        <v>23</v>
      </c>
      <c r="AC1379">
        <v>-4.9146000000000001</v>
      </c>
      <c r="AD1379">
        <v>-1.10955602211139</v>
      </c>
      <c r="AE1379">
        <v>-18.084199999999999</v>
      </c>
      <c r="AF1379">
        <v>5.1005501445800601</v>
      </c>
      <c r="AG1379">
        <v>-1.10955602211139</v>
      </c>
      <c r="AH1379">
        <v>17.964593755111899</v>
      </c>
      <c r="AI1379">
        <v>93.400238090989902</v>
      </c>
      <c r="AJ1379">
        <v>74.149569227663207</v>
      </c>
      <c r="AK1379">
        <v>18.707574806205798</v>
      </c>
      <c r="AL1379">
        <v>91.6537761442586</v>
      </c>
      <c r="AM1379">
        <v>88.233905189723501</v>
      </c>
      <c r="AN1379">
        <v>0.99999996087159404</v>
      </c>
    </row>
    <row r="1380" spans="1:40" x14ac:dyDescent="0.25">
      <c r="A1380" t="str">
        <f>"20190312151524210"</f>
        <v>20190312151524210</v>
      </c>
      <c r="B1380" t="str">
        <f>"1552374924198970"</f>
        <v>1552374924198970</v>
      </c>
      <c r="C1380" t="s">
        <v>40</v>
      </c>
      <c r="D1380">
        <v>5.0585469999999999</v>
      </c>
      <c r="E1380">
        <v>0.59487650000000003</v>
      </c>
      <c r="F1380" t="s">
        <v>50</v>
      </c>
      <c r="G1380">
        <v>-195.47300000000001</v>
      </c>
      <c r="H1380" s="1">
        <v>1.1078330000000001E-6</v>
      </c>
      <c r="I1380">
        <v>295.09870000000001</v>
      </c>
      <c r="J1380">
        <v>-190.41579999999999</v>
      </c>
      <c r="K1380">
        <v>1.1095630000000001</v>
      </c>
      <c r="L1380">
        <v>313.37990000000002</v>
      </c>
      <c r="M1380">
        <v>1.097362E-2</v>
      </c>
      <c r="N1380">
        <v>0</v>
      </c>
      <c r="O1380">
        <v>-0.99984620000000002</v>
      </c>
      <c r="P1380">
        <v>-2.561006E-2</v>
      </c>
      <c r="Q1380">
        <v>-4.1033269999999997E-2</v>
      </c>
      <c r="R1380">
        <v>-0.99882969999999904</v>
      </c>
      <c r="S1380">
        <v>-0.81480410000000003</v>
      </c>
      <c r="T1380">
        <v>-0.17883669999999999</v>
      </c>
      <c r="U1380">
        <v>-2.9797359999999999</v>
      </c>
      <c r="V1380">
        <v>3.6555070000000002E-2</v>
      </c>
      <c r="W1380">
        <v>-2.7366970000000001E-2</v>
      </c>
      <c r="X1380">
        <v>0.99895690000000004</v>
      </c>
      <c r="Y1380">
        <v>0.273895099999999</v>
      </c>
      <c r="Z1380">
        <v>5.770335E-2</v>
      </c>
      <c r="AA1380">
        <v>0.96002699999999996</v>
      </c>
      <c r="AB1380">
        <v>23</v>
      </c>
      <c r="AC1380">
        <v>-5.0571999999999901</v>
      </c>
      <c r="AD1380">
        <v>-1.1095618921670001</v>
      </c>
      <c r="AE1380">
        <v>-18.281199999999998</v>
      </c>
      <c r="AF1380">
        <v>5.2395957136923004</v>
      </c>
      <c r="AG1380">
        <v>-1.1095618921670001</v>
      </c>
      <c r="AH1380">
        <v>18.1624477389474</v>
      </c>
      <c r="AI1380">
        <v>93.359252842273406</v>
      </c>
      <c r="AJ1380">
        <v>73.907936914538297</v>
      </c>
      <c r="AK1380">
        <v>18.935654166294</v>
      </c>
      <c r="AL1380">
        <v>91.568207584377006</v>
      </c>
      <c r="AM1380">
        <v>87.904296859805697</v>
      </c>
      <c r="AN1380">
        <v>1.00000005612364</v>
      </c>
    </row>
    <row r="1381" spans="1:40" x14ac:dyDescent="0.25">
      <c r="A1381" t="str">
        <f>"20190312151524235"</f>
        <v>20190312151524235</v>
      </c>
      <c r="B1381" t="str">
        <f>"1552374924229226"</f>
        <v>1552374924229226</v>
      </c>
      <c r="C1381" t="s">
        <v>40</v>
      </c>
      <c r="D1381">
        <v>5.0552349999999997</v>
      </c>
      <c r="E1381">
        <v>0.59454779999999996</v>
      </c>
      <c r="F1381" t="s">
        <v>50</v>
      </c>
      <c r="G1381">
        <v>-195.85319999999999</v>
      </c>
      <c r="H1381" s="1">
        <v>1.3595489999999999E-6</v>
      </c>
      <c r="I1381">
        <v>293.96370000000002</v>
      </c>
      <c r="J1381">
        <v>-190.4136</v>
      </c>
      <c r="K1381">
        <v>1.109564</v>
      </c>
      <c r="L1381">
        <v>313.13350000000003</v>
      </c>
      <c r="M1381">
        <v>1.0583550000000001E-2</v>
      </c>
      <c r="N1381">
        <v>0</v>
      </c>
      <c r="O1381">
        <v>-0.99985029999999997</v>
      </c>
      <c r="P1381">
        <v>-3.2041359999999998E-2</v>
      </c>
      <c r="Q1381">
        <v>-4.0149900000000002E-2</v>
      </c>
      <c r="R1381">
        <v>-0.99867989999999995</v>
      </c>
      <c r="S1381">
        <v>-0.83317569999999996</v>
      </c>
      <c r="T1381">
        <v>-0.170018899999999</v>
      </c>
      <c r="U1381">
        <v>-2.9751590000000001</v>
      </c>
      <c r="V1381">
        <v>4.2594899999999998E-2</v>
      </c>
      <c r="W1381">
        <v>-2.6493200000000001E-2</v>
      </c>
      <c r="X1381">
        <v>0.99874110000000005</v>
      </c>
      <c r="Y1381">
        <v>0.27944010000000002</v>
      </c>
      <c r="Z1381">
        <v>5.4859900000000003E-2</v>
      </c>
      <c r="AA1381">
        <v>0.95859459999999996</v>
      </c>
      <c r="AB1381">
        <v>23</v>
      </c>
      <c r="AC1381">
        <v>-5.43959999999998</v>
      </c>
      <c r="AD1381">
        <v>-1.1095626404509999</v>
      </c>
      <c r="AE1381">
        <v>-19.169799999999999</v>
      </c>
      <c r="AF1381">
        <v>5.6247590929097599</v>
      </c>
      <c r="AG1381">
        <v>-1.1095626404509999</v>
      </c>
      <c r="AH1381">
        <v>19.052078919242302</v>
      </c>
      <c r="AI1381">
        <v>93.196937098936701</v>
      </c>
      <c r="AJ1381">
        <v>73.551780242295493</v>
      </c>
      <c r="AK1381">
        <v>19.8959984733462</v>
      </c>
      <c r="AL1381">
        <v>91.518126173981003</v>
      </c>
      <c r="AM1381">
        <v>87.557895705212999</v>
      </c>
      <c r="AN1381">
        <v>0.99999999999072997</v>
      </c>
    </row>
    <row r="1382" spans="1:40" x14ac:dyDescent="0.25">
      <c r="A1382" t="str">
        <f>"20190312151524255"</f>
        <v>20190312151524255</v>
      </c>
      <c r="B1382" t="str">
        <f>"1552374924248747"</f>
        <v>1552374924248747</v>
      </c>
      <c r="C1382" t="s">
        <v>40</v>
      </c>
      <c r="D1382">
        <v>5.2273959999999997</v>
      </c>
      <c r="E1382">
        <v>0.59428549999999902</v>
      </c>
      <c r="F1382" t="s">
        <v>50</v>
      </c>
      <c r="G1382">
        <v>-196.08529999999999</v>
      </c>
      <c r="H1382" s="1">
        <v>1.4546030000000001E-6</v>
      </c>
      <c r="I1382">
        <v>293.30709999999999</v>
      </c>
      <c r="J1382">
        <v>-190.4117</v>
      </c>
      <c r="K1382">
        <v>1.10955</v>
      </c>
      <c r="L1382">
        <v>312.91460000000001</v>
      </c>
      <c r="M1382">
        <v>1.021523E-2</v>
      </c>
      <c r="N1382">
        <v>0</v>
      </c>
      <c r="O1382">
        <v>-0.99985409999999997</v>
      </c>
      <c r="P1382">
        <v>-3.955583E-2</v>
      </c>
      <c r="Q1382">
        <v>-3.948496E-2</v>
      </c>
      <c r="R1382">
        <v>-0.99843700000000002</v>
      </c>
      <c r="S1382">
        <v>-0.849639899999999</v>
      </c>
      <c r="T1382">
        <v>-0.166214</v>
      </c>
      <c r="U1382">
        <v>-2.9700319999999998</v>
      </c>
      <c r="V1382">
        <v>4.9738320000000003E-2</v>
      </c>
      <c r="W1382">
        <v>-2.5840450000000001E-2</v>
      </c>
      <c r="X1382">
        <v>0.99842790000000003</v>
      </c>
      <c r="Y1382">
        <v>0.28444960000000002</v>
      </c>
      <c r="Z1382">
        <v>5.3645089999999999E-2</v>
      </c>
      <c r="AA1382">
        <v>0.95718890000000001</v>
      </c>
      <c r="AB1382">
        <v>23</v>
      </c>
      <c r="AC1382">
        <v>-5.6735999999999898</v>
      </c>
      <c r="AD1382">
        <v>-1.109548545397</v>
      </c>
      <c r="AE1382">
        <v>-19.607500000000002</v>
      </c>
      <c r="AF1382">
        <v>5.8563135895254197</v>
      </c>
      <c r="AG1382">
        <v>-1.109548545397</v>
      </c>
      <c r="AH1382">
        <v>19.490922464092399</v>
      </c>
      <c r="AI1382">
        <v>93.120600067161703</v>
      </c>
      <c r="AJ1382">
        <v>73.276387457388296</v>
      </c>
      <c r="AK1382">
        <v>20.3819421384399</v>
      </c>
      <c r="AL1382">
        <v>91.480713616202095</v>
      </c>
      <c r="AM1382">
        <v>87.1480746114825</v>
      </c>
      <c r="AN1382">
        <v>0.99999995041551604</v>
      </c>
    </row>
    <row r="1383" spans="1:40" x14ac:dyDescent="0.25">
      <c r="A1383" t="str">
        <f>"20190312151524279"</f>
        <v>20190312151524279</v>
      </c>
      <c r="B1383" t="str">
        <f>"1552374924269242"</f>
        <v>1552374924269242</v>
      </c>
      <c r="C1383" t="s">
        <v>40</v>
      </c>
      <c r="D1383">
        <v>5.0254810000000001</v>
      </c>
      <c r="E1383">
        <v>0.62920489999999996</v>
      </c>
      <c r="F1383" t="s">
        <v>50</v>
      </c>
      <c r="G1383">
        <v>-196.25</v>
      </c>
      <c r="H1383" s="1">
        <v>1.488684E-6</v>
      </c>
      <c r="I1383">
        <v>293.03070000000002</v>
      </c>
      <c r="J1383">
        <v>-190.40989999999999</v>
      </c>
      <c r="K1383">
        <v>1.109531</v>
      </c>
      <c r="L1383">
        <v>312.69029999999998</v>
      </c>
      <c r="M1383">
        <v>9.8161659999999994E-3</v>
      </c>
      <c r="N1383">
        <v>0</v>
      </c>
      <c r="O1383">
        <v>-0.99985840000000004</v>
      </c>
      <c r="P1383">
        <v>-4.7618639999999997E-2</v>
      </c>
      <c r="Q1383">
        <v>-3.8956490000000003E-2</v>
      </c>
      <c r="R1383">
        <v>-0.9981061</v>
      </c>
      <c r="S1383">
        <v>-0.87019349999999995</v>
      </c>
      <c r="T1383">
        <v>-0.16537760000000001</v>
      </c>
      <c r="U1383">
        <v>-2.9636840000000002</v>
      </c>
      <c r="V1383">
        <v>5.739843E-2</v>
      </c>
      <c r="W1383">
        <v>-2.5326640000000001E-2</v>
      </c>
      <c r="X1383">
        <v>0.99803010000000003</v>
      </c>
      <c r="Y1383">
        <v>0.29072969999999998</v>
      </c>
      <c r="Z1383">
        <v>5.3383939999999998E-2</v>
      </c>
      <c r="AA1383">
        <v>0.95531480000000002</v>
      </c>
      <c r="AB1383">
        <v>23</v>
      </c>
      <c r="AC1383">
        <v>-5.8400999999999996</v>
      </c>
      <c r="AD1383">
        <v>-1.109529511316</v>
      </c>
      <c r="AE1383">
        <v>-19.659599999999902</v>
      </c>
      <c r="AF1383">
        <v>6.0152128280711397</v>
      </c>
      <c r="AG1383">
        <v>-1.109529511316</v>
      </c>
      <c r="AH1383">
        <v>19.544117034928199</v>
      </c>
      <c r="AI1383">
        <v>93.105753923393394</v>
      </c>
      <c r="AJ1383">
        <v>72.892883506602601</v>
      </c>
      <c r="AK1383">
        <v>20.478924575730201</v>
      </c>
      <c r="AL1383">
        <v>91.451264687187006</v>
      </c>
      <c r="AM1383">
        <v>86.708446886963301</v>
      </c>
      <c r="AN1383">
        <v>1.0000000494830801</v>
      </c>
    </row>
    <row r="1384" spans="1:40" x14ac:dyDescent="0.25">
      <c r="A1384" t="str">
        <f>"20190312151524303"</f>
        <v>20190312151524303</v>
      </c>
      <c r="B1384" t="str">
        <f>"1552374924298523"</f>
        <v>1552374924298523</v>
      </c>
      <c r="C1384" t="s">
        <v>40</v>
      </c>
      <c r="D1384">
        <v>4.9736690000000001</v>
      </c>
      <c r="E1384">
        <v>0.63299749999999999</v>
      </c>
      <c r="F1384" t="s">
        <v>43</v>
      </c>
      <c r="G1384">
        <v>-195.60560000000001</v>
      </c>
      <c r="H1384" s="1">
        <v>-1.5223009999999901E-6</v>
      </c>
      <c r="I1384">
        <v>299.66090000000003</v>
      </c>
      <c r="J1384">
        <v>-190.40799999999999</v>
      </c>
      <c r="K1384">
        <v>1.1095079999999999</v>
      </c>
      <c r="L1384">
        <v>312.44220000000001</v>
      </c>
      <c r="M1384">
        <v>9.3342800000000004E-3</v>
      </c>
      <c r="N1384">
        <v>0</v>
      </c>
      <c r="O1384">
        <v>-0.99986269999999999</v>
      </c>
      <c r="P1384">
        <v>-5.600173E-2</v>
      </c>
      <c r="Q1384">
        <v>-3.7914730000000001E-2</v>
      </c>
      <c r="R1384">
        <v>-0.99771069999999995</v>
      </c>
      <c r="S1384">
        <v>-1.1723790000000001</v>
      </c>
      <c r="T1384">
        <v>-0.25035980000000002</v>
      </c>
      <c r="U1384">
        <v>-2.9400019999999998</v>
      </c>
      <c r="V1384">
        <v>6.5295880000000001E-2</v>
      </c>
      <c r="W1384">
        <v>-2.430264E-2</v>
      </c>
      <c r="X1384">
        <v>0.99756999999999996</v>
      </c>
      <c r="Y1384">
        <v>0.37790869999999999</v>
      </c>
      <c r="Z1384">
        <v>7.8704789999999997E-2</v>
      </c>
      <c r="AA1384">
        <v>0.92249150000000002</v>
      </c>
      <c r="AB1384">
        <v>23</v>
      </c>
      <c r="AC1384">
        <v>-5.19760000000002</v>
      </c>
      <c r="AD1384">
        <v>-1.1095095223010001</v>
      </c>
      <c r="AE1384">
        <v>-12.7812999999999</v>
      </c>
      <c r="AF1384">
        <v>5.2825310994322701</v>
      </c>
      <c r="AG1384">
        <v>-1.1095095223010001</v>
      </c>
      <c r="AH1384">
        <v>12.650422660751101</v>
      </c>
      <c r="AI1384">
        <v>94.627010081406794</v>
      </c>
      <c r="AJ1384">
        <v>67.335685452777895</v>
      </c>
      <c r="AK1384">
        <v>13.753884531003999</v>
      </c>
      <c r="AL1384">
        <v>91.3925757537599</v>
      </c>
      <c r="AM1384">
        <v>86.255050574222096</v>
      </c>
      <c r="AN1384">
        <v>1.0000000375779701</v>
      </c>
    </row>
    <row r="1385" spans="1:40" x14ac:dyDescent="0.25">
      <c r="A1385" t="str">
        <f>"20190312151524323"</f>
        <v>20190312151524323</v>
      </c>
      <c r="B1385" t="str">
        <f>"1552374924319018"</f>
        <v>1552374924319018</v>
      </c>
      <c r="C1385" t="s">
        <v>40</v>
      </c>
      <c r="D1385">
        <v>4.9523359999999998</v>
      </c>
      <c r="E1385">
        <v>0.63332619999999995</v>
      </c>
      <c r="F1385" t="s">
        <v>50</v>
      </c>
      <c r="G1385">
        <v>-196.16659999999999</v>
      </c>
      <c r="H1385" s="1">
        <v>1.6068770000000001E-7</v>
      </c>
      <c r="I1385">
        <v>298.70389999999998</v>
      </c>
      <c r="J1385">
        <v>-190.4066</v>
      </c>
      <c r="K1385">
        <v>1.1094850000000001</v>
      </c>
      <c r="L1385">
        <v>312.23160000000001</v>
      </c>
      <c r="M1385">
        <v>8.8781150000000007E-3</v>
      </c>
      <c r="N1385">
        <v>0</v>
      </c>
      <c r="O1385">
        <v>-0.99986679999999994</v>
      </c>
      <c r="P1385">
        <v>-6.3784220000000003E-2</v>
      </c>
      <c r="Q1385">
        <v>-3.7402119999999997E-2</v>
      </c>
      <c r="R1385">
        <v>-0.99726250000000005</v>
      </c>
      <c r="S1385">
        <v>-1.2277370000000001</v>
      </c>
      <c r="T1385">
        <v>-0.23654900000000001</v>
      </c>
      <c r="U1385">
        <v>-2.9290159999999998</v>
      </c>
      <c r="V1385">
        <v>7.2617870000000001E-2</v>
      </c>
      <c r="W1385">
        <v>-2.3809E-2</v>
      </c>
      <c r="X1385">
        <v>0.99707559999999995</v>
      </c>
      <c r="Y1385">
        <v>0.39368540000000002</v>
      </c>
      <c r="Z1385">
        <v>7.4137869999999995E-2</v>
      </c>
      <c r="AA1385">
        <v>0.91625069999999997</v>
      </c>
      <c r="AB1385">
        <v>23</v>
      </c>
      <c r="AC1385">
        <v>-5.75999999999999</v>
      </c>
      <c r="AD1385">
        <v>-1.1094848393123</v>
      </c>
      <c r="AE1385">
        <v>-13.527699999999999</v>
      </c>
      <c r="AF1385">
        <v>5.8465928661860698</v>
      </c>
      <c r="AG1385">
        <v>-1.1094848393123</v>
      </c>
      <c r="AH1385">
        <v>13.3997229614661</v>
      </c>
      <c r="AI1385">
        <v>94.339845710873504</v>
      </c>
      <c r="AJ1385">
        <v>66.427301621024895</v>
      </c>
      <c r="AK1385">
        <v>14.661725007503099</v>
      </c>
      <c r="AL1385">
        <v>91.364284146700896</v>
      </c>
      <c r="AM1385">
        <v>85.834454060413904</v>
      </c>
      <c r="AN1385">
        <v>0.999999987819848</v>
      </c>
    </row>
    <row r="1386" spans="1:40" x14ac:dyDescent="0.25">
      <c r="A1386" t="str">
        <f>"20190312151524346"</f>
        <v>20190312151524346</v>
      </c>
      <c r="B1386" t="str">
        <f>"1552374924338538"</f>
        <v>1552374924338538</v>
      </c>
      <c r="C1386" t="s">
        <v>40</v>
      </c>
      <c r="D1386">
        <v>5.0175580000000002</v>
      </c>
      <c r="E1386">
        <v>0.63373990000000002</v>
      </c>
      <c r="F1386" t="s">
        <v>50</v>
      </c>
      <c r="G1386">
        <v>-196.55840000000001</v>
      </c>
      <c r="H1386" s="1">
        <v>3.0225699999999998E-7</v>
      </c>
      <c r="I1386">
        <v>297.90010000000001</v>
      </c>
      <c r="J1386">
        <v>-190.40520000000001</v>
      </c>
      <c r="K1386">
        <v>1.10945</v>
      </c>
      <c r="L1386">
        <v>312.0052</v>
      </c>
      <c r="M1386">
        <v>8.3236960000000002E-3</v>
      </c>
      <c r="N1386">
        <v>0</v>
      </c>
      <c r="O1386">
        <v>-0.99987170000000003</v>
      </c>
      <c r="P1386">
        <v>-7.0828680000000005E-2</v>
      </c>
      <c r="Q1386">
        <v>-3.7090390000000001E-2</v>
      </c>
      <c r="R1386">
        <v>-0.99679879999999998</v>
      </c>
      <c r="S1386">
        <v>-1.2532350000000001</v>
      </c>
      <c r="T1386">
        <v>-0.22602220000000001</v>
      </c>
      <c r="U1386">
        <v>-2.9195859999999998</v>
      </c>
      <c r="V1386">
        <v>7.9103469999999995E-2</v>
      </c>
      <c r="W1386">
        <v>-2.3518850000000001E-2</v>
      </c>
      <c r="X1386">
        <v>0.9965889</v>
      </c>
      <c r="Y1386">
        <v>0.40109089999999997</v>
      </c>
      <c r="Z1386">
        <v>7.0833270000000004E-2</v>
      </c>
      <c r="AA1386">
        <v>0.91329559999999999</v>
      </c>
      <c r="AB1386">
        <v>23</v>
      </c>
      <c r="AC1386">
        <v>-6.1531999999999902</v>
      </c>
      <c r="AD1386">
        <v>-1.109449697743</v>
      </c>
      <c r="AE1386">
        <v>-14.105099999999901</v>
      </c>
      <c r="AF1386">
        <v>6.2379816862787001</v>
      </c>
      <c r="AG1386">
        <v>-1.109449697743</v>
      </c>
      <c r="AH1386">
        <v>13.9807225937409</v>
      </c>
      <c r="AI1386">
        <v>94.144936584756806</v>
      </c>
      <c r="AJ1386">
        <v>65.954312094047296</v>
      </c>
      <c r="AK1386">
        <v>15.3493940725134</v>
      </c>
      <c r="AL1386">
        <v>91.347655149559102</v>
      </c>
      <c r="AM1386">
        <v>85.461706856477704</v>
      </c>
      <c r="AN1386">
        <v>0.99999996543728598</v>
      </c>
    </row>
    <row r="1387" spans="1:40" x14ac:dyDescent="0.25">
      <c r="A1387" t="str">
        <f>"20190312151524367"</f>
        <v>20190312151524367</v>
      </c>
      <c r="B1387" t="str">
        <f>"1552374924359034"</f>
        <v>1552374924359034</v>
      </c>
      <c r="C1387" t="s">
        <v>40</v>
      </c>
      <c r="D1387">
        <v>4.970097</v>
      </c>
      <c r="E1387">
        <v>0.63376279999999996</v>
      </c>
      <c r="F1387" t="s">
        <v>50</v>
      </c>
      <c r="G1387">
        <v>-196.6037</v>
      </c>
      <c r="H1387" s="1">
        <v>3.0544649999999998E-7</v>
      </c>
      <c r="I1387">
        <v>297.88200000000001</v>
      </c>
      <c r="J1387">
        <v>-190.4041</v>
      </c>
      <c r="K1387">
        <v>1.1094059999999999</v>
      </c>
      <c r="L1387">
        <v>311.78590000000003</v>
      </c>
      <c r="M1387">
        <v>7.7097859999999997E-3</v>
      </c>
      <c r="N1387">
        <v>0</v>
      </c>
      <c r="O1387">
        <v>-0.99987680000000001</v>
      </c>
      <c r="P1387">
        <v>-7.7712390000000006E-2</v>
      </c>
      <c r="Q1387">
        <v>-3.6648199999999999E-2</v>
      </c>
      <c r="R1387">
        <v>-0.99630249999999998</v>
      </c>
      <c r="S1387">
        <v>-1.2773129999999999</v>
      </c>
      <c r="T1387">
        <v>-0.2286241</v>
      </c>
      <c r="U1387">
        <v>-2.9103699999999999</v>
      </c>
      <c r="V1387">
        <v>8.5369009999999995E-2</v>
      </c>
      <c r="W1387">
        <v>-2.3101389999999999E-2</v>
      </c>
      <c r="X1387">
        <v>0.99608149999999995</v>
      </c>
      <c r="Y1387">
        <v>0.40789740000000002</v>
      </c>
      <c r="Z1387">
        <v>7.1626540000000002E-2</v>
      </c>
      <c r="AA1387">
        <v>0.91021390000000002</v>
      </c>
      <c r="AB1387">
        <v>23</v>
      </c>
      <c r="AC1387">
        <v>-6.1996000000000002</v>
      </c>
      <c r="AD1387">
        <v>-1.10940569455349</v>
      </c>
      <c r="AE1387">
        <v>-13.9039</v>
      </c>
      <c r="AF1387">
        <v>6.2733059655289196</v>
      </c>
      <c r="AG1387">
        <v>-1.10940569455349</v>
      </c>
      <c r="AH1387">
        <v>13.782489497825701</v>
      </c>
      <c r="AI1387">
        <v>94.190106110421496</v>
      </c>
      <c r="AJ1387">
        <v>65.526636043343899</v>
      </c>
      <c r="AK1387">
        <v>15.1836150336448</v>
      </c>
      <c r="AL1387">
        <v>91.323729974143802</v>
      </c>
      <c r="AM1387">
        <v>85.101444546911495</v>
      </c>
      <c r="AN1387">
        <v>0.99999994836527895</v>
      </c>
    </row>
    <row r="1388" spans="1:40" x14ac:dyDescent="0.25">
      <c r="A1388" t="str">
        <f>"20190312151524390"</f>
        <v>20190312151524390</v>
      </c>
      <c r="B1388" t="str">
        <f>"1552374924378556"</f>
        <v>1552374924378556</v>
      </c>
      <c r="C1388" t="s">
        <v>40</v>
      </c>
      <c r="D1388">
        <v>4.9332419999999999</v>
      </c>
      <c r="E1388">
        <v>0.63397869999999901</v>
      </c>
      <c r="F1388" t="s">
        <v>50</v>
      </c>
      <c r="G1388">
        <v>-196.6824</v>
      </c>
      <c r="H1388" s="1">
        <v>3.2890489999999997E-7</v>
      </c>
      <c r="I1388">
        <v>297.74880000000002</v>
      </c>
      <c r="J1388">
        <v>-190.4032</v>
      </c>
      <c r="K1388">
        <v>1.109345</v>
      </c>
      <c r="L1388">
        <v>311.56420000000003</v>
      </c>
      <c r="M1388">
        <v>6.9967739999999999E-3</v>
      </c>
      <c r="N1388">
        <v>0</v>
      </c>
      <c r="O1388">
        <v>-0.99988200000000005</v>
      </c>
      <c r="P1388">
        <v>-8.4578600000000004E-2</v>
      </c>
      <c r="Q1388">
        <v>-3.57892E-2</v>
      </c>
      <c r="R1388">
        <v>-0.9957741</v>
      </c>
      <c r="S1388">
        <v>-1.2977449999999999</v>
      </c>
      <c r="T1388">
        <v>-0.2293183</v>
      </c>
      <c r="U1388">
        <v>-2.9015200000000001</v>
      </c>
      <c r="V1388">
        <v>9.1518710000000003E-2</v>
      </c>
      <c r="W1388">
        <v>-2.227146E-2</v>
      </c>
      <c r="X1388">
        <v>0.9955543</v>
      </c>
      <c r="Y1388">
        <v>0.41360819999999998</v>
      </c>
      <c r="Z1388">
        <v>7.1848399999999896E-2</v>
      </c>
      <c r="AA1388">
        <v>0.90761559999999997</v>
      </c>
      <c r="AB1388">
        <v>23</v>
      </c>
      <c r="AC1388">
        <v>-6.2792000000000003</v>
      </c>
      <c r="AD1388">
        <v>-1.1093446710951</v>
      </c>
      <c r="AE1388">
        <v>-13.8154</v>
      </c>
      <c r="AF1388">
        <v>6.3418290083301896</v>
      </c>
      <c r="AG1388">
        <v>-1.1093446710951</v>
      </c>
      <c r="AH1388">
        <v>13.6979243976836</v>
      </c>
      <c r="AI1388">
        <v>94.203225770396102</v>
      </c>
      <c r="AJ1388">
        <v>65.156931146104398</v>
      </c>
      <c r="AK1388">
        <v>15.1354740122284</v>
      </c>
      <c r="AL1388">
        <v>91.276166140611096</v>
      </c>
      <c r="AM1388">
        <v>84.747710324452498</v>
      </c>
      <c r="AN1388">
        <v>1.00000002822954</v>
      </c>
    </row>
    <row r="1389" spans="1:40" x14ac:dyDescent="0.25">
      <c r="A1389" t="str">
        <f>"20190312151524412"</f>
        <v>20190312151524412</v>
      </c>
      <c r="B1389" t="str">
        <f>"1552374924408811"</f>
        <v>1552374924408811</v>
      </c>
      <c r="C1389" t="s">
        <v>40</v>
      </c>
      <c r="D1389">
        <v>4.9584729999999997</v>
      </c>
      <c r="E1389">
        <v>0.63343359999999904</v>
      </c>
      <c r="F1389" t="s">
        <v>50</v>
      </c>
      <c r="G1389">
        <v>-196.87870000000001</v>
      </c>
      <c r="H1389" s="1">
        <v>3.9517919999999998E-7</v>
      </c>
      <c r="I1389">
        <v>297.3725</v>
      </c>
      <c r="J1389">
        <v>-190.4025</v>
      </c>
      <c r="K1389">
        <v>1.10927</v>
      </c>
      <c r="L1389">
        <v>311.33659999999998</v>
      </c>
      <c r="M1389">
        <v>6.1488439999999997E-3</v>
      </c>
      <c r="N1389">
        <v>0</v>
      </c>
      <c r="O1389">
        <v>-0.99988770000000005</v>
      </c>
      <c r="P1389">
        <v>-9.0862789999999999E-2</v>
      </c>
      <c r="Q1389">
        <v>-3.5180969999999999E-2</v>
      </c>
      <c r="R1389">
        <v>-0.99524230000000002</v>
      </c>
      <c r="S1389">
        <v>-1.319809</v>
      </c>
      <c r="T1389">
        <v>-0.22610259999999999</v>
      </c>
      <c r="U1389">
        <v>-2.8925169999999998</v>
      </c>
      <c r="V1389">
        <v>9.6952060000000007E-2</v>
      </c>
      <c r="W1389">
        <v>-2.1696179999999999E-2</v>
      </c>
      <c r="X1389">
        <v>0.99505259999999995</v>
      </c>
      <c r="Y1389">
        <v>0.41965639999999998</v>
      </c>
      <c r="Z1389">
        <v>7.0838390000000001E-2</v>
      </c>
      <c r="AA1389">
        <v>0.90491460000000001</v>
      </c>
      <c r="AB1389">
        <v>23</v>
      </c>
      <c r="AC1389">
        <v>-6.4762000000000004</v>
      </c>
      <c r="AD1389">
        <v>-1.1092696048207999</v>
      </c>
      <c r="AE1389">
        <v>-13.964099999999901</v>
      </c>
      <c r="AF1389">
        <v>6.5280467343430004</v>
      </c>
      <c r="AG1389">
        <v>-1.1092696048207999</v>
      </c>
      <c r="AH1389">
        <v>13.852073552812801</v>
      </c>
      <c r="AI1389">
        <v>94.143188866565694</v>
      </c>
      <c r="AJ1389">
        <v>64.7669722072757</v>
      </c>
      <c r="AK1389">
        <v>15.3533649384909</v>
      </c>
      <c r="AL1389">
        <v>91.243197028406996</v>
      </c>
      <c r="AM1389">
        <v>84.435002870277501</v>
      </c>
      <c r="AN1389">
        <v>1.0000000514657901</v>
      </c>
    </row>
    <row r="1390" spans="1:40" x14ac:dyDescent="0.25">
      <c r="A1390" t="str">
        <f>"20190312151524436"</f>
        <v>20190312151524436</v>
      </c>
      <c r="B1390" t="str">
        <f>"1552374924429306"</f>
        <v>1552374924429306</v>
      </c>
      <c r="C1390" t="s">
        <v>40</v>
      </c>
      <c r="D1390">
        <v>4.9326889999999999</v>
      </c>
      <c r="E1390">
        <v>0.63296649999999999</v>
      </c>
      <c r="F1390" t="s">
        <v>50</v>
      </c>
      <c r="G1390">
        <v>-197.00299999999999</v>
      </c>
      <c r="H1390" s="1">
        <v>4.5011359999999998E-7</v>
      </c>
      <c r="I1390">
        <v>297.06049999999999</v>
      </c>
      <c r="J1390">
        <v>-190.4023</v>
      </c>
      <c r="K1390">
        <v>1.1091770000000001</v>
      </c>
      <c r="L1390">
        <v>311.10509999999999</v>
      </c>
      <c r="M1390">
        <v>5.1222510000000004E-3</v>
      </c>
      <c r="N1390">
        <v>0</v>
      </c>
      <c r="O1390">
        <v>-0.99989349999999999</v>
      </c>
      <c r="P1390">
        <v>-9.6292379999999997E-2</v>
      </c>
      <c r="Q1390">
        <v>-3.4527099999999998E-2</v>
      </c>
      <c r="R1390">
        <v>-0.99475449999999999</v>
      </c>
      <c r="S1390">
        <v>-1.33371</v>
      </c>
      <c r="T1390">
        <v>-0.22414039999999999</v>
      </c>
      <c r="U1390">
        <v>-2.8846440000000002</v>
      </c>
      <c r="V1390">
        <v>0.1013537</v>
      </c>
      <c r="W1390">
        <v>-2.1078659999999999E-2</v>
      </c>
      <c r="X1390">
        <v>0.99462709999999999</v>
      </c>
      <c r="Y1390">
        <v>0.42327029999999899</v>
      </c>
      <c r="Z1390">
        <v>7.0272020000000004E-2</v>
      </c>
      <c r="AA1390">
        <v>0.90327409999999997</v>
      </c>
      <c r="AB1390">
        <v>22</v>
      </c>
      <c r="AC1390">
        <v>-6.6006999999999802</v>
      </c>
      <c r="AD1390">
        <v>-1.1091765498863999</v>
      </c>
      <c r="AE1390">
        <v>-14.044600000000001</v>
      </c>
      <c r="AF1390">
        <v>6.6386453563579204</v>
      </c>
      <c r="AG1390">
        <v>-1.1091765498863999</v>
      </c>
      <c r="AH1390">
        <v>13.939390224684599</v>
      </c>
      <c r="AI1390">
        <v>94.1090797040425</v>
      </c>
      <c r="AJ1390">
        <v>64.533838882340405</v>
      </c>
      <c r="AK1390">
        <v>15.4792921227795</v>
      </c>
      <c r="AL1390">
        <v>91.207807737126799</v>
      </c>
      <c r="AM1390">
        <v>84.181574791323698</v>
      </c>
      <c r="AN1390">
        <v>0.99999997523274697</v>
      </c>
    </row>
    <row r="1391" spans="1:40" x14ac:dyDescent="0.25">
      <c r="A1391" t="str">
        <f>"20190312151524457"</f>
        <v>20190312151524457</v>
      </c>
      <c r="B1391" t="str">
        <f>"1552374924448827"</f>
        <v>1552374924448827</v>
      </c>
      <c r="C1391" t="s">
        <v>40</v>
      </c>
      <c r="D1391">
        <v>4.8819549999999996</v>
      </c>
      <c r="E1391">
        <v>0.63241230000000004</v>
      </c>
      <c r="F1391" t="s">
        <v>50</v>
      </c>
      <c r="G1391">
        <v>-197.14619999999999</v>
      </c>
      <c r="H1391" s="1">
        <v>5.1637560000000005E-7</v>
      </c>
      <c r="I1391">
        <v>296.68430000000001</v>
      </c>
      <c r="J1391">
        <v>-190.4024</v>
      </c>
      <c r="K1391">
        <v>1.109075</v>
      </c>
      <c r="L1391">
        <v>310.88819999999998</v>
      </c>
      <c r="M1391">
        <v>4.0011999999999999E-3</v>
      </c>
      <c r="N1391">
        <v>0</v>
      </c>
      <c r="O1391">
        <v>-0.99989850000000002</v>
      </c>
      <c r="P1391">
        <v>-9.8754179999999997E-2</v>
      </c>
      <c r="Q1391">
        <v>-3.4108189999999997E-2</v>
      </c>
      <c r="R1391">
        <v>-0.99452759999999996</v>
      </c>
      <c r="S1391">
        <v>-1.3458559999999999</v>
      </c>
      <c r="T1391">
        <v>-0.22135150000000001</v>
      </c>
      <c r="U1391">
        <v>-2.877869</v>
      </c>
      <c r="V1391">
        <v>0.1026952</v>
      </c>
      <c r="W1391">
        <v>-2.0690030000000002E-2</v>
      </c>
      <c r="X1391">
        <v>0.99449770000000004</v>
      </c>
      <c r="Y1391">
        <v>0.4262204</v>
      </c>
      <c r="Z1391">
        <v>6.9441310000000006E-2</v>
      </c>
      <c r="AA1391">
        <v>0.90195009999999998</v>
      </c>
      <c r="AB1391">
        <v>22</v>
      </c>
      <c r="AC1391">
        <v>-6.7437999999999896</v>
      </c>
      <c r="AD1391">
        <v>-1.1090744836244</v>
      </c>
      <c r="AE1391">
        <v>-14.2038999999999</v>
      </c>
      <c r="AF1391">
        <v>6.7669163974614799</v>
      </c>
      <c r="AG1391">
        <v>-1.1090744836244</v>
      </c>
      <c r="AH1391">
        <v>14.1066155500204</v>
      </c>
      <c r="AI1391">
        <v>94.054736534654694</v>
      </c>
      <c r="AJ1391">
        <v>64.373055267786697</v>
      </c>
      <c r="AK1391">
        <v>15.684954766161599</v>
      </c>
      <c r="AL1391">
        <v>91.185535957131904</v>
      </c>
      <c r="AM1391">
        <v>84.104340320388701</v>
      </c>
      <c r="AN1391">
        <v>1.00000002837486</v>
      </c>
    </row>
    <row r="1392" spans="1:40" x14ac:dyDescent="0.25">
      <c r="A1392" t="str">
        <f>"20190312151524479"</f>
        <v>20190312151524479</v>
      </c>
      <c r="B1392" t="str">
        <f>"1552374924469322"</f>
        <v>1552374924469322</v>
      </c>
      <c r="C1392" t="s">
        <v>40</v>
      </c>
      <c r="D1392">
        <v>4.9427269999999996</v>
      </c>
      <c r="E1392">
        <v>0.63167740000000006</v>
      </c>
      <c r="F1392" t="s">
        <v>50</v>
      </c>
      <c r="G1392">
        <v>-197.1121</v>
      </c>
      <c r="H1392" s="1">
        <v>5.3372089999999997E-7</v>
      </c>
      <c r="I1392">
        <v>296.58580000000001</v>
      </c>
      <c r="J1392">
        <v>-190.40289999999999</v>
      </c>
      <c r="K1392">
        <v>1.108968</v>
      </c>
      <c r="L1392">
        <v>310.66770000000002</v>
      </c>
      <c r="M1392">
        <v>2.714728E-3</v>
      </c>
      <c r="N1392">
        <v>0</v>
      </c>
      <c r="O1392">
        <v>-0.99990279999999998</v>
      </c>
      <c r="P1392">
        <v>-0.10347530000000001</v>
      </c>
      <c r="Q1392">
        <v>-3.3321049999999998E-2</v>
      </c>
      <c r="R1392">
        <v>-0.99407389999999995</v>
      </c>
      <c r="S1392">
        <v>-1.3487549999999999</v>
      </c>
      <c r="T1392">
        <v>-0.2229391</v>
      </c>
      <c r="U1392">
        <v>-2.8749690000000001</v>
      </c>
      <c r="V1392">
        <v>0.1061323</v>
      </c>
      <c r="W1392">
        <v>-1.9941150000000001E-2</v>
      </c>
      <c r="X1392">
        <v>0.99415200000000004</v>
      </c>
      <c r="Y1392">
        <v>0.42613580000000001</v>
      </c>
      <c r="Z1392">
        <v>6.9988030000000007E-2</v>
      </c>
      <c r="AA1392">
        <v>0.90194790000000002</v>
      </c>
      <c r="AB1392">
        <v>22</v>
      </c>
      <c r="AC1392">
        <v>-6.7092000000000098</v>
      </c>
      <c r="AD1392">
        <v>-1.1089674662791</v>
      </c>
      <c r="AE1392">
        <v>-14.081899999999999</v>
      </c>
      <c r="AF1392">
        <v>6.7134746180348701</v>
      </c>
      <c r="AG1392">
        <v>-1.1089674662791</v>
      </c>
      <c r="AH1392">
        <v>13.9929066376117</v>
      </c>
      <c r="AI1392">
        <v>94.087056393236693</v>
      </c>
      <c r="AJ1392">
        <v>64.369379972162506</v>
      </c>
      <c r="AK1392">
        <v>15.5596268097015</v>
      </c>
      <c r="AL1392">
        <v>91.142619518501405</v>
      </c>
      <c r="AM1392">
        <v>83.906376343769097</v>
      </c>
      <c r="AN1392">
        <v>0.99999995683530496</v>
      </c>
    </row>
    <row r="1393" spans="1:40" x14ac:dyDescent="0.25">
      <c r="A1393" t="str">
        <f>"20190312151524503"</f>
        <v>20190312151524503</v>
      </c>
      <c r="B1393" t="str">
        <f>"1552374924498602"</f>
        <v>1552374924498602</v>
      </c>
      <c r="C1393" t="s">
        <v>40</v>
      </c>
      <c r="D1393">
        <v>4.9845839999999999</v>
      </c>
      <c r="E1393">
        <v>0.63079019999999997</v>
      </c>
      <c r="F1393" t="s">
        <v>50</v>
      </c>
      <c r="G1393">
        <v>-197.12870000000001</v>
      </c>
      <c r="H1393" s="1">
        <v>5.5859979999999995E-7</v>
      </c>
      <c r="I1393">
        <v>296.44450000000001</v>
      </c>
      <c r="J1393">
        <v>-190.4041</v>
      </c>
      <c r="K1393">
        <v>1.108851</v>
      </c>
      <c r="L1393">
        <v>310.42759999999998</v>
      </c>
      <c r="M1393">
        <v>1.1236970000000001E-3</v>
      </c>
      <c r="N1393">
        <v>0</v>
      </c>
      <c r="O1393">
        <v>-0.99990610000000002</v>
      </c>
      <c r="P1393">
        <v>-0.1082468</v>
      </c>
      <c r="Q1393">
        <v>-3.2896509999999997E-2</v>
      </c>
      <c r="R1393">
        <v>-0.99358020000000002</v>
      </c>
      <c r="S1393">
        <v>-1.3567659999999999</v>
      </c>
      <c r="T1393">
        <v>-0.22370870000000001</v>
      </c>
      <c r="U1393">
        <v>-2.869202</v>
      </c>
      <c r="V1393">
        <v>0.1093171</v>
      </c>
      <c r="W1393">
        <v>-1.955809E-2</v>
      </c>
      <c r="X1393">
        <v>0.99381450000000005</v>
      </c>
      <c r="Y1393">
        <v>0.42744480000000001</v>
      </c>
      <c r="Z1393">
        <v>7.0293399999999895E-2</v>
      </c>
      <c r="AA1393">
        <v>0.90130449999999995</v>
      </c>
      <c r="AB1393">
        <v>22</v>
      </c>
      <c r="AC1393">
        <v>-6.7245999999999997</v>
      </c>
      <c r="AD1393">
        <v>-1.1088504414002001</v>
      </c>
      <c r="AE1393">
        <v>-13.983099999999901</v>
      </c>
      <c r="AF1393">
        <v>6.7060606674849002</v>
      </c>
      <c r="AG1393">
        <v>-1.1088504414002001</v>
      </c>
      <c r="AH1393">
        <v>13.904520622896101</v>
      </c>
      <c r="AI1393">
        <v>94.108487837728902</v>
      </c>
      <c r="AJ1393">
        <v>64.252286328319002</v>
      </c>
      <c r="AK1393">
        <v>15.4769665222202</v>
      </c>
      <c r="AL1393">
        <v>91.120667461874504</v>
      </c>
      <c r="AM1393">
        <v>83.722843633461594</v>
      </c>
      <c r="AN1393">
        <v>1.0000000038235499</v>
      </c>
    </row>
    <row r="1394" spans="1:40" x14ac:dyDescent="0.25">
      <c r="A1394" t="str">
        <f>"20190312151524526"</f>
        <v>20190312151524526</v>
      </c>
      <c r="B1394" t="str">
        <f>"1552374924519100"</f>
        <v>1552374924519100</v>
      </c>
      <c r="C1394" t="s">
        <v>40</v>
      </c>
      <c r="D1394">
        <v>5.0688409999999999</v>
      </c>
      <c r="E1394">
        <v>0.63010129999999998</v>
      </c>
      <c r="F1394" t="s">
        <v>50</v>
      </c>
      <c r="G1394">
        <v>-197.0608</v>
      </c>
      <c r="H1394" s="1">
        <v>5.5768910000000003E-7</v>
      </c>
      <c r="I1394">
        <v>296.44970000000001</v>
      </c>
      <c r="J1394">
        <v>-190.4058</v>
      </c>
      <c r="K1394">
        <v>1.1087320000000001</v>
      </c>
      <c r="L1394">
        <v>310.19279999999998</v>
      </c>
      <c r="M1394">
        <v>-6.5379380000000001E-4</v>
      </c>
      <c r="N1394">
        <v>0</v>
      </c>
      <c r="O1394">
        <v>-0.99990610000000002</v>
      </c>
      <c r="P1394">
        <v>-0.11248660000000001</v>
      </c>
      <c r="Q1394">
        <v>-3.3363450000000003E-2</v>
      </c>
      <c r="R1394">
        <v>-0.993093</v>
      </c>
      <c r="S1394">
        <v>-1.3636170000000001</v>
      </c>
      <c r="T1394">
        <v>-0.2271456</v>
      </c>
      <c r="U1394">
        <v>-2.8633419999999998</v>
      </c>
      <c r="V1394">
        <v>0.11178399999999999</v>
      </c>
      <c r="W1394">
        <v>-2.0067060000000001E-2</v>
      </c>
      <c r="X1394">
        <v>0.99352989999999997</v>
      </c>
      <c r="Y1394">
        <v>0.42827530000000003</v>
      </c>
      <c r="Z1394">
        <v>7.1449209999999999E-2</v>
      </c>
      <c r="AA1394">
        <v>0.90081920000000004</v>
      </c>
      <c r="AB1394">
        <v>22</v>
      </c>
      <c r="AC1394">
        <v>-6.6550000000000002</v>
      </c>
      <c r="AD1394">
        <v>-1.1087314423109</v>
      </c>
      <c r="AE1394">
        <v>-13.743099999999901</v>
      </c>
      <c r="AF1394">
        <v>6.61115696658951</v>
      </c>
      <c r="AG1394">
        <v>-1.1087314423109</v>
      </c>
      <c r="AH1394">
        <v>13.675348728082399</v>
      </c>
      <c r="AI1394">
        <v>94.174788098479397</v>
      </c>
      <c r="AJ1394">
        <v>64.199201620864201</v>
      </c>
      <c r="AK1394">
        <v>15.229965353956599</v>
      </c>
      <c r="AL1394">
        <v>91.149835017870899</v>
      </c>
      <c r="AM1394">
        <v>83.580536370676995</v>
      </c>
      <c r="AN1394">
        <v>1.0000000058735199</v>
      </c>
    </row>
    <row r="1395" spans="1:40" x14ac:dyDescent="0.25">
      <c r="A1395" t="str">
        <f>"20190312151524547"</f>
        <v>20190312151524547</v>
      </c>
      <c r="B1395" t="str">
        <f>"1552374924538618"</f>
        <v>1552374924538618</v>
      </c>
      <c r="C1395" t="s">
        <v>40</v>
      </c>
      <c r="D1395">
        <v>5.124638</v>
      </c>
      <c r="E1395">
        <v>0.62956809999999996</v>
      </c>
      <c r="F1395" t="s">
        <v>50</v>
      </c>
      <c r="G1395">
        <v>-197.13130000000001</v>
      </c>
      <c r="H1395" s="1">
        <v>6.0772899999999998E-7</v>
      </c>
      <c r="I1395">
        <v>296.16559999999998</v>
      </c>
      <c r="J1395">
        <v>-190.40780000000001</v>
      </c>
      <c r="K1395">
        <v>1.1086149999999999</v>
      </c>
      <c r="L1395">
        <v>309.98590000000002</v>
      </c>
      <c r="M1395">
        <v>-2.4275439999999998E-3</v>
      </c>
      <c r="N1395">
        <v>0</v>
      </c>
      <c r="O1395">
        <v>-0.9999036</v>
      </c>
      <c r="P1395">
        <v>-0.1167251</v>
      </c>
      <c r="Q1395">
        <v>-3.2752299999999998E-2</v>
      </c>
      <c r="R1395">
        <v>-0.99262419999999996</v>
      </c>
      <c r="S1395">
        <v>-1.370331</v>
      </c>
      <c r="T1395">
        <v>-0.22590569999999999</v>
      </c>
      <c r="U1395">
        <v>-2.858063</v>
      </c>
      <c r="V1395">
        <v>0.11425730000000001</v>
      </c>
      <c r="W1395">
        <v>-1.9498519999999998E-2</v>
      </c>
      <c r="X1395">
        <v>0.99325980000000003</v>
      </c>
      <c r="Y1395">
        <v>0.42905110000000002</v>
      </c>
      <c r="Z1395">
        <v>7.1131150000000004E-2</v>
      </c>
      <c r="AA1395">
        <v>0.90047509999999997</v>
      </c>
      <c r="AB1395">
        <v>22</v>
      </c>
      <c r="AC1395">
        <v>-6.7234999999999996</v>
      </c>
      <c r="AD1395">
        <v>-1.1086143922709999</v>
      </c>
      <c r="AE1395">
        <v>-13.8203</v>
      </c>
      <c r="AF1395">
        <v>6.6552988672216102</v>
      </c>
      <c r="AG1395">
        <v>-1.1086143922709999</v>
      </c>
      <c r="AH1395">
        <v>13.7649606582806</v>
      </c>
      <c r="AI1395">
        <v>94.147171915130997</v>
      </c>
      <c r="AJ1395">
        <v>64.196434194582096</v>
      </c>
      <c r="AK1395">
        <v>15.3295848217362</v>
      </c>
      <c r="AL1395">
        <v>91.117253731742395</v>
      </c>
      <c r="AM1395">
        <v>83.437957710929595</v>
      </c>
      <c r="AN1395">
        <v>0.99999997659076001</v>
      </c>
    </row>
    <row r="1396" spans="1:40" x14ac:dyDescent="0.25">
      <c r="A1396" t="str">
        <f>"20190312151524569"</f>
        <v>20190312151524569</v>
      </c>
      <c r="B1396" t="str">
        <f>"1552374924559114"</f>
        <v>1552374924559114</v>
      </c>
      <c r="C1396" t="s">
        <v>40</v>
      </c>
      <c r="D1396">
        <v>5.0494700000000003</v>
      </c>
      <c r="E1396">
        <v>0.62903980000000004</v>
      </c>
      <c r="F1396" t="s">
        <v>50</v>
      </c>
      <c r="G1396">
        <v>-197.34950000000001</v>
      </c>
      <c r="H1396" s="1">
        <v>7.5804630000000001E-7</v>
      </c>
      <c r="I1396">
        <v>295.6173</v>
      </c>
      <c r="J1396">
        <v>-190.41069999999999</v>
      </c>
      <c r="K1396">
        <v>1.1084700000000001</v>
      </c>
      <c r="L1396">
        <v>309.76049999999998</v>
      </c>
      <c r="M1396">
        <v>-4.5864579999999999E-3</v>
      </c>
      <c r="N1396">
        <v>0</v>
      </c>
      <c r="O1396">
        <v>-0.99989600000000001</v>
      </c>
      <c r="P1396">
        <v>-0.1219503</v>
      </c>
      <c r="Q1396">
        <v>-3.1681760000000003E-2</v>
      </c>
      <c r="R1396">
        <v>-0.99203090000000005</v>
      </c>
      <c r="S1396">
        <v>-1.378296</v>
      </c>
      <c r="T1396">
        <v>-0.2201195</v>
      </c>
      <c r="U1396">
        <v>-2.8529360000000001</v>
      </c>
      <c r="V1396">
        <v>0.11733739999999999</v>
      </c>
      <c r="W1396">
        <v>-1.848145E-2</v>
      </c>
      <c r="X1396">
        <v>0.99292009999999997</v>
      </c>
      <c r="Y1396">
        <v>0.42982690000000001</v>
      </c>
      <c r="Z1396">
        <v>6.9376880000000002E-2</v>
      </c>
      <c r="AA1396">
        <v>0.90024199999999999</v>
      </c>
      <c r="AB1396">
        <v>22</v>
      </c>
      <c r="AC1396">
        <v>-6.9388000000000103</v>
      </c>
      <c r="AD1396">
        <v>-1.1084692419536999</v>
      </c>
      <c r="AE1396">
        <v>-14.143199999999901</v>
      </c>
      <c r="AF1396">
        <v>6.8399895253356302</v>
      </c>
      <c r="AG1396">
        <v>-1.1084692419536999</v>
      </c>
      <c r="AH1396">
        <v>14.105045790794</v>
      </c>
      <c r="AI1396">
        <v>94.044716159083194</v>
      </c>
      <c r="AJ1396">
        <v>64.129764229424296</v>
      </c>
      <c r="AK1396">
        <v>15.715167117388599</v>
      </c>
      <c r="AL1396">
        <v>91.058969398556997</v>
      </c>
      <c r="AM1396">
        <v>83.260382260568804</v>
      </c>
      <c r="AN1396">
        <v>0.99999997720843503</v>
      </c>
    </row>
    <row r="1397" spans="1:40" x14ac:dyDescent="0.25">
      <c r="A1397" t="str">
        <f>"20190312151524594"</f>
        <v>20190312151524594</v>
      </c>
      <c r="B1397" t="str">
        <f>"1552374924589371"</f>
        <v>1552374924589371</v>
      </c>
      <c r="C1397" t="s">
        <v>40</v>
      </c>
      <c r="D1397">
        <v>5.05748</v>
      </c>
      <c r="E1397">
        <v>0.62834419999999902</v>
      </c>
      <c r="F1397" t="s">
        <v>50</v>
      </c>
      <c r="G1397">
        <v>-197.4229</v>
      </c>
      <c r="H1397" s="1">
        <v>8.3050989999999899E-7</v>
      </c>
      <c r="I1397">
        <v>295.39400000000001</v>
      </c>
      <c r="J1397">
        <v>-190.4145</v>
      </c>
      <c r="K1397">
        <v>1.108303</v>
      </c>
      <c r="L1397">
        <v>309.52980000000002</v>
      </c>
      <c r="M1397">
        <v>-7.0409069999999999E-3</v>
      </c>
      <c r="N1397">
        <v>0</v>
      </c>
      <c r="O1397">
        <v>-0.99988140000000003</v>
      </c>
      <c r="P1397">
        <v>-0.1272247</v>
      </c>
      <c r="Q1397">
        <v>-3.0244549999999999E-2</v>
      </c>
      <c r="R1397">
        <v>-0.99141259999999998</v>
      </c>
      <c r="S1397">
        <v>-1.3892519999999999</v>
      </c>
      <c r="T1397">
        <v>-0.2196109</v>
      </c>
      <c r="U1397">
        <v>-2.8463129999999999</v>
      </c>
      <c r="V1397">
        <v>0.1201772</v>
      </c>
      <c r="W1397">
        <v>-1.7100859999999999E-2</v>
      </c>
      <c r="X1397">
        <v>0.99260510000000002</v>
      </c>
      <c r="Y1397">
        <v>0.43123719999999999</v>
      </c>
      <c r="Z1397">
        <v>6.9280679999999997E-2</v>
      </c>
      <c r="AA1397">
        <v>0.89957480000000001</v>
      </c>
      <c r="AB1397">
        <v>22</v>
      </c>
      <c r="AC1397">
        <v>-7.0083999999999902</v>
      </c>
      <c r="AD1397">
        <v>-1.1083021694901001</v>
      </c>
      <c r="AE1397">
        <v>-14.1358</v>
      </c>
      <c r="AF1397">
        <v>6.8747659974784101</v>
      </c>
      <c r="AG1397">
        <v>-1.1083021694901001</v>
      </c>
      <c r="AH1397">
        <v>14.1151514776636</v>
      </c>
      <c r="AI1397">
        <v>94.037872575904302</v>
      </c>
      <c r="AJ1397">
        <v>64.031663100901298</v>
      </c>
      <c r="AK1397">
        <v>15.739385072370901</v>
      </c>
      <c r="AL1397">
        <v>90.979854923183495</v>
      </c>
      <c r="AM1397">
        <v>83.096655803149403</v>
      </c>
      <c r="AN1397">
        <v>0.99999994167929296</v>
      </c>
    </row>
    <row r="1398" spans="1:40" x14ac:dyDescent="0.25">
      <c r="A1398" t="str">
        <f>"20190312151524614"</f>
        <v>20190312151524614</v>
      </c>
      <c r="B1398" t="str">
        <f>"1552374924608891"</f>
        <v>1552374924608891</v>
      </c>
      <c r="C1398" t="s">
        <v>40</v>
      </c>
      <c r="D1398">
        <v>4.973649</v>
      </c>
      <c r="E1398">
        <v>0.62792919999999997</v>
      </c>
      <c r="F1398" t="s">
        <v>50</v>
      </c>
      <c r="G1398">
        <v>-197.49539999999999</v>
      </c>
      <c r="H1398" s="1">
        <v>9.0770990000000003E-7</v>
      </c>
      <c r="I1398">
        <v>295.1574</v>
      </c>
      <c r="J1398">
        <v>-190.4188</v>
      </c>
      <c r="K1398">
        <v>1.108166</v>
      </c>
      <c r="L1398">
        <v>309.31889999999999</v>
      </c>
      <c r="M1398">
        <v>-9.5145049999999995E-3</v>
      </c>
      <c r="N1398">
        <v>0</v>
      </c>
      <c r="O1398">
        <v>-0.99986079999999999</v>
      </c>
      <c r="P1398">
        <v>-0.13270599999999999</v>
      </c>
      <c r="Q1398">
        <v>-2.8953030000000001E-2</v>
      </c>
      <c r="R1398">
        <v>-0.99073250000000002</v>
      </c>
      <c r="S1398">
        <v>-1.399078</v>
      </c>
      <c r="T1398">
        <v>-0.21898400000000001</v>
      </c>
      <c r="U1398">
        <v>-2.8397830000000002</v>
      </c>
      <c r="V1398">
        <v>0.1232087</v>
      </c>
      <c r="W1398">
        <v>-1.586328E-2</v>
      </c>
      <c r="X1398">
        <v>0.99225399999999997</v>
      </c>
      <c r="Y1398">
        <v>0.43233359999999899</v>
      </c>
      <c r="Z1398">
        <v>6.9154980000000005E-2</v>
      </c>
      <c r="AA1398">
        <v>0.89905800000000002</v>
      </c>
      <c r="AB1398">
        <v>22</v>
      </c>
      <c r="AC1398">
        <v>-7.0765999999999796</v>
      </c>
      <c r="AD1398">
        <v>-1.1081650922901001</v>
      </c>
      <c r="AE1398">
        <v>-14.161499999999901</v>
      </c>
      <c r="AF1398">
        <v>6.9076807509235802</v>
      </c>
      <c r="AG1398">
        <v>-1.1081650922901001</v>
      </c>
      <c r="AH1398">
        <v>14.1588195467591</v>
      </c>
      <c r="AI1398">
        <v>94.023664395306795</v>
      </c>
      <c r="AJ1398">
        <v>63.993583149777301</v>
      </c>
      <c r="AK1398">
        <v>15.792917849027701</v>
      </c>
      <c r="AL1398">
        <v>90.908937104636905</v>
      </c>
      <c r="AM1398">
        <v>82.921782681268397</v>
      </c>
      <c r="AN1398">
        <v>1.00000001396202</v>
      </c>
    </row>
    <row r="1399" spans="1:40" x14ac:dyDescent="0.25">
      <c r="A1399" t="str">
        <f>"20190312151524636"</f>
        <v>20190312151524636</v>
      </c>
      <c r="B1399" t="str">
        <f>"1552374924628411"</f>
        <v>1552374924628411</v>
      </c>
      <c r="C1399" t="s">
        <v>40</v>
      </c>
      <c r="D1399">
        <v>5.0521260000000003</v>
      </c>
      <c r="E1399">
        <v>0.62749219999999895</v>
      </c>
      <c r="F1399" t="s">
        <v>50</v>
      </c>
      <c r="G1399">
        <v>-197.64019999999999</v>
      </c>
      <c r="H1399" s="1">
        <v>1.0111759999999999E-6</v>
      </c>
      <c r="I1399">
        <v>294.82839999999999</v>
      </c>
      <c r="J1399">
        <v>-190.4239</v>
      </c>
      <c r="K1399">
        <v>1.108042</v>
      </c>
      <c r="L1399">
        <v>309.10160000000002</v>
      </c>
      <c r="M1399">
        <v>-1.224457E-2</v>
      </c>
      <c r="N1399">
        <v>0</v>
      </c>
      <c r="O1399">
        <v>-0.99983120000000003</v>
      </c>
      <c r="P1399">
        <v>-0.13845979999999999</v>
      </c>
      <c r="Q1399">
        <v>-2.899127E-2</v>
      </c>
      <c r="R1399">
        <v>-0.98994389999999999</v>
      </c>
      <c r="S1399">
        <v>-1.4116519999999999</v>
      </c>
      <c r="T1399">
        <v>-0.21662580000000001</v>
      </c>
      <c r="U1399">
        <v>-2.8326419999999999</v>
      </c>
      <c r="V1399">
        <v>0.12625790000000001</v>
      </c>
      <c r="W1399">
        <v>-1.5951159999999999E-2</v>
      </c>
      <c r="X1399">
        <v>0.99186920000000001</v>
      </c>
      <c r="Y1399">
        <v>0.43399379999999999</v>
      </c>
      <c r="Z1399">
        <v>6.8472549999999993E-2</v>
      </c>
      <c r="AA1399">
        <v>0.89831000000000005</v>
      </c>
      <c r="AB1399">
        <v>22</v>
      </c>
      <c r="AC1399">
        <v>-7.2162999999999897</v>
      </c>
      <c r="AD1399">
        <v>-1.1080409888239999</v>
      </c>
      <c r="AE1399">
        <v>-14.273199999999999</v>
      </c>
      <c r="AF1399">
        <v>7.0073403117442599</v>
      </c>
      <c r="AG1399">
        <v>-1.1080409888239999</v>
      </c>
      <c r="AH1399">
        <v>14.291901974771701</v>
      </c>
      <c r="AI1399">
        <v>93.982064532747401</v>
      </c>
      <c r="AJ1399">
        <v>63.881219729479</v>
      </c>
      <c r="AK1399">
        <v>15.9558464248687</v>
      </c>
      <c r="AL1399">
        <v>90.913972904527299</v>
      </c>
      <c r="AM1399">
        <v>82.745668393407996</v>
      </c>
      <c r="AN1399">
        <v>1.0000000033631899</v>
      </c>
    </row>
    <row r="1400" spans="1:40" x14ac:dyDescent="0.25">
      <c r="A1400" t="str">
        <f>"20190312151524659"</f>
        <v>20190312151524659</v>
      </c>
      <c r="B1400" t="str">
        <f>"1552374924648907"</f>
        <v>1552374924648907</v>
      </c>
      <c r="C1400" t="s">
        <v>40</v>
      </c>
      <c r="D1400">
        <v>5.0052820000000002</v>
      </c>
      <c r="E1400">
        <v>0.61663119999999905</v>
      </c>
      <c r="F1400" t="s">
        <v>50</v>
      </c>
      <c r="G1400">
        <v>-197.6172</v>
      </c>
      <c r="H1400" s="1">
        <v>1.009468E-6</v>
      </c>
      <c r="I1400">
        <v>294.839</v>
      </c>
      <c r="J1400">
        <v>-190.43029999999999</v>
      </c>
      <c r="K1400">
        <v>1.1079399999999999</v>
      </c>
      <c r="L1400">
        <v>308.8707</v>
      </c>
      <c r="M1400">
        <v>-1.532099E-2</v>
      </c>
      <c r="N1400">
        <v>0</v>
      </c>
      <c r="O1400">
        <v>-0.99978880000000003</v>
      </c>
      <c r="P1400">
        <v>-0.14425109999999999</v>
      </c>
      <c r="Q1400">
        <v>-2.9853109999999999E-2</v>
      </c>
      <c r="R1400">
        <v>-0.98909069999999999</v>
      </c>
      <c r="S1400">
        <v>-1.4246369999999999</v>
      </c>
      <c r="T1400">
        <v>-0.21944959999999999</v>
      </c>
      <c r="U1400">
        <v>-2.824738</v>
      </c>
      <c r="V1400">
        <v>0.12900229999999999</v>
      </c>
      <c r="W1400">
        <v>-1.685561E-2</v>
      </c>
      <c r="X1400">
        <v>0.99150099999999997</v>
      </c>
      <c r="Y1400">
        <v>0.4354942</v>
      </c>
      <c r="Z1400">
        <v>6.9434759999999998E-2</v>
      </c>
      <c r="AA1400">
        <v>0.89750969999999997</v>
      </c>
      <c r="AB1400">
        <v>22</v>
      </c>
      <c r="AC1400">
        <v>-7.1868999999999996</v>
      </c>
      <c r="AD1400">
        <v>-1.1079389905319901</v>
      </c>
      <c r="AE1400">
        <v>-14.031700000000001</v>
      </c>
      <c r="AF1400">
        <v>6.9367960553732297</v>
      </c>
      <c r="AG1400">
        <v>-1.1079389905319901</v>
      </c>
      <c r="AH1400">
        <v>14.070679033590901</v>
      </c>
      <c r="AI1400">
        <v>94.039795518207001</v>
      </c>
      <c r="AJ1400">
        <v>63.756862285522701</v>
      </c>
      <c r="AK1400">
        <v>15.726750356857499</v>
      </c>
      <c r="AL1400">
        <v>90.965801080290703</v>
      </c>
      <c r="AM1400">
        <v>82.586997855183299</v>
      </c>
      <c r="AN1400">
        <v>0.99999996899737997</v>
      </c>
    </row>
    <row r="1401" spans="1:40" x14ac:dyDescent="0.25">
      <c r="A1401" t="str">
        <f>"20190312151524682"</f>
        <v>20190312151524682</v>
      </c>
      <c r="B1401" t="str">
        <f>"1552374924679163"</f>
        <v>1552374924679163</v>
      </c>
      <c r="C1401" t="s">
        <v>40</v>
      </c>
      <c r="D1401">
        <v>5.0569899999999999</v>
      </c>
      <c r="E1401">
        <v>0.61739560000000004</v>
      </c>
      <c r="F1401" t="s">
        <v>50</v>
      </c>
      <c r="G1401">
        <v>-196.06540000000001</v>
      </c>
      <c r="H1401" s="1">
        <v>4.3886689999999999E-7</v>
      </c>
      <c r="I1401">
        <v>297.12439999999998</v>
      </c>
      <c r="J1401">
        <v>-190.43719999999999</v>
      </c>
      <c r="K1401">
        <v>1.1078730000000001</v>
      </c>
      <c r="L1401">
        <v>308.65109999999999</v>
      </c>
      <c r="M1401">
        <v>-1.839414E-2</v>
      </c>
      <c r="N1401">
        <v>0</v>
      </c>
      <c r="O1401">
        <v>-0.99973699999999999</v>
      </c>
      <c r="P1401">
        <v>-0.14940789999999901</v>
      </c>
      <c r="Q1401">
        <v>-3.032667E-2</v>
      </c>
      <c r="R1401">
        <v>-0.98831100000000005</v>
      </c>
      <c r="S1401">
        <v>-1.3563080000000001</v>
      </c>
      <c r="T1401">
        <v>-0.26666859999999998</v>
      </c>
      <c r="U1401">
        <v>-2.8272089999999999</v>
      </c>
      <c r="V1401">
        <v>0.13112009999999999</v>
      </c>
      <c r="W1401">
        <v>-1.736093E-2</v>
      </c>
      <c r="X1401">
        <v>0.9912145</v>
      </c>
      <c r="Y1401">
        <v>0.4143117</v>
      </c>
      <c r="Z1401">
        <v>8.5061120000000004E-2</v>
      </c>
      <c r="AA1401">
        <v>0.90615140000000005</v>
      </c>
      <c r="AB1401">
        <v>22</v>
      </c>
      <c r="AC1401">
        <v>-5.6282000000000201</v>
      </c>
      <c r="AD1401">
        <v>-1.1078725611331</v>
      </c>
      <c r="AE1401">
        <v>-11.5267</v>
      </c>
      <c r="AF1401">
        <v>5.3751088590620704</v>
      </c>
      <c r="AG1401">
        <v>-1.1078725611331</v>
      </c>
      <c r="AH1401">
        <v>11.5421872113301</v>
      </c>
      <c r="AI1401">
        <v>94.972901837875099</v>
      </c>
      <c r="AJ1401">
        <v>65.028962365992996</v>
      </c>
      <c r="AK1401">
        <v>12.780503217004901</v>
      </c>
      <c r="AL1401">
        <v>90.994757958424501</v>
      </c>
      <c r="AM1401">
        <v>82.464534581851197</v>
      </c>
      <c r="AN1401">
        <v>1.00000003376236</v>
      </c>
    </row>
    <row r="1402" spans="1:40" x14ac:dyDescent="0.25">
      <c r="A1402" t="str">
        <f>"20190312151524705"</f>
        <v>20190312151524705</v>
      </c>
      <c r="B1402" t="str">
        <f>"1552374924698683"</f>
        <v>1552374924698683</v>
      </c>
      <c r="C1402" t="s">
        <v>40</v>
      </c>
      <c r="D1402">
        <v>5.0560159999999996</v>
      </c>
      <c r="E1402">
        <v>0.61682340000000002</v>
      </c>
      <c r="F1402" t="s">
        <v>50</v>
      </c>
      <c r="G1402">
        <v>-196.13759999999999</v>
      </c>
      <c r="H1402" s="1">
        <v>4.6335970000000001E-7</v>
      </c>
      <c r="I1402">
        <v>296.9853</v>
      </c>
      <c r="J1402">
        <v>-190.44540000000001</v>
      </c>
      <c r="K1402">
        <v>1.10781</v>
      </c>
      <c r="L1402">
        <v>308.41489999999999</v>
      </c>
      <c r="M1402">
        <v>-2.1831079999999999E-2</v>
      </c>
      <c r="N1402">
        <v>0</v>
      </c>
      <c r="O1402">
        <v>-0.99966759999999999</v>
      </c>
      <c r="P1402">
        <v>-0.15488070000000001</v>
      </c>
      <c r="Q1402">
        <v>-3.0764759999999999E-2</v>
      </c>
      <c r="R1402">
        <v>-0.9874541</v>
      </c>
      <c r="S1402">
        <v>-1.377518</v>
      </c>
      <c r="T1402">
        <v>-0.26771990000000001</v>
      </c>
      <c r="U1402">
        <v>-2.819061</v>
      </c>
      <c r="V1402">
        <v>0.13319810000000001</v>
      </c>
      <c r="W1402">
        <v>-1.782823E-2</v>
      </c>
      <c r="X1402">
        <v>0.99092910000000001</v>
      </c>
      <c r="Y1402">
        <v>0.41771059999999999</v>
      </c>
      <c r="Z1402">
        <v>8.5403779999999999E-2</v>
      </c>
      <c r="AA1402">
        <v>0.90455730000000001</v>
      </c>
      <c r="AB1402">
        <v>22</v>
      </c>
      <c r="AC1402">
        <v>-5.6921999999999802</v>
      </c>
      <c r="AD1402">
        <v>-1.1078095366403</v>
      </c>
      <c r="AE1402">
        <v>-11.429599999999899</v>
      </c>
      <c r="AF1402">
        <v>5.4006464007079797</v>
      </c>
      <c r="AG1402">
        <v>-1.1078095366403</v>
      </c>
      <c r="AH1402">
        <v>11.464853672796499</v>
      </c>
      <c r="AI1402">
        <v>94.995731854149696</v>
      </c>
      <c r="AJ1402">
        <v>64.776700060095493</v>
      </c>
      <c r="AK1402">
        <v>12.7215208703042</v>
      </c>
      <c r="AL1402">
        <v>91.021536424152501</v>
      </c>
      <c r="AM1402">
        <v>82.344338559082701</v>
      </c>
      <c r="AN1402">
        <v>1.0000000304276699</v>
      </c>
    </row>
    <row r="1403" spans="1:40" x14ac:dyDescent="0.25">
      <c r="A1403" t="str">
        <f>"20190312151524727"</f>
        <v>20190312151524727</v>
      </c>
      <c r="B1403" t="str">
        <f>"1552374924719179"</f>
        <v>1552374924719179</v>
      </c>
      <c r="C1403" t="s">
        <v>40</v>
      </c>
      <c r="D1403">
        <v>5.0674340000000004</v>
      </c>
      <c r="E1403">
        <v>0.61651509999999998</v>
      </c>
      <c r="F1403" t="s">
        <v>50</v>
      </c>
      <c r="G1403">
        <v>-196.2843</v>
      </c>
      <c r="H1403" s="1">
        <v>5.3301209999999997E-7</v>
      </c>
      <c r="I1403">
        <v>296.58980000000003</v>
      </c>
      <c r="J1403">
        <v>-190.45400000000001</v>
      </c>
      <c r="K1403">
        <v>1.107761</v>
      </c>
      <c r="L1403">
        <v>308.19459999999998</v>
      </c>
      <c r="M1403">
        <v>-2.5133220000000001E-2</v>
      </c>
      <c r="N1403">
        <v>0</v>
      </c>
      <c r="O1403">
        <v>-0.99958990000000003</v>
      </c>
      <c r="P1403">
        <v>-0.16033900000000001</v>
      </c>
      <c r="Q1403">
        <v>-3.1238780000000001E-2</v>
      </c>
      <c r="R1403">
        <v>-0.98656759999999999</v>
      </c>
      <c r="S1403">
        <v>-1.3885350000000001</v>
      </c>
      <c r="T1403">
        <v>-0.26344469999999998</v>
      </c>
      <c r="U1403">
        <v>-2.8120729999999998</v>
      </c>
      <c r="V1403">
        <v>0.1353994</v>
      </c>
      <c r="W1403">
        <v>-1.8330030000000001E-2</v>
      </c>
      <c r="X1403">
        <v>0.99062150000000004</v>
      </c>
      <c r="Y1403">
        <v>0.41849930000000002</v>
      </c>
      <c r="Z1403">
        <v>8.4142350000000005E-2</v>
      </c>
      <c r="AA1403">
        <v>0.90431110000000003</v>
      </c>
      <c r="AB1403">
        <v>22</v>
      </c>
      <c r="AC1403">
        <v>-5.8302999999999896</v>
      </c>
      <c r="AD1403">
        <v>-1.10776046698789</v>
      </c>
      <c r="AE1403">
        <v>-11.6047999999999</v>
      </c>
      <c r="AF1403">
        <v>5.4967720463851197</v>
      </c>
      <c r="AG1403">
        <v>-1.10776046698789</v>
      </c>
      <c r="AH1403">
        <v>11.662827215793699</v>
      </c>
      <c r="AI1403">
        <v>94.910669066558896</v>
      </c>
      <c r="AJ1403">
        <v>64.7651702085398</v>
      </c>
      <c r="AK1403">
        <v>12.9407563475865</v>
      </c>
      <c r="AL1403">
        <v>91.050292207085306</v>
      </c>
      <c r="AM1403">
        <v>82.216968176944704</v>
      </c>
      <c r="AN1403">
        <v>0.99999997189120504</v>
      </c>
    </row>
    <row r="1404" spans="1:40" x14ac:dyDescent="0.25">
      <c r="A1404" t="str">
        <f>"20190312151524749"</f>
        <v>20190312151524749</v>
      </c>
      <c r="B1404" t="str">
        <f>"1552374924739675"</f>
        <v>1552374924739675</v>
      </c>
      <c r="C1404" t="s">
        <v>40</v>
      </c>
      <c r="D1404">
        <v>5.0533780000000004</v>
      </c>
      <c r="E1404">
        <v>0.61654279999999995</v>
      </c>
      <c r="F1404" t="s">
        <v>50</v>
      </c>
      <c r="G1404">
        <v>-196.23179999999999</v>
      </c>
      <c r="H1404" s="1">
        <v>5.2523519999999996E-7</v>
      </c>
      <c r="I1404">
        <v>296.63400000000001</v>
      </c>
      <c r="J1404">
        <v>-190.46270000000001</v>
      </c>
      <c r="K1404">
        <v>1.1077159999999999</v>
      </c>
      <c r="L1404">
        <v>307.99040000000002</v>
      </c>
      <c r="M1404">
        <v>-2.826677E-2</v>
      </c>
      <c r="N1404">
        <v>0</v>
      </c>
      <c r="O1404">
        <v>-0.99950620000000001</v>
      </c>
      <c r="P1404">
        <v>-0.1654747</v>
      </c>
      <c r="Q1404">
        <v>-3.1044289999999999E-2</v>
      </c>
      <c r="R1404">
        <v>-0.98572539999999997</v>
      </c>
      <c r="S1404">
        <v>-1.401672</v>
      </c>
      <c r="T1404">
        <v>-0.26873859999999999</v>
      </c>
      <c r="U1404">
        <v>-2.8045650000000002</v>
      </c>
      <c r="V1404">
        <v>0.13745070000000001</v>
      </c>
      <c r="W1404">
        <v>-1.8161210000000001E-2</v>
      </c>
      <c r="X1404">
        <v>0.9903421</v>
      </c>
      <c r="Y1404">
        <v>0.41994359999999997</v>
      </c>
      <c r="Z1404">
        <v>8.5898630000000004E-2</v>
      </c>
      <c r="AA1404">
        <v>0.9034759</v>
      </c>
      <c r="AB1404">
        <v>22</v>
      </c>
      <c r="AC1404">
        <v>-5.7690999999999804</v>
      </c>
      <c r="AD1404">
        <v>-1.1077154747647999</v>
      </c>
      <c r="AE1404">
        <v>-11.356400000000001</v>
      </c>
      <c r="AF1404">
        <v>5.4048804170693696</v>
      </c>
      <c r="AG1404">
        <v>-1.1077154747647999</v>
      </c>
      <c r="AH1404">
        <v>11.428521203309201</v>
      </c>
      <c r="AI1404">
        <v>95.007516053359396</v>
      </c>
      <c r="AJ1404">
        <v>64.689169739979803</v>
      </c>
      <c r="AK1404">
        <v>12.690581656895899</v>
      </c>
      <c r="AL1404">
        <v>91.040617893873403</v>
      </c>
      <c r="AM1404">
        <v>82.098332490976702</v>
      </c>
      <c r="AN1404">
        <v>0.99999999975578202</v>
      </c>
    </row>
    <row r="1405" spans="1:40" x14ac:dyDescent="0.25">
      <c r="A1405" t="str">
        <f>"20190312151524770"</f>
        <v>20190312151524770</v>
      </c>
      <c r="B1405" t="str">
        <f>"1552374924759195"</f>
        <v>1552374924759195</v>
      </c>
      <c r="C1405" t="s">
        <v>40</v>
      </c>
      <c r="D1405">
        <v>5.1081709999999996</v>
      </c>
      <c r="E1405">
        <v>0.61619290000000004</v>
      </c>
      <c r="F1405" t="s">
        <v>50</v>
      </c>
      <c r="G1405">
        <v>-196.2466</v>
      </c>
      <c r="H1405" s="1">
        <v>5.3625930000000001E-7</v>
      </c>
      <c r="I1405">
        <v>296.57139999999998</v>
      </c>
      <c r="J1405">
        <v>-190.47290000000001</v>
      </c>
      <c r="K1405">
        <v>1.1076779999999999</v>
      </c>
      <c r="L1405">
        <v>307.76929999999999</v>
      </c>
      <c r="M1405">
        <v>-3.1732110000000001E-2</v>
      </c>
      <c r="N1405">
        <v>0</v>
      </c>
      <c r="O1405">
        <v>-0.99940220000000002</v>
      </c>
      <c r="P1405">
        <v>-0.17153759999999901</v>
      </c>
      <c r="Q1405">
        <v>-3.0570010000000002E-2</v>
      </c>
      <c r="R1405">
        <v>-0.98470340000000001</v>
      </c>
      <c r="S1405">
        <v>-1.4167479999999999</v>
      </c>
      <c r="T1405">
        <v>-0.27133390000000002</v>
      </c>
      <c r="U1405">
        <v>-2.7970890000000002</v>
      </c>
      <c r="V1405">
        <v>0.14011009999999999</v>
      </c>
      <c r="W1405">
        <v>-1.7717790000000001E-2</v>
      </c>
      <c r="X1405">
        <v>0.98997740000000001</v>
      </c>
      <c r="Y1405">
        <v>0.42161389999999999</v>
      </c>
      <c r="Z1405">
        <v>8.6779049999999996E-2</v>
      </c>
      <c r="AA1405">
        <v>0.90261349999999996</v>
      </c>
      <c r="AB1405">
        <v>22</v>
      </c>
      <c r="AC1405">
        <v>-5.7736999999999901</v>
      </c>
      <c r="AD1405">
        <v>-1.1076774637406901</v>
      </c>
      <c r="AE1405">
        <v>-11.197900000000001</v>
      </c>
      <c r="AF1405">
        <v>5.3738860404102402</v>
      </c>
      <c r="AG1405">
        <v>-1.1076774637406901</v>
      </c>
      <c r="AH1405">
        <v>11.2882322882562</v>
      </c>
      <c r="AI1405">
        <v>95.063140598980297</v>
      </c>
      <c r="AJ1405">
        <v>64.542707032700804</v>
      </c>
      <c r="AK1405">
        <v>12.5510871534152</v>
      </c>
      <c r="AL1405">
        <v>91.015207703250496</v>
      </c>
      <c r="AM1405">
        <v>81.944509858561005</v>
      </c>
      <c r="AN1405">
        <v>1.00000000635762</v>
      </c>
    </row>
    <row r="1406" spans="1:40" x14ac:dyDescent="0.25">
      <c r="A1406" t="str">
        <f>"20190312151524792"</f>
        <v>20190312151524792</v>
      </c>
      <c r="B1406" t="str">
        <f>"1552374924788475"</f>
        <v>1552374924788475</v>
      </c>
      <c r="C1406" t="s">
        <v>40</v>
      </c>
      <c r="D1406">
        <v>5.1175990000000002</v>
      </c>
      <c r="E1406">
        <v>0.61604619999999999</v>
      </c>
      <c r="F1406" t="s">
        <v>50</v>
      </c>
      <c r="G1406">
        <v>-196.32390000000001</v>
      </c>
      <c r="H1406" s="1">
        <v>5.8435510000000004E-7</v>
      </c>
      <c r="I1406">
        <v>296.36599999999999</v>
      </c>
      <c r="J1406">
        <v>-190.4836</v>
      </c>
      <c r="K1406">
        <v>1.1076410000000001</v>
      </c>
      <c r="L1406">
        <v>307.55709999999999</v>
      </c>
      <c r="M1406">
        <v>-3.5127360000000003E-2</v>
      </c>
      <c r="N1406">
        <v>0</v>
      </c>
      <c r="O1406">
        <v>-0.99928870000000003</v>
      </c>
      <c r="P1406">
        <v>-0.17697599999999999</v>
      </c>
      <c r="Q1406">
        <v>-3.0477560000000001E-2</v>
      </c>
      <c r="R1406">
        <v>-0.9837437</v>
      </c>
      <c r="S1406">
        <v>-1.4309689999999999</v>
      </c>
      <c r="T1406">
        <v>-0.27090259999999999</v>
      </c>
      <c r="U1406">
        <v>-2.7888790000000001</v>
      </c>
      <c r="V1406">
        <v>0.1422146</v>
      </c>
      <c r="W1406">
        <v>-1.7650619999999999E-2</v>
      </c>
      <c r="X1406">
        <v>0.98967839999999996</v>
      </c>
      <c r="Y1406">
        <v>0.423259</v>
      </c>
      <c r="Z1406">
        <v>8.6723510000000004E-2</v>
      </c>
      <c r="AA1406">
        <v>0.9018486</v>
      </c>
      <c r="AB1406">
        <v>22</v>
      </c>
      <c r="AC1406">
        <v>-5.8403000000000098</v>
      </c>
      <c r="AD1406">
        <v>-1.10764041564489</v>
      </c>
      <c r="AE1406">
        <v>-11.1911</v>
      </c>
      <c r="AF1406">
        <v>5.40195339806756</v>
      </c>
      <c r="AG1406">
        <v>-1.10764041564489</v>
      </c>
      <c r="AH1406">
        <v>11.3023465612461</v>
      </c>
      <c r="AI1406">
        <v>95.052991446469605</v>
      </c>
      <c r="AJ1406">
        <v>64.454545375717998</v>
      </c>
      <c r="AK1406">
        <v>12.5758103355519</v>
      </c>
      <c r="AL1406">
        <v>91.0113586148709</v>
      </c>
      <c r="AM1406">
        <v>81.822700925524899</v>
      </c>
      <c r="AN1406">
        <v>0.99999993613305005</v>
      </c>
    </row>
    <row r="1407" spans="1:40" x14ac:dyDescent="0.25">
      <c r="A1407" t="str">
        <f>"20190312151524815"</f>
        <v>20190312151524815</v>
      </c>
      <c r="B1407" t="str">
        <f>"1552374924808971"</f>
        <v>1552374924808971</v>
      </c>
      <c r="C1407" t="s">
        <v>40</v>
      </c>
      <c r="D1407">
        <v>5.3540850000000004</v>
      </c>
      <c r="E1407">
        <v>0.61600059999999901</v>
      </c>
      <c r="F1407" t="s">
        <v>50</v>
      </c>
      <c r="G1407">
        <v>-196.38409999999999</v>
      </c>
      <c r="H1407" s="1">
        <v>6.3716069999999997E-7</v>
      </c>
      <c r="I1407">
        <v>296.20150000000001</v>
      </c>
      <c r="J1407">
        <v>-190.49600000000001</v>
      </c>
      <c r="K1407">
        <v>1.1076109999999999</v>
      </c>
      <c r="L1407">
        <v>307.32929999999999</v>
      </c>
      <c r="M1407">
        <v>-3.8858400000000001E-2</v>
      </c>
      <c r="N1407">
        <v>0</v>
      </c>
      <c r="O1407">
        <v>-0.99915050000000005</v>
      </c>
      <c r="P1407">
        <v>-0.18328150000000001</v>
      </c>
      <c r="Q1407">
        <v>-3.0639010000000001E-2</v>
      </c>
      <c r="R1407">
        <v>-0.98258319999999999</v>
      </c>
      <c r="S1407">
        <v>-1.4451449999999999</v>
      </c>
      <c r="T1407">
        <v>-0.27128089999999999</v>
      </c>
      <c r="U1407">
        <v>-2.7811889999999999</v>
      </c>
      <c r="V1407">
        <v>0.14486280000000001</v>
      </c>
      <c r="W1407">
        <v>-1.7841200000000002E-2</v>
      </c>
      <c r="X1407">
        <v>0.98929089999999997</v>
      </c>
      <c r="Y1407">
        <v>0.42451060000000002</v>
      </c>
      <c r="Z1407">
        <v>8.6914959999999999E-2</v>
      </c>
      <c r="AA1407">
        <v>0.90124170000000003</v>
      </c>
      <c r="AB1407">
        <v>22</v>
      </c>
      <c r="AC1407">
        <v>-5.8880999999999997</v>
      </c>
      <c r="AD1407">
        <v>-1.1076103628392999</v>
      </c>
      <c r="AE1407">
        <v>-11.127799999999899</v>
      </c>
      <c r="AF1407">
        <v>5.4093335915744003</v>
      </c>
      <c r="AG1407">
        <v>-1.1076103628392999</v>
      </c>
      <c r="AH1407">
        <v>11.261054964878401</v>
      </c>
      <c r="AI1407">
        <v>95.066554714459997</v>
      </c>
      <c r="AJ1407">
        <v>64.342343159591195</v>
      </c>
      <c r="AK1407">
        <v>12.5418917848472</v>
      </c>
      <c r="AL1407">
        <v>91.022279687411498</v>
      </c>
      <c r="AM1407">
        <v>81.669330389314098</v>
      </c>
      <c r="AN1407">
        <v>1.00000001203204</v>
      </c>
    </row>
    <row r="1408" spans="1:40" x14ac:dyDescent="0.25">
      <c r="A1408" t="str">
        <f>"20190312151524848"</f>
        <v>20190312151524848</v>
      </c>
      <c r="B1408" t="str">
        <f>"1552374924839227"</f>
        <v>1552374924839227</v>
      </c>
      <c r="C1408" t="s">
        <v>40</v>
      </c>
      <c r="D1408">
        <v>5.1241649999999996</v>
      </c>
      <c r="E1408">
        <v>0.61587689999999995</v>
      </c>
      <c r="F1408" t="s">
        <v>50</v>
      </c>
      <c r="G1408">
        <v>-196.44</v>
      </c>
      <c r="H1408" s="1">
        <v>6.8042269999999995E-7</v>
      </c>
      <c r="I1408">
        <v>296.06509999999997</v>
      </c>
      <c r="J1408">
        <v>-190.51499999999999</v>
      </c>
      <c r="K1408">
        <v>1.1075699999999999</v>
      </c>
      <c r="L1408">
        <v>307.00869999999998</v>
      </c>
      <c r="M1408">
        <v>-4.423726E-2</v>
      </c>
      <c r="N1408">
        <v>0</v>
      </c>
      <c r="O1408">
        <v>-0.9989266</v>
      </c>
      <c r="P1408">
        <v>-0.19098860000000001</v>
      </c>
      <c r="Q1408">
        <v>-3.074791E-2</v>
      </c>
      <c r="R1408">
        <v>-0.98111079999999995</v>
      </c>
      <c r="S1408">
        <v>-1.462677</v>
      </c>
      <c r="T1408">
        <v>-0.27255499999999999</v>
      </c>
      <c r="U1408">
        <v>-2.77182</v>
      </c>
      <c r="V1408">
        <v>0.1472985</v>
      </c>
      <c r="W1408">
        <v>-1.7979410000000001E-2</v>
      </c>
      <c r="X1408">
        <v>0.98892869999999999</v>
      </c>
      <c r="Y1408">
        <v>0.42533650000000001</v>
      </c>
      <c r="Z1408">
        <v>8.7411349999999999E-2</v>
      </c>
      <c r="AA1408">
        <v>0.90080420000000005</v>
      </c>
      <c r="AB1408">
        <v>22</v>
      </c>
      <c r="AC1408">
        <v>-5.9250000000000096</v>
      </c>
      <c r="AD1408">
        <v>-1.1075693195773</v>
      </c>
      <c r="AE1408">
        <v>-10.9436</v>
      </c>
      <c r="AF1408">
        <v>5.3923254596597596</v>
      </c>
      <c r="AG1408">
        <v>-1.1075693195773</v>
      </c>
      <c r="AH1408">
        <v>11.107036416959099</v>
      </c>
      <c r="AI1408">
        <v>95.125996588718095</v>
      </c>
      <c r="AJ1408">
        <v>64.104014327004194</v>
      </c>
      <c r="AK1408">
        <v>12.3963761490291</v>
      </c>
      <c r="AL1408">
        <v>91.030199778099799</v>
      </c>
      <c r="AM1408">
        <v>81.528217899539499</v>
      </c>
      <c r="AN1408">
        <v>1.0000000404849401</v>
      </c>
    </row>
    <row r="1409" spans="1:40" x14ac:dyDescent="0.25">
      <c r="A1409" t="str">
        <f>"20190312151524864"</f>
        <v>20190312151524864</v>
      </c>
      <c r="B1409" t="str">
        <f>"1552374924858747"</f>
        <v>1552374924858747</v>
      </c>
      <c r="C1409" t="s">
        <v>40</v>
      </c>
      <c r="D1409">
        <v>5.0752269999999999</v>
      </c>
      <c r="E1409">
        <v>0.61578480000000002</v>
      </c>
      <c r="F1409" t="s">
        <v>50</v>
      </c>
      <c r="G1409">
        <v>-196.45480000000001</v>
      </c>
      <c r="H1409" s="1">
        <v>7.1742730000000004E-7</v>
      </c>
      <c r="I1409">
        <v>295.95670000000001</v>
      </c>
      <c r="J1409">
        <v>-190.52520000000001</v>
      </c>
      <c r="K1409">
        <v>1.1075489999999999</v>
      </c>
      <c r="L1409">
        <v>306.84980000000002</v>
      </c>
      <c r="M1409">
        <v>-4.6955509999999999E-2</v>
      </c>
      <c r="N1409">
        <v>0</v>
      </c>
      <c r="O1409">
        <v>-0.99880239999999998</v>
      </c>
      <c r="P1409">
        <v>-0.19519549999999999</v>
      </c>
      <c r="Q1409">
        <v>-3.1257119999999999E-2</v>
      </c>
      <c r="R1409">
        <v>-0.98026630000000003</v>
      </c>
      <c r="S1409">
        <v>-1.48349</v>
      </c>
      <c r="T1409">
        <v>-0.27662009999999998</v>
      </c>
      <c r="U1409">
        <v>-2.760284</v>
      </c>
      <c r="V1409">
        <v>0.148845899999999</v>
      </c>
      <c r="W1409">
        <v>-1.850506E-2</v>
      </c>
      <c r="X1409">
        <v>0.98868730000000005</v>
      </c>
      <c r="Y1409">
        <v>0.42965350000000002</v>
      </c>
      <c r="Z1409">
        <v>8.876937E-2</v>
      </c>
      <c r="AA1409">
        <v>0.89861990000000003</v>
      </c>
      <c r="AB1409">
        <v>22</v>
      </c>
      <c r="AC1409">
        <v>-5.92959999999999</v>
      </c>
      <c r="AD1409">
        <v>-1.1075482825727001</v>
      </c>
      <c r="AE1409">
        <v>-10.8931</v>
      </c>
      <c r="AF1409">
        <v>5.3687052174568999</v>
      </c>
      <c r="AG1409">
        <v>-1.1075482825727001</v>
      </c>
      <c r="AH1409">
        <v>11.0712465166574</v>
      </c>
      <c r="AI1409">
        <v>95.143514670763494</v>
      </c>
      <c r="AJ1409">
        <v>64.130173350112699</v>
      </c>
      <c r="AK1409">
        <v>12.3540340918575</v>
      </c>
      <c r="AL1409">
        <v>91.060322297449602</v>
      </c>
      <c r="AM1409">
        <v>81.438472771598001</v>
      </c>
      <c r="AN1409">
        <v>1.00000005818685</v>
      </c>
    </row>
    <row r="1410" spans="1:40" x14ac:dyDescent="0.25">
      <c r="A1410" t="str">
        <f>"20190312151524882"</f>
        <v>20190312151524882</v>
      </c>
      <c r="B1410" t="str">
        <f>"1552374924879243"</f>
        <v>1552374924879243</v>
      </c>
      <c r="C1410" t="s">
        <v>40</v>
      </c>
      <c r="D1410">
        <v>5.1618690000000003</v>
      </c>
      <c r="E1410">
        <v>0.61584640000000002</v>
      </c>
      <c r="F1410" t="s">
        <v>50</v>
      </c>
      <c r="G1410">
        <v>-196.48050000000001</v>
      </c>
      <c r="H1410" s="1">
        <v>7.4310450000000005E-7</v>
      </c>
      <c r="I1410">
        <v>295.8777</v>
      </c>
      <c r="J1410">
        <v>-190.53630000000001</v>
      </c>
      <c r="K1410">
        <v>1.107529</v>
      </c>
      <c r="L1410">
        <v>306.68310000000002</v>
      </c>
      <c r="M1410">
        <v>-4.984806E-2</v>
      </c>
      <c r="N1410">
        <v>0</v>
      </c>
      <c r="O1410">
        <v>-0.99866239999999995</v>
      </c>
      <c r="P1410">
        <v>-0.19893340000000001</v>
      </c>
      <c r="Q1410">
        <v>-3.1601879999999999E-2</v>
      </c>
      <c r="R1410">
        <v>-0.97950340000000002</v>
      </c>
      <c r="S1410">
        <v>-1.494705</v>
      </c>
      <c r="T1410">
        <v>-0.27798139999999999</v>
      </c>
      <c r="U1410">
        <v>-2.753876</v>
      </c>
      <c r="V1410">
        <v>0.1497512</v>
      </c>
      <c r="W1410">
        <v>-1.8862830000000001E-2</v>
      </c>
      <c r="X1410">
        <v>0.98854370000000003</v>
      </c>
      <c r="Y1410">
        <v>0.43072329999999998</v>
      </c>
      <c r="Z1410">
        <v>8.9259809999999995E-2</v>
      </c>
      <c r="AA1410">
        <v>0.8980591</v>
      </c>
      <c r="AB1410">
        <v>22</v>
      </c>
      <c r="AC1410">
        <v>-5.9441999999999897</v>
      </c>
      <c r="AD1410">
        <v>-1.1075282568955001</v>
      </c>
      <c r="AE1410">
        <v>-10.805400000000001</v>
      </c>
      <c r="AF1410">
        <v>5.3549418177039199</v>
      </c>
      <c r="AG1410">
        <v>-1.1075282568955001</v>
      </c>
      <c r="AH1410">
        <v>10.999586611027</v>
      </c>
      <c r="AI1410">
        <v>95.172889132813296</v>
      </c>
      <c r="AJ1410">
        <v>64.041736402359902</v>
      </c>
      <c r="AK1410">
        <v>12.283848188751699</v>
      </c>
      <c r="AL1410">
        <v>91.080824716705393</v>
      </c>
      <c r="AM1410">
        <v>81.385946689560598</v>
      </c>
      <c r="AN1410">
        <v>0.99999993753336702</v>
      </c>
    </row>
    <row r="1411" spans="1:40" x14ac:dyDescent="0.25">
      <c r="A1411" t="str">
        <f>"20190312151524906"</f>
        <v>20190312151524906</v>
      </c>
      <c r="B1411" t="str">
        <f>"1552374924898763"</f>
        <v>1552374924898763</v>
      </c>
      <c r="C1411" t="s">
        <v>40</v>
      </c>
      <c r="D1411">
        <v>5.3123269999999998</v>
      </c>
      <c r="E1411">
        <v>0.61578889999999997</v>
      </c>
      <c r="F1411" t="s">
        <v>50</v>
      </c>
      <c r="G1411">
        <v>-196.51779999999999</v>
      </c>
      <c r="H1411" s="1">
        <v>7.7939680000000004E-7</v>
      </c>
      <c r="I1411">
        <v>295.76560000000001</v>
      </c>
      <c r="J1411">
        <v>-190.553</v>
      </c>
      <c r="K1411">
        <v>1.1074889999999999</v>
      </c>
      <c r="L1411">
        <v>306.44709999999998</v>
      </c>
      <c r="M1411">
        <v>-5.40406999999999E-2</v>
      </c>
      <c r="N1411">
        <v>0</v>
      </c>
      <c r="O1411">
        <v>-0.99844409999999895</v>
      </c>
      <c r="P1411">
        <v>-0.20351359999999999</v>
      </c>
      <c r="Q1411">
        <v>-3.1160480000000001E-2</v>
      </c>
      <c r="R1411">
        <v>-0.97857590000000005</v>
      </c>
      <c r="S1411">
        <v>-1.505585</v>
      </c>
      <c r="T1411">
        <v>-0.27877259999999998</v>
      </c>
      <c r="U1411">
        <v>-2.7480159999999998</v>
      </c>
      <c r="V1411">
        <v>0.15022479999999999</v>
      </c>
      <c r="W1411">
        <v>-1.8437800000000001E-2</v>
      </c>
      <c r="X1411">
        <v>0.98847989999999997</v>
      </c>
      <c r="Y1411">
        <v>0.43046620000000002</v>
      </c>
      <c r="Z1411">
        <v>8.9574440000000005E-2</v>
      </c>
      <c r="AA1411">
        <v>0.89815100000000003</v>
      </c>
      <c r="AB1411">
        <v>22</v>
      </c>
      <c r="AC1411">
        <v>-5.9647999999999897</v>
      </c>
      <c r="AD1411">
        <v>-1.1074882206032</v>
      </c>
      <c r="AE1411">
        <v>-10.6814999999999</v>
      </c>
      <c r="AF1411">
        <v>5.3350724934437599</v>
      </c>
      <c r="AG1411">
        <v>-1.1074882206032</v>
      </c>
      <c r="AH1411">
        <v>10.8989471759217</v>
      </c>
      <c r="AI1411">
        <v>95.214738397749898</v>
      </c>
      <c r="AJ1411">
        <v>63.918091308963099</v>
      </c>
      <c r="AK1411">
        <v>12.1850965614806</v>
      </c>
      <c r="AL1411">
        <v>91.056468010822201</v>
      </c>
      <c r="AM1411">
        <v>81.358565338408198</v>
      </c>
      <c r="AN1411">
        <v>0.99999997785394401</v>
      </c>
    </row>
    <row r="1412" spans="1:40" x14ac:dyDescent="0.25">
      <c r="A1412" t="str">
        <f>"20190312151524930"</f>
        <v>20190312151524930</v>
      </c>
      <c r="B1412" t="str">
        <f>"1552374924918803"</f>
        <v>1552374924918803</v>
      </c>
      <c r="C1412" t="s">
        <v>40</v>
      </c>
      <c r="D1412">
        <v>5.0507650000000002</v>
      </c>
      <c r="E1412">
        <v>0.61199239999999999</v>
      </c>
      <c r="F1412" t="s">
        <v>50</v>
      </c>
      <c r="G1412">
        <v>-196.62459999999999</v>
      </c>
      <c r="H1412" s="1">
        <v>8.6987849999999996E-7</v>
      </c>
      <c r="I1412">
        <v>295.4828</v>
      </c>
      <c r="J1412">
        <v>-190.5711</v>
      </c>
      <c r="K1412">
        <v>1.1074299999999999</v>
      </c>
      <c r="L1412">
        <v>306.20740000000001</v>
      </c>
      <c r="M1412">
        <v>-5.8418369999999997E-2</v>
      </c>
      <c r="N1412">
        <v>0</v>
      </c>
      <c r="O1412">
        <v>-0.99819769999999997</v>
      </c>
      <c r="P1412">
        <v>-0.20785870000000001</v>
      </c>
      <c r="Q1412">
        <v>-3.1858369999999997E-2</v>
      </c>
      <c r="R1412">
        <v>-0.97764019999999996</v>
      </c>
      <c r="S1412">
        <v>-1.517944</v>
      </c>
      <c r="T1412">
        <v>-0.27687990000000001</v>
      </c>
      <c r="U1412">
        <v>-2.7411500000000002</v>
      </c>
      <c r="V1412">
        <v>0.15027599999999999</v>
      </c>
      <c r="W1412">
        <v>-1.9154339999999999E-2</v>
      </c>
      <c r="X1412">
        <v>0.98845850000000002</v>
      </c>
      <c r="Y1412">
        <v>0.43058859999999899</v>
      </c>
      <c r="Z1412">
        <v>8.9038569999999997E-2</v>
      </c>
      <c r="AA1412">
        <v>0.89814570000000005</v>
      </c>
      <c r="AB1412">
        <v>22</v>
      </c>
      <c r="AC1412">
        <v>-6.0534999999999801</v>
      </c>
      <c r="AD1412">
        <v>-1.1074291301215</v>
      </c>
      <c r="AE1412">
        <v>-10.724600000000001</v>
      </c>
      <c r="AF1412">
        <v>5.3731377022842297</v>
      </c>
      <c r="AG1412">
        <v>-1.1074291301215</v>
      </c>
      <c r="AH1412">
        <v>10.971232109307399</v>
      </c>
      <c r="AI1412">
        <v>95.179795991218697</v>
      </c>
      <c r="AJ1412">
        <v>63.906795586999998</v>
      </c>
      <c r="AK1412">
        <v>12.266415207478</v>
      </c>
      <c r="AL1412">
        <v>91.097529976073602</v>
      </c>
      <c r="AM1412">
        <v>81.355480303700702</v>
      </c>
      <c r="AN1412">
        <v>0.99999998556954195</v>
      </c>
    </row>
    <row r="1413" spans="1:40" x14ac:dyDescent="0.25">
      <c r="A1413" t="str">
        <f>"20190312151524952"</f>
        <v>20190312151524952</v>
      </c>
      <c r="B1413" t="str">
        <f>"1552374924949046"</f>
        <v>1552374924949046</v>
      </c>
      <c r="C1413" t="s">
        <v>40</v>
      </c>
      <c r="D1413">
        <v>5.0730130000000004</v>
      </c>
      <c r="E1413">
        <v>0.61310830000000005</v>
      </c>
      <c r="F1413" t="s">
        <v>50</v>
      </c>
      <c r="G1413">
        <v>-198.29390000000001</v>
      </c>
      <c r="H1413" s="1">
        <v>1.4747489999999999E-6</v>
      </c>
      <c r="I1413">
        <v>292.0804</v>
      </c>
      <c r="J1413">
        <v>-190.58850000000001</v>
      </c>
      <c r="K1413">
        <v>1.1073569999999999</v>
      </c>
      <c r="L1413">
        <v>305.99</v>
      </c>
      <c r="M1413">
        <v>-6.2507679999999996E-2</v>
      </c>
      <c r="N1413">
        <v>0</v>
      </c>
      <c r="O1413">
        <v>-0.99794989999999995</v>
      </c>
      <c r="P1413">
        <v>-0.21195359999999999</v>
      </c>
      <c r="Q1413">
        <v>-3.2469350000000001E-2</v>
      </c>
      <c r="R1413">
        <v>-0.97674050000000001</v>
      </c>
      <c r="S1413">
        <v>-1.4994350000000001</v>
      </c>
      <c r="T1413">
        <v>-0.21501329999999999</v>
      </c>
      <c r="U1413">
        <v>-2.7428279999999998</v>
      </c>
      <c r="V1413">
        <v>0.15036250000000001</v>
      </c>
      <c r="W1413">
        <v>-1.9786660000000001E-2</v>
      </c>
      <c r="X1413">
        <v>0.98843289999999995</v>
      </c>
      <c r="Y1413">
        <v>0.42273319999999998</v>
      </c>
      <c r="Z1413">
        <v>6.9440509999999997E-2</v>
      </c>
      <c r="AA1413">
        <v>0.9035898</v>
      </c>
      <c r="AB1413">
        <v>22</v>
      </c>
      <c r="AC1413">
        <v>-7.7053999999999903</v>
      </c>
      <c r="AD1413">
        <v>-1.1073555252509999</v>
      </c>
      <c r="AE1413">
        <v>-13.909599999999999</v>
      </c>
      <c r="AF1413">
        <v>6.7878713625518001</v>
      </c>
      <c r="AG1413">
        <v>-1.1073555252509999</v>
      </c>
      <c r="AH1413">
        <v>14.2947618718675</v>
      </c>
      <c r="AI1413">
        <v>94.002872840373698</v>
      </c>
      <c r="AJ1413">
        <v>64.599282469467894</v>
      </c>
      <c r="AK1413">
        <v>15.863216914209101</v>
      </c>
      <c r="AL1413">
        <v>91.133766102390695</v>
      </c>
      <c r="AM1413">
        <v>81.350359056722297</v>
      </c>
      <c r="AN1413">
        <v>0.99999999556130703</v>
      </c>
    </row>
    <row r="1414" spans="1:40" x14ac:dyDescent="0.25">
      <c r="A1414" t="str">
        <f>"20190312151524974"</f>
        <v>20190312151524974</v>
      </c>
      <c r="B1414" t="str">
        <f>"1552374924968567"</f>
        <v>1552374924968567</v>
      </c>
      <c r="C1414" t="s">
        <v>40</v>
      </c>
      <c r="D1414">
        <v>5.0900410000000003</v>
      </c>
      <c r="E1414">
        <v>0.61324540000000005</v>
      </c>
      <c r="F1414" t="s">
        <v>50</v>
      </c>
      <c r="G1414">
        <v>-197.542</v>
      </c>
      <c r="H1414" s="1">
        <v>1.29403699999999E-6</v>
      </c>
      <c r="I1414">
        <v>293.48520000000002</v>
      </c>
      <c r="J1414">
        <v>-190.6054</v>
      </c>
      <c r="K1414">
        <v>1.1072869999999999</v>
      </c>
      <c r="L1414">
        <v>305.79140000000001</v>
      </c>
      <c r="M1414">
        <v>-6.6364399999999907E-2</v>
      </c>
      <c r="N1414">
        <v>0</v>
      </c>
      <c r="O1414">
        <v>-0.9977009</v>
      </c>
      <c r="P1414">
        <v>-0.21645120000000001</v>
      </c>
      <c r="Q1414">
        <v>-3.351697E-2</v>
      </c>
      <c r="R1414">
        <v>-0.97571839999999999</v>
      </c>
      <c r="S1414">
        <v>-1.520035</v>
      </c>
      <c r="T1414">
        <v>-0.24206949999999999</v>
      </c>
      <c r="U1414">
        <v>-2.7335509999999998</v>
      </c>
      <c r="V1414">
        <v>0.15108779999999999</v>
      </c>
      <c r="W1414">
        <v>-2.086228E-2</v>
      </c>
      <c r="X1414">
        <v>0.98830019999999996</v>
      </c>
      <c r="Y1414">
        <v>0.42542619999999998</v>
      </c>
      <c r="Z1414">
        <v>7.8139600000000003E-2</v>
      </c>
      <c r="AA1414">
        <v>0.90161340000000001</v>
      </c>
      <c r="AB1414">
        <v>22</v>
      </c>
      <c r="AC1414">
        <v>-6.9365999999999897</v>
      </c>
      <c r="AD1414">
        <v>-1.1072857059629999</v>
      </c>
      <c r="AE1414">
        <v>-12.306199999999899</v>
      </c>
      <c r="AF1414">
        <v>6.0672574498228702</v>
      </c>
      <c r="AG1414">
        <v>-1.1072857059629999</v>
      </c>
      <c r="AH1414">
        <v>12.661659331463699</v>
      </c>
      <c r="AI1414">
        <v>94.509296985824406</v>
      </c>
      <c r="AJ1414">
        <v>64.397030956649104</v>
      </c>
      <c r="AK1414">
        <v>14.083867069207299</v>
      </c>
      <c r="AL1414">
        <v>91.195407293594499</v>
      </c>
      <c r="AM1414">
        <v>81.308122426288406</v>
      </c>
      <c r="AN1414">
        <v>1.00000002167783</v>
      </c>
    </row>
    <row r="1415" spans="1:40" x14ac:dyDescent="0.25">
      <c r="A1415" t="str">
        <f>"20190312151525005"</f>
        <v>20190312151525005</v>
      </c>
      <c r="B1415" t="str">
        <f>"1552374924998822"</f>
        <v>1552374924998822</v>
      </c>
      <c r="C1415" t="s">
        <v>40</v>
      </c>
      <c r="D1415">
        <v>5.1150289999999998</v>
      </c>
      <c r="E1415">
        <v>0.61233909999999903</v>
      </c>
      <c r="F1415" t="s">
        <v>50</v>
      </c>
      <c r="G1415">
        <v>-197.47389999999999</v>
      </c>
      <c r="H1415" s="1">
        <v>1.282807E-6</v>
      </c>
      <c r="I1415">
        <v>293.58330000000001</v>
      </c>
      <c r="J1415">
        <v>-190.6343</v>
      </c>
      <c r="K1415">
        <v>1.1071660000000001</v>
      </c>
      <c r="L1415">
        <v>305.47460000000001</v>
      </c>
      <c r="M1415">
        <v>-7.2776129999999994E-2</v>
      </c>
      <c r="N1415">
        <v>0</v>
      </c>
      <c r="O1415">
        <v>-0.99725339999999996</v>
      </c>
      <c r="P1415">
        <v>-0.22395229999999999</v>
      </c>
      <c r="Q1415">
        <v>-3.3656119999999998E-2</v>
      </c>
      <c r="R1415">
        <v>-0.97401910000000003</v>
      </c>
      <c r="S1415">
        <v>-1.5336459999999901</v>
      </c>
      <c r="T1415">
        <v>-0.2472432</v>
      </c>
      <c r="U1415">
        <v>-2.7259220000000002</v>
      </c>
      <c r="V1415">
        <v>0.15233239999999901</v>
      </c>
      <c r="W1415">
        <v>-2.1046820000000001E-2</v>
      </c>
      <c r="X1415">
        <v>0.98810520000000002</v>
      </c>
      <c r="Y1415">
        <v>0.42404389999999997</v>
      </c>
      <c r="Z1415">
        <v>7.9873199999999894E-2</v>
      </c>
      <c r="AA1415">
        <v>0.90211249999999998</v>
      </c>
      <c r="AB1415">
        <v>22</v>
      </c>
      <c r="AC1415">
        <v>-6.8395999999999901</v>
      </c>
      <c r="AD1415">
        <v>-1.1071647171929999</v>
      </c>
      <c r="AE1415">
        <v>-11.891299999999999</v>
      </c>
      <c r="AF1415">
        <v>5.9174295122893303</v>
      </c>
      <c r="AG1415">
        <v>-1.1071647171929999</v>
      </c>
      <c r="AH1415">
        <v>12.2775931132657</v>
      </c>
      <c r="AI1415">
        <v>94.644208514191206</v>
      </c>
      <c r="AJ1415">
        <v>64.267335851475707</v>
      </c>
      <c r="AK1415">
        <v>13.674102471417299</v>
      </c>
      <c r="AL1415">
        <v>91.205982995749494</v>
      </c>
      <c r="AM1415">
        <v>81.235926642202898</v>
      </c>
      <c r="AN1415">
        <v>1.0000000074944499</v>
      </c>
    </row>
    <row r="1416" spans="1:40" x14ac:dyDescent="0.25">
      <c r="A1416" t="str">
        <f>"20190312151525027"</f>
        <v>20190312151525027</v>
      </c>
      <c r="B1416" t="str">
        <f>"1552374925018865"</f>
        <v>1552374925018865</v>
      </c>
      <c r="C1416" t="s">
        <v>40</v>
      </c>
      <c r="D1416">
        <v>5.083958</v>
      </c>
      <c r="E1416">
        <v>0.61267899999999997</v>
      </c>
      <c r="F1416" t="s">
        <v>50</v>
      </c>
      <c r="G1416">
        <v>-197.21729999999999</v>
      </c>
      <c r="H1416" s="1">
        <v>1.2445530000000001E-6</v>
      </c>
      <c r="I1416">
        <v>293.92970000000003</v>
      </c>
      <c r="J1416">
        <v>-190.6551</v>
      </c>
      <c r="K1416">
        <v>1.107102</v>
      </c>
      <c r="L1416">
        <v>305.26060000000001</v>
      </c>
      <c r="M1416">
        <v>-7.7250990000000005E-2</v>
      </c>
      <c r="N1416">
        <v>0</v>
      </c>
      <c r="O1416">
        <v>-0.99691649999999998</v>
      </c>
      <c r="P1416">
        <v>-0.2288616</v>
      </c>
      <c r="Q1416">
        <v>-3.3125229999999999E-2</v>
      </c>
      <c r="R1416">
        <v>-0.97289530000000002</v>
      </c>
      <c r="S1416">
        <v>-1.548141</v>
      </c>
      <c r="T1416">
        <v>-0.26037539999999998</v>
      </c>
      <c r="U1416">
        <v>-2.7150569999999998</v>
      </c>
      <c r="V1416">
        <v>0.1528795</v>
      </c>
      <c r="W1416">
        <v>-2.0539660000000001E-2</v>
      </c>
      <c r="X1416">
        <v>0.9880314</v>
      </c>
      <c r="Y1416">
        <v>0.4249907</v>
      </c>
      <c r="Z1416">
        <v>8.4207760000000006E-2</v>
      </c>
      <c r="AA1416">
        <v>0.90127239999999997</v>
      </c>
      <c r="AB1416">
        <v>22</v>
      </c>
      <c r="AC1416">
        <v>-6.56219999999999</v>
      </c>
      <c r="AD1416">
        <v>-1.107100755447</v>
      </c>
      <c r="AE1416">
        <v>-11.3308999999999</v>
      </c>
      <c r="AF1416">
        <v>5.6269540937949296</v>
      </c>
      <c r="AG1416">
        <v>-1.107100755447</v>
      </c>
      <c r="AH1416">
        <v>11.720232292190399</v>
      </c>
      <c r="AI1416">
        <v>94.867276033687801</v>
      </c>
      <c r="AJ1416">
        <v>64.354057311054206</v>
      </c>
      <c r="AK1416">
        <v>13.0480699507356</v>
      </c>
      <c r="AL1416">
        <v>91.176918553971305</v>
      </c>
      <c r="AM1416">
        <v>81.204295176667202</v>
      </c>
      <c r="AN1416">
        <v>1.00000003326956</v>
      </c>
    </row>
    <row r="1417" spans="1:40" x14ac:dyDescent="0.25">
      <c r="A1417" t="str">
        <f>"20190312151525050"</f>
        <v>20190312151525050</v>
      </c>
      <c r="B1417" t="str">
        <f>"1552374925039345"</f>
        <v>1552374925039345</v>
      </c>
      <c r="C1417" t="s">
        <v>40</v>
      </c>
      <c r="D1417">
        <v>5.093337</v>
      </c>
      <c r="E1417">
        <v>0.61246489999999998</v>
      </c>
      <c r="F1417" t="s">
        <v>50</v>
      </c>
      <c r="G1417">
        <v>-197.37780000000001</v>
      </c>
      <c r="H1417" s="1">
        <v>1.2831729999999999E-6</v>
      </c>
      <c r="I1417">
        <v>293.62959999999998</v>
      </c>
      <c r="J1417">
        <v>-190.67699999999999</v>
      </c>
      <c r="K1417">
        <v>1.107046</v>
      </c>
      <c r="L1417">
        <v>305.04719999999998</v>
      </c>
      <c r="M1417">
        <v>-8.1836309999999995E-2</v>
      </c>
      <c r="N1417">
        <v>0</v>
      </c>
      <c r="O1417">
        <v>-0.99655050000000001</v>
      </c>
      <c r="P1417">
        <v>-0.233487</v>
      </c>
      <c r="Q1417">
        <v>-3.2682709999999997E-2</v>
      </c>
      <c r="R1417">
        <v>-0.97181039999999996</v>
      </c>
      <c r="S1417">
        <v>-1.564514</v>
      </c>
      <c r="T1417">
        <v>-0.25764759999999998</v>
      </c>
      <c r="U1417">
        <v>-2.7067869999999998</v>
      </c>
      <c r="V1417">
        <v>0.153033</v>
      </c>
      <c r="W1417">
        <v>-2.0115569999999999E-2</v>
      </c>
      <c r="X1417">
        <v>0.98801629999999996</v>
      </c>
      <c r="Y1417">
        <v>0.42614659999999899</v>
      </c>
      <c r="Z1417">
        <v>8.3364320000000006E-2</v>
      </c>
      <c r="AA1417">
        <v>0.90080490000000002</v>
      </c>
      <c r="AB1417">
        <v>22</v>
      </c>
      <c r="AC1417">
        <v>-6.7007999999999797</v>
      </c>
      <c r="AD1417">
        <v>-1.1070447168269999</v>
      </c>
      <c r="AE1417">
        <v>-11.417599999999901</v>
      </c>
      <c r="AF1417">
        <v>5.70397092529491</v>
      </c>
      <c r="AG1417">
        <v>-1.1070447168269999</v>
      </c>
      <c r="AH1417">
        <v>11.8448892748217</v>
      </c>
      <c r="AI1417">
        <v>94.813339274051003</v>
      </c>
      <c r="AJ1417">
        <v>64.286606059329699</v>
      </c>
      <c r="AK1417">
        <v>13.193264730704501</v>
      </c>
      <c r="AL1417">
        <v>91.152615036129205</v>
      </c>
      <c r="AM1417">
        <v>81.195469623783097</v>
      </c>
      <c r="AN1417">
        <v>0.99999997215555703</v>
      </c>
    </row>
    <row r="1418" spans="1:40" x14ac:dyDescent="0.25">
      <c r="A1418" t="str">
        <f>"20190312151525072"</f>
        <v>20190312151525072</v>
      </c>
      <c r="B1418" t="str">
        <f>"1552374925068625"</f>
        <v>1552374925068625</v>
      </c>
      <c r="C1418" t="s">
        <v>40</v>
      </c>
      <c r="D1418">
        <v>5.1045470000000002</v>
      </c>
      <c r="E1418">
        <v>0.6122358</v>
      </c>
      <c r="F1418" t="s">
        <v>50</v>
      </c>
      <c r="G1418">
        <v>-197.43389999999999</v>
      </c>
      <c r="H1418" s="1">
        <v>1.305827E-6</v>
      </c>
      <c r="I1418">
        <v>293.47269999999997</v>
      </c>
      <c r="J1418">
        <v>-190.7</v>
      </c>
      <c r="K1418">
        <v>1.1069869999999999</v>
      </c>
      <c r="L1418">
        <v>304.83339999999998</v>
      </c>
      <c r="M1418">
        <v>-8.6561239999999998E-2</v>
      </c>
      <c r="N1418">
        <v>0</v>
      </c>
      <c r="O1418">
        <v>-0.99615129999999996</v>
      </c>
      <c r="P1418">
        <v>-0.23814469999999999</v>
      </c>
      <c r="Q1418">
        <v>-3.3001509999999998E-2</v>
      </c>
      <c r="R1418">
        <v>-0.970669</v>
      </c>
      <c r="S1418">
        <v>-1.576004</v>
      </c>
      <c r="T1418">
        <v>-0.2582121</v>
      </c>
      <c r="U1418">
        <v>-2.6996769999999999</v>
      </c>
      <c r="V1418">
        <v>0.153081299999999</v>
      </c>
      <c r="W1418">
        <v>-2.0452229999999998E-2</v>
      </c>
      <c r="X1418">
        <v>0.98800189999999999</v>
      </c>
      <c r="Y1418">
        <v>0.42574210000000001</v>
      </c>
      <c r="Z1418">
        <v>8.3608550000000004E-2</v>
      </c>
      <c r="AA1418">
        <v>0.90097349999999998</v>
      </c>
      <c r="AB1418">
        <v>22</v>
      </c>
      <c r="AC1418">
        <v>-6.7339000000000002</v>
      </c>
      <c r="AD1418">
        <v>-1.1069856941730001</v>
      </c>
      <c r="AE1418">
        <v>-11.3607</v>
      </c>
      <c r="AF1418">
        <v>5.6851858073545696</v>
      </c>
      <c r="AG1418">
        <v>-1.1069856941730001</v>
      </c>
      <c r="AH1418">
        <v>11.8179664492383</v>
      </c>
      <c r="AI1418">
        <v>94.824921104862796</v>
      </c>
      <c r="AJ1418">
        <v>64.309516517893996</v>
      </c>
      <c r="AK1418">
        <v>13.1609682769381</v>
      </c>
      <c r="AL1418">
        <v>91.171908210161504</v>
      </c>
      <c r="AM1418">
        <v>81.192607962218702</v>
      </c>
      <c r="AN1418">
        <v>0.99999996626263499</v>
      </c>
    </row>
    <row r="1419" spans="1:40" x14ac:dyDescent="0.25">
      <c r="A1419" t="str">
        <f>"20190312151525094"</f>
        <v>20190312151525094</v>
      </c>
      <c r="B1419" t="str">
        <f>"1552374925089122"</f>
        <v>1552374925089122</v>
      </c>
      <c r="C1419" t="s">
        <v>40</v>
      </c>
      <c r="D1419">
        <v>5.1614009999999997</v>
      </c>
      <c r="E1419">
        <v>0.61175259999999998</v>
      </c>
      <c r="F1419" t="s">
        <v>50</v>
      </c>
      <c r="G1419">
        <v>-197.34950000000001</v>
      </c>
      <c r="H1419" s="1">
        <v>1.298639E-6</v>
      </c>
      <c r="I1419">
        <v>293.55599999999998</v>
      </c>
      <c r="J1419">
        <v>-190.72470000000001</v>
      </c>
      <c r="K1419">
        <v>1.106916</v>
      </c>
      <c r="L1419">
        <v>304.61509999999998</v>
      </c>
      <c r="M1419">
        <v>-9.1521400000000003E-2</v>
      </c>
      <c r="N1419">
        <v>0</v>
      </c>
      <c r="O1419">
        <v>-0.99570760000000003</v>
      </c>
      <c r="P1419">
        <v>-0.2429029</v>
      </c>
      <c r="Q1419">
        <v>-3.3940480000000002E-2</v>
      </c>
      <c r="R1419">
        <v>-0.96945669999999995</v>
      </c>
      <c r="S1419">
        <v>-1.5874330000000001</v>
      </c>
      <c r="T1419">
        <v>-0.26426899999999998</v>
      </c>
      <c r="U1419">
        <v>-2.6922299999999999</v>
      </c>
      <c r="V1419">
        <v>0.15299979999999999</v>
      </c>
      <c r="W1419">
        <v>-2.140831E-2</v>
      </c>
      <c r="X1419">
        <v>0.98799429999999999</v>
      </c>
      <c r="Y1419">
        <v>0.42508040000000002</v>
      </c>
      <c r="Z1419">
        <v>8.5627019999999998E-2</v>
      </c>
      <c r="AA1419">
        <v>0.90109640000000002</v>
      </c>
      <c r="AB1419">
        <v>22</v>
      </c>
      <c r="AC1419">
        <v>-6.6247999999999898</v>
      </c>
      <c r="AD1419">
        <v>-1.1069147013609999</v>
      </c>
      <c r="AE1419">
        <v>-11.059100000000001</v>
      </c>
      <c r="AF1419">
        <v>5.5438779098929096</v>
      </c>
      <c r="AG1419">
        <v>-1.1069147013609999</v>
      </c>
      <c r="AH1419">
        <v>11.534010631826201</v>
      </c>
      <c r="AI1419">
        <v>94.943592878751701</v>
      </c>
      <c r="AJ1419">
        <v>64.328508673339698</v>
      </c>
      <c r="AK1419">
        <v>12.844969587000501</v>
      </c>
      <c r="AL1419">
        <v>91.226699529588799</v>
      </c>
      <c r="AM1419">
        <v>81.197156876904202</v>
      </c>
      <c r="AN1419">
        <v>0.99999999568479303</v>
      </c>
    </row>
    <row r="1420" spans="1:40" x14ac:dyDescent="0.25">
      <c r="A1420" t="str">
        <f>"20190312151525119"</f>
        <v>20190312151525119</v>
      </c>
      <c r="B1420" t="str">
        <f>"1552374925108641"</f>
        <v>1552374925108641</v>
      </c>
      <c r="C1420" t="s">
        <v>40</v>
      </c>
      <c r="D1420">
        <v>5.0824999999999996</v>
      </c>
      <c r="E1420">
        <v>0.6113845</v>
      </c>
      <c r="F1420" t="s">
        <v>50</v>
      </c>
      <c r="G1420">
        <v>-197.28</v>
      </c>
      <c r="H1420" s="1">
        <v>1.2983279999999901E-6</v>
      </c>
      <c r="I1420">
        <v>293.59280000000001</v>
      </c>
      <c r="J1420">
        <v>-190.75200000000001</v>
      </c>
      <c r="K1420">
        <v>1.106846</v>
      </c>
      <c r="L1420">
        <v>304.3861</v>
      </c>
      <c r="M1420">
        <v>-9.6836779999999997E-2</v>
      </c>
      <c r="N1420">
        <v>0</v>
      </c>
      <c r="O1420">
        <v>-0.99520459999999999</v>
      </c>
      <c r="P1420">
        <v>-0.24826329999999999</v>
      </c>
      <c r="Q1420">
        <v>-3.5186009999999997E-2</v>
      </c>
      <c r="R1420">
        <v>-0.96805350000000001</v>
      </c>
      <c r="S1420">
        <v>-1.596832</v>
      </c>
      <c r="T1420">
        <v>-0.26963870000000001</v>
      </c>
      <c r="U1420">
        <v>-2.6849669999999999</v>
      </c>
      <c r="V1420">
        <v>0.15318289999999901</v>
      </c>
      <c r="W1420">
        <v>-2.2672959999999999E-2</v>
      </c>
      <c r="X1420">
        <v>0.98793770000000003</v>
      </c>
      <c r="Y1420">
        <v>0.42357030000000001</v>
      </c>
      <c r="Z1420">
        <v>8.7446759999999998E-2</v>
      </c>
      <c r="AA1420">
        <v>0.90163249999999995</v>
      </c>
      <c r="AB1420">
        <v>21</v>
      </c>
      <c r="AC1420">
        <v>-6.5279999999999898</v>
      </c>
      <c r="AD1420">
        <v>-1.106844701672</v>
      </c>
      <c r="AE1420">
        <v>-10.793299999999901</v>
      </c>
      <c r="AF1420">
        <v>5.4103680003241497</v>
      </c>
      <c r="AG1420">
        <v>-1.106844701672</v>
      </c>
      <c r="AH1420">
        <v>11.287861967335701</v>
      </c>
      <c r="AI1420">
        <v>95.053165410532202</v>
      </c>
      <c r="AJ1420">
        <v>64.391204570969407</v>
      </c>
      <c r="AK1420">
        <v>12.5663445315722</v>
      </c>
      <c r="AL1420">
        <v>91.299176267057106</v>
      </c>
      <c r="AM1420">
        <v>81.186290516990894</v>
      </c>
      <c r="AN1420">
        <v>0.99999998152443004</v>
      </c>
    </row>
    <row r="1421" spans="1:40" x14ac:dyDescent="0.25">
      <c r="A1421" t="str">
        <f>"20190312151525140"</f>
        <v>20190312151525140</v>
      </c>
      <c r="B1421" t="str">
        <f>"1552374925129137"</f>
        <v>1552374925129137</v>
      </c>
      <c r="C1421" t="s">
        <v>40</v>
      </c>
      <c r="D1421">
        <v>5.1094650000000001</v>
      </c>
      <c r="E1421">
        <v>0.61140499999999998</v>
      </c>
      <c r="F1421" t="s">
        <v>50</v>
      </c>
      <c r="G1421">
        <v>-197.19139999999999</v>
      </c>
      <c r="H1421" s="1">
        <v>1.291406E-6</v>
      </c>
      <c r="I1421">
        <v>293.67669999999998</v>
      </c>
      <c r="J1421">
        <v>-190.7783</v>
      </c>
      <c r="K1421">
        <v>1.1067979999999999</v>
      </c>
      <c r="L1421">
        <v>304.17599999999999</v>
      </c>
      <c r="M1421">
        <v>-0.1017941</v>
      </c>
      <c r="N1421">
        <v>0</v>
      </c>
      <c r="O1421">
        <v>-0.99470970000000003</v>
      </c>
      <c r="P1421">
        <v>-0.25356810000000002</v>
      </c>
      <c r="Q1421">
        <v>-3.5454739999999998E-2</v>
      </c>
      <c r="R1421">
        <v>-0.96666779999999997</v>
      </c>
      <c r="S1421">
        <v>-1.6091770000000001</v>
      </c>
      <c r="T1421">
        <v>-0.27659620000000001</v>
      </c>
      <c r="U1421">
        <v>-2.6762389999999998</v>
      </c>
      <c r="V1421">
        <v>0.15367430000000001</v>
      </c>
      <c r="W1421">
        <v>-2.2958159999999998E-2</v>
      </c>
      <c r="X1421">
        <v>0.98785480000000003</v>
      </c>
      <c r="Y1421">
        <v>0.42330659999999998</v>
      </c>
      <c r="Z1421">
        <v>8.9771660000000003E-2</v>
      </c>
      <c r="AA1421">
        <v>0.90152790000000005</v>
      </c>
      <c r="AB1421">
        <v>21</v>
      </c>
      <c r="AC1421">
        <v>-6.4130999999999796</v>
      </c>
      <c r="AD1421">
        <v>-1.106796708594</v>
      </c>
      <c r="AE1421">
        <v>-10.4993</v>
      </c>
      <c r="AF1421">
        <v>5.2682753250936702</v>
      </c>
      <c r="AG1421">
        <v>-1.106796708594</v>
      </c>
      <c r="AH1421">
        <v>11.0085354941305</v>
      </c>
      <c r="AI1421">
        <v>95.181966974835206</v>
      </c>
      <c r="AJ1421">
        <v>64.425958518829702</v>
      </c>
      <c r="AK1421">
        <v>12.254288130310799</v>
      </c>
      <c r="AL1421">
        <v>91.315521271623098</v>
      </c>
      <c r="AM1421">
        <v>81.157732527010793</v>
      </c>
      <c r="AN1421">
        <v>0.99999998673705703</v>
      </c>
    </row>
    <row r="1422" spans="1:40" x14ac:dyDescent="0.25">
      <c r="A1422" t="str">
        <f>"20190312151525161"</f>
        <v>20190312151525161</v>
      </c>
      <c r="B1422" t="str">
        <f>"1552374925159393"</f>
        <v>1552374925159393</v>
      </c>
      <c r="C1422" t="s">
        <v>40</v>
      </c>
      <c r="D1422">
        <v>5.1035120000000003</v>
      </c>
      <c r="E1422">
        <v>0.62946089999999999</v>
      </c>
      <c r="F1422" t="s">
        <v>50</v>
      </c>
      <c r="G1422">
        <v>-197.26130000000001</v>
      </c>
      <c r="H1422" s="1">
        <v>1.311297E-6</v>
      </c>
      <c r="I1422">
        <v>293.52859999999998</v>
      </c>
      <c r="J1422">
        <v>-190.80449999999999</v>
      </c>
      <c r="K1422">
        <v>1.1067659999999999</v>
      </c>
      <c r="L1422">
        <v>303.97559999999999</v>
      </c>
      <c r="M1422">
        <v>-0.10658629999999999</v>
      </c>
      <c r="N1422">
        <v>0</v>
      </c>
      <c r="O1422">
        <v>-0.99420770000000003</v>
      </c>
      <c r="P1422">
        <v>-0.25899929999999999</v>
      </c>
      <c r="Q1422">
        <v>-3.5925239999999997E-2</v>
      </c>
      <c r="R1422">
        <v>-0.9652094</v>
      </c>
      <c r="S1422">
        <v>-1.6240540000000001</v>
      </c>
      <c r="T1422">
        <v>-0.27726610000000002</v>
      </c>
      <c r="U1422">
        <v>-2.667297</v>
      </c>
      <c r="V1422">
        <v>0.1544645</v>
      </c>
      <c r="W1422">
        <v>-2.344398E-2</v>
      </c>
      <c r="X1422">
        <v>0.98772009999999999</v>
      </c>
      <c r="Y1422">
        <v>0.42394359999999998</v>
      </c>
      <c r="Z1422">
        <v>9.0039599999999997E-2</v>
      </c>
      <c r="AA1422">
        <v>0.90120180000000005</v>
      </c>
      <c r="AB1422">
        <v>21</v>
      </c>
      <c r="AC1422">
        <v>-6.4568000000000101</v>
      </c>
      <c r="AD1422">
        <v>-1.1067646887029901</v>
      </c>
      <c r="AE1422">
        <v>-10.446999999999999</v>
      </c>
      <c r="AF1422">
        <v>5.2636510183735004</v>
      </c>
      <c r="AG1422">
        <v>-1.1067646887029901</v>
      </c>
      <c r="AH1422">
        <v>10.9865245168649</v>
      </c>
      <c r="AI1422">
        <v>95.191060952845802</v>
      </c>
      <c r="AJ1422">
        <v>64.400888790544101</v>
      </c>
      <c r="AK1422">
        <v>12.2325251309392</v>
      </c>
      <c r="AL1422">
        <v>91.343364253428803</v>
      </c>
      <c r="AM1422">
        <v>81.111796521502299</v>
      </c>
      <c r="AN1422">
        <v>0.999999948951248</v>
      </c>
    </row>
    <row r="1423" spans="1:40" x14ac:dyDescent="0.25">
      <c r="A1423" t="str">
        <f>"20190312151525185"</f>
        <v>20190312151525185</v>
      </c>
      <c r="B1423" t="str">
        <f>"1552374925178914"</f>
        <v>1552374925178914</v>
      </c>
      <c r="C1423" t="s">
        <v>40</v>
      </c>
      <c r="D1423">
        <v>5.0932089999999999</v>
      </c>
      <c r="E1423">
        <v>0.63049569999999999</v>
      </c>
      <c r="F1423" t="s">
        <v>50</v>
      </c>
      <c r="G1423">
        <v>-198.25640000000001</v>
      </c>
      <c r="H1423" s="1">
        <v>1.3180229999999999E-6</v>
      </c>
      <c r="I1423">
        <v>292.98930000000001</v>
      </c>
      <c r="J1423">
        <v>-190.83510000000001</v>
      </c>
      <c r="K1423">
        <v>1.106744</v>
      </c>
      <c r="L1423">
        <v>303.74970000000002</v>
      </c>
      <c r="M1423">
        <v>-0.1120597</v>
      </c>
      <c r="N1423">
        <v>0</v>
      </c>
      <c r="O1423">
        <v>-0.99360539999999997</v>
      </c>
      <c r="P1423">
        <v>-0.26527450000000002</v>
      </c>
      <c r="Q1423">
        <v>-3.5596990000000002E-2</v>
      </c>
      <c r="R1423">
        <v>-0.96351549999999997</v>
      </c>
      <c r="S1423">
        <v>-1.7779240000000001</v>
      </c>
      <c r="T1423">
        <v>-0.26405869999999998</v>
      </c>
      <c r="U1423">
        <v>-2.6211850000000001</v>
      </c>
      <c r="V1423">
        <v>0.1554519</v>
      </c>
      <c r="W1423">
        <v>-2.3129770000000001E-2</v>
      </c>
      <c r="X1423">
        <v>0.98757269999999997</v>
      </c>
      <c r="Y1423">
        <v>0.4630418</v>
      </c>
      <c r="Z1423">
        <v>8.4851969999999999E-2</v>
      </c>
      <c r="AA1423">
        <v>0.88226559999999898</v>
      </c>
      <c r="AB1423">
        <v>21</v>
      </c>
      <c r="AC1423">
        <v>-7.4212999999999996</v>
      </c>
      <c r="AD1423">
        <v>-1.1067426819770001</v>
      </c>
      <c r="AE1423">
        <v>-10.760400000000001</v>
      </c>
      <c r="AF1423">
        <v>6.1247184384190803</v>
      </c>
      <c r="AG1423">
        <v>-1.1067426819770001</v>
      </c>
      <c r="AH1423">
        <v>11.4422926223844</v>
      </c>
      <c r="AI1423">
        <v>94.874157117064698</v>
      </c>
      <c r="AJ1423">
        <v>61.841183200607702</v>
      </c>
      <c r="AK1423">
        <v>13.0254794833162</v>
      </c>
      <c r="AL1423">
        <v>91.325356316883898</v>
      </c>
      <c r="AM1423">
        <v>81.054581839122307</v>
      </c>
      <c r="AN1423">
        <v>1.0000000586295701</v>
      </c>
    </row>
    <row r="1424" spans="1:40" x14ac:dyDescent="0.25">
      <c r="A1424" t="str">
        <f>"20190312151525207"</f>
        <v>20190312151525207</v>
      </c>
      <c r="B1424" t="str">
        <f>"1552374925198433"</f>
        <v>1552374925198433</v>
      </c>
      <c r="C1424" t="s">
        <v>40</v>
      </c>
      <c r="D1424">
        <v>5.099126</v>
      </c>
      <c r="E1424">
        <v>0.63121039999999995</v>
      </c>
      <c r="F1424" t="s">
        <v>50</v>
      </c>
      <c r="G1424">
        <v>-197.88720000000001</v>
      </c>
      <c r="H1424" s="1">
        <v>1.2508919999999999E-6</v>
      </c>
      <c r="I1424">
        <v>293.55630000000002</v>
      </c>
      <c r="J1424">
        <v>-190.86449999999999</v>
      </c>
      <c r="K1424">
        <v>1.1067260000000001</v>
      </c>
      <c r="L1424">
        <v>303.5421</v>
      </c>
      <c r="M1424">
        <v>-0.11714380000000001</v>
      </c>
      <c r="N1424">
        <v>0</v>
      </c>
      <c r="O1424">
        <v>-0.99301899999999999</v>
      </c>
      <c r="P1424">
        <v>-0.27121240000000002</v>
      </c>
      <c r="Q1424">
        <v>-3.5679740000000001E-2</v>
      </c>
      <c r="R1424">
        <v>-0.96185830000000005</v>
      </c>
      <c r="S1424">
        <v>-1.803345</v>
      </c>
      <c r="T1424">
        <v>-0.28301349999999997</v>
      </c>
      <c r="U1424">
        <v>-2.6066280000000002</v>
      </c>
      <c r="V1424">
        <v>0.15648689999999901</v>
      </c>
      <c r="W1424">
        <v>-2.3224109999999999E-2</v>
      </c>
      <c r="X1424">
        <v>0.98740700000000003</v>
      </c>
      <c r="Y1424">
        <v>0.46633449999999999</v>
      </c>
      <c r="Z1424">
        <v>9.0910210000000005E-2</v>
      </c>
      <c r="AA1424">
        <v>0.879924699999999</v>
      </c>
      <c r="AB1424">
        <v>21</v>
      </c>
      <c r="AC1424">
        <v>-7.0227000000000102</v>
      </c>
      <c r="AD1424">
        <v>-1.1067247491079999</v>
      </c>
      <c r="AE1424">
        <v>-9.9857999999999798</v>
      </c>
      <c r="AF1424">
        <v>5.7571381315560703</v>
      </c>
      <c r="AG1424">
        <v>-1.1067247491079999</v>
      </c>
      <c r="AH1424">
        <v>10.652233080027299</v>
      </c>
      <c r="AI1424">
        <v>95.222379804262403</v>
      </c>
      <c r="AJ1424">
        <v>61.610417673957301</v>
      </c>
      <c r="AK1424">
        <v>12.158928765616301</v>
      </c>
      <c r="AL1424">
        <v>91.330763069046498</v>
      </c>
      <c r="AM1424">
        <v>80.994509539935905</v>
      </c>
      <c r="AN1424">
        <v>1.0000000464029499</v>
      </c>
    </row>
    <row r="1425" spans="1:40" x14ac:dyDescent="0.25">
      <c r="A1425" t="str">
        <f>"20190312151525228"</f>
        <v>20190312151525228</v>
      </c>
      <c r="B1425" t="str">
        <f>"1552374925218929"</f>
        <v>1552374925218929</v>
      </c>
      <c r="C1425" t="s">
        <v>40</v>
      </c>
      <c r="D1425">
        <v>5.089912</v>
      </c>
      <c r="E1425">
        <v>0.63122339999999999</v>
      </c>
      <c r="F1425" t="s">
        <v>50</v>
      </c>
      <c r="G1425">
        <v>-197.66149999999999</v>
      </c>
      <c r="H1425" s="1">
        <v>1.213014E-6</v>
      </c>
      <c r="I1425">
        <v>293.88510000000002</v>
      </c>
      <c r="J1425">
        <v>-190.89400000000001</v>
      </c>
      <c r="K1425">
        <v>1.106717</v>
      </c>
      <c r="L1425">
        <v>303.34179999999998</v>
      </c>
      <c r="M1425">
        <v>-0.1220839</v>
      </c>
      <c r="N1425">
        <v>0</v>
      </c>
      <c r="O1425">
        <v>-0.99242359999999996</v>
      </c>
      <c r="P1425">
        <v>-0.27686090000000002</v>
      </c>
      <c r="Q1425">
        <v>-3.6628069999999999E-2</v>
      </c>
      <c r="R1425">
        <v>-0.9602117</v>
      </c>
      <c r="S1425">
        <v>-1.825226</v>
      </c>
      <c r="T1425">
        <v>-0.29719640000000003</v>
      </c>
      <c r="U1425">
        <v>-2.5932620000000002</v>
      </c>
      <c r="V1425">
        <v>0.15737300000000001</v>
      </c>
      <c r="W1425">
        <v>-2.418114E-2</v>
      </c>
      <c r="X1425">
        <v>0.98724310000000004</v>
      </c>
      <c r="Y1425">
        <v>0.46879569999999998</v>
      </c>
      <c r="Z1425">
        <v>9.5457790000000001E-2</v>
      </c>
      <c r="AA1425">
        <v>0.87813349999999901</v>
      </c>
      <c r="AB1425">
        <v>21</v>
      </c>
      <c r="AC1425">
        <v>-6.7674999999999796</v>
      </c>
      <c r="AD1425">
        <v>-1.106715786986</v>
      </c>
      <c r="AE1425">
        <v>-9.4566999999999499</v>
      </c>
      <c r="AF1425">
        <v>5.51231946081068</v>
      </c>
      <c r="AG1425">
        <v>-1.106715786986</v>
      </c>
      <c r="AH1425">
        <v>10.1205636880456</v>
      </c>
      <c r="AI1425">
        <v>95.485436423563698</v>
      </c>
      <c r="AJ1425">
        <v>61.424405044858503</v>
      </c>
      <c r="AK1425">
        <v>11.577404503384299</v>
      </c>
      <c r="AL1425">
        <v>91.385612372947094</v>
      </c>
      <c r="AM1425">
        <v>80.942880535676295</v>
      </c>
      <c r="AN1425">
        <v>0.99999996357915399</v>
      </c>
    </row>
    <row r="1426" spans="1:40" x14ac:dyDescent="0.25">
      <c r="A1426" t="str">
        <f>"20190312151525252"</f>
        <v>20190312151525252</v>
      </c>
      <c r="B1426" t="str">
        <f>"1552374925249185"</f>
        <v>1552374925249185</v>
      </c>
      <c r="C1426" t="s">
        <v>40</v>
      </c>
      <c r="D1426">
        <v>5.1508949999999896</v>
      </c>
      <c r="E1426">
        <v>0.63159919999999903</v>
      </c>
      <c r="F1426" t="s">
        <v>50</v>
      </c>
      <c r="G1426">
        <v>-197.5804</v>
      </c>
      <c r="H1426" s="1">
        <v>1.2066720000000001E-6</v>
      </c>
      <c r="I1426">
        <v>293.96190000000001</v>
      </c>
      <c r="J1426">
        <v>-190.92699999999999</v>
      </c>
      <c r="K1426">
        <v>1.106717</v>
      </c>
      <c r="L1426">
        <v>303.12470000000002</v>
      </c>
      <c r="M1426">
        <v>-0.12746199999999999</v>
      </c>
      <c r="N1426">
        <v>0</v>
      </c>
      <c r="O1426">
        <v>-0.99174709999999999</v>
      </c>
      <c r="P1426">
        <v>-0.28261059999999999</v>
      </c>
      <c r="Q1426">
        <v>-3.6985009999999999E-2</v>
      </c>
      <c r="R1426">
        <v>-0.95852130000000002</v>
      </c>
      <c r="S1426">
        <v>-1.840576</v>
      </c>
      <c r="T1426">
        <v>-0.3046468</v>
      </c>
      <c r="U1426">
        <v>-2.582001</v>
      </c>
      <c r="V1426">
        <v>0.15793660000000001</v>
      </c>
      <c r="W1426">
        <v>-2.4542230000000002E-2</v>
      </c>
      <c r="X1426">
        <v>0.98714420000000003</v>
      </c>
      <c r="Y1426">
        <v>0.46914820000000002</v>
      </c>
      <c r="Z1426">
        <v>9.7906160000000006E-2</v>
      </c>
      <c r="AA1426">
        <v>0.877675599999999</v>
      </c>
      <c r="AB1426">
        <v>21</v>
      </c>
      <c r="AC1426">
        <v>-6.6533999999999702</v>
      </c>
      <c r="AD1426">
        <v>-1.1067157933280001</v>
      </c>
      <c r="AE1426">
        <v>-9.1628000000000007</v>
      </c>
      <c r="AF1426">
        <v>5.3797126090688803</v>
      </c>
      <c r="AG1426">
        <v>-1.1067157933280001</v>
      </c>
      <c r="AH1426">
        <v>9.84217177032785</v>
      </c>
      <c r="AI1426">
        <v>95.635056960710799</v>
      </c>
      <c r="AJ1426">
        <v>61.339066666679599</v>
      </c>
      <c r="AK1426">
        <v>11.2709570472083</v>
      </c>
      <c r="AL1426">
        <v>91.406307424235905</v>
      </c>
      <c r="AM1426">
        <v>80.910089350549299</v>
      </c>
      <c r="AN1426">
        <v>0.99999998113328603</v>
      </c>
    </row>
    <row r="1427" spans="1:40" x14ac:dyDescent="0.25">
      <c r="A1427" t="str">
        <f>"20190312151525272"</f>
        <v>20190312151525272</v>
      </c>
      <c r="B1427" t="str">
        <f>"1552374925268705"</f>
        <v>1552374925268705</v>
      </c>
      <c r="C1427" t="s">
        <v>40</v>
      </c>
      <c r="D1427">
        <v>5.1549430000000003</v>
      </c>
      <c r="E1427">
        <v>0.63184130000000005</v>
      </c>
      <c r="F1427" t="s">
        <v>50</v>
      </c>
      <c r="G1427">
        <v>-197.49889999999999</v>
      </c>
      <c r="H1427" s="1">
        <v>1.200215E-6</v>
      </c>
      <c r="I1427">
        <v>294.03960000000001</v>
      </c>
      <c r="J1427">
        <v>-190.95910000000001</v>
      </c>
      <c r="K1427">
        <v>1.1067180000000001</v>
      </c>
      <c r="L1427">
        <v>302.92149999999998</v>
      </c>
      <c r="M1427">
        <v>-0.13250709999999999</v>
      </c>
      <c r="N1427">
        <v>0</v>
      </c>
      <c r="O1427">
        <v>-0.99108569999999996</v>
      </c>
      <c r="P1427">
        <v>-0.28826980000000002</v>
      </c>
      <c r="Q1427">
        <v>-3.73823E-2</v>
      </c>
      <c r="R1427">
        <v>-0.95681930000000004</v>
      </c>
      <c r="S1427">
        <v>-1.8588560000000001</v>
      </c>
      <c r="T1427">
        <v>-0.31303520000000001</v>
      </c>
      <c r="U1427">
        <v>-2.5697019999999999</v>
      </c>
      <c r="V1427">
        <v>0.15874540000000001</v>
      </c>
      <c r="W1427">
        <v>-2.4945120000000001E-2</v>
      </c>
      <c r="X1427">
        <v>0.9870044</v>
      </c>
      <c r="Y1427">
        <v>0.47059699999999999</v>
      </c>
      <c r="Z1427">
        <v>0.10062649999999999</v>
      </c>
      <c r="AA1427">
        <v>0.87659159999999903</v>
      </c>
      <c r="AB1427">
        <v>21</v>
      </c>
      <c r="AC1427">
        <v>-6.5397999999999801</v>
      </c>
      <c r="AD1427">
        <v>-1.106716799785</v>
      </c>
      <c r="AE1427">
        <v>-8.8818999999999697</v>
      </c>
      <c r="AF1427">
        <v>5.2522157582456197</v>
      </c>
      <c r="AG1427">
        <v>-1.106716799785</v>
      </c>
      <c r="AH1427">
        <v>9.5738299844352905</v>
      </c>
      <c r="AI1427">
        <v>95.787093506697502</v>
      </c>
      <c r="AJ1427">
        <v>61.250769282599698</v>
      </c>
      <c r="AK1427">
        <v>10.975828579973401</v>
      </c>
      <c r="AL1427">
        <v>91.429398330911496</v>
      </c>
      <c r="AM1427">
        <v>80.863050401657702</v>
      </c>
      <c r="AN1427">
        <v>1.0000000233261599</v>
      </c>
    </row>
    <row r="1428" spans="1:40" x14ac:dyDescent="0.25">
      <c r="A1428" t="str">
        <f>"20190312151525297"</f>
        <v>20190312151525297</v>
      </c>
      <c r="B1428" t="str">
        <f>"1552374925289202"</f>
        <v>1552374925289202</v>
      </c>
      <c r="C1428" t="s">
        <v>40</v>
      </c>
      <c r="D1428">
        <v>5.1119599999999998</v>
      </c>
      <c r="E1428">
        <v>0.63181039999999999</v>
      </c>
      <c r="F1428" t="s">
        <v>50</v>
      </c>
      <c r="G1428">
        <v>-197.4889</v>
      </c>
      <c r="H1428" s="1">
        <v>1.2050060000000001E-6</v>
      </c>
      <c r="I1428">
        <v>294.01749999999998</v>
      </c>
      <c r="J1428">
        <v>-190.9957</v>
      </c>
      <c r="K1428">
        <v>1.10673</v>
      </c>
      <c r="L1428">
        <v>302.69819999999999</v>
      </c>
      <c r="M1428">
        <v>-0.1380654</v>
      </c>
      <c r="N1428">
        <v>0</v>
      </c>
      <c r="O1428">
        <v>-0.9903267</v>
      </c>
      <c r="P1428">
        <v>-0.29387289999999999</v>
      </c>
      <c r="Q1428">
        <v>-3.7636160000000002E-2</v>
      </c>
      <c r="R1428">
        <v>-0.9551037</v>
      </c>
      <c r="S1428">
        <v>-1.8757779999999999</v>
      </c>
      <c r="T1428">
        <v>-0.31792369999999998</v>
      </c>
      <c r="U1428">
        <v>-2.5578310000000002</v>
      </c>
      <c r="V1428">
        <v>0.15899279999999999</v>
      </c>
      <c r="W1428">
        <v>-2.5197219999999999E-2</v>
      </c>
      <c r="X1428">
        <v>0.98695809999999995</v>
      </c>
      <c r="Y1428">
        <v>0.47126980000000002</v>
      </c>
      <c r="Z1428">
        <v>0.1022406</v>
      </c>
      <c r="AA1428">
        <v>0.87604319999999902</v>
      </c>
      <c r="AB1428">
        <v>21</v>
      </c>
      <c r="AC1428">
        <v>-6.4931999999999999</v>
      </c>
      <c r="AD1428">
        <v>-1.1067287949939999</v>
      </c>
      <c r="AE1428">
        <v>-8.6806999999999999</v>
      </c>
      <c r="AF1428">
        <v>5.1784110777672998</v>
      </c>
      <c r="AG1428">
        <v>-1.1067287949939999</v>
      </c>
      <c r="AH1428">
        <v>9.3961871987107397</v>
      </c>
      <c r="AI1428">
        <v>95.8895850747585</v>
      </c>
      <c r="AJ1428">
        <v>61.140034802721701</v>
      </c>
      <c r="AK1428">
        <v>10.785597980141199</v>
      </c>
      <c r="AL1428">
        <v>91.443847243147502</v>
      </c>
      <c r="AM1428">
        <v>80.848629453946103</v>
      </c>
      <c r="AN1428">
        <v>0.99999995075158798</v>
      </c>
    </row>
    <row r="1429" spans="1:40" x14ac:dyDescent="0.25">
      <c r="A1429" t="str">
        <f>"20190312151525319"</f>
        <v>20190312151525319</v>
      </c>
      <c r="B1429" t="str">
        <f>"1552374925308721"</f>
        <v>1552374925308721</v>
      </c>
      <c r="C1429" t="s">
        <v>40</v>
      </c>
      <c r="D1429">
        <v>5.1429999999999998</v>
      </c>
      <c r="E1429">
        <v>0.63171129999999998</v>
      </c>
      <c r="F1429" t="s">
        <v>50</v>
      </c>
      <c r="G1429">
        <v>-197.58150000000001</v>
      </c>
      <c r="H1429" s="1">
        <v>1.230632E-6</v>
      </c>
      <c r="I1429">
        <v>293.82530000000003</v>
      </c>
      <c r="J1429">
        <v>-191.03210000000001</v>
      </c>
      <c r="K1429">
        <v>1.106744</v>
      </c>
      <c r="L1429">
        <v>302.48360000000002</v>
      </c>
      <c r="M1429">
        <v>-0.1434098</v>
      </c>
      <c r="N1429">
        <v>0</v>
      </c>
      <c r="O1429">
        <v>-0.98956690000000003</v>
      </c>
      <c r="P1429">
        <v>-0.29916199999999998</v>
      </c>
      <c r="Q1429">
        <v>-3.749835E-2</v>
      </c>
      <c r="R1429">
        <v>-0.95346549999999997</v>
      </c>
      <c r="S1429">
        <v>-1.890396</v>
      </c>
      <c r="T1429">
        <v>-0.31767849999999997</v>
      </c>
      <c r="U1429">
        <v>-2.546875</v>
      </c>
      <c r="V1429">
        <v>0.15913579999999999</v>
      </c>
      <c r="W1429">
        <v>-2.5055629999999999E-2</v>
      </c>
      <c r="X1429">
        <v>0.98693869999999895</v>
      </c>
      <c r="Y1429">
        <v>0.4715625</v>
      </c>
      <c r="Z1429">
        <v>0.102228</v>
      </c>
      <c r="AA1429">
        <v>0.87588709999999903</v>
      </c>
      <c r="AB1429">
        <v>21</v>
      </c>
      <c r="AC1429">
        <v>-6.5493999999999897</v>
      </c>
      <c r="AD1429">
        <v>-1.1067427693680001</v>
      </c>
      <c r="AE1429">
        <v>-8.6582999999999899</v>
      </c>
      <c r="AF1429">
        <v>5.1859888808768497</v>
      </c>
      <c r="AG1429">
        <v>-1.1067427693680001</v>
      </c>
      <c r="AH1429">
        <v>9.4103255047924605</v>
      </c>
      <c r="AI1429">
        <v>95.880928369790098</v>
      </c>
      <c r="AJ1429">
        <v>61.141034580146801</v>
      </c>
      <c r="AK1429">
        <v>10.8015548110572</v>
      </c>
      <c r="AL1429">
        <v>91.435732111293902</v>
      </c>
      <c r="AM1429">
        <v>80.840361066390201</v>
      </c>
      <c r="AN1429">
        <v>0.99999999249701299</v>
      </c>
    </row>
    <row r="1430" spans="1:40" x14ac:dyDescent="0.25">
      <c r="A1430" t="str">
        <f>"20190312151525343"</f>
        <v>20190312151525343</v>
      </c>
      <c r="B1430" t="str">
        <f>"1552374925338978"</f>
        <v>1552374925338978</v>
      </c>
      <c r="C1430" t="s">
        <v>40</v>
      </c>
      <c r="D1430">
        <v>5.0898339999999997</v>
      </c>
      <c r="E1430">
        <v>0.6316408</v>
      </c>
      <c r="F1430" t="s">
        <v>50</v>
      </c>
      <c r="G1430">
        <v>-197.642</v>
      </c>
      <c r="H1430" s="1">
        <v>1.251562E-6</v>
      </c>
      <c r="I1430">
        <v>293.67599999999999</v>
      </c>
      <c r="J1430">
        <v>-191.07149999999999</v>
      </c>
      <c r="K1430">
        <v>1.1067640000000001</v>
      </c>
      <c r="L1430">
        <v>302.25850000000003</v>
      </c>
      <c r="M1430">
        <v>-0.1490216</v>
      </c>
      <c r="N1430">
        <v>0</v>
      </c>
      <c r="O1430">
        <v>-0.98873750000000005</v>
      </c>
      <c r="P1430">
        <v>-0.30513649999999998</v>
      </c>
      <c r="Q1430">
        <v>-3.729565E-2</v>
      </c>
      <c r="R1430">
        <v>-0.95157809999999998</v>
      </c>
      <c r="S1430">
        <v>-1.9036709999999999</v>
      </c>
      <c r="T1430">
        <v>-0.31874550000000001</v>
      </c>
      <c r="U1430">
        <v>-2.5366209999999998</v>
      </c>
      <c r="V1430">
        <v>0.15972800000000001</v>
      </c>
      <c r="W1430">
        <v>-2.4853099999999999E-2</v>
      </c>
      <c r="X1430">
        <v>0.98684819999999995</v>
      </c>
      <c r="Y1430">
        <v>0.47117500000000001</v>
      </c>
      <c r="Z1430">
        <v>0.102632</v>
      </c>
      <c r="AA1430">
        <v>0.87604839999999995</v>
      </c>
      <c r="AB1430">
        <v>21</v>
      </c>
      <c r="AC1430">
        <v>-6.5705000000000098</v>
      </c>
      <c r="AD1430">
        <v>-1.1067627484379901</v>
      </c>
      <c r="AE1430">
        <v>-8.5825000000000298</v>
      </c>
      <c r="AF1430">
        <v>5.16387828238053</v>
      </c>
      <c r="AG1430">
        <v>-1.1067627484379901</v>
      </c>
      <c r="AH1430">
        <v>9.3676724370263997</v>
      </c>
      <c r="AI1430">
        <v>95.9072531195918</v>
      </c>
      <c r="AJ1430">
        <v>61.134488861622401</v>
      </c>
      <c r="AK1430">
        <v>10.753783035936401</v>
      </c>
      <c r="AL1430">
        <v>91.424124314260993</v>
      </c>
      <c r="AM1430">
        <v>80.806027139497601</v>
      </c>
      <c r="AN1430">
        <v>1.0000000402034199</v>
      </c>
    </row>
    <row r="1431" spans="1:40" x14ac:dyDescent="0.25">
      <c r="A1431" t="str">
        <f>"20190312151525363"</f>
        <v>20190312151525363</v>
      </c>
      <c r="B1431" t="str">
        <f>"1552374925359473"</f>
        <v>1552374925359473</v>
      </c>
      <c r="C1431" t="s">
        <v>40</v>
      </c>
      <c r="D1431">
        <v>5.1339459999999999</v>
      </c>
      <c r="E1431">
        <v>0.63154330000000003</v>
      </c>
      <c r="F1431" t="s">
        <v>50</v>
      </c>
      <c r="G1431">
        <v>-197.73269999999999</v>
      </c>
      <c r="H1431" s="1">
        <v>1.275298E-6</v>
      </c>
      <c r="I1431">
        <v>293.49560000000002</v>
      </c>
      <c r="J1431">
        <v>-191.10579999999999</v>
      </c>
      <c r="K1431">
        <v>1.106781</v>
      </c>
      <c r="L1431">
        <v>302.06869999999998</v>
      </c>
      <c r="M1431">
        <v>-0.15375810000000001</v>
      </c>
      <c r="N1431">
        <v>0</v>
      </c>
      <c r="O1431">
        <v>-0.98801209999999995</v>
      </c>
      <c r="P1431">
        <v>-0.31035269999999998</v>
      </c>
      <c r="Q1431">
        <v>-3.7176880000000002E-2</v>
      </c>
      <c r="R1431">
        <v>-0.94989449999999997</v>
      </c>
      <c r="S1431">
        <v>-1.919189</v>
      </c>
      <c r="T1431">
        <v>-0.31887650000000001</v>
      </c>
      <c r="U1431">
        <v>-2.52475</v>
      </c>
      <c r="V1431">
        <v>0.16041359999999999</v>
      </c>
      <c r="W1431">
        <v>-2.4736999999999999E-2</v>
      </c>
      <c r="X1431">
        <v>0.9867399</v>
      </c>
      <c r="Y1431">
        <v>0.47234569999999998</v>
      </c>
      <c r="Z1431">
        <v>0.1027354</v>
      </c>
      <c r="AA1431">
        <v>0.87540560000000001</v>
      </c>
      <c r="AB1431">
        <v>21</v>
      </c>
      <c r="AC1431">
        <v>-6.6269</v>
      </c>
      <c r="AD1431">
        <v>-1.1067797247019999</v>
      </c>
      <c r="AE1431">
        <v>-8.5730999999999504</v>
      </c>
      <c r="AF1431">
        <v>5.1757739874899604</v>
      </c>
      <c r="AG1431">
        <v>-1.1067797247019999</v>
      </c>
      <c r="AH1431">
        <v>9.3921829839751201</v>
      </c>
      <c r="AI1431">
        <v>95.892460894903707</v>
      </c>
      <c r="AJ1431">
        <v>61.142048256949302</v>
      </c>
      <c r="AK1431">
        <v>10.780848711166501</v>
      </c>
      <c r="AL1431">
        <v>91.417470234376296</v>
      </c>
      <c r="AM1431">
        <v>80.766246191025601</v>
      </c>
      <c r="AN1431">
        <v>1.00000003624298</v>
      </c>
    </row>
    <row r="1432" spans="1:40" x14ac:dyDescent="0.25">
      <c r="A1432" t="str">
        <f>"20190312151525385"</f>
        <v>20190312151525385</v>
      </c>
      <c r="B1432" t="str">
        <f>"1552374925378993"</f>
        <v>1552374925378993</v>
      </c>
      <c r="C1432" t="s">
        <v>40</v>
      </c>
      <c r="D1432">
        <v>5.1847130000000003</v>
      </c>
      <c r="E1432">
        <v>0.63156060000000003</v>
      </c>
      <c r="F1432" t="s">
        <v>50</v>
      </c>
      <c r="G1432">
        <v>-197.85149999999999</v>
      </c>
      <c r="H1432" s="1">
        <v>1.30088E-6</v>
      </c>
      <c r="I1432">
        <v>293.29050000000001</v>
      </c>
      <c r="J1432">
        <v>-191.14519999999999</v>
      </c>
      <c r="K1432">
        <v>1.106792</v>
      </c>
      <c r="L1432">
        <v>301.85660000000001</v>
      </c>
      <c r="M1432">
        <v>-0.15905749999999999</v>
      </c>
      <c r="N1432">
        <v>0</v>
      </c>
      <c r="O1432">
        <v>-0.98717270000000001</v>
      </c>
      <c r="P1432">
        <v>-0.31592799999999999</v>
      </c>
      <c r="Q1432">
        <v>-3.6721400000000001E-2</v>
      </c>
      <c r="R1432">
        <v>-0.94807229999999998</v>
      </c>
      <c r="S1432">
        <v>-1.9322969999999999</v>
      </c>
      <c r="T1432">
        <v>-0.31703629999999999</v>
      </c>
      <c r="U1432">
        <v>-2.5144959999999998</v>
      </c>
      <c r="V1432">
        <v>0.1609168</v>
      </c>
      <c r="W1432">
        <v>-2.4283490000000001E-2</v>
      </c>
      <c r="X1432">
        <v>0.98666920000000002</v>
      </c>
      <c r="Y1432">
        <v>0.47225109999999898</v>
      </c>
      <c r="Z1432">
        <v>0.10220310000000001</v>
      </c>
      <c r="AA1432">
        <v>0.87551900000000005</v>
      </c>
      <c r="AB1432">
        <v>21</v>
      </c>
      <c r="AC1432">
        <v>-6.7062999999999899</v>
      </c>
      <c r="AD1432">
        <v>-1.1067906991200001</v>
      </c>
      <c r="AE1432">
        <v>-8.5661000000000005</v>
      </c>
      <c r="AF1432">
        <v>5.2044081666551403</v>
      </c>
      <c r="AG1432">
        <v>-1.1067906991200001</v>
      </c>
      <c r="AH1432">
        <v>9.4262512149052302</v>
      </c>
      <c r="AI1432">
        <v>95.868792592942299</v>
      </c>
      <c r="AJ1432">
        <v>61.09609649902</v>
      </c>
      <c r="AK1432">
        <v>10.824281130093899</v>
      </c>
      <c r="AL1432">
        <v>91.391478257831395</v>
      </c>
      <c r="AM1432">
        <v>80.737129961457597</v>
      </c>
      <c r="AN1432">
        <v>1.0000000073187301</v>
      </c>
    </row>
    <row r="1433" spans="1:40" x14ac:dyDescent="0.25">
      <c r="A1433" t="str">
        <f>"20190312151525407"</f>
        <v>20190312151525407</v>
      </c>
      <c r="B1433" t="str">
        <f>"1552374925399490"</f>
        <v>1552374925399490</v>
      </c>
      <c r="C1433" t="s">
        <v>40</v>
      </c>
      <c r="D1433">
        <v>5.1920339999999996</v>
      </c>
      <c r="E1433">
        <v>0.63160939999999999</v>
      </c>
      <c r="F1433" t="s">
        <v>50</v>
      </c>
      <c r="G1433">
        <v>-197.94980000000001</v>
      </c>
      <c r="H1433" s="1">
        <v>1.3241209999999999E-6</v>
      </c>
      <c r="I1433">
        <v>293.10899999999998</v>
      </c>
      <c r="J1433">
        <v>-191.1824</v>
      </c>
      <c r="K1433">
        <v>1.106797</v>
      </c>
      <c r="L1433">
        <v>301.6617</v>
      </c>
      <c r="M1433">
        <v>-0.16393759999999999</v>
      </c>
      <c r="N1433">
        <v>0</v>
      </c>
      <c r="O1433">
        <v>-0.98637390000000003</v>
      </c>
      <c r="P1433">
        <v>-0.32154169999999999</v>
      </c>
      <c r="Q1433">
        <v>-3.6524000000000001E-2</v>
      </c>
      <c r="R1433">
        <v>-0.94619070000000005</v>
      </c>
      <c r="S1433">
        <v>-1.94722</v>
      </c>
      <c r="T1433">
        <v>-0.31671969999999999</v>
      </c>
      <c r="U1433">
        <v>-2.5032040000000002</v>
      </c>
      <c r="V1433">
        <v>0.16188529999999901</v>
      </c>
      <c r="W1433">
        <v>-2.4094689999999998E-2</v>
      </c>
      <c r="X1433">
        <v>0.98651540000000004</v>
      </c>
      <c r="Y1433">
        <v>0.47306860000000001</v>
      </c>
      <c r="Z1433">
        <v>0.102147</v>
      </c>
      <c r="AA1433">
        <v>0.87508399999999997</v>
      </c>
      <c r="AB1433">
        <v>21</v>
      </c>
      <c r="AC1433">
        <v>-6.7674000000000003</v>
      </c>
      <c r="AD1433">
        <v>-1.1067956758790001</v>
      </c>
      <c r="AE1433">
        <v>-8.55269999999995</v>
      </c>
      <c r="AF1433">
        <v>5.2198236955927104</v>
      </c>
      <c r="AG1433">
        <v>-1.1067956758790001</v>
      </c>
      <c r="AH1433">
        <v>9.4491884269640494</v>
      </c>
      <c r="AI1433">
        <v>95.8539553475281</v>
      </c>
      <c r="AJ1433">
        <v>61.083312002933297</v>
      </c>
      <c r="AK1433">
        <v>10.8516689043431</v>
      </c>
      <c r="AL1433">
        <v>91.380657631886393</v>
      </c>
      <c r="AM1433">
        <v>80.680927831904597</v>
      </c>
      <c r="AN1433">
        <v>1.0000000194397201</v>
      </c>
    </row>
    <row r="1434" spans="1:40" x14ac:dyDescent="0.25">
      <c r="A1434" t="str">
        <f>"20190312151525429"</f>
        <v>20190312151525429</v>
      </c>
      <c r="B1434" t="str">
        <f>"1552374925419009"</f>
        <v>1552374925419009</v>
      </c>
      <c r="C1434" t="s">
        <v>40</v>
      </c>
      <c r="D1434">
        <v>5.1926389999999998</v>
      </c>
      <c r="E1434">
        <v>0.63180859999999905</v>
      </c>
      <c r="F1434" t="s">
        <v>50</v>
      </c>
      <c r="G1434">
        <v>-198.042</v>
      </c>
      <c r="H1434" s="1">
        <v>1.343235E-6</v>
      </c>
      <c r="I1434">
        <v>292.95400000000001</v>
      </c>
      <c r="J1434">
        <v>-191.22460000000001</v>
      </c>
      <c r="K1434">
        <v>1.1067880000000001</v>
      </c>
      <c r="L1434">
        <v>301.44729999999998</v>
      </c>
      <c r="M1434">
        <v>-0.16932539999999999</v>
      </c>
      <c r="N1434">
        <v>0</v>
      </c>
      <c r="O1434">
        <v>-0.98546330000000004</v>
      </c>
      <c r="P1434">
        <v>-0.32718390000000003</v>
      </c>
      <c r="Q1434">
        <v>-3.6915589999999998E-2</v>
      </c>
      <c r="R1434">
        <v>-0.9442393</v>
      </c>
      <c r="S1434">
        <v>-1.962631</v>
      </c>
      <c r="T1434">
        <v>-0.31667099999999998</v>
      </c>
      <c r="U1434">
        <v>-2.4913940000000001</v>
      </c>
      <c r="V1434">
        <v>0.16238229999999901</v>
      </c>
      <c r="W1434">
        <v>-2.4492400000000001E-2</v>
      </c>
      <c r="X1434">
        <v>0.98642390000000002</v>
      </c>
      <c r="Y1434">
        <v>0.47361750000000002</v>
      </c>
      <c r="Z1434">
        <v>0.1021758</v>
      </c>
      <c r="AA1434">
        <v>0.8747838</v>
      </c>
      <c r="AB1434">
        <v>21</v>
      </c>
      <c r="AC1434">
        <v>-6.8173999999999904</v>
      </c>
      <c r="AD1434">
        <v>-1.106786656765</v>
      </c>
      <c r="AE1434">
        <v>-8.4932999999999694</v>
      </c>
      <c r="AF1434">
        <v>5.2266917312722398</v>
      </c>
      <c r="AG1434">
        <v>-1.106786656765</v>
      </c>
      <c r="AH1434">
        <v>9.4277391077797894</v>
      </c>
      <c r="AI1434">
        <v>95.862235267141003</v>
      </c>
      <c r="AJ1434">
        <v>60.996231667359098</v>
      </c>
      <c r="AK1434">
        <v>10.8363069281791</v>
      </c>
      <c r="AL1434">
        <v>91.403451490883995</v>
      </c>
      <c r="AM1434">
        <v>80.651970030939694</v>
      </c>
      <c r="AN1434">
        <v>0.99999999975112996</v>
      </c>
    </row>
    <row r="1435" spans="1:40" x14ac:dyDescent="0.25">
      <c r="A1435" t="str">
        <f>"20190312151525452"</f>
        <v>20190312151525452</v>
      </c>
      <c r="B1435" t="str">
        <f>"1552374925449267"</f>
        <v>1552374925449267</v>
      </c>
      <c r="C1435" t="s">
        <v>40</v>
      </c>
      <c r="D1435">
        <v>5.2497309999999997</v>
      </c>
      <c r="E1435">
        <v>0.63187409999999999</v>
      </c>
      <c r="F1435" t="s">
        <v>50</v>
      </c>
      <c r="G1435">
        <v>-198.08629999999999</v>
      </c>
      <c r="H1435" s="1">
        <v>1.3572530000000001E-6</v>
      </c>
      <c r="I1435">
        <v>292.85210000000001</v>
      </c>
      <c r="J1435">
        <v>-191.26580000000001</v>
      </c>
      <c r="K1435">
        <v>1.106781</v>
      </c>
      <c r="L1435">
        <v>301.24329999999998</v>
      </c>
      <c r="M1435">
        <v>-0.17447279999999901</v>
      </c>
      <c r="N1435">
        <v>0</v>
      </c>
      <c r="O1435">
        <v>-0.98456500000000002</v>
      </c>
      <c r="P1435">
        <v>-0.33274799999999999</v>
      </c>
      <c r="Q1435">
        <v>-3.7111539999999998E-2</v>
      </c>
      <c r="R1435">
        <v>-0.9422855</v>
      </c>
      <c r="S1435">
        <v>-1.9790190000000001</v>
      </c>
      <c r="T1435">
        <v>-0.31921100000000002</v>
      </c>
      <c r="U1435">
        <v>-2.4789430000000001</v>
      </c>
      <c r="V1435">
        <v>0.16304540000000001</v>
      </c>
      <c r="W1435">
        <v>-2.4697190000000001E-2</v>
      </c>
      <c r="X1435">
        <v>0.9863094</v>
      </c>
      <c r="Y1435">
        <v>0.47464309999999998</v>
      </c>
      <c r="Z1435">
        <v>0.10302550000000001</v>
      </c>
      <c r="AA1435">
        <v>0.87412789999999996</v>
      </c>
      <c r="AB1435">
        <v>21</v>
      </c>
      <c r="AC1435">
        <v>-6.8204999999999796</v>
      </c>
      <c r="AD1435">
        <v>-1.106779642747</v>
      </c>
      <c r="AE1435">
        <v>-8.3911999999999694</v>
      </c>
      <c r="AF1435">
        <v>5.1972452178513704</v>
      </c>
      <c r="AG1435">
        <v>-1.106779642747</v>
      </c>
      <c r="AH1435">
        <v>9.3545787923810604</v>
      </c>
      <c r="AI1435">
        <v>95.904766366878206</v>
      </c>
      <c r="AJ1435">
        <v>60.944193067815299</v>
      </c>
      <c r="AK1435">
        <v>10.7584600856694</v>
      </c>
      <c r="AL1435">
        <v>91.415188653482303</v>
      </c>
      <c r="AM1435">
        <v>80.613404374471699</v>
      </c>
      <c r="AN1435">
        <v>0.99999999309170795</v>
      </c>
    </row>
    <row r="1436" spans="1:40" x14ac:dyDescent="0.25">
      <c r="A1436" t="str">
        <f>"20190312151525476"</f>
        <v>20190312151525476</v>
      </c>
      <c r="B1436" t="str">
        <f>"1552374925468786"</f>
        <v>1552374925468786</v>
      </c>
      <c r="C1436" t="s">
        <v>40</v>
      </c>
      <c r="D1436">
        <v>5.2108140000000001</v>
      </c>
      <c r="E1436">
        <v>0.6318203</v>
      </c>
      <c r="F1436" t="s">
        <v>50</v>
      </c>
      <c r="G1436">
        <v>-198.11619999999999</v>
      </c>
      <c r="H1436" s="1">
        <v>1.3692430000000001E-6</v>
      </c>
      <c r="I1436">
        <v>292.76900000000001</v>
      </c>
      <c r="J1436">
        <v>-191.31120000000001</v>
      </c>
      <c r="K1436">
        <v>1.1067720000000001</v>
      </c>
      <c r="L1436">
        <v>301.02550000000002</v>
      </c>
      <c r="M1436">
        <v>-0.1800022</v>
      </c>
      <c r="N1436">
        <v>0</v>
      </c>
      <c r="O1436">
        <v>-0.98356920000000003</v>
      </c>
      <c r="P1436">
        <v>-0.33957779999999999</v>
      </c>
      <c r="Q1436">
        <v>-3.7807760000000003E-2</v>
      </c>
      <c r="R1436">
        <v>-0.93981789999999998</v>
      </c>
      <c r="S1436">
        <v>-1.99411</v>
      </c>
      <c r="T1436">
        <v>-0.32217839999999998</v>
      </c>
      <c r="U1436">
        <v>-2.4668269999999999</v>
      </c>
      <c r="V1436">
        <v>0.1646601</v>
      </c>
      <c r="W1436">
        <v>-2.541297E-2</v>
      </c>
      <c r="X1436">
        <v>0.98602290000000004</v>
      </c>
      <c r="Y1436">
        <v>0.47497420000000001</v>
      </c>
      <c r="Z1436">
        <v>0.104018899999999</v>
      </c>
      <c r="AA1436">
        <v>0.87383040000000001</v>
      </c>
      <c r="AB1436">
        <v>21</v>
      </c>
      <c r="AC1436">
        <v>-6.8049999999999704</v>
      </c>
      <c r="AD1436">
        <v>-1.10677063075699</v>
      </c>
      <c r="AE1436">
        <v>-8.2565000000000097</v>
      </c>
      <c r="AF1436">
        <v>5.1523655584768697</v>
      </c>
      <c r="AG1436">
        <v>-1.10677063075699</v>
      </c>
      <c r="AH1436">
        <v>9.2476933276777</v>
      </c>
      <c r="AI1436">
        <v>95.968525581076705</v>
      </c>
      <c r="AJ1436">
        <v>60.875571685619803</v>
      </c>
      <c r="AK1436">
        <v>10.643854750984699</v>
      </c>
      <c r="AL1436">
        <v>91.456212749467099</v>
      </c>
      <c r="AM1436">
        <v>80.519419984802695</v>
      </c>
      <c r="AN1436">
        <v>0.99999996345031905</v>
      </c>
    </row>
    <row r="1437" spans="1:40" x14ac:dyDescent="0.25">
      <c r="A1437" t="str">
        <f>"20190312151525498"</f>
        <v>20190312151525498</v>
      </c>
      <c r="B1437" t="str">
        <f>"1552374925489282"</f>
        <v>1552374925489282</v>
      </c>
      <c r="C1437" t="s">
        <v>40</v>
      </c>
      <c r="D1437">
        <v>5.3862129999999997</v>
      </c>
      <c r="E1437">
        <v>0.63208209999999998</v>
      </c>
      <c r="F1437" t="s">
        <v>50</v>
      </c>
      <c r="G1437">
        <v>-198.13460000000001</v>
      </c>
      <c r="H1437" s="1">
        <v>1.378467E-6</v>
      </c>
      <c r="I1437">
        <v>292.70740000000001</v>
      </c>
      <c r="J1437">
        <v>-191.35570000000001</v>
      </c>
      <c r="K1437">
        <v>1.106765</v>
      </c>
      <c r="L1437">
        <v>300.81779999999998</v>
      </c>
      <c r="M1437">
        <v>-0.18530579999999999</v>
      </c>
      <c r="N1437">
        <v>0</v>
      </c>
      <c r="O1437">
        <v>-0.98258380000000001</v>
      </c>
      <c r="P1437">
        <v>-0.34479330000000002</v>
      </c>
      <c r="Q1437">
        <v>-3.8148179999999997E-2</v>
      </c>
      <c r="R1437">
        <v>-0.93790300000000004</v>
      </c>
      <c r="S1437">
        <v>-2.011536</v>
      </c>
      <c r="T1437">
        <v>-0.32627489999999998</v>
      </c>
      <c r="U1437">
        <v>-2.4521790000000001</v>
      </c>
      <c r="V1437">
        <v>0.16481750000000001</v>
      </c>
      <c r="W1437">
        <v>-2.5758639999999999E-2</v>
      </c>
      <c r="X1437">
        <v>0.98598770000000002</v>
      </c>
      <c r="Y1437">
        <v>0.47641339999999999</v>
      </c>
      <c r="Z1437">
        <v>0.105394</v>
      </c>
      <c r="AA1437">
        <v>0.87288169999999898</v>
      </c>
      <c r="AB1437">
        <v>21</v>
      </c>
      <c r="AC1437">
        <v>-6.7788999999999904</v>
      </c>
      <c r="AD1437">
        <v>-1.1067636215329999</v>
      </c>
      <c r="AE1437">
        <v>-8.1103999999999701</v>
      </c>
      <c r="AF1437">
        <v>5.1024865137875004</v>
      </c>
      <c r="AG1437">
        <v>-1.1067636215329999</v>
      </c>
      <c r="AH1437">
        <v>9.1261470077261002</v>
      </c>
      <c r="AI1437">
        <v>96.042402266784407</v>
      </c>
      <c r="AJ1437">
        <v>60.790168273683697</v>
      </c>
      <c r="AK1437">
        <v>10.5141263804445</v>
      </c>
      <c r="AL1437">
        <v>91.476024569688093</v>
      </c>
      <c r="AM1437">
        <v>80.510189548266695</v>
      </c>
      <c r="AN1437">
        <v>1.0000000301960901</v>
      </c>
    </row>
    <row r="1438" spans="1:40" x14ac:dyDescent="0.25">
      <c r="A1438" t="str">
        <f>"20190312151525519"</f>
        <v>20190312151525519</v>
      </c>
      <c r="B1438" t="str">
        <f>"1552374925508802"</f>
        <v>1552374925508802</v>
      </c>
      <c r="C1438" t="s">
        <v>40</v>
      </c>
      <c r="D1438">
        <v>5.6252559999999896</v>
      </c>
      <c r="E1438">
        <v>0.63223219999999902</v>
      </c>
      <c r="F1438" t="s">
        <v>50</v>
      </c>
      <c r="G1438">
        <v>-198.15559999999999</v>
      </c>
      <c r="H1438" s="1">
        <v>1.38977E-6</v>
      </c>
      <c r="I1438">
        <v>292.63260000000002</v>
      </c>
      <c r="J1438">
        <v>-191.39869999999999</v>
      </c>
      <c r="K1438">
        <v>1.1067579999999999</v>
      </c>
      <c r="L1438">
        <v>300.62189999999998</v>
      </c>
      <c r="M1438">
        <v>-0.19033130000000001</v>
      </c>
      <c r="N1438">
        <v>0</v>
      </c>
      <c r="O1438">
        <v>-0.98162280000000002</v>
      </c>
      <c r="P1438">
        <v>-0.35011769999999998</v>
      </c>
      <c r="Q1438">
        <v>-3.8521199999999998E-2</v>
      </c>
      <c r="R1438">
        <v>-0.93591369999999896</v>
      </c>
      <c r="S1438">
        <v>-2.0270839999999999</v>
      </c>
      <c r="T1438">
        <v>-0.32993109999999998</v>
      </c>
      <c r="U1438">
        <v>-2.4400330000000001</v>
      </c>
      <c r="V1438">
        <v>0.16537479999999999</v>
      </c>
      <c r="W1438">
        <v>-2.6140159999999999E-2</v>
      </c>
      <c r="X1438">
        <v>0.98588430000000005</v>
      </c>
      <c r="Y1438">
        <v>0.47726849999999998</v>
      </c>
      <c r="Z1438">
        <v>0.1065892</v>
      </c>
      <c r="AA1438">
        <v>0.87226919999999897</v>
      </c>
      <c r="AB1438">
        <v>21</v>
      </c>
      <c r="AC1438">
        <v>-6.7568999999999999</v>
      </c>
      <c r="AD1438">
        <v>-1.1067566102299999</v>
      </c>
      <c r="AE1438">
        <v>-7.9892999999999503</v>
      </c>
      <c r="AF1438">
        <v>5.0560339479809198</v>
      </c>
      <c r="AG1438">
        <v>-1.1067566102299999</v>
      </c>
      <c r="AH1438">
        <v>9.0283896883050208</v>
      </c>
      <c r="AI1438">
        <v>96.104951142916903</v>
      </c>
      <c r="AJ1438">
        <v>60.750517973754697</v>
      </c>
      <c r="AK1438">
        <v>10.4067386745952</v>
      </c>
      <c r="AL1438">
        <v>91.497891474613198</v>
      </c>
      <c r="AM1438">
        <v>80.4777077196199</v>
      </c>
      <c r="AN1438">
        <v>0.99999999271317697</v>
      </c>
    </row>
    <row r="1439" spans="1:40" x14ac:dyDescent="0.25">
      <c r="A1439" t="str">
        <f>"20190312151525543"</f>
        <v>20190312151525543</v>
      </c>
      <c r="B1439" t="str">
        <f>"1552374925539058"</f>
        <v>1552374925539058</v>
      </c>
      <c r="C1439" t="s">
        <v>40</v>
      </c>
      <c r="D1439">
        <v>5.2560419999999999</v>
      </c>
      <c r="E1439">
        <v>0.63232980000000005</v>
      </c>
      <c r="F1439" t="s">
        <v>50</v>
      </c>
      <c r="G1439">
        <v>-198.19130000000001</v>
      </c>
      <c r="H1439" s="1">
        <v>1.4015459999999901E-6</v>
      </c>
      <c r="I1439">
        <v>292.5478</v>
      </c>
      <c r="J1439">
        <v>-191.4486</v>
      </c>
      <c r="K1439">
        <v>1.106751</v>
      </c>
      <c r="L1439">
        <v>300.4008</v>
      </c>
      <c r="M1439">
        <v>-0.19603619999999999</v>
      </c>
      <c r="N1439">
        <v>0</v>
      </c>
      <c r="O1439">
        <v>-0.98049940000000002</v>
      </c>
      <c r="P1439">
        <v>-0.35622039999999999</v>
      </c>
      <c r="Q1439">
        <v>-3.8299069999999998E-2</v>
      </c>
      <c r="R1439">
        <v>-0.93361689999999997</v>
      </c>
      <c r="S1439">
        <v>-2.0423580000000001</v>
      </c>
      <c r="T1439">
        <v>-0.33277400000000001</v>
      </c>
      <c r="U1439">
        <v>-2.4277039999999999</v>
      </c>
      <c r="V1439">
        <v>0.16607739999999999</v>
      </c>
      <c r="W1439">
        <v>-2.5927740000000001E-2</v>
      </c>
      <c r="X1439">
        <v>0.98577179999999998</v>
      </c>
      <c r="Y1439">
        <v>0.47749920000000001</v>
      </c>
      <c r="Z1439">
        <v>0.107525</v>
      </c>
      <c r="AA1439">
        <v>0.87202800000000003</v>
      </c>
      <c r="AB1439">
        <v>21</v>
      </c>
      <c r="AC1439">
        <v>-6.7427000000000099</v>
      </c>
      <c r="AD1439">
        <v>-1.1067495984539999</v>
      </c>
      <c r="AE1439">
        <v>-7.8529999999999998</v>
      </c>
      <c r="AF1439">
        <v>5.0148878718276499</v>
      </c>
      <c r="AG1439">
        <v>-1.1067495984539999</v>
      </c>
      <c r="AH1439">
        <v>8.9205439871436401</v>
      </c>
      <c r="AI1439">
        <v>96.172508644886904</v>
      </c>
      <c r="AJ1439">
        <v>60.656486304955799</v>
      </c>
      <c r="AK1439">
        <v>10.293206500758</v>
      </c>
      <c r="AL1439">
        <v>91.485716573440399</v>
      </c>
      <c r="AM1439">
        <v>80.436926333358599</v>
      </c>
      <c r="AN1439">
        <v>0.99999999608375301</v>
      </c>
    </row>
    <row r="1440" spans="1:40" x14ac:dyDescent="0.25">
      <c r="A1440" t="str">
        <f>"20190312151525566"</f>
        <v>20190312151525566</v>
      </c>
      <c r="B1440" t="str">
        <f>"1552374925558577"</f>
        <v>1552374925558577</v>
      </c>
      <c r="C1440" t="s">
        <v>40</v>
      </c>
      <c r="D1440">
        <v>5.3027179999999996</v>
      </c>
      <c r="E1440">
        <v>0.63231300000000001</v>
      </c>
      <c r="F1440" t="s">
        <v>50</v>
      </c>
      <c r="G1440">
        <v>-198.23699999999999</v>
      </c>
      <c r="H1440" s="1">
        <v>1.415997E-6</v>
      </c>
      <c r="I1440">
        <v>292.4427</v>
      </c>
      <c r="J1440">
        <v>-191.49639999999999</v>
      </c>
      <c r="K1440">
        <v>1.106744</v>
      </c>
      <c r="L1440">
        <v>300.1943</v>
      </c>
      <c r="M1440">
        <v>-0.2013943</v>
      </c>
      <c r="N1440">
        <v>0</v>
      </c>
      <c r="O1440">
        <v>-0.97941290000000003</v>
      </c>
      <c r="P1440">
        <v>-0.3619154</v>
      </c>
      <c r="Q1440">
        <v>-3.8291440000000003E-2</v>
      </c>
      <c r="R1440">
        <v>-0.93142409999999998</v>
      </c>
      <c r="S1440">
        <v>-2.0590820000000001</v>
      </c>
      <c r="T1440">
        <v>-0.33570349999999999</v>
      </c>
      <c r="U1440">
        <v>-2.4138790000000001</v>
      </c>
      <c r="V1440">
        <v>0.1667071</v>
      </c>
      <c r="W1440">
        <v>-2.592962E-2</v>
      </c>
      <c r="X1440">
        <v>0.98566540000000002</v>
      </c>
      <c r="Y1440">
        <v>0.47859859999999999</v>
      </c>
      <c r="Z1440">
        <v>0.1084973</v>
      </c>
      <c r="AA1440">
        <v>0.87130459999999998</v>
      </c>
      <c r="AB1440">
        <v>21</v>
      </c>
      <c r="AC1440">
        <v>-6.7405999999999997</v>
      </c>
      <c r="AD1440">
        <v>-1.1067425840030001</v>
      </c>
      <c r="AE1440">
        <v>-7.7515999999999901</v>
      </c>
      <c r="AF1440">
        <v>4.98333816495437</v>
      </c>
      <c r="AG1440">
        <v>-1.1067425840030001</v>
      </c>
      <c r="AH1440">
        <v>8.8476876492221699</v>
      </c>
      <c r="AI1440">
        <v>96.220094700659402</v>
      </c>
      <c r="AJ1440">
        <v>60.610212924311703</v>
      </c>
      <c r="AK1440">
        <v>10.214700933054001</v>
      </c>
      <c r="AL1440">
        <v>91.485824406748506</v>
      </c>
      <c r="AM1440">
        <v>80.400323456813396</v>
      </c>
      <c r="AN1440">
        <v>0.99999994157045502</v>
      </c>
    </row>
    <row r="1441" spans="1:40" x14ac:dyDescent="0.25">
      <c r="A1441" t="str">
        <f>"20190312151525586"</f>
        <v>20190312151525586</v>
      </c>
      <c r="B1441" t="str">
        <f>"1552374925579073"</f>
        <v>1552374925579073</v>
      </c>
      <c r="C1441" t="s">
        <v>40</v>
      </c>
      <c r="D1441">
        <v>5.2569429999999997</v>
      </c>
      <c r="E1441">
        <v>0.63230679999999995</v>
      </c>
      <c r="F1441" t="s">
        <v>50</v>
      </c>
      <c r="G1441">
        <v>-198.28809999999999</v>
      </c>
      <c r="H1441" s="1">
        <v>1.431433E-6</v>
      </c>
      <c r="I1441">
        <v>292.32929999999999</v>
      </c>
      <c r="J1441">
        <v>-191.54159999999999</v>
      </c>
      <c r="K1441">
        <v>1.106735</v>
      </c>
      <c r="L1441">
        <v>300.00409999999999</v>
      </c>
      <c r="M1441">
        <v>-0.2063603</v>
      </c>
      <c r="N1441">
        <v>0</v>
      </c>
      <c r="O1441">
        <v>-0.97837879999999999</v>
      </c>
      <c r="P1441">
        <v>-0.36692419999999998</v>
      </c>
      <c r="Q1441">
        <v>-3.8451390000000002E-2</v>
      </c>
      <c r="R1441">
        <v>-0.92945619999999995</v>
      </c>
      <c r="S1441">
        <v>-2.073547</v>
      </c>
      <c r="T1441">
        <v>-0.33789609999999998</v>
      </c>
      <c r="U1441">
        <v>-2.4012449999999999</v>
      </c>
      <c r="V1441">
        <v>0.1670121</v>
      </c>
      <c r="W1441">
        <v>-2.609641E-2</v>
      </c>
      <c r="X1441">
        <v>0.98560939999999997</v>
      </c>
      <c r="Y1441">
        <v>0.47937350000000001</v>
      </c>
      <c r="Z1441">
        <v>0.10924010000000001</v>
      </c>
      <c r="AA1441">
        <v>0.8707857</v>
      </c>
      <c r="AB1441">
        <v>21</v>
      </c>
      <c r="AC1441">
        <v>-6.7464999999999904</v>
      </c>
      <c r="AD1441">
        <v>-1.1067335685669999</v>
      </c>
      <c r="AE1441">
        <v>-7.6748000000000003</v>
      </c>
      <c r="AF1441">
        <v>4.9591632927519997</v>
      </c>
      <c r="AG1441">
        <v>-1.1067335685669999</v>
      </c>
      <c r="AH1441">
        <v>8.7987066128841303</v>
      </c>
      <c r="AI1441">
        <v>96.253367544395601</v>
      </c>
      <c r="AJ1441">
        <v>60.593343217908703</v>
      </c>
      <c r="AK1441">
        <v>10.1604821645226</v>
      </c>
      <c r="AL1441">
        <v>91.495383952669698</v>
      </c>
      <c r="AM1441">
        <v>80.382551826392401</v>
      </c>
      <c r="AN1441">
        <v>0.99999997676482799</v>
      </c>
    </row>
    <row r="1442" spans="1:40" x14ac:dyDescent="0.25">
      <c r="A1442" t="str">
        <f>"20190312151525609"</f>
        <v>20190312151525609</v>
      </c>
      <c r="B1442" t="str">
        <f>"1552374925599570"</f>
        <v>1552374925599570</v>
      </c>
      <c r="C1442" t="s">
        <v>40</v>
      </c>
      <c r="D1442">
        <v>5.552181</v>
      </c>
      <c r="E1442">
        <v>0.6324805</v>
      </c>
      <c r="F1442" t="s">
        <v>50</v>
      </c>
      <c r="G1442">
        <v>-198.33709999999999</v>
      </c>
      <c r="H1442" s="1">
        <v>1.44619E-6</v>
      </c>
      <c r="I1442">
        <v>292.22089999999997</v>
      </c>
      <c r="J1442">
        <v>-191.59049999999999</v>
      </c>
      <c r="K1442">
        <v>1.1067149999999999</v>
      </c>
      <c r="L1442">
        <v>299.80290000000002</v>
      </c>
      <c r="M1442">
        <v>-0.21164379999999999</v>
      </c>
      <c r="N1442">
        <v>0</v>
      </c>
      <c r="O1442">
        <v>-0.97724940000000005</v>
      </c>
      <c r="P1442">
        <v>-0.37232280000000001</v>
      </c>
      <c r="Q1442">
        <v>-3.892661E-2</v>
      </c>
      <c r="R1442">
        <v>-0.92728690000000003</v>
      </c>
      <c r="S1442">
        <v>-2.0865779999999998</v>
      </c>
      <c r="T1442">
        <v>-0.33982570000000001</v>
      </c>
      <c r="U1442">
        <v>-2.3898619999999999</v>
      </c>
      <c r="V1442">
        <v>0.1674177</v>
      </c>
      <c r="W1442">
        <v>-2.6580550000000001E-2</v>
      </c>
      <c r="X1442">
        <v>0.98552770000000001</v>
      </c>
      <c r="Y1442">
        <v>0.47934280000000001</v>
      </c>
      <c r="Z1442">
        <v>0.10988339999999901</v>
      </c>
      <c r="AA1442">
        <v>0.87072159999999998</v>
      </c>
      <c r="AB1442">
        <v>21</v>
      </c>
      <c r="AC1442">
        <v>-6.7465999999999999</v>
      </c>
      <c r="AD1442">
        <v>-1.1067135538099999</v>
      </c>
      <c r="AE1442">
        <v>-7.5820000000000496</v>
      </c>
      <c r="AF1442">
        <v>4.9302767291155796</v>
      </c>
      <c r="AG1442">
        <v>-1.1067135538099999</v>
      </c>
      <c r="AH1442">
        <v>8.7343624535013102</v>
      </c>
      <c r="AI1442">
        <v>96.296694260601797</v>
      </c>
      <c r="AJ1442">
        <v>60.556619589717499</v>
      </c>
      <c r="AK1442">
        <v>10.090665537266499</v>
      </c>
      <c r="AL1442">
        <v>91.523132678208199</v>
      </c>
      <c r="AM1442">
        <v>80.358848844228106</v>
      </c>
      <c r="AN1442">
        <v>1.00000002968944</v>
      </c>
    </row>
    <row r="1443" spans="1:40" x14ac:dyDescent="0.25">
      <c r="A1443" t="str">
        <f>"20190312151525631"</f>
        <v>20190312151525631</v>
      </c>
      <c r="B1443" t="str">
        <f>"1552374925628850"</f>
        <v>1552374925628850</v>
      </c>
      <c r="C1443" t="s">
        <v>40</v>
      </c>
      <c r="D1443">
        <v>5.3010120000000001</v>
      </c>
      <c r="E1443">
        <v>0.63238380000000005</v>
      </c>
      <c r="F1443" t="s">
        <v>50</v>
      </c>
      <c r="G1443">
        <v>-198.35050000000001</v>
      </c>
      <c r="H1443" s="1">
        <v>1.4558690000000001E-6</v>
      </c>
      <c r="I1443">
        <v>292.15910000000002</v>
      </c>
      <c r="J1443">
        <v>-191.643</v>
      </c>
      <c r="K1443">
        <v>1.1067009999999999</v>
      </c>
      <c r="L1443">
        <v>299.59190000000001</v>
      </c>
      <c r="M1443">
        <v>-0.21721280000000001</v>
      </c>
      <c r="N1443">
        <v>0</v>
      </c>
      <c r="O1443">
        <v>-0.97602670000000002</v>
      </c>
      <c r="P1443">
        <v>-0.3780231</v>
      </c>
      <c r="Q1443">
        <v>-3.9060329999999997E-2</v>
      </c>
      <c r="R1443">
        <v>-0.92497229999999997</v>
      </c>
      <c r="S1443">
        <v>-2.102036</v>
      </c>
      <c r="T1443">
        <v>-0.34413389999999999</v>
      </c>
      <c r="U1443">
        <v>-2.3768310000000001</v>
      </c>
      <c r="V1443">
        <v>0.16786289999999901</v>
      </c>
      <c r="W1443">
        <v>-2.6723739999999999E-2</v>
      </c>
      <c r="X1443">
        <v>0.98544810000000005</v>
      </c>
      <c r="Y1443">
        <v>0.47979179999999999</v>
      </c>
      <c r="Z1443">
        <v>0.11127629999999999</v>
      </c>
      <c r="AA1443">
        <v>0.87029729999999905</v>
      </c>
      <c r="AB1443">
        <v>21</v>
      </c>
      <c r="AC1443">
        <v>-6.7074999999999996</v>
      </c>
      <c r="AD1443">
        <v>-1.1066995441309999</v>
      </c>
      <c r="AE1443">
        <v>-7.4327999999999799</v>
      </c>
      <c r="AF1443">
        <v>4.8731255079362601</v>
      </c>
      <c r="AG1443">
        <v>-1.1066995441309999</v>
      </c>
      <c r="AH1443">
        <v>8.6072253431083503</v>
      </c>
      <c r="AI1443">
        <v>96.384251841293604</v>
      </c>
      <c r="AJ1443">
        <v>60.482899895507302</v>
      </c>
      <c r="AK1443">
        <v>9.9527113996199805</v>
      </c>
      <c r="AL1443">
        <v>91.531339768484898</v>
      </c>
      <c r="AM1443">
        <v>80.332927962604799</v>
      </c>
      <c r="AN1443">
        <v>1.0000000346347999</v>
      </c>
    </row>
    <row r="1444" spans="1:40" x14ac:dyDescent="0.25">
      <c r="A1444" t="str">
        <f>"20190312151525654"</f>
        <v>20190312151525654</v>
      </c>
      <c r="B1444" t="str">
        <f>"1552374925649346"</f>
        <v>1552374925649346</v>
      </c>
      <c r="C1444" t="s">
        <v>40</v>
      </c>
      <c r="D1444">
        <v>5.4073929999999999</v>
      </c>
      <c r="E1444">
        <v>0.63260810000000001</v>
      </c>
      <c r="F1444" t="s">
        <v>50</v>
      </c>
      <c r="G1444">
        <v>-198.37860000000001</v>
      </c>
      <c r="H1444" s="1">
        <v>1.469826E-6</v>
      </c>
      <c r="I1444">
        <v>292.06569999999999</v>
      </c>
      <c r="J1444">
        <v>-191.69200000000001</v>
      </c>
      <c r="K1444">
        <v>1.1066959999999999</v>
      </c>
      <c r="L1444">
        <v>299.40010000000001</v>
      </c>
      <c r="M1444">
        <v>-0.222307</v>
      </c>
      <c r="N1444">
        <v>0</v>
      </c>
      <c r="O1444">
        <v>-0.9748791</v>
      </c>
      <c r="P1444">
        <v>-0.38371670000000002</v>
      </c>
      <c r="Q1444">
        <v>-3.93376E-2</v>
      </c>
      <c r="R1444">
        <v>-0.92261289999999996</v>
      </c>
      <c r="S1444">
        <v>-2.115723</v>
      </c>
      <c r="T1444">
        <v>-0.3476245</v>
      </c>
      <c r="U1444">
        <v>-2.3640439999999998</v>
      </c>
      <c r="V1444">
        <v>0.16878950000000001</v>
      </c>
      <c r="W1444">
        <v>-2.7014360000000001E-2</v>
      </c>
      <c r="X1444">
        <v>0.98528179999999999</v>
      </c>
      <c r="Y1444">
        <v>0.48026780000000002</v>
      </c>
      <c r="Z1444">
        <v>0.1124337</v>
      </c>
      <c r="AA1444">
        <v>0.86988589999999999</v>
      </c>
      <c r="AB1444">
        <v>21</v>
      </c>
      <c r="AC1444">
        <v>-6.6865999999999897</v>
      </c>
      <c r="AD1444">
        <v>-1.1066945301740001</v>
      </c>
      <c r="AE1444">
        <v>-7.3344000000000102</v>
      </c>
      <c r="AF1444">
        <v>4.8285663001917403</v>
      </c>
      <c r="AG1444">
        <v>-1.1066945301740001</v>
      </c>
      <c r="AH1444">
        <v>8.5313764736441797</v>
      </c>
      <c r="AI1444">
        <v>96.441026395439593</v>
      </c>
      <c r="AJ1444">
        <v>60.4911195229679</v>
      </c>
      <c r="AK1444">
        <v>9.8653033320579606</v>
      </c>
      <c r="AL1444">
        <v>91.5479972151916</v>
      </c>
      <c r="AM1444">
        <v>80.278971848089697</v>
      </c>
      <c r="AN1444">
        <v>0.99999994818384796</v>
      </c>
    </row>
    <row r="1445" spans="1:40" x14ac:dyDescent="0.25">
      <c r="A1445" t="str">
        <f>"20190312151525676"</f>
        <v>20190312151525676</v>
      </c>
      <c r="B1445" t="str">
        <f>"1552374925668865"</f>
        <v>1552374925668865</v>
      </c>
      <c r="C1445" t="s">
        <v>40</v>
      </c>
      <c r="D1445">
        <v>5.3076530000000002</v>
      </c>
      <c r="E1445">
        <v>0.63249869999999997</v>
      </c>
      <c r="F1445" t="s">
        <v>50</v>
      </c>
      <c r="G1445">
        <v>-198.40710000000001</v>
      </c>
      <c r="H1445" s="1">
        <v>1.4792169999999901E-6</v>
      </c>
      <c r="I1445">
        <v>291.99810000000002</v>
      </c>
      <c r="J1445">
        <v>-191.74600000000001</v>
      </c>
      <c r="K1445">
        <v>1.1066959999999999</v>
      </c>
      <c r="L1445">
        <v>299.1934</v>
      </c>
      <c r="M1445">
        <v>-0.22781989999999999</v>
      </c>
      <c r="N1445">
        <v>0</v>
      </c>
      <c r="O1445">
        <v>-0.97360550000000001</v>
      </c>
      <c r="P1445">
        <v>-0.38960440000000002</v>
      </c>
      <c r="Q1445">
        <v>-3.9590430000000003E-2</v>
      </c>
      <c r="R1445">
        <v>-0.92013109999999998</v>
      </c>
      <c r="S1445">
        <v>-2.1319430000000001</v>
      </c>
      <c r="T1445">
        <v>-0.35135719999999998</v>
      </c>
      <c r="U1445">
        <v>-2.350006</v>
      </c>
      <c r="V1445">
        <v>0.16950999999999999</v>
      </c>
      <c r="W1445">
        <v>-2.7276979999999999E-2</v>
      </c>
      <c r="X1445">
        <v>0.98515090000000005</v>
      </c>
      <c r="Y1445">
        <v>0.48110160000000002</v>
      </c>
      <c r="Z1445">
        <v>0.1136417</v>
      </c>
      <c r="AA1445">
        <v>0.86926800000000004</v>
      </c>
      <c r="AB1445">
        <v>21</v>
      </c>
      <c r="AC1445">
        <v>-6.6611000000000304</v>
      </c>
      <c r="AD1445">
        <v>-1.1066945207829999</v>
      </c>
      <c r="AE1445">
        <v>-7.1952999999999703</v>
      </c>
      <c r="AF1445">
        <v>4.7855488208500301</v>
      </c>
      <c r="AG1445">
        <v>-1.1066945207829999</v>
      </c>
      <c r="AH1445">
        <v>8.4165074280192709</v>
      </c>
      <c r="AI1445">
        <v>96.520925247281596</v>
      </c>
      <c r="AJ1445">
        <v>60.377837466154702</v>
      </c>
      <c r="AK1445">
        <v>9.7449395875486999</v>
      </c>
      <c r="AL1445">
        <v>91.5630497235002</v>
      </c>
      <c r="AM1445">
        <v>80.237000970618993</v>
      </c>
      <c r="AN1445">
        <v>0.99999998475436502</v>
      </c>
    </row>
    <row r="1446" spans="1:40" x14ac:dyDescent="0.25">
      <c r="A1446" t="str">
        <f>"20190312151525697"</f>
        <v>20190312151525697</v>
      </c>
      <c r="B1446" t="str">
        <f>"1552374925689362"</f>
        <v>1552374925689362</v>
      </c>
      <c r="C1446" t="s">
        <v>40</v>
      </c>
      <c r="D1446">
        <v>5.2978319999999997</v>
      </c>
      <c r="E1446">
        <v>0.63233890000000004</v>
      </c>
      <c r="F1446" t="s">
        <v>50</v>
      </c>
      <c r="G1446">
        <v>-198.45429999999999</v>
      </c>
      <c r="H1446" s="1">
        <v>1.4939030000000001E-6</v>
      </c>
      <c r="I1446">
        <v>291.89089999999999</v>
      </c>
      <c r="J1446">
        <v>-191.7972</v>
      </c>
      <c r="K1446">
        <v>1.1066959999999999</v>
      </c>
      <c r="L1446">
        <v>299.0016</v>
      </c>
      <c r="M1446">
        <v>-0.23295360000000001</v>
      </c>
      <c r="N1446">
        <v>0</v>
      </c>
      <c r="O1446">
        <v>-0.97238999999999998</v>
      </c>
      <c r="P1446">
        <v>-0.39474920000000002</v>
      </c>
      <c r="Q1446">
        <v>-4.0157659999999998E-2</v>
      </c>
      <c r="R1446">
        <v>-0.91791120000000004</v>
      </c>
      <c r="S1446">
        <v>-2.1462400000000001</v>
      </c>
      <c r="T1446">
        <v>-0.35407260000000002</v>
      </c>
      <c r="U1446">
        <v>-2.3363339999999999</v>
      </c>
      <c r="V1446">
        <v>0.16982829999999999</v>
      </c>
      <c r="W1446">
        <v>-2.7848089999999999E-2</v>
      </c>
      <c r="X1446">
        <v>0.98508010000000001</v>
      </c>
      <c r="Y1446">
        <v>0.48183300000000001</v>
      </c>
      <c r="Z1446">
        <v>0.1145504</v>
      </c>
      <c r="AA1446">
        <v>0.8687435</v>
      </c>
      <c r="AB1446">
        <v>21</v>
      </c>
      <c r="AC1446">
        <v>-6.6570999999999803</v>
      </c>
      <c r="AD1446">
        <v>-1.1066945060969999</v>
      </c>
      <c r="AE1446">
        <v>-7.1106999999999996</v>
      </c>
      <c r="AF1446">
        <v>4.7558998404706196</v>
      </c>
      <c r="AG1446">
        <v>-1.1066945060969999</v>
      </c>
      <c r="AH1446">
        <v>8.3580819403872102</v>
      </c>
      <c r="AI1446">
        <v>96.564916603787296</v>
      </c>
      <c r="AJ1446">
        <v>60.359340714880901</v>
      </c>
      <c r="AK1446">
        <v>9.6799219906278502</v>
      </c>
      <c r="AL1446">
        <v>91.595784352384896</v>
      </c>
      <c r="AM1446">
        <v>80.218332721847702</v>
      </c>
      <c r="AN1446">
        <v>0.99999998550677305</v>
      </c>
    </row>
    <row r="1447" spans="1:40" x14ac:dyDescent="0.25">
      <c r="A1447" t="str">
        <f>"20190312151525721"</f>
        <v>20190312151525721</v>
      </c>
      <c r="B1447" t="str">
        <f>"1552374925708886"</f>
        <v>1552374925708886</v>
      </c>
      <c r="C1447" t="s">
        <v>40</v>
      </c>
      <c r="D1447">
        <v>5.3857200000000001</v>
      </c>
      <c r="E1447">
        <v>0.63230450000000005</v>
      </c>
      <c r="F1447" t="s">
        <v>50</v>
      </c>
      <c r="G1447">
        <v>-198.4898</v>
      </c>
      <c r="H1447" s="1">
        <v>1.5081640000000001E-6</v>
      </c>
      <c r="I1447">
        <v>291.7921</v>
      </c>
      <c r="J1447">
        <v>-191.8545</v>
      </c>
      <c r="K1447">
        <v>1.1067009999999999</v>
      </c>
      <c r="L1447">
        <v>298.79219999999998</v>
      </c>
      <c r="M1447">
        <v>-0.2385698</v>
      </c>
      <c r="N1447">
        <v>0</v>
      </c>
      <c r="O1447">
        <v>-0.97102730000000004</v>
      </c>
      <c r="P1447">
        <v>-0.4000725</v>
      </c>
      <c r="Q1447">
        <v>-4.0502730000000001E-2</v>
      </c>
      <c r="R1447">
        <v>-0.91558839999999997</v>
      </c>
      <c r="S1447">
        <v>-2.1579899999999999</v>
      </c>
      <c r="T1447">
        <v>-0.35684749999999998</v>
      </c>
      <c r="U1447">
        <v>-2.3246769999999999</v>
      </c>
      <c r="V1447">
        <v>0.16985639999999999</v>
      </c>
      <c r="W1447">
        <v>-2.819228E-2</v>
      </c>
      <c r="X1447">
        <v>0.98506550000000004</v>
      </c>
      <c r="Y1447">
        <v>0.4812361</v>
      </c>
      <c r="Z1447">
        <v>0.1154601</v>
      </c>
      <c r="AA1447">
        <v>0.86895389999999995</v>
      </c>
      <c r="AB1447">
        <v>21</v>
      </c>
      <c r="AC1447">
        <v>-6.6353</v>
      </c>
      <c r="AD1447">
        <v>-1.106699491836</v>
      </c>
      <c r="AE1447">
        <v>-7.0000999999999696</v>
      </c>
      <c r="AF1447">
        <v>4.7114698753776096</v>
      </c>
      <c r="AG1447">
        <v>-1.106699491836</v>
      </c>
      <c r="AH1447">
        <v>8.2721599380199304</v>
      </c>
      <c r="AI1447">
        <v>96.631006796491207</v>
      </c>
      <c r="AJ1447">
        <v>60.336004026234598</v>
      </c>
      <c r="AK1447">
        <v>9.5839116331486895</v>
      </c>
      <c r="AL1447">
        <v>91.615512677125594</v>
      </c>
      <c r="AM1447">
        <v>80.216603309301405</v>
      </c>
      <c r="AN1447">
        <v>1.0000000202813999</v>
      </c>
    </row>
    <row r="1448" spans="1:40" x14ac:dyDescent="0.25">
      <c r="A1448" t="str">
        <f>"20190312151525745"</f>
        <v>20190312151525745</v>
      </c>
      <c r="B1448" t="str">
        <f>"1552374925739138"</f>
        <v>1552374925739138</v>
      </c>
      <c r="C1448" t="s">
        <v>40</v>
      </c>
      <c r="D1448">
        <v>5.3619459999999997</v>
      </c>
      <c r="E1448">
        <v>0.63214959999999998</v>
      </c>
      <c r="F1448" t="s">
        <v>50</v>
      </c>
      <c r="G1448">
        <v>-198.53720000000001</v>
      </c>
      <c r="H1448" s="1">
        <v>1.5241679999999999E-6</v>
      </c>
      <c r="I1448">
        <v>291.6773</v>
      </c>
      <c r="J1448">
        <v>-191.9152</v>
      </c>
      <c r="K1448">
        <v>1.106708</v>
      </c>
      <c r="L1448">
        <v>298.57499999999999</v>
      </c>
      <c r="M1448">
        <v>-0.24440400000000001</v>
      </c>
      <c r="N1448">
        <v>0</v>
      </c>
      <c r="O1448">
        <v>-0.96957530000000003</v>
      </c>
      <c r="P1448">
        <v>-0.40534029999999999</v>
      </c>
      <c r="Q1448">
        <v>-4.1015320000000001E-2</v>
      </c>
      <c r="R1448">
        <v>-0.91324559999999999</v>
      </c>
      <c r="S1448">
        <v>-2.1713870000000002</v>
      </c>
      <c r="T1448">
        <v>-0.35959259999999998</v>
      </c>
      <c r="U1448">
        <v>-2.311798</v>
      </c>
      <c r="V1448">
        <v>0.1696106</v>
      </c>
      <c r="W1448">
        <v>-2.8699869999999999E-2</v>
      </c>
      <c r="X1448">
        <v>0.9850932</v>
      </c>
      <c r="Y1448">
        <v>0.4809949</v>
      </c>
      <c r="Z1448">
        <v>0.11635040000000001</v>
      </c>
      <c r="AA1448">
        <v>0.86896870000000004</v>
      </c>
      <c r="AB1448">
        <v>21</v>
      </c>
      <c r="AC1448">
        <v>-6.6220000000000097</v>
      </c>
      <c r="AD1448">
        <v>-1.106706475832</v>
      </c>
      <c r="AE1448">
        <v>-6.89769999999998</v>
      </c>
      <c r="AF1448">
        <v>4.6725586977397198</v>
      </c>
      <c r="AG1448">
        <v>-1.106706475832</v>
      </c>
      <c r="AH1448">
        <v>8.1972619916884799</v>
      </c>
      <c r="AI1448">
        <v>96.6897851874498</v>
      </c>
      <c r="AJ1448">
        <v>60.316230117793602</v>
      </c>
      <c r="AK1448">
        <v>9.5001425340808492</v>
      </c>
      <c r="AL1448">
        <v>91.644607206834095</v>
      </c>
      <c r="AM1448">
        <v>80.230757316280005</v>
      </c>
      <c r="AN1448">
        <v>1.0000000254282999</v>
      </c>
    </row>
    <row r="1449" spans="1:40" x14ac:dyDescent="0.25">
      <c r="A1449" t="str">
        <f>"20190312151525767"</f>
        <v>20190312151525767</v>
      </c>
      <c r="B1449" t="str">
        <f>"1552374925758658"</f>
        <v>1552374925758658</v>
      </c>
      <c r="C1449" t="s">
        <v>40</v>
      </c>
      <c r="D1449">
        <v>5.3330869999999999</v>
      </c>
      <c r="E1449">
        <v>0.63203109999999996</v>
      </c>
      <c r="F1449" t="s">
        <v>50</v>
      </c>
      <c r="G1449">
        <v>-198.55709999999999</v>
      </c>
      <c r="H1449" s="1">
        <v>1.5398109999999999E-6</v>
      </c>
      <c r="I1449">
        <v>291.57850000000002</v>
      </c>
      <c r="J1449">
        <v>-191.97049999999999</v>
      </c>
      <c r="K1449">
        <v>1.106719</v>
      </c>
      <c r="L1449">
        <v>298.38150000000002</v>
      </c>
      <c r="M1449">
        <v>-0.24960170000000001</v>
      </c>
      <c r="N1449">
        <v>0</v>
      </c>
      <c r="O1449">
        <v>-0.96825019999999995</v>
      </c>
      <c r="P1449">
        <v>-0.40988989999999997</v>
      </c>
      <c r="Q1449">
        <v>-4.1704919999999999E-2</v>
      </c>
      <c r="R1449">
        <v>-0.91118120000000002</v>
      </c>
      <c r="S1449">
        <v>-2.1831510000000001</v>
      </c>
      <c r="T1449">
        <v>-0.36376710000000001</v>
      </c>
      <c r="U1449">
        <v>-2.2997130000000001</v>
      </c>
      <c r="V1449">
        <v>0.1692428</v>
      </c>
      <c r="W1449">
        <v>-2.9383079999999999E-2</v>
      </c>
      <c r="X1449">
        <v>0.98513629999999996</v>
      </c>
      <c r="Y1449">
        <v>0.48080699999999998</v>
      </c>
      <c r="Z1449">
        <v>0.1177103</v>
      </c>
      <c r="AA1449">
        <v>0.86888949999999998</v>
      </c>
      <c r="AB1449">
        <v>21</v>
      </c>
      <c r="AC1449">
        <v>-6.5865999999999998</v>
      </c>
      <c r="AD1449">
        <v>-1.106717460189</v>
      </c>
      <c r="AE1449">
        <v>-6.8029999999999902</v>
      </c>
      <c r="AF1449">
        <v>4.6168159651134903</v>
      </c>
      <c r="AG1449">
        <v>-1.106717460189</v>
      </c>
      <c r="AH1449">
        <v>8.1208846031401691</v>
      </c>
      <c r="AI1449">
        <v>96.756515753534302</v>
      </c>
      <c r="AJ1449">
        <v>60.3812734794259</v>
      </c>
      <c r="AK1449">
        <v>9.4068368716552708</v>
      </c>
      <c r="AL1449">
        <v>91.683768799897706</v>
      </c>
      <c r="AM1449">
        <v>80.251953290827899</v>
      </c>
      <c r="AN1449">
        <v>1.0000000101599</v>
      </c>
    </row>
    <row r="1450" spans="1:40" x14ac:dyDescent="0.25">
      <c r="A1450" t="str">
        <f>"20190312151525788"</f>
        <v>20190312151525788</v>
      </c>
      <c r="B1450" t="str">
        <f>"1552374925779155"</f>
        <v>1552374925779155</v>
      </c>
      <c r="C1450" t="s">
        <v>40</v>
      </c>
      <c r="D1450">
        <v>5.3922800000000004</v>
      </c>
      <c r="E1450">
        <v>0.63195009999999996</v>
      </c>
      <c r="F1450" t="s">
        <v>50</v>
      </c>
      <c r="G1450">
        <v>-198.58090000000001</v>
      </c>
      <c r="H1450" s="1">
        <v>1.5540610000000001E-6</v>
      </c>
      <c r="I1450">
        <v>291.48559999999998</v>
      </c>
      <c r="J1450">
        <v>-192.02719999999999</v>
      </c>
      <c r="K1450">
        <v>1.1067309999999999</v>
      </c>
      <c r="L1450">
        <v>298.18669999999997</v>
      </c>
      <c r="M1450">
        <v>-0.25483250000000002</v>
      </c>
      <c r="N1450">
        <v>0</v>
      </c>
      <c r="O1450">
        <v>-0.96688680000000005</v>
      </c>
      <c r="P1450">
        <v>-0.41484949999999998</v>
      </c>
      <c r="Q1450">
        <v>-4.1501059999999999E-2</v>
      </c>
      <c r="R1450">
        <v>-0.90894350000000002</v>
      </c>
      <c r="S1450">
        <v>-2.193924</v>
      </c>
      <c r="T1450">
        <v>-0.36730410000000002</v>
      </c>
      <c r="U1450">
        <v>-2.2886660000000001</v>
      </c>
      <c r="V1450">
        <v>0.16928579999999999</v>
      </c>
      <c r="W1450">
        <v>-2.917641E-2</v>
      </c>
      <c r="X1450">
        <v>0.98513499999999998</v>
      </c>
      <c r="Y1450">
        <v>0.4802072</v>
      </c>
      <c r="Z1450">
        <v>0.11884989999999999</v>
      </c>
      <c r="AA1450">
        <v>0.86906609999999995</v>
      </c>
      <c r="AB1450">
        <v>21</v>
      </c>
      <c r="AC1450">
        <v>-6.5537000000000196</v>
      </c>
      <c r="AD1450">
        <v>-1.10672944593899</v>
      </c>
      <c r="AE1450">
        <v>-6.7010999999999896</v>
      </c>
      <c r="AF1450">
        <v>4.5658137157525296</v>
      </c>
      <c r="AG1450">
        <v>-1.10672944593899</v>
      </c>
      <c r="AH1450">
        <v>8.0380136259932407</v>
      </c>
      <c r="AI1450">
        <v>96.826999362994798</v>
      </c>
      <c r="AJ1450">
        <v>60.402228666238699</v>
      </c>
      <c r="AK1450">
        <v>9.3102721767473309</v>
      </c>
      <c r="AL1450">
        <v>91.671922491744795</v>
      </c>
      <c r="AM1450">
        <v>80.249511492844306</v>
      </c>
      <c r="AN1450">
        <v>0.999999956603563</v>
      </c>
    </row>
    <row r="1451" spans="1:40" x14ac:dyDescent="0.25">
      <c r="A1451" t="str">
        <f>"20190312151525810"</f>
        <v>20190312151525810</v>
      </c>
      <c r="B1451" t="str">
        <f>"1552374925798677"</f>
        <v>1552374925798677</v>
      </c>
      <c r="C1451" t="s">
        <v>40</v>
      </c>
      <c r="D1451">
        <v>5.3397880000000004</v>
      </c>
      <c r="E1451">
        <v>0.63180800000000004</v>
      </c>
      <c r="F1451" t="s">
        <v>50</v>
      </c>
      <c r="G1451">
        <v>-198.65880000000001</v>
      </c>
      <c r="H1451" s="1">
        <v>1.572524E-6</v>
      </c>
      <c r="I1451">
        <v>291.3415</v>
      </c>
      <c r="J1451">
        <v>-192.08349999999999</v>
      </c>
      <c r="K1451">
        <v>1.106744</v>
      </c>
      <c r="L1451">
        <v>297.99740000000003</v>
      </c>
      <c r="M1451">
        <v>-0.25991170000000002</v>
      </c>
      <c r="N1451">
        <v>0</v>
      </c>
      <c r="O1451">
        <v>-0.96553370000000005</v>
      </c>
      <c r="P1451">
        <v>-0.41967399999999999</v>
      </c>
      <c r="Q1451">
        <v>-4.1197190000000002E-2</v>
      </c>
      <c r="R1451">
        <v>-0.90673970000000004</v>
      </c>
      <c r="S1451">
        <v>-2.205902</v>
      </c>
      <c r="T1451">
        <v>-0.36813649999999998</v>
      </c>
      <c r="U1451">
        <v>-2.2769469999999998</v>
      </c>
      <c r="V1451">
        <v>0.16934189999999999</v>
      </c>
      <c r="W1451">
        <v>-2.886998E-2</v>
      </c>
      <c r="X1451">
        <v>0.98513439999999997</v>
      </c>
      <c r="Y1451">
        <v>0.48017690000000002</v>
      </c>
      <c r="Z1451">
        <v>0.1191157</v>
      </c>
      <c r="AA1451">
        <v>0.86904629999999905</v>
      </c>
      <c r="AB1451">
        <v>20</v>
      </c>
      <c r="AC1451">
        <v>-6.5753000000000199</v>
      </c>
      <c r="AD1451">
        <v>-1.106742427476</v>
      </c>
      <c r="AE1451">
        <v>-6.6559000000000301</v>
      </c>
      <c r="AF1451">
        <v>4.5554239316337997</v>
      </c>
      <c r="AG1451">
        <v>-1.106742427476</v>
      </c>
      <c r="AH1451">
        <v>8.0239894182271598</v>
      </c>
      <c r="AI1451">
        <v>96.839776701498806</v>
      </c>
      <c r="AJ1451">
        <v>60.415314796836597</v>
      </c>
      <c r="AK1451">
        <v>9.2930711921032199</v>
      </c>
      <c r="AL1451">
        <v>91.654357923010593</v>
      </c>
      <c r="AM1451">
        <v>80.246336485703395</v>
      </c>
      <c r="AN1451">
        <v>0.999999970452084</v>
      </c>
    </row>
    <row r="1452" spans="1:40" x14ac:dyDescent="0.25">
      <c r="A1452" t="str">
        <f>"20190312151525833"</f>
        <v>20190312151525833</v>
      </c>
      <c r="B1452" t="str">
        <f>"1552374925829427"</f>
        <v>1552374925829427</v>
      </c>
      <c r="C1452" t="s">
        <v>40</v>
      </c>
      <c r="D1452">
        <v>5.365075</v>
      </c>
      <c r="E1452">
        <v>0.63165719999999903</v>
      </c>
      <c r="F1452" t="s">
        <v>50</v>
      </c>
      <c r="G1452">
        <v>-198.73939999999999</v>
      </c>
      <c r="H1452" s="1">
        <v>1.5911549999999999E-6</v>
      </c>
      <c r="I1452">
        <v>291.1952</v>
      </c>
      <c r="J1452">
        <v>-192.1454</v>
      </c>
      <c r="K1452">
        <v>1.106754</v>
      </c>
      <c r="L1452">
        <v>297.79309999999998</v>
      </c>
      <c r="M1452">
        <v>-0.2653894</v>
      </c>
      <c r="N1452">
        <v>0</v>
      </c>
      <c r="O1452">
        <v>-0.96404259999999997</v>
      </c>
      <c r="P1452">
        <v>-0.42538939999999997</v>
      </c>
      <c r="Q1452">
        <v>-4.1157480000000003E-2</v>
      </c>
      <c r="R1452">
        <v>-0.9040743</v>
      </c>
      <c r="S1452">
        <v>-2.2169949999999998</v>
      </c>
      <c r="T1452">
        <v>-0.36864350000000001</v>
      </c>
      <c r="U1452">
        <v>-2.2657470000000002</v>
      </c>
      <c r="V1452">
        <v>0.16996789999999901</v>
      </c>
      <c r="W1452">
        <v>-2.8833620000000001E-2</v>
      </c>
      <c r="X1452">
        <v>0.98502769999999995</v>
      </c>
      <c r="Y1452">
        <v>0.47951450000000001</v>
      </c>
      <c r="Z1452">
        <v>0.1192676</v>
      </c>
      <c r="AA1452">
        <v>0.86939120000000003</v>
      </c>
      <c r="AB1452">
        <v>20</v>
      </c>
      <c r="AC1452">
        <v>-6.5939999999999896</v>
      </c>
      <c r="AD1452">
        <v>-1.106752408845</v>
      </c>
      <c r="AE1452">
        <v>-6.5978999999999797</v>
      </c>
      <c r="AF1452">
        <v>4.5423786062662499</v>
      </c>
      <c r="AG1452">
        <v>-1.106752408845</v>
      </c>
      <c r="AH1452">
        <v>7.9988055729233896</v>
      </c>
      <c r="AI1452">
        <v>96.860710951836495</v>
      </c>
      <c r="AJ1452">
        <v>60.408532081266998</v>
      </c>
      <c r="AK1452">
        <v>9.2649336150120192</v>
      </c>
      <c r="AL1452">
        <v>91.652273703482905</v>
      </c>
      <c r="AM1452">
        <v>80.209936946832002</v>
      </c>
      <c r="AN1452">
        <v>1.0000000172200001</v>
      </c>
    </row>
    <row r="1453" spans="1:40" x14ac:dyDescent="0.25">
      <c r="A1453" t="str">
        <f>"20190312151525855"</f>
        <v>20190312151525855</v>
      </c>
      <c r="B1453" t="str">
        <f>"1552374925848947"</f>
        <v>1552374925848947</v>
      </c>
      <c r="C1453" t="s">
        <v>40</v>
      </c>
      <c r="D1453">
        <v>5.3095480000000004</v>
      </c>
      <c r="E1453">
        <v>0.60044609999999998</v>
      </c>
      <c r="F1453" t="s">
        <v>50</v>
      </c>
      <c r="G1453">
        <v>-198.8047</v>
      </c>
      <c r="H1453" s="1">
        <v>1.607781E-6</v>
      </c>
      <c r="I1453">
        <v>291.06779999999998</v>
      </c>
      <c r="J1453">
        <v>-192.20570000000001</v>
      </c>
      <c r="K1453">
        <v>1.1067659999999999</v>
      </c>
      <c r="L1453">
        <v>297.59859999999998</v>
      </c>
      <c r="M1453">
        <v>-0.27060240000000002</v>
      </c>
      <c r="N1453">
        <v>0</v>
      </c>
      <c r="O1453">
        <v>-0.96259229999999996</v>
      </c>
      <c r="P1453">
        <v>-0.43061159999999998</v>
      </c>
      <c r="Q1453">
        <v>-4.1526180000000003E-2</v>
      </c>
      <c r="R1453">
        <v>-0.90158159999999998</v>
      </c>
      <c r="S1453">
        <v>-2.230057</v>
      </c>
      <c r="T1453">
        <v>-0.3706276</v>
      </c>
      <c r="U1453">
        <v>-2.2521360000000001</v>
      </c>
      <c r="V1453">
        <v>0.170337299999999</v>
      </c>
      <c r="W1453">
        <v>-2.9203819999999998E-2</v>
      </c>
      <c r="X1453">
        <v>0.98495299999999997</v>
      </c>
      <c r="Y1453">
        <v>0.47989179999999998</v>
      </c>
      <c r="Z1453">
        <v>0.1199171</v>
      </c>
      <c r="AA1453">
        <v>0.86909369999999997</v>
      </c>
      <c r="AB1453">
        <v>20</v>
      </c>
      <c r="AC1453">
        <v>-6.5989999999999798</v>
      </c>
      <c r="AD1453">
        <v>-1.106764392219</v>
      </c>
      <c r="AE1453">
        <v>-6.5307999999999904</v>
      </c>
      <c r="AF1453">
        <v>4.5210856504812602</v>
      </c>
      <c r="AG1453">
        <v>-1.106764392219</v>
      </c>
      <c r="AH1453">
        <v>7.9598572870282798</v>
      </c>
      <c r="AI1453">
        <v>96.893728742114504</v>
      </c>
      <c r="AJ1453">
        <v>60.404041514351697</v>
      </c>
      <c r="AK1453">
        <v>9.2208714831478193</v>
      </c>
      <c r="AL1453">
        <v>91.673493506490402</v>
      </c>
      <c r="AM1453">
        <v>80.188343129839893</v>
      </c>
      <c r="AN1453">
        <v>1.00000003554144</v>
      </c>
    </row>
    <row r="1454" spans="1:40" x14ac:dyDescent="0.25">
      <c r="A1454" t="str">
        <f>"20190312151525879"</f>
        <v>20190312151525879</v>
      </c>
      <c r="B1454" t="str">
        <f>"1552374925869442"</f>
        <v>1552374925869442</v>
      </c>
      <c r="C1454" t="s">
        <v>40</v>
      </c>
      <c r="D1454">
        <v>5.2998900000000004</v>
      </c>
      <c r="E1454">
        <v>0.59618669999999996</v>
      </c>
      <c r="F1454" t="s">
        <v>50</v>
      </c>
      <c r="G1454">
        <v>-198.41239999999999</v>
      </c>
      <c r="H1454" s="1">
        <v>1.7654719999999999E-6</v>
      </c>
      <c r="I1454">
        <v>290.37950000000001</v>
      </c>
      <c r="J1454">
        <v>-192.26920000000001</v>
      </c>
      <c r="K1454">
        <v>1.10677</v>
      </c>
      <c r="L1454">
        <v>297.39729999999997</v>
      </c>
      <c r="M1454">
        <v>-0.27599559999999901</v>
      </c>
      <c r="N1454">
        <v>0</v>
      </c>
      <c r="O1454">
        <v>-0.96106000000000003</v>
      </c>
      <c r="P1454">
        <v>-0.43593219999999999</v>
      </c>
      <c r="Q1454">
        <v>-4.2083490000000001E-2</v>
      </c>
      <c r="R1454">
        <v>-0.89899530000000005</v>
      </c>
      <c r="S1454">
        <v>-2.01796</v>
      </c>
      <c r="T1454">
        <v>-0.35983559999999998</v>
      </c>
      <c r="U1454">
        <v>-2.3470759999999999</v>
      </c>
      <c r="V1454">
        <v>0.17063900000000001</v>
      </c>
      <c r="W1454">
        <v>-2.9762319999999998E-2</v>
      </c>
      <c r="X1454">
        <v>0.98488399999999998</v>
      </c>
      <c r="Y1454">
        <v>0.4126647</v>
      </c>
      <c r="Z1454">
        <v>0.1179323</v>
      </c>
      <c r="AA1454">
        <v>0.90321640000000003</v>
      </c>
      <c r="AB1454">
        <v>20</v>
      </c>
      <c r="AC1454">
        <v>-6.14319999999997</v>
      </c>
      <c r="AD1454">
        <v>-1.1067682345280001</v>
      </c>
      <c r="AE1454">
        <v>-7.0177999999999603</v>
      </c>
      <c r="AF1454">
        <v>3.9123863590485199</v>
      </c>
      <c r="AG1454">
        <v>-1.1067682345280001</v>
      </c>
      <c r="AH1454">
        <v>8.3236155972344292</v>
      </c>
      <c r="AI1454">
        <v>96.861802194432002</v>
      </c>
      <c r="AJ1454">
        <v>64.824857210809895</v>
      </c>
      <c r="AK1454">
        <v>9.2635997084261703</v>
      </c>
      <c r="AL1454">
        <v>91.705507212503505</v>
      </c>
      <c r="AM1454">
        <v>80.170628284613699</v>
      </c>
      <c r="AN1454">
        <v>0.99999997873439095</v>
      </c>
    </row>
    <row r="1455" spans="1:40" x14ac:dyDescent="0.25">
      <c r="A1455" t="str">
        <f>"20190312151525901"</f>
        <v>20190312151525901</v>
      </c>
      <c r="B1455" t="str">
        <f>"1552374925888963"</f>
        <v>1552374925888963</v>
      </c>
      <c r="C1455" t="s">
        <v>40</v>
      </c>
      <c r="D1455">
        <v>5.3345379999999896</v>
      </c>
      <c r="E1455">
        <v>0.59449929999999995</v>
      </c>
      <c r="F1455" t="s">
        <v>50</v>
      </c>
      <c r="G1455">
        <v>-198.57820000000001</v>
      </c>
      <c r="H1455" s="1">
        <v>1.8747659999999999E-6</v>
      </c>
      <c r="I1455">
        <v>289.98719999999997</v>
      </c>
      <c r="J1455">
        <v>-192.3313</v>
      </c>
      <c r="K1455">
        <v>1.1067769999999999</v>
      </c>
      <c r="L1455">
        <v>297.20400000000001</v>
      </c>
      <c r="M1455">
        <v>-0.28117530000000002</v>
      </c>
      <c r="N1455">
        <v>0</v>
      </c>
      <c r="O1455">
        <v>-0.95955749999999995</v>
      </c>
      <c r="P1455">
        <v>-0.44078400000000001</v>
      </c>
      <c r="Q1455">
        <v>-4.259085E-2</v>
      </c>
      <c r="R1455">
        <v>-0.89660229999999996</v>
      </c>
      <c r="S1455">
        <v>-2.0010680000000001</v>
      </c>
      <c r="T1455">
        <v>-0.35103709999999999</v>
      </c>
      <c r="U1455">
        <v>-2.350311</v>
      </c>
      <c r="V1455">
        <v>0.1706529</v>
      </c>
      <c r="W1455">
        <v>-3.0268300000000001E-2</v>
      </c>
      <c r="X1455">
        <v>0.98486620000000002</v>
      </c>
      <c r="Y1455">
        <v>0.40358110000000003</v>
      </c>
      <c r="Z1455">
        <v>0.115188899999999</v>
      </c>
      <c r="AA1455">
        <v>0.90766389999999997</v>
      </c>
      <c r="AB1455">
        <v>20</v>
      </c>
      <c r="AC1455">
        <v>-6.2469000000000099</v>
      </c>
      <c r="AD1455">
        <v>-1.1067751252339999</v>
      </c>
      <c r="AE1455">
        <v>-7.2168000000000303</v>
      </c>
      <c r="AF1455">
        <v>3.91284079138893</v>
      </c>
      <c r="AG1455">
        <v>-1.1067751252339999</v>
      </c>
      <c r="AH1455">
        <v>8.5670458729704198</v>
      </c>
      <c r="AI1455">
        <v>96.702266816795998</v>
      </c>
      <c r="AJ1455">
        <v>65.4523207152792</v>
      </c>
      <c r="AK1455">
        <v>9.4831191717795793</v>
      </c>
      <c r="AL1455">
        <v>91.734510750646095</v>
      </c>
      <c r="AM1455">
        <v>80.169669018814005</v>
      </c>
      <c r="AN1455">
        <v>1.0000000070828601</v>
      </c>
    </row>
    <row r="1456" spans="1:40" x14ac:dyDescent="0.25">
      <c r="A1456" t="str">
        <f>"20190312151525925"</f>
        <v>20190312151525925</v>
      </c>
      <c r="B1456" t="str">
        <f>"1552374925919218"</f>
        <v>1552374925919218</v>
      </c>
      <c r="C1456" t="s">
        <v>40</v>
      </c>
      <c r="D1456">
        <v>5.3297569999999999</v>
      </c>
      <c r="E1456">
        <v>0.59306429999999999</v>
      </c>
      <c r="F1456" t="s">
        <v>50</v>
      </c>
      <c r="G1456">
        <v>-198.52959999999999</v>
      </c>
      <c r="H1456" s="1">
        <v>1.8997499999999999E-6</v>
      </c>
      <c r="I1456">
        <v>289.9409</v>
      </c>
      <c r="J1456">
        <v>-192.3997</v>
      </c>
      <c r="K1456">
        <v>1.1067910000000001</v>
      </c>
      <c r="L1456">
        <v>296.99540000000002</v>
      </c>
      <c r="M1456">
        <v>-0.28677019999999998</v>
      </c>
      <c r="N1456">
        <v>0</v>
      </c>
      <c r="O1456">
        <v>-0.95790030000000004</v>
      </c>
      <c r="P1456">
        <v>-0.44638860000000002</v>
      </c>
      <c r="Q1456">
        <v>-4.3275760000000003E-2</v>
      </c>
      <c r="R1456">
        <v>-0.89379219999999904</v>
      </c>
      <c r="S1456">
        <v>-2.0012970000000001</v>
      </c>
      <c r="T1456">
        <v>-0.35735359999999899</v>
      </c>
      <c r="U1456">
        <v>-2.3451230000000001</v>
      </c>
      <c r="V1456">
        <v>0.17107639999999999</v>
      </c>
      <c r="W1456">
        <v>-3.09561E-2</v>
      </c>
      <c r="X1456">
        <v>0.98477130000000002</v>
      </c>
      <c r="Y1456">
        <v>0.39912259999999999</v>
      </c>
      <c r="Z1456">
        <v>0.1172416</v>
      </c>
      <c r="AA1456">
        <v>0.90937100000000004</v>
      </c>
      <c r="AB1456">
        <v>20</v>
      </c>
      <c r="AC1456">
        <v>-6.1298999999999904</v>
      </c>
      <c r="AD1456">
        <v>-1.1067891002500001</v>
      </c>
      <c r="AE1456">
        <v>-7.0545000000000098</v>
      </c>
      <c r="AF1456">
        <v>3.7959393819011602</v>
      </c>
      <c r="AG1456">
        <v>-1.1067891002500001</v>
      </c>
      <c r="AH1456">
        <v>8.3983997758571505</v>
      </c>
      <c r="AI1456">
        <v>96.847795641138404</v>
      </c>
      <c r="AJ1456">
        <v>65.677809489373203</v>
      </c>
      <c r="AK1456">
        <v>9.2826319919846991</v>
      </c>
      <c r="AL1456">
        <v>91.773937342443602</v>
      </c>
      <c r="AM1456">
        <v>80.144820281024195</v>
      </c>
      <c r="AN1456">
        <v>0.99999996403392899</v>
      </c>
    </row>
    <row r="1457" spans="1:40" x14ac:dyDescent="0.25">
      <c r="A1457" t="str">
        <f>"20190312151525947"</f>
        <v>20190312151525947</v>
      </c>
      <c r="B1457" t="str">
        <f>"1552374925938739"</f>
        <v>1552374925938739</v>
      </c>
      <c r="C1457" t="s">
        <v>40</v>
      </c>
      <c r="D1457">
        <v>5.3514489999999997</v>
      </c>
      <c r="E1457">
        <v>0.59236929999999999</v>
      </c>
      <c r="F1457" t="s">
        <v>50</v>
      </c>
      <c r="G1457">
        <v>-198.4657</v>
      </c>
      <c r="H1457" s="1">
        <v>1.9160590000000001E-6</v>
      </c>
      <c r="I1457">
        <v>289.92680000000001</v>
      </c>
      <c r="J1457">
        <v>-192.46539999999999</v>
      </c>
      <c r="K1457">
        <v>1.106797</v>
      </c>
      <c r="L1457">
        <v>296.7987</v>
      </c>
      <c r="M1457">
        <v>-0.29204289999999999</v>
      </c>
      <c r="N1457">
        <v>0</v>
      </c>
      <c r="O1457">
        <v>-0.95630599999999999</v>
      </c>
      <c r="P1457">
        <v>-0.45164189999999999</v>
      </c>
      <c r="Q1457">
        <v>-4.356235E-2</v>
      </c>
      <c r="R1457">
        <v>-0.89113519999999902</v>
      </c>
      <c r="S1457">
        <v>-2.005585</v>
      </c>
      <c r="T1457">
        <v>-0.36593700000000001</v>
      </c>
      <c r="U1457">
        <v>-2.3370669999999998</v>
      </c>
      <c r="V1457">
        <v>0.1714504</v>
      </c>
      <c r="W1457">
        <v>-3.1245169999999999E-2</v>
      </c>
      <c r="X1457">
        <v>0.98469720000000005</v>
      </c>
      <c r="Y1457">
        <v>0.39635769999999998</v>
      </c>
      <c r="Z1457">
        <v>0.12003900000000001</v>
      </c>
      <c r="AA1457">
        <v>0.910215</v>
      </c>
      <c r="AB1457">
        <v>20</v>
      </c>
      <c r="AC1457">
        <v>-6.00030000000001</v>
      </c>
      <c r="AD1457">
        <v>-1.1067950839409999</v>
      </c>
      <c r="AE1457">
        <v>-6.8718999999999797</v>
      </c>
      <c r="AF1457">
        <v>3.6774596202985501</v>
      </c>
      <c r="AG1457">
        <v>-1.1067950839409999</v>
      </c>
      <c r="AH1457">
        <v>8.2040208882820096</v>
      </c>
      <c r="AI1457">
        <v>97.018184520039696</v>
      </c>
      <c r="AJ1457">
        <v>65.855649693237595</v>
      </c>
      <c r="AK1457">
        <v>9.0584029139871003</v>
      </c>
      <c r="AL1457">
        <v>91.790507717451305</v>
      </c>
      <c r="AM1457">
        <v>80.122970529515001</v>
      </c>
      <c r="AN1457">
        <v>1.00000003799816</v>
      </c>
    </row>
    <row r="1458" spans="1:40" x14ac:dyDescent="0.25">
      <c r="A1458" t="str">
        <f>"20190312151525969"</f>
        <v>20190312151525969</v>
      </c>
      <c r="B1458" t="str">
        <f>"1552374925959235"</f>
        <v>1552374925959235</v>
      </c>
      <c r="C1458" t="s">
        <v>40</v>
      </c>
      <c r="D1458">
        <v>5.3106039999999997</v>
      </c>
      <c r="E1458">
        <v>0.59188219999999903</v>
      </c>
      <c r="F1458" t="s">
        <v>50</v>
      </c>
      <c r="G1458">
        <v>-198.51820000000001</v>
      </c>
      <c r="H1458" s="1">
        <v>1.9496770000000002E-6</v>
      </c>
      <c r="I1458">
        <v>289.80529999999999</v>
      </c>
      <c r="J1458">
        <v>-192.53299999999999</v>
      </c>
      <c r="K1458">
        <v>1.106808</v>
      </c>
      <c r="L1458">
        <v>296.59980000000002</v>
      </c>
      <c r="M1458">
        <v>-0.29738150000000002</v>
      </c>
      <c r="N1458">
        <v>0</v>
      </c>
      <c r="O1458">
        <v>-0.95465929999999999</v>
      </c>
      <c r="P1458">
        <v>-0.45653519999999997</v>
      </c>
      <c r="Q1458">
        <v>-4.3549999999999998E-2</v>
      </c>
      <c r="R1458">
        <v>-0.88863890000000001</v>
      </c>
      <c r="S1458">
        <v>-2.0145110000000002</v>
      </c>
      <c r="T1458">
        <v>-0.36836400000000002</v>
      </c>
      <c r="U1458">
        <v>-2.3275450000000002</v>
      </c>
      <c r="V1458">
        <v>0.17136379999999901</v>
      </c>
      <c r="W1458">
        <v>-3.123078E-2</v>
      </c>
      <c r="X1458">
        <v>0.9847127</v>
      </c>
      <c r="Y1458">
        <v>0.39500750000000001</v>
      </c>
      <c r="Z1458">
        <v>0.1207887</v>
      </c>
      <c r="AA1458">
        <v>0.91070260000000003</v>
      </c>
      <c r="AB1458">
        <v>20</v>
      </c>
      <c r="AC1458">
        <v>-5.9852000000000096</v>
      </c>
      <c r="AD1458">
        <v>-1.1068060503229999</v>
      </c>
      <c r="AE1458">
        <v>-6.7945000000000197</v>
      </c>
      <c r="AF1458">
        <v>3.6392432285477399</v>
      </c>
      <c r="AG1458">
        <v>-1.1068060503229999</v>
      </c>
      <c r="AH1458">
        <v>8.14540089241064</v>
      </c>
      <c r="AI1458">
        <v>97.072077525950803</v>
      </c>
      <c r="AJ1458">
        <v>65.925622938591303</v>
      </c>
      <c r="AK1458">
        <v>8.9898090417787095</v>
      </c>
      <c r="AL1458">
        <v>91.789682883149695</v>
      </c>
      <c r="AM1458">
        <v>80.128013597681601</v>
      </c>
      <c r="AN1458">
        <v>1.00000000755556</v>
      </c>
    </row>
    <row r="1459" spans="1:40" x14ac:dyDescent="0.25">
      <c r="A1459" t="str">
        <f>"20190312151525992"</f>
        <v>20190312151525992</v>
      </c>
      <c r="B1459" t="str">
        <f>"1552374925979731"</f>
        <v>1552374925979731</v>
      </c>
      <c r="C1459" t="s">
        <v>40</v>
      </c>
      <c r="D1459">
        <v>5.3313670000000002</v>
      </c>
      <c r="E1459">
        <v>0.5913022</v>
      </c>
      <c r="F1459" t="s">
        <v>50</v>
      </c>
      <c r="G1459">
        <v>-198.6018</v>
      </c>
      <c r="H1459" s="1">
        <v>1.9901919999999998E-6</v>
      </c>
      <c r="I1459">
        <v>289.64879999999999</v>
      </c>
      <c r="J1459">
        <v>-192.59790000000001</v>
      </c>
      <c r="K1459">
        <v>1.106816</v>
      </c>
      <c r="L1459">
        <v>296.41239999999999</v>
      </c>
      <c r="M1459">
        <v>-0.30241030000000002</v>
      </c>
      <c r="N1459">
        <v>0</v>
      </c>
      <c r="O1459">
        <v>-0.95307839999999999</v>
      </c>
      <c r="P1459">
        <v>-0.4615474</v>
      </c>
      <c r="Q1459">
        <v>-4.3383560000000002E-2</v>
      </c>
      <c r="R1459">
        <v>-0.88605449999999997</v>
      </c>
      <c r="S1459">
        <v>-2.0239259999999999</v>
      </c>
      <c r="T1459">
        <v>-0.36912129999999999</v>
      </c>
      <c r="U1459">
        <v>-2.318146</v>
      </c>
      <c r="V1459">
        <v>0.17173369999999999</v>
      </c>
      <c r="W1459">
        <v>-3.1066860000000002E-2</v>
      </c>
      <c r="X1459">
        <v>0.98465340000000001</v>
      </c>
      <c r="Y1459">
        <v>0.39407920000000002</v>
      </c>
      <c r="Z1459">
        <v>0.1209872</v>
      </c>
      <c r="AA1459">
        <v>0.91107830000000001</v>
      </c>
      <c r="AB1459">
        <v>20</v>
      </c>
      <c r="AC1459">
        <v>-6.0038999999999803</v>
      </c>
      <c r="AD1459">
        <v>-1.1068140098079999</v>
      </c>
      <c r="AE1459">
        <v>-6.7635999999999896</v>
      </c>
      <c r="AF1459">
        <v>3.6228926264693202</v>
      </c>
      <c r="AG1459">
        <v>-1.1068140098079999</v>
      </c>
      <c r="AH1459">
        <v>8.1407394529013306</v>
      </c>
      <c r="AI1459">
        <v>97.080704018063301</v>
      </c>
      <c r="AJ1459">
        <v>66.009387589131904</v>
      </c>
      <c r="AK1459">
        <v>8.9789769503689705</v>
      </c>
      <c r="AL1459">
        <v>91.780286473789204</v>
      </c>
      <c r="AM1459">
        <v>80.106540815807193</v>
      </c>
      <c r="AN1459">
        <v>0.99999996581875406</v>
      </c>
    </row>
    <row r="1460" spans="1:40" x14ac:dyDescent="0.25">
      <c r="A1460" t="str">
        <f>"20190312151526014"</f>
        <v>20190312151526014</v>
      </c>
      <c r="B1460" t="str">
        <f>"1552374926009010"</f>
        <v>1552374926009010</v>
      </c>
      <c r="C1460" t="s">
        <v>40</v>
      </c>
      <c r="D1460">
        <v>5.2895260000000004</v>
      </c>
      <c r="E1460">
        <v>0.59072409999999997</v>
      </c>
      <c r="F1460" t="s">
        <v>50</v>
      </c>
      <c r="G1460">
        <v>-198.67330000000001</v>
      </c>
      <c r="H1460" s="1">
        <v>1.998033E-6</v>
      </c>
      <c r="I1460">
        <v>289.5129</v>
      </c>
      <c r="J1460">
        <v>-192.66460000000001</v>
      </c>
      <c r="K1460">
        <v>1.10683</v>
      </c>
      <c r="L1460">
        <v>296.22300000000001</v>
      </c>
      <c r="M1460">
        <v>-0.30749549999999998</v>
      </c>
      <c r="N1460">
        <v>0</v>
      </c>
      <c r="O1460">
        <v>-0.95145000000000002</v>
      </c>
      <c r="P1460">
        <v>-0.46623740000000002</v>
      </c>
      <c r="Q1460">
        <v>-4.2897200000000003E-2</v>
      </c>
      <c r="R1460">
        <v>-0.8836193</v>
      </c>
      <c r="S1460">
        <v>-2.0329440000000001</v>
      </c>
      <c r="T1460">
        <v>-0.3703613</v>
      </c>
      <c r="U1460">
        <v>-2.308716</v>
      </c>
      <c r="V1460">
        <v>0.1716916</v>
      </c>
      <c r="W1460">
        <v>-3.0578950000000001E-2</v>
      </c>
      <c r="X1460">
        <v>0.98467610000000005</v>
      </c>
      <c r="Y1460">
        <v>0.39299440000000002</v>
      </c>
      <c r="Z1460">
        <v>0.1213423</v>
      </c>
      <c r="AA1460">
        <v>0.91149959999999997</v>
      </c>
      <c r="AB1460">
        <v>20</v>
      </c>
      <c r="AC1460">
        <v>-6.0087000000000002</v>
      </c>
      <c r="AD1460">
        <v>-1.106828001967</v>
      </c>
      <c r="AE1460">
        <v>-6.7101000000000104</v>
      </c>
      <c r="AF1460">
        <v>3.5996432379301901</v>
      </c>
      <c r="AG1460">
        <v>-1.106828001967</v>
      </c>
      <c r="AH1460">
        <v>8.1102866214731399</v>
      </c>
      <c r="AI1460">
        <v>97.110230554923902</v>
      </c>
      <c r="AJ1460">
        <v>66.066592784148895</v>
      </c>
      <c r="AK1460">
        <v>8.9419935556206394</v>
      </c>
      <c r="AL1460">
        <v>91.752317852658194</v>
      </c>
      <c r="AM1460">
        <v>80.109141780241401</v>
      </c>
      <c r="AN1460">
        <v>1.00000004980243</v>
      </c>
    </row>
    <row r="1461" spans="1:40" x14ac:dyDescent="0.25">
      <c r="A1461" t="str">
        <f>"20190312151526045"</f>
        <v>20190312151526045</v>
      </c>
      <c r="B1461" t="str">
        <f>"1552374926039266"</f>
        <v>1552374926039266</v>
      </c>
      <c r="C1461" t="s">
        <v>40</v>
      </c>
      <c r="D1461">
        <v>5.2895250000000003</v>
      </c>
      <c r="E1461">
        <v>0.590246099999999</v>
      </c>
      <c r="F1461" t="s">
        <v>50</v>
      </c>
      <c r="G1461">
        <v>-198.80930000000001</v>
      </c>
      <c r="H1461" s="1">
        <v>1.9927020000000001E-6</v>
      </c>
      <c r="I1461">
        <v>289.29790000000003</v>
      </c>
      <c r="J1461">
        <v>-192.761</v>
      </c>
      <c r="K1461">
        <v>1.106838</v>
      </c>
      <c r="L1461">
        <v>295.95499999999998</v>
      </c>
      <c r="M1461">
        <v>-0.31469720000000001</v>
      </c>
      <c r="N1461">
        <v>0</v>
      </c>
      <c r="O1461">
        <v>-0.94909219999999905</v>
      </c>
      <c r="P1461">
        <v>-0.47328170000000003</v>
      </c>
      <c r="Q1461">
        <v>-4.3427779999999999E-2</v>
      </c>
      <c r="R1461">
        <v>-0.87984019999999996</v>
      </c>
      <c r="S1461">
        <v>-2.041061</v>
      </c>
      <c r="T1461">
        <v>-0.36765229999999999</v>
      </c>
      <c r="U1461">
        <v>-2.3002929999999999</v>
      </c>
      <c r="V1461">
        <v>0.1721007</v>
      </c>
      <c r="W1461">
        <v>-3.1112999999999998E-2</v>
      </c>
      <c r="X1461">
        <v>0.98458789999999996</v>
      </c>
      <c r="Y1461">
        <v>0.38956790000000002</v>
      </c>
      <c r="Z1461">
        <v>0.1203272</v>
      </c>
      <c r="AA1461">
        <v>0.91310360000000002</v>
      </c>
      <c r="AB1461">
        <v>20</v>
      </c>
      <c r="AC1461">
        <v>-6.04830000000001</v>
      </c>
      <c r="AD1461">
        <v>-1.1068360072979999</v>
      </c>
      <c r="AE1461">
        <v>-6.6570999999999501</v>
      </c>
      <c r="AF1461">
        <v>3.5913835652944002</v>
      </c>
      <c r="AG1461">
        <v>-1.1068360072979999</v>
      </c>
      <c r="AH1461">
        <v>8.0997073146958005</v>
      </c>
      <c r="AI1461">
        <v>97.120622627003698</v>
      </c>
      <c r="AJ1461">
        <v>66.087659352316194</v>
      </c>
      <c r="AK1461">
        <v>8.9290750049405894</v>
      </c>
      <c r="AL1461">
        <v>91.782931316493304</v>
      </c>
      <c r="AM1461">
        <v>80.085170814173594</v>
      </c>
      <c r="AN1461">
        <v>1.00000000126795</v>
      </c>
    </row>
    <row r="1462" spans="1:40" x14ac:dyDescent="0.25">
      <c r="A1462" t="str">
        <f>"20190312151526068"</f>
        <v>20190312151526068</v>
      </c>
      <c r="B1462" t="str">
        <f>"1552374926058787"</f>
        <v>1552374926058787</v>
      </c>
      <c r="C1462" t="s">
        <v>40</v>
      </c>
      <c r="D1462">
        <v>5.2927989999999996</v>
      </c>
      <c r="E1462">
        <v>0.59008819999999995</v>
      </c>
      <c r="F1462" t="s">
        <v>50</v>
      </c>
      <c r="G1462">
        <v>-198.96549999999999</v>
      </c>
      <c r="H1462" s="1">
        <v>1.9859759999999999E-6</v>
      </c>
      <c r="I1462">
        <v>289.05790000000002</v>
      </c>
      <c r="J1462">
        <v>-192.8329</v>
      </c>
      <c r="K1462">
        <v>1.106843</v>
      </c>
      <c r="L1462">
        <v>295.75920000000002</v>
      </c>
      <c r="M1462">
        <v>-0.319966799999999</v>
      </c>
      <c r="N1462">
        <v>0</v>
      </c>
      <c r="O1462">
        <v>-0.94732870000000002</v>
      </c>
      <c r="P1462">
        <v>-0.4783598</v>
      </c>
      <c r="Q1462">
        <v>-4.3715320000000002E-2</v>
      </c>
      <c r="R1462">
        <v>-0.87707539999999995</v>
      </c>
      <c r="S1462">
        <v>-2.0560610000000001</v>
      </c>
      <c r="T1462">
        <v>-0.36678739999999999</v>
      </c>
      <c r="U1462">
        <v>-2.2856139999999998</v>
      </c>
      <c r="V1462">
        <v>0.17232329999999901</v>
      </c>
      <c r="W1462">
        <v>-3.1402550000000001E-2</v>
      </c>
      <c r="X1462">
        <v>0.98453970000000002</v>
      </c>
      <c r="Y1462">
        <v>0.39070529999999998</v>
      </c>
      <c r="Z1462">
        <v>0.1200287</v>
      </c>
      <c r="AA1462">
        <v>0.91265680000000005</v>
      </c>
      <c r="AB1462">
        <v>20</v>
      </c>
      <c r="AC1462">
        <v>-6.1325999999999903</v>
      </c>
      <c r="AD1462">
        <v>-1.1068410140239999</v>
      </c>
      <c r="AE1462">
        <v>-6.7012999999999998</v>
      </c>
      <c r="AF1462">
        <v>3.6121138305882701</v>
      </c>
      <c r="AG1462">
        <v>-1.1068410140239999</v>
      </c>
      <c r="AH1462">
        <v>8.1897588301652</v>
      </c>
      <c r="AI1462">
        <v>97.049197339412402</v>
      </c>
      <c r="AJ1462">
        <v>66.200001174616801</v>
      </c>
      <c r="AK1462">
        <v>9.0191248495472998</v>
      </c>
      <c r="AL1462">
        <v>91.799529547666097</v>
      </c>
      <c r="AM1462">
        <v>80.072125309803795</v>
      </c>
      <c r="AN1462">
        <v>0.99999993037273804</v>
      </c>
    </row>
    <row r="1463" spans="1:40" x14ac:dyDescent="0.25">
      <c r="A1463" t="str">
        <f>"20190312151526089"</f>
        <v>20190312151526089</v>
      </c>
      <c r="B1463" t="str">
        <f>"1552374926079284"</f>
        <v>1552374926079284</v>
      </c>
      <c r="C1463" t="s">
        <v>40</v>
      </c>
      <c r="D1463">
        <v>5.2754699999999897</v>
      </c>
      <c r="E1463">
        <v>0.58994669999999905</v>
      </c>
      <c r="F1463" t="s">
        <v>50</v>
      </c>
      <c r="G1463">
        <v>-199.0205</v>
      </c>
      <c r="H1463" s="1">
        <v>1.9851720000000001E-6</v>
      </c>
      <c r="I1463">
        <v>288.95549999999997</v>
      </c>
      <c r="J1463">
        <v>-192.8997</v>
      </c>
      <c r="K1463">
        <v>1.106857</v>
      </c>
      <c r="L1463">
        <v>295.58010000000002</v>
      </c>
      <c r="M1463">
        <v>-0.32478950000000001</v>
      </c>
      <c r="N1463">
        <v>0</v>
      </c>
      <c r="O1463">
        <v>-0.94568620000000003</v>
      </c>
      <c r="P1463">
        <v>-0.4833404</v>
      </c>
      <c r="Q1463">
        <v>-4.42093E-2</v>
      </c>
      <c r="R1463">
        <v>-0.87431569999999903</v>
      </c>
      <c r="S1463">
        <v>-2.06813</v>
      </c>
      <c r="T1463">
        <v>-0.36994899999999997</v>
      </c>
      <c r="U1463">
        <v>-2.2740480000000001</v>
      </c>
      <c r="V1463">
        <v>0.17291099999999901</v>
      </c>
      <c r="W1463">
        <v>-3.1902890000000003E-2</v>
      </c>
      <c r="X1463">
        <v>0.98442070000000004</v>
      </c>
      <c r="Y1463">
        <v>0.39089819999999997</v>
      </c>
      <c r="Z1463">
        <v>0.1209958</v>
      </c>
      <c r="AA1463">
        <v>0.91244650000000005</v>
      </c>
      <c r="AB1463">
        <v>20</v>
      </c>
      <c r="AC1463">
        <v>-6.1208</v>
      </c>
      <c r="AD1463">
        <v>-1.1068550148280001</v>
      </c>
      <c r="AE1463">
        <v>-6.62460000000004</v>
      </c>
      <c r="AF1463">
        <v>3.5831377625856402</v>
      </c>
      <c r="AG1463">
        <v>-1.1068550148280001</v>
      </c>
      <c r="AH1463">
        <v>8.1310913224832593</v>
      </c>
      <c r="AI1463">
        <v>97.100619645924397</v>
      </c>
      <c r="AJ1463">
        <v>66.218294251013901</v>
      </c>
      <c r="AK1463">
        <v>8.9542531985688001</v>
      </c>
      <c r="AL1463">
        <v>91.828211052211898</v>
      </c>
      <c r="AM1463">
        <v>80.037763805245106</v>
      </c>
      <c r="AN1463">
        <v>1.00000006144991</v>
      </c>
    </row>
    <row r="1464" spans="1:40" x14ac:dyDescent="0.25">
      <c r="A1464" t="str">
        <f>"20190312151526111"</f>
        <v>20190312151526111</v>
      </c>
      <c r="B1464" t="str">
        <f>"1552374926108563"</f>
        <v>1552374926108563</v>
      </c>
      <c r="C1464" t="s">
        <v>40</v>
      </c>
      <c r="D1464">
        <v>5.284904</v>
      </c>
      <c r="E1464">
        <v>0.58957130000000002</v>
      </c>
      <c r="F1464" t="s">
        <v>50</v>
      </c>
      <c r="G1464">
        <v>-199.09309999999999</v>
      </c>
      <c r="H1464" s="1">
        <v>1.9822190000000002E-6</v>
      </c>
      <c r="I1464">
        <v>288.84190000000001</v>
      </c>
      <c r="J1464">
        <v>-192.97239999999999</v>
      </c>
      <c r="K1464">
        <v>1.106859</v>
      </c>
      <c r="L1464">
        <v>295.38819999999998</v>
      </c>
      <c r="M1464">
        <v>-0.3299724</v>
      </c>
      <c r="N1464">
        <v>0</v>
      </c>
      <c r="O1464">
        <v>-0.94389040000000002</v>
      </c>
      <c r="P1464">
        <v>-0.48853829999999998</v>
      </c>
      <c r="Q1464">
        <v>-4.4053109999999999E-2</v>
      </c>
      <c r="R1464">
        <v>-0.87142969999999897</v>
      </c>
      <c r="S1464">
        <v>-2.0798030000000001</v>
      </c>
      <c r="T1464">
        <v>-0.37169210000000003</v>
      </c>
      <c r="U1464">
        <v>-2.262756</v>
      </c>
      <c r="V1464">
        <v>0.1733712</v>
      </c>
      <c r="W1464">
        <v>-3.175298E-2</v>
      </c>
      <c r="X1464">
        <v>0.98434449999999996</v>
      </c>
      <c r="Y1464">
        <v>0.39063029999999999</v>
      </c>
      <c r="Z1464">
        <v>0.1214833</v>
      </c>
      <c r="AA1464">
        <v>0.91249639999999999</v>
      </c>
      <c r="AB1464">
        <v>20</v>
      </c>
      <c r="AC1464">
        <v>-6.1206999999999896</v>
      </c>
      <c r="AD1464">
        <v>-1.106857017781</v>
      </c>
      <c r="AE1464">
        <v>-6.5462999999999703</v>
      </c>
      <c r="AF1464">
        <v>3.5631623054252501</v>
      </c>
      <c r="AG1464">
        <v>-1.106857017781</v>
      </c>
      <c r="AH1464">
        <v>8.0762346556554494</v>
      </c>
      <c r="AI1464">
        <v>97.147007651567407</v>
      </c>
      <c r="AJ1464">
        <v>66.193358089797897</v>
      </c>
      <c r="AK1464">
        <v>8.8964500946065304</v>
      </c>
      <c r="AL1464">
        <v>91.819617673807997</v>
      </c>
      <c r="AM1464">
        <v>80.011025068846706</v>
      </c>
      <c r="AN1464">
        <v>0.99999995970428401</v>
      </c>
    </row>
    <row r="1465" spans="1:40" x14ac:dyDescent="0.25">
      <c r="A1465" t="str">
        <f>"20190312151526135"</f>
        <v>20190312151526135</v>
      </c>
      <c r="B1465" t="str">
        <f>"1552374926129059"</f>
        <v>1552374926129059</v>
      </c>
      <c r="C1465" t="s">
        <v>40</v>
      </c>
      <c r="D1465">
        <v>5.2886819999999997</v>
      </c>
      <c r="E1465">
        <v>0.58936440000000001</v>
      </c>
      <c r="F1465" t="s">
        <v>50</v>
      </c>
      <c r="G1465">
        <v>-199.21430000000001</v>
      </c>
      <c r="H1465" s="1">
        <v>1.9761360000000002E-6</v>
      </c>
      <c r="I1465">
        <v>288.66570000000002</v>
      </c>
      <c r="J1465">
        <v>-193.04949999999999</v>
      </c>
      <c r="K1465">
        <v>1.106859</v>
      </c>
      <c r="L1465">
        <v>295.18860000000001</v>
      </c>
      <c r="M1465">
        <v>-0.33539409999999997</v>
      </c>
      <c r="N1465">
        <v>0</v>
      </c>
      <c r="O1465">
        <v>-0.94197739999999996</v>
      </c>
      <c r="P1465">
        <v>-0.49426759999999997</v>
      </c>
      <c r="Q1465">
        <v>-4.3995729999999997E-2</v>
      </c>
      <c r="R1465">
        <v>-0.86819609999999903</v>
      </c>
      <c r="S1465">
        <v>-2.0907290000000001</v>
      </c>
      <c r="T1465">
        <v>-0.37074509999999999</v>
      </c>
      <c r="U1465">
        <v>-2.2517399999999999</v>
      </c>
      <c r="V1465">
        <v>0.17419319999999999</v>
      </c>
      <c r="W1465">
        <v>-3.1708260000000002E-2</v>
      </c>
      <c r="X1465">
        <v>0.98420079999999999</v>
      </c>
      <c r="Y1465">
        <v>0.38997749999999998</v>
      </c>
      <c r="Z1465">
        <v>0.1210944</v>
      </c>
      <c r="AA1465">
        <v>0.91282730000000001</v>
      </c>
      <c r="AB1465">
        <v>20</v>
      </c>
      <c r="AC1465">
        <v>-6.1648000000000103</v>
      </c>
      <c r="AD1465">
        <v>-1.1068570238640001</v>
      </c>
      <c r="AE1465">
        <v>-6.5228999999999902</v>
      </c>
      <c r="AF1465">
        <v>3.56547544744544</v>
      </c>
      <c r="AG1465">
        <v>-1.1068570238640001</v>
      </c>
      <c r="AH1465">
        <v>8.0898016143016296</v>
      </c>
      <c r="AI1465">
        <v>97.136329050971696</v>
      </c>
      <c r="AJ1465">
        <v>66.215133999110506</v>
      </c>
      <c r="AK1465">
        <v>8.9096934737605</v>
      </c>
      <c r="AL1465">
        <v>91.817054133768295</v>
      </c>
      <c r="AM1465">
        <v>79.963189660028604</v>
      </c>
      <c r="AN1465">
        <v>0.99999994969955197</v>
      </c>
    </row>
    <row r="1466" spans="1:40" x14ac:dyDescent="0.25">
      <c r="A1466" t="str">
        <f>"20190312151526158"</f>
        <v>20190312151526158</v>
      </c>
      <c r="B1466" t="str">
        <f>"1552374926148580"</f>
        <v>1552374926148580</v>
      </c>
      <c r="C1466" t="s">
        <v>40</v>
      </c>
      <c r="D1466">
        <v>5.2941140000000004</v>
      </c>
      <c r="E1466">
        <v>0.58917569999999997</v>
      </c>
      <c r="F1466" t="s">
        <v>50</v>
      </c>
      <c r="G1466">
        <v>-199.32589999999999</v>
      </c>
      <c r="H1466" s="1">
        <v>1.9699699999999998E-6</v>
      </c>
      <c r="I1466">
        <v>288.50970000000001</v>
      </c>
      <c r="J1466">
        <v>-193.12360000000001</v>
      </c>
      <c r="K1466">
        <v>1.1068450000000001</v>
      </c>
      <c r="L1466">
        <v>294.99990000000003</v>
      </c>
      <c r="M1466">
        <v>-0.34055790000000002</v>
      </c>
      <c r="N1466">
        <v>0</v>
      </c>
      <c r="O1466">
        <v>-0.94012300000000004</v>
      </c>
      <c r="P1466">
        <v>-0.49937949999999998</v>
      </c>
      <c r="Q1466">
        <v>-4.3707309999999999E-2</v>
      </c>
      <c r="R1466">
        <v>-0.86528059999999996</v>
      </c>
      <c r="S1466">
        <v>-2.1039119999999998</v>
      </c>
      <c r="T1466">
        <v>-0.37102649999999998</v>
      </c>
      <c r="U1466">
        <v>-2.2388309999999998</v>
      </c>
      <c r="V1466">
        <v>0.1745931</v>
      </c>
      <c r="W1466">
        <v>-3.1430800000000002E-2</v>
      </c>
      <c r="X1466">
        <v>0.98413890000000004</v>
      </c>
      <c r="Y1466">
        <v>0.39040710000000001</v>
      </c>
      <c r="Z1466">
        <v>0.1211175</v>
      </c>
      <c r="AA1466">
        <v>0.91264060000000002</v>
      </c>
      <c r="AB1466">
        <v>20</v>
      </c>
      <c r="AC1466">
        <v>-6.2022999999999797</v>
      </c>
      <c r="AD1466">
        <v>-1.1068430300299901</v>
      </c>
      <c r="AE1466">
        <v>-6.4902000000000104</v>
      </c>
      <c r="AF1466">
        <v>3.5667584949317699</v>
      </c>
      <c r="AG1466">
        <v>-1.1068430300299901</v>
      </c>
      <c r="AH1466">
        <v>8.0916012495457306</v>
      </c>
      <c r="AI1466">
        <v>97.134511187599699</v>
      </c>
      <c r="AJ1466">
        <v>66.212229477774997</v>
      </c>
      <c r="AK1466">
        <v>8.9118392285736405</v>
      </c>
      <c r="AL1466">
        <v>91.801148809237503</v>
      </c>
      <c r="AM1466">
        <v>79.939998167672996</v>
      </c>
      <c r="AN1466">
        <v>1.0000000101247299</v>
      </c>
    </row>
    <row r="1467" spans="1:40" x14ac:dyDescent="0.25">
      <c r="A1467" t="str">
        <f>"20190312151526180"</f>
        <v>20190312151526180</v>
      </c>
      <c r="B1467" t="str">
        <f>"1552374926169075"</f>
        <v>1552374926169075</v>
      </c>
      <c r="C1467" t="s">
        <v>40</v>
      </c>
      <c r="D1467">
        <v>5.2358339999999997</v>
      </c>
      <c r="E1467">
        <v>0.58899869999999899</v>
      </c>
      <c r="F1467" t="s">
        <v>50</v>
      </c>
      <c r="G1467">
        <v>-199.4512</v>
      </c>
      <c r="H1467" s="1">
        <v>1.9625479999999999E-6</v>
      </c>
      <c r="I1467">
        <v>288.34050000000002</v>
      </c>
      <c r="J1467">
        <v>-193.19800000000001</v>
      </c>
      <c r="K1467">
        <v>1.1068199999999999</v>
      </c>
      <c r="L1467">
        <v>294.81360000000001</v>
      </c>
      <c r="M1467">
        <v>-0.34569270000000002</v>
      </c>
      <c r="N1467">
        <v>0</v>
      </c>
      <c r="O1467">
        <v>-0.93824680000000005</v>
      </c>
      <c r="P1467">
        <v>-0.50440649999999998</v>
      </c>
      <c r="Q1467">
        <v>-4.3655979999999997E-2</v>
      </c>
      <c r="R1467">
        <v>-0.86236209999999902</v>
      </c>
      <c r="S1467">
        <v>-2.1161349999999999</v>
      </c>
      <c r="T1467">
        <v>-0.37016110000000002</v>
      </c>
      <c r="U1467">
        <v>-2.227112</v>
      </c>
      <c r="V1467">
        <v>0.1749375</v>
      </c>
      <c r="W1467">
        <v>-3.1391339999999997E-2</v>
      </c>
      <c r="X1467">
        <v>0.98407900000000004</v>
      </c>
      <c r="Y1467">
        <v>0.3904398</v>
      </c>
      <c r="Z1467">
        <v>0.120746699999999</v>
      </c>
      <c r="AA1467">
        <v>0.91267569999999998</v>
      </c>
      <c r="AB1467">
        <v>20</v>
      </c>
      <c r="AC1467">
        <v>-6.2532000000000201</v>
      </c>
      <c r="AD1467">
        <v>-1.106818037452</v>
      </c>
      <c r="AE1467">
        <v>-6.4730999999999801</v>
      </c>
      <c r="AF1467">
        <v>3.57561013715494</v>
      </c>
      <c r="AG1467">
        <v>-1.106818037452</v>
      </c>
      <c r="AH1467">
        <v>8.1131334382348292</v>
      </c>
      <c r="AI1467">
        <v>97.115816523340001</v>
      </c>
      <c r="AJ1467">
        <v>66.216012207568994</v>
      </c>
      <c r="AK1467">
        <v>8.9349296699838892</v>
      </c>
      <c r="AL1467">
        <v>91.798886798802897</v>
      </c>
      <c r="AM1467">
        <v>79.919959505252095</v>
      </c>
      <c r="AN1467">
        <v>1.0000000116871199</v>
      </c>
    </row>
    <row r="1468" spans="1:40" x14ac:dyDescent="0.25">
      <c r="A1468" t="str">
        <f>"20190312151526203"</f>
        <v>20190312151526203</v>
      </c>
      <c r="B1468" t="str">
        <f>"1552374926199331"</f>
        <v>1552374926199331</v>
      </c>
      <c r="C1468" t="s">
        <v>40</v>
      </c>
      <c r="D1468">
        <v>5.2688230000000003</v>
      </c>
      <c r="E1468">
        <v>0.58868419999999999</v>
      </c>
      <c r="F1468" t="s">
        <v>50</v>
      </c>
      <c r="G1468">
        <v>-199.54409999999999</v>
      </c>
      <c r="H1468" s="1">
        <v>1.9577739999999998E-6</v>
      </c>
      <c r="I1468">
        <v>288.20650000000001</v>
      </c>
      <c r="J1468">
        <v>-193.27510000000001</v>
      </c>
      <c r="K1468">
        <v>1.1067990000000001</v>
      </c>
      <c r="L1468">
        <v>294.62360000000001</v>
      </c>
      <c r="M1468">
        <v>-0.35097909999999999</v>
      </c>
      <c r="N1468">
        <v>0</v>
      </c>
      <c r="O1468">
        <v>-0.93628219999999995</v>
      </c>
      <c r="P1468">
        <v>-0.51031309999999996</v>
      </c>
      <c r="Q1468">
        <v>-4.353891E-2</v>
      </c>
      <c r="R1468">
        <v>-0.85888619999999904</v>
      </c>
      <c r="S1468">
        <v>-2.1278990000000002</v>
      </c>
      <c r="T1468">
        <v>-0.37112299999999998</v>
      </c>
      <c r="U1468">
        <v>-2.2153930000000002</v>
      </c>
      <c r="V1468">
        <v>0.17613690000000001</v>
      </c>
      <c r="W1468">
        <v>-3.1296339999999999E-2</v>
      </c>
      <c r="X1468">
        <v>0.98386810000000002</v>
      </c>
      <c r="Y1468">
        <v>0.39016420000000002</v>
      </c>
      <c r="Z1468">
        <v>0.1209587</v>
      </c>
      <c r="AA1468">
        <v>0.91276550000000001</v>
      </c>
      <c r="AB1468">
        <v>20</v>
      </c>
      <c r="AC1468">
        <v>-6.2689999999999699</v>
      </c>
      <c r="AD1468">
        <v>-1.1067970422260001</v>
      </c>
      <c r="AE1468">
        <v>-6.4170999999999996</v>
      </c>
      <c r="AF1468">
        <v>3.56338832704605</v>
      </c>
      <c r="AG1468">
        <v>-1.1067970422260001</v>
      </c>
      <c r="AH1468">
        <v>8.0861994602096505</v>
      </c>
      <c r="AI1468">
        <v>97.139253435940205</v>
      </c>
      <c r="AJ1468">
        <v>66.218097765044206</v>
      </c>
      <c r="AK1468">
        <v>8.9055801479916603</v>
      </c>
      <c r="AL1468">
        <v>91.793440949402495</v>
      </c>
      <c r="AM1468">
        <v>79.850150562840696</v>
      </c>
      <c r="AN1468">
        <v>1.0000000533183</v>
      </c>
    </row>
    <row r="1469" spans="1:40" x14ac:dyDescent="0.25">
      <c r="A1469" t="str">
        <f>"20190312151526223"</f>
        <v>20190312151526223</v>
      </c>
      <c r="B1469" t="str">
        <f>"1552374926218851"</f>
        <v>1552374926218851</v>
      </c>
      <c r="C1469" t="s">
        <v>40</v>
      </c>
      <c r="D1469">
        <v>5.2460149999999999</v>
      </c>
      <c r="E1469">
        <v>0.58847289999999997</v>
      </c>
      <c r="F1469" t="s">
        <v>50</v>
      </c>
      <c r="G1469">
        <v>-199.6523</v>
      </c>
      <c r="H1469" s="1">
        <v>1.9510890000000002E-6</v>
      </c>
      <c r="I1469">
        <v>288.0634</v>
      </c>
      <c r="J1469">
        <v>-193.346</v>
      </c>
      <c r="K1469">
        <v>1.1067800000000001</v>
      </c>
      <c r="L1469">
        <v>294.45179999999999</v>
      </c>
      <c r="M1469">
        <v>-0.35581970000000002</v>
      </c>
      <c r="N1469">
        <v>0</v>
      </c>
      <c r="O1469">
        <v>-0.93445339999999999</v>
      </c>
      <c r="P1469">
        <v>-0.51565689999999997</v>
      </c>
      <c r="Q1469">
        <v>-4.3505269999999999E-2</v>
      </c>
      <c r="R1469">
        <v>-0.85569030000000001</v>
      </c>
      <c r="S1469">
        <v>-2.1407319999999999</v>
      </c>
      <c r="T1469">
        <v>-0.3715309</v>
      </c>
      <c r="U1469">
        <v>-2.2021480000000002</v>
      </c>
      <c r="V1469">
        <v>0.177175</v>
      </c>
      <c r="W1469">
        <v>-3.1284430000000002E-2</v>
      </c>
      <c r="X1469">
        <v>0.98368199999999995</v>
      </c>
      <c r="Y1469">
        <v>0.3908739</v>
      </c>
      <c r="Z1469">
        <v>0.12103129999999999</v>
      </c>
      <c r="AA1469">
        <v>0.91245220000000005</v>
      </c>
      <c r="AB1469">
        <v>20</v>
      </c>
      <c r="AC1469">
        <v>-6.3063000000000198</v>
      </c>
      <c r="AD1469">
        <v>-1.106778048911</v>
      </c>
      <c r="AE1469">
        <v>-6.3883999999999901</v>
      </c>
      <c r="AF1469">
        <v>3.5659592343899398</v>
      </c>
      <c r="AG1469">
        <v>-1.106778048911</v>
      </c>
      <c r="AH1469">
        <v>8.0913439127944002</v>
      </c>
      <c r="AI1469">
        <v>97.134542079006593</v>
      </c>
      <c r="AJ1469">
        <v>66.216295931706796</v>
      </c>
      <c r="AK1469">
        <v>8.9112776427399698</v>
      </c>
      <c r="AL1469">
        <v>91.792758341948797</v>
      </c>
      <c r="AM1469">
        <v>79.789694015496195</v>
      </c>
      <c r="AN1469">
        <v>0.99999998665471201</v>
      </c>
    </row>
    <row r="1470" spans="1:40" x14ac:dyDescent="0.25">
      <c r="A1470" t="str">
        <f>"20190312151526247"</f>
        <v>20190312151526247</v>
      </c>
      <c r="B1470" t="str">
        <f>"1552374926239347"</f>
        <v>1552374926239347</v>
      </c>
      <c r="C1470" t="s">
        <v>40</v>
      </c>
      <c r="D1470">
        <v>5.1291349999999998</v>
      </c>
      <c r="E1470">
        <v>0.58842640000000002</v>
      </c>
      <c r="F1470" t="s">
        <v>50</v>
      </c>
      <c r="G1470">
        <v>-199.7561</v>
      </c>
      <c r="H1470" s="1">
        <v>1.9442069999999999E-6</v>
      </c>
      <c r="I1470">
        <v>287.93150000000003</v>
      </c>
      <c r="J1470">
        <v>-193.42580000000001</v>
      </c>
      <c r="K1470">
        <v>1.1067370000000001</v>
      </c>
      <c r="L1470">
        <v>294.26150000000001</v>
      </c>
      <c r="M1470">
        <v>-0.36125760000000001</v>
      </c>
      <c r="N1470">
        <v>0</v>
      </c>
      <c r="O1470">
        <v>-0.93236430000000003</v>
      </c>
      <c r="P1470">
        <v>-0.52111969999999996</v>
      </c>
      <c r="Q1470">
        <v>-4.3576950000000003E-2</v>
      </c>
      <c r="R1470">
        <v>-0.85237039999999997</v>
      </c>
      <c r="S1470">
        <v>-2.1527250000000002</v>
      </c>
      <c r="T1470">
        <v>-0.37168869999999998</v>
      </c>
      <c r="U1470">
        <v>-2.1897280000000001</v>
      </c>
      <c r="V1470">
        <v>0.17773359999999999</v>
      </c>
      <c r="W1470">
        <v>-3.1376979999999999E-2</v>
      </c>
      <c r="X1470">
        <v>0.98357830000000002</v>
      </c>
      <c r="Y1470">
        <v>0.39064739999999998</v>
      </c>
      <c r="Z1470">
        <v>0.1209802</v>
      </c>
      <c r="AA1470">
        <v>0.91255600000000003</v>
      </c>
      <c r="AB1470">
        <v>20</v>
      </c>
      <c r="AC1470">
        <v>-6.3302999999999896</v>
      </c>
      <c r="AD1470">
        <v>-1.106735055793</v>
      </c>
      <c r="AE1470">
        <v>-6.3299999999999796</v>
      </c>
      <c r="AF1470">
        <v>3.5612982757109699</v>
      </c>
      <c r="AG1470">
        <v>-1.106735055793</v>
      </c>
      <c r="AH1470">
        <v>8.0662299812356295</v>
      </c>
      <c r="AI1470">
        <v>97.154173236147003</v>
      </c>
      <c r="AJ1470">
        <v>66.1781983667926</v>
      </c>
      <c r="AK1470">
        <v>8.8866064390456501</v>
      </c>
      <c r="AL1470">
        <v>91.798063629248304</v>
      </c>
      <c r="AM1470">
        <v>79.757126188523998</v>
      </c>
      <c r="AN1470">
        <v>1.00000000983688</v>
      </c>
    </row>
    <row r="1471" spans="1:40" x14ac:dyDescent="0.25">
      <c r="A1471" t="str">
        <f>"20190312151526269"</f>
        <v>20190312151526269</v>
      </c>
      <c r="B1471" t="str">
        <f>"1552374926258867"</f>
        <v>1552374926258867</v>
      </c>
      <c r="C1471" t="s">
        <v>40</v>
      </c>
      <c r="D1471">
        <v>5.1945639999999997</v>
      </c>
      <c r="E1471">
        <v>0.5882735</v>
      </c>
      <c r="F1471" t="s">
        <v>50</v>
      </c>
      <c r="G1471">
        <v>-199.9059</v>
      </c>
      <c r="H1471" s="1">
        <v>1.9333179999999998E-6</v>
      </c>
      <c r="I1471">
        <v>287.75209999999998</v>
      </c>
      <c r="J1471">
        <v>-193.505</v>
      </c>
      <c r="K1471">
        <v>1.1066910000000001</v>
      </c>
      <c r="L1471">
        <v>294.07580000000002</v>
      </c>
      <c r="M1471">
        <v>-0.36665130000000001</v>
      </c>
      <c r="N1471">
        <v>0</v>
      </c>
      <c r="O1471">
        <v>-0.93025650000000004</v>
      </c>
      <c r="P1471">
        <v>-0.52659419999999901</v>
      </c>
      <c r="Q1471">
        <v>-4.3741090000000003E-2</v>
      </c>
      <c r="R1471">
        <v>-0.84899089999999999</v>
      </c>
      <c r="S1471">
        <v>-2.166382</v>
      </c>
      <c r="T1471">
        <v>-0.36999389999999999</v>
      </c>
      <c r="U1471">
        <v>-2.1761780000000002</v>
      </c>
      <c r="V1471">
        <v>0.17836479999999999</v>
      </c>
      <c r="W1471">
        <v>-3.1564509999999997E-2</v>
      </c>
      <c r="X1471">
        <v>0.98345800000000005</v>
      </c>
      <c r="Y1471">
        <v>0.39109549999999998</v>
      </c>
      <c r="Z1471">
        <v>0.12032909999999999</v>
      </c>
      <c r="AA1471">
        <v>0.91245010000000004</v>
      </c>
      <c r="AB1471">
        <v>20</v>
      </c>
      <c r="AC1471">
        <v>-6.4009</v>
      </c>
      <c r="AD1471">
        <v>-1.106689066682</v>
      </c>
      <c r="AE1471">
        <v>-6.3237000000000299</v>
      </c>
      <c r="AF1471">
        <v>3.5820422917596901</v>
      </c>
      <c r="AG1471">
        <v>-1.106689066682</v>
      </c>
      <c r="AH1471">
        <v>8.1076900388311905</v>
      </c>
      <c r="AI1471">
        <v>97.116889420417607</v>
      </c>
      <c r="AJ1471">
        <v>66.163775036118693</v>
      </c>
      <c r="AK1471">
        <v>8.9325486528779106</v>
      </c>
      <c r="AL1471">
        <v>91.808813687308003</v>
      </c>
      <c r="AM1471">
        <v>79.720293440906801</v>
      </c>
      <c r="AN1471">
        <v>0.99999997896728898</v>
      </c>
    </row>
    <row r="1472" spans="1:40" x14ac:dyDescent="0.25">
      <c r="A1472" t="str">
        <f>"20190312151526291"</f>
        <v>20190312151526291</v>
      </c>
      <c r="B1472" t="str">
        <f>"1552374926289123"</f>
        <v>1552374926289123</v>
      </c>
      <c r="C1472" t="s">
        <v>40</v>
      </c>
      <c r="D1472">
        <v>5.3177810000000001</v>
      </c>
      <c r="E1472">
        <v>0.5881615</v>
      </c>
      <c r="F1472" t="s">
        <v>50</v>
      </c>
      <c r="G1472">
        <v>-200.00630000000001</v>
      </c>
      <c r="H1472" s="1">
        <v>1.95683E-6</v>
      </c>
      <c r="I1472">
        <v>287.62389999999999</v>
      </c>
      <c r="J1472">
        <v>-193.58459999999999</v>
      </c>
      <c r="K1472">
        <v>1.1066320000000001</v>
      </c>
      <c r="L1472">
        <v>293.89240000000001</v>
      </c>
      <c r="M1472">
        <v>-0.3720656</v>
      </c>
      <c r="N1472">
        <v>0</v>
      </c>
      <c r="O1472">
        <v>-0.92810420000000005</v>
      </c>
      <c r="P1472">
        <v>-0.53218779999999999</v>
      </c>
      <c r="Q1472">
        <v>-4.413371E-2</v>
      </c>
      <c r="R1472">
        <v>-0.84547530000000004</v>
      </c>
      <c r="S1472">
        <v>-2.1793209999999998</v>
      </c>
      <c r="T1472">
        <v>-0.37097910000000001</v>
      </c>
      <c r="U1472">
        <v>-2.1627809999999998</v>
      </c>
      <c r="V1472">
        <v>0.17912700000000001</v>
      </c>
      <c r="W1472">
        <v>-3.1983350000000001E-2</v>
      </c>
      <c r="X1472">
        <v>0.98330589999999995</v>
      </c>
      <c r="Y1472">
        <v>0.39125100000000002</v>
      </c>
      <c r="Z1472">
        <v>0.1205378</v>
      </c>
      <c r="AA1472">
        <v>0.9123559</v>
      </c>
      <c r="AB1472">
        <v>20</v>
      </c>
      <c r="AC1472">
        <v>-6.4217000000000102</v>
      </c>
      <c r="AD1472">
        <v>-1.10663004317</v>
      </c>
      <c r="AE1472">
        <v>-6.2685000000000102</v>
      </c>
      <c r="AF1472">
        <v>3.5737134642684398</v>
      </c>
      <c r="AG1472">
        <v>-1.10663004317</v>
      </c>
      <c r="AH1472">
        <v>8.0849484360343702</v>
      </c>
      <c r="AI1472">
        <v>97.135770170459693</v>
      </c>
      <c r="AJ1472">
        <v>66.153585693969404</v>
      </c>
      <c r="AK1472">
        <v>8.9085604443408606</v>
      </c>
      <c r="AL1472">
        <v>91.832823619467604</v>
      </c>
      <c r="AM1472">
        <v>79.6757456231649</v>
      </c>
      <c r="AN1472">
        <v>0.99999995489051496</v>
      </c>
    </row>
    <row r="1473" spans="1:40" x14ac:dyDescent="0.25">
      <c r="A1473" t="str">
        <f>"20190312151526312"</f>
        <v>20190312151526312</v>
      </c>
      <c r="B1473" t="str">
        <f>"1552374926308643"</f>
        <v>1552374926308643</v>
      </c>
      <c r="C1473" t="s">
        <v>40</v>
      </c>
      <c r="D1473">
        <v>5.326505</v>
      </c>
      <c r="E1473">
        <v>0.58803729999999999</v>
      </c>
      <c r="F1473" t="s">
        <v>50</v>
      </c>
      <c r="G1473">
        <v>-200.1217</v>
      </c>
      <c r="H1473" s="1">
        <v>2.0200320000000002E-6</v>
      </c>
      <c r="I1473">
        <v>287.48669999999998</v>
      </c>
      <c r="J1473">
        <v>-193.66220000000001</v>
      </c>
      <c r="K1473">
        <v>1.106582</v>
      </c>
      <c r="L1473">
        <v>293.7167</v>
      </c>
      <c r="M1473">
        <v>-0.3773454</v>
      </c>
      <c r="N1473">
        <v>0</v>
      </c>
      <c r="O1473">
        <v>-0.92597030000000002</v>
      </c>
      <c r="P1473">
        <v>-0.53722239999999999</v>
      </c>
      <c r="Q1473">
        <v>-4.4861760000000001E-2</v>
      </c>
      <c r="R1473">
        <v>-0.84224699999999997</v>
      </c>
      <c r="S1473">
        <v>-2.1927639999999999</v>
      </c>
      <c r="T1473">
        <v>-0.37119839999999998</v>
      </c>
      <c r="U1473">
        <v>-2.148682</v>
      </c>
      <c r="V1473">
        <v>0.1793978</v>
      </c>
      <c r="W1473">
        <v>-3.2732810000000001E-2</v>
      </c>
      <c r="X1473">
        <v>0.98323190000000005</v>
      </c>
      <c r="Y1473">
        <v>0.39180350000000003</v>
      </c>
      <c r="Z1473">
        <v>0.1205104</v>
      </c>
      <c r="AA1473">
        <v>0.9121224</v>
      </c>
      <c r="AB1473">
        <v>20</v>
      </c>
      <c r="AC1473">
        <v>-6.4594999999999896</v>
      </c>
      <c r="AD1473">
        <v>-1.1065799799680001</v>
      </c>
      <c r="AE1473">
        <v>-6.2300000000000102</v>
      </c>
      <c r="AF1473">
        <v>3.57641067160929</v>
      </c>
      <c r="AG1473">
        <v>-1.1065799799680001</v>
      </c>
      <c r="AH1473">
        <v>8.0841221501646991</v>
      </c>
      <c r="AI1473">
        <v>97.135182948077798</v>
      </c>
      <c r="AJ1473">
        <v>66.1354309506644</v>
      </c>
      <c r="AK1473">
        <v>8.9088867701217502</v>
      </c>
      <c r="AL1473">
        <v>91.875786952772401</v>
      </c>
      <c r="AM1473">
        <v>79.659712677714197</v>
      </c>
      <c r="AN1473">
        <v>0.99999998833647297</v>
      </c>
    </row>
    <row r="1474" spans="1:40" x14ac:dyDescent="0.25">
      <c r="A1474" t="str">
        <f>"20190312151526335"</f>
        <v>20190312151526335</v>
      </c>
      <c r="B1474" t="str">
        <f>"1552374926329139"</f>
        <v>1552374926329139</v>
      </c>
      <c r="C1474" t="s">
        <v>40</v>
      </c>
      <c r="D1474">
        <v>5.1735030000000002</v>
      </c>
      <c r="E1474">
        <v>0.62144370000000004</v>
      </c>
      <c r="F1474" t="s">
        <v>50</v>
      </c>
      <c r="G1474">
        <v>-200.19919999999999</v>
      </c>
      <c r="H1474" s="1">
        <v>2.0633950000000001E-6</v>
      </c>
      <c r="I1474">
        <v>287.38350000000003</v>
      </c>
      <c r="J1474">
        <v>-193.744</v>
      </c>
      <c r="K1474">
        <v>1.106528</v>
      </c>
      <c r="L1474">
        <v>293.53489999999999</v>
      </c>
      <c r="M1474">
        <v>-0.38291789999999998</v>
      </c>
      <c r="N1474">
        <v>0</v>
      </c>
      <c r="O1474">
        <v>-0.92367960000000005</v>
      </c>
      <c r="P1474">
        <v>-0.54264880000000004</v>
      </c>
      <c r="Q1474">
        <v>-4.5325259999999999E-2</v>
      </c>
      <c r="R1474">
        <v>-0.83873600000000004</v>
      </c>
      <c r="S1474">
        <v>-2.2045439999999998</v>
      </c>
      <c r="T1474">
        <v>-0.3731855</v>
      </c>
      <c r="U1474">
        <v>-2.135834</v>
      </c>
      <c r="V1474">
        <v>0.1798225</v>
      </c>
      <c r="W1474">
        <v>-3.3219430000000001E-2</v>
      </c>
      <c r="X1474">
        <v>0.98313799999999996</v>
      </c>
      <c r="Y1474">
        <v>0.39139190000000001</v>
      </c>
      <c r="Z1474">
        <v>0.1210203</v>
      </c>
      <c r="AA1474">
        <v>0.91223160000000003</v>
      </c>
      <c r="AB1474">
        <v>20</v>
      </c>
      <c r="AC1474">
        <v>-6.4551999999999596</v>
      </c>
      <c r="AD1474">
        <v>-1.106525936605</v>
      </c>
      <c r="AE1474">
        <v>-6.1513999999999598</v>
      </c>
      <c r="AF1474">
        <v>3.5526884483412</v>
      </c>
      <c r="AG1474">
        <v>-1.106525936605</v>
      </c>
      <c r="AH1474">
        <v>8.0308380784558206</v>
      </c>
      <c r="AI1474">
        <v>97.181733473923003</v>
      </c>
      <c r="AJ1474">
        <v>66.136322276583002</v>
      </c>
      <c r="AK1474">
        <v>8.8510087053246398</v>
      </c>
      <c r="AL1474">
        <v>91.903683385551403</v>
      </c>
      <c r="AM1474">
        <v>79.634794914750501</v>
      </c>
      <c r="AN1474">
        <v>0.99999999453988697</v>
      </c>
    </row>
    <row r="1475" spans="1:40" x14ac:dyDescent="0.25">
      <c r="A1475" t="str">
        <f>"20190312151526360"</f>
        <v>20190312151526360</v>
      </c>
      <c r="B1475" t="str">
        <f>"1552374926348659"</f>
        <v>1552374926348659</v>
      </c>
      <c r="C1475" t="s">
        <v>40</v>
      </c>
      <c r="D1475">
        <v>5.1168339999999999</v>
      </c>
      <c r="E1475">
        <v>0.62753749999999997</v>
      </c>
      <c r="F1475" t="s">
        <v>50</v>
      </c>
      <c r="G1475">
        <v>-200.0429</v>
      </c>
      <c r="H1475" s="1">
        <v>1.9012549999999999E-6</v>
      </c>
      <c r="I1475">
        <v>288.44549999999998</v>
      </c>
      <c r="J1475">
        <v>-193.83580000000001</v>
      </c>
      <c r="K1475">
        <v>1.1064750000000001</v>
      </c>
      <c r="L1475">
        <v>293.33460000000002</v>
      </c>
      <c r="M1475">
        <v>-0.38917010000000002</v>
      </c>
      <c r="N1475">
        <v>0</v>
      </c>
      <c r="O1475">
        <v>-0.92106259999999995</v>
      </c>
      <c r="P1475">
        <v>-0.54868300000000003</v>
      </c>
      <c r="Q1475">
        <v>-4.5536340000000002E-2</v>
      </c>
      <c r="R1475">
        <v>-0.83478929999999996</v>
      </c>
      <c r="S1475">
        <v>-2.4423979999999998</v>
      </c>
      <c r="T1475">
        <v>-0.42905589999999999</v>
      </c>
      <c r="U1475">
        <v>-1.973419</v>
      </c>
      <c r="V1475">
        <v>0.18024599999999999</v>
      </c>
      <c r="W1475">
        <v>-3.345339E-2</v>
      </c>
      <c r="X1475">
        <v>0.9830525</v>
      </c>
      <c r="Y1475">
        <v>0.4640398</v>
      </c>
      <c r="Z1475">
        <v>0.13785790000000001</v>
      </c>
      <c r="AA1475">
        <v>0.8750213</v>
      </c>
      <c r="AB1475">
        <v>20</v>
      </c>
      <c r="AC1475">
        <v>-6.2070999999999898</v>
      </c>
      <c r="AD1475">
        <v>-1.106473098745</v>
      </c>
      <c r="AE1475">
        <v>-4.88910000000004</v>
      </c>
      <c r="AF1475">
        <v>3.7414295388247498</v>
      </c>
      <c r="AG1475">
        <v>-1.106473098745</v>
      </c>
      <c r="AH1475">
        <v>6.7863624584370799</v>
      </c>
      <c r="AI1475">
        <v>98.125883177842994</v>
      </c>
      <c r="AJ1475">
        <v>61.131353110221298</v>
      </c>
      <c r="AK1475">
        <v>7.8279814211277303</v>
      </c>
      <c r="AL1475">
        <v>91.917095781618599</v>
      </c>
      <c r="AM1475">
        <v>79.610030869710698</v>
      </c>
      <c r="AN1475">
        <v>0.99999998378736998</v>
      </c>
    </row>
    <row r="1476" spans="1:40" x14ac:dyDescent="0.25">
      <c r="A1476" t="str">
        <f>"20190312151526382"</f>
        <v>20190312151526382</v>
      </c>
      <c r="B1476" t="str">
        <f>"1552374926378915"</f>
        <v>1552374926378915</v>
      </c>
      <c r="C1476" t="s">
        <v>40</v>
      </c>
      <c r="D1476">
        <v>5.1589070000000001</v>
      </c>
      <c r="E1476">
        <v>0.63064779999999998</v>
      </c>
      <c r="F1476" t="s">
        <v>50</v>
      </c>
      <c r="G1476">
        <v>-200.5712</v>
      </c>
      <c r="H1476" s="1">
        <v>2.1632980000000001E-6</v>
      </c>
      <c r="I1476">
        <v>288.12779999999998</v>
      </c>
      <c r="J1476">
        <v>-193.9205</v>
      </c>
      <c r="K1476">
        <v>1.106433</v>
      </c>
      <c r="L1476">
        <v>293.15300000000002</v>
      </c>
      <c r="M1476">
        <v>-0.39492240000000001</v>
      </c>
      <c r="N1476">
        <v>0</v>
      </c>
      <c r="O1476">
        <v>-0.91861079999999995</v>
      </c>
      <c r="P1476">
        <v>-0.55380779999999996</v>
      </c>
      <c r="Q1476">
        <v>-4.5069459999999999E-2</v>
      </c>
      <c r="R1476">
        <v>-0.83142389999999999</v>
      </c>
      <c r="S1476">
        <v>-2.4968870000000001</v>
      </c>
      <c r="T1476">
        <v>-0.41018300000000002</v>
      </c>
      <c r="U1476">
        <v>-1.9302060000000001</v>
      </c>
      <c r="V1476">
        <v>0.18013599999999999</v>
      </c>
      <c r="W1476">
        <v>-3.2997400000000003E-2</v>
      </c>
      <c r="X1476">
        <v>0.98308810000000002</v>
      </c>
      <c r="Y1476">
        <v>0.47800510000000002</v>
      </c>
      <c r="Z1476">
        <v>0.13152849999999999</v>
      </c>
      <c r="AA1476">
        <v>0.86845339999999904</v>
      </c>
      <c r="AB1476">
        <v>20</v>
      </c>
      <c r="AC1476">
        <v>-6.6506999999999996</v>
      </c>
      <c r="AD1476">
        <v>-1.1064308367019999</v>
      </c>
      <c r="AE1476">
        <v>-5.0252000000000399</v>
      </c>
      <c r="AF1476">
        <v>4.0538129518720103</v>
      </c>
      <c r="AG1476">
        <v>-1.1064308367019999</v>
      </c>
      <c r="AH1476">
        <v>7.1179972223261396</v>
      </c>
      <c r="AI1476">
        <v>97.692499156302802</v>
      </c>
      <c r="AJ1476">
        <v>60.337797087016703</v>
      </c>
      <c r="AK1476">
        <v>8.2658014192341298</v>
      </c>
      <c r="AL1476">
        <v>91.890954996863201</v>
      </c>
      <c r="AM1476">
        <v>79.616601500256806</v>
      </c>
      <c r="AN1476">
        <v>1.0000000096321799</v>
      </c>
    </row>
    <row r="1477" spans="1:40" x14ac:dyDescent="0.25">
      <c r="A1477" t="str">
        <f>"20190312151526403"</f>
        <v>20190312151526403</v>
      </c>
      <c r="B1477" t="str">
        <f>"1552374926399411"</f>
        <v>1552374926399411</v>
      </c>
      <c r="C1477" t="s">
        <v>40</v>
      </c>
      <c r="D1477">
        <v>5.1230390000000003</v>
      </c>
      <c r="E1477">
        <v>0.63147430000000004</v>
      </c>
      <c r="F1477" t="s">
        <v>50</v>
      </c>
      <c r="G1477">
        <v>-200.95859999999999</v>
      </c>
      <c r="H1477" s="1">
        <v>2.3584129999999999E-6</v>
      </c>
      <c r="I1477">
        <v>287.86090000000002</v>
      </c>
      <c r="J1477">
        <v>-193.99969999999999</v>
      </c>
      <c r="K1477">
        <v>1.1064039999999999</v>
      </c>
      <c r="L1477">
        <v>292.98610000000002</v>
      </c>
      <c r="M1477">
        <v>-0.40028029999999998</v>
      </c>
      <c r="N1477">
        <v>0</v>
      </c>
      <c r="O1477">
        <v>-0.91628889999999996</v>
      </c>
      <c r="P1477">
        <v>-0.55924119999999899</v>
      </c>
      <c r="Q1477">
        <v>-4.4681209999999999E-2</v>
      </c>
      <c r="R1477">
        <v>-0.827800599999999</v>
      </c>
      <c r="S1477">
        <v>-2.5293730000000001</v>
      </c>
      <c r="T1477">
        <v>-0.39763609999999999</v>
      </c>
      <c r="U1477">
        <v>-1.901886</v>
      </c>
      <c r="V1477">
        <v>0.18082519999999999</v>
      </c>
      <c r="W1477">
        <v>-3.2625179999999997E-2</v>
      </c>
      <c r="X1477">
        <v>0.98297400000000001</v>
      </c>
      <c r="Y1477">
        <v>0.48494520000000002</v>
      </c>
      <c r="Z1477">
        <v>0.12731110000000001</v>
      </c>
      <c r="AA1477">
        <v>0.86522829999999995</v>
      </c>
      <c r="AB1477">
        <v>20</v>
      </c>
      <c r="AC1477">
        <v>-6.9588999999999999</v>
      </c>
      <c r="AD1477">
        <v>-1.1064016415869999</v>
      </c>
      <c r="AE1477">
        <v>-5.1252000000000004</v>
      </c>
      <c r="AF1477">
        <v>4.2555161992098398</v>
      </c>
      <c r="AG1477">
        <v>-1.1064016415869999</v>
      </c>
      <c r="AH1477">
        <v>7.3617384541017596</v>
      </c>
      <c r="AI1477">
        <v>97.413432864536205</v>
      </c>
      <c r="AJ1477">
        <v>59.969571208085199</v>
      </c>
      <c r="AK1477">
        <v>8.5748898407410703</v>
      </c>
      <c r="AL1477">
        <v>91.8696168533031</v>
      </c>
      <c r="AM1477">
        <v>79.576560329547107</v>
      </c>
      <c r="AN1477">
        <v>1.0000000200005299</v>
      </c>
    </row>
    <row r="1478" spans="1:40" x14ac:dyDescent="0.25">
      <c r="A1478" t="str">
        <f>"20190312151526424"</f>
        <v>20190312151526424</v>
      </c>
      <c r="B1478" t="str">
        <f>"1552374926418931"</f>
        <v>1552374926418931</v>
      </c>
      <c r="C1478" t="s">
        <v>40</v>
      </c>
      <c r="D1478">
        <v>5.0736800000000004</v>
      </c>
      <c r="E1478">
        <v>0.63156690000000004</v>
      </c>
      <c r="F1478" t="s">
        <v>50</v>
      </c>
      <c r="G1478">
        <v>-201.11920000000001</v>
      </c>
      <c r="H1478" s="1">
        <v>2.4416099999999999E-6</v>
      </c>
      <c r="I1478">
        <v>287.7244</v>
      </c>
      <c r="J1478">
        <v>-194.08510000000001</v>
      </c>
      <c r="K1478">
        <v>1.106376</v>
      </c>
      <c r="L1478">
        <v>292.80900000000003</v>
      </c>
      <c r="M1478">
        <v>-0.40603800000000001</v>
      </c>
      <c r="N1478">
        <v>0</v>
      </c>
      <c r="O1478">
        <v>-0.91375200000000001</v>
      </c>
      <c r="P1478">
        <v>-0.56463219999999903</v>
      </c>
      <c r="Q1478">
        <v>-4.4940889999999997E-2</v>
      </c>
      <c r="R1478">
        <v>-0.82411859999999904</v>
      </c>
      <c r="S1478">
        <v>-2.5467219999999999</v>
      </c>
      <c r="T1478">
        <v>-0.39577079999999998</v>
      </c>
      <c r="U1478">
        <v>-1.8821410000000001</v>
      </c>
      <c r="V1478">
        <v>0.18105660000000001</v>
      </c>
      <c r="W1478">
        <v>-3.289599E-2</v>
      </c>
      <c r="X1478">
        <v>0.98292239999999997</v>
      </c>
      <c r="Y1478">
        <v>0.48669420000000002</v>
      </c>
      <c r="Z1478">
        <v>0.12656619999999999</v>
      </c>
      <c r="AA1478">
        <v>0.86435509999999904</v>
      </c>
      <c r="AB1478">
        <v>20</v>
      </c>
      <c r="AC1478">
        <v>-7.0340999999999898</v>
      </c>
      <c r="AD1478">
        <v>-1.1063735583900001</v>
      </c>
      <c r="AE1478">
        <v>-5.0846000000000204</v>
      </c>
      <c r="AF1478">
        <v>4.2935321370798496</v>
      </c>
      <c r="AG1478">
        <v>-1.1063735583900001</v>
      </c>
      <c r="AH1478">
        <v>7.3829248338580502</v>
      </c>
      <c r="AI1478">
        <v>97.381145005477805</v>
      </c>
      <c r="AJ1478">
        <v>59.819903286113103</v>
      </c>
      <c r="AK1478">
        <v>8.6119718859991607</v>
      </c>
      <c r="AL1478">
        <v>91.885141415734097</v>
      </c>
      <c r="AM1478">
        <v>79.562978641978603</v>
      </c>
      <c r="AN1478">
        <v>1.0000000414916901</v>
      </c>
    </row>
    <row r="1479" spans="1:40" x14ac:dyDescent="0.25">
      <c r="A1479" t="str">
        <f>"20190312151526447"</f>
        <v>20190312151526447</v>
      </c>
      <c r="B1479" t="str">
        <f>"1552374926439233"</f>
        <v>1552374926439233</v>
      </c>
      <c r="C1479" t="s">
        <v>40</v>
      </c>
      <c r="D1479">
        <v>5.0848760000000004</v>
      </c>
      <c r="E1479">
        <v>0.63194589999999995</v>
      </c>
      <c r="F1479" t="s">
        <v>50</v>
      </c>
      <c r="G1479">
        <v>-201.32689999999999</v>
      </c>
      <c r="H1479" s="1">
        <v>2.5505200000000001E-6</v>
      </c>
      <c r="I1479">
        <v>287.53179999999998</v>
      </c>
      <c r="J1479">
        <v>-194.16990000000001</v>
      </c>
      <c r="K1479">
        <v>1.106349</v>
      </c>
      <c r="L1479">
        <v>292.63630000000001</v>
      </c>
      <c r="M1479">
        <v>-0.41173340000000003</v>
      </c>
      <c r="N1479">
        <v>0</v>
      </c>
      <c r="O1479">
        <v>-0.91119969999999995</v>
      </c>
      <c r="P1479">
        <v>-0.56971810000000001</v>
      </c>
      <c r="Q1479">
        <v>-4.4674749999999999E-2</v>
      </c>
      <c r="R1479">
        <v>-0.8206251</v>
      </c>
      <c r="S1479">
        <v>-2.559631</v>
      </c>
      <c r="T1479">
        <v>-0.39105240000000002</v>
      </c>
      <c r="U1479">
        <v>-1.865265</v>
      </c>
      <c r="V1479">
        <v>0.18099399999999999</v>
      </c>
      <c r="W1479">
        <v>-3.2637630000000001E-2</v>
      </c>
      <c r="X1479">
        <v>0.98294250000000005</v>
      </c>
      <c r="Y1479">
        <v>0.48722539999999998</v>
      </c>
      <c r="Z1479">
        <v>0.12494810000000001</v>
      </c>
      <c r="AA1479">
        <v>0.86429129999999998</v>
      </c>
      <c r="AB1479">
        <v>20</v>
      </c>
      <c r="AC1479">
        <v>-7.1569999999999796</v>
      </c>
      <c r="AD1479">
        <v>-1.1063464494799999</v>
      </c>
      <c r="AE1479">
        <v>-5.10450000000003</v>
      </c>
      <c r="AF1479">
        <v>4.3512656519540602</v>
      </c>
      <c r="AG1479">
        <v>-1.1063464494799999</v>
      </c>
      <c r="AH1479">
        <v>7.4802411371071198</v>
      </c>
      <c r="AI1479">
        <v>97.285502825158304</v>
      </c>
      <c r="AJ1479">
        <v>59.813382441736003</v>
      </c>
      <c r="AK1479">
        <v>8.72419180838099</v>
      </c>
      <c r="AL1479">
        <v>91.870330602094896</v>
      </c>
      <c r="AM1479">
        <v>79.566716631488902</v>
      </c>
      <c r="AN1479">
        <v>1.0000000006171299</v>
      </c>
    </row>
    <row r="1480" spans="1:40" x14ac:dyDescent="0.25">
      <c r="A1480" t="str">
        <f>"20190312151526469"</f>
        <v>20190312151526469</v>
      </c>
      <c r="B1480" t="str">
        <f>"1552374926458752"</f>
        <v>1552374926458752</v>
      </c>
      <c r="C1480" t="s">
        <v>40</v>
      </c>
      <c r="D1480">
        <v>5.1463789999999996</v>
      </c>
      <c r="E1480">
        <v>0.63229639999999998</v>
      </c>
      <c r="F1480" t="s">
        <v>50</v>
      </c>
      <c r="G1480">
        <v>-201.489</v>
      </c>
      <c r="H1480" s="1">
        <v>2.6355110000000001E-6</v>
      </c>
      <c r="I1480">
        <v>287.38200000000001</v>
      </c>
      <c r="J1480">
        <v>-194.2593</v>
      </c>
      <c r="K1480">
        <v>1.1063179999999999</v>
      </c>
      <c r="L1480">
        <v>292.4572</v>
      </c>
      <c r="M1480">
        <v>-0.417715</v>
      </c>
      <c r="N1480">
        <v>0</v>
      </c>
      <c r="O1480">
        <v>-0.90847279999999997</v>
      </c>
      <c r="P1480">
        <v>-0.57535230000000004</v>
      </c>
      <c r="Q1480">
        <v>-4.3827820000000003E-2</v>
      </c>
      <c r="R1480">
        <v>-0.81673079999999998</v>
      </c>
      <c r="S1480">
        <v>-2.5738219999999998</v>
      </c>
      <c r="T1480">
        <v>-0.38905410000000001</v>
      </c>
      <c r="U1480">
        <v>-1.8476870000000001</v>
      </c>
      <c r="V1480">
        <v>0.18128169999999999</v>
      </c>
      <c r="W1480">
        <v>-3.1803629999999999E-2</v>
      </c>
      <c r="X1480">
        <v>0.98291680000000003</v>
      </c>
      <c r="Y1480">
        <v>0.48773559999999999</v>
      </c>
      <c r="Z1480">
        <v>0.12414790000000001</v>
      </c>
      <c r="AA1480">
        <v>0.86411879999999996</v>
      </c>
      <c r="AB1480">
        <v>20</v>
      </c>
      <c r="AC1480">
        <v>-7.2297000000000002</v>
      </c>
      <c r="AD1480">
        <v>-1.106315364489</v>
      </c>
      <c r="AE1480">
        <v>-5.0751999999999899</v>
      </c>
      <c r="AF1480">
        <v>4.3797231110100201</v>
      </c>
      <c r="AG1480">
        <v>-1.106315364489</v>
      </c>
      <c r="AH1480">
        <v>7.5135071928536501</v>
      </c>
      <c r="AI1480">
        <v>97.249607671674795</v>
      </c>
      <c r="AJ1480">
        <v>59.761523119120099</v>
      </c>
      <c r="AK1480">
        <v>8.7669092930110395</v>
      </c>
      <c r="AL1480">
        <v>91.822521133352097</v>
      </c>
      <c r="AM1480">
        <v>79.5502301784054</v>
      </c>
      <c r="AN1480">
        <v>0.99999998067915297</v>
      </c>
    </row>
    <row r="1481" spans="1:40" x14ac:dyDescent="0.25">
      <c r="A1481" t="str">
        <f>"20190312151526492"</f>
        <v>20190312151526492</v>
      </c>
      <c r="B1481" t="str">
        <f>"1552374926489009"</f>
        <v>1552374926489009</v>
      </c>
      <c r="C1481" t="s">
        <v>40</v>
      </c>
      <c r="D1481">
        <v>5.2152510000000003</v>
      </c>
      <c r="E1481">
        <v>0.63243760000000004</v>
      </c>
      <c r="F1481" t="s">
        <v>50</v>
      </c>
      <c r="G1481">
        <v>-201.68119999999999</v>
      </c>
      <c r="H1481" s="1">
        <v>2.7353739999999998E-6</v>
      </c>
      <c r="I1481">
        <v>287.21469999999999</v>
      </c>
      <c r="J1481">
        <v>-194.3501</v>
      </c>
      <c r="K1481">
        <v>1.1062799999999999</v>
      </c>
      <c r="L1481">
        <v>292.27839999999998</v>
      </c>
      <c r="M1481">
        <v>-0.42376979999999997</v>
      </c>
      <c r="N1481">
        <v>0</v>
      </c>
      <c r="O1481">
        <v>-0.90566440000000004</v>
      </c>
      <c r="P1481">
        <v>-0.58121</v>
      </c>
      <c r="Q1481">
        <v>-4.3487850000000002E-2</v>
      </c>
      <c r="R1481">
        <v>-0.81259110000000001</v>
      </c>
      <c r="S1481">
        <v>-2.5889280000000001</v>
      </c>
      <c r="T1481">
        <v>-0.38590649999999999</v>
      </c>
      <c r="U1481">
        <v>-1.828705</v>
      </c>
      <c r="V1481">
        <v>0.18177979999999999</v>
      </c>
      <c r="W1481">
        <v>-3.1480719999999997E-2</v>
      </c>
      <c r="X1481">
        <v>0.98283520000000002</v>
      </c>
      <c r="Y1481">
        <v>0.48864940000000001</v>
      </c>
      <c r="Z1481">
        <v>0.1229893</v>
      </c>
      <c r="AA1481">
        <v>0.86376810000000004</v>
      </c>
      <c r="AB1481">
        <v>20</v>
      </c>
      <c r="AC1481">
        <v>-7.3310999999999904</v>
      </c>
      <c r="AD1481">
        <v>-1.106277264626</v>
      </c>
      <c r="AE1481">
        <v>-5.0636999999999803</v>
      </c>
      <c r="AF1481">
        <v>4.4258715894581204</v>
      </c>
      <c r="AG1481">
        <v>-1.106277264626</v>
      </c>
      <c r="AH1481">
        <v>7.5766422299294502</v>
      </c>
      <c r="AI1481">
        <v>97.185768308934101</v>
      </c>
      <c r="AJ1481">
        <v>59.708798556575097</v>
      </c>
      <c r="AK1481">
        <v>8.8440768988601199</v>
      </c>
      <c r="AL1481">
        <v>91.804010483367605</v>
      </c>
      <c r="AM1481">
        <v>79.521302169156101</v>
      </c>
      <c r="AN1481">
        <v>0.99999998088939901</v>
      </c>
    </row>
    <row r="1482" spans="1:40" x14ac:dyDescent="0.25">
      <c r="A1482" t="str">
        <f>"20190312151526515"</f>
        <v>20190312151526515</v>
      </c>
      <c r="B1482" t="str">
        <f>"1552374926509505"</f>
        <v>1552374926509505</v>
      </c>
      <c r="C1482" t="s">
        <v>40</v>
      </c>
      <c r="D1482">
        <v>5.1398609999999998</v>
      </c>
      <c r="E1482">
        <v>0.63269699999999995</v>
      </c>
      <c r="F1482" t="s">
        <v>50</v>
      </c>
      <c r="G1482">
        <v>-201.74459999999999</v>
      </c>
      <c r="H1482" s="1">
        <v>2.7702390000000002E-6</v>
      </c>
      <c r="I1482">
        <v>287.13729999999998</v>
      </c>
      <c r="J1482">
        <v>-194.44239999999999</v>
      </c>
      <c r="K1482">
        <v>1.1062379999999901</v>
      </c>
      <c r="L1482">
        <v>292.09989999999999</v>
      </c>
      <c r="M1482">
        <v>-0.42990600000000001</v>
      </c>
      <c r="N1482">
        <v>0</v>
      </c>
      <c r="O1482">
        <v>-0.90276769999999995</v>
      </c>
      <c r="P1482">
        <v>-0.58656940000000002</v>
      </c>
      <c r="Q1482">
        <v>-4.359002E-2</v>
      </c>
      <c r="R1482">
        <v>-0.80872540000000004</v>
      </c>
      <c r="S1482">
        <v>-2.6026310000000001</v>
      </c>
      <c r="T1482">
        <v>-0.38937709999999998</v>
      </c>
      <c r="U1482">
        <v>-1.809509</v>
      </c>
      <c r="V1482">
        <v>0.18160580000000001</v>
      </c>
      <c r="W1482">
        <v>-3.1593990000000002E-2</v>
      </c>
      <c r="X1482">
        <v>0.98286370000000001</v>
      </c>
      <c r="Y1482">
        <v>0.48906040000000001</v>
      </c>
      <c r="Z1482">
        <v>0.1239328</v>
      </c>
      <c r="AA1482">
        <v>0.86340059999999996</v>
      </c>
      <c r="AB1482">
        <v>20</v>
      </c>
      <c r="AC1482">
        <v>-7.3021999999999903</v>
      </c>
      <c r="AD1482">
        <v>-1.1062352297610001</v>
      </c>
      <c r="AE1482">
        <v>-4.9626000000000001</v>
      </c>
      <c r="AF1482">
        <v>4.3902414369891698</v>
      </c>
      <c r="AG1482">
        <v>-1.1062352297610001</v>
      </c>
      <c r="AH1482">
        <v>7.5022826019197897</v>
      </c>
      <c r="AI1482">
        <v>97.252708414459704</v>
      </c>
      <c r="AJ1482">
        <v>59.6643658951578</v>
      </c>
      <c r="AK1482">
        <v>8.7625464619418505</v>
      </c>
      <c r="AL1482">
        <v>91.810503662617904</v>
      </c>
      <c r="AM1482">
        <v>79.531407396036997</v>
      </c>
      <c r="AN1482">
        <v>0.999999949787723</v>
      </c>
    </row>
    <row r="1483" spans="1:40" x14ac:dyDescent="0.25">
      <c r="A1483" t="str">
        <f>"20190312151526538"</f>
        <v>20190312151526538</v>
      </c>
      <c r="B1483" t="str">
        <f>"1552374926528585"</f>
        <v>1552374926528585</v>
      </c>
      <c r="C1483" t="s">
        <v>40</v>
      </c>
      <c r="D1483">
        <v>5.0436079999999999</v>
      </c>
      <c r="E1483">
        <v>0.63273550000000001</v>
      </c>
      <c r="F1483" t="s">
        <v>50</v>
      </c>
      <c r="G1483">
        <v>-201.82</v>
      </c>
      <c r="H1483" s="1">
        <v>2.811312E-6</v>
      </c>
      <c r="I1483">
        <v>287.05</v>
      </c>
      <c r="J1483">
        <v>-194.53729999999999</v>
      </c>
      <c r="K1483">
        <v>1.1061920000000001</v>
      </c>
      <c r="L1483">
        <v>291.92</v>
      </c>
      <c r="M1483">
        <v>-0.43619449999999999</v>
      </c>
      <c r="N1483">
        <v>0</v>
      </c>
      <c r="O1483">
        <v>-0.89974609999999899</v>
      </c>
      <c r="P1483">
        <v>-0.59240019999999904</v>
      </c>
      <c r="Q1483">
        <v>-4.3372180000000003E-2</v>
      </c>
      <c r="R1483">
        <v>-0.80447579999999996</v>
      </c>
      <c r="S1483">
        <v>-2.6162719999999999</v>
      </c>
      <c r="T1483">
        <v>-0.39230169999999998</v>
      </c>
      <c r="U1483">
        <v>-1.7908630000000001</v>
      </c>
      <c r="V1483">
        <v>0.18184600000000001</v>
      </c>
      <c r="W1483">
        <v>-3.1392070000000001E-2</v>
      </c>
      <c r="X1483">
        <v>0.98282579999999997</v>
      </c>
      <c r="Y1483">
        <v>0.48919119999999999</v>
      </c>
      <c r="Z1483">
        <v>0.12466579999999999</v>
      </c>
      <c r="AA1483">
        <v>0.86322089999999996</v>
      </c>
      <c r="AB1483">
        <v>19</v>
      </c>
      <c r="AC1483">
        <v>-7.2827000000000002</v>
      </c>
      <c r="AD1483">
        <v>-1.106189188688</v>
      </c>
      <c r="AE1483">
        <v>-4.87</v>
      </c>
      <c r="AF1483">
        <v>4.3592405154806402</v>
      </c>
      <c r="AG1483">
        <v>-1.106189188688</v>
      </c>
      <c r="AH1483">
        <v>7.4405400832725999</v>
      </c>
      <c r="AI1483">
        <v>97.309768388192595</v>
      </c>
      <c r="AJ1483">
        <v>59.634948057947803</v>
      </c>
      <c r="AK1483">
        <v>8.6941514320699707</v>
      </c>
      <c r="AL1483">
        <v>91.798928681743703</v>
      </c>
      <c r="AM1483">
        <v>79.517472606611904</v>
      </c>
      <c r="AN1483">
        <v>0.99999999146026197</v>
      </c>
    </row>
    <row r="1484" spans="1:40" x14ac:dyDescent="0.25">
      <c r="A1484" t="str">
        <f>"20190312151526560"</f>
        <v>20190312151526560</v>
      </c>
      <c r="B1484" t="str">
        <f>"1552374926549052"</f>
        <v>1552374926549052</v>
      </c>
      <c r="C1484" t="s">
        <v>40</v>
      </c>
      <c r="D1484">
        <v>5.0523819999999997</v>
      </c>
      <c r="E1484">
        <v>0.63268610000000003</v>
      </c>
      <c r="F1484" t="s">
        <v>50</v>
      </c>
      <c r="G1484">
        <v>-201.93969999999999</v>
      </c>
      <c r="H1484" s="1">
        <v>2.8746700000000002E-6</v>
      </c>
      <c r="I1484">
        <v>286.93270000000001</v>
      </c>
      <c r="J1484">
        <v>-194.62889999999999</v>
      </c>
      <c r="K1484">
        <v>1.106152</v>
      </c>
      <c r="L1484">
        <v>291.74939999999998</v>
      </c>
      <c r="M1484">
        <v>-0.44224269999999999</v>
      </c>
      <c r="N1484">
        <v>0</v>
      </c>
      <c r="O1484">
        <v>-0.89678849999999999</v>
      </c>
      <c r="P1484">
        <v>-0.59830669999999897</v>
      </c>
      <c r="Q1484">
        <v>-4.365306E-2</v>
      </c>
      <c r="R1484">
        <v>-0.80007709999999999</v>
      </c>
      <c r="S1484">
        <v>-2.6295009999999999</v>
      </c>
      <c r="T1484">
        <v>-0.3929436</v>
      </c>
      <c r="U1484">
        <v>-1.771606</v>
      </c>
      <c r="V1484">
        <v>0.18246509999999999</v>
      </c>
      <c r="W1484">
        <v>-3.1690129999999997E-2</v>
      </c>
      <c r="X1484">
        <v>0.98270150000000001</v>
      </c>
      <c r="Y1484">
        <v>0.48968260000000002</v>
      </c>
      <c r="Z1484">
        <v>0.12471309999999999</v>
      </c>
      <c r="AA1484">
        <v>0.86293549999999997</v>
      </c>
      <c r="AB1484">
        <v>19</v>
      </c>
      <c r="AC1484">
        <v>-7.3108000000000004</v>
      </c>
      <c r="AD1484">
        <v>-1.10614912533</v>
      </c>
      <c r="AE1484">
        <v>-4.81669999999996</v>
      </c>
      <c r="AF1484">
        <v>4.35696365601867</v>
      </c>
      <c r="AG1484">
        <v>-1.10614912533</v>
      </c>
      <c r="AH1484">
        <v>7.4347498505776102</v>
      </c>
      <c r="AI1484">
        <v>97.314664021618398</v>
      </c>
      <c r="AJ1484">
        <v>59.628548623348401</v>
      </c>
      <c r="AK1484">
        <v>8.6880494662495895</v>
      </c>
      <c r="AL1484">
        <v>91.816014733793494</v>
      </c>
      <c r="AM1484">
        <v>79.481278896630997</v>
      </c>
      <c r="AN1484">
        <v>1.0000000075798301</v>
      </c>
    </row>
    <row r="1485" spans="1:40" x14ac:dyDescent="0.25">
      <c r="A1485" t="str">
        <f>"20190312151526584"</f>
        <v>20190312151526584</v>
      </c>
      <c r="B1485" t="str">
        <f>"1552374926579307"</f>
        <v>1552374926579307</v>
      </c>
      <c r="C1485" t="s">
        <v>40</v>
      </c>
      <c r="D1485">
        <v>5.1700499999999998</v>
      </c>
      <c r="E1485">
        <v>0.63272930000000005</v>
      </c>
      <c r="F1485" t="s">
        <v>50</v>
      </c>
      <c r="G1485">
        <v>-202.0566</v>
      </c>
      <c r="H1485" s="1">
        <v>2.9361090000000002E-6</v>
      </c>
      <c r="I1485">
        <v>286.8227</v>
      </c>
      <c r="J1485">
        <v>-194.72890000000001</v>
      </c>
      <c r="K1485">
        <v>1.1061110000000001</v>
      </c>
      <c r="L1485">
        <v>291.56630000000001</v>
      </c>
      <c r="M1485">
        <v>-0.44882090000000002</v>
      </c>
      <c r="N1485">
        <v>0</v>
      </c>
      <c r="O1485">
        <v>-0.89351440000000004</v>
      </c>
      <c r="P1485">
        <v>-0.60426809999999997</v>
      </c>
      <c r="Q1485">
        <v>-4.4034370000000003E-2</v>
      </c>
      <c r="R1485">
        <v>-0.79556380000000004</v>
      </c>
      <c r="S1485">
        <v>-2.6420439999999998</v>
      </c>
      <c r="T1485">
        <v>-0.39345910000000001</v>
      </c>
      <c r="U1485">
        <v>-1.7524109999999999</v>
      </c>
      <c r="V1485">
        <v>0.18258920000000001</v>
      </c>
      <c r="W1485">
        <v>-3.208167E-2</v>
      </c>
      <c r="X1485">
        <v>0.98266569999999998</v>
      </c>
      <c r="Y1485">
        <v>0.48952699999999999</v>
      </c>
      <c r="Z1485">
        <v>0.1246912</v>
      </c>
      <c r="AA1485">
        <v>0.86302690000000004</v>
      </c>
      <c r="AB1485">
        <v>19</v>
      </c>
      <c r="AC1485">
        <v>-7.3276999999999903</v>
      </c>
      <c r="AD1485">
        <v>-1.1061080638909999</v>
      </c>
      <c r="AE1485">
        <v>-4.7436000000000096</v>
      </c>
      <c r="AF1485">
        <v>4.3489721089263504</v>
      </c>
      <c r="AG1485">
        <v>-1.1061080638909999</v>
      </c>
      <c r="AH1485">
        <v>7.4090564818714002</v>
      </c>
      <c r="AI1485">
        <v>97.336463994459805</v>
      </c>
      <c r="AJ1485">
        <v>59.587894448190802</v>
      </c>
      <c r="AK1485">
        <v>8.6620523783214693</v>
      </c>
      <c r="AL1485">
        <v>91.838459816856499</v>
      </c>
      <c r="AM1485">
        <v>79.473909726538594</v>
      </c>
      <c r="AN1485">
        <v>0.99999996373155797</v>
      </c>
    </row>
    <row r="1486" spans="1:40" x14ac:dyDescent="0.25">
      <c r="A1486" t="str">
        <f>"20190312151526604"</f>
        <v>20190312151526604</v>
      </c>
      <c r="B1486" t="str">
        <f>"1552374926598827"</f>
        <v>1552374926598827</v>
      </c>
      <c r="C1486" t="s">
        <v>40</v>
      </c>
      <c r="D1486">
        <v>5.1347129999999996</v>
      </c>
      <c r="E1486">
        <v>0.63269779999999998</v>
      </c>
      <c r="F1486" t="s">
        <v>50</v>
      </c>
      <c r="G1486">
        <v>-202.1131</v>
      </c>
      <c r="H1486" s="1">
        <v>2.9676269999999999E-6</v>
      </c>
      <c r="I1486">
        <v>286.74889999999999</v>
      </c>
      <c r="J1486">
        <v>-194.81800000000001</v>
      </c>
      <c r="K1486">
        <v>1.1060749999999999</v>
      </c>
      <c r="L1486">
        <v>291.40620000000001</v>
      </c>
      <c r="M1486">
        <v>-0.4546618</v>
      </c>
      <c r="N1486">
        <v>0</v>
      </c>
      <c r="O1486">
        <v>-0.89055649999999997</v>
      </c>
      <c r="P1486">
        <v>-0.60942249999999998</v>
      </c>
      <c r="Q1486">
        <v>-4.4256520000000001E-2</v>
      </c>
      <c r="R1486">
        <v>-0.79160980000000003</v>
      </c>
      <c r="S1486">
        <v>-2.6551819999999999</v>
      </c>
      <c r="T1486">
        <v>-0.3977292</v>
      </c>
      <c r="U1486">
        <v>-1.732208</v>
      </c>
      <c r="V1486">
        <v>0.18253839999999999</v>
      </c>
      <c r="W1486">
        <v>-3.2311159999999998E-2</v>
      </c>
      <c r="X1486">
        <v>0.98266759999999997</v>
      </c>
      <c r="Y1486">
        <v>0.49024810000000002</v>
      </c>
      <c r="Z1486">
        <v>0.1258833</v>
      </c>
      <c r="AA1486">
        <v>0.86244430000000005</v>
      </c>
      <c r="AB1486">
        <v>19</v>
      </c>
      <c r="AC1486">
        <v>-7.2951000000000104</v>
      </c>
      <c r="AD1486">
        <v>-1.106072032373</v>
      </c>
      <c r="AE1486">
        <v>-4.6573000000000198</v>
      </c>
      <c r="AF1486">
        <v>4.3092446863714002</v>
      </c>
      <c r="AG1486">
        <v>-1.106072032373</v>
      </c>
      <c r="AH1486">
        <v>7.3451486281001204</v>
      </c>
      <c r="AI1486">
        <v>97.400316668142906</v>
      </c>
      <c r="AJ1486">
        <v>59.600745218310699</v>
      </c>
      <c r="AK1486">
        <v>8.5874439431474094</v>
      </c>
      <c r="AL1486">
        <v>91.851615480311096</v>
      </c>
      <c r="AM1486">
        <v>79.476792764387397</v>
      </c>
      <c r="AN1486">
        <v>0.99999994531243097</v>
      </c>
    </row>
    <row r="1487" spans="1:40" x14ac:dyDescent="0.25">
      <c r="A1487" t="str">
        <f>"20190312151526626"</f>
        <v>20190312151526626</v>
      </c>
      <c r="B1487" t="str">
        <f>"1552374926619324"</f>
        <v>1552374926619324</v>
      </c>
      <c r="C1487" t="s">
        <v>40</v>
      </c>
      <c r="D1487">
        <v>5.2405939999999998</v>
      </c>
      <c r="E1487">
        <v>0.63275519999999996</v>
      </c>
      <c r="F1487" t="s">
        <v>50</v>
      </c>
      <c r="G1487">
        <v>-202.17019999999999</v>
      </c>
      <c r="H1487" s="1">
        <v>2.999193E-6</v>
      </c>
      <c r="I1487">
        <v>286.67770000000002</v>
      </c>
      <c r="J1487">
        <v>-194.90979999999999</v>
      </c>
      <c r="K1487">
        <v>1.1060410000000001</v>
      </c>
      <c r="L1487">
        <v>291.24369999999999</v>
      </c>
      <c r="M1487">
        <v>-0.4606729</v>
      </c>
      <c r="N1487">
        <v>0</v>
      </c>
      <c r="O1487">
        <v>-0.88746150000000001</v>
      </c>
      <c r="P1487">
        <v>-0.61488209999999999</v>
      </c>
      <c r="Q1487">
        <v>-4.4666749999999998E-2</v>
      </c>
      <c r="R1487">
        <v>-0.78735319999999998</v>
      </c>
      <c r="S1487">
        <v>-2.6662599999999999</v>
      </c>
      <c r="T1487">
        <v>-0.40111029999999998</v>
      </c>
      <c r="U1487">
        <v>-1.7147520000000001</v>
      </c>
      <c r="V1487">
        <v>0.18269340000000001</v>
      </c>
      <c r="W1487">
        <v>-3.2732949999999997E-2</v>
      </c>
      <c r="X1487">
        <v>0.98262490000000002</v>
      </c>
      <c r="Y1487">
        <v>0.48988500000000001</v>
      </c>
      <c r="Z1487">
        <v>0.12674739999999901</v>
      </c>
      <c r="AA1487">
        <v>0.86252399999999996</v>
      </c>
      <c r="AB1487">
        <v>19</v>
      </c>
      <c r="AC1487">
        <v>-7.2603999999999997</v>
      </c>
      <c r="AD1487">
        <v>-1.1060380008069901</v>
      </c>
      <c r="AE1487">
        <v>-4.5659999999999696</v>
      </c>
      <c r="AF1487">
        <v>4.2693129563437697</v>
      </c>
      <c r="AG1487">
        <v>-1.1060380008069901</v>
      </c>
      <c r="AH1487">
        <v>7.2765236269389</v>
      </c>
      <c r="AI1487">
        <v>97.468951715455901</v>
      </c>
      <c r="AJ1487">
        <v>59.598817329604103</v>
      </c>
      <c r="AK1487">
        <v>8.5087102002497392</v>
      </c>
      <c r="AL1487">
        <v>91.875794939220796</v>
      </c>
      <c r="AM1487">
        <v>79.467609545492493</v>
      </c>
      <c r="AN1487">
        <v>1.00000000925963</v>
      </c>
    </row>
    <row r="1488" spans="1:40" x14ac:dyDescent="0.25">
      <c r="A1488" t="str">
        <f>"20190312151526648"</f>
        <v>20190312151526648</v>
      </c>
      <c r="B1488" t="str">
        <f>"1552374926638843"</f>
        <v>1552374926638843</v>
      </c>
      <c r="C1488" t="s">
        <v>40</v>
      </c>
      <c r="D1488">
        <v>5.2292079999999999</v>
      </c>
      <c r="E1488">
        <v>0.63265869999999902</v>
      </c>
      <c r="F1488" t="s">
        <v>50</v>
      </c>
      <c r="G1488">
        <v>-202.19800000000001</v>
      </c>
      <c r="H1488" s="1">
        <v>3.0155990000000002E-6</v>
      </c>
      <c r="I1488">
        <v>286.63060000000002</v>
      </c>
      <c r="J1488">
        <v>-195.00729999999999</v>
      </c>
      <c r="K1488">
        <v>1.105993</v>
      </c>
      <c r="L1488">
        <v>291.07420000000002</v>
      </c>
      <c r="M1488">
        <v>-0.46704479999999998</v>
      </c>
      <c r="N1488">
        <v>0</v>
      </c>
      <c r="O1488">
        <v>-0.88412469999999999</v>
      </c>
      <c r="P1488">
        <v>-0.62075839999999904</v>
      </c>
      <c r="Q1488">
        <v>-4.4255089999999997E-2</v>
      </c>
      <c r="R1488">
        <v>-0.78275229999999996</v>
      </c>
      <c r="S1488">
        <v>-2.6784669999999999</v>
      </c>
      <c r="T1488">
        <v>-0.40647800000000001</v>
      </c>
      <c r="U1488">
        <v>-1.6953739999999999</v>
      </c>
      <c r="V1488">
        <v>0.18296899999999999</v>
      </c>
      <c r="W1488">
        <v>-3.2336589999999998E-2</v>
      </c>
      <c r="X1488">
        <v>0.98258670000000004</v>
      </c>
      <c r="Y1488">
        <v>0.48967889999999997</v>
      </c>
      <c r="Z1488">
        <v>0.1282112</v>
      </c>
      <c r="AA1488">
        <v>0.86242479999999999</v>
      </c>
      <c r="AB1488">
        <v>19</v>
      </c>
      <c r="AC1488">
        <v>-7.1906999999999899</v>
      </c>
      <c r="AD1488">
        <v>-1.1059899844009999</v>
      </c>
      <c r="AE1488">
        <v>-4.4436</v>
      </c>
      <c r="AF1488">
        <v>4.2104472871320002</v>
      </c>
      <c r="AG1488">
        <v>-1.1059899844009999</v>
      </c>
      <c r="AH1488">
        <v>7.1651149118266204</v>
      </c>
      <c r="AI1488">
        <v>97.580449287031698</v>
      </c>
      <c r="AJ1488">
        <v>59.560163058898503</v>
      </c>
      <c r="AK1488">
        <v>8.3839102990783907</v>
      </c>
      <c r="AL1488">
        <v>91.853073234533994</v>
      </c>
      <c r="AM1488">
        <v>79.451676466559903</v>
      </c>
      <c r="AN1488">
        <v>0.99999996651535805</v>
      </c>
    </row>
    <row r="1489" spans="1:40" x14ac:dyDescent="0.25">
      <c r="A1489" t="str">
        <f>"20190312151526671"</f>
        <v>20190312151526671</v>
      </c>
      <c r="B1489" t="str">
        <f>"1552374926659342"</f>
        <v>1552374926659342</v>
      </c>
      <c r="C1489" t="s">
        <v>40</v>
      </c>
      <c r="D1489">
        <v>5.0769219999999997</v>
      </c>
      <c r="E1489">
        <v>0.6325191</v>
      </c>
      <c r="F1489" t="s">
        <v>50</v>
      </c>
      <c r="G1489">
        <v>-202.28530000000001</v>
      </c>
      <c r="H1489" s="1">
        <v>3.0621910000000001E-6</v>
      </c>
      <c r="I1489">
        <v>286.54070000000002</v>
      </c>
      <c r="J1489">
        <v>-195.10830000000001</v>
      </c>
      <c r="K1489">
        <v>1.1059429999999999</v>
      </c>
      <c r="L1489">
        <v>290.90170000000001</v>
      </c>
      <c r="M1489">
        <v>-0.47363129999999998</v>
      </c>
      <c r="N1489">
        <v>0</v>
      </c>
      <c r="O1489">
        <v>-0.88061369999999894</v>
      </c>
      <c r="P1489">
        <v>-0.62681730000000002</v>
      </c>
      <c r="Q1489">
        <v>-4.4795429999999997E-2</v>
      </c>
      <c r="R1489">
        <v>-0.77787790000000001</v>
      </c>
      <c r="S1489">
        <v>-2.690445</v>
      </c>
      <c r="T1489">
        <v>-0.4088485</v>
      </c>
      <c r="U1489">
        <v>-1.6758729999999999</v>
      </c>
      <c r="V1489">
        <v>0.1832685</v>
      </c>
      <c r="W1489">
        <v>-3.28957E-2</v>
      </c>
      <c r="X1489">
        <v>0.98251239999999995</v>
      </c>
      <c r="Y1489">
        <v>0.48934250000000001</v>
      </c>
      <c r="Z1489">
        <v>0.12872129999999901</v>
      </c>
      <c r="AA1489">
        <v>0.86253979999999997</v>
      </c>
      <c r="AB1489">
        <v>19</v>
      </c>
      <c r="AC1489">
        <v>-7.1769999999999898</v>
      </c>
      <c r="AD1489">
        <v>-1.105939937809</v>
      </c>
      <c r="AE1489">
        <v>-4.36099999999999</v>
      </c>
      <c r="AF1489">
        <v>4.1825345888172203</v>
      </c>
      <c r="AG1489">
        <v>-1.105939937809</v>
      </c>
      <c r="AH1489">
        <v>7.11688427545689</v>
      </c>
      <c r="AI1489">
        <v>97.630678207925598</v>
      </c>
      <c r="AJ1489">
        <v>59.557595023467798</v>
      </c>
      <c r="AK1489">
        <v>8.3286697931265703</v>
      </c>
      <c r="AL1489">
        <v>91.885124787810895</v>
      </c>
      <c r="AM1489">
        <v>79.434017493971098</v>
      </c>
      <c r="AN1489">
        <v>1.00000004316224</v>
      </c>
    </row>
    <row r="1490" spans="1:40" x14ac:dyDescent="0.25">
      <c r="A1490" t="str">
        <f>"20190312151526693"</f>
        <v>20190312151526693</v>
      </c>
      <c r="B1490" t="str">
        <f>"1552374926689597"</f>
        <v>1552374926689597</v>
      </c>
      <c r="C1490" t="s">
        <v>40</v>
      </c>
      <c r="D1490">
        <v>5.0990039999999999</v>
      </c>
      <c r="E1490">
        <v>0.63223119999999999</v>
      </c>
      <c r="F1490" t="s">
        <v>50</v>
      </c>
      <c r="G1490">
        <v>-202.351</v>
      </c>
      <c r="H1490" s="1">
        <v>3.0979769999999998E-6</v>
      </c>
      <c r="I1490">
        <v>286.46480000000003</v>
      </c>
      <c r="J1490">
        <v>-195.20689999999999</v>
      </c>
      <c r="K1490">
        <v>1.1058790000000001</v>
      </c>
      <c r="L1490">
        <v>290.73649999999998</v>
      </c>
      <c r="M1490">
        <v>-0.48005340000000002</v>
      </c>
      <c r="N1490">
        <v>0</v>
      </c>
      <c r="O1490">
        <v>-0.87712919999999905</v>
      </c>
      <c r="P1490">
        <v>-0.63246040000000003</v>
      </c>
      <c r="Q1490">
        <v>-4.4413149999999998E-2</v>
      </c>
      <c r="R1490">
        <v>-0.77331879999999997</v>
      </c>
      <c r="S1490">
        <v>-2.7022550000000001</v>
      </c>
      <c r="T1490">
        <v>-0.41262559999999898</v>
      </c>
      <c r="U1490">
        <v>-1.6553960000000001</v>
      </c>
      <c r="V1490">
        <v>0.1832261</v>
      </c>
      <c r="W1490">
        <v>-3.2528830000000002E-2</v>
      </c>
      <c r="X1490">
        <v>0.98253250000000003</v>
      </c>
      <c r="Y1490">
        <v>0.48928840000000001</v>
      </c>
      <c r="Z1490">
        <v>0.1296928</v>
      </c>
      <c r="AA1490">
        <v>0.86242489999999905</v>
      </c>
      <c r="AB1490">
        <v>19</v>
      </c>
      <c r="AC1490">
        <v>-7.1440999999999999</v>
      </c>
      <c r="AD1490">
        <v>-1.105875902023</v>
      </c>
      <c r="AE1490">
        <v>-4.2716999999999503</v>
      </c>
      <c r="AF1490">
        <v>4.1429346511817</v>
      </c>
      <c r="AG1490">
        <v>-1.105875902023</v>
      </c>
      <c r="AH1490">
        <v>7.0525898473427002</v>
      </c>
      <c r="AI1490">
        <v>97.699826423066099</v>
      </c>
      <c r="AJ1490">
        <v>59.568553877396603</v>
      </c>
      <c r="AK1490">
        <v>8.2538410809439799</v>
      </c>
      <c r="AL1490">
        <v>91.864093471484495</v>
      </c>
      <c r="AM1490">
        <v>79.436618194871997</v>
      </c>
      <c r="AN1490">
        <v>1.0000000210293101</v>
      </c>
    </row>
    <row r="1491" spans="1:40" x14ac:dyDescent="0.25">
      <c r="A1491" t="str">
        <f>"20190312151526714"</f>
        <v>20190312151526714</v>
      </c>
      <c r="B1491" t="str">
        <f>"1552374926709116"</f>
        <v>1552374926709116</v>
      </c>
      <c r="C1491" t="s">
        <v>40</v>
      </c>
      <c r="D1491">
        <v>5.0417610000000002</v>
      </c>
      <c r="E1491">
        <v>0.63209649999999995</v>
      </c>
      <c r="F1491" t="s">
        <v>50</v>
      </c>
      <c r="G1491">
        <v>-202.4349</v>
      </c>
      <c r="H1491" s="1">
        <v>3.1431009999999998E-6</v>
      </c>
      <c r="I1491">
        <v>286.37419999999997</v>
      </c>
      <c r="J1491">
        <v>-195.30459999999999</v>
      </c>
      <c r="K1491">
        <v>1.1058250000000001</v>
      </c>
      <c r="L1491">
        <v>290.57600000000002</v>
      </c>
      <c r="M1491">
        <v>-0.48640949999999999</v>
      </c>
      <c r="N1491">
        <v>0</v>
      </c>
      <c r="O1491">
        <v>-0.87362030000000002</v>
      </c>
      <c r="P1491">
        <v>-0.63872739999999995</v>
      </c>
      <c r="Q1491">
        <v>-4.422309E-2</v>
      </c>
      <c r="R1491">
        <v>-0.76816139999999999</v>
      </c>
      <c r="S1491">
        <v>-2.712555</v>
      </c>
      <c r="T1491">
        <v>-0.415018</v>
      </c>
      <c r="U1491">
        <v>-1.6370849999999999</v>
      </c>
      <c r="V1491">
        <v>0.1840725</v>
      </c>
      <c r="W1491">
        <v>-3.2365070000000003E-2</v>
      </c>
      <c r="X1491">
        <v>0.98237969999999997</v>
      </c>
      <c r="Y1491">
        <v>0.48861310000000002</v>
      </c>
      <c r="Z1491">
        <v>0.13020180000000001</v>
      </c>
      <c r="AA1491">
        <v>0.86273099999999903</v>
      </c>
      <c r="AB1491">
        <v>19</v>
      </c>
      <c r="AC1491">
        <v>-7.1303000000000001</v>
      </c>
      <c r="AD1491">
        <v>-1.1058218568989999</v>
      </c>
      <c r="AE1491">
        <v>-4.2017999999999898</v>
      </c>
      <c r="AF1491">
        <v>4.1123673651311101</v>
      </c>
      <c r="AG1491">
        <v>-1.1058218568989999</v>
      </c>
      <c r="AH1491">
        <v>7.0144864464941001</v>
      </c>
      <c r="AI1491">
        <v>97.744668648947297</v>
      </c>
      <c r="AJ1491">
        <v>59.618278042605503</v>
      </c>
      <c r="AK1491">
        <v>8.2059385467501702</v>
      </c>
      <c r="AL1491">
        <v>91.854705757036498</v>
      </c>
      <c r="AM1491">
        <v>79.387314117620704</v>
      </c>
      <c r="AN1491">
        <v>1.00000002899222</v>
      </c>
    </row>
    <row r="1492" spans="1:40" x14ac:dyDescent="0.25">
      <c r="A1492" t="str">
        <f>"20190312151526737"</f>
        <v>20190312151526737</v>
      </c>
      <c r="B1492" t="str">
        <f>"1552374926729157"</f>
        <v>1552374926729157</v>
      </c>
      <c r="C1492" t="s">
        <v>40</v>
      </c>
      <c r="D1492">
        <v>5.0347</v>
      </c>
      <c r="E1492">
        <v>0.63183159999999905</v>
      </c>
      <c r="F1492" t="s">
        <v>50</v>
      </c>
      <c r="G1492">
        <v>-202.52199999999999</v>
      </c>
      <c r="H1492" s="1">
        <v>3.1885169999999999E-6</v>
      </c>
      <c r="I1492">
        <v>286.29629999999997</v>
      </c>
      <c r="J1492">
        <v>-195.40960000000001</v>
      </c>
      <c r="K1492">
        <v>1.1057729999999999</v>
      </c>
      <c r="L1492">
        <v>290.40649999999999</v>
      </c>
      <c r="M1492">
        <v>-0.49322700000000003</v>
      </c>
      <c r="N1492">
        <v>0</v>
      </c>
      <c r="O1492">
        <v>-0.86978919999999904</v>
      </c>
      <c r="P1492">
        <v>-0.64525690000000002</v>
      </c>
      <c r="Q1492">
        <v>-4.4574130000000003E-2</v>
      </c>
      <c r="R1492">
        <v>-0.76266440000000002</v>
      </c>
      <c r="S1492">
        <v>-2.7247469999999998</v>
      </c>
      <c r="T1492">
        <v>-0.41747440000000002</v>
      </c>
      <c r="U1492">
        <v>-1.6156919999999999</v>
      </c>
      <c r="V1492">
        <v>0.1847714</v>
      </c>
      <c r="W1492">
        <v>-3.2737769999999999E-2</v>
      </c>
      <c r="X1492">
        <v>0.98223609999999995</v>
      </c>
      <c r="Y1492">
        <v>0.48843540000000002</v>
      </c>
      <c r="Z1492">
        <v>0.13071289999999999</v>
      </c>
      <c r="AA1492">
        <v>0.86275429999999997</v>
      </c>
      <c r="AB1492">
        <v>19</v>
      </c>
      <c r="AC1492">
        <v>-7.1124000000000001</v>
      </c>
      <c r="AD1492">
        <v>-1.1057698114829999</v>
      </c>
      <c r="AE1492">
        <v>-4.1102000000000203</v>
      </c>
      <c r="AF1492">
        <v>4.0854034277847697</v>
      </c>
      <c r="AG1492">
        <v>-1.1057698114829999</v>
      </c>
      <c r="AH1492">
        <v>6.9576504312352698</v>
      </c>
      <c r="AI1492">
        <v>97.803719308297701</v>
      </c>
      <c r="AJ1492">
        <v>59.579333525460001</v>
      </c>
      <c r="AK1492">
        <v>8.1438410818858191</v>
      </c>
      <c r="AL1492">
        <v>91.876071281616305</v>
      </c>
      <c r="AM1492">
        <v>79.346417859037999</v>
      </c>
      <c r="AN1492">
        <v>0.99999999399287098</v>
      </c>
    </row>
    <row r="1493" spans="1:40" x14ac:dyDescent="0.25">
      <c r="A1493" t="str">
        <f>"20190312151526762"</f>
        <v>20190312151526762</v>
      </c>
      <c r="B1493" t="str">
        <f>"1552374926759399"</f>
        <v>1552374926759399</v>
      </c>
      <c r="C1493" t="s">
        <v>40</v>
      </c>
      <c r="D1493">
        <v>5.041906</v>
      </c>
      <c r="E1493">
        <v>0.63127670000000002</v>
      </c>
      <c r="F1493" t="s">
        <v>50</v>
      </c>
      <c r="G1493">
        <v>-202.6215</v>
      </c>
      <c r="H1493" s="1">
        <v>3.2404649999999998E-6</v>
      </c>
      <c r="I1493">
        <v>286.20699999999999</v>
      </c>
      <c r="J1493">
        <v>-195.5247</v>
      </c>
      <c r="K1493">
        <v>1.1057250000000001</v>
      </c>
      <c r="L1493">
        <v>290.22430000000003</v>
      </c>
      <c r="M1493">
        <v>-0.5006794</v>
      </c>
      <c r="N1493">
        <v>0</v>
      </c>
      <c r="O1493">
        <v>-0.86552070000000003</v>
      </c>
      <c r="P1493">
        <v>-0.65197649999999996</v>
      </c>
      <c r="Q1493">
        <v>-4.5082240000000003E-2</v>
      </c>
      <c r="R1493">
        <v>-0.75689770000000001</v>
      </c>
      <c r="S1493">
        <v>-2.7367710000000001</v>
      </c>
      <c r="T1493">
        <v>-0.4196146</v>
      </c>
      <c r="U1493">
        <v>-1.593628</v>
      </c>
      <c r="V1493">
        <v>0.18502769999999999</v>
      </c>
      <c r="W1493">
        <v>-3.3259490000000003E-2</v>
      </c>
      <c r="X1493">
        <v>0.98217030000000005</v>
      </c>
      <c r="Y1493">
        <v>0.48774060000000002</v>
      </c>
      <c r="Z1493">
        <v>0.131079</v>
      </c>
      <c r="AA1493">
        <v>0.86309179999999996</v>
      </c>
      <c r="AB1493">
        <v>19</v>
      </c>
      <c r="AC1493">
        <v>-7.0968</v>
      </c>
      <c r="AD1493">
        <v>-1.105721759535</v>
      </c>
      <c r="AE1493">
        <v>-4.0173000000000298</v>
      </c>
      <c r="AF1493">
        <v>4.0568659186401499</v>
      </c>
      <c r="AG1493">
        <v>-1.105721759535</v>
      </c>
      <c r="AH1493">
        <v>6.9040338069075</v>
      </c>
      <c r="AI1493">
        <v>97.861783689370299</v>
      </c>
      <c r="AJ1493">
        <v>59.561161696196201</v>
      </c>
      <c r="AK1493">
        <v>8.0837160080160508</v>
      </c>
      <c r="AL1493">
        <v>91.9059799687425</v>
      </c>
      <c r="AM1493">
        <v>79.3312807275951</v>
      </c>
      <c r="AN1493">
        <v>0.99999997082221903</v>
      </c>
    </row>
    <row r="1494" spans="1:40" x14ac:dyDescent="0.25">
      <c r="A1494" t="str">
        <f>"20190312151526784"</f>
        <v>20190312151526784</v>
      </c>
      <c r="B1494" t="str">
        <f>"1552374926778919"</f>
        <v>1552374926778919</v>
      </c>
      <c r="C1494" t="s">
        <v>40</v>
      </c>
      <c r="D1494">
        <v>5.0763730000000002</v>
      </c>
      <c r="E1494">
        <v>0.63089469999999903</v>
      </c>
      <c r="F1494" t="s">
        <v>50</v>
      </c>
      <c r="G1494">
        <v>-202.73480000000001</v>
      </c>
      <c r="H1494" s="1">
        <v>3.3000639999999998E-6</v>
      </c>
      <c r="I1494">
        <v>286.09960000000001</v>
      </c>
      <c r="J1494">
        <v>-195.62880000000001</v>
      </c>
      <c r="K1494">
        <v>1.1056820000000001</v>
      </c>
      <c r="L1494">
        <v>290.06279999999998</v>
      </c>
      <c r="M1494">
        <v>-0.50739409999999996</v>
      </c>
      <c r="N1494">
        <v>0</v>
      </c>
      <c r="O1494">
        <v>-0.86160119999999896</v>
      </c>
      <c r="P1494">
        <v>-0.6581302</v>
      </c>
      <c r="Q1494">
        <v>-4.5649149999999999E-2</v>
      </c>
      <c r="R1494">
        <v>-0.75151939999999995</v>
      </c>
      <c r="S1494">
        <v>-2.7475589999999999</v>
      </c>
      <c r="T1494">
        <v>-0.42136190000000001</v>
      </c>
      <c r="U1494">
        <v>-1.5718080000000001</v>
      </c>
      <c r="V1494">
        <v>0.18541199999999999</v>
      </c>
      <c r="W1494">
        <v>-3.383982E-2</v>
      </c>
      <c r="X1494">
        <v>0.98207800000000001</v>
      </c>
      <c r="Y1494">
        <v>0.487539</v>
      </c>
      <c r="Z1494">
        <v>0.1313918</v>
      </c>
      <c r="AA1494">
        <v>0.86315810000000004</v>
      </c>
      <c r="AB1494">
        <v>19</v>
      </c>
      <c r="AC1494">
        <v>-7.1059999999999901</v>
      </c>
      <c r="AD1494">
        <v>-1.105678699936</v>
      </c>
      <c r="AE1494">
        <v>-3.9631999999999699</v>
      </c>
      <c r="AF1494">
        <v>4.0374757424162704</v>
      </c>
      <c r="AG1494">
        <v>-1.105678699936</v>
      </c>
      <c r="AH1494">
        <v>6.8936221687527404</v>
      </c>
      <c r="AI1494">
        <v>97.8797413450379</v>
      </c>
      <c r="AJ1494">
        <v>59.643228943957197</v>
      </c>
      <c r="AK1494">
        <v>8.0650953102620697</v>
      </c>
      <c r="AL1494">
        <v>91.939249159122497</v>
      </c>
      <c r="AM1494">
        <v>79.308650571126194</v>
      </c>
      <c r="AN1494">
        <v>0.99999997062281498</v>
      </c>
    </row>
    <row r="1495" spans="1:40" x14ac:dyDescent="0.25">
      <c r="A1495" t="str">
        <f>"20190312151526804"</f>
        <v>20190312151526804</v>
      </c>
      <c r="B1495" t="str">
        <f>"1552374926799414"</f>
        <v>1552374926799414</v>
      </c>
      <c r="C1495" t="s">
        <v>40</v>
      </c>
      <c r="D1495">
        <v>5.0739429999999999</v>
      </c>
      <c r="E1495">
        <v>0.63055909999999904</v>
      </c>
      <c r="F1495" t="s">
        <v>50</v>
      </c>
      <c r="G1495">
        <v>-202.84039999999999</v>
      </c>
      <c r="H1495" s="1">
        <v>3.354975E-6</v>
      </c>
      <c r="I1495">
        <v>286.00740000000002</v>
      </c>
      <c r="J1495">
        <v>-195.7234</v>
      </c>
      <c r="K1495">
        <v>1.105639</v>
      </c>
      <c r="L1495">
        <v>289.91829999999999</v>
      </c>
      <c r="M1495">
        <v>-0.51349250000000002</v>
      </c>
      <c r="N1495">
        <v>0</v>
      </c>
      <c r="O1495">
        <v>-0.85798050000000003</v>
      </c>
      <c r="P1495">
        <v>-0.663825</v>
      </c>
      <c r="Q1495">
        <v>-4.6448549999999998E-2</v>
      </c>
      <c r="R1495">
        <v>-0.74644480000000002</v>
      </c>
      <c r="S1495">
        <v>-2.7579799999999999</v>
      </c>
      <c r="T1495">
        <v>-0.4228499</v>
      </c>
      <c r="U1495">
        <v>-1.550934</v>
      </c>
      <c r="V1495">
        <v>0.18592649999999999</v>
      </c>
      <c r="W1495">
        <v>-3.465468E-2</v>
      </c>
      <c r="X1495">
        <v>0.98195239999999995</v>
      </c>
      <c r="Y1495">
        <v>0.48767270000000001</v>
      </c>
      <c r="Z1495">
        <v>0.13164110000000001</v>
      </c>
      <c r="AA1495">
        <v>0.86304459999999905</v>
      </c>
      <c r="AB1495">
        <v>19</v>
      </c>
      <c r="AC1495">
        <v>-7.1169999999999902</v>
      </c>
      <c r="AD1495">
        <v>-1.105635645025</v>
      </c>
      <c r="AE1495">
        <v>-3.9108999999999599</v>
      </c>
      <c r="AF1495">
        <v>4.02384050562351</v>
      </c>
      <c r="AG1495">
        <v>-1.105635645025</v>
      </c>
      <c r="AH1495">
        <v>6.8830961123924803</v>
      </c>
      <c r="AI1495">
        <v>97.895023446100396</v>
      </c>
      <c r="AJ1495">
        <v>59.689552178252903</v>
      </c>
      <c r="AK1495">
        <v>8.0492692020256609</v>
      </c>
      <c r="AL1495">
        <v>91.985964420749298</v>
      </c>
      <c r="AM1495">
        <v>79.278330352577697</v>
      </c>
      <c r="AN1495">
        <v>1.0000000630569501</v>
      </c>
    </row>
    <row r="1496" spans="1:40" x14ac:dyDescent="0.25">
      <c r="A1496" t="str">
        <f>"20190312151526827"</f>
        <v>20190312151526827</v>
      </c>
      <c r="B1496" t="str">
        <f>"1552374926818935"</f>
        <v>1552374926818935</v>
      </c>
      <c r="C1496" t="s">
        <v>40</v>
      </c>
      <c r="D1496">
        <v>5.1396139999999999</v>
      </c>
      <c r="E1496">
        <v>0.63023830000000003</v>
      </c>
      <c r="F1496" t="s">
        <v>50</v>
      </c>
      <c r="G1496">
        <v>-202.9248</v>
      </c>
      <c r="H1496" s="1">
        <v>3.3988739999999999E-6</v>
      </c>
      <c r="I1496">
        <v>285.93329999999997</v>
      </c>
      <c r="J1496">
        <v>-195.8347</v>
      </c>
      <c r="K1496">
        <v>1.1055809999999999</v>
      </c>
      <c r="L1496">
        <v>289.7516</v>
      </c>
      <c r="M1496">
        <v>-0.52064179999999904</v>
      </c>
      <c r="N1496">
        <v>0</v>
      </c>
      <c r="O1496">
        <v>-0.8536608</v>
      </c>
      <c r="P1496">
        <v>-0.67008679999999998</v>
      </c>
      <c r="Q1496">
        <v>-4.7442850000000002E-2</v>
      </c>
      <c r="R1496">
        <v>-0.74076529999999996</v>
      </c>
      <c r="S1496">
        <v>-2.7674560000000001</v>
      </c>
      <c r="T1496">
        <v>-0.42489189999999999</v>
      </c>
      <c r="U1496">
        <v>-1.5314030000000001</v>
      </c>
      <c r="V1496">
        <v>0.1860097</v>
      </c>
      <c r="W1496">
        <v>-3.5662520000000003E-2</v>
      </c>
      <c r="X1496">
        <v>0.98190049999999995</v>
      </c>
      <c r="Y1496">
        <v>0.48625550000000001</v>
      </c>
      <c r="Z1496">
        <v>0.13193659999999999</v>
      </c>
      <c r="AA1496">
        <v>0.86379879999999998</v>
      </c>
      <c r="AB1496">
        <v>19</v>
      </c>
      <c r="AC1496">
        <v>-7.0900999999999996</v>
      </c>
      <c r="AD1496">
        <v>-1.1055776011259999</v>
      </c>
      <c r="AE1496">
        <v>-3.8183000000000198</v>
      </c>
      <c r="AF1496">
        <v>3.9897699508508202</v>
      </c>
      <c r="AG1496">
        <v>-1.1055776011259999</v>
      </c>
      <c r="AH1496">
        <v>6.8230113231868996</v>
      </c>
      <c r="AI1496">
        <v>97.962718169621795</v>
      </c>
      <c r="AJ1496">
        <v>59.682950728661403</v>
      </c>
      <c r="AK1496">
        <v>7.9808551928449596</v>
      </c>
      <c r="AL1496">
        <v>92.043745234022595</v>
      </c>
      <c r="AM1496">
        <v>79.273090017586597</v>
      </c>
      <c r="AN1496">
        <v>1.00000000786354</v>
      </c>
    </row>
    <row r="1497" spans="1:40" x14ac:dyDescent="0.25">
      <c r="A1497" t="str">
        <f>"20190312151526849"</f>
        <v>20190312151526849</v>
      </c>
      <c r="B1497" t="str">
        <f>"1552374926839430"</f>
        <v>1552374926839430</v>
      </c>
      <c r="C1497" t="s">
        <v>40</v>
      </c>
      <c r="D1497">
        <v>5.0778660000000002</v>
      </c>
      <c r="E1497">
        <v>0.62993840000000001</v>
      </c>
      <c r="F1497" t="s">
        <v>50</v>
      </c>
      <c r="G1497">
        <v>-203.0103</v>
      </c>
      <c r="H1497" s="1">
        <v>3.4436689999999999E-6</v>
      </c>
      <c r="I1497">
        <v>285.85469999999998</v>
      </c>
      <c r="J1497">
        <v>-195.9391</v>
      </c>
      <c r="K1497">
        <v>1.1055219999999999</v>
      </c>
      <c r="L1497">
        <v>289.59809999999999</v>
      </c>
      <c r="M1497">
        <v>-0.52733369999999902</v>
      </c>
      <c r="N1497">
        <v>0</v>
      </c>
      <c r="O1497">
        <v>-0.84954300000000005</v>
      </c>
      <c r="P1497">
        <v>-0.67608279999999998</v>
      </c>
      <c r="Q1497">
        <v>-4.7257979999999998E-2</v>
      </c>
      <c r="R1497">
        <v>-0.73530859999999998</v>
      </c>
      <c r="S1497">
        <v>-2.7785799999999998</v>
      </c>
      <c r="T1497">
        <v>-0.42810680000000001</v>
      </c>
      <c r="U1497">
        <v>-1.508972</v>
      </c>
      <c r="V1497">
        <v>0.18626190000000001</v>
      </c>
      <c r="W1497">
        <v>-3.549385E-2</v>
      </c>
      <c r="X1497">
        <v>0.98185880000000003</v>
      </c>
      <c r="Y1497">
        <v>0.48613119999999999</v>
      </c>
      <c r="Z1497">
        <v>0.13264409999999999</v>
      </c>
      <c r="AA1497">
        <v>0.86376039999999998</v>
      </c>
      <c r="AB1497">
        <v>19</v>
      </c>
      <c r="AC1497">
        <v>-7.0712000000000002</v>
      </c>
      <c r="AD1497">
        <v>-1.1055185563309999</v>
      </c>
      <c r="AE1497">
        <v>-3.7433999999999998</v>
      </c>
      <c r="AF1497">
        <v>3.9580946705490798</v>
      </c>
      <c r="AG1497">
        <v>-1.1055185563309999</v>
      </c>
      <c r="AH1497">
        <v>6.78028890619332</v>
      </c>
      <c r="AI1497">
        <v>98.015220055598405</v>
      </c>
      <c r="AJ1497">
        <v>59.725117209451199</v>
      </c>
      <c r="AK1497">
        <v>7.9284930693587299</v>
      </c>
      <c r="AL1497">
        <v>92.034075036589996</v>
      </c>
      <c r="AM1497">
        <v>79.258438593047202</v>
      </c>
      <c r="AN1497">
        <v>1.00000000595843</v>
      </c>
    </row>
    <row r="1498" spans="1:40" x14ac:dyDescent="0.25">
      <c r="A1498" t="str">
        <f>"20190312151526872"</f>
        <v>20190312151526872</v>
      </c>
      <c r="B1498" t="str">
        <f>"1552374926868710"</f>
        <v>1552374926868710</v>
      </c>
      <c r="C1498" t="s">
        <v>40</v>
      </c>
      <c r="D1498">
        <v>5.1081699999999897</v>
      </c>
      <c r="E1498">
        <v>0.62941709999999995</v>
      </c>
      <c r="F1498" t="s">
        <v>50</v>
      </c>
      <c r="G1498">
        <v>-203.13310000000001</v>
      </c>
      <c r="H1498" s="1">
        <v>3.5064110000000001E-6</v>
      </c>
      <c r="I1498">
        <v>285.75979999999998</v>
      </c>
      <c r="J1498">
        <v>-196.05279999999999</v>
      </c>
      <c r="K1498">
        <v>1.1054619999999999</v>
      </c>
      <c r="L1498">
        <v>289.4341</v>
      </c>
      <c r="M1498">
        <v>-0.53459190000000001</v>
      </c>
      <c r="N1498">
        <v>0</v>
      </c>
      <c r="O1498">
        <v>-0.84499419999999903</v>
      </c>
      <c r="P1498">
        <v>-0.68279979999999996</v>
      </c>
      <c r="Q1498">
        <v>-4.7415649999999997E-2</v>
      </c>
      <c r="R1498">
        <v>-0.72906539999999997</v>
      </c>
      <c r="S1498">
        <v>-2.7889560000000002</v>
      </c>
      <c r="T1498">
        <v>-0.42858930000000001</v>
      </c>
      <c r="U1498">
        <v>-1.4880370000000001</v>
      </c>
      <c r="V1498">
        <v>0.18685589999999999</v>
      </c>
      <c r="W1498">
        <v>-3.5674270000000001E-2</v>
      </c>
      <c r="X1498">
        <v>0.98173940000000004</v>
      </c>
      <c r="Y1498">
        <v>0.48505589999999998</v>
      </c>
      <c r="Z1498">
        <v>0.13242390000000001</v>
      </c>
      <c r="AA1498">
        <v>0.86439849999999996</v>
      </c>
      <c r="AB1498">
        <v>19</v>
      </c>
      <c r="AC1498">
        <v>-7.0803000000000198</v>
      </c>
      <c r="AD1498">
        <v>-1.1054584935889999</v>
      </c>
      <c r="AE1498">
        <v>-3.6743000000000099</v>
      </c>
      <c r="AF1498">
        <v>3.9432260793487601</v>
      </c>
      <c r="AG1498">
        <v>-1.1054584935889999</v>
      </c>
      <c r="AH1498">
        <v>6.7606706024912402</v>
      </c>
      <c r="AI1498">
        <v>98.0394892902587</v>
      </c>
      <c r="AJ1498">
        <v>59.746714673772701</v>
      </c>
      <c r="AK1498">
        <v>7.90428601388472</v>
      </c>
      <c r="AL1498">
        <v>92.044418873063094</v>
      </c>
      <c r="AM1498">
        <v>79.223704089389102</v>
      </c>
      <c r="AN1498">
        <v>1.0000000152085999</v>
      </c>
    </row>
    <row r="1499" spans="1:40" x14ac:dyDescent="0.25">
      <c r="A1499" t="str">
        <f>"20190312151526894"</f>
        <v>20190312151526894</v>
      </c>
      <c r="B1499" t="str">
        <f>"1552374926889206"</f>
        <v>1552374926889206</v>
      </c>
      <c r="C1499" t="s">
        <v>40</v>
      </c>
      <c r="D1499">
        <v>5.1149440000000004</v>
      </c>
      <c r="E1499">
        <v>0.6290808</v>
      </c>
      <c r="F1499" t="s">
        <v>50</v>
      </c>
      <c r="G1499">
        <v>-203.24959999999999</v>
      </c>
      <c r="H1499" s="1">
        <v>3.5662210000000002E-6</v>
      </c>
      <c r="I1499">
        <v>285.66699999999997</v>
      </c>
      <c r="J1499">
        <v>-196.1611</v>
      </c>
      <c r="K1499">
        <v>1.1054040000000001</v>
      </c>
      <c r="L1499">
        <v>289.28089999999997</v>
      </c>
      <c r="M1499">
        <v>-0.54149409999999998</v>
      </c>
      <c r="N1499">
        <v>0</v>
      </c>
      <c r="O1499">
        <v>-0.84058759999999999</v>
      </c>
      <c r="P1499">
        <v>-0.68868759999999996</v>
      </c>
      <c r="Q1499">
        <v>-4.7266120000000002E-2</v>
      </c>
      <c r="R1499">
        <v>-0.72351580000000004</v>
      </c>
      <c r="S1499">
        <v>-2.7993009999999998</v>
      </c>
      <c r="T1499">
        <v>-0.42997999999999997</v>
      </c>
      <c r="U1499">
        <v>-1.4652400000000001</v>
      </c>
      <c r="V1499">
        <v>0.18676570000000001</v>
      </c>
      <c r="W1499">
        <v>-3.5536369999999998E-2</v>
      </c>
      <c r="X1499">
        <v>0.98176160000000001</v>
      </c>
      <c r="Y1499">
        <v>0.48471360000000002</v>
      </c>
      <c r="Z1499">
        <v>0.13254669999999999</v>
      </c>
      <c r="AA1499">
        <v>0.8645716</v>
      </c>
      <c r="AB1499">
        <v>19</v>
      </c>
      <c r="AC1499">
        <v>-7.0884999999999803</v>
      </c>
      <c r="AD1499">
        <v>-1.105400433779</v>
      </c>
      <c r="AE1499">
        <v>-3.6138999999999402</v>
      </c>
      <c r="AF1499">
        <v>3.9262121025874701</v>
      </c>
      <c r="AG1499">
        <v>-1.105400433779</v>
      </c>
      <c r="AH1499">
        <v>6.7466376247522</v>
      </c>
      <c r="AI1499">
        <v>98.060101025368496</v>
      </c>
      <c r="AJ1499">
        <v>59.802694609555203</v>
      </c>
      <c r="AK1499">
        <v>7.8837916533369299</v>
      </c>
      <c r="AL1499">
        <v>92.036512701759605</v>
      </c>
      <c r="AM1499">
        <v>79.229022212559499</v>
      </c>
      <c r="AN1499">
        <v>1.0000000497619099</v>
      </c>
    </row>
    <row r="1500" spans="1:40" x14ac:dyDescent="0.25">
      <c r="A1500" t="str">
        <f>"20190312151526918"</f>
        <v>20190312151526918</v>
      </c>
      <c r="B1500" t="str">
        <f>"1552374926908727"</f>
        <v>1552374926908727</v>
      </c>
      <c r="C1500" t="s">
        <v>40</v>
      </c>
      <c r="D1500">
        <v>5.1096729999999999</v>
      </c>
      <c r="E1500">
        <v>0.628733599999999</v>
      </c>
      <c r="F1500" t="s">
        <v>50</v>
      </c>
      <c r="G1500">
        <v>-203.39529999999999</v>
      </c>
      <c r="H1500" s="1">
        <v>3.6400030000000002E-6</v>
      </c>
      <c r="I1500">
        <v>285.56169999999997</v>
      </c>
      <c r="J1500">
        <v>-196.2843</v>
      </c>
      <c r="K1500">
        <v>1.1053470000000001</v>
      </c>
      <c r="L1500">
        <v>289.1105</v>
      </c>
      <c r="M1500">
        <v>-0.54931070000000004</v>
      </c>
      <c r="N1500">
        <v>0</v>
      </c>
      <c r="O1500">
        <v>-0.83550040000000003</v>
      </c>
      <c r="P1500">
        <v>-0.69529039999999998</v>
      </c>
      <c r="Q1500">
        <v>-4.7662669999999997E-2</v>
      </c>
      <c r="R1500">
        <v>-0.71714719999999998</v>
      </c>
      <c r="S1500">
        <v>-2.8093569999999999</v>
      </c>
      <c r="T1500">
        <v>-0.42927929999999997</v>
      </c>
      <c r="U1500">
        <v>-1.4443049999999999</v>
      </c>
      <c r="V1500">
        <v>0.1866128</v>
      </c>
      <c r="W1500">
        <v>-3.5941899999999999E-2</v>
      </c>
      <c r="X1500">
        <v>0.98177590000000003</v>
      </c>
      <c r="Y1500">
        <v>0.48299760000000003</v>
      </c>
      <c r="Z1500">
        <v>0.13187789999999999</v>
      </c>
      <c r="AA1500">
        <v>0.865633599999999</v>
      </c>
      <c r="AB1500">
        <v>19</v>
      </c>
      <c r="AC1500">
        <v>-7.11099999999999</v>
      </c>
      <c r="AD1500">
        <v>-1.105343359997</v>
      </c>
      <c r="AE1500">
        <v>-3.5488000000000199</v>
      </c>
      <c r="AF1500">
        <v>3.9164813602056698</v>
      </c>
      <c r="AG1500">
        <v>-1.105343359997</v>
      </c>
      <c r="AH1500">
        <v>6.74144094234929</v>
      </c>
      <c r="AI1500">
        <v>98.069263076999803</v>
      </c>
      <c r="AJ1500">
        <v>59.845291991613401</v>
      </c>
      <c r="AK1500">
        <v>7.8744927562041198</v>
      </c>
      <c r="AL1500">
        <v>92.059762736569198</v>
      </c>
      <c r="AM1500">
        <v>79.237787176962996</v>
      </c>
      <c r="AN1500">
        <v>1.0000000375601199</v>
      </c>
    </row>
    <row r="1501" spans="1:40" x14ac:dyDescent="0.25">
      <c r="A1501" t="str">
        <f>"20190312151526939"</f>
        <v>20190312151526939</v>
      </c>
      <c r="B1501" t="str">
        <f>"1552374926929223"</f>
        <v>1552374926929223</v>
      </c>
      <c r="C1501" t="s">
        <v>40</v>
      </c>
      <c r="D1501">
        <v>5.1445910000000001</v>
      </c>
      <c r="E1501">
        <v>0.62841359999999902</v>
      </c>
      <c r="F1501" t="s">
        <v>50</v>
      </c>
      <c r="G1501">
        <v>-203.53190000000001</v>
      </c>
      <c r="H1501" s="1">
        <v>3.7093689999999998E-6</v>
      </c>
      <c r="I1501">
        <v>285.46120000000002</v>
      </c>
      <c r="J1501">
        <v>-196.39340000000001</v>
      </c>
      <c r="K1501">
        <v>1.1053090000000001</v>
      </c>
      <c r="L1501">
        <v>288.9622</v>
      </c>
      <c r="M1501">
        <v>-0.55620040000000004</v>
      </c>
      <c r="N1501">
        <v>0</v>
      </c>
      <c r="O1501">
        <v>-0.83092960000000005</v>
      </c>
      <c r="P1501">
        <v>-0.70179250000000004</v>
      </c>
      <c r="Q1501">
        <v>-4.8085240000000001E-2</v>
      </c>
      <c r="R1501">
        <v>-0.71075690000000002</v>
      </c>
      <c r="S1501">
        <v>-2.8204799999999999</v>
      </c>
      <c r="T1501">
        <v>-0.43015500000000001</v>
      </c>
      <c r="U1501">
        <v>-1.420166</v>
      </c>
      <c r="V1501">
        <v>0.1874429</v>
      </c>
      <c r="W1501">
        <v>-3.6380530000000001E-2</v>
      </c>
      <c r="X1501">
        <v>0.98160150000000002</v>
      </c>
      <c r="Y1501">
        <v>0.48304510000000001</v>
      </c>
      <c r="Z1501">
        <v>0.13181599999999999</v>
      </c>
      <c r="AA1501">
        <v>0.86561659999999996</v>
      </c>
      <c r="AB1501">
        <v>19</v>
      </c>
      <c r="AC1501">
        <v>-7.1384999999999899</v>
      </c>
      <c r="AD1501">
        <v>-1.1053052906309999</v>
      </c>
      <c r="AE1501">
        <v>-3.5009999999999701</v>
      </c>
      <c r="AF1501">
        <v>3.9091771405062699</v>
      </c>
      <c r="AG1501">
        <v>-1.1053052906309999</v>
      </c>
      <c r="AH1501">
        <v>6.7497531471638803</v>
      </c>
      <c r="AI1501">
        <v>98.065390061459993</v>
      </c>
      <c r="AJ1501">
        <v>59.9223563675911</v>
      </c>
      <c r="AK1501">
        <v>7.8779777385444802</v>
      </c>
      <c r="AL1501">
        <v>92.084911025820503</v>
      </c>
      <c r="AM1501">
        <v>79.189164414382404</v>
      </c>
      <c r="AN1501">
        <v>0.99999994426286898</v>
      </c>
    </row>
    <row r="1502" spans="1:40" x14ac:dyDescent="0.25">
      <c r="A1502" t="str">
        <f>"20190312151526964"</f>
        <v>20190312151526964</v>
      </c>
      <c r="B1502" t="str">
        <f>"1552374926959479"</f>
        <v>1552374926959479</v>
      </c>
      <c r="C1502" t="s">
        <v>40</v>
      </c>
      <c r="D1502">
        <v>5.1155989999999996</v>
      </c>
      <c r="E1502">
        <v>0.61470809999999998</v>
      </c>
      <c r="F1502" t="s">
        <v>50</v>
      </c>
      <c r="G1502">
        <v>-203.63069999999999</v>
      </c>
      <c r="H1502" s="1">
        <v>3.7590989999999999E-6</v>
      </c>
      <c r="I1502">
        <v>285.39350000000002</v>
      </c>
      <c r="J1502">
        <v>-196.51660000000001</v>
      </c>
      <c r="K1502">
        <v>1.105278</v>
      </c>
      <c r="L1502">
        <v>288.79820000000001</v>
      </c>
      <c r="M1502">
        <v>-0.56391990000000003</v>
      </c>
      <c r="N1502">
        <v>0</v>
      </c>
      <c r="O1502">
        <v>-0.82570980000000005</v>
      </c>
      <c r="P1502">
        <v>-0.70865730000000005</v>
      </c>
      <c r="Q1502">
        <v>-4.8908340000000002E-2</v>
      </c>
      <c r="R1502">
        <v>-0.70385589999999998</v>
      </c>
      <c r="S1502">
        <v>-2.8311769999999998</v>
      </c>
      <c r="T1502">
        <v>-0.43239119999999998</v>
      </c>
      <c r="U1502">
        <v>-1.396088</v>
      </c>
      <c r="V1502">
        <v>0.18784129999999999</v>
      </c>
      <c r="W1502">
        <v>-3.7210569999999998E-2</v>
      </c>
      <c r="X1502">
        <v>0.98149419999999998</v>
      </c>
      <c r="Y1502">
        <v>0.48206470000000001</v>
      </c>
      <c r="Z1502">
        <v>0.1320615</v>
      </c>
      <c r="AA1502">
        <v>0.86612549999999899</v>
      </c>
      <c r="AB1502">
        <v>19</v>
      </c>
      <c r="AC1502">
        <v>-7.1140999999999703</v>
      </c>
      <c r="AD1502">
        <v>-1.1052742409009999</v>
      </c>
      <c r="AE1502">
        <v>-3.4046999999999898</v>
      </c>
      <c r="AF1502">
        <v>3.8784241283680898</v>
      </c>
      <c r="AG1502">
        <v>-1.1052742409009999</v>
      </c>
      <c r="AH1502">
        <v>6.6923166676384396</v>
      </c>
      <c r="AI1502">
        <v>98.132156737336203</v>
      </c>
      <c r="AJ1502">
        <v>59.906255704770103</v>
      </c>
      <c r="AK1502">
        <v>7.8135079987838001</v>
      </c>
      <c r="AL1502">
        <v>92.132501092230498</v>
      </c>
      <c r="AM1502">
        <v>79.165573435308204</v>
      </c>
      <c r="AN1502">
        <v>0.99999992256952397</v>
      </c>
    </row>
    <row r="1503" spans="1:40" x14ac:dyDescent="0.25">
      <c r="A1503" t="str">
        <f>"20190312151526986"</f>
        <v>20190312151526986</v>
      </c>
      <c r="B1503" t="str">
        <f>"1552374926978998"</f>
        <v>1552374926978998</v>
      </c>
      <c r="C1503" t="s">
        <v>40</v>
      </c>
      <c r="D1503">
        <v>5.4147829999999999</v>
      </c>
      <c r="E1503">
        <v>0.61574969999999996</v>
      </c>
      <c r="F1503" t="s">
        <v>50</v>
      </c>
      <c r="G1503">
        <v>-203.82859999999999</v>
      </c>
      <c r="H1503" s="1">
        <v>3.8833599999999997E-6</v>
      </c>
      <c r="I1503">
        <v>284.97609999999997</v>
      </c>
      <c r="J1503">
        <v>-196.63509999999999</v>
      </c>
      <c r="K1503">
        <v>1.105248</v>
      </c>
      <c r="L1503">
        <v>288.64350000000002</v>
      </c>
      <c r="M1503">
        <v>-0.57128690000000004</v>
      </c>
      <c r="N1503">
        <v>0</v>
      </c>
      <c r="O1503">
        <v>-0.82062979999999996</v>
      </c>
      <c r="P1503">
        <v>-0.71507730000000003</v>
      </c>
      <c r="Q1503">
        <v>-4.9303350000000003E-2</v>
      </c>
      <c r="R1503">
        <v>-0.69730479999999995</v>
      </c>
      <c r="S1503">
        <v>-2.7676090000000002</v>
      </c>
      <c r="T1503">
        <v>-0.41834959999999999</v>
      </c>
      <c r="U1503">
        <v>-1.4466859999999999</v>
      </c>
      <c r="V1503">
        <v>0.18806059999999999</v>
      </c>
      <c r="W1503">
        <v>-3.7608629999999997E-2</v>
      </c>
      <c r="X1503">
        <v>0.98143709999999995</v>
      </c>
      <c r="Y1503">
        <v>0.45416600000000001</v>
      </c>
      <c r="Z1503">
        <v>0.12748699999999999</v>
      </c>
      <c r="AA1503">
        <v>0.88174850000000005</v>
      </c>
      <c r="AB1503">
        <v>19</v>
      </c>
      <c r="AC1503">
        <v>-7.1935000000000002</v>
      </c>
      <c r="AD1503">
        <v>-1.10524411664</v>
      </c>
      <c r="AE1503">
        <v>-3.6674000000000402</v>
      </c>
      <c r="AF1503">
        <v>3.7383946839757298</v>
      </c>
      <c r="AG1503">
        <v>-1.10524411664</v>
      </c>
      <c r="AH1503">
        <v>6.9888861302654899</v>
      </c>
      <c r="AI1503">
        <v>97.938526074270399</v>
      </c>
      <c r="AJ1503">
        <v>61.857421800353698</v>
      </c>
      <c r="AK1503">
        <v>8.0026051203569093</v>
      </c>
      <c r="AL1503">
        <v>92.155324083025405</v>
      </c>
      <c r="AM1503">
        <v>79.152608309875504</v>
      </c>
      <c r="AN1503">
        <v>0.99999998978962301</v>
      </c>
    </row>
    <row r="1504" spans="1:40" x14ac:dyDescent="0.25">
      <c r="A1504" t="str">
        <f>"20190312151527010"</f>
        <v>20190312151527010</v>
      </c>
      <c r="B1504" t="str">
        <f>"1552374926999495"</f>
        <v>1552374926999495</v>
      </c>
      <c r="C1504" t="s">
        <v>40</v>
      </c>
      <c r="D1504">
        <v>5.1177460000000004</v>
      </c>
      <c r="E1504">
        <v>0.63658000000000003</v>
      </c>
      <c r="F1504" t="s">
        <v>50</v>
      </c>
      <c r="G1504">
        <v>-203.8322</v>
      </c>
      <c r="H1504" s="1">
        <v>3.88377599999999E-6</v>
      </c>
      <c r="I1504">
        <v>284.98950000000002</v>
      </c>
      <c r="J1504">
        <v>-196.7568</v>
      </c>
      <c r="K1504">
        <v>1.105224</v>
      </c>
      <c r="L1504">
        <v>288.48759999999999</v>
      </c>
      <c r="M1504">
        <v>-0.578800599999999</v>
      </c>
      <c r="N1504">
        <v>0</v>
      </c>
      <c r="O1504">
        <v>-0.8153475</v>
      </c>
      <c r="P1504">
        <v>-0.72183520000000001</v>
      </c>
      <c r="Q1504">
        <v>-4.885834E-2</v>
      </c>
      <c r="R1504">
        <v>-0.69033800000000001</v>
      </c>
      <c r="S1504">
        <v>-2.7863769999999999</v>
      </c>
      <c r="T1504">
        <v>-0.42789660000000002</v>
      </c>
      <c r="U1504">
        <v>-1.414642</v>
      </c>
      <c r="V1504">
        <v>0.18858910000000001</v>
      </c>
      <c r="W1504">
        <v>-3.7171269999999999E-2</v>
      </c>
      <c r="X1504">
        <v>0.98135240000000001</v>
      </c>
      <c r="Y1504">
        <v>0.4561132</v>
      </c>
      <c r="Z1504">
        <v>0.1299003</v>
      </c>
      <c r="AA1504">
        <v>0.88039000000000001</v>
      </c>
      <c r="AB1504">
        <v>19</v>
      </c>
      <c r="AC1504">
        <v>-7.0754000000000001</v>
      </c>
      <c r="AD1504">
        <v>-1.1052201162240001</v>
      </c>
      <c r="AE1504">
        <v>-3.49809999999996</v>
      </c>
      <c r="AF1504">
        <v>3.67256854752143</v>
      </c>
      <c r="AG1504">
        <v>-1.1052201162240001</v>
      </c>
      <c r="AH1504">
        <v>6.8144864157500402</v>
      </c>
      <c r="AI1504">
        <v>98.125354232749203</v>
      </c>
      <c r="AJ1504">
        <v>61.678196900765897</v>
      </c>
      <c r="AK1504">
        <v>7.8196225197890303</v>
      </c>
      <c r="AL1504">
        <v>92.130247553517606</v>
      </c>
      <c r="AM1504">
        <v>79.121934056255299</v>
      </c>
      <c r="AN1504">
        <v>1.0000000424689901</v>
      </c>
    </row>
    <row r="1505" spans="1:40" x14ac:dyDescent="0.25">
      <c r="A1505" t="str">
        <f>"20190312151527029"</f>
        <v>20190312151527029</v>
      </c>
      <c r="B1505" t="str">
        <f>"1552374927019015"</f>
        <v>1552374927019015</v>
      </c>
      <c r="C1505" t="s">
        <v>40</v>
      </c>
      <c r="D1505">
        <v>5.0458089999999904</v>
      </c>
      <c r="E1505">
        <v>0.649837</v>
      </c>
      <c r="F1505" t="s">
        <v>50</v>
      </c>
      <c r="G1505">
        <v>-206.11920000000001</v>
      </c>
      <c r="H1505" s="1">
        <v>4.9491529999999997E-6</v>
      </c>
      <c r="I1505">
        <v>284.40390000000002</v>
      </c>
      <c r="J1505">
        <v>-196.86529999999999</v>
      </c>
      <c r="K1505">
        <v>1.105197</v>
      </c>
      <c r="L1505">
        <v>288.35149999999999</v>
      </c>
      <c r="M1505">
        <v>-0.58544189999999996</v>
      </c>
      <c r="N1505">
        <v>0</v>
      </c>
      <c r="O1505">
        <v>-0.81059190000000003</v>
      </c>
      <c r="P1505">
        <v>-0.72783949999999997</v>
      </c>
      <c r="Q1505">
        <v>-4.816289E-2</v>
      </c>
      <c r="R1505">
        <v>-0.68405439999999995</v>
      </c>
      <c r="S1505">
        <v>-2.916245</v>
      </c>
      <c r="T1505">
        <v>-0.34426129999999999</v>
      </c>
      <c r="U1505">
        <v>-1.2720340000000001</v>
      </c>
      <c r="V1505">
        <v>0.1891227</v>
      </c>
      <c r="W1505">
        <v>-3.6485379999999998E-2</v>
      </c>
      <c r="X1505">
        <v>0.98127540000000002</v>
      </c>
      <c r="Y1505">
        <v>0.50305840000000002</v>
      </c>
      <c r="Z1505">
        <v>0.1043833</v>
      </c>
      <c r="AA1505">
        <v>0.85792559999999995</v>
      </c>
      <c r="AB1505">
        <v>19</v>
      </c>
      <c r="AC1505">
        <v>-9.2539000000000105</v>
      </c>
      <c r="AD1505">
        <v>-1.1051920508469999</v>
      </c>
      <c r="AE1505">
        <v>-3.94759999999996</v>
      </c>
      <c r="AF1505">
        <v>5.1286710933172097</v>
      </c>
      <c r="AG1505">
        <v>-1.1051920508469999</v>
      </c>
      <c r="AH1505">
        <v>8.5156070490712708</v>
      </c>
      <c r="AI1505">
        <v>96.343963527083801</v>
      </c>
      <c r="AJ1505">
        <v>58.9408221834355</v>
      </c>
      <c r="AK1505">
        <v>10.002013800574099</v>
      </c>
      <c r="AL1505">
        <v>92.0909223742931</v>
      </c>
      <c r="AM1505">
        <v>79.091057246228303</v>
      </c>
      <c r="AN1505">
        <v>0.99999999462709699</v>
      </c>
    </row>
    <row r="1506" spans="1:40" x14ac:dyDescent="0.25">
      <c r="A1506" t="str">
        <f>"20190312151527053"</f>
        <v>20190312151527053</v>
      </c>
      <c r="B1506" t="str">
        <f>"1552374927049271"</f>
        <v>1552374927049271</v>
      </c>
      <c r="C1506" t="s">
        <v>40</v>
      </c>
      <c r="D1506">
        <v>5.0688589999999998</v>
      </c>
      <c r="E1506">
        <v>0.6570956</v>
      </c>
      <c r="F1506" t="s">
        <v>50</v>
      </c>
      <c r="G1506">
        <v>-206.51249999999999</v>
      </c>
      <c r="H1506" s="1">
        <v>5.107363E-6</v>
      </c>
      <c r="I1506">
        <v>284.58949999999999</v>
      </c>
      <c r="J1506">
        <v>-196.98689999999999</v>
      </c>
      <c r="K1506">
        <v>1.105162</v>
      </c>
      <c r="L1506">
        <v>288.20139999999998</v>
      </c>
      <c r="M1506">
        <v>-0.5928369</v>
      </c>
      <c r="N1506">
        <v>0</v>
      </c>
      <c r="O1506">
        <v>-0.805199</v>
      </c>
      <c r="P1506">
        <v>-0.73404619999999998</v>
      </c>
      <c r="Q1506">
        <v>-4.8421169999999999E-2</v>
      </c>
      <c r="R1506">
        <v>-0.677371099999999</v>
      </c>
      <c r="S1506">
        <v>-2.9996640000000001</v>
      </c>
      <c r="T1506">
        <v>-0.34364319999999998</v>
      </c>
      <c r="U1506">
        <v>-1.1697390000000001</v>
      </c>
      <c r="V1506">
        <v>0.18909239999999999</v>
      </c>
      <c r="W1506">
        <v>-3.6748629999999997E-2</v>
      </c>
      <c r="X1506">
        <v>0.98127140000000002</v>
      </c>
      <c r="Y1506">
        <v>0.52890490000000001</v>
      </c>
      <c r="Z1506">
        <v>0.10364950000000001</v>
      </c>
      <c r="AA1506">
        <v>0.84232799999999997</v>
      </c>
      <c r="AB1506">
        <v>19</v>
      </c>
      <c r="AC1506">
        <v>-9.5255999999999901</v>
      </c>
      <c r="AD1506">
        <v>-1.1051568926369999</v>
      </c>
      <c r="AE1506">
        <v>-3.6118999999999901</v>
      </c>
      <c r="AF1506">
        <v>5.4649714594347598</v>
      </c>
      <c r="AG1506">
        <v>-1.1051568926369999</v>
      </c>
      <c r="AH1506">
        <v>8.4567532086407091</v>
      </c>
      <c r="AI1506">
        <v>96.263685103012307</v>
      </c>
      <c r="AJ1506">
        <v>57.128415894146798</v>
      </c>
      <c r="AK1506">
        <v>10.1293612652345</v>
      </c>
      <c r="AL1506">
        <v>92.106015643235494</v>
      </c>
      <c r="AM1506">
        <v>79.092719686630204</v>
      </c>
      <c r="AN1506">
        <v>0.999999979001298</v>
      </c>
    </row>
    <row r="1507" spans="1:40" x14ac:dyDescent="0.25">
      <c r="A1507" t="str">
        <f>"20190312151527073"</f>
        <v>20190312151527073</v>
      </c>
      <c r="B1507" t="str">
        <f>"1552374927068790"</f>
        <v>1552374927068790</v>
      </c>
      <c r="C1507" t="s">
        <v>40</v>
      </c>
      <c r="D1507">
        <v>4.9636100000000001</v>
      </c>
      <c r="E1507">
        <v>0.65866380000000002</v>
      </c>
      <c r="F1507" t="s">
        <v>50</v>
      </c>
      <c r="G1507">
        <v>-206.65110000000001</v>
      </c>
      <c r="H1507" s="1">
        <v>5.1576759999999999E-6</v>
      </c>
      <c r="I1507">
        <v>284.71679999999998</v>
      </c>
      <c r="J1507">
        <v>-197.1009</v>
      </c>
      <c r="K1507">
        <v>1.1051249999999999</v>
      </c>
      <c r="L1507">
        <v>288.06369999999998</v>
      </c>
      <c r="M1507">
        <v>-0.59970959999999995</v>
      </c>
      <c r="N1507">
        <v>0</v>
      </c>
      <c r="O1507">
        <v>-0.80009300000000005</v>
      </c>
      <c r="P1507">
        <v>-0.73975669999999905</v>
      </c>
      <c r="Q1507">
        <v>-4.8805460000000002E-2</v>
      </c>
      <c r="R1507">
        <v>-0.67110190000000003</v>
      </c>
      <c r="S1507">
        <v>-3.0493160000000001</v>
      </c>
      <c r="T1507">
        <v>-0.3487093</v>
      </c>
      <c r="U1507">
        <v>-1.099518</v>
      </c>
      <c r="V1507">
        <v>0.18900980000000001</v>
      </c>
      <c r="W1507">
        <v>-3.7138249999999998E-2</v>
      </c>
      <c r="X1507">
        <v>0.98127260000000005</v>
      </c>
      <c r="Y1507">
        <v>0.54314119999999999</v>
      </c>
      <c r="Z1507">
        <v>0.1047226</v>
      </c>
      <c r="AA1507">
        <v>0.83308510000000002</v>
      </c>
      <c r="AB1507">
        <v>19</v>
      </c>
      <c r="AC1507">
        <v>-9.5502000000000091</v>
      </c>
      <c r="AD1507">
        <v>-1.1051198423239901</v>
      </c>
      <c r="AE1507">
        <v>-3.3469000000000002</v>
      </c>
      <c r="AF1507">
        <v>5.5680395356212404</v>
      </c>
      <c r="AG1507">
        <v>-1.1051198423239901</v>
      </c>
      <c r="AH1507">
        <v>8.3069504248908999</v>
      </c>
      <c r="AI1507">
        <v>96.306015189209404</v>
      </c>
      <c r="AJ1507">
        <v>56.166573461441999</v>
      </c>
      <c r="AK1507">
        <v>10.061301083743301</v>
      </c>
      <c r="AL1507">
        <v>92.128354568980996</v>
      </c>
      <c r="AM1507">
        <v>79.097383048717404</v>
      </c>
      <c r="AN1507">
        <v>0.99999993480992899</v>
      </c>
    </row>
    <row r="1508" spans="1:40" x14ac:dyDescent="0.25">
      <c r="A1508" t="str">
        <f>"20190312151527097"</f>
        <v>20190312151527097</v>
      </c>
      <c r="B1508" t="str">
        <f>"1552374927089287"</f>
        <v>1552374927089287</v>
      </c>
      <c r="C1508" t="s">
        <v>40</v>
      </c>
      <c r="D1508">
        <v>4.9570919999999896</v>
      </c>
      <c r="E1508">
        <v>0.65928359999999997</v>
      </c>
      <c r="F1508" t="s">
        <v>50</v>
      </c>
      <c r="G1508">
        <v>-206.7679</v>
      </c>
      <c r="H1508" s="1">
        <v>5.2102469999999999E-6</v>
      </c>
      <c r="I1508">
        <v>284.70830000000001</v>
      </c>
      <c r="J1508">
        <v>-197.2276</v>
      </c>
      <c r="K1508">
        <v>1.105084</v>
      </c>
      <c r="L1508">
        <v>287.91370000000001</v>
      </c>
      <c r="M1508">
        <v>-0.60729619999999995</v>
      </c>
      <c r="N1508">
        <v>0</v>
      </c>
      <c r="O1508">
        <v>-0.79434989999999905</v>
      </c>
      <c r="P1508">
        <v>-0.74604680000000001</v>
      </c>
      <c r="Q1508">
        <v>-4.9543049999999998E-2</v>
      </c>
      <c r="R1508">
        <v>-0.66404810000000003</v>
      </c>
      <c r="S1508">
        <v>-3.0666199999999999</v>
      </c>
      <c r="T1508">
        <v>-0.35056959999999998</v>
      </c>
      <c r="U1508">
        <v>-1.0644229999999999</v>
      </c>
      <c r="V1508">
        <v>0.1889382</v>
      </c>
      <c r="W1508">
        <v>-3.7881709999999999E-2</v>
      </c>
      <c r="X1508">
        <v>0.98125799999999996</v>
      </c>
      <c r="Y1508">
        <v>0.54511940000000003</v>
      </c>
      <c r="Z1508">
        <v>0.10484019999999999</v>
      </c>
      <c r="AA1508">
        <v>0.831777199999999</v>
      </c>
      <c r="AB1508">
        <v>19</v>
      </c>
      <c r="AC1508">
        <v>-9.5403000000000002</v>
      </c>
      <c r="AD1508">
        <v>-1.1050787897529999</v>
      </c>
      <c r="AE1508">
        <v>-3.2053999999999898</v>
      </c>
      <c r="AF1508">
        <v>5.5651760611057597</v>
      </c>
      <c r="AG1508">
        <v>-1.1050787897529999</v>
      </c>
      <c r="AH1508">
        <v>8.2414683228380596</v>
      </c>
      <c r="AI1508">
        <v>96.340959381231997</v>
      </c>
      <c r="AJ1508">
        <v>55.970215903100097</v>
      </c>
      <c r="AK1508">
        <v>10.0057075631366</v>
      </c>
      <c r="AL1508">
        <v>92.170981626188194</v>
      </c>
      <c r="AM1508">
        <v>79.101255939568205</v>
      </c>
      <c r="AN1508">
        <v>0.99999996496788102</v>
      </c>
    </row>
    <row r="1509" spans="1:40" x14ac:dyDescent="0.25">
      <c r="A1509" t="str">
        <f>"20190312151527118"</f>
        <v>20190312151527118</v>
      </c>
      <c r="B1509" t="str">
        <f>"1552374927108806"</f>
        <v>1552374927108806</v>
      </c>
      <c r="C1509" t="s">
        <v>40</v>
      </c>
      <c r="D1509">
        <v>5.0873589999999904</v>
      </c>
      <c r="E1509">
        <v>0.65974880000000002</v>
      </c>
      <c r="F1509" t="s">
        <v>50</v>
      </c>
      <c r="G1509">
        <v>-206.9014</v>
      </c>
      <c r="H1509" s="1">
        <v>5.2724310000000003E-6</v>
      </c>
      <c r="I1509">
        <v>284.6739</v>
      </c>
      <c r="J1509">
        <v>-197.3477</v>
      </c>
      <c r="K1509">
        <v>1.1050549999999999</v>
      </c>
      <c r="L1509">
        <v>287.77429999999998</v>
      </c>
      <c r="M1509">
        <v>-0.61442259999999904</v>
      </c>
      <c r="N1509">
        <v>0</v>
      </c>
      <c r="O1509">
        <v>-0.78885050000000001</v>
      </c>
      <c r="P1509">
        <v>-0.75187159999999997</v>
      </c>
      <c r="Q1509">
        <v>-4.946739E-2</v>
      </c>
      <c r="R1509">
        <v>-0.65745169999999997</v>
      </c>
      <c r="S1509">
        <v>-3.0797729999999999</v>
      </c>
      <c r="T1509">
        <v>-0.35181430000000002</v>
      </c>
      <c r="U1509">
        <v>-1.031433</v>
      </c>
      <c r="V1509">
        <v>0.18874920000000001</v>
      </c>
      <c r="W1509">
        <v>-3.7805779999999997E-2</v>
      </c>
      <c r="X1509">
        <v>0.98129730000000004</v>
      </c>
      <c r="Y1509">
        <v>0.54665869999999905</v>
      </c>
      <c r="Z1509">
        <v>0.1048568</v>
      </c>
      <c r="AA1509">
        <v>0.83076439999999996</v>
      </c>
      <c r="AB1509">
        <v>19</v>
      </c>
      <c r="AC1509">
        <v>-9.5536999999999903</v>
      </c>
      <c r="AD1509">
        <v>-1.1050497275690001</v>
      </c>
      <c r="AE1509">
        <v>-3.1003999999999698</v>
      </c>
      <c r="AF1509">
        <v>5.5646918937009904</v>
      </c>
      <c r="AG1509">
        <v>-1.1050497275690001</v>
      </c>
      <c r="AH1509">
        <v>8.2171306185989295</v>
      </c>
      <c r="AI1509">
        <v>96.353741931976899</v>
      </c>
      <c r="AJ1509">
        <v>55.8938987463983</v>
      </c>
      <c r="AK1509">
        <v>9.9853976573463505</v>
      </c>
      <c r="AL1509">
        <v>92.166628040453901</v>
      </c>
      <c r="AM1509">
        <v>79.112323174111097</v>
      </c>
      <c r="AN1509">
        <v>0.99999996424466797</v>
      </c>
    </row>
    <row r="1510" spans="1:40" x14ac:dyDescent="0.25">
      <c r="A1510" t="str">
        <f>"20190312151527139"</f>
        <v>20190312151527139</v>
      </c>
      <c r="B1510" t="str">
        <f>"1552374927129303"</f>
        <v>1552374927129303</v>
      </c>
      <c r="C1510" t="s">
        <v>40</v>
      </c>
      <c r="D1510">
        <v>5.0427479999999996</v>
      </c>
      <c r="E1510">
        <v>0.65952409999999995</v>
      </c>
      <c r="F1510" t="s">
        <v>50</v>
      </c>
      <c r="G1510">
        <v>-207.04349999999999</v>
      </c>
      <c r="H1510" s="1">
        <v>5.3389419999999997E-6</v>
      </c>
      <c r="I1510">
        <v>284.63409999999999</v>
      </c>
      <c r="J1510">
        <v>-197.46559999999999</v>
      </c>
      <c r="K1510">
        <v>1.105038</v>
      </c>
      <c r="L1510">
        <v>287.63990000000001</v>
      </c>
      <c r="M1510">
        <v>-0.62136210000000003</v>
      </c>
      <c r="N1510">
        <v>0</v>
      </c>
      <c r="O1510">
        <v>-0.78339550000000002</v>
      </c>
      <c r="P1510">
        <v>-0.75736519999999996</v>
      </c>
      <c r="Q1510">
        <v>-4.980805E-2</v>
      </c>
      <c r="R1510">
        <v>-0.65108929999999998</v>
      </c>
      <c r="S1510">
        <v>-3.0913849999999998</v>
      </c>
      <c r="T1510">
        <v>-0.3523289</v>
      </c>
      <c r="U1510">
        <v>-1.00119</v>
      </c>
      <c r="V1510">
        <v>0.18833659999999999</v>
      </c>
      <c r="W1510">
        <v>-3.8140420000000001E-2</v>
      </c>
      <c r="X1510">
        <v>0.98136369999999895</v>
      </c>
      <c r="Y1510">
        <v>0.5475698</v>
      </c>
      <c r="Z1510">
        <v>0.1046363</v>
      </c>
      <c r="AA1510">
        <v>0.83019189999999998</v>
      </c>
      <c r="AB1510">
        <v>19</v>
      </c>
      <c r="AC1510">
        <v>-9.5778999999999996</v>
      </c>
      <c r="AD1510">
        <v>-1.1050326610579999</v>
      </c>
      <c r="AE1510">
        <v>-3.0058000000000198</v>
      </c>
      <c r="AF1510">
        <v>5.5686802473365002</v>
      </c>
      <c r="AG1510">
        <v>-1.1050326610579999</v>
      </c>
      <c r="AH1510">
        <v>8.2074534174132907</v>
      </c>
      <c r="AI1510">
        <v>96.357312202118294</v>
      </c>
      <c r="AJ1510">
        <v>55.8434753743797</v>
      </c>
      <c r="AK1510">
        <v>9.9796587355525208</v>
      </c>
      <c r="AL1510">
        <v>92.185815175784896</v>
      </c>
      <c r="AM1510">
        <v>79.136273898595604</v>
      </c>
      <c r="AN1510">
        <v>1.0000000391075099</v>
      </c>
    </row>
    <row r="1511" spans="1:40" x14ac:dyDescent="0.25">
      <c r="A1511" t="str">
        <f>"20190312151527162"</f>
        <v>20190312151527162</v>
      </c>
      <c r="B1511" t="str">
        <f>"1552374927158582"</f>
        <v>1552374927158582</v>
      </c>
      <c r="C1511" t="s">
        <v>40</v>
      </c>
      <c r="D1511">
        <v>5.0779909999999999</v>
      </c>
      <c r="E1511">
        <v>0.65937190000000001</v>
      </c>
      <c r="F1511" t="s">
        <v>50</v>
      </c>
      <c r="G1511">
        <v>-207.15110000000001</v>
      </c>
      <c r="H1511" s="1">
        <v>5.3907419999999998E-6</v>
      </c>
      <c r="I1511">
        <v>284.5874</v>
      </c>
      <c r="J1511">
        <v>-197.59559999999999</v>
      </c>
      <c r="K1511">
        <v>1.105016</v>
      </c>
      <c r="L1511">
        <v>287.49459999999999</v>
      </c>
      <c r="M1511">
        <v>-0.62894380000000005</v>
      </c>
      <c r="N1511">
        <v>0</v>
      </c>
      <c r="O1511">
        <v>-0.77732159999999995</v>
      </c>
      <c r="P1511">
        <v>-0.7633607</v>
      </c>
      <c r="Q1511">
        <v>-4.9682339999999998E-2</v>
      </c>
      <c r="R1511">
        <v>-0.64405900000000005</v>
      </c>
      <c r="S1511">
        <v>-3.0983890000000001</v>
      </c>
      <c r="T1511">
        <v>-0.35349940000000002</v>
      </c>
      <c r="U1511">
        <v>-0.97647090000000003</v>
      </c>
      <c r="V1511">
        <v>0.18788179999999999</v>
      </c>
      <c r="W1511">
        <v>-3.800709E-2</v>
      </c>
      <c r="X1511">
        <v>0.981456</v>
      </c>
      <c r="Y1511">
        <v>0.54601199999999905</v>
      </c>
      <c r="Z1511">
        <v>0.1045296</v>
      </c>
      <c r="AA1511">
        <v>0.83123080000000005</v>
      </c>
      <c r="AB1511">
        <v>19</v>
      </c>
      <c r="AC1511">
        <v>-9.5555000000000199</v>
      </c>
      <c r="AD1511">
        <v>-1.1050106092579901</v>
      </c>
      <c r="AE1511">
        <v>-2.90719999999998</v>
      </c>
      <c r="AF1511">
        <v>5.53208114341232</v>
      </c>
      <c r="AG1511">
        <v>-1.1050106092579901</v>
      </c>
      <c r="AH1511">
        <v>8.1705256490804299</v>
      </c>
      <c r="AI1511">
        <v>96.3898385942625</v>
      </c>
      <c r="AJ1511">
        <v>55.898945051860501</v>
      </c>
      <c r="AK1511">
        <v>9.9288700065088999</v>
      </c>
      <c r="AL1511">
        <v>92.178170483360503</v>
      </c>
      <c r="AM1511">
        <v>79.162880961584406</v>
      </c>
      <c r="AN1511">
        <v>0.99999999479875401</v>
      </c>
    </row>
    <row r="1512" spans="1:40" x14ac:dyDescent="0.25">
      <c r="A1512" t="str">
        <f>"20190312151527185"</f>
        <v>20190312151527185</v>
      </c>
      <c r="B1512" t="str">
        <f>"1552374927179078"</f>
        <v>1552374927179078</v>
      </c>
      <c r="C1512" t="s">
        <v>40</v>
      </c>
      <c r="D1512">
        <v>5.0885749999999996</v>
      </c>
      <c r="E1512">
        <v>0.65920009999999996</v>
      </c>
      <c r="F1512" t="s">
        <v>50</v>
      </c>
      <c r="G1512">
        <v>-207.23560000000001</v>
      </c>
      <c r="H1512" s="1">
        <v>5.4313329999999901E-6</v>
      </c>
      <c r="I1512">
        <v>284.55180000000001</v>
      </c>
      <c r="J1512">
        <v>-197.73249999999999</v>
      </c>
      <c r="K1512">
        <v>1.1049899999999999</v>
      </c>
      <c r="L1512">
        <v>287.34480000000002</v>
      </c>
      <c r="M1512">
        <v>-0.63686009999999904</v>
      </c>
      <c r="N1512">
        <v>0</v>
      </c>
      <c r="O1512">
        <v>-0.77084900000000001</v>
      </c>
      <c r="P1512">
        <v>-0.76925189999999999</v>
      </c>
      <c r="Q1512">
        <v>-4.989027E-2</v>
      </c>
      <c r="R1512">
        <v>-0.63699479999999997</v>
      </c>
      <c r="S1512">
        <v>-3.1066590000000001</v>
      </c>
      <c r="T1512">
        <v>-0.35610639999999999</v>
      </c>
      <c r="U1512">
        <v>-0.94836430000000005</v>
      </c>
      <c r="V1512">
        <v>0.1868776</v>
      </c>
      <c r="W1512">
        <v>-3.820076E-2</v>
      </c>
      <c r="X1512">
        <v>0.98164019999999996</v>
      </c>
      <c r="Y1512">
        <v>0.54490329999999998</v>
      </c>
      <c r="Z1512">
        <v>0.10481219999999999</v>
      </c>
      <c r="AA1512">
        <v>0.83192239999999995</v>
      </c>
      <c r="AB1512">
        <v>19</v>
      </c>
      <c r="AC1512">
        <v>-9.5031000000000105</v>
      </c>
      <c r="AD1512">
        <v>-1.1049845686669999</v>
      </c>
      <c r="AE1512">
        <v>-2.7930000000000001</v>
      </c>
      <c r="AF1512">
        <v>5.47907457188089</v>
      </c>
      <c r="AG1512">
        <v>-1.1049845686669999</v>
      </c>
      <c r="AH1512">
        <v>8.1050823599897601</v>
      </c>
      <c r="AI1512">
        <v>96.444031201141698</v>
      </c>
      <c r="AJ1512">
        <v>55.941117903846099</v>
      </c>
      <c r="AK1512">
        <v>9.8454867387773799</v>
      </c>
      <c r="AL1512">
        <v>92.189274990592594</v>
      </c>
      <c r="AM1512">
        <v>79.221418311840395</v>
      </c>
      <c r="AN1512">
        <v>1.00000000885118</v>
      </c>
    </row>
    <row r="1513" spans="1:40" x14ac:dyDescent="0.25">
      <c r="A1513" t="str">
        <f>"20190312151527210"</f>
        <v>20190312151527210</v>
      </c>
      <c r="B1513" t="str">
        <f>"1552374927199576"</f>
        <v>1552374927199576</v>
      </c>
      <c r="C1513" t="s">
        <v>40</v>
      </c>
      <c r="D1513">
        <v>5.1039459999999996</v>
      </c>
      <c r="E1513">
        <v>0.65880399999999995</v>
      </c>
      <c r="F1513" t="s">
        <v>50</v>
      </c>
      <c r="G1513">
        <v>-207.38300000000001</v>
      </c>
      <c r="H1513" s="1">
        <v>5.5018740000000003E-6</v>
      </c>
      <c r="I1513">
        <v>284.4923</v>
      </c>
      <c r="J1513">
        <v>-197.86500000000001</v>
      </c>
      <c r="K1513">
        <v>1.104956</v>
      </c>
      <c r="L1513">
        <v>287.20269999999999</v>
      </c>
      <c r="M1513">
        <v>-0.64445240000000004</v>
      </c>
      <c r="N1513">
        <v>0</v>
      </c>
      <c r="O1513">
        <v>-0.76451259999999999</v>
      </c>
      <c r="P1513">
        <v>-0.77504119999999999</v>
      </c>
      <c r="Q1513">
        <v>-4.9892470000000001E-2</v>
      </c>
      <c r="R1513">
        <v>-0.629938</v>
      </c>
      <c r="S1513">
        <v>-3.1144560000000001</v>
      </c>
      <c r="T1513">
        <v>-0.35660649999999999</v>
      </c>
      <c r="U1513">
        <v>-0.92056269999999996</v>
      </c>
      <c r="V1513">
        <v>0.18613779999999999</v>
      </c>
      <c r="W1513">
        <v>-3.8194699999999901E-2</v>
      </c>
      <c r="X1513">
        <v>0.98178089999999996</v>
      </c>
      <c r="Y1513">
        <v>0.54404160000000001</v>
      </c>
      <c r="Z1513">
        <v>0.1044928</v>
      </c>
      <c r="AA1513">
        <v>0.83252630000000005</v>
      </c>
      <c r="AB1513">
        <v>19</v>
      </c>
      <c r="AC1513">
        <v>-9.5179999999999705</v>
      </c>
      <c r="AD1513">
        <v>-1.1049504981260001</v>
      </c>
      <c r="AE1513">
        <v>-2.7103999999999902</v>
      </c>
      <c r="AF1513">
        <v>5.4623699737036304</v>
      </c>
      <c r="AG1513">
        <v>-1.1049504981260001</v>
      </c>
      <c r="AH1513">
        <v>8.1058120028044804</v>
      </c>
      <c r="AI1513">
        <v>96.449547765379506</v>
      </c>
      <c r="AJ1513">
        <v>56.0246345617754</v>
      </c>
      <c r="AK1513">
        <v>9.8367977288209492</v>
      </c>
      <c r="AL1513">
        <v>92.188927706799404</v>
      </c>
      <c r="AM1513">
        <v>79.2645970293418</v>
      </c>
      <c r="AN1513">
        <v>0.99999992565086704</v>
      </c>
    </row>
    <row r="1514" spans="1:40" x14ac:dyDescent="0.25">
      <c r="A1514" t="str">
        <f>"20190312151527230"</f>
        <v>20190312151527230</v>
      </c>
      <c r="B1514" t="str">
        <f>"1552374927219095"</f>
        <v>1552374927219095</v>
      </c>
      <c r="C1514" t="s">
        <v>40</v>
      </c>
      <c r="D1514">
        <v>5.0886630000000004</v>
      </c>
      <c r="E1514">
        <v>0.65837659999999998</v>
      </c>
      <c r="F1514" t="s">
        <v>50</v>
      </c>
      <c r="G1514">
        <v>-207.47669999999999</v>
      </c>
      <c r="H1514" s="1">
        <v>5.5473259999999997E-6</v>
      </c>
      <c r="I1514">
        <v>284.4477</v>
      </c>
      <c r="J1514">
        <v>-197.98929999999999</v>
      </c>
      <c r="K1514">
        <v>1.1049150000000001</v>
      </c>
      <c r="L1514">
        <v>287.07220000000001</v>
      </c>
      <c r="M1514">
        <v>-0.65151729999999997</v>
      </c>
      <c r="N1514">
        <v>0</v>
      </c>
      <c r="O1514">
        <v>-0.75850090000000003</v>
      </c>
      <c r="P1514">
        <v>-0.78021989999999997</v>
      </c>
      <c r="Q1514">
        <v>-5.0259930000000001E-2</v>
      </c>
      <c r="R1514">
        <v>-0.62348309999999996</v>
      </c>
      <c r="S1514">
        <v>-3.1206510000000001</v>
      </c>
      <c r="T1514">
        <v>-0.35874679999999998</v>
      </c>
      <c r="U1514">
        <v>-0.89447019999999899</v>
      </c>
      <c r="V1514">
        <v>0.1851536</v>
      </c>
      <c r="W1514">
        <v>-3.8553299999999999E-2</v>
      </c>
      <c r="X1514">
        <v>0.98195299999999996</v>
      </c>
      <c r="Y1514">
        <v>0.54309619999999903</v>
      </c>
      <c r="Z1514">
        <v>0.10468619999999999</v>
      </c>
      <c r="AA1514">
        <v>0.83311900000000005</v>
      </c>
      <c r="AB1514">
        <v>18</v>
      </c>
      <c r="AC1514">
        <v>-9.4873999999999992</v>
      </c>
      <c r="AD1514">
        <v>-1.10490945267399</v>
      </c>
      <c r="AE1514">
        <v>-2.62450000000001</v>
      </c>
      <c r="AF1514">
        <v>5.4185788350806599</v>
      </c>
      <c r="AG1514">
        <v>-1.10490945267399</v>
      </c>
      <c r="AH1514">
        <v>8.0710279965962002</v>
      </c>
      <c r="AI1514">
        <v>96.484372385473705</v>
      </c>
      <c r="AJ1514">
        <v>56.124102351145503</v>
      </c>
      <c r="AK1514">
        <v>9.7838292305432297</v>
      </c>
      <c r="AL1514">
        <v>92.209489058269</v>
      </c>
      <c r="AM1514">
        <v>79.321879953408398</v>
      </c>
      <c r="AN1514">
        <v>0.999999953371424</v>
      </c>
    </row>
    <row r="1515" spans="1:40" x14ac:dyDescent="0.25">
      <c r="A1515" t="str">
        <f>"20190312151527253"</f>
        <v>20190312151527253</v>
      </c>
      <c r="B1515" t="str">
        <f>"1552374927249352"</f>
        <v>1552374927249352</v>
      </c>
      <c r="C1515" t="s">
        <v>40</v>
      </c>
      <c r="D1515">
        <v>5.0967120000000001</v>
      </c>
      <c r="E1515">
        <v>0.65756150000000002</v>
      </c>
      <c r="F1515" t="s">
        <v>50</v>
      </c>
      <c r="G1515">
        <v>-207.59440000000001</v>
      </c>
      <c r="H1515" s="1">
        <v>5.6040379999999998E-6</v>
      </c>
      <c r="I1515">
        <v>284.39609999999999</v>
      </c>
      <c r="J1515">
        <v>-198.12110000000001</v>
      </c>
      <c r="K1515">
        <v>1.1048709999999999</v>
      </c>
      <c r="L1515">
        <v>286.9366</v>
      </c>
      <c r="M1515">
        <v>-0.65894730000000001</v>
      </c>
      <c r="N1515">
        <v>0</v>
      </c>
      <c r="O1515">
        <v>-0.75205480000000002</v>
      </c>
      <c r="P1515">
        <v>-0.78585139999999998</v>
      </c>
      <c r="Q1515">
        <v>-5.0548910000000002E-2</v>
      </c>
      <c r="R1515">
        <v>-0.61634639999999996</v>
      </c>
      <c r="S1515">
        <v>-3.125931</v>
      </c>
      <c r="T1515">
        <v>-0.35958859999999998</v>
      </c>
      <c r="U1515">
        <v>-0.87094119999999997</v>
      </c>
      <c r="V1515">
        <v>0.184422</v>
      </c>
      <c r="W1515">
        <v>-3.8839430000000001E-2</v>
      </c>
      <c r="X1515">
        <v>0.98207940000000005</v>
      </c>
      <c r="Y1515">
        <v>0.54104339999999995</v>
      </c>
      <c r="Z1515">
        <v>0.10440969999999999</v>
      </c>
      <c r="AA1515">
        <v>0.83448829999999996</v>
      </c>
      <c r="AB1515">
        <v>18</v>
      </c>
      <c r="AC1515">
        <v>-9.4732999999999894</v>
      </c>
      <c r="AD1515">
        <v>-1.1048653959619901</v>
      </c>
      <c r="AE1515">
        <v>-2.5405000000000002</v>
      </c>
      <c r="AF1515">
        <v>5.3826312800547997</v>
      </c>
      <c r="AG1515">
        <v>-1.1048653959619901</v>
      </c>
      <c r="AH1515">
        <v>8.0516505699695706</v>
      </c>
      <c r="AI1515">
        <v>96.508081924070495</v>
      </c>
      <c r="AJ1515">
        <v>56.236766481639698</v>
      </c>
      <c r="AK1515">
        <v>9.7479497301283793</v>
      </c>
      <c r="AL1515">
        <v>92.225895370126395</v>
      </c>
      <c r="AM1515">
        <v>79.364445722572</v>
      </c>
      <c r="AN1515">
        <v>0.99999996165554095</v>
      </c>
    </row>
    <row r="1516" spans="1:40" x14ac:dyDescent="0.25">
      <c r="A1516" t="str">
        <f>"20190312151527274"</f>
        <v>20190312151527274</v>
      </c>
      <c r="B1516" t="str">
        <f>"1552374927268871"</f>
        <v>1552374927268871</v>
      </c>
      <c r="C1516" t="s">
        <v>40</v>
      </c>
      <c r="D1516">
        <v>5.1179240000000004</v>
      </c>
      <c r="E1516">
        <v>0.65707150000000003</v>
      </c>
      <c r="F1516" t="s">
        <v>50</v>
      </c>
      <c r="G1516">
        <v>-207.73840000000001</v>
      </c>
      <c r="H1516" s="1">
        <v>5.673461E-6</v>
      </c>
      <c r="I1516">
        <v>284.33260000000001</v>
      </c>
      <c r="J1516">
        <v>-198.24870000000001</v>
      </c>
      <c r="K1516">
        <v>1.1048260000000001</v>
      </c>
      <c r="L1516">
        <v>286.8082</v>
      </c>
      <c r="M1516">
        <v>-0.66608449999999997</v>
      </c>
      <c r="N1516">
        <v>0</v>
      </c>
      <c r="O1516">
        <v>-0.74574039999999997</v>
      </c>
      <c r="P1516">
        <v>-0.79157509999999998</v>
      </c>
      <c r="Q1516">
        <v>-5.0656809999999997E-2</v>
      </c>
      <c r="R1516">
        <v>-0.60896879999999998</v>
      </c>
      <c r="S1516">
        <v>-3.1297609999999998</v>
      </c>
      <c r="T1516">
        <v>-0.35955690000000001</v>
      </c>
      <c r="U1516">
        <v>-0.847412099999999</v>
      </c>
      <c r="V1516">
        <v>0.1842377</v>
      </c>
      <c r="W1516">
        <v>-3.8951880000000001E-2</v>
      </c>
      <c r="X1516">
        <v>0.98210960000000003</v>
      </c>
      <c r="Y1516">
        <v>0.53917859999999995</v>
      </c>
      <c r="Z1516">
        <v>0.1039306</v>
      </c>
      <c r="AA1516">
        <v>0.83575409999999895</v>
      </c>
      <c r="AB1516">
        <v>18</v>
      </c>
      <c r="AC1516">
        <v>-9.4896999999999991</v>
      </c>
      <c r="AD1516">
        <v>-1.104820326539</v>
      </c>
      <c r="AE1516">
        <v>-2.47559999999998</v>
      </c>
      <c r="AF1516">
        <v>5.3604167240323202</v>
      </c>
      <c r="AG1516">
        <v>-1.104820326539</v>
      </c>
      <c r="AH1516">
        <v>8.0655672977596709</v>
      </c>
      <c r="AI1516">
        <v>96.508312408065706</v>
      </c>
      <c r="AJ1516">
        <v>56.391787191230399</v>
      </c>
      <c r="AK1516">
        <v>9.7472083820912303</v>
      </c>
      <c r="AL1516">
        <v>92.232343023551607</v>
      </c>
      <c r="AM1516">
        <v>79.375151408133405</v>
      </c>
      <c r="AN1516">
        <v>1.0000000227344901</v>
      </c>
    </row>
    <row r="1517" spans="1:40" x14ac:dyDescent="0.25">
      <c r="A1517" t="str">
        <f>"20190312151527297"</f>
        <v>20190312151527297</v>
      </c>
      <c r="B1517" t="str">
        <f>"1552374927289367"</f>
        <v>1552374927289367</v>
      </c>
      <c r="C1517" t="s">
        <v>40</v>
      </c>
      <c r="D1517">
        <v>5.1284939999999999</v>
      </c>
      <c r="E1517">
        <v>0.65653159999999999</v>
      </c>
      <c r="F1517" t="s">
        <v>50</v>
      </c>
      <c r="G1517">
        <v>-207.84989999999999</v>
      </c>
      <c r="H1517" s="1">
        <v>5.726266E-6</v>
      </c>
      <c r="I1517">
        <v>284.29379999999998</v>
      </c>
      <c r="J1517">
        <v>-198.38249999999999</v>
      </c>
      <c r="K1517">
        <v>1.1047819999999999</v>
      </c>
      <c r="L1517">
        <v>286.67630000000003</v>
      </c>
      <c r="M1517">
        <v>-0.67351169999999905</v>
      </c>
      <c r="N1517">
        <v>0</v>
      </c>
      <c r="O1517">
        <v>-0.73903920000000001</v>
      </c>
      <c r="P1517">
        <v>-0.79724159999999999</v>
      </c>
      <c r="Q1517">
        <v>-5.1253979999999998E-2</v>
      </c>
      <c r="R1517">
        <v>-0.60148040000000003</v>
      </c>
      <c r="S1517">
        <v>-3.1351619999999998</v>
      </c>
      <c r="T1517">
        <v>-0.36076859999999999</v>
      </c>
      <c r="U1517">
        <v>-0.82104489999999997</v>
      </c>
      <c r="V1517">
        <v>0.18363009999999999</v>
      </c>
      <c r="W1517">
        <v>-3.9545770000000001E-2</v>
      </c>
      <c r="X1517">
        <v>0.98219959999999995</v>
      </c>
      <c r="Y1517">
        <v>0.53769319999999998</v>
      </c>
      <c r="Z1517">
        <v>0.10375819999999999</v>
      </c>
      <c r="AA1517">
        <v>0.83673189999999997</v>
      </c>
      <c r="AB1517">
        <v>18</v>
      </c>
      <c r="AC1517">
        <v>-9.4673999999999907</v>
      </c>
      <c r="AD1517">
        <v>-1.1047762737339999</v>
      </c>
      <c r="AE1517">
        <v>-2.3825000000000398</v>
      </c>
      <c r="AF1517">
        <v>5.3244991466547296</v>
      </c>
      <c r="AG1517">
        <v>-1.1047762737339999</v>
      </c>
      <c r="AH1517">
        <v>8.0350930032035297</v>
      </c>
      <c r="AI1517">
        <v>96.538344102617998</v>
      </c>
      <c r="AJ1517">
        <v>56.469332493867</v>
      </c>
      <c r="AK1517">
        <v>9.7022441397783208</v>
      </c>
      <c r="AL1517">
        <v>92.266396777537807</v>
      </c>
      <c r="AM1517">
        <v>79.410345772140801</v>
      </c>
      <c r="AN1517">
        <v>0.99999996789553003</v>
      </c>
    </row>
    <row r="1518" spans="1:40" x14ac:dyDescent="0.25">
      <c r="A1518" t="str">
        <f>"20190312151527318"</f>
        <v>20190312151527318</v>
      </c>
      <c r="B1518" t="str">
        <f>"1552374927308887"</f>
        <v>1552374927308887</v>
      </c>
      <c r="C1518" t="s">
        <v>40</v>
      </c>
      <c r="D1518">
        <v>5.149127</v>
      </c>
      <c r="E1518">
        <v>0.65593590000000002</v>
      </c>
      <c r="F1518" t="s">
        <v>50</v>
      </c>
      <c r="G1518">
        <v>-207.93989999999999</v>
      </c>
      <c r="H1518" s="1">
        <v>5.7693719999999901E-6</v>
      </c>
      <c r="I1518">
        <v>284.2577</v>
      </c>
      <c r="J1518">
        <v>-198.51150000000001</v>
      </c>
      <c r="K1518">
        <v>1.104754</v>
      </c>
      <c r="L1518">
        <v>286.55180000000001</v>
      </c>
      <c r="M1518">
        <v>-0.68059959999999997</v>
      </c>
      <c r="N1518">
        <v>0</v>
      </c>
      <c r="O1518">
        <v>-0.73251679999999997</v>
      </c>
      <c r="P1518">
        <v>-0.80293409999999998</v>
      </c>
      <c r="Q1518">
        <v>-5.1239260000000002E-2</v>
      </c>
      <c r="R1518">
        <v>-0.59386149999999904</v>
      </c>
      <c r="S1518">
        <v>-3.1401210000000002</v>
      </c>
      <c r="T1518">
        <v>-0.36297859999999998</v>
      </c>
      <c r="U1518">
        <v>-0.7946472</v>
      </c>
      <c r="V1518">
        <v>0.1835194</v>
      </c>
      <c r="W1518">
        <v>-3.9530219999999998E-2</v>
      </c>
      <c r="X1518">
        <v>0.98222089999999995</v>
      </c>
      <c r="Y1518">
        <v>0.53646510000000003</v>
      </c>
      <c r="Z1518">
        <v>0.1038922</v>
      </c>
      <c r="AA1518">
        <v>0.837503199999999</v>
      </c>
      <c r="AB1518">
        <v>18</v>
      </c>
      <c r="AC1518">
        <v>-9.4283999999999804</v>
      </c>
      <c r="AD1518">
        <v>-1.1047482306280001</v>
      </c>
      <c r="AE1518">
        <v>-2.29410000000001</v>
      </c>
      <c r="AF1518">
        <v>5.2772379049147604</v>
      </c>
      <c r="AG1518">
        <v>-1.1047482306280001</v>
      </c>
      <c r="AH1518">
        <v>7.9946292019549601</v>
      </c>
      <c r="AI1518">
        <v>96.578652698063294</v>
      </c>
      <c r="AJ1518">
        <v>56.571281949703497</v>
      </c>
      <c r="AK1518">
        <v>9.6428110338684796</v>
      </c>
      <c r="AL1518">
        <v>92.265505165978794</v>
      </c>
      <c r="AM1518">
        <v>79.416809720863796</v>
      </c>
      <c r="AN1518">
        <v>0.99999995243320805</v>
      </c>
    </row>
    <row r="1519" spans="1:40" x14ac:dyDescent="0.25">
      <c r="A1519" t="str">
        <f>"20190312151527342"</f>
        <v>20190312151527342</v>
      </c>
      <c r="B1519" t="str">
        <f>"1552374927339142"</f>
        <v>1552374927339142</v>
      </c>
      <c r="C1519" t="s">
        <v>40</v>
      </c>
      <c r="D1519">
        <v>5.1439909999999998</v>
      </c>
      <c r="E1519">
        <v>0.64266590000000001</v>
      </c>
      <c r="F1519" t="s">
        <v>50</v>
      </c>
      <c r="G1519">
        <v>-208.06139999999999</v>
      </c>
      <c r="H1519" s="1">
        <v>5.8266820000000004E-6</v>
      </c>
      <c r="I1519">
        <v>284.21850000000001</v>
      </c>
      <c r="J1519">
        <v>-198.6541</v>
      </c>
      <c r="K1519">
        <v>1.1047279999999999</v>
      </c>
      <c r="L1519">
        <v>286.4169</v>
      </c>
      <c r="M1519">
        <v>-0.6883534</v>
      </c>
      <c r="N1519">
        <v>0</v>
      </c>
      <c r="O1519">
        <v>-0.72523490000000002</v>
      </c>
      <c r="P1519">
        <v>-0.80881239999999999</v>
      </c>
      <c r="Q1519">
        <v>-5.1714889999999999E-2</v>
      </c>
      <c r="R1519">
        <v>-0.58578839999999999</v>
      </c>
      <c r="S1519">
        <v>-3.1448209999999999</v>
      </c>
      <c r="T1519">
        <v>-0.36379600000000001</v>
      </c>
      <c r="U1519">
        <v>-0.7683411</v>
      </c>
      <c r="V1519">
        <v>0.1828804</v>
      </c>
      <c r="W1519">
        <v>-3.9993580000000001E-2</v>
      </c>
      <c r="X1519">
        <v>0.98232140000000001</v>
      </c>
      <c r="Y1519">
        <v>0.53441780000000005</v>
      </c>
      <c r="Z1519">
        <v>0.10352119999999999</v>
      </c>
      <c r="AA1519">
        <v>0.83885689999999902</v>
      </c>
      <c r="AB1519">
        <v>18</v>
      </c>
      <c r="AC1519">
        <v>-9.4072999999999904</v>
      </c>
      <c r="AD1519">
        <v>-1.1047221733179999</v>
      </c>
      <c r="AE1519">
        <v>-2.1983999999999901</v>
      </c>
      <c r="AF1519">
        <v>5.2412318829502196</v>
      </c>
      <c r="AG1519">
        <v>-1.1047221733179999</v>
      </c>
      <c r="AH1519">
        <v>7.9665535847358901</v>
      </c>
      <c r="AI1519">
        <v>96.608075688792397</v>
      </c>
      <c r="AJ1519">
        <v>56.658900087762902</v>
      </c>
      <c r="AK1519">
        <v>9.5998384751798103</v>
      </c>
      <c r="AL1519">
        <v>92.292074573625399</v>
      </c>
      <c r="AM1519">
        <v>79.4538861650705</v>
      </c>
      <c r="AN1519">
        <v>1.00000003002166</v>
      </c>
    </row>
    <row r="1520" spans="1:40" x14ac:dyDescent="0.25">
      <c r="A1520" t="str">
        <f>"20190312151527363"</f>
        <v>20190312151527363</v>
      </c>
      <c r="B1520" t="str">
        <f>"1552374927358664"</f>
        <v>1552374927358664</v>
      </c>
      <c r="C1520" t="s">
        <v>40</v>
      </c>
      <c r="D1520">
        <v>5.2009720000000002</v>
      </c>
      <c r="E1520">
        <v>0.64314380000000004</v>
      </c>
      <c r="F1520" t="s">
        <v>50</v>
      </c>
      <c r="G1520">
        <v>-207.60050000000001</v>
      </c>
      <c r="H1520" s="1">
        <v>5.6379470000000001E-6</v>
      </c>
      <c r="I1520">
        <v>284.03910000000002</v>
      </c>
      <c r="J1520">
        <v>-198.7894</v>
      </c>
      <c r="K1520">
        <v>1.1047119999999999</v>
      </c>
      <c r="L1520">
        <v>286.29169999999999</v>
      </c>
      <c r="M1520">
        <v>-0.6956232</v>
      </c>
      <c r="N1520">
        <v>0</v>
      </c>
      <c r="O1520">
        <v>-0.71826480000000004</v>
      </c>
      <c r="P1520">
        <v>-0.81447190000000003</v>
      </c>
      <c r="Q1520">
        <v>-5.1645400000000001E-2</v>
      </c>
      <c r="R1520">
        <v>-0.57789990000000002</v>
      </c>
      <c r="S1520">
        <v>-3.0899350000000001</v>
      </c>
      <c r="T1520">
        <v>-0.38155509999999998</v>
      </c>
      <c r="U1520">
        <v>-0.821258499999999</v>
      </c>
      <c r="V1520">
        <v>0.18253659999999999</v>
      </c>
      <c r="W1520">
        <v>-3.9913879999999999E-2</v>
      </c>
      <c r="X1520">
        <v>0.98238859999999995</v>
      </c>
      <c r="Y1520">
        <v>0.50811070000000003</v>
      </c>
      <c r="Z1520">
        <v>0.1079234</v>
      </c>
      <c r="AA1520">
        <v>0.85450339999999902</v>
      </c>
      <c r="AB1520">
        <v>18</v>
      </c>
      <c r="AC1520">
        <v>-8.8111000000000104</v>
      </c>
      <c r="AD1520">
        <v>-1.104706362053</v>
      </c>
      <c r="AE1520">
        <v>-2.25259999999997</v>
      </c>
      <c r="AF1520">
        <v>4.6929833608115299</v>
      </c>
      <c r="AG1520">
        <v>-1.104706362053</v>
      </c>
      <c r="AH1520">
        <v>7.6353009818313202</v>
      </c>
      <c r="AI1520">
        <v>97.026957348277307</v>
      </c>
      <c r="AJ1520">
        <v>58.4233330443546</v>
      </c>
      <c r="AK1520">
        <v>9.0300769683524091</v>
      </c>
      <c r="AL1520">
        <v>92.287504417248101</v>
      </c>
      <c r="AM1520">
        <v>79.473972418618004</v>
      </c>
      <c r="AN1520">
        <v>1.0000000447830799</v>
      </c>
    </row>
    <row r="1521" spans="1:40" x14ac:dyDescent="0.25">
      <c r="A1521" t="str">
        <f>"20190312151527388"</f>
        <v>20190312151527388</v>
      </c>
      <c r="B1521" t="str">
        <f>"1552374927379159"</f>
        <v>1552374927379159</v>
      </c>
      <c r="C1521" t="s">
        <v>40</v>
      </c>
      <c r="D1521">
        <v>5.174671</v>
      </c>
      <c r="E1521">
        <v>0.6424668</v>
      </c>
      <c r="F1521" t="s">
        <v>50</v>
      </c>
      <c r="G1521">
        <v>-207.667</v>
      </c>
      <c r="H1521" s="1">
        <v>5.6677680000000001E-6</v>
      </c>
      <c r="I1521">
        <v>284.03519999999997</v>
      </c>
      <c r="J1521">
        <v>-198.94159999999999</v>
      </c>
      <c r="K1521">
        <v>1.1047070000000001</v>
      </c>
      <c r="L1521">
        <v>286.15410000000003</v>
      </c>
      <c r="M1521">
        <v>-0.70369190000000004</v>
      </c>
      <c r="N1521">
        <v>0</v>
      </c>
      <c r="O1521">
        <v>-0.71036140000000003</v>
      </c>
      <c r="P1521">
        <v>-0.82054249999999995</v>
      </c>
      <c r="Q1521">
        <v>-5.1679719999999998E-2</v>
      </c>
      <c r="R1521">
        <v>-0.56924439999999998</v>
      </c>
      <c r="S1521">
        <v>-3.0998380000000001</v>
      </c>
      <c r="T1521">
        <v>-0.38573990000000002</v>
      </c>
      <c r="U1521">
        <v>-0.78793329999999995</v>
      </c>
      <c r="V1521">
        <v>0.18183830000000001</v>
      </c>
      <c r="W1521">
        <v>-3.9931260000000003E-2</v>
      </c>
      <c r="X1521">
        <v>0.98251739999999999</v>
      </c>
      <c r="Y1521">
        <v>0.50758669999999995</v>
      </c>
      <c r="Z1521">
        <v>0.108349399999999</v>
      </c>
      <c r="AA1521">
        <v>0.85476079999999999</v>
      </c>
      <c r="AB1521">
        <v>18</v>
      </c>
      <c r="AC1521">
        <v>-8.7254000000000005</v>
      </c>
      <c r="AD1521">
        <v>-1.1047013322319901</v>
      </c>
      <c r="AE1521">
        <v>-2.1189000000000502</v>
      </c>
      <c r="AF1521">
        <v>4.6374199725603296</v>
      </c>
      <c r="AG1521">
        <v>-1.1047013322319901</v>
      </c>
      <c r="AH1521">
        <v>7.5319498093058899</v>
      </c>
      <c r="AI1521">
        <v>97.119039155106194</v>
      </c>
      <c r="AJ1521">
        <v>58.379401293892997</v>
      </c>
      <c r="AK1521">
        <v>8.9138261686685194</v>
      </c>
      <c r="AL1521">
        <v>92.288500984186996</v>
      </c>
      <c r="AM1521">
        <v>79.5146893947839</v>
      </c>
      <c r="AN1521">
        <v>1.0000000570874099</v>
      </c>
    </row>
    <row r="1522" spans="1:40" x14ac:dyDescent="0.25">
      <c r="A1522" t="str">
        <f>"20190312151527411"</f>
        <v>20190312151527411</v>
      </c>
      <c r="B1522" t="str">
        <f>"1552374927398679"</f>
        <v>1552374927398679</v>
      </c>
      <c r="C1522" t="s">
        <v>40</v>
      </c>
      <c r="D1522">
        <v>5.2096359999999997</v>
      </c>
      <c r="E1522">
        <v>0.64116899999999999</v>
      </c>
      <c r="F1522" t="s">
        <v>50</v>
      </c>
      <c r="G1522">
        <v>-207.84379999999999</v>
      </c>
      <c r="H1522" s="1">
        <v>5.7513159999999999E-6</v>
      </c>
      <c r="I1522">
        <v>283.97669999999999</v>
      </c>
      <c r="J1522">
        <v>-199.08090000000001</v>
      </c>
      <c r="K1522">
        <v>1.1046959999999999</v>
      </c>
      <c r="L1522">
        <v>286.0308</v>
      </c>
      <c r="M1522">
        <v>-0.71097589999999999</v>
      </c>
      <c r="N1522">
        <v>0</v>
      </c>
      <c r="O1522">
        <v>-0.70307109999999995</v>
      </c>
      <c r="P1522">
        <v>-0.82611069999999998</v>
      </c>
      <c r="Q1522">
        <v>-5.1487850000000002E-2</v>
      </c>
      <c r="R1522">
        <v>-0.56115130000000002</v>
      </c>
      <c r="S1522">
        <v>-3.1050110000000002</v>
      </c>
      <c r="T1522">
        <v>-0.38530740000000002</v>
      </c>
      <c r="U1522">
        <v>-0.75942989999999999</v>
      </c>
      <c r="V1522">
        <v>0.18138019999999999</v>
      </c>
      <c r="W1522">
        <v>-3.9727270000000002E-2</v>
      </c>
      <c r="X1522">
        <v>0.98261030000000005</v>
      </c>
      <c r="Y1522">
        <v>0.50651869999999999</v>
      </c>
      <c r="Z1522">
        <v>0.107603</v>
      </c>
      <c r="AA1522">
        <v>0.85548840000000004</v>
      </c>
      <c r="AB1522">
        <v>18</v>
      </c>
      <c r="AC1522">
        <v>-8.7628999999999699</v>
      </c>
      <c r="AD1522">
        <v>-1.104690248684</v>
      </c>
      <c r="AE1522">
        <v>-2.0541</v>
      </c>
      <c r="AF1522">
        <v>4.63123910645281</v>
      </c>
      <c r="AG1522">
        <v>-1.104690248684</v>
      </c>
      <c r="AH1522">
        <v>7.5612664692700804</v>
      </c>
      <c r="AI1522">
        <v>97.101686302354494</v>
      </c>
      <c r="AJ1522">
        <v>58.5127323464962</v>
      </c>
      <c r="AK1522">
        <v>8.9354052412849896</v>
      </c>
      <c r="AL1522">
        <v>92.276804027801404</v>
      </c>
      <c r="AM1522">
        <v>79.5414881189906</v>
      </c>
      <c r="AN1522">
        <v>1.00000001729989</v>
      </c>
    </row>
    <row r="1523" spans="1:40" x14ac:dyDescent="0.25">
      <c r="A1523" t="str">
        <f>"20190312151527430"</f>
        <v>20190312151527430</v>
      </c>
      <c r="B1523" t="str">
        <f>"1552374927419175"</f>
        <v>1552374927419175</v>
      </c>
      <c r="C1523" t="s">
        <v>40</v>
      </c>
      <c r="D1523">
        <v>5.1489260000000003</v>
      </c>
      <c r="E1523">
        <v>0.64030810000000005</v>
      </c>
      <c r="F1523" t="s">
        <v>50</v>
      </c>
      <c r="G1523">
        <v>-208.0341</v>
      </c>
      <c r="H1523" s="1">
        <v>5.8419550000000004E-6</v>
      </c>
      <c r="I1523">
        <v>283.9051</v>
      </c>
      <c r="J1523">
        <v>-199.20580000000001</v>
      </c>
      <c r="K1523">
        <v>1.1046849999999999</v>
      </c>
      <c r="L1523">
        <v>285.92250000000001</v>
      </c>
      <c r="M1523">
        <v>-0.717427699999999</v>
      </c>
      <c r="N1523">
        <v>0</v>
      </c>
      <c r="O1523">
        <v>-0.69648589999999999</v>
      </c>
      <c r="P1523">
        <v>-0.83068719999999996</v>
      </c>
      <c r="Q1523">
        <v>-5.1075559999999999E-2</v>
      </c>
      <c r="R1523">
        <v>-0.55439139999999998</v>
      </c>
      <c r="S1523">
        <v>-3.1065520000000002</v>
      </c>
      <c r="T1523">
        <v>-0.38330039999999999</v>
      </c>
      <c r="U1523">
        <v>-0.73757930000000005</v>
      </c>
      <c r="V1523">
        <v>0.1803611</v>
      </c>
      <c r="W1523">
        <v>-3.9296030000000003E-2</v>
      </c>
      <c r="X1523">
        <v>0.9828152</v>
      </c>
      <c r="Y1523">
        <v>0.50448890000000002</v>
      </c>
      <c r="Z1523">
        <v>0.10648539999999999</v>
      </c>
      <c r="AA1523">
        <v>0.85682649999999905</v>
      </c>
      <c r="AB1523">
        <v>18</v>
      </c>
      <c r="AC1523">
        <v>-8.8282999999999792</v>
      </c>
      <c r="AD1523">
        <v>-1.1046791580449999</v>
      </c>
      <c r="AE1523">
        <v>-2.0173999999999999</v>
      </c>
      <c r="AF1523">
        <v>4.6329892230340599</v>
      </c>
      <c r="AG1523">
        <v>-1.1046791580449999</v>
      </c>
      <c r="AH1523">
        <v>7.6260722123571796</v>
      </c>
      <c r="AI1523">
        <v>97.057311732665298</v>
      </c>
      <c r="AJ1523">
        <v>58.7204941963248</v>
      </c>
      <c r="AK1523">
        <v>8.9912114073163192</v>
      </c>
      <c r="AL1523">
        <v>92.252076501099396</v>
      </c>
      <c r="AM1523">
        <v>79.601085300617299</v>
      </c>
      <c r="AN1523">
        <v>1.0000000108589999</v>
      </c>
    </row>
    <row r="1524" spans="1:40" x14ac:dyDescent="0.25">
      <c r="A1524" t="str">
        <f>"20190312151527452"</f>
        <v>20190312151527452</v>
      </c>
      <c r="B1524" t="str">
        <f>"1552374927449431"</f>
        <v>1552374927449431</v>
      </c>
      <c r="C1524" t="s">
        <v>40</v>
      </c>
      <c r="D1524">
        <v>5.2996439999999998</v>
      </c>
      <c r="E1524">
        <v>0.63929060000000004</v>
      </c>
      <c r="F1524" t="s">
        <v>50</v>
      </c>
      <c r="G1524">
        <v>-208.2346</v>
      </c>
      <c r="H1524" s="1">
        <v>5.9368240000000003E-6</v>
      </c>
      <c r="I1524">
        <v>283.83730000000003</v>
      </c>
      <c r="J1524">
        <v>-199.34530000000001</v>
      </c>
      <c r="K1524">
        <v>1.1046769999999999</v>
      </c>
      <c r="L1524">
        <v>285.80399999999997</v>
      </c>
      <c r="M1524">
        <v>-0.72453669999999903</v>
      </c>
      <c r="N1524">
        <v>0</v>
      </c>
      <c r="O1524">
        <v>-0.68908749999999996</v>
      </c>
      <c r="P1524">
        <v>-0.83601589999999903</v>
      </c>
      <c r="Q1524">
        <v>-5.1295029999999998E-2</v>
      </c>
      <c r="R1524">
        <v>-0.54630219999999996</v>
      </c>
      <c r="S1524">
        <v>-3.1088870000000002</v>
      </c>
      <c r="T1524">
        <v>-0.38037219999999999</v>
      </c>
      <c r="U1524">
        <v>-0.71801759999999903</v>
      </c>
      <c r="V1524">
        <v>0.17980299999999999</v>
      </c>
      <c r="W1524">
        <v>-3.9504770000000002E-2</v>
      </c>
      <c r="X1524">
        <v>0.98290909999999998</v>
      </c>
      <c r="Y1524">
        <v>0.50107429999999997</v>
      </c>
      <c r="Z1524">
        <v>0.1049215</v>
      </c>
      <c r="AA1524">
        <v>0.85902040000000002</v>
      </c>
      <c r="AB1524">
        <v>18</v>
      </c>
      <c r="AC1524">
        <v>-8.8892999999999898</v>
      </c>
      <c r="AD1524">
        <v>-1.1046710631759999</v>
      </c>
      <c r="AE1524">
        <v>-1.9666999999999999</v>
      </c>
      <c r="AF1524">
        <v>4.6328349085700804</v>
      </c>
      <c r="AG1524">
        <v>-1.1046710631759999</v>
      </c>
      <c r="AH1524">
        <v>7.6835321189479604</v>
      </c>
      <c r="AI1524">
        <v>97.019043474171696</v>
      </c>
      <c r="AJ1524">
        <v>58.9118547548156</v>
      </c>
      <c r="AK1524">
        <v>9.0399183221304007</v>
      </c>
      <c r="AL1524">
        <v>92.264045690238106</v>
      </c>
      <c r="AM1524">
        <v>79.633533289693005</v>
      </c>
      <c r="AN1524">
        <v>1.00000002226228</v>
      </c>
    </row>
    <row r="1525" spans="1:40" x14ac:dyDescent="0.25">
      <c r="A1525" t="str">
        <f>"20190312151527476"</f>
        <v>20190312151527476</v>
      </c>
      <c r="B1525" t="str">
        <f>"1552374927468951"</f>
        <v>1552374927468951</v>
      </c>
      <c r="C1525" t="s">
        <v>40</v>
      </c>
      <c r="D1525">
        <v>5.1885529999999997</v>
      </c>
      <c r="E1525">
        <v>0.63861569999999901</v>
      </c>
      <c r="F1525" t="s">
        <v>50</v>
      </c>
      <c r="G1525">
        <v>-208.35130000000001</v>
      </c>
      <c r="H1525" s="1">
        <v>5.9924480000000001E-6</v>
      </c>
      <c r="I1525">
        <v>283.79289999999997</v>
      </c>
      <c r="J1525">
        <v>-199.49619999999999</v>
      </c>
      <c r="K1525">
        <v>1.1046659999999999</v>
      </c>
      <c r="L1525">
        <v>285.67899999999997</v>
      </c>
      <c r="M1525">
        <v>-0.73210679999999995</v>
      </c>
      <c r="N1525">
        <v>0</v>
      </c>
      <c r="O1525">
        <v>-0.68103899999999995</v>
      </c>
      <c r="P1525">
        <v>-0.84122439999999998</v>
      </c>
      <c r="Q1525">
        <v>-5.1844170000000002E-2</v>
      </c>
      <c r="R1525">
        <v>-0.53819499999999998</v>
      </c>
      <c r="S1525">
        <v>-3.1110690000000001</v>
      </c>
      <c r="T1525">
        <v>-0.381602</v>
      </c>
      <c r="U1525">
        <v>-0.69473269999999998</v>
      </c>
      <c r="V1525">
        <v>0.17841309999999999</v>
      </c>
      <c r="W1525">
        <v>-4.0030219999999998E-2</v>
      </c>
      <c r="X1525">
        <v>0.98314109999999999</v>
      </c>
      <c r="Y1525">
        <v>0.4977876</v>
      </c>
      <c r="Z1525">
        <v>0.10446610000000001</v>
      </c>
      <c r="AA1525">
        <v>0.86098459999999999</v>
      </c>
      <c r="AB1525">
        <v>18</v>
      </c>
      <c r="AC1525">
        <v>-8.8551000000000197</v>
      </c>
      <c r="AD1525">
        <v>-1.1046600075519999</v>
      </c>
      <c r="AE1525">
        <v>-1.8861000000000501</v>
      </c>
      <c r="AF1525">
        <v>4.5821067713565098</v>
      </c>
      <c r="AG1525">
        <v>-1.1046600075519999</v>
      </c>
      <c r="AH1525">
        <v>7.6542377319297303</v>
      </c>
      <c r="AI1525">
        <v>97.058880618590095</v>
      </c>
      <c r="AJ1525">
        <v>59.093717479256199</v>
      </c>
      <c r="AK1525">
        <v>8.9890673294448504</v>
      </c>
      <c r="AL1525">
        <v>92.294175555917107</v>
      </c>
      <c r="AM1525">
        <v>79.714325502646304</v>
      </c>
      <c r="AN1525">
        <v>1.0000000376370299</v>
      </c>
    </row>
    <row r="1526" spans="1:40" x14ac:dyDescent="0.25">
      <c r="A1526" t="str">
        <f>"20190312151527498"</f>
        <v>20190312151527498</v>
      </c>
      <c r="B1526" t="str">
        <f>"1552374927489447"</f>
        <v>1552374927489447</v>
      </c>
      <c r="C1526" t="s">
        <v>40</v>
      </c>
      <c r="D1526">
        <v>5.2348840000000001</v>
      </c>
      <c r="E1526">
        <v>0.63815599999999995</v>
      </c>
      <c r="F1526" t="s">
        <v>50</v>
      </c>
      <c r="G1526">
        <v>-208.4504</v>
      </c>
      <c r="H1526" s="1">
        <v>6.0396289999999999E-6</v>
      </c>
      <c r="I1526">
        <v>283.75549999999998</v>
      </c>
      <c r="J1526">
        <v>-199.636</v>
      </c>
      <c r="K1526">
        <v>1.1046549999999999</v>
      </c>
      <c r="L1526">
        <v>285.56549999999999</v>
      </c>
      <c r="M1526">
        <v>-0.73902419999999902</v>
      </c>
      <c r="N1526">
        <v>0</v>
      </c>
      <c r="O1526">
        <v>-0.67352619999999996</v>
      </c>
      <c r="P1526">
        <v>-0.84631610000000002</v>
      </c>
      <c r="Q1526">
        <v>-5.1166709999999997E-2</v>
      </c>
      <c r="R1526">
        <v>-0.53021759999999996</v>
      </c>
      <c r="S1526">
        <v>-3.1145170000000002</v>
      </c>
      <c r="T1526">
        <v>-0.38423089999999999</v>
      </c>
      <c r="U1526">
        <v>-0.66903690000000005</v>
      </c>
      <c r="V1526">
        <v>0.1777031</v>
      </c>
      <c r="W1526">
        <v>-3.9337469999999999E-2</v>
      </c>
      <c r="X1526">
        <v>0.98329759999999999</v>
      </c>
      <c r="Y1526">
        <v>0.49588080000000001</v>
      </c>
      <c r="Z1526">
        <v>0.10446800000000001</v>
      </c>
      <c r="AA1526">
        <v>0.86208390000000001</v>
      </c>
      <c r="AB1526">
        <v>18</v>
      </c>
      <c r="AC1526">
        <v>-8.8143999999999991</v>
      </c>
      <c r="AD1526">
        <v>-1.1046489603709999</v>
      </c>
      <c r="AE1526">
        <v>-1.81</v>
      </c>
      <c r="AF1526">
        <v>4.53128023671949</v>
      </c>
      <c r="AG1526">
        <v>-1.1046489603709999</v>
      </c>
      <c r="AH1526">
        <v>7.6191094715557899</v>
      </c>
      <c r="AI1526">
        <v>97.103113738631194</v>
      </c>
      <c r="AJ1526">
        <v>59.258962768260197</v>
      </c>
      <c r="AK1526">
        <v>8.9332848968833698</v>
      </c>
      <c r="AL1526">
        <v>92.254452701669393</v>
      </c>
      <c r="AM1526">
        <v>79.755985091679406</v>
      </c>
      <c r="AN1526">
        <v>0.99999999923068505</v>
      </c>
    </row>
    <row r="1527" spans="1:40" x14ac:dyDescent="0.25">
      <c r="A1527" t="str">
        <f>"20190312151527520"</f>
        <v>20190312151527520</v>
      </c>
      <c r="B1527" t="str">
        <f>"1552374927508967"</f>
        <v>1552374927508967</v>
      </c>
      <c r="C1527" t="s">
        <v>40</v>
      </c>
      <c r="D1527">
        <v>5.3178609999999997</v>
      </c>
      <c r="E1527">
        <v>0.63786449999999995</v>
      </c>
      <c r="F1527" t="s">
        <v>50</v>
      </c>
      <c r="G1527">
        <v>-208.6841</v>
      </c>
      <c r="H1527" s="1">
        <v>6.1481060000000002E-6</v>
      </c>
      <c r="I1527">
        <v>283.70049999999998</v>
      </c>
      <c r="J1527">
        <v>-199.7825</v>
      </c>
      <c r="K1527">
        <v>1.1046590000000001</v>
      </c>
      <c r="L1527">
        <v>285.44929999999999</v>
      </c>
      <c r="M1527">
        <v>-0.74615399999999998</v>
      </c>
      <c r="N1527">
        <v>0</v>
      </c>
      <c r="O1527">
        <v>-0.66561890000000001</v>
      </c>
      <c r="P1527">
        <v>-0.85186340000000005</v>
      </c>
      <c r="Q1527">
        <v>-5.0979379999999998E-2</v>
      </c>
      <c r="R1527">
        <v>-0.52127699999999999</v>
      </c>
      <c r="S1527">
        <v>-3.1189879999999999</v>
      </c>
      <c r="T1527">
        <v>-0.38078489999999998</v>
      </c>
      <c r="U1527">
        <v>-0.64288330000000005</v>
      </c>
      <c r="V1527">
        <v>0.1775967</v>
      </c>
      <c r="W1527">
        <v>-3.9141860000000001E-2</v>
      </c>
      <c r="X1527">
        <v>0.98332459999999999</v>
      </c>
      <c r="Y1527">
        <v>0.49402370000000001</v>
      </c>
      <c r="Z1527">
        <v>0.10275720000000001</v>
      </c>
      <c r="AA1527">
        <v>0.86335490000000004</v>
      </c>
      <c r="AB1527">
        <v>18</v>
      </c>
      <c r="AC1527">
        <v>-8.9016000000000002</v>
      </c>
      <c r="AD1527">
        <v>-1.104652851894</v>
      </c>
      <c r="AE1527">
        <v>-1.7488000000000099</v>
      </c>
      <c r="AF1527">
        <v>4.5531621760302299</v>
      </c>
      <c r="AG1527">
        <v>-1.104652851894</v>
      </c>
      <c r="AH1527">
        <v>7.6927374191492301</v>
      </c>
      <c r="AI1527">
        <v>97.044547786960194</v>
      </c>
      <c r="AJ1527">
        <v>59.379642859513098</v>
      </c>
      <c r="AK1527">
        <v>9.0072056002074703</v>
      </c>
      <c r="AL1527">
        <v>92.2432364990933</v>
      </c>
      <c r="AM1527">
        <v>79.762264112870696</v>
      </c>
      <c r="AN1527">
        <v>0.99999997101015403</v>
      </c>
    </row>
    <row r="1528" spans="1:40" x14ac:dyDescent="0.25">
      <c r="A1528" t="str">
        <f>"20190312151527543"</f>
        <v>20190312151527543</v>
      </c>
      <c r="B1528" t="str">
        <f>"1552374927539223"</f>
        <v>1552374927539223</v>
      </c>
      <c r="C1528" t="s">
        <v>40</v>
      </c>
      <c r="D1528">
        <v>5.2512049999999997</v>
      </c>
      <c r="E1528">
        <v>0.6375459</v>
      </c>
      <c r="F1528" t="s">
        <v>50</v>
      </c>
      <c r="G1528">
        <v>-208.7492</v>
      </c>
      <c r="H1528" s="1">
        <v>6.1776869999999996E-6</v>
      </c>
      <c r="I1528">
        <v>283.69209999999998</v>
      </c>
      <c r="J1528">
        <v>-199.92789999999999</v>
      </c>
      <c r="K1528">
        <v>1.104662</v>
      </c>
      <c r="L1528">
        <v>285.3365</v>
      </c>
      <c r="M1528">
        <v>-0.75311459999999997</v>
      </c>
      <c r="N1528">
        <v>0</v>
      </c>
      <c r="O1528">
        <v>-0.65773280000000001</v>
      </c>
      <c r="P1528">
        <v>-0.85715810000000003</v>
      </c>
      <c r="Q1528">
        <v>-5.0857380000000001E-2</v>
      </c>
      <c r="R1528">
        <v>-0.51253629999999994</v>
      </c>
      <c r="S1528">
        <v>-3.1240079999999999</v>
      </c>
      <c r="T1528">
        <v>-0.38486290000000001</v>
      </c>
      <c r="U1528">
        <v>-0.61221309999999995</v>
      </c>
      <c r="V1528">
        <v>0.17731820000000001</v>
      </c>
      <c r="W1528">
        <v>-3.9007319999999998E-2</v>
      </c>
      <c r="X1528">
        <v>0.98338029999999998</v>
      </c>
      <c r="Y1528">
        <v>0.49321599999999999</v>
      </c>
      <c r="Z1528">
        <v>0.10311620000000001</v>
      </c>
      <c r="AA1528">
        <v>0.86377369999999898</v>
      </c>
      <c r="AB1528">
        <v>18</v>
      </c>
      <c r="AC1528">
        <v>-8.8213000000000008</v>
      </c>
      <c r="AD1528">
        <v>-1.1046558223129901</v>
      </c>
      <c r="AE1528">
        <v>-1.6444000000000101</v>
      </c>
      <c r="AF1528">
        <v>4.4959706869582696</v>
      </c>
      <c r="AG1528">
        <v>-1.1046558223129901</v>
      </c>
      <c r="AH1528">
        <v>7.6104850366940697</v>
      </c>
      <c r="AI1528">
        <v>97.123377700876105</v>
      </c>
      <c r="AJ1528">
        <v>59.427101980748603</v>
      </c>
      <c r="AK1528">
        <v>8.9080581159701993</v>
      </c>
      <c r="AL1528">
        <v>92.235521823468005</v>
      </c>
      <c r="AM1528">
        <v>79.778546537953702</v>
      </c>
      <c r="AN1528">
        <v>1.00000006474645</v>
      </c>
    </row>
    <row r="1529" spans="1:40" x14ac:dyDescent="0.25">
      <c r="A1529" t="str">
        <f>"20190312151527564"</f>
        <v>20190312151527564</v>
      </c>
      <c r="B1529" t="str">
        <f>"1552374927558743"</f>
        <v>1552374927558743</v>
      </c>
      <c r="C1529" t="s">
        <v>40</v>
      </c>
      <c r="D1529">
        <v>5.1247590000000001</v>
      </c>
      <c r="E1529">
        <v>0.6575164</v>
      </c>
      <c r="F1529" t="s">
        <v>50</v>
      </c>
      <c r="G1529">
        <v>-208.95509999999999</v>
      </c>
      <c r="H1529" s="1">
        <v>6.272236E-6</v>
      </c>
      <c r="I1529">
        <v>283.6551</v>
      </c>
      <c r="J1529">
        <v>-200.07169999999999</v>
      </c>
      <c r="K1529">
        <v>1.1046769999999999</v>
      </c>
      <c r="L1529">
        <v>285.22730000000001</v>
      </c>
      <c r="M1529">
        <v>-0.75988290000000003</v>
      </c>
      <c r="N1529">
        <v>0</v>
      </c>
      <c r="O1529">
        <v>-0.64990130000000002</v>
      </c>
      <c r="P1529">
        <v>-0.86229389999999995</v>
      </c>
      <c r="Q1529">
        <v>-5.1224449999999998E-2</v>
      </c>
      <c r="R1529">
        <v>-0.5038108</v>
      </c>
      <c r="S1529">
        <v>-3.1287539999999998</v>
      </c>
      <c r="T1529">
        <v>-0.3828647</v>
      </c>
      <c r="U1529">
        <v>-0.5827637</v>
      </c>
      <c r="V1529">
        <v>0.17710129999999999</v>
      </c>
      <c r="W1529">
        <v>-3.9362300000000003E-2</v>
      </c>
      <c r="X1529">
        <v>0.98340519999999998</v>
      </c>
      <c r="Y1529">
        <v>0.49245459999999902</v>
      </c>
      <c r="Z1529">
        <v>0.10184989999999999</v>
      </c>
      <c r="AA1529">
        <v>0.86435819999999997</v>
      </c>
      <c r="AB1529">
        <v>18</v>
      </c>
      <c r="AC1529">
        <v>-8.8833999999999893</v>
      </c>
      <c r="AD1529">
        <v>-1.104670727764</v>
      </c>
      <c r="AE1529">
        <v>-1.5722</v>
      </c>
      <c r="AF1529">
        <v>4.5114733352904004</v>
      </c>
      <c r="AG1529">
        <v>-1.104670727764</v>
      </c>
      <c r="AH1529">
        <v>7.6580960796935802</v>
      </c>
      <c r="AI1529">
        <v>97.084693670169997</v>
      </c>
      <c r="AJ1529">
        <v>59.497167279218097</v>
      </c>
      <c r="AK1529">
        <v>8.9565687982415003</v>
      </c>
      <c r="AL1529">
        <v>92.255876402103993</v>
      </c>
      <c r="AM1529">
        <v>79.791039607474104</v>
      </c>
      <c r="AN1529">
        <v>1.000000024255</v>
      </c>
    </row>
    <row r="1530" spans="1:40" x14ac:dyDescent="0.25">
      <c r="A1530" t="str">
        <f>"20190312151527588"</f>
        <v>20190312151527588</v>
      </c>
      <c r="B1530" t="str">
        <f>"1552374927579239"</f>
        <v>1552374927579239</v>
      </c>
      <c r="C1530" t="s">
        <v>40</v>
      </c>
      <c r="D1530">
        <v>5.1285299999999996</v>
      </c>
      <c r="E1530">
        <v>0.65691319999999997</v>
      </c>
      <c r="F1530" t="s">
        <v>51</v>
      </c>
      <c r="G1530">
        <v>-210.1986</v>
      </c>
      <c r="H1530" s="1">
        <v>-1.431086E-6</v>
      </c>
      <c r="I1530">
        <v>283.9196</v>
      </c>
      <c r="J1530">
        <v>-200.2294</v>
      </c>
      <c r="K1530">
        <v>1.104697</v>
      </c>
      <c r="L1530">
        <v>285.11020000000002</v>
      </c>
      <c r="M1530">
        <v>-0.76716569999999995</v>
      </c>
      <c r="N1530">
        <v>0</v>
      </c>
      <c r="O1530">
        <v>-0.64128830000000003</v>
      </c>
      <c r="P1530">
        <v>-0.86798539999999902</v>
      </c>
      <c r="Q1530">
        <v>-5.1348610000000003E-2</v>
      </c>
      <c r="R1530">
        <v>-0.49392799999999998</v>
      </c>
      <c r="S1530">
        <v>-3.215652</v>
      </c>
      <c r="T1530">
        <v>-0.3507748</v>
      </c>
      <c r="U1530">
        <v>-0.41522219999999999</v>
      </c>
      <c r="V1530">
        <v>0.1772369</v>
      </c>
      <c r="W1530">
        <v>-3.9478539999999999E-2</v>
      </c>
      <c r="X1530">
        <v>0.98337609999999998</v>
      </c>
      <c r="Y1530">
        <v>0.53160169999999995</v>
      </c>
      <c r="Z1530">
        <v>9.2987509999999995E-2</v>
      </c>
      <c r="AA1530">
        <v>0.84187469999999998</v>
      </c>
      <c r="AB1530">
        <v>18</v>
      </c>
      <c r="AC1530">
        <v>-9.9692000000000007</v>
      </c>
      <c r="AD1530">
        <v>-1.104698431086</v>
      </c>
      <c r="AE1530">
        <v>-1.1906000000000101</v>
      </c>
      <c r="AF1530">
        <v>5.4147552448522696</v>
      </c>
      <c r="AG1530">
        <v>-1.104698431086</v>
      </c>
      <c r="AH1530">
        <v>8.3117870033076304</v>
      </c>
      <c r="AI1530">
        <v>96.354351732616493</v>
      </c>
      <c r="AJ1530">
        <v>56.917566374015202</v>
      </c>
      <c r="AK1530">
        <v>9.9812692666640697</v>
      </c>
      <c r="AL1530">
        <v>92.262541667496706</v>
      </c>
      <c r="AM1530">
        <v>79.783091596895005</v>
      </c>
      <c r="AN1530">
        <v>1.00000001394667</v>
      </c>
    </row>
    <row r="1531" spans="1:40" x14ac:dyDescent="0.25">
      <c r="A1531" t="str">
        <f>"20190312151527610"</f>
        <v>20190312151527610</v>
      </c>
      <c r="B1531" t="str">
        <f>"1552374927598760"</f>
        <v>1552374927598760</v>
      </c>
      <c r="C1531" t="s">
        <v>40</v>
      </c>
      <c r="D1531">
        <v>5.1100260000000004</v>
      </c>
      <c r="E1531">
        <v>0.65623520000000002</v>
      </c>
      <c r="F1531" t="s">
        <v>51</v>
      </c>
      <c r="G1531">
        <v>-210.32300000000001</v>
      </c>
      <c r="H1531" s="1">
        <v>-1.3649339999999999E-6</v>
      </c>
      <c r="I1531">
        <v>283.91000000000003</v>
      </c>
      <c r="J1531">
        <v>-200.37299999999999</v>
      </c>
      <c r="K1531">
        <v>1.104719</v>
      </c>
      <c r="L1531">
        <v>285.0059</v>
      </c>
      <c r="M1531">
        <v>-0.77367439999999998</v>
      </c>
      <c r="N1531">
        <v>0</v>
      </c>
      <c r="O1531">
        <v>-0.63342069999999995</v>
      </c>
      <c r="P1531">
        <v>-0.87289369999999999</v>
      </c>
      <c r="Q1531">
        <v>-5.1173179999999999E-2</v>
      </c>
      <c r="R1531">
        <v>-0.48521979999999998</v>
      </c>
      <c r="S1531">
        <v>-3.2177280000000001</v>
      </c>
      <c r="T1531">
        <v>-0.35216639999999999</v>
      </c>
      <c r="U1531">
        <v>-0.38259890000000002</v>
      </c>
      <c r="V1531">
        <v>0.17704329999999999</v>
      </c>
      <c r="W1531">
        <v>-3.9291159999999999E-2</v>
      </c>
      <c r="X1531">
        <v>0.98341849999999997</v>
      </c>
      <c r="Y1531">
        <v>0.53143589999999996</v>
      </c>
      <c r="Z1531">
        <v>9.2754989999999995E-2</v>
      </c>
      <c r="AA1531">
        <v>0.842004999999999</v>
      </c>
      <c r="AB1531">
        <v>18</v>
      </c>
      <c r="AC1531">
        <v>-9.9499999999999797</v>
      </c>
      <c r="AD1531">
        <v>-1.1047203649339901</v>
      </c>
      <c r="AE1531">
        <v>-1.0958999999999699</v>
      </c>
      <c r="AF1531">
        <v>5.3895871627515097</v>
      </c>
      <c r="AG1531">
        <v>-1.1047203649339901</v>
      </c>
      <c r="AH1531">
        <v>8.2920992918941199</v>
      </c>
      <c r="AI1531">
        <v>96.373740108114305</v>
      </c>
      <c r="AJ1531">
        <v>56.977479801927899</v>
      </c>
      <c r="AK1531">
        <v>9.9512294484765391</v>
      </c>
      <c r="AL1531">
        <v>92.251797198950797</v>
      </c>
      <c r="AM1531">
        <v>79.794447843730097</v>
      </c>
      <c r="AN1531">
        <v>1.00000003573564</v>
      </c>
    </row>
    <row r="1532" spans="1:40" x14ac:dyDescent="0.25">
      <c r="A1532" t="str">
        <f>"20190312151527653"</f>
        <v>20190312151527653</v>
      </c>
      <c r="B1532" t="str">
        <f>"1552374927649597"</f>
        <v>1552374927649597</v>
      </c>
      <c r="C1532" t="s">
        <v>40</v>
      </c>
      <c r="D1532">
        <v>5.1050630000000004</v>
      </c>
      <c r="E1532">
        <v>0.65387649999999997</v>
      </c>
      <c r="F1532" t="s">
        <v>51</v>
      </c>
      <c r="G1532">
        <v>-210.63990000000001</v>
      </c>
      <c r="H1532" s="1">
        <v>-1.196259E-6</v>
      </c>
      <c r="I1532">
        <v>283.87150000000003</v>
      </c>
      <c r="J1532">
        <v>-200.6609</v>
      </c>
      <c r="K1532">
        <v>1.104754</v>
      </c>
      <c r="L1532">
        <v>284.80360000000002</v>
      </c>
      <c r="M1532">
        <v>-0.78635259999999996</v>
      </c>
      <c r="N1532">
        <v>0</v>
      </c>
      <c r="O1532">
        <v>-0.61761109999999997</v>
      </c>
      <c r="P1532">
        <v>-0.88177830000000001</v>
      </c>
      <c r="Q1532">
        <v>-5.0655560000000002E-2</v>
      </c>
      <c r="R1532">
        <v>-0.46893620000000003</v>
      </c>
      <c r="S1532">
        <v>-3.2188569999999999</v>
      </c>
      <c r="T1532">
        <v>-0.3463502</v>
      </c>
      <c r="U1532">
        <v>-0.35565190000000002</v>
      </c>
      <c r="V1532">
        <v>0.1753933</v>
      </c>
      <c r="W1532">
        <v>-3.8733389999999999E-2</v>
      </c>
      <c r="X1532">
        <v>0.98373619999999995</v>
      </c>
      <c r="Y1532">
        <v>0.5216016</v>
      </c>
      <c r="Z1532">
        <v>8.9467989999999997E-2</v>
      </c>
      <c r="AA1532">
        <v>0.8484853</v>
      </c>
      <c r="AB1532">
        <v>18</v>
      </c>
      <c r="AC1532">
        <v>-9.9790000000000099</v>
      </c>
      <c r="AD1532">
        <v>-1.1047551962590001</v>
      </c>
      <c r="AE1532">
        <v>-0.93209999999999105</v>
      </c>
      <c r="AF1532">
        <v>5.3655488352097196</v>
      </c>
      <c r="AG1532">
        <v>-1.1047551962590001</v>
      </c>
      <c r="AH1532">
        <v>8.32243634234678</v>
      </c>
      <c r="AI1532">
        <v>96.366020542560193</v>
      </c>
      <c r="AJ1532">
        <v>57.189763821744101</v>
      </c>
      <c r="AK1532">
        <v>9.9635608604101105</v>
      </c>
      <c r="AL1532">
        <v>92.219815069075494</v>
      </c>
      <c r="AM1532">
        <v>79.890787668206499</v>
      </c>
      <c r="AN1532">
        <v>0.99999999818811003</v>
      </c>
    </row>
    <row r="1533" spans="1:40" x14ac:dyDescent="0.25">
      <c r="A1533" t="str">
        <f>"20190312151527676"</f>
        <v>20190312151527676</v>
      </c>
      <c r="B1533" t="str">
        <f>"1552374927669116"</f>
        <v>1552374927669116</v>
      </c>
      <c r="C1533" t="s">
        <v>40</v>
      </c>
      <c r="D1533">
        <v>5.1031870000000001</v>
      </c>
      <c r="E1533">
        <v>0.65274370000000004</v>
      </c>
      <c r="F1533" t="s">
        <v>51</v>
      </c>
      <c r="G1533">
        <v>-211.15190000000001</v>
      </c>
      <c r="H1533" s="1">
        <v>-9.2382659999999998E-7</v>
      </c>
      <c r="I1533">
        <v>283.78289999999998</v>
      </c>
      <c r="J1533">
        <v>-200.8175</v>
      </c>
      <c r="K1533">
        <v>1.1047739999999999</v>
      </c>
      <c r="L1533">
        <v>284.69740000000002</v>
      </c>
      <c r="M1533">
        <v>-0.79304110000000005</v>
      </c>
      <c r="N1533">
        <v>0</v>
      </c>
      <c r="O1533">
        <v>-0.60899910000000002</v>
      </c>
      <c r="P1533">
        <v>-0.88654069999999996</v>
      </c>
      <c r="Q1533">
        <v>-5.0676770000000003E-2</v>
      </c>
      <c r="R1533">
        <v>-0.45986729999999998</v>
      </c>
      <c r="S1533">
        <v>-3.2163539999999999</v>
      </c>
      <c r="T1533">
        <v>-0.33870020000000001</v>
      </c>
      <c r="U1533">
        <v>-0.31292720000000002</v>
      </c>
      <c r="V1533">
        <v>0.17475689999999999</v>
      </c>
      <c r="W1533">
        <v>-3.8738439999999999E-2</v>
      </c>
      <c r="X1533">
        <v>0.98384919999999998</v>
      </c>
      <c r="Y1533">
        <v>0.52366629999999903</v>
      </c>
      <c r="Z1533">
        <v>8.7097590000000003E-2</v>
      </c>
      <c r="AA1533">
        <v>0.84745949999999903</v>
      </c>
      <c r="AB1533">
        <v>18</v>
      </c>
      <c r="AC1533">
        <v>-10.3344</v>
      </c>
      <c r="AD1533">
        <v>-1.1047749238266</v>
      </c>
      <c r="AE1533">
        <v>-0.91450000000003195</v>
      </c>
      <c r="AF1533">
        <v>5.5065368513167403</v>
      </c>
      <c r="AG1533">
        <v>-1.1047749238266</v>
      </c>
      <c r="AH1533">
        <v>8.6552892140932407</v>
      </c>
      <c r="AI1533">
        <v>96.146723986746295</v>
      </c>
      <c r="AJ1533">
        <v>57.5352842479248</v>
      </c>
      <c r="AK1533">
        <v>10.317776267530901</v>
      </c>
      <c r="AL1533">
        <v>92.220104749145094</v>
      </c>
      <c r="AM1533">
        <v>79.927848859173395</v>
      </c>
      <c r="AN1533">
        <v>0.99999994458593999</v>
      </c>
    </row>
    <row r="1534" spans="1:40" x14ac:dyDescent="0.25">
      <c r="A1534" t="str">
        <f>"20190312151527699"</f>
        <v>20190312151527699</v>
      </c>
      <c r="B1534" t="str">
        <f>"1552374927689613"</f>
        <v>1552374927689613</v>
      </c>
      <c r="C1534" t="s">
        <v>40</v>
      </c>
      <c r="D1534">
        <v>5.0919639999999999</v>
      </c>
      <c r="E1534">
        <v>0.65230659999999996</v>
      </c>
      <c r="F1534" t="s">
        <v>51</v>
      </c>
      <c r="G1534">
        <v>-211.22300000000001</v>
      </c>
      <c r="H1534" s="1">
        <v>-8.8595950000000001E-7</v>
      </c>
      <c r="I1534">
        <v>283.76609999999999</v>
      </c>
      <c r="J1534">
        <v>-200.97399999999999</v>
      </c>
      <c r="K1534">
        <v>1.104795</v>
      </c>
      <c r="L1534">
        <v>284.59359999999998</v>
      </c>
      <c r="M1534">
        <v>-0.79959150000000001</v>
      </c>
      <c r="N1534">
        <v>0</v>
      </c>
      <c r="O1534">
        <v>-0.60037280000000004</v>
      </c>
      <c r="P1534">
        <v>-0.89135209999999998</v>
      </c>
      <c r="Q1534">
        <v>-5.1157590000000003E-2</v>
      </c>
      <c r="R1534">
        <v>-0.45041560000000003</v>
      </c>
      <c r="S1534">
        <v>-3.2151640000000001</v>
      </c>
      <c r="T1534">
        <v>-0.34135989999999999</v>
      </c>
      <c r="U1534">
        <v>-0.28775020000000001</v>
      </c>
      <c r="V1534">
        <v>0.1745389</v>
      </c>
      <c r="W1534">
        <v>-3.9210259999999997E-2</v>
      </c>
      <c r="X1534">
        <v>0.98386929999999995</v>
      </c>
      <c r="Y1534">
        <v>0.52096169999999997</v>
      </c>
      <c r="Z1534">
        <v>8.7016319999999994E-2</v>
      </c>
      <c r="AA1534">
        <v>0.84913309999999997</v>
      </c>
      <c r="AB1534">
        <v>18</v>
      </c>
      <c r="AC1534">
        <v>-10.248999999999899</v>
      </c>
      <c r="AD1534">
        <v>-1.1047958859595</v>
      </c>
      <c r="AE1534">
        <v>-0.82749999999998602</v>
      </c>
      <c r="AF1534">
        <v>5.4294436009362199</v>
      </c>
      <c r="AG1534">
        <v>-1.1047958859595</v>
      </c>
      <c r="AH1534">
        <v>8.5935082031156895</v>
      </c>
      <c r="AI1534">
        <v>96.202915870381602</v>
      </c>
      <c r="AJ1534">
        <v>57.714992420951098</v>
      </c>
      <c r="AK1534">
        <v>10.2248625908809</v>
      </c>
      <c r="AL1534">
        <v>92.247158395735397</v>
      </c>
      <c r="AM1534">
        <v>79.940357868030205</v>
      </c>
      <c r="AN1534">
        <v>1.0000000357924801</v>
      </c>
    </row>
    <row r="1535" spans="1:40" x14ac:dyDescent="0.25">
      <c r="A1535" t="str">
        <f>"20190312151527721"</f>
        <v>20190312151527721</v>
      </c>
      <c r="B1535" t="str">
        <f>"1552374927718892"</f>
        <v>1552374927718892</v>
      </c>
      <c r="C1535" t="s">
        <v>40</v>
      </c>
      <c r="D1535">
        <v>5.0846689999999999</v>
      </c>
      <c r="E1535">
        <v>0.64292869999999902</v>
      </c>
      <c r="F1535" t="s">
        <v>51</v>
      </c>
      <c r="G1535">
        <v>-211.24889999999999</v>
      </c>
      <c r="H1535" s="1">
        <v>-8.7216650000000002E-7</v>
      </c>
      <c r="I1535">
        <v>283.77350000000001</v>
      </c>
      <c r="J1535">
        <v>-201.1277</v>
      </c>
      <c r="K1535">
        <v>1.104816</v>
      </c>
      <c r="L1535">
        <v>284.4941</v>
      </c>
      <c r="M1535">
        <v>-0.80589009999999905</v>
      </c>
      <c r="N1535">
        <v>0</v>
      </c>
      <c r="O1535">
        <v>-0.59189119999999995</v>
      </c>
      <c r="P1535">
        <v>-0.89565530000000004</v>
      </c>
      <c r="Q1535">
        <v>-5.165666E-2</v>
      </c>
      <c r="R1535">
        <v>-0.4417392</v>
      </c>
      <c r="S1535">
        <v>-3.2160950000000001</v>
      </c>
      <c r="T1535">
        <v>-0.34580620000000001</v>
      </c>
      <c r="U1535">
        <v>-0.2566833</v>
      </c>
      <c r="V1535">
        <v>0.17367679999999999</v>
      </c>
      <c r="W1535">
        <v>-3.9691850000000001E-2</v>
      </c>
      <c r="X1535">
        <v>0.9840025</v>
      </c>
      <c r="Y1535">
        <v>0.52002199999999998</v>
      </c>
      <c r="Z1535">
        <v>8.742337E-2</v>
      </c>
      <c r="AA1535">
        <v>0.84966710000000001</v>
      </c>
      <c r="AB1535">
        <v>18</v>
      </c>
      <c r="AC1535">
        <v>-10.1211999999999</v>
      </c>
      <c r="AD1535">
        <v>-1.1048168721664999</v>
      </c>
      <c r="AE1535">
        <v>-0.72059999999999003</v>
      </c>
      <c r="AF1535">
        <v>5.34708945305543</v>
      </c>
      <c r="AG1535">
        <v>-1.1048168721664999</v>
      </c>
      <c r="AH1535">
        <v>8.4834005322820101</v>
      </c>
      <c r="AI1535">
        <v>96.287144782053204</v>
      </c>
      <c r="AJ1535">
        <v>57.7767588887722</v>
      </c>
      <c r="AK1535">
        <v>10.0886109316953</v>
      </c>
      <c r="AL1535">
        <v>92.274773055795194</v>
      </c>
      <c r="AM1535">
        <v>79.990365673244</v>
      </c>
      <c r="AN1535">
        <v>0.99999999691045605</v>
      </c>
    </row>
    <row r="1536" spans="1:40" x14ac:dyDescent="0.25">
      <c r="A1536" t="str">
        <f>"20190312151527744"</f>
        <v>20190312151527744</v>
      </c>
      <c r="B1536" t="str">
        <f>"1552374927739389"</f>
        <v>1552374927739389</v>
      </c>
      <c r="C1536" t="s">
        <v>40</v>
      </c>
      <c r="D1536">
        <v>5.1216989999999996</v>
      </c>
      <c r="E1536">
        <v>0.64197559999999998</v>
      </c>
      <c r="F1536" t="s">
        <v>51</v>
      </c>
      <c r="G1536">
        <v>-210.74369999999999</v>
      </c>
      <c r="H1536" s="1">
        <v>-1.141056E-6</v>
      </c>
      <c r="I1536">
        <v>283.61470000000003</v>
      </c>
      <c r="J1536">
        <v>-201.2807</v>
      </c>
      <c r="K1536">
        <v>1.104833</v>
      </c>
      <c r="L1536">
        <v>284.3972</v>
      </c>
      <c r="M1536">
        <v>-0.81204279999999995</v>
      </c>
      <c r="N1536">
        <v>0</v>
      </c>
      <c r="O1536">
        <v>-0.58342150000000004</v>
      </c>
      <c r="P1536">
        <v>-0.89974639999999995</v>
      </c>
      <c r="Q1536">
        <v>-5.164945E-2</v>
      </c>
      <c r="R1536">
        <v>-0.43334620000000001</v>
      </c>
      <c r="S1536">
        <v>-3.1847690000000002</v>
      </c>
      <c r="T1536">
        <v>-0.36590980000000001</v>
      </c>
      <c r="U1536">
        <v>-0.29122920000000002</v>
      </c>
      <c r="V1536">
        <v>0.1725766</v>
      </c>
      <c r="W1536">
        <v>-3.9664560000000001E-2</v>
      </c>
      <c r="X1536">
        <v>0.98419710000000005</v>
      </c>
      <c r="Y1536">
        <v>0.50051579999999996</v>
      </c>
      <c r="Z1536">
        <v>9.1382939999999996E-2</v>
      </c>
      <c r="AA1536">
        <v>0.86089090000000001</v>
      </c>
      <c r="AB1536">
        <v>18</v>
      </c>
      <c r="AC1536">
        <v>-9.4629999999999903</v>
      </c>
      <c r="AD1536">
        <v>-1.1048341410560001</v>
      </c>
      <c r="AE1536">
        <v>-0.78249999999997</v>
      </c>
      <c r="AF1536">
        <v>4.82073063313047</v>
      </c>
      <c r="AG1536">
        <v>-1.1048341410560001</v>
      </c>
      <c r="AH1536">
        <v>8.03297035854815</v>
      </c>
      <c r="AI1536">
        <v>96.725896068348007</v>
      </c>
      <c r="AJ1536">
        <v>59.031269709061299</v>
      </c>
      <c r="AK1536">
        <v>9.4333830144735806</v>
      </c>
      <c r="AL1536">
        <v>92.2732083376535</v>
      </c>
      <c r="AM1536">
        <v>80.054431392306995</v>
      </c>
      <c r="AN1536">
        <v>0.99999994591798003</v>
      </c>
    </row>
    <row r="1537" spans="1:40" x14ac:dyDescent="0.25">
      <c r="A1537" t="str">
        <f>"20190312151527766"</f>
        <v>20190312151527766</v>
      </c>
      <c r="B1537" t="str">
        <f>"1552374927758909"</f>
        <v>1552374927758909</v>
      </c>
      <c r="C1537" t="s">
        <v>40</v>
      </c>
      <c r="D1537">
        <v>5.0378730000000003</v>
      </c>
      <c r="E1537">
        <v>0.64087609999999995</v>
      </c>
      <c r="F1537" t="s">
        <v>51</v>
      </c>
      <c r="G1537">
        <v>-210.9273</v>
      </c>
      <c r="H1537" s="1">
        <v>-1.043316E-6</v>
      </c>
      <c r="I1537">
        <v>283.58479999999997</v>
      </c>
      <c r="J1537">
        <v>-201.43430000000001</v>
      </c>
      <c r="K1537">
        <v>1.104843</v>
      </c>
      <c r="L1537">
        <v>284.30220000000003</v>
      </c>
      <c r="M1537">
        <v>-0.81809909999999997</v>
      </c>
      <c r="N1537">
        <v>0</v>
      </c>
      <c r="O1537">
        <v>-0.57489840000000003</v>
      </c>
      <c r="P1537">
        <v>-0.90377209999999997</v>
      </c>
      <c r="Q1537">
        <v>-5.1730390000000001E-2</v>
      </c>
      <c r="R1537">
        <v>-0.42487639999999999</v>
      </c>
      <c r="S1537">
        <v>-3.1841889999999999</v>
      </c>
      <c r="T1537">
        <v>-0.36468859999999997</v>
      </c>
      <c r="U1537">
        <v>-0.26815800000000001</v>
      </c>
      <c r="V1537">
        <v>0.17152690000000001</v>
      </c>
      <c r="W1537">
        <v>-3.9731950000000002E-2</v>
      </c>
      <c r="X1537">
        <v>0.98437790000000003</v>
      </c>
      <c r="Y1537">
        <v>0.49776120000000001</v>
      </c>
      <c r="Z1537">
        <v>9.021237E-2</v>
      </c>
      <c r="AA1537">
        <v>0.86260969999999904</v>
      </c>
      <c r="AB1537">
        <v>18</v>
      </c>
      <c r="AC1537">
        <v>-9.4929999999999897</v>
      </c>
      <c r="AD1537">
        <v>-1.1048440433160001</v>
      </c>
      <c r="AE1537">
        <v>-0.71740000000005399</v>
      </c>
      <c r="AF1537">
        <v>4.80637221379137</v>
      </c>
      <c r="AG1537">
        <v>-1.1048440433160001</v>
      </c>
      <c r="AH1537">
        <v>8.0707861208128495</v>
      </c>
      <c r="AI1537">
        <v>96.708154568657093</v>
      </c>
      <c r="AJ1537">
        <v>59.225053406668401</v>
      </c>
      <c r="AK1537">
        <v>9.4583023225873895</v>
      </c>
      <c r="AL1537">
        <v>92.277072474273595</v>
      </c>
      <c r="AM1537">
        <v>80.115508337109901</v>
      </c>
      <c r="AN1537">
        <v>0.99999997764141102</v>
      </c>
    </row>
    <row r="1538" spans="1:40" x14ac:dyDescent="0.25">
      <c r="A1538" t="str">
        <f>"20190312151527791"</f>
        <v>20190312151527791</v>
      </c>
      <c r="B1538" t="str">
        <f>"1552374927779405"</f>
        <v>1552374927779405</v>
      </c>
      <c r="C1538" t="s">
        <v>40</v>
      </c>
      <c r="D1538">
        <v>5.1727239999999997</v>
      </c>
      <c r="E1538">
        <v>0.64034440000000004</v>
      </c>
      <c r="F1538" t="s">
        <v>51</v>
      </c>
      <c r="G1538">
        <v>-211.1978</v>
      </c>
      <c r="H1538" s="1">
        <v>-8.9938159999999998E-7</v>
      </c>
      <c r="I1538">
        <v>283.54610000000002</v>
      </c>
      <c r="J1538">
        <v>-201.60499999999999</v>
      </c>
      <c r="K1538">
        <v>1.1048340000000001</v>
      </c>
      <c r="L1538">
        <v>284.19920000000002</v>
      </c>
      <c r="M1538">
        <v>-0.82469650000000005</v>
      </c>
      <c r="N1538">
        <v>0</v>
      </c>
      <c r="O1538">
        <v>-0.56539439999999996</v>
      </c>
      <c r="P1538">
        <v>-0.90822899999999995</v>
      </c>
      <c r="Q1538">
        <v>-5.1911690000000003E-2</v>
      </c>
      <c r="R1538">
        <v>-0.41524159999999999</v>
      </c>
      <c r="S1538">
        <v>-3.182922</v>
      </c>
      <c r="T1538">
        <v>-0.36018250000000002</v>
      </c>
      <c r="U1538">
        <v>-0.2464905</v>
      </c>
      <c r="V1538">
        <v>0.17059769999999999</v>
      </c>
      <c r="W1538">
        <v>-3.9916769999999997E-2</v>
      </c>
      <c r="X1538">
        <v>0.98453190000000002</v>
      </c>
      <c r="Y1538">
        <v>0.49377929999999998</v>
      </c>
      <c r="Z1538">
        <v>8.8091329999999995E-2</v>
      </c>
      <c r="AA1538">
        <v>0.86511380000000004</v>
      </c>
      <c r="AB1538">
        <v>18</v>
      </c>
      <c r="AC1538">
        <v>-9.5928000000000093</v>
      </c>
      <c r="AD1538">
        <v>-1.1048348993816</v>
      </c>
      <c r="AE1538">
        <v>-0.65309999999999402</v>
      </c>
      <c r="AF1538">
        <v>4.82193913282737</v>
      </c>
      <c r="AG1538">
        <v>-1.1048348993816</v>
      </c>
      <c r="AH1538">
        <v>8.1733376552780701</v>
      </c>
      <c r="AI1538">
        <v>96.640738638524994</v>
      </c>
      <c r="AJ1538">
        <v>59.461111607412001</v>
      </c>
      <c r="AK1538">
        <v>9.55380581667694</v>
      </c>
      <c r="AL1538">
        <v>92.287670252760194</v>
      </c>
      <c r="AM1538">
        <v>80.169515006428995</v>
      </c>
      <c r="AN1538">
        <v>0.99999999294506603</v>
      </c>
    </row>
    <row r="1539" spans="1:40" x14ac:dyDescent="0.25">
      <c r="A1539" t="str">
        <f>"20190312151527814"</f>
        <v>20190312151527814</v>
      </c>
      <c r="B1539" t="str">
        <f>"1552374927808685"</f>
        <v>1552374927808685</v>
      </c>
      <c r="C1539" t="s">
        <v>40</v>
      </c>
      <c r="D1539">
        <v>5.1045239999999996</v>
      </c>
      <c r="E1539">
        <v>0.63416189999999995</v>
      </c>
      <c r="F1539" t="s">
        <v>51</v>
      </c>
      <c r="G1539">
        <v>-211.40819999999999</v>
      </c>
      <c r="H1539" s="1">
        <v>-7.8743980000000003E-7</v>
      </c>
      <c r="I1539">
        <v>283.53230000000002</v>
      </c>
      <c r="J1539">
        <v>-201.76329999999999</v>
      </c>
      <c r="K1539">
        <v>1.1048260000000001</v>
      </c>
      <c r="L1539">
        <v>284.10610000000003</v>
      </c>
      <c r="M1539">
        <v>-0.83069179999999998</v>
      </c>
      <c r="N1539">
        <v>0</v>
      </c>
      <c r="O1539">
        <v>-0.55654919999999997</v>
      </c>
      <c r="P1539">
        <v>-0.91226419999999997</v>
      </c>
      <c r="Q1539">
        <v>-5.2232349999999997E-2</v>
      </c>
      <c r="R1539">
        <v>-0.40625889999999998</v>
      </c>
      <c r="S1539">
        <v>-3.18364</v>
      </c>
      <c r="T1539">
        <v>-0.35880119999999999</v>
      </c>
      <c r="U1539">
        <v>-0.21655269999999999</v>
      </c>
      <c r="V1539">
        <v>0.16977790000000001</v>
      </c>
      <c r="W1539">
        <v>-4.0256710000000001E-2</v>
      </c>
      <c r="X1539">
        <v>0.98465979999999997</v>
      </c>
      <c r="Y1539">
        <v>0.49271680000000001</v>
      </c>
      <c r="Z1539">
        <v>8.6923139999999996E-2</v>
      </c>
      <c r="AA1539">
        <v>0.86583750000000004</v>
      </c>
      <c r="AB1539">
        <v>18</v>
      </c>
      <c r="AC1539">
        <v>-9.6448999999999998</v>
      </c>
      <c r="AD1539">
        <v>-1.1048267874397999</v>
      </c>
      <c r="AE1539">
        <v>-0.57380000000000497</v>
      </c>
      <c r="AF1539">
        <v>4.8285736551013496</v>
      </c>
      <c r="AG1539">
        <v>-1.1048267874397999</v>
      </c>
      <c r="AH1539">
        <v>8.2245969298442994</v>
      </c>
      <c r="AI1539">
        <v>96.607881022076199</v>
      </c>
      <c r="AJ1539">
        <v>59.5832566509252</v>
      </c>
      <c r="AK1539">
        <v>9.6010291339724407</v>
      </c>
      <c r="AL1539">
        <v>92.307162963252907</v>
      </c>
      <c r="AM1539">
        <v>80.217086145303298</v>
      </c>
      <c r="AN1539">
        <v>1.00000002988223</v>
      </c>
    </row>
    <row r="1540" spans="1:40" x14ac:dyDescent="0.25">
      <c r="A1540" t="str">
        <f>"20190312151527836"</f>
        <v>20190312151527836</v>
      </c>
      <c r="B1540" t="str">
        <f>"1552374927829181"</f>
        <v>1552374927829181</v>
      </c>
      <c r="C1540" t="s">
        <v>40</v>
      </c>
      <c r="D1540">
        <v>5.1497950000000001</v>
      </c>
      <c r="E1540">
        <v>0.63510919999999904</v>
      </c>
      <c r="F1540" t="s">
        <v>51</v>
      </c>
      <c r="G1540">
        <v>-211.99299999999999</v>
      </c>
      <c r="H1540" s="1">
        <v>-4.7622670000000002E-7</v>
      </c>
      <c r="I1540">
        <v>283.35969999999998</v>
      </c>
      <c r="J1540">
        <v>-201.9203</v>
      </c>
      <c r="K1540">
        <v>1.1048150000000001</v>
      </c>
      <c r="L1540">
        <v>284.01620000000003</v>
      </c>
      <c r="M1540">
        <v>-0.83651919999999902</v>
      </c>
      <c r="N1540">
        <v>0</v>
      </c>
      <c r="O1540">
        <v>-0.54775209999999996</v>
      </c>
      <c r="P1540">
        <v>-0.91607289999999997</v>
      </c>
      <c r="Q1540">
        <v>-5.2914049999999997E-2</v>
      </c>
      <c r="R1540">
        <v>-0.39750550000000001</v>
      </c>
      <c r="S1540">
        <v>-3.166077</v>
      </c>
      <c r="T1540">
        <v>-0.34194160000000001</v>
      </c>
      <c r="U1540">
        <v>-0.23098750000000001</v>
      </c>
      <c r="V1540">
        <v>0.1687845</v>
      </c>
      <c r="W1540">
        <v>-4.0964199999999999E-2</v>
      </c>
      <c r="X1540">
        <v>0.98480140000000005</v>
      </c>
      <c r="Y1540">
        <v>0.479877</v>
      </c>
      <c r="Z1540">
        <v>8.1804589999999996E-2</v>
      </c>
      <c r="AA1540">
        <v>0.8735136</v>
      </c>
      <c r="AB1540">
        <v>18</v>
      </c>
      <c r="AC1540">
        <v>-10.0726999999999</v>
      </c>
      <c r="AD1540">
        <v>-1.1048154762267</v>
      </c>
      <c r="AE1540">
        <v>-0.65650000000005004</v>
      </c>
      <c r="AF1540">
        <v>4.9098540388743599</v>
      </c>
      <c r="AG1540">
        <v>-1.1048154762267</v>
      </c>
      <c r="AH1540">
        <v>8.6824854732576</v>
      </c>
      <c r="AI1540">
        <v>96.3204958165351</v>
      </c>
      <c r="AJ1540">
        <v>60.512298165781999</v>
      </c>
      <c r="AK1540">
        <v>10.0355786037921</v>
      </c>
      <c r="AL1540">
        <v>92.347732608982795</v>
      </c>
      <c r="AM1540">
        <v>80.274602937304707</v>
      </c>
      <c r="AN1540">
        <v>1.0000000352819201</v>
      </c>
    </row>
    <row r="1541" spans="1:40" x14ac:dyDescent="0.25">
      <c r="A1541" t="str">
        <f>"20190312151527857"</f>
        <v>20190312151527857</v>
      </c>
      <c r="B1541" t="str">
        <f>"1552374927848701"</f>
        <v>1552374927848701</v>
      </c>
      <c r="C1541" t="s">
        <v>40</v>
      </c>
      <c r="D1541">
        <v>5.0627649999999997</v>
      </c>
      <c r="E1541">
        <v>0.63388109999999998</v>
      </c>
      <c r="F1541" t="s">
        <v>51</v>
      </c>
      <c r="G1541">
        <v>-211.90029999999999</v>
      </c>
      <c r="H1541" s="1">
        <v>-5.2553290000000001E-7</v>
      </c>
      <c r="I1541">
        <v>283.40800000000002</v>
      </c>
      <c r="J1541">
        <v>-202.06950000000001</v>
      </c>
      <c r="K1541">
        <v>1.104814</v>
      </c>
      <c r="L1541">
        <v>283.93270000000001</v>
      </c>
      <c r="M1541">
        <v>-0.84195239999999905</v>
      </c>
      <c r="N1541">
        <v>0</v>
      </c>
      <c r="O1541">
        <v>-0.53936470000000003</v>
      </c>
      <c r="P1541">
        <v>-0.9195122</v>
      </c>
      <c r="Q1541">
        <v>-5.3345280000000002E-2</v>
      </c>
      <c r="R1541">
        <v>-0.38942520000000003</v>
      </c>
      <c r="S1541">
        <v>-3.170715</v>
      </c>
      <c r="T1541">
        <v>-0.35100530000000002</v>
      </c>
      <c r="U1541">
        <v>-0.1932373</v>
      </c>
      <c r="V1541">
        <v>0.16759399999999999</v>
      </c>
      <c r="W1541">
        <v>-4.1416069999999999E-2</v>
      </c>
      <c r="X1541">
        <v>0.98498580000000002</v>
      </c>
      <c r="Y1541">
        <v>0.48131750000000001</v>
      </c>
      <c r="Z1541">
        <v>8.3217659999999999E-2</v>
      </c>
      <c r="AA1541">
        <v>0.87258709999999995</v>
      </c>
      <c r="AB1541">
        <v>18</v>
      </c>
      <c r="AC1541">
        <v>-9.8307999999999804</v>
      </c>
      <c r="AD1541">
        <v>-1.1048145255329</v>
      </c>
      <c r="AE1541">
        <v>-0.52469999999999495</v>
      </c>
      <c r="AF1541">
        <v>4.80064517061055</v>
      </c>
      <c r="AG1541">
        <v>-1.1048145255329</v>
      </c>
      <c r="AH1541">
        <v>8.4544585569798905</v>
      </c>
      <c r="AI1541">
        <v>96.483086360837305</v>
      </c>
      <c r="AJ1541">
        <v>60.411046258455499</v>
      </c>
      <c r="AK1541">
        <v>9.7849209849454297</v>
      </c>
      <c r="AL1541">
        <v>92.373644848758602</v>
      </c>
      <c r="AM1541">
        <v>80.343677331752403</v>
      </c>
      <c r="AN1541">
        <v>1.00000003294594</v>
      </c>
    </row>
    <row r="1542" spans="1:40" x14ac:dyDescent="0.25">
      <c r="A1542" t="str">
        <f>"20190312151527878"</f>
        <v>20190312151527878</v>
      </c>
      <c r="B1542" t="str">
        <f>"1552374927869197"</f>
        <v>1552374927869197</v>
      </c>
      <c r="C1542" t="s">
        <v>40</v>
      </c>
      <c r="D1542">
        <v>5.0549030000000004</v>
      </c>
      <c r="E1542">
        <v>0.63348959999999999</v>
      </c>
      <c r="F1542" t="s">
        <v>51</v>
      </c>
      <c r="G1542">
        <v>-212.27029999999999</v>
      </c>
      <c r="H1542" s="1">
        <v>-3.2863720000000002E-7</v>
      </c>
      <c r="I1542">
        <v>283.37110000000001</v>
      </c>
      <c r="J1542">
        <v>-202.2227</v>
      </c>
      <c r="K1542">
        <v>1.104816</v>
      </c>
      <c r="L1542">
        <v>283.84899999999999</v>
      </c>
      <c r="M1542">
        <v>-0.84742019999999996</v>
      </c>
      <c r="N1542">
        <v>0</v>
      </c>
      <c r="O1542">
        <v>-0.53073359999999903</v>
      </c>
      <c r="P1542">
        <v>-0.92293610000000004</v>
      </c>
      <c r="Q1542">
        <v>-5.2765149999999997E-2</v>
      </c>
      <c r="R1542">
        <v>-0.3813204</v>
      </c>
      <c r="S1542">
        <v>-3.168793</v>
      </c>
      <c r="T1542">
        <v>-0.34320070000000003</v>
      </c>
      <c r="U1542">
        <v>-0.1744385</v>
      </c>
      <c r="V1542">
        <v>0.16622110000000001</v>
      </c>
      <c r="W1542">
        <v>-4.0855710000000003E-2</v>
      </c>
      <c r="X1542">
        <v>0.98524179999999995</v>
      </c>
      <c r="Y1542">
        <v>0.47781839999999998</v>
      </c>
      <c r="Z1542">
        <v>8.0482250000000005E-2</v>
      </c>
      <c r="AA1542">
        <v>0.87476409999999905</v>
      </c>
      <c r="AB1542">
        <v>18</v>
      </c>
      <c r="AC1542">
        <v>-10.0475999999999</v>
      </c>
      <c r="AD1542">
        <v>-1.1048163286371999</v>
      </c>
      <c r="AE1542">
        <v>-0.47789999999997601</v>
      </c>
      <c r="AF1542">
        <v>4.8693699880446299</v>
      </c>
      <c r="AG1542">
        <v>-1.1048163286371999</v>
      </c>
      <c r="AH1542">
        <v>8.66453269173652</v>
      </c>
      <c r="AI1542">
        <v>96.342904867850606</v>
      </c>
      <c r="AJ1542">
        <v>60.664502704066699</v>
      </c>
      <c r="AK1542">
        <v>10.0002754945383</v>
      </c>
      <c r="AL1542">
        <v>92.341511408810504</v>
      </c>
      <c r="AM1542">
        <v>80.423751417676996</v>
      </c>
      <c r="AN1542">
        <v>1.00000002379602</v>
      </c>
    </row>
    <row r="1543" spans="1:40" x14ac:dyDescent="0.25">
      <c r="A1543" t="str">
        <f>"20190312151527902"</f>
        <v>20190312151527902</v>
      </c>
      <c r="B1543" t="str">
        <f>"1552374927889693"</f>
        <v>1552374927889693</v>
      </c>
      <c r="C1543" t="s">
        <v>40</v>
      </c>
      <c r="D1543">
        <v>5.0689539999999997</v>
      </c>
      <c r="E1543">
        <v>0.65222480000000005</v>
      </c>
      <c r="F1543" t="s">
        <v>51</v>
      </c>
      <c r="G1543">
        <v>-212.6661</v>
      </c>
      <c r="H1543" s="1">
        <v>-1.180316E-7</v>
      </c>
      <c r="I1543">
        <v>283.35539999999997</v>
      </c>
      <c r="J1543">
        <v>-202.38249999999999</v>
      </c>
      <c r="K1543">
        <v>1.104824</v>
      </c>
      <c r="L1543">
        <v>283.76400000000001</v>
      </c>
      <c r="M1543">
        <v>-0.85300419999999999</v>
      </c>
      <c r="N1543">
        <v>0</v>
      </c>
      <c r="O1543">
        <v>-0.52171339999999999</v>
      </c>
      <c r="P1543">
        <v>-0.92640540000000005</v>
      </c>
      <c r="Q1543">
        <v>-5.289191E-2</v>
      </c>
      <c r="R1543">
        <v>-0.37279449999999997</v>
      </c>
      <c r="S1543">
        <v>-3.1694179999999998</v>
      </c>
      <c r="T1543">
        <v>-0.33529700000000001</v>
      </c>
      <c r="U1543">
        <v>-0.14981079999999999</v>
      </c>
      <c r="V1543">
        <v>0.16484799999999999</v>
      </c>
      <c r="W1543">
        <v>-4.101192E-2</v>
      </c>
      <c r="X1543">
        <v>0.98546590000000001</v>
      </c>
      <c r="Y1543">
        <v>0.47561609999999999</v>
      </c>
      <c r="Z1543">
        <v>7.7735289999999999E-2</v>
      </c>
      <c r="AA1543">
        <v>0.87621150000000003</v>
      </c>
      <c r="AB1543">
        <v>18</v>
      </c>
      <c r="AC1543">
        <v>-10.2836</v>
      </c>
      <c r="AD1543">
        <v>-1.1048241180316001</v>
      </c>
      <c r="AE1543">
        <v>-0.40860000000003499</v>
      </c>
      <c r="AF1543">
        <v>4.9598947061060699</v>
      </c>
      <c r="AG1543">
        <v>-1.1048241180316001</v>
      </c>
      <c r="AH1543">
        <v>8.8836431780411491</v>
      </c>
      <c r="AI1543">
        <v>96.197349985656004</v>
      </c>
      <c r="AJ1543">
        <v>60.824606350510599</v>
      </c>
      <c r="AK1543">
        <v>10.2342712462686</v>
      </c>
      <c r="AL1543">
        <v>92.350469286303607</v>
      </c>
      <c r="AM1543">
        <v>80.503531165601999</v>
      </c>
      <c r="AN1543">
        <v>0.99999994037444595</v>
      </c>
    </row>
    <row r="1544" spans="1:40" x14ac:dyDescent="0.25">
      <c r="A1544" t="str">
        <f>"20190312151527924"</f>
        <v>20190312151527924</v>
      </c>
      <c r="B1544" t="str">
        <f>"1552374927918974"</f>
        <v>1552374927918974</v>
      </c>
      <c r="C1544" t="s">
        <v>40</v>
      </c>
      <c r="D1544">
        <v>5.0683499999999997</v>
      </c>
      <c r="E1544">
        <v>0.65425219999999995</v>
      </c>
      <c r="F1544" t="s">
        <v>51</v>
      </c>
      <c r="G1544">
        <v>-215.63589999999999</v>
      </c>
      <c r="H1544" s="1">
        <v>1.4623339999999901E-6</v>
      </c>
      <c r="I1544">
        <v>283.82420000000002</v>
      </c>
      <c r="J1544">
        <v>-202.55350000000001</v>
      </c>
      <c r="K1544">
        <v>1.104824</v>
      </c>
      <c r="L1544">
        <v>283.67529999999999</v>
      </c>
      <c r="M1544">
        <v>-0.85884729999999998</v>
      </c>
      <c r="N1544">
        <v>0</v>
      </c>
      <c r="O1544">
        <v>-0.51203940000000003</v>
      </c>
      <c r="P1544">
        <v>-0.9300216</v>
      </c>
      <c r="Q1544">
        <v>-5.2557489999999998E-2</v>
      </c>
      <c r="R1544">
        <v>-0.363728</v>
      </c>
      <c r="S1544">
        <v>-3.2288969999999999</v>
      </c>
      <c r="T1544">
        <v>-0.2691655</v>
      </c>
      <c r="U1544">
        <v>1.467896E-2</v>
      </c>
      <c r="V1544">
        <v>0.16335039999999901</v>
      </c>
      <c r="W1544">
        <v>-4.0721710000000001E-2</v>
      </c>
      <c r="X1544">
        <v>0.98572740000000003</v>
      </c>
      <c r="Y1544">
        <v>0.51256820000000003</v>
      </c>
      <c r="Z1544">
        <v>6.2334340000000002E-2</v>
      </c>
      <c r="AA1544">
        <v>0.8563809</v>
      </c>
      <c r="AB1544">
        <v>18</v>
      </c>
      <c r="AC1544">
        <v>-13.0823999999999</v>
      </c>
      <c r="AD1544">
        <v>-1.1048225376659999</v>
      </c>
      <c r="AE1544">
        <v>0.14890000000002601</v>
      </c>
      <c r="AF1544">
        <v>6.7789181627747501</v>
      </c>
      <c r="AG1544">
        <v>-1.1048225376659999</v>
      </c>
      <c r="AH1544">
        <v>11.081616802177599</v>
      </c>
      <c r="AI1544">
        <v>94.861180643023403</v>
      </c>
      <c r="AJ1544">
        <v>58.5447714309554</v>
      </c>
      <c r="AK1544">
        <v>13.037507248229501</v>
      </c>
      <c r="AL1544">
        <v>92.333827297685801</v>
      </c>
      <c r="AM1544">
        <v>80.590705727365403</v>
      </c>
      <c r="AN1544">
        <v>1.0000000589781199</v>
      </c>
    </row>
    <row r="1545" spans="1:40" x14ac:dyDescent="0.25">
      <c r="A1545" t="str">
        <f>"20190312151527968"</f>
        <v>20190312151527968</v>
      </c>
      <c r="B1545" t="str">
        <f>"1552374927958989"</f>
        <v>1552374927958989</v>
      </c>
      <c r="C1545" t="s">
        <v>40</v>
      </c>
      <c r="D1545">
        <v>5.0367680000000004</v>
      </c>
      <c r="E1545">
        <v>0.65341090000000002</v>
      </c>
      <c r="F1545" t="s">
        <v>51</v>
      </c>
      <c r="G1545">
        <v>-216.16050000000001</v>
      </c>
      <c r="H1545" s="1">
        <v>1.741541E-6</v>
      </c>
      <c r="I1545">
        <v>283.93239999999997</v>
      </c>
      <c r="J1545">
        <v>-202.86369999999999</v>
      </c>
      <c r="K1545">
        <v>1.1048119999999999</v>
      </c>
      <c r="L1545">
        <v>283.52050000000003</v>
      </c>
      <c r="M1545">
        <v>-0.869085199999999</v>
      </c>
      <c r="N1545">
        <v>0</v>
      </c>
      <c r="O1545">
        <v>-0.49446790000000002</v>
      </c>
      <c r="P1545">
        <v>-0.93610570000000004</v>
      </c>
      <c r="Q1545">
        <v>-5.209184E-2</v>
      </c>
      <c r="R1545">
        <v>-0.34784019999999999</v>
      </c>
      <c r="S1545">
        <v>-3.234756</v>
      </c>
      <c r="T1545">
        <v>-0.26264510000000002</v>
      </c>
      <c r="U1545">
        <v>6.1126710000000001E-2</v>
      </c>
      <c r="V1545">
        <v>0.16010559999999999</v>
      </c>
      <c r="W1545">
        <v>-4.0366689999999997E-2</v>
      </c>
      <c r="X1545">
        <v>0.98627419999999999</v>
      </c>
      <c r="Y1545">
        <v>0.50765839999999995</v>
      </c>
      <c r="Z1545">
        <v>5.9298120000000003E-2</v>
      </c>
      <c r="AA1545">
        <v>0.85951540000000004</v>
      </c>
      <c r="AB1545">
        <v>18</v>
      </c>
      <c r="AC1545">
        <v>-13.296799999999999</v>
      </c>
      <c r="AD1545">
        <v>-1.104810258459</v>
      </c>
      <c r="AE1545">
        <v>0.41189999999994598</v>
      </c>
      <c r="AF1545">
        <v>6.8859908833083203</v>
      </c>
      <c r="AG1545">
        <v>-1.104810258459</v>
      </c>
      <c r="AH1545">
        <v>11.2757037708247</v>
      </c>
      <c r="AI1545">
        <v>94.780031708247293</v>
      </c>
      <c r="AJ1545">
        <v>58.5878889300838</v>
      </c>
      <c r="AK1545">
        <v>13.2581662261262</v>
      </c>
      <c r="AL1545">
        <v>92.313469466822994</v>
      </c>
      <c r="AM1545">
        <v>80.779393765031202</v>
      </c>
      <c r="AN1545">
        <v>1.0000000351992699</v>
      </c>
    </row>
    <row r="1546" spans="1:40" x14ac:dyDescent="0.25">
      <c r="A1546" t="str">
        <f>"20190312151527991"</f>
        <v>20190312151527991</v>
      </c>
      <c r="B1546" t="str">
        <f>"1552374927979486"</f>
        <v>1552374927979486</v>
      </c>
      <c r="C1546" t="s">
        <v>40</v>
      </c>
      <c r="D1546">
        <v>5.0386540000000002</v>
      </c>
      <c r="E1546">
        <v>0.65238989999999997</v>
      </c>
      <c r="F1546" t="s">
        <v>51</v>
      </c>
      <c r="G1546">
        <v>-217.05950000000001</v>
      </c>
      <c r="H1546" s="1">
        <v>2.2199469999999999E-6</v>
      </c>
      <c r="I1546">
        <v>284.00020000000001</v>
      </c>
      <c r="J1546">
        <v>-203.02690000000001</v>
      </c>
      <c r="K1546">
        <v>1.1048039999999999</v>
      </c>
      <c r="L1546">
        <v>283.44209999999998</v>
      </c>
      <c r="M1546">
        <v>-0.87428549999999905</v>
      </c>
      <c r="N1546">
        <v>0</v>
      </c>
      <c r="O1546">
        <v>-0.48521639999999999</v>
      </c>
      <c r="P1546">
        <v>-0.93941859999999999</v>
      </c>
      <c r="Q1546">
        <v>-5.1751100000000001E-2</v>
      </c>
      <c r="R1546">
        <v>-0.33884330000000001</v>
      </c>
      <c r="S1546">
        <v>-3.2313689999999999</v>
      </c>
      <c r="T1546">
        <v>-0.25148520000000002</v>
      </c>
      <c r="U1546">
        <v>0.109191899999999</v>
      </c>
      <c r="V1546">
        <v>0.15911310000000001</v>
      </c>
      <c r="W1546">
        <v>-4.010557E-2</v>
      </c>
      <c r="X1546">
        <v>0.98644540000000003</v>
      </c>
      <c r="Y1546">
        <v>0.51158990000000004</v>
      </c>
      <c r="Z1546">
        <v>5.6382210000000002E-2</v>
      </c>
      <c r="AA1546">
        <v>0.85737790000000003</v>
      </c>
      <c r="AB1546">
        <v>18</v>
      </c>
      <c r="AC1546">
        <v>-14.0326</v>
      </c>
      <c r="AD1546">
        <v>-1.1048017800529999</v>
      </c>
      <c r="AE1546">
        <v>0.55810000000002402</v>
      </c>
      <c r="AF1546">
        <v>7.25259454305891</v>
      </c>
      <c r="AG1546">
        <v>-1.1048017800529999</v>
      </c>
      <c r="AH1546">
        <v>11.9250372384149</v>
      </c>
      <c r="AI1546">
        <v>94.525853886371294</v>
      </c>
      <c r="AJ1546">
        <v>58.692780437124803</v>
      </c>
      <c r="AK1546">
        <v>14.000972384688099</v>
      </c>
      <c r="AL1546">
        <v>92.298496392098698</v>
      </c>
      <c r="AM1546">
        <v>80.837143278995299</v>
      </c>
      <c r="AN1546">
        <v>0.999999981258897</v>
      </c>
    </row>
    <row r="1547" spans="1:40" x14ac:dyDescent="0.25">
      <c r="A1547" t="str">
        <f>"20190312151528012"</f>
        <v>20190312151528012</v>
      </c>
      <c r="B1547" t="str">
        <f>"1552374928008765"</f>
        <v>1552374928008765</v>
      </c>
      <c r="C1547" t="s">
        <v>40</v>
      </c>
      <c r="D1547">
        <v>5.0906000000000002</v>
      </c>
      <c r="E1547">
        <v>0.65182680000000004</v>
      </c>
      <c r="F1547" t="s">
        <v>51</v>
      </c>
      <c r="G1547">
        <v>-217.11240000000001</v>
      </c>
      <c r="H1547" s="1">
        <v>2.2481009999999999E-6</v>
      </c>
      <c r="I1547">
        <v>284.02019999999999</v>
      </c>
      <c r="J1547">
        <v>-203.18719999999999</v>
      </c>
      <c r="K1547">
        <v>1.1047929999999999</v>
      </c>
      <c r="L1547">
        <v>283.36720000000003</v>
      </c>
      <c r="M1547">
        <v>-0.87927310000000003</v>
      </c>
      <c r="N1547">
        <v>0</v>
      </c>
      <c r="O1547">
        <v>-0.47612189999999999</v>
      </c>
      <c r="P1547">
        <v>-0.94266159999999999</v>
      </c>
      <c r="Q1547">
        <v>-5.1761139999999997E-2</v>
      </c>
      <c r="R1547">
        <v>-0.32971209999999901</v>
      </c>
      <c r="S1547">
        <v>-3.2272949999999998</v>
      </c>
      <c r="T1547">
        <v>-0.25313269999999999</v>
      </c>
      <c r="U1547">
        <v>0.13244629999999999</v>
      </c>
      <c r="V1547">
        <v>0.15845119999999999</v>
      </c>
      <c r="W1547">
        <v>-4.0206800000000001E-2</v>
      </c>
      <c r="X1547">
        <v>0.98654779999999997</v>
      </c>
      <c r="Y1547">
        <v>0.50888250000000002</v>
      </c>
      <c r="Z1547">
        <v>5.6086150000000001E-2</v>
      </c>
      <c r="AA1547">
        <v>0.85900689999999902</v>
      </c>
      <c r="AB1547">
        <v>18</v>
      </c>
      <c r="AC1547">
        <v>-13.9252</v>
      </c>
      <c r="AD1547">
        <v>-1.1047907518989999</v>
      </c>
      <c r="AE1547">
        <v>0.65299999999996305</v>
      </c>
      <c r="AF1547">
        <v>7.1599617438146197</v>
      </c>
      <c r="AG1547">
        <v>-1.1047907518989999</v>
      </c>
      <c r="AH1547">
        <v>11.8597737447526</v>
      </c>
      <c r="AI1547">
        <v>94.559583883467795</v>
      </c>
      <c r="AJ1547">
        <v>58.879853695569999</v>
      </c>
      <c r="AK1547">
        <v>13.897476319645</v>
      </c>
      <c r="AL1547">
        <v>92.304301162045604</v>
      </c>
      <c r="AM1547">
        <v>80.875548774909205</v>
      </c>
      <c r="AN1547">
        <v>0.99999996561625903</v>
      </c>
    </row>
    <row r="1548" spans="1:40" x14ac:dyDescent="0.25">
      <c r="A1548" t="str">
        <f>"20190312151528035"</f>
        <v>20190312151528035</v>
      </c>
      <c r="B1548" t="str">
        <f>"1552374928029261"</f>
        <v>1552374928029261</v>
      </c>
      <c r="C1548" t="s">
        <v>40</v>
      </c>
      <c r="D1548">
        <v>5.0568179999999998</v>
      </c>
      <c r="E1548">
        <v>0.64273419999999903</v>
      </c>
      <c r="F1548" t="s">
        <v>51</v>
      </c>
      <c r="G1548">
        <v>-217.0472</v>
      </c>
      <c r="H1548" s="1">
        <v>2.2133979999999998E-6</v>
      </c>
      <c r="I1548">
        <v>284.05369999999999</v>
      </c>
      <c r="J1548">
        <v>-203.34829999999999</v>
      </c>
      <c r="K1548">
        <v>1.1047739999999999</v>
      </c>
      <c r="L1548">
        <v>283.29410000000001</v>
      </c>
      <c r="M1548">
        <v>-0.88416740000000005</v>
      </c>
      <c r="N1548">
        <v>0</v>
      </c>
      <c r="O1548">
        <v>-0.46697349999999999</v>
      </c>
      <c r="P1548">
        <v>-0.94601080000000004</v>
      </c>
      <c r="Q1548">
        <v>-5.152992E-2</v>
      </c>
      <c r="R1548">
        <v>-0.3200132</v>
      </c>
      <c r="S1548">
        <v>-3.2242280000000001</v>
      </c>
      <c r="T1548">
        <v>-0.25700440000000002</v>
      </c>
      <c r="U1548">
        <v>0.15969849999999999</v>
      </c>
      <c r="V1548">
        <v>0.15835439999999901</v>
      </c>
      <c r="W1548">
        <v>-4.0093129999999998E-2</v>
      </c>
      <c r="X1548">
        <v>0.986568</v>
      </c>
      <c r="Y1548">
        <v>0.50717900000000005</v>
      </c>
      <c r="Z1548">
        <v>5.6278630000000003E-2</v>
      </c>
      <c r="AA1548">
        <v>0.86000129999999997</v>
      </c>
      <c r="AB1548">
        <v>18</v>
      </c>
      <c r="AC1548">
        <v>-13.6989</v>
      </c>
      <c r="AD1548">
        <v>-1.1047717866019999</v>
      </c>
      <c r="AE1548">
        <v>0.75959999999997696</v>
      </c>
      <c r="AF1548">
        <v>7.0237446915275701</v>
      </c>
      <c r="AG1548">
        <v>-1.1047717866019999</v>
      </c>
      <c r="AH1548">
        <v>11.682737706034301</v>
      </c>
      <c r="AI1548">
        <v>94.633418978542394</v>
      </c>
      <c r="AJ1548">
        <v>58.985416925290899</v>
      </c>
      <c r="AK1548">
        <v>13.676252063348</v>
      </c>
      <c r="AL1548">
        <v>92.2977830230123</v>
      </c>
      <c r="AM1548">
        <v>80.881212915715295</v>
      </c>
      <c r="AN1548">
        <v>0.99999999684827801</v>
      </c>
    </row>
    <row r="1549" spans="1:40" x14ac:dyDescent="0.25">
      <c r="A1549" t="str">
        <f>"20190312151528058"</f>
        <v>20190312151528058</v>
      </c>
      <c r="B1549" t="str">
        <f>"1552374928048783"</f>
        <v>1552374928048783</v>
      </c>
      <c r="C1549" t="s">
        <v>40</v>
      </c>
      <c r="D1549">
        <v>4.986637</v>
      </c>
      <c r="E1549">
        <v>0.64121879999999998</v>
      </c>
      <c r="F1549" t="s">
        <v>51</v>
      </c>
      <c r="G1549">
        <v>-217.16919999999999</v>
      </c>
      <c r="H1549" s="1">
        <v>2.2782890000000002E-6</v>
      </c>
      <c r="I1549">
        <v>283.82889999999998</v>
      </c>
      <c r="J1549">
        <v>-203.52209999999999</v>
      </c>
      <c r="K1549">
        <v>1.104752</v>
      </c>
      <c r="L1549">
        <v>283.2174</v>
      </c>
      <c r="M1549">
        <v>-0.88931859999999996</v>
      </c>
      <c r="N1549">
        <v>0</v>
      </c>
      <c r="O1549">
        <v>-0.45709109999999997</v>
      </c>
      <c r="P1549">
        <v>-0.94958359999999997</v>
      </c>
      <c r="Q1549">
        <v>-5.1593640000000003E-2</v>
      </c>
      <c r="R1549">
        <v>-0.3092394</v>
      </c>
      <c r="S1549">
        <v>-3.1991580000000002</v>
      </c>
      <c r="T1549">
        <v>-0.25572420000000001</v>
      </c>
      <c r="U1549">
        <v>0.1238098</v>
      </c>
      <c r="V1549">
        <v>0.1585685</v>
      </c>
      <c r="W1549">
        <v>-4.0298649999999998E-2</v>
      </c>
      <c r="X1549">
        <v>0.98652519999999999</v>
      </c>
      <c r="Y1549">
        <v>0.48824600000000001</v>
      </c>
      <c r="Z1549">
        <v>5.4956199999999997E-2</v>
      </c>
      <c r="AA1549">
        <v>0.87097400000000003</v>
      </c>
      <c r="AB1549">
        <v>18</v>
      </c>
      <c r="AC1549">
        <v>-13.647099999999901</v>
      </c>
      <c r="AD1549">
        <v>-1.1047497217110001</v>
      </c>
      <c r="AE1549">
        <v>0.61149999999997795</v>
      </c>
      <c r="AF1549">
        <v>6.7383287508054304</v>
      </c>
      <c r="AG1549">
        <v>-1.1047497217110001</v>
      </c>
      <c r="AH1549">
        <v>11.7811285903145</v>
      </c>
      <c r="AI1549">
        <v>94.653558782284094</v>
      </c>
      <c r="AJ1549">
        <v>60.232190753400602</v>
      </c>
      <c r="AK1549">
        <v>13.616920986885299</v>
      </c>
      <c r="AL1549">
        <v>92.309568060489696</v>
      </c>
      <c r="AM1549">
        <v>80.868702119378796</v>
      </c>
      <c r="AN1549">
        <v>0.99999996030955496</v>
      </c>
    </row>
    <row r="1550" spans="1:40" x14ac:dyDescent="0.25">
      <c r="A1550" t="str">
        <f>"20190312151528079"</f>
        <v>20190312151528079</v>
      </c>
      <c r="B1550" t="str">
        <f>"1552374928069277"</f>
        <v>1552374928069277</v>
      </c>
      <c r="C1550" t="s">
        <v>40</v>
      </c>
      <c r="D1550">
        <v>4.9708759999999996</v>
      </c>
      <c r="E1550">
        <v>0.63239429999999996</v>
      </c>
      <c r="F1550" t="s">
        <v>51</v>
      </c>
      <c r="G1550">
        <v>-217.14680000000001</v>
      </c>
      <c r="H1550" s="1">
        <v>2.2663919999999998E-6</v>
      </c>
      <c r="I1550">
        <v>283.8526</v>
      </c>
      <c r="J1550">
        <v>-203.6711</v>
      </c>
      <c r="K1550">
        <v>1.1047309999999999</v>
      </c>
      <c r="L1550">
        <v>283.15350000000001</v>
      </c>
      <c r="M1550">
        <v>-0.89362619999999904</v>
      </c>
      <c r="N1550">
        <v>0</v>
      </c>
      <c r="O1550">
        <v>-0.44861499999999999</v>
      </c>
      <c r="P1550">
        <v>-0.95257020000000003</v>
      </c>
      <c r="Q1550">
        <v>-5.2150849999999999E-2</v>
      </c>
      <c r="R1550">
        <v>-0.299816799999999</v>
      </c>
      <c r="S1550">
        <v>-3.1937099999999998</v>
      </c>
      <c r="T1550">
        <v>-0.25895990000000002</v>
      </c>
      <c r="U1550">
        <v>0.14889530000000001</v>
      </c>
      <c r="V1550">
        <v>0.158939</v>
      </c>
      <c r="W1550">
        <v>-4.0975520000000001E-2</v>
      </c>
      <c r="X1550">
        <v>0.98643769999999997</v>
      </c>
      <c r="Y1550">
        <v>0.48679149999999999</v>
      </c>
      <c r="Z1550">
        <v>5.5066829999999997E-2</v>
      </c>
      <c r="AA1550">
        <v>0.87178080000000002</v>
      </c>
      <c r="AB1550">
        <v>18</v>
      </c>
      <c r="AC1550">
        <v>-13.4757</v>
      </c>
      <c r="AD1550">
        <v>-1.1047287336079901</v>
      </c>
      <c r="AE1550">
        <v>0.69909999999998695</v>
      </c>
      <c r="AF1550">
        <v>6.6263116217844704</v>
      </c>
      <c r="AG1550">
        <v>-1.1047287336079901</v>
      </c>
      <c r="AH1550">
        <v>11.6515534122808</v>
      </c>
      <c r="AI1550">
        <v>94.711552332414598</v>
      </c>
      <c r="AJ1550">
        <v>60.372838258159803</v>
      </c>
      <c r="AK1550">
        <v>13.449428545595801</v>
      </c>
      <c r="AL1550">
        <v>92.348381901542993</v>
      </c>
      <c r="AM1550">
        <v>80.846929153148693</v>
      </c>
      <c r="AN1550">
        <v>0.99999996747077902</v>
      </c>
    </row>
    <row r="1551" spans="1:40" x14ac:dyDescent="0.25">
      <c r="A1551" t="str">
        <f>"20190312151528099"</f>
        <v>20190312151528099</v>
      </c>
      <c r="B1551" t="str">
        <f>"1552374928088801"</f>
        <v>1552374928088801</v>
      </c>
      <c r="C1551" t="s">
        <v>40</v>
      </c>
      <c r="D1551">
        <v>4.975098</v>
      </c>
      <c r="E1551">
        <v>0.63159869999999996</v>
      </c>
      <c r="F1551" t="s">
        <v>51</v>
      </c>
      <c r="G1551">
        <v>-221.71340000000001</v>
      </c>
      <c r="H1551" s="1">
        <v>-6.2500549999999999E-7</v>
      </c>
      <c r="I1551">
        <v>283.779</v>
      </c>
      <c r="J1551">
        <v>-203.82679999999999</v>
      </c>
      <c r="K1551">
        <v>1.1047149999999999</v>
      </c>
      <c r="L1551">
        <v>283.08839999999998</v>
      </c>
      <c r="M1551">
        <v>-0.89802070000000001</v>
      </c>
      <c r="N1551">
        <v>0</v>
      </c>
      <c r="O1551">
        <v>-0.43975589999999998</v>
      </c>
      <c r="P1551">
        <v>-0.95556180000000002</v>
      </c>
      <c r="Q1551">
        <v>-5.1681009999999999E-2</v>
      </c>
      <c r="R1551">
        <v>-0.29022680000000001</v>
      </c>
      <c r="S1551">
        <v>-3.1733859999999998</v>
      </c>
      <c r="T1551">
        <v>-0.19430700000000001</v>
      </c>
      <c r="U1551">
        <v>0.1100159</v>
      </c>
      <c r="V1551">
        <v>0.15911429999999999</v>
      </c>
      <c r="W1551">
        <v>-4.062143E-2</v>
      </c>
      <c r="X1551">
        <v>0.98642410000000003</v>
      </c>
      <c r="Y1551">
        <v>0.46898469999999998</v>
      </c>
      <c r="Z1551">
        <v>4.0564360000000001E-2</v>
      </c>
      <c r="AA1551">
        <v>0.88227429999999996</v>
      </c>
      <c r="AB1551">
        <v>18</v>
      </c>
      <c r="AC1551">
        <v>-17.886600000000001</v>
      </c>
      <c r="AD1551">
        <v>-1.1047156250054999</v>
      </c>
      <c r="AE1551">
        <v>0.69060000000001698</v>
      </c>
      <c r="AF1551">
        <v>8.4544454694914197</v>
      </c>
      <c r="AG1551">
        <v>-1.1047156250054999</v>
      </c>
      <c r="AH1551">
        <v>15.700408309503899</v>
      </c>
      <c r="AI1551">
        <v>93.545016216857306</v>
      </c>
      <c r="AJ1551">
        <v>61.698170739751397</v>
      </c>
      <c r="AK1551">
        <v>17.8661933800649</v>
      </c>
      <c r="AL1551">
        <v>92.328077096077195</v>
      </c>
      <c r="AM1551">
        <v>80.836880846777106</v>
      </c>
      <c r="AN1551">
        <v>0.99999998305027205</v>
      </c>
    </row>
    <row r="1552" spans="1:40" x14ac:dyDescent="0.25">
      <c r="A1552" t="str">
        <f>"20190312151528121"</f>
        <v>20190312151528121</v>
      </c>
      <c r="B1552" t="str">
        <f>"1552374928119053"</f>
        <v>1552374928119053</v>
      </c>
      <c r="C1552" t="s">
        <v>40</v>
      </c>
      <c r="D1552">
        <v>4.9728979999999998</v>
      </c>
      <c r="E1552">
        <v>0.6322082</v>
      </c>
      <c r="F1552" t="s">
        <v>51</v>
      </c>
      <c r="G1552">
        <v>-221.2791</v>
      </c>
      <c r="H1552" s="1">
        <v>-8.560945E-7</v>
      </c>
      <c r="I1552">
        <v>283.83929999999998</v>
      </c>
      <c r="J1552">
        <v>-203.99539999999999</v>
      </c>
      <c r="K1552">
        <v>1.1046940000000001</v>
      </c>
      <c r="L1552">
        <v>283.02</v>
      </c>
      <c r="M1552">
        <v>-0.90266610000000003</v>
      </c>
      <c r="N1552">
        <v>0</v>
      </c>
      <c r="O1552">
        <v>-0.43014330000000001</v>
      </c>
      <c r="P1552">
        <v>-0.9585264</v>
      </c>
      <c r="Q1552">
        <v>-5.1783919999999997E-2</v>
      </c>
      <c r="R1552">
        <v>-0.28026010000000001</v>
      </c>
      <c r="S1552">
        <v>-3.170105</v>
      </c>
      <c r="T1552">
        <v>-0.20066439999999999</v>
      </c>
      <c r="U1552">
        <v>0.13638310000000001</v>
      </c>
      <c r="V1552">
        <v>0.15884879999999901</v>
      </c>
      <c r="W1552">
        <v>-4.0849219999999999E-2</v>
      </c>
      <c r="X1552">
        <v>0.98645749999999999</v>
      </c>
      <c r="Y1552">
        <v>0.46682780000000001</v>
      </c>
      <c r="Z1552">
        <v>4.131087E-2</v>
      </c>
      <c r="AA1552">
        <v>0.88338289999999997</v>
      </c>
      <c r="AB1552">
        <v>18</v>
      </c>
      <c r="AC1552">
        <v>-17.2837</v>
      </c>
      <c r="AD1552">
        <v>-1.1046948560945</v>
      </c>
      <c r="AE1552">
        <v>0.81929999999999803</v>
      </c>
      <c r="AF1552">
        <v>8.1415345735979301</v>
      </c>
      <c r="AG1552">
        <v>-1.1046948560945</v>
      </c>
      <c r="AH1552">
        <v>15.1883867923815</v>
      </c>
      <c r="AI1552">
        <v>93.667867337980795</v>
      </c>
      <c r="AJ1552">
        <v>61.807052795336404</v>
      </c>
      <c r="AK1552">
        <v>17.2682375850334</v>
      </c>
      <c r="AL1552">
        <v>92.341139305038197</v>
      </c>
      <c r="AM1552">
        <v>80.852216300736302</v>
      </c>
      <c r="AN1552">
        <v>0.99999999967114905</v>
      </c>
    </row>
    <row r="1553" spans="1:40" x14ac:dyDescent="0.25">
      <c r="A1553" t="str">
        <f>"20190312151528146"</f>
        <v>20190312151528146</v>
      </c>
      <c r="B1553" t="str">
        <f>"1552374928139549"</f>
        <v>1552374928139549</v>
      </c>
      <c r="C1553" t="s">
        <v>40</v>
      </c>
      <c r="D1553">
        <v>5.0110130000000002</v>
      </c>
      <c r="E1553">
        <v>0.63166099999999903</v>
      </c>
      <c r="F1553" t="s">
        <v>51</v>
      </c>
      <c r="G1553">
        <v>-221.7097</v>
      </c>
      <c r="H1553" s="1">
        <v>-6.2695439999999996E-7</v>
      </c>
      <c r="I1553">
        <v>283.99189999999999</v>
      </c>
      <c r="J1553">
        <v>-204.17850000000001</v>
      </c>
      <c r="K1553">
        <v>1.1046640000000001</v>
      </c>
      <c r="L1553">
        <v>282.94799999999998</v>
      </c>
      <c r="M1553">
        <v>-0.90757259999999995</v>
      </c>
      <c r="N1553">
        <v>0</v>
      </c>
      <c r="O1553">
        <v>-0.41969659999999898</v>
      </c>
      <c r="P1553">
        <v>-0.96163779999999999</v>
      </c>
      <c r="Q1553">
        <v>-5.1356760000000001E-2</v>
      </c>
      <c r="R1553">
        <v>-0.26947259999999901</v>
      </c>
      <c r="S1553">
        <v>-3.1699830000000002</v>
      </c>
      <c r="T1553">
        <v>-0.19768569999999999</v>
      </c>
      <c r="U1553">
        <v>0.17391970000000001</v>
      </c>
      <c r="V1553">
        <v>0.1585587</v>
      </c>
      <c r="W1553">
        <v>-4.0565579999999997E-2</v>
      </c>
      <c r="X1553">
        <v>0.9865159</v>
      </c>
      <c r="Y1553">
        <v>0.467136</v>
      </c>
      <c r="Z1553">
        <v>4.0113160000000002E-2</v>
      </c>
      <c r="AA1553">
        <v>0.88327509999999998</v>
      </c>
      <c r="AB1553">
        <v>18</v>
      </c>
      <c r="AC1553">
        <v>-17.531199999999899</v>
      </c>
      <c r="AD1553">
        <v>-1.10466462695439</v>
      </c>
      <c r="AE1553">
        <v>1.0439000000000001</v>
      </c>
      <c r="AF1553">
        <v>8.2731606067367292</v>
      </c>
      <c r="AG1553">
        <v>-1.10466462695439</v>
      </c>
      <c r="AH1553">
        <v>15.413025469509201</v>
      </c>
      <c r="AI1553">
        <v>93.613361654850394</v>
      </c>
      <c r="AJ1553">
        <v>61.774688029317097</v>
      </c>
      <c r="AK1553">
        <v>17.527887051400299</v>
      </c>
      <c r="AL1553">
        <v>92.324874391037795</v>
      </c>
      <c r="AM1553">
        <v>80.869172327282897</v>
      </c>
      <c r="AN1553">
        <v>1.0000000242896101</v>
      </c>
    </row>
    <row r="1554" spans="1:40" x14ac:dyDescent="0.25">
      <c r="A1554" t="str">
        <f>"20190312151528166"</f>
        <v>20190312151528166</v>
      </c>
      <c r="B1554" t="str">
        <f>"1552374928159069"</f>
        <v>1552374928159069</v>
      </c>
      <c r="C1554" t="s">
        <v>40</v>
      </c>
      <c r="D1554">
        <v>5.0476449999999904</v>
      </c>
      <c r="E1554">
        <v>0.630158</v>
      </c>
      <c r="F1554" t="s">
        <v>51</v>
      </c>
      <c r="G1554">
        <v>-222.8665</v>
      </c>
      <c r="H1554" s="1">
        <v>-1.14039E-8</v>
      </c>
      <c r="I1554">
        <v>284.1558</v>
      </c>
      <c r="J1554">
        <v>-204.34</v>
      </c>
      <c r="K1554">
        <v>1.104636</v>
      </c>
      <c r="L1554">
        <v>282.88650000000001</v>
      </c>
      <c r="M1554">
        <v>-0.9117847</v>
      </c>
      <c r="N1554">
        <v>0</v>
      </c>
      <c r="O1554">
        <v>-0.4104701</v>
      </c>
      <c r="P1554">
        <v>-0.96404730000000005</v>
      </c>
      <c r="Q1554">
        <v>-5.1148060000000002E-2</v>
      </c>
      <c r="R1554">
        <v>-0.26076280000000002</v>
      </c>
      <c r="S1554">
        <v>-3.1670229999999999</v>
      </c>
      <c r="T1554">
        <v>-0.18720590000000001</v>
      </c>
      <c r="U1554">
        <v>0.20468140000000001</v>
      </c>
      <c r="V1554">
        <v>0.15748099999999901</v>
      </c>
      <c r="W1554">
        <v>-4.0475320000000002E-2</v>
      </c>
      <c r="X1554">
        <v>0.98669220000000002</v>
      </c>
      <c r="Y1554">
        <v>0.46695609999999999</v>
      </c>
      <c r="Z1554">
        <v>3.7515479999999997E-2</v>
      </c>
      <c r="AA1554">
        <v>0.88348439999999995</v>
      </c>
      <c r="AB1554">
        <v>18</v>
      </c>
      <c r="AC1554">
        <v>-18.526499999999999</v>
      </c>
      <c r="AD1554">
        <v>-1.1046360114039</v>
      </c>
      <c r="AE1554">
        <v>1.2692999999999801</v>
      </c>
      <c r="AF1554">
        <v>8.7317195329179604</v>
      </c>
      <c r="AG1554">
        <v>-1.1046360114039</v>
      </c>
      <c r="AH1554">
        <v>16.3147739693615</v>
      </c>
      <c r="AI1554">
        <v>93.4162566949812</v>
      </c>
      <c r="AJ1554">
        <v>61.844167055385697</v>
      </c>
      <c r="AK1554">
        <v>18.537394541590501</v>
      </c>
      <c r="AL1554">
        <v>92.319698662921695</v>
      </c>
      <c r="AM1554">
        <v>80.931791843658203</v>
      </c>
      <c r="AN1554">
        <v>1.00000000721547</v>
      </c>
    </row>
    <row r="1555" spans="1:40" x14ac:dyDescent="0.25">
      <c r="A1555" t="str">
        <f>"20190312151528189"</f>
        <v>20190312151528189</v>
      </c>
      <c r="B1555" t="str">
        <f>"1552374928179565"</f>
        <v>1552374928179565</v>
      </c>
      <c r="C1555" t="s">
        <v>40</v>
      </c>
      <c r="D1555">
        <v>4.9672269999999896</v>
      </c>
      <c r="E1555">
        <v>0.62852219999999903</v>
      </c>
      <c r="F1555" t="s">
        <v>51</v>
      </c>
      <c r="G1555">
        <v>-223.52850000000001</v>
      </c>
      <c r="H1555" s="1">
        <v>3.4089030000000001E-7</v>
      </c>
      <c r="I1555">
        <v>284.23059999999998</v>
      </c>
      <c r="J1555">
        <v>-204.50139999999999</v>
      </c>
      <c r="K1555">
        <v>1.104609</v>
      </c>
      <c r="L1555">
        <v>282.82690000000002</v>
      </c>
      <c r="M1555">
        <v>-0.915883</v>
      </c>
      <c r="N1555">
        <v>0</v>
      </c>
      <c r="O1555">
        <v>-0.4012462</v>
      </c>
      <c r="P1555">
        <v>-0.96629330000000002</v>
      </c>
      <c r="Q1555">
        <v>-5.009077E-2</v>
      </c>
      <c r="R1555">
        <v>-0.25252370000000002</v>
      </c>
      <c r="S1555">
        <v>-3.16214</v>
      </c>
      <c r="T1555">
        <v>-0.18203720000000001</v>
      </c>
      <c r="U1555">
        <v>0.22149659999999999</v>
      </c>
      <c r="V1555">
        <v>0.15597710000000001</v>
      </c>
      <c r="W1555">
        <v>-3.9531129999999998E-2</v>
      </c>
      <c r="X1555">
        <v>0.98696930000000005</v>
      </c>
      <c r="Y1555">
        <v>0.46289520000000001</v>
      </c>
      <c r="Z1555">
        <v>3.5925289999999999E-2</v>
      </c>
      <c r="AA1555">
        <v>0.88568469999999999</v>
      </c>
      <c r="AB1555">
        <v>18</v>
      </c>
      <c r="AC1555">
        <v>-19.027100000000001</v>
      </c>
      <c r="AD1555">
        <v>-1.1046086591097</v>
      </c>
      <c r="AE1555">
        <v>1.40369999999995</v>
      </c>
      <c r="AF1555">
        <v>8.8910857898929407</v>
      </c>
      <c r="AG1555">
        <v>-1.1046086591097</v>
      </c>
      <c r="AH1555">
        <v>16.808372812708701</v>
      </c>
      <c r="AI1555">
        <v>93.324645839369097</v>
      </c>
      <c r="AJ1555">
        <v>62.122607068843202</v>
      </c>
      <c r="AK1555">
        <v>19.0471248072779</v>
      </c>
      <c r="AL1555">
        <v>92.265557277653002</v>
      </c>
      <c r="AM1555">
        <v>81.019452878919395</v>
      </c>
      <c r="AN1555">
        <v>0.99999998255298805</v>
      </c>
    </row>
    <row r="1556" spans="1:40" x14ac:dyDescent="0.25">
      <c r="A1556" t="str">
        <f>"20190312151528213"</f>
        <v>20190312151528213</v>
      </c>
      <c r="B1556" t="str">
        <f>"1552374928208846"</f>
        <v>1552374928208846</v>
      </c>
      <c r="C1556" t="s">
        <v>40</v>
      </c>
      <c r="D1556">
        <v>4.9598279999999999</v>
      </c>
      <c r="E1556">
        <v>0.62624190000000002</v>
      </c>
      <c r="F1556" t="s">
        <v>51</v>
      </c>
      <c r="G1556">
        <v>-223.7475</v>
      </c>
      <c r="H1556" s="1">
        <v>4.5744639999999997E-7</v>
      </c>
      <c r="I1556">
        <v>284.2647</v>
      </c>
      <c r="J1556">
        <v>-204.68809999999999</v>
      </c>
      <c r="K1556">
        <v>1.1045780000000001</v>
      </c>
      <c r="L1556">
        <v>282.76010000000002</v>
      </c>
      <c r="M1556">
        <v>-0.92049150000000002</v>
      </c>
      <c r="N1556">
        <v>0</v>
      </c>
      <c r="O1556">
        <v>-0.3905632</v>
      </c>
      <c r="P1556">
        <v>-0.96879360000000003</v>
      </c>
      <c r="Q1556">
        <v>-4.8469680000000001E-2</v>
      </c>
      <c r="R1556">
        <v>-0.24308450000000001</v>
      </c>
      <c r="S1556">
        <v>-3.1569060000000002</v>
      </c>
      <c r="T1556">
        <v>-0.18118699999999999</v>
      </c>
      <c r="U1556">
        <v>0.23583979999999999</v>
      </c>
      <c r="V1556">
        <v>0.15417210000000001</v>
      </c>
      <c r="W1556">
        <v>-3.8043790000000001E-2</v>
      </c>
      <c r="X1556">
        <v>0.9873113</v>
      </c>
      <c r="Y1556">
        <v>0.45671830000000002</v>
      </c>
      <c r="Z1556">
        <v>3.506455E-2</v>
      </c>
      <c r="AA1556">
        <v>0.88892009999999899</v>
      </c>
      <c r="AB1556">
        <v>18</v>
      </c>
      <c r="AC1556">
        <v>-19.0594</v>
      </c>
      <c r="AD1556">
        <v>-1.1045775425536</v>
      </c>
      <c r="AE1556">
        <v>1.50459999999998</v>
      </c>
      <c r="AF1556">
        <v>8.8001852387292292</v>
      </c>
      <c r="AG1556">
        <v>-1.1045775425536</v>
      </c>
      <c r="AH1556">
        <v>16.9012801213917</v>
      </c>
      <c r="AI1556">
        <v>93.317584968696707</v>
      </c>
      <c r="AJ1556">
        <v>62.494837292467999</v>
      </c>
      <c r="AK1556">
        <v>19.087079963294801</v>
      </c>
      <c r="AL1556">
        <v>92.180274782290397</v>
      </c>
      <c r="AM1556">
        <v>81.124739056811507</v>
      </c>
      <c r="AN1556">
        <v>0.99999998474183105</v>
      </c>
    </row>
    <row r="1557" spans="1:40" x14ac:dyDescent="0.25">
      <c r="A1557" t="str">
        <f>"20190312151528238"</f>
        <v>20190312151528238</v>
      </c>
      <c r="B1557" t="str">
        <f>"1552374928229341"</f>
        <v>1552374928229341</v>
      </c>
      <c r="C1557" t="s">
        <v>40</v>
      </c>
      <c r="D1557">
        <v>5.0915140000000001</v>
      </c>
      <c r="E1557">
        <v>0.62502009999999997</v>
      </c>
      <c r="F1557" t="s">
        <v>51</v>
      </c>
      <c r="G1557">
        <v>-224.5538</v>
      </c>
      <c r="H1557" s="1">
        <v>8.8653179999999995E-7</v>
      </c>
      <c r="I1557">
        <v>284.32909999999998</v>
      </c>
      <c r="J1557">
        <v>-204.8767</v>
      </c>
      <c r="K1557">
        <v>1.104544</v>
      </c>
      <c r="L1557">
        <v>282.69540000000001</v>
      </c>
      <c r="M1557">
        <v>-0.9250022</v>
      </c>
      <c r="N1557">
        <v>0</v>
      </c>
      <c r="O1557">
        <v>-0.37976209999999999</v>
      </c>
      <c r="P1557">
        <v>-0.97114780000000001</v>
      </c>
      <c r="Q1557">
        <v>-4.7434240000000003E-2</v>
      </c>
      <c r="R1557">
        <v>-0.2337137</v>
      </c>
      <c r="S1557">
        <v>-3.1502840000000001</v>
      </c>
      <c r="T1557">
        <v>-0.17516219999999999</v>
      </c>
      <c r="U1557">
        <v>0.2488098</v>
      </c>
      <c r="V1557">
        <v>0.1521826</v>
      </c>
      <c r="W1557">
        <v>-3.7143750000000003E-2</v>
      </c>
      <c r="X1557">
        <v>0.98765420000000004</v>
      </c>
      <c r="Y1557">
        <v>0.45018639999999999</v>
      </c>
      <c r="Z1557">
        <v>3.3223699999999898E-2</v>
      </c>
      <c r="AA1557">
        <v>0.89231629999999995</v>
      </c>
      <c r="AB1557">
        <v>18</v>
      </c>
      <c r="AC1557">
        <v>-19.677099999999999</v>
      </c>
      <c r="AD1557">
        <v>-1.1045431134682</v>
      </c>
      <c r="AE1557">
        <v>1.63369999999997</v>
      </c>
      <c r="AF1557">
        <v>8.9564460926600091</v>
      </c>
      <c r="AG1557">
        <v>-1.1045431134682</v>
      </c>
      <c r="AH1557">
        <v>17.5274267540841</v>
      </c>
      <c r="AI1557">
        <v>93.211842296105502</v>
      </c>
      <c r="AJ1557">
        <v>62.933146379701</v>
      </c>
      <c r="AK1557">
        <v>19.714173346098399</v>
      </c>
      <c r="AL1557">
        <v>92.128669752508102</v>
      </c>
      <c r="AM1557">
        <v>81.240475274029706</v>
      </c>
      <c r="AN1557">
        <v>1.00000001034223</v>
      </c>
    </row>
    <row r="1558" spans="1:40" x14ac:dyDescent="0.25">
      <c r="A1558" t="str">
        <f>"20190312151528258"</f>
        <v>20190312151528258</v>
      </c>
      <c r="B1558" t="str">
        <f>"1552374928249370"</f>
        <v>1552374928249370</v>
      </c>
      <c r="C1558" t="s">
        <v>40</v>
      </c>
      <c r="D1558">
        <v>4.9401400000000004</v>
      </c>
      <c r="E1558">
        <v>0.60983589999999999</v>
      </c>
      <c r="F1558" t="s">
        <v>51</v>
      </c>
      <c r="G1558">
        <v>-224.79249999999999</v>
      </c>
      <c r="H1558" s="1">
        <v>1.013549E-6</v>
      </c>
      <c r="I1558">
        <v>284.40379999999999</v>
      </c>
      <c r="J1558">
        <v>-205.02979999999999</v>
      </c>
      <c r="K1558">
        <v>1.1045100000000001</v>
      </c>
      <c r="L1558">
        <v>282.64449999999999</v>
      </c>
      <c r="M1558">
        <v>-0.92855549999999998</v>
      </c>
      <c r="N1558">
        <v>0</v>
      </c>
      <c r="O1558">
        <v>-0.3709923</v>
      </c>
      <c r="P1558">
        <v>-0.97278549999999997</v>
      </c>
      <c r="Q1558">
        <v>-4.7068270000000002E-2</v>
      </c>
      <c r="R1558">
        <v>-0.22687579999999999</v>
      </c>
      <c r="S1558">
        <v>-3.1455540000000002</v>
      </c>
      <c r="T1558">
        <v>-0.17445450000000001</v>
      </c>
      <c r="U1558">
        <v>0.26983639999999998</v>
      </c>
      <c r="V1558">
        <v>0.14979410000000001</v>
      </c>
      <c r="W1558">
        <v>-3.6869329999999999E-2</v>
      </c>
      <c r="X1558">
        <v>0.9880295</v>
      </c>
      <c r="Y1558">
        <v>0.44779330000000001</v>
      </c>
      <c r="Z1558">
        <v>3.2610790000000001E-2</v>
      </c>
      <c r="AA1558">
        <v>0.89354219999999895</v>
      </c>
      <c r="AB1558">
        <v>18</v>
      </c>
      <c r="AC1558">
        <v>-19.762699999999899</v>
      </c>
      <c r="AD1558">
        <v>-1.104508986451</v>
      </c>
      <c r="AE1558">
        <v>1.7592999999999901</v>
      </c>
      <c r="AF1558">
        <v>8.9383871727404802</v>
      </c>
      <c r="AG1558">
        <v>-1.104508986451</v>
      </c>
      <c r="AH1558">
        <v>17.6447186809695</v>
      </c>
      <c r="AI1558">
        <v>93.196130725448</v>
      </c>
      <c r="AJ1558">
        <v>63.134330641427802</v>
      </c>
      <c r="AK1558">
        <v>19.810371088940201</v>
      </c>
      <c r="AL1558">
        <v>92.112935981535102</v>
      </c>
      <c r="AM1558">
        <v>81.379099092676498</v>
      </c>
      <c r="AN1558">
        <v>0.99999995637985295</v>
      </c>
    </row>
    <row r="1559" spans="1:40" x14ac:dyDescent="0.25">
      <c r="A1559" t="str">
        <f>"20190312151528280"</f>
        <v>20190312151528280</v>
      </c>
      <c r="B1559" t="str">
        <f>"1552374928268891"</f>
        <v>1552374928268891</v>
      </c>
      <c r="C1559" t="s">
        <v>40</v>
      </c>
      <c r="D1559">
        <v>4.911079</v>
      </c>
      <c r="E1559">
        <v>0.60883290000000001</v>
      </c>
      <c r="F1559" t="s">
        <v>51</v>
      </c>
      <c r="G1559">
        <v>-226.4504</v>
      </c>
      <c r="H1559" s="1">
        <v>1.895796E-6</v>
      </c>
      <c r="I1559">
        <v>283.83690000000001</v>
      </c>
      <c r="J1559">
        <v>-205.2047</v>
      </c>
      <c r="K1559">
        <v>1.104479</v>
      </c>
      <c r="L1559">
        <v>282.58839999999998</v>
      </c>
      <c r="M1559">
        <v>-0.93249479999999996</v>
      </c>
      <c r="N1559">
        <v>0</v>
      </c>
      <c r="O1559">
        <v>-0.360981</v>
      </c>
      <c r="P1559">
        <v>-0.97466870000000005</v>
      </c>
      <c r="Q1559">
        <v>-4.7110970000000002E-2</v>
      </c>
      <c r="R1559">
        <v>-0.21863560000000001</v>
      </c>
      <c r="S1559">
        <v>-3.1166230000000001</v>
      </c>
      <c r="T1559">
        <v>-0.16070200000000001</v>
      </c>
      <c r="U1559">
        <v>0.17349239999999999</v>
      </c>
      <c r="V1559">
        <v>0.1475226</v>
      </c>
      <c r="W1559">
        <v>-3.7009130000000001E-2</v>
      </c>
      <c r="X1559">
        <v>0.98836599999999997</v>
      </c>
      <c r="Y1559">
        <v>0.41127059999999999</v>
      </c>
      <c r="Z1559">
        <v>2.889808E-2</v>
      </c>
      <c r="AA1559">
        <v>0.91105510000000001</v>
      </c>
      <c r="AB1559">
        <v>18</v>
      </c>
      <c r="AC1559">
        <v>-21.245699999999999</v>
      </c>
      <c r="AD1559">
        <v>-1.104477104204</v>
      </c>
      <c r="AE1559">
        <v>1.2485000000000299</v>
      </c>
      <c r="AF1559">
        <v>8.8104308813916603</v>
      </c>
      <c r="AG1559">
        <v>-1.104477104204</v>
      </c>
      <c r="AH1559">
        <v>19.3102281184782</v>
      </c>
      <c r="AI1559">
        <v>92.978765233506707</v>
      </c>
      <c r="AJ1559">
        <v>65.474815003409404</v>
      </c>
      <c r="AK1559">
        <v>21.253904864216299</v>
      </c>
      <c r="AL1559">
        <v>92.120951370017593</v>
      </c>
      <c r="AM1559">
        <v>81.510756334564803</v>
      </c>
      <c r="AN1559">
        <v>0.99999997158505805</v>
      </c>
    </row>
    <row r="1560" spans="1:40" x14ac:dyDescent="0.25">
      <c r="A1560" t="str">
        <f>"20190312151528302"</f>
        <v>20190312151528302</v>
      </c>
      <c r="B1560" t="str">
        <f>"1552374928299147"</f>
        <v>1552374928299147</v>
      </c>
      <c r="C1560" t="s">
        <v>40</v>
      </c>
      <c r="D1560">
        <v>4.9711850000000002</v>
      </c>
      <c r="E1560">
        <v>0.60669740000000005</v>
      </c>
      <c r="F1560" t="s">
        <v>51</v>
      </c>
      <c r="G1560">
        <v>-226.40989999999999</v>
      </c>
      <c r="H1560" s="1">
        <v>1.8742659999999999E-6</v>
      </c>
      <c r="I1560">
        <v>283.89609999999999</v>
      </c>
      <c r="J1560">
        <v>-205.37379999999999</v>
      </c>
      <c r="K1560">
        <v>1.104463</v>
      </c>
      <c r="L1560">
        <v>282.536</v>
      </c>
      <c r="M1560">
        <v>-0.93618520000000005</v>
      </c>
      <c r="N1560">
        <v>0</v>
      </c>
      <c r="O1560">
        <v>-0.35130359999999899</v>
      </c>
      <c r="P1560">
        <v>-0.97625589999999995</v>
      </c>
      <c r="Q1560">
        <v>-4.7149419999999997E-2</v>
      </c>
      <c r="R1560">
        <v>-0.2114279</v>
      </c>
      <c r="S1560">
        <v>-3.1132200000000001</v>
      </c>
      <c r="T1560">
        <v>-0.16215189999999999</v>
      </c>
      <c r="U1560">
        <v>0.19198609999999999</v>
      </c>
      <c r="V1560">
        <v>0.144586299999999</v>
      </c>
      <c r="W1560">
        <v>-3.7121910000000001E-2</v>
      </c>
      <c r="X1560">
        <v>0.9887956</v>
      </c>
      <c r="Y1560">
        <v>0.40727550000000001</v>
      </c>
      <c r="Z1560">
        <v>2.8607150000000001E-2</v>
      </c>
      <c r="AA1560">
        <v>0.91285720000000004</v>
      </c>
      <c r="AB1560">
        <v>18</v>
      </c>
      <c r="AC1560">
        <v>-21.036100000000001</v>
      </c>
      <c r="AD1560">
        <v>-1.104461125734</v>
      </c>
      <c r="AE1560">
        <v>1.3600999999999801</v>
      </c>
      <c r="AF1560">
        <v>8.6402644533214001</v>
      </c>
      <c r="AG1560">
        <v>-1.104461125734</v>
      </c>
      <c r="AH1560">
        <v>19.164643114641802</v>
      </c>
      <c r="AI1560">
        <v>93.007415484961001</v>
      </c>
      <c r="AJ1560">
        <v>65.732052903151597</v>
      </c>
      <c r="AK1560">
        <v>21.051307558277099</v>
      </c>
      <c r="AL1560">
        <v>92.127417599921301</v>
      </c>
      <c r="AM1560">
        <v>81.680901828655394</v>
      </c>
      <c r="AN1560">
        <v>0.99999998646454902</v>
      </c>
    </row>
    <row r="1561" spans="1:40" x14ac:dyDescent="0.25">
      <c r="A1561" t="str">
        <f>"20190312151528324"</f>
        <v>20190312151528324</v>
      </c>
      <c r="B1561" t="str">
        <f>"1552374928319643"</f>
        <v>1552374928319643</v>
      </c>
      <c r="C1561" t="s">
        <v>40</v>
      </c>
      <c r="D1561">
        <v>4.9661650000000002</v>
      </c>
      <c r="E1561">
        <v>0.60533369999999997</v>
      </c>
      <c r="F1561" t="s">
        <v>51</v>
      </c>
      <c r="G1561">
        <v>-226.0975</v>
      </c>
      <c r="H1561" s="1">
        <v>1.707976E-6</v>
      </c>
      <c r="I1561">
        <v>283.86110000000002</v>
      </c>
      <c r="J1561">
        <v>-205.54689999999999</v>
      </c>
      <c r="K1561">
        <v>1.104457</v>
      </c>
      <c r="L1561">
        <v>282.48430000000002</v>
      </c>
      <c r="M1561">
        <v>-0.9398339</v>
      </c>
      <c r="N1561">
        <v>0</v>
      </c>
      <c r="O1561">
        <v>-0.34142640000000002</v>
      </c>
      <c r="P1561">
        <v>-0.97770619999999997</v>
      </c>
      <c r="Q1561">
        <v>-4.7169320000000001E-2</v>
      </c>
      <c r="R1561">
        <v>-0.2046116</v>
      </c>
      <c r="S1561">
        <v>-3.1079859999999999</v>
      </c>
      <c r="T1561">
        <v>-0.16563939999999999</v>
      </c>
      <c r="U1561">
        <v>0.1987305</v>
      </c>
      <c r="V1561">
        <v>0.1410718</v>
      </c>
      <c r="W1561">
        <v>-3.7202489999999998E-2</v>
      </c>
      <c r="X1561">
        <v>0.98930010000000002</v>
      </c>
      <c r="Y1561">
        <v>0.39969270000000001</v>
      </c>
      <c r="Z1561">
        <v>2.8566600000000001E-2</v>
      </c>
      <c r="AA1561">
        <v>0.91620400000000002</v>
      </c>
      <c r="AB1561">
        <v>18</v>
      </c>
      <c r="AC1561">
        <v>-20.550599999999999</v>
      </c>
      <c r="AD1561">
        <v>-1.1044552920240001</v>
      </c>
      <c r="AE1561">
        <v>1.3768</v>
      </c>
      <c r="AF1561">
        <v>8.2872342023912999</v>
      </c>
      <c r="AG1561">
        <v>-1.1044552920240001</v>
      </c>
      <c r="AH1561">
        <v>18.791363101581499</v>
      </c>
      <c r="AI1561">
        <v>93.078241274453305</v>
      </c>
      <c r="AJ1561">
        <v>66.201900238296702</v>
      </c>
      <c r="AK1561">
        <v>20.567289549983101</v>
      </c>
      <c r="AL1561">
        <v>92.132037692757393</v>
      </c>
      <c r="AM1561">
        <v>81.8844726030012</v>
      </c>
      <c r="AN1561">
        <v>0.99999998293872405</v>
      </c>
    </row>
    <row r="1562" spans="1:40" x14ac:dyDescent="0.25">
      <c r="A1562" t="str">
        <f>"20190312151528346"</f>
        <v>20190312151528346</v>
      </c>
      <c r="B1562" t="str">
        <f>"1552374928338708"</f>
        <v>1552374928338708</v>
      </c>
      <c r="C1562" t="s">
        <v>40</v>
      </c>
      <c r="D1562">
        <v>4.9913319999999999</v>
      </c>
      <c r="E1562">
        <v>0.604433199999999</v>
      </c>
      <c r="F1562" t="s">
        <v>51</v>
      </c>
      <c r="G1562">
        <v>-226.36240000000001</v>
      </c>
      <c r="H1562" s="1">
        <v>1.848939E-6</v>
      </c>
      <c r="I1562">
        <v>283.8904</v>
      </c>
      <c r="J1562">
        <v>-205.7227</v>
      </c>
      <c r="K1562">
        <v>1.104463</v>
      </c>
      <c r="L1562">
        <v>282.43380000000002</v>
      </c>
      <c r="M1562">
        <v>-0.94340590000000002</v>
      </c>
      <c r="N1562">
        <v>0</v>
      </c>
      <c r="O1562">
        <v>-0.33143250000000002</v>
      </c>
      <c r="P1562">
        <v>-0.97902350000000005</v>
      </c>
      <c r="Q1562">
        <v>-4.7265559999999998E-2</v>
      </c>
      <c r="R1562">
        <v>-0.19819059999999999</v>
      </c>
      <c r="S1562">
        <v>-3.1043240000000001</v>
      </c>
      <c r="T1562">
        <v>-0.16471350000000001</v>
      </c>
      <c r="U1562">
        <v>0.20968629999999999</v>
      </c>
      <c r="V1562">
        <v>0.13706270000000001</v>
      </c>
      <c r="W1562">
        <v>-3.7342470000000003E-2</v>
      </c>
      <c r="X1562">
        <v>0.98985829999999997</v>
      </c>
      <c r="Y1562">
        <v>0.39327800000000002</v>
      </c>
      <c r="Z1562">
        <v>2.776267E-2</v>
      </c>
      <c r="AA1562">
        <v>0.91900029999999999</v>
      </c>
      <c r="AB1562">
        <v>18</v>
      </c>
      <c r="AC1562">
        <v>-20.639700000000001</v>
      </c>
      <c r="AD1562">
        <v>-1.1044611510609901</v>
      </c>
      <c r="AE1562">
        <v>1.4565999999999799</v>
      </c>
      <c r="AF1562">
        <v>8.1920569513822095</v>
      </c>
      <c r="AG1562">
        <v>-1.1044611510609901</v>
      </c>
      <c r="AH1562">
        <v>18.936203980656899</v>
      </c>
      <c r="AI1562">
        <v>93.064165587770802</v>
      </c>
      <c r="AJ1562">
        <v>66.606040829406894</v>
      </c>
      <c r="AK1562">
        <v>20.661787258752302</v>
      </c>
      <c r="AL1562">
        <v>92.140063391646706</v>
      </c>
      <c r="AM1562">
        <v>82.116554170765099</v>
      </c>
      <c r="AN1562">
        <v>1.0000000489379299</v>
      </c>
    </row>
    <row r="1563" spans="1:40" x14ac:dyDescent="0.25">
      <c r="A1563" t="str">
        <f>"20190312151528366"</f>
        <v>20190312151528366</v>
      </c>
      <c r="B1563" t="str">
        <f>"1552374928359189"</f>
        <v>1552374928359189</v>
      </c>
      <c r="C1563" t="s">
        <v>40</v>
      </c>
      <c r="D1563">
        <v>4.9825350000000004</v>
      </c>
      <c r="E1563">
        <v>0.60352329999999998</v>
      </c>
      <c r="F1563" t="s">
        <v>51</v>
      </c>
      <c r="G1563">
        <v>-226.654</v>
      </c>
      <c r="H1563" s="1">
        <v>2.0041430000000001E-6</v>
      </c>
      <c r="I1563">
        <v>283.93810000000002</v>
      </c>
      <c r="J1563">
        <v>-205.89</v>
      </c>
      <c r="K1563">
        <v>1.104487</v>
      </c>
      <c r="L1563">
        <v>282.38749999999999</v>
      </c>
      <c r="M1563">
        <v>-0.94667570000000001</v>
      </c>
      <c r="N1563">
        <v>0</v>
      </c>
      <c r="O1563">
        <v>-0.32197769999999998</v>
      </c>
      <c r="P1563">
        <v>-0.98029069999999996</v>
      </c>
      <c r="Q1563">
        <v>-4.6321840000000003E-2</v>
      </c>
      <c r="R1563">
        <v>-0.192055</v>
      </c>
      <c r="S1563">
        <v>-3.1015009999999998</v>
      </c>
      <c r="T1563">
        <v>-0.16365399999999999</v>
      </c>
      <c r="U1563">
        <v>0.2229004</v>
      </c>
      <c r="V1563">
        <v>0.13338749999999999</v>
      </c>
      <c r="W1563">
        <v>-3.6428820000000001E-2</v>
      </c>
      <c r="X1563">
        <v>0.9903942</v>
      </c>
      <c r="Y1563">
        <v>0.38806059999999998</v>
      </c>
      <c r="Z1563">
        <v>2.6992039999999998E-2</v>
      </c>
      <c r="AA1563">
        <v>0.92123849999999996</v>
      </c>
      <c r="AB1563">
        <v>18</v>
      </c>
      <c r="AC1563">
        <v>-20.763999999999999</v>
      </c>
      <c r="AD1563">
        <v>-1.104484995857</v>
      </c>
      <c r="AE1563">
        <v>1.55060000000003</v>
      </c>
      <c r="AF1563">
        <v>8.1311338596294505</v>
      </c>
      <c r="AG1563">
        <v>-1.104484995857</v>
      </c>
      <c r="AH1563">
        <v>19.105057003489499</v>
      </c>
      <c r="AI1563">
        <v>93.0449136375248</v>
      </c>
      <c r="AJ1563">
        <v>66.945341416012099</v>
      </c>
      <c r="AK1563">
        <v>20.792749410692899</v>
      </c>
      <c r="AL1563">
        <v>92.0876796045048</v>
      </c>
      <c r="AM1563">
        <v>82.329490770257195</v>
      </c>
      <c r="AN1563">
        <v>0.99999997773824001</v>
      </c>
    </row>
    <row r="1564" spans="1:40" x14ac:dyDescent="0.25">
      <c r="A1564" t="str">
        <f>"20190312151528391"</f>
        <v>20190312151528391</v>
      </c>
      <c r="B1564" t="str">
        <f>"1552374928389445"</f>
        <v>1552374928389445</v>
      </c>
      <c r="C1564" t="s">
        <v>40</v>
      </c>
      <c r="D1564">
        <v>4.9872709999999998</v>
      </c>
      <c r="E1564">
        <v>0.59691969999999905</v>
      </c>
      <c r="F1564" t="s">
        <v>51</v>
      </c>
      <c r="G1564">
        <v>-226.89250000000001</v>
      </c>
      <c r="H1564" s="1">
        <v>2.1310609999999998E-6</v>
      </c>
      <c r="I1564">
        <v>283.98099999999999</v>
      </c>
      <c r="J1564">
        <v>-206.0847</v>
      </c>
      <c r="K1564">
        <v>1.1045259999999999</v>
      </c>
      <c r="L1564">
        <v>282.33569999999997</v>
      </c>
      <c r="M1564">
        <v>-0.950322</v>
      </c>
      <c r="N1564">
        <v>0</v>
      </c>
      <c r="O1564">
        <v>-0.311054</v>
      </c>
      <c r="P1564">
        <v>-0.98178330000000003</v>
      </c>
      <c r="Q1564">
        <v>-4.4658330000000003E-2</v>
      </c>
      <c r="R1564">
        <v>-0.18468190000000001</v>
      </c>
      <c r="S1564">
        <v>-3.0986790000000002</v>
      </c>
      <c r="T1564">
        <v>-0.16295419999999999</v>
      </c>
      <c r="U1564">
        <v>0.23510739999999999</v>
      </c>
      <c r="V1564">
        <v>0.12947259999999999</v>
      </c>
      <c r="W1564">
        <v>-3.479587E-2</v>
      </c>
      <c r="X1564">
        <v>0.99097230000000003</v>
      </c>
      <c r="Y1564">
        <v>0.38113979999999997</v>
      </c>
      <c r="Z1564">
        <v>2.6165219999999999E-2</v>
      </c>
      <c r="AA1564">
        <v>0.9241471</v>
      </c>
      <c r="AB1564">
        <v>18</v>
      </c>
      <c r="AC1564">
        <v>-20.8078</v>
      </c>
      <c r="AD1564">
        <v>-1.104523868939</v>
      </c>
      <c r="AE1564">
        <v>1.64530000000002</v>
      </c>
      <c r="AF1564">
        <v>8.0140097493174505</v>
      </c>
      <c r="AG1564">
        <v>-1.104523868939</v>
      </c>
      <c r="AH1564">
        <v>19.209827306204598</v>
      </c>
      <c r="AI1564">
        <v>93.037563770308495</v>
      </c>
      <c r="AJ1564">
        <v>67.354941479434999</v>
      </c>
      <c r="AK1564">
        <v>20.843747032945299</v>
      </c>
      <c r="AL1564">
        <v>91.994059012883895</v>
      </c>
      <c r="AM1564">
        <v>82.556349979445898</v>
      </c>
      <c r="AN1564">
        <v>1.0000000030435501</v>
      </c>
    </row>
    <row r="1565" spans="1:40" x14ac:dyDescent="0.25">
      <c r="A1565" t="str">
        <f>"20190312151528414"</f>
        <v>20190312151528414</v>
      </c>
      <c r="B1565" t="str">
        <f>"1552374928408966"</f>
        <v>1552374928408966</v>
      </c>
      <c r="C1565" t="s">
        <v>40</v>
      </c>
      <c r="D1565">
        <v>5.015104</v>
      </c>
      <c r="E1565">
        <v>0.59601479999999996</v>
      </c>
      <c r="F1565" t="s">
        <v>51</v>
      </c>
      <c r="G1565">
        <v>-229.11959999999999</v>
      </c>
      <c r="H1565" s="1">
        <v>3.3162059999999999E-6</v>
      </c>
      <c r="I1565">
        <v>283.87509999999997</v>
      </c>
      <c r="J1565">
        <v>-206.25919999999999</v>
      </c>
      <c r="K1565">
        <v>1.1045750000000001</v>
      </c>
      <c r="L1565">
        <v>282.2912</v>
      </c>
      <c r="M1565">
        <v>-0.95343909999999998</v>
      </c>
      <c r="N1565">
        <v>0</v>
      </c>
      <c r="O1565">
        <v>-0.30136750000000001</v>
      </c>
      <c r="P1565">
        <v>-0.98285250000000002</v>
      </c>
      <c r="Q1565">
        <v>-4.3125709999999998E-2</v>
      </c>
      <c r="R1565">
        <v>-0.1792802</v>
      </c>
      <c r="S1565">
        <v>-3.087723</v>
      </c>
      <c r="T1565">
        <v>-0.14805639999999901</v>
      </c>
      <c r="U1565">
        <v>0.20635990000000001</v>
      </c>
      <c r="V1565">
        <v>0.12488109999999999</v>
      </c>
      <c r="W1565">
        <v>-3.3271990000000001E-2</v>
      </c>
      <c r="X1565">
        <v>0.99161370000000004</v>
      </c>
      <c r="Y1565">
        <v>0.36354320000000001</v>
      </c>
      <c r="Z1565">
        <v>2.2993050000000001E-2</v>
      </c>
      <c r="AA1565">
        <v>0.9312935</v>
      </c>
      <c r="AB1565">
        <v>18</v>
      </c>
      <c r="AC1565">
        <v>-22.860399999999998</v>
      </c>
      <c r="AD1565">
        <v>-1.1045716837940001</v>
      </c>
      <c r="AE1565">
        <v>1.5838999999999701</v>
      </c>
      <c r="AF1565">
        <v>8.3806139135740505</v>
      </c>
      <c r="AG1565">
        <v>-1.1045716837940001</v>
      </c>
      <c r="AH1565">
        <v>21.2706431222331</v>
      </c>
      <c r="AI1565">
        <v>92.766069658250004</v>
      </c>
      <c r="AJ1565">
        <v>68.4956051726124</v>
      </c>
      <c r="AK1565">
        <v>22.8887532864163</v>
      </c>
      <c r="AL1565">
        <v>91.906696464534306</v>
      </c>
      <c r="AM1565">
        <v>82.8221155951735</v>
      </c>
      <c r="AN1565">
        <v>1.00000002224172</v>
      </c>
    </row>
    <row r="1566" spans="1:40" x14ac:dyDescent="0.25">
      <c r="A1566" t="str">
        <f>"20190312151528437"</f>
        <v>20190312151528437</v>
      </c>
      <c r="B1566" t="str">
        <f>"1552374928429461"</f>
        <v>1552374928429461</v>
      </c>
      <c r="C1566" t="s">
        <v>40</v>
      </c>
      <c r="D1566">
        <v>4.9195599999999997</v>
      </c>
      <c r="E1566">
        <v>0.59434480000000001</v>
      </c>
      <c r="F1566" t="s">
        <v>51</v>
      </c>
      <c r="G1566">
        <v>-229.7097</v>
      </c>
      <c r="H1566" s="1">
        <v>3.6302189999999999E-6</v>
      </c>
      <c r="I1566">
        <v>283.93430000000001</v>
      </c>
      <c r="J1566">
        <v>-206.44460000000001</v>
      </c>
      <c r="K1566">
        <v>1.104633</v>
      </c>
      <c r="L1566">
        <v>282.24590000000001</v>
      </c>
      <c r="M1566">
        <v>-0.9565958</v>
      </c>
      <c r="N1566">
        <v>0</v>
      </c>
      <c r="O1566">
        <v>-0.291195599999999</v>
      </c>
      <c r="P1566">
        <v>-0.9841105</v>
      </c>
      <c r="Q1566">
        <v>-4.1126410000000002E-2</v>
      </c>
      <c r="R1566">
        <v>-0.17272789999999999</v>
      </c>
      <c r="S1566">
        <v>-3.0854029999999999</v>
      </c>
      <c r="T1566">
        <v>-0.1453294</v>
      </c>
      <c r="U1566">
        <v>0.2161865</v>
      </c>
      <c r="V1566">
        <v>0.1209797</v>
      </c>
      <c r="W1566">
        <v>-3.1294280000000001E-2</v>
      </c>
      <c r="X1566">
        <v>0.99216159999999998</v>
      </c>
      <c r="Y1566">
        <v>0.35665770000000002</v>
      </c>
      <c r="Z1566">
        <v>2.1960549999999999E-2</v>
      </c>
      <c r="AA1566">
        <v>0.93397699999999995</v>
      </c>
      <c r="AB1566">
        <v>18</v>
      </c>
      <c r="AC1566">
        <v>-23.265099999999901</v>
      </c>
      <c r="AD1566">
        <v>-1.1046293697809999</v>
      </c>
      <c r="AE1566">
        <v>1.6883999999999999</v>
      </c>
      <c r="AF1566">
        <v>8.37158112221511</v>
      </c>
      <c r="AG1566">
        <v>-1.1046293697809999</v>
      </c>
      <c r="AH1566">
        <v>21.716352701012699</v>
      </c>
      <c r="AI1566">
        <v>92.717319434917499</v>
      </c>
      <c r="AJ1566">
        <v>68.918516198870506</v>
      </c>
      <c r="AK1566">
        <v>23.3002907957217</v>
      </c>
      <c r="AL1566">
        <v>91.793322903834905</v>
      </c>
      <c r="AM1566">
        <v>83.047931179014498</v>
      </c>
      <c r="AN1566">
        <v>1.00000003014368</v>
      </c>
    </row>
    <row r="1567" spans="1:40" x14ac:dyDescent="0.25">
      <c r="A1567" t="str">
        <f>"20190312151528458"</f>
        <v>20190312151528458</v>
      </c>
      <c r="B1567" t="str">
        <f>"1552374928449490"</f>
        <v>1552374928449490</v>
      </c>
      <c r="C1567" t="s">
        <v>40</v>
      </c>
      <c r="D1567">
        <v>4.9345730000000003</v>
      </c>
      <c r="E1567">
        <v>0.59301610000000005</v>
      </c>
      <c r="F1567" t="s">
        <v>51</v>
      </c>
      <c r="G1567">
        <v>-230.40620000000001</v>
      </c>
      <c r="H1567" s="1">
        <v>-1.2929980000000001E-6</v>
      </c>
      <c r="I1567">
        <v>283.98430000000002</v>
      </c>
      <c r="J1567">
        <v>-206.6172</v>
      </c>
      <c r="K1567">
        <v>1.104678</v>
      </c>
      <c r="L1567">
        <v>282.2054</v>
      </c>
      <c r="M1567">
        <v>-0.95940080000000005</v>
      </c>
      <c r="N1567">
        <v>0</v>
      </c>
      <c r="O1567">
        <v>-0.28182049999999997</v>
      </c>
      <c r="P1567">
        <v>-0.9852187</v>
      </c>
      <c r="Q1567">
        <v>-3.9617159999999998E-2</v>
      </c>
      <c r="R1567">
        <v>-0.16665759999999999</v>
      </c>
      <c r="S1567">
        <v>-3.0817410000000001</v>
      </c>
      <c r="T1567">
        <v>-0.14206859999999999</v>
      </c>
      <c r="U1567">
        <v>0.22357179999999999</v>
      </c>
      <c r="V1567">
        <v>0.117426</v>
      </c>
      <c r="W1567">
        <v>-2.980549E-2</v>
      </c>
      <c r="X1567">
        <v>0.99263420000000002</v>
      </c>
      <c r="Y1567">
        <v>0.34985889999999997</v>
      </c>
      <c r="Z1567">
        <v>2.0917330000000001E-2</v>
      </c>
      <c r="AA1567">
        <v>0.93656890000000004</v>
      </c>
      <c r="AB1567">
        <v>18</v>
      </c>
      <c r="AC1567">
        <v>-23.789000000000001</v>
      </c>
      <c r="AD1567">
        <v>-1.1046792929979901</v>
      </c>
      <c r="AE1567">
        <v>1.7789000000000199</v>
      </c>
      <c r="AF1567">
        <v>8.3934428185731207</v>
      </c>
      <c r="AG1567">
        <v>-1.1046792929979901</v>
      </c>
      <c r="AH1567">
        <v>22.275509403811299</v>
      </c>
      <c r="AI1567">
        <v>92.656994269794396</v>
      </c>
      <c r="AJ1567">
        <v>69.353521339724495</v>
      </c>
      <c r="AK1567">
        <v>23.8299919825484</v>
      </c>
      <c r="AL1567">
        <v>91.707981828750206</v>
      </c>
      <c r="AM1567">
        <v>83.2534154218406</v>
      </c>
      <c r="AN1567">
        <v>0.999999943859888</v>
      </c>
    </row>
    <row r="1568" spans="1:40" x14ac:dyDescent="0.25">
      <c r="A1568" t="str">
        <f>"20190312151528480"</f>
        <v>20190312151528480</v>
      </c>
      <c r="B1568" t="str">
        <f>"1552374928469984"</f>
        <v>1552374928469984</v>
      </c>
      <c r="C1568" t="s">
        <v>40</v>
      </c>
      <c r="D1568">
        <v>4.9448589999999903</v>
      </c>
      <c r="E1568">
        <v>0.5918291</v>
      </c>
      <c r="F1568" t="s">
        <v>51</v>
      </c>
      <c r="G1568">
        <v>-230.64359999999999</v>
      </c>
      <c r="H1568" s="1">
        <v>-1.168165E-6</v>
      </c>
      <c r="I1568">
        <v>284.0181</v>
      </c>
      <c r="J1568">
        <v>-206.79759999999999</v>
      </c>
      <c r="K1568">
        <v>1.1047169999999999</v>
      </c>
      <c r="L1568">
        <v>282.16489999999999</v>
      </c>
      <c r="M1568">
        <v>-0.96219399999999999</v>
      </c>
      <c r="N1568">
        <v>0</v>
      </c>
      <c r="O1568">
        <v>-0.27213459999999901</v>
      </c>
      <c r="P1568">
        <v>-0.98614809999999997</v>
      </c>
      <c r="Q1568">
        <v>-3.9483850000000001E-2</v>
      </c>
      <c r="R1568">
        <v>-0.16109960000000001</v>
      </c>
      <c r="S1568">
        <v>-3.0786129999999998</v>
      </c>
      <c r="T1568">
        <v>-0.14154800000000001</v>
      </c>
      <c r="U1568">
        <v>0.23226930000000001</v>
      </c>
      <c r="V1568">
        <v>0.1130227</v>
      </c>
      <c r="W1568">
        <v>-2.9688490000000001E-2</v>
      </c>
      <c r="X1568">
        <v>0.9931487</v>
      </c>
      <c r="Y1568">
        <v>0.34312890000000001</v>
      </c>
      <c r="Z1568">
        <v>2.0273429999999999E-2</v>
      </c>
      <c r="AA1568">
        <v>0.93906959999999995</v>
      </c>
      <c r="AB1568">
        <v>18</v>
      </c>
      <c r="AC1568">
        <v>-23.846</v>
      </c>
      <c r="AD1568">
        <v>-1.104718168165</v>
      </c>
      <c r="AE1568">
        <v>1.85320000000001</v>
      </c>
      <c r="AF1568">
        <v>8.2553672243270597</v>
      </c>
      <c r="AG1568">
        <v>-1.104718168165</v>
      </c>
      <c r="AH1568">
        <v>22.393792938038999</v>
      </c>
      <c r="AI1568">
        <v>92.650126943301402</v>
      </c>
      <c r="AJ1568">
        <v>69.763826911925904</v>
      </c>
      <c r="AK1568">
        <v>23.8925396806479</v>
      </c>
      <c r="AL1568">
        <v>91.701275262966902</v>
      </c>
      <c r="AM1568">
        <v>83.507534898888196</v>
      </c>
      <c r="AN1568">
        <v>0.99999993873272797</v>
      </c>
    </row>
    <row r="1569" spans="1:40" x14ac:dyDescent="0.25">
      <c r="A1569" t="str">
        <f>"20190312151528502"</f>
        <v>20190312151528502</v>
      </c>
      <c r="B1569" t="str">
        <f>"1552374928499264"</f>
        <v>1552374928499264</v>
      </c>
      <c r="C1569" t="s">
        <v>40</v>
      </c>
      <c r="D1569">
        <v>4.9832830000000001</v>
      </c>
      <c r="E1569">
        <v>0.5906034</v>
      </c>
      <c r="F1569" t="s">
        <v>51</v>
      </c>
      <c r="G1569">
        <v>-230.04810000000001</v>
      </c>
      <c r="H1569" s="1">
        <v>-1.4835099999999999E-6</v>
      </c>
      <c r="I1569">
        <v>283.98289999999997</v>
      </c>
      <c r="J1569">
        <v>-206.97309999999999</v>
      </c>
      <c r="K1569">
        <v>1.1047530000000001</v>
      </c>
      <c r="L1569">
        <v>282.12720000000002</v>
      </c>
      <c r="M1569">
        <v>-0.9647772</v>
      </c>
      <c r="N1569">
        <v>0</v>
      </c>
      <c r="O1569">
        <v>-0.26283390000000001</v>
      </c>
      <c r="P1569">
        <v>-0.98703600000000002</v>
      </c>
      <c r="Q1569">
        <v>-3.8640649999999999E-2</v>
      </c>
      <c r="R1569">
        <v>-0.155779</v>
      </c>
      <c r="S1569">
        <v>-3.0756070000000002</v>
      </c>
      <c r="T1569">
        <v>-0.14613380000000001</v>
      </c>
      <c r="U1569">
        <v>0.24047850000000001</v>
      </c>
      <c r="V1569">
        <v>0.1088138</v>
      </c>
      <c r="W1569">
        <v>-2.8870010000000002E-2</v>
      </c>
      <c r="X1569">
        <v>0.9936429</v>
      </c>
      <c r="Y1569">
        <v>0.33659</v>
      </c>
      <c r="Z1569">
        <v>2.036317E-2</v>
      </c>
      <c r="AA1569">
        <v>0.94143109999999997</v>
      </c>
      <c r="AB1569">
        <v>18</v>
      </c>
      <c r="AC1569">
        <v>-23.074999999999999</v>
      </c>
      <c r="AD1569">
        <v>-1.1047544835100001</v>
      </c>
      <c r="AE1569">
        <v>1.8556999999999499</v>
      </c>
      <c r="AF1569">
        <v>7.8378632709319698</v>
      </c>
      <c r="AG1569">
        <v>-1.1047544835100001</v>
      </c>
      <c r="AH1569">
        <v>21.726354857722001</v>
      </c>
      <c r="AI1569">
        <v>92.738444352146203</v>
      </c>
      <c r="AJ1569">
        <v>70.162902661423502</v>
      </c>
      <c r="AK1569">
        <v>23.123301635499999</v>
      </c>
      <c r="AL1569">
        <v>91.654359483436906</v>
      </c>
      <c r="AM1569">
        <v>83.750444208269997</v>
      </c>
      <c r="AN1569">
        <v>1.00000006663412</v>
      </c>
    </row>
    <row r="1570" spans="1:40" x14ac:dyDescent="0.25">
      <c r="A1570" t="str">
        <f>"20190312151528523"</f>
        <v>20190312151528523</v>
      </c>
      <c r="B1570" t="str">
        <f>"1552374928518784"</f>
        <v>1552374928518784</v>
      </c>
      <c r="C1570" t="s">
        <v>40</v>
      </c>
      <c r="D1570">
        <v>4.9506709999999998</v>
      </c>
      <c r="E1570">
        <v>0.59028570000000002</v>
      </c>
      <c r="F1570" t="s">
        <v>51</v>
      </c>
      <c r="G1570">
        <v>-230.27600000000001</v>
      </c>
      <c r="H1570" s="1">
        <v>-1.3631309999999999E-6</v>
      </c>
      <c r="I1570">
        <v>284.00389999999999</v>
      </c>
      <c r="J1570">
        <v>-207.14750000000001</v>
      </c>
      <c r="K1570">
        <v>1.104797</v>
      </c>
      <c r="L1570">
        <v>282.09120000000001</v>
      </c>
      <c r="M1570">
        <v>-0.96721380000000001</v>
      </c>
      <c r="N1570">
        <v>0</v>
      </c>
      <c r="O1570">
        <v>-0.25372470000000003</v>
      </c>
      <c r="P1570">
        <v>-0.9879483</v>
      </c>
      <c r="Q1570">
        <v>-3.7917409999999999E-2</v>
      </c>
      <c r="R1570">
        <v>-0.15006820000000001</v>
      </c>
      <c r="S1570">
        <v>-3.0727690000000001</v>
      </c>
      <c r="T1570">
        <v>-0.14567479999999999</v>
      </c>
      <c r="U1570">
        <v>0.24746699999999999</v>
      </c>
      <c r="V1570">
        <v>0.1052091</v>
      </c>
      <c r="W1570">
        <v>-2.8180440000000001E-2</v>
      </c>
      <c r="X1570">
        <v>0.99405069999999995</v>
      </c>
      <c r="Y1570">
        <v>0.32991969999999998</v>
      </c>
      <c r="Z1570">
        <v>1.9737560000000001E-2</v>
      </c>
      <c r="AA1570">
        <v>0.94380269999999999</v>
      </c>
      <c r="AB1570">
        <v>18</v>
      </c>
      <c r="AC1570">
        <v>-23.128499999999899</v>
      </c>
      <c r="AD1570">
        <v>-1.1047983631309899</v>
      </c>
      <c r="AE1570">
        <v>1.9126999999999701</v>
      </c>
      <c r="AF1570">
        <v>7.7012763423980797</v>
      </c>
      <c r="AG1570">
        <v>-1.1047983631309899</v>
      </c>
      <c r="AH1570">
        <v>21.836744053612499</v>
      </c>
      <c r="AI1570">
        <v>92.731693850987895</v>
      </c>
      <c r="AJ1570">
        <v>70.573521629863194</v>
      </c>
      <c r="AK1570">
        <v>23.181320661000701</v>
      </c>
      <c r="AL1570">
        <v>91.614834150227296</v>
      </c>
      <c r="AM1570">
        <v>83.958377476737496</v>
      </c>
      <c r="AN1570">
        <v>0.99999994304594497</v>
      </c>
    </row>
    <row r="1571" spans="1:40" x14ac:dyDescent="0.25">
      <c r="A1571" t="str">
        <f>"20190312151528547"</f>
        <v>20190312151528547</v>
      </c>
      <c r="B1571" t="str">
        <f>"1552374928539280"</f>
        <v>1552374928539280</v>
      </c>
      <c r="C1571" t="s">
        <v>40</v>
      </c>
      <c r="D1571">
        <v>4.8991160000000002</v>
      </c>
      <c r="E1571">
        <v>0.55510559999999998</v>
      </c>
      <c r="F1571" t="s">
        <v>51</v>
      </c>
      <c r="G1571">
        <v>-231.28190000000001</v>
      </c>
      <c r="H1571" s="1">
        <v>-8.3444040000000002E-7</v>
      </c>
      <c r="I1571">
        <v>284.1549</v>
      </c>
      <c r="J1571">
        <v>-207.339</v>
      </c>
      <c r="K1571">
        <v>1.1048559999999901</v>
      </c>
      <c r="L1571">
        <v>282.05349999999999</v>
      </c>
      <c r="M1571">
        <v>-0.96974179999999999</v>
      </c>
      <c r="N1571">
        <v>0</v>
      </c>
      <c r="O1571">
        <v>-0.24388979999999999</v>
      </c>
      <c r="P1571">
        <v>-0.98898489999999994</v>
      </c>
      <c r="Q1571">
        <v>-3.7908299999999999E-2</v>
      </c>
      <c r="R1571">
        <v>-0.14308100000000001</v>
      </c>
      <c r="S1571">
        <v>-3.071075</v>
      </c>
      <c r="T1571">
        <v>-0.14058399999999999</v>
      </c>
      <c r="U1571">
        <v>0.2626038</v>
      </c>
      <c r="V1571">
        <v>0.1021464</v>
      </c>
      <c r="W1571">
        <v>-2.8211719999999999E-2</v>
      </c>
      <c r="X1571">
        <v>0.99436930000000001</v>
      </c>
      <c r="Y1571">
        <v>0.32505149999999999</v>
      </c>
      <c r="Z1571">
        <v>1.8505199999999999E-2</v>
      </c>
      <c r="AA1571">
        <v>0.9455152</v>
      </c>
      <c r="AB1571">
        <v>18</v>
      </c>
      <c r="AC1571">
        <v>-23.942899999999899</v>
      </c>
      <c r="AD1571">
        <v>-1.1048568344403999</v>
      </c>
      <c r="AE1571">
        <v>2.1014000000000101</v>
      </c>
      <c r="AF1571">
        <v>7.8611001842408204</v>
      </c>
      <c r="AG1571">
        <v>-1.1048568344403999</v>
      </c>
      <c r="AH1571">
        <v>22.659385380258598</v>
      </c>
      <c r="AI1571">
        <v>92.637517980843299</v>
      </c>
      <c r="AJ1571">
        <v>70.867077278532307</v>
      </c>
      <c r="AK1571">
        <v>24.009692845647901</v>
      </c>
      <c r="AL1571">
        <v>91.6166269078997</v>
      </c>
      <c r="AM1571">
        <v>84.134874410696497</v>
      </c>
      <c r="AN1571">
        <v>1.0000000464804</v>
      </c>
    </row>
    <row r="1572" spans="1:40" x14ac:dyDescent="0.25">
      <c r="A1572" t="str">
        <f>"20190312151528568"</f>
        <v>20190312151528568</v>
      </c>
      <c r="B1572" t="str">
        <f>"1552374928558800"</f>
        <v>1552374928558800</v>
      </c>
      <c r="C1572" t="s">
        <v>40</v>
      </c>
      <c r="D1572">
        <v>4.9156589999999998</v>
      </c>
      <c r="E1572">
        <v>0.55027700000000002</v>
      </c>
      <c r="F1572" t="s">
        <v>51</v>
      </c>
      <c r="G1572">
        <v>-230.9468</v>
      </c>
      <c r="H1572" s="1">
        <v>-9.2316530000000002E-7</v>
      </c>
      <c r="I1572">
        <v>282.1046</v>
      </c>
      <c r="J1572">
        <v>-207.512</v>
      </c>
      <c r="K1572">
        <v>1.1049279999999999</v>
      </c>
      <c r="L1572">
        <v>282.02089999999998</v>
      </c>
      <c r="M1572">
        <v>-0.97189369999999997</v>
      </c>
      <c r="N1572">
        <v>0</v>
      </c>
      <c r="O1572">
        <v>-0.23517150000000001</v>
      </c>
      <c r="P1572">
        <v>-0.98965599999999998</v>
      </c>
      <c r="Q1572">
        <v>-3.8743989999999999E-2</v>
      </c>
      <c r="R1572">
        <v>-0.13813149999999999</v>
      </c>
      <c r="S1572">
        <v>-3.0289459999999999</v>
      </c>
      <c r="T1572">
        <v>-0.14175639999999901</v>
      </c>
      <c r="U1572">
        <v>6.5612789999999997E-3</v>
      </c>
      <c r="V1572">
        <v>9.8180370000000003E-2</v>
      </c>
      <c r="W1572">
        <v>-2.9060059999999999E-2</v>
      </c>
      <c r="X1572">
        <v>0.99474419999999997</v>
      </c>
      <c r="Y1572">
        <v>0.23677719999999999</v>
      </c>
      <c r="Z1572">
        <v>1.6460809999999999E-2</v>
      </c>
      <c r="AA1572">
        <v>0.97142450000000002</v>
      </c>
      <c r="AB1572">
        <v>18</v>
      </c>
      <c r="AC1572">
        <v>-23.434799999999999</v>
      </c>
      <c r="AD1572">
        <v>-1.1049289231652999</v>
      </c>
      <c r="AE1572">
        <v>8.3700000000021604E-2</v>
      </c>
      <c r="AF1572">
        <v>5.5804663572472499</v>
      </c>
      <c r="AG1572">
        <v>-1.1049289231652999</v>
      </c>
      <c r="AH1572">
        <v>22.707303539596602</v>
      </c>
      <c r="AI1572">
        <v>92.705418077300294</v>
      </c>
      <c r="AJ1572">
        <v>76.192819207373603</v>
      </c>
      <c r="AK1572">
        <v>23.4090603555331</v>
      </c>
      <c r="AL1572">
        <v>91.665253314281998</v>
      </c>
      <c r="AM1572">
        <v>84.363213700680205</v>
      </c>
      <c r="AN1572">
        <v>0.99999994778708801</v>
      </c>
    </row>
    <row r="1573" spans="1:40" x14ac:dyDescent="0.25">
      <c r="A1573" t="str">
        <f>"20190312151528591"</f>
        <v>20190312151528591</v>
      </c>
      <c r="B1573" t="str">
        <f>"1552374928579296"</f>
        <v>1552374928579296</v>
      </c>
      <c r="C1573" t="s">
        <v>40</v>
      </c>
      <c r="D1573">
        <v>4.8679379999999997</v>
      </c>
      <c r="E1573">
        <v>0.54842360000000001</v>
      </c>
      <c r="F1573" t="s">
        <v>51</v>
      </c>
      <c r="G1573">
        <v>-230.2919</v>
      </c>
      <c r="H1573" s="1">
        <v>-1.2626209999999999E-6</v>
      </c>
      <c r="I1573">
        <v>281.89789999999999</v>
      </c>
      <c r="J1573">
        <v>-207.69839999999999</v>
      </c>
      <c r="K1573">
        <v>1.10501</v>
      </c>
      <c r="L1573">
        <v>281.9873</v>
      </c>
      <c r="M1573">
        <v>-0.97407750000000004</v>
      </c>
      <c r="N1573">
        <v>0</v>
      </c>
      <c r="O1573">
        <v>-0.22595970000000001</v>
      </c>
      <c r="P1573">
        <v>-0.99036029999999997</v>
      </c>
      <c r="Q1573">
        <v>-3.9360279999999997E-2</v>
      </c>
      <c r="R1573">
        <v>-0.13280549999999999</v>
      </c>
      <c r="S1573">
        <v>-3.0233310000000002</v>
      </c>
      <c r="T1573">
        <v>-0.14664530000000001</v>
      </c>
      <c r="U1573">
        <v>-1.6326899999999998E-2</v>
      </c>
      <c r="V1573">
        <v>9.4108860000000003E-2</v>
      </c>
      <c r="W1573">
        <v>-2.9690680000000001E-2</v>
      </c>
      <c r="X1573">
        <v>0.99511910000000003</v>
      </c>
      <c r="Y1573">
        <v>0.22018799999999999</v>
      </c>
      <c r="Z1573">
        <v>1.621759E-2</v>
      </c>
      <c r="AA1573">
        <v>0.97532269999999999</v>
      </c>
      <c r="AB1573">
        <v>18</v>
      </c>
      <c r="AC1573">
        <v>-22.593499999999999</v>
      </c>
      <c r="AD1573">
        <v>-1.105011262621</v>
      </c>
      <c r="AE1573">
        <v>-8.9400000000011901E-2</v>
      </c>
      <c r="AF1573">
        <v>5.0064517298434703</v>
      </c>
      <c r="AG1573">
        <v>-1.105011262621</v>
      </c>
      <c r="AH1573">
        <v>21.9767220091022</v>
      </c>
      <c r="AI1573">
        <v>92.806677019970707</v>
      </c>
      <c r="AJ1573">
        <v>77.166627706183604</v>
      </c>
      <c r="AK1573">
        <v>22.566832278348901</v>
      </c>
      <c r="AL1573">
        <v>91.701400660149602</v>
      </c>
      <c r="AM1573">
        <v>84.597579819538097</v>
      </c>
      <c r="AN1573">
        <v>1.0000000185970801</v>
      </c>
    </row>
    <row r="1574" spans="1:40" x14ac:dyDescent="0.25">
      <c r="A1574" t="str">
        <f>"20190312151528614"</f>
        <v>20190312151528614</v>
      </c>
      <c r="B1574" t="str">
        <f>"1552374928609553"</f>
        <v>1552374928609553</v>
      </c>
      <c r="C1574" t="s">
        <v>40</v>
      </c>
      <c r="D1574">
        <v>4.8559939999999999</v>
      </c>
      <c r="E1574">
        <v>0.54747630000000003</v>
      </c>
      <c r="F1574" t="s">
        <v>51</v>
      </c>
      <c r="G1574">
        <v>-229.27180000000001</v>
      </c>
      <c r="H1574" s="1">
        <v>3.3971920000000001E-6</v>
      </c>
      <c r="I1574">
        <v>281.88319999999999</v>
      </c>
      <c r="J1574">
        <v>-207.88659999999999</v>
      </c>
      <c r="K1574">
        <v>1.105113</v>
      </c>
      <c r="L1574">
        <v>281.95499999999998</v>
      </c>
      <c r="M1574">
        <v>-0.97614080000000003</v>
      </c>
      <c r="N1574">
        <v>0</v>
      </c>
      <c r="O1574">
        <v>-0.21687719999999999</v>
      </c>
      <c r="P1574">
        <v>-0.99125490000000005</v>
      </c>
      <c r="Q1574">
        <v>-3.9467729999999999E-2</v>
      </c>
      <c r="R1574">
        <v>-0.12592059999999999</v>
      </c>
      <c r="S1574">
        <v>-3.0210720000000002</v>
      </c>
      <c r="T1574">
        <v>-0.15474179999999901</v>
      </c>
      <c r="U1574">
        <v>-1.45874E-2</v>
      </c>
      <c r="V1574">
        <v>9.1760809999999998E-2</v>
      </c>
      <c r="W1574">
        <v>-2.9835589999999999E-2</v>
      </c>
      <c r="X1574">
        <v>0.99533400000000005</v>
      </c>
      <c r="Y1574">
        <v>0.21161530000000001</v>
      </c>
      <c r="Z1574">
        <v>1.644953E-2</v>
      </c>
      <c r="AA1574">
        <v>0.97721460000000004</v>
      </c>
      <c r="AB1574">
        <v>18</v>
      </c>
      <c r="AC1574">
        <v>-21.385200000000001</v>
      </c>
      <c r="AD1574">
        <v>-1.1051096028080001</v>
      </c>
      <c r="AE1574">
        <v>-7.1799999999996006E-2</v>
      </c>
      <c r="AF1574">
        <v>4.5559681139553199</v>
      </c>
      <c r="AG1574">
        <v>-1.1051096028080001</v>
      </c>
      <c r="AH1574">
        <v>20.8360817697687</v>
      </c>
      <c r="AI1574">
        <v>92.966075655661697</v>
      </c>
      <c r="AJ1574">
        <v>77.665963923796099</v>
      </c>
      <c r="AK1574">
        <v>21.3569758207028</v>
      </c>
      <c r="AL1574">
        <v>91.709707120023097</v>
      </c>
      <c r="AM1574">
        <v>84.732735131588299</v>
      </c>
      <c r="AN1574">
        <v>0.999999990119252</v>
      </c>
    </row>
    <row r="1575" spans="1:40" x14ac:dyDescent="0.25">
      <c r="A1575" t="str">
        <f>"20190312151528637"</f>
        <v>20190312151528637</v>
      </c>
      <c r="B1575" t="str">
        <f>"1552374928629073"</f>
        <v>1552374928629073</v>
      </c>
      <c r="C1575" t="s">
        <v>40</v>
      </c>
      <c r="D1575">
        <v>4.8408030000000002</v>
      </c>
      <c r="E1575">
        <v>0.54665180000000002</v>
      </c>
      <c r="F1575" t="s">
        <v>51</v>
      </c>
      <c r="G1575">
        <v>-228.447</v>
      </c>
      <c r="H1575" s="1">
        <v>2.9582860000000002E-6</v>
      </c>
      <c r="I1575">
        <v>281.94979999999998</v>
      </c>
      <c r="J1575">
        <v>-208.08320000000001</v>
      </c>
      <c r="K1575">
        <v>1.1052139999999999</v>
      </c>
      <c r="L1575">
        <v>281.923</v>
      </c>
      <c r="M1575">
        <v>-0.97814270000000003</v>
      </c>
      <c r="N1575">
        <v>0</v>
      </c>
      <c r="O1575">
        <v>-0.2076664</v>
      </c>
      <c r="P1575">
        <v>-0.99187890000000001</v>
      </c>
      <c r="Q1575">
        <v>-3.9149690000000001E-2</v>
      </c>
      <c r="R1575">
        <v>-0.1210098</v>
      </c>
      <c r="S1575">
        <v>-3.0198969999999998</v>
      </c>
      <c r="T1575">
        <v>-0.16231779999999901</v>
      </c>
      <c r="U1575">
        <v>-7.6293949999999998E-4</v>
      </c>
      <c r="V1575">
        <v>8.7322659999999996E-2</v>
      </c>
      <c r="W1575">
        <v>-2.953768E-2</v>
      </c>
      <c r="X1575">
        <v>0.99574209999999996</v>
      </c>
      <c r="Y1575">
        <v>0.20683589999999999</v>
      </c>
      <c r="Z1575">
        <v>1.6647579999999999E-2</v>
      </c>
      <c r="AA1575">
        <v>0.97823400000000005</v>
      </c>
      <c r="AB1575">
        <v>18</v>
      </c>
      <c r="AC1575">
        <v>-20.363800000000001</v>
      </c>
      <c r="AD1575">
        <v>-1.105211041714</v>
      </c>
      <c r="AE1575">
        <v>2.67999999999801E-2</v>
      </c>
      <c r="AF1575">
        <v>4.2428309218026898</v>
      </c>
      <c r="AG1575">
        <v>-1.105211041714</v>
      </c>
      <c r="AH1575">
        <v>19.855760457621301</v>
      </c>
      <c r="AI1575">
        <v>93.115714368375393</v>
      </c>
      <c r="AJ1575">
        <v>77.938284706948807</v>
      </c>
      <c r="AK1575">
        <v>20.334068186867299</v>
      </c>
      <c r="AL1575">
        <v>91.692630547649401</v>
      </c>
      <c r="AM1575">
        <v>84.988207473985</v>
      </c>
      <c r="AN1575">
        <v>1.0000000256008299</v>
      </c>
    </row>
    <row r="1576" spans="1:40" x14ac:dyDescent="0.25">
      <c r="A1576" t="str">
        <f>"20190312151528657"</f>
        <v>20190312151528657</v>
      </c>
      <c r="B1576" t="str">
        <f>"1552374928649568"</f>
        <v>1552374928649568</v>
      </c>
      <c r="C1576" t="s">
        <v>40</v>
      </c>
      <c r="D1576">
        <v>5.1272219999999997</v>
      </c>
      <c r="E1576">
        <v>0.54585309999999998</v>
      </c>
      <c r="F1576" t="s">
        <v>51</v>
      </c>
      <c r="G1576">
        <v>-229.0821</v>
      </c>
      <c r="H1576" s="1">
        <v>3.2962540000000001E-6</v>
      </c>
      <c r="I1576">
        <v>281.97649999999999</v>
      </c>
      <c r="J1576">
        <v>-208.2501</v>
      </c>
      <c r="K1576">
        <v>1.105286</v>
      </c>
      <c r="L1576">
        <v>281.89690000000002</v>
      </c>
      <c r="M1576">
        <v>-0.97973699999999997</v>
      </c>
      <c r="N1576">
        <v>0</v>
      </c>
      <c r="O1576">
        <v>-0.2000141</v>
      </c>
      <c r="P1576">
        <v>-0.99226479999999995</v>
      </c>
      <c r="Q1576">
        <v>-3.9730559999999998E-2</v>
      </c>
      <c r="R1576">
        <v>-0.117609199999999</v>
      </c>
      <c r="S1576">
        <v>-3.0192109999999999</v>
      </c>
      <c r="T1576">
        <v>-0.15890650000000001</v>
      </c>
      <c r="U1576">
        <v>7.6904299999999998E-3</v>
      </c>
      <c r="V1576">
        <v>8.2948250000000001E-2</v>
      </c>
      <c r="W1576">
        <v>-3.0131060000000001E-2</v>
      </c>
      <c r="X1576">
        <v>0.99609820000000004</v>
      </c>
      <c r="Y1576">
        <v>0.20196649999999999</v>
      </c>
      <c r="Z1576">
        <v>1.5778560000000001E-2</v>
      </c>
      <c r="AA1576">
        <v>0.97926530000000001</v>
      </c>
      <c r="AB1576">
        <v>18</v>
      </c>
      <c r="AC1576">
        <v>-20.831999999999901</v>
      </c>
      <c r="AD1576">
        <v>-1.105282703746</v>
      </c>
      <c r="AE1576">
        <v>7.9599999999970805E-2</v>
      </c>
      <c r="AF1576">
        <v>4.2329978951219598</v>
      </c>
      <c r="AG1576">
        <v>-1.105282703746</v>
      </c>
      <c r="AH1576">
        <v>20.337828485793299</v>
      </c>
      <c r="AI1576">
        <v>93.045603633771506</v>
      </c>
      <c r="AJ1576">
        <v>78.242645766905298</v>
      </c>
      <c r="AK1576">
        <v>20.803057192462202</v>
      </c>
      <c r="AL1576">
        <v>91.726643973639497</v>
      </c>
      <c r="AM1576">
        <v>85.239781929328203</v>
      </c>
      <c r="AN1576">
        <v>0.99999995849901202</v>
      </c>
    </row>
    <row r="1577" spans="1:40" x14ac:dyDescent="0.25">
      <c r="A1577" t="str">
        <f>"20190312151528680"</f>
        <v>20190312151528680</v>
      </c>
      <c r="B1577" t="str">
        <f>"1552374928669088"</f>
        <v>1552374928669088</v>
      </c>
      <c r="C1577" t="s">
        <v>40</v>
      </c>
      <c r="D1577">
        <v>4.8554029999999999</v>
      </c>
      <c r="E1577">
        <v>0.54498489999999999</v>
      </c>
      <c r="F1577" t="s">
        <v>51</v>
      </c>
      <c r="G1577">
        <v>-230.1362</v>
      </c>
      <c r="H1577" s="1">
        <v>-1.3490440000000001E-6</v>
      </c>
      <c r="I1577">
        <v>281.97919999999999</v>
      </c>
      <c r="J1577">
        <v>-208.446</v>
      </c>
      <c r="K1577">
        <v>1.105353</v>
      </c>
      <c r="L1577">
        <v>281.86779999999999</v>
      </c>
      <c r="M1577">
        <v>-0.98148679999999999</v>
      </c>
      <c r="N1577">
        <v>0</v>
      </c>
      <c r="O1577">
        <v>-0.19124840000000001</v>
      </c>
      <c r="P1577">
        <v>-0.99264129999999995</v>
      </c>
      <c r="Q1577">
        <v>-4.1116090000000001E-2</v>
      </c>
      <c r="R1577">
        <v>-0.1138986</v>
      </c>
      <c r="S1577">
        <v>-3.0186160000000002</v>
      </c>
      <c r="T1577">
        <v>-0.15244530000000001</v>
      </c>
      <c r="U1577">
        <v>1.135254E-2</v>
      </c>
      <c r="V1577">
        <v>7.7750710000000001E-2</v>
      </c>
      <c r="W1577">
        <v>-3.1529500000000002E-2</v>
      </c>
      <c r="X1577">
        <v>0.99647410000000003</v>
      </c>
      <c r="Y1577">
        <v>0.1944594</v>
      </c>
      <c r="Z1577">
        <v>1.4515709999999999E-2</v>
      </c>
      <c r="AA1577">
        <v>0.98080319999999999</v>
      </c>
      <c r="AB1577">
        <v>18</v>
      </c>
      <c r="AC1577">
        <v>-21.690200000000001</v>
      </c>
      <c r="AD1577">
        <v>-1.1053543490440001</v>
      </c>
      <c r="AE1577">
        <v>0.111400000000003</v>
      </c>
      <c r="AF1577">
        <v>4.2467543548758604</v>
      </c>
      <c r="AG1577">
        <v>-1.1053543490440001</v>
      </c>
      <c r="AH1577">
        <v>21.213395132934</v>
      </c>
      <c r="AI1577">
        <v>92.924851207183494</v>
      </c>
      <c r="AJ1577">
        <v>78.679484114993798</v>
      </c>
      <c r="AK1577">
        <v>21.6625221027838</v>
      </c>
      <c r="AL1577">
        <v>91.806806802598203</v>
      </c>
      <c r="AM1577">
        <v>85.538489033307897</v>
      </c>
      <c r="AN1577">
        <v>0.99999995712328105</v>
      </c>
    </row>
    <row r="1578" spans="1:40" x14ac:dyDescent="0.25">
      <c r="A1578" t="str">
        <f>"20190312151528703"</f>
        <v>20190312151528703</v>
      </c>
      <c r="B1578" t="str">
        <f>"1552374928699344"</f>
        <v>1552374928699344</v>
      </c>
      <c r="C1578" t="s">
        <v>40</v>
      </c>
      <c r="D1578">
        <v>4.8737870000000001</v>
      </c>
      <c r="E1578">
        <v>0.54397259999999903</v>
      </c>
      <c r="F1578" t="s">
        <v>51</v>
      </c>
      <c r="G1578">
        <v>-230.83930000000001</v>
      </c>
      <c r="H1578" s="1">
        <v>-9.7503139999999996E-7</v>
      </c>
      <c r="I1578">
        <v>281.98239999999998</v>
      </c>
      <c r="J1578">
        <v>-208.62440000000001</v>
      </c>
      <c r="K1578">
        <v>1.1054170000000001</v>
      </c>
      <c r="L1578">
        <v>281.8426</v>
      </c>
      <c r="M1578">
        <v>-0.98296890000000003</v>
      </c>
      <c r="N1578">
        <v>0</v>
      </c>
      <c r="O1578">
        <v>-0.1834829</v>
      </c>
      <c r="P1578">
        <v>-0.99299519999999997</v>
      </c>
      <c r="Q1578">
        <v>-4.0759709999999998E-2</v>
      </c>
      <c r="R1578">
        <v>-0.11090129999999999</v>
      </c>
      <c r="S1578">
        <v>-3.0178219999999998</v>
      </c>
      <c r="T1578">
        <v>-0.1489627</v>
      </c>
      <c r="U1578">
        <v>1.544189E-2</v>
      </c>
      <c r="V1578">
        <v>7.2894009999999995E-2</v>
      </c>
      <c r="W1578">
        <v>-3.1186249999999999E-2</v>
      </c>
      <c r="X1578">
        <v>0.99685199999999996</v>
      </c>
      <c r="Y1578">
        <v>0.18806970000000001</v>
      </c>
      <c r="Z1578">
        <v>1.3652900000000001E-2</v>
      </c>
      <c r="AA1578">
        <v>0.98206079999999996</v>
      </c>
      <c r="AB1578">
        <v>18</v>
      </c>
      <c r="AC1578">
        <v>-22.2149</v>
      </c>
      <c r="AD1578">
        <v>-1.1054179750313999</v>
      </c>
      <c r="AE1578">
        <v>0.139799999999979</v>
      </c>
      <c r="AF1578">
        <v>4.2032897501658999</v>
      </c>
      <c r="AG1578">
        <v>-1.1054179750313999</v>
      </c>
      <c r="AH1578">
        <v>21.758189957299098</v>
      </c>
      <c r="AI1578">
        <v>92.855685286309694</v>
      </c>
      <c r="AJ1578">
        <v>79.066175461813302</v>
      </c>
      <c r="AK1578">
        <v>22.1880243338898</v>
      </c>
      <c r="AL1578">
        <v>91.787130246488502</v>
      </c>
      <c r="AM1578">
        <v>85.817735471492</v>
      </c>
      <c r="AN1578">
        <v>1.00000001439347</v>
      </c>
    </row>
    <row r="1579" spans="1:40" x14ac:dyDescent="0.25">
      <c r="A1579" t="str">
        <f>"20190312151528724"</f>
        <v>20190312151528724</v>
      </c>
      <c r="B1579" t="str">
        <f>"1552374928718864"</f>
        <v>1552374928718864</v>
      </c>
      <c r="C1579" t="s">
        <v>40</v>
      </c>
      <c r="D1579">
        <v>5.2684179999999996</v>
      </c>
      <c r="E1579">
        <v>0.54312380000000005</v>
      </c>
      <c r="F1579" t="s">
        <v>51</v>
      </c>
      <c r="G1579">
        <v>-232.14269999999999</v>
      </c>
      <c r="H1579" s="1">
        <v>-2.8096100000000002E-7</v>
      </c>
      <c r="I1579">
        <v>281.97129999999999</v>
      </c>
      <c r="J1579">
        <v>-208.81139999999999</v>
      </c>
      <c r="K1579">
        <v>1.1055090000000001</v>
      </c>
      <c r="L1579">
        <v>281.8175</v>
      </c>
      <c r="M1579">
        <v>-0.98441250000000002</v>
      </c>
      <c r="N1579">
        <v>0</v>
      </c>
      <c r="O1579">
        <v>-0.17557909999999999</v>
      </c>
      <c r="P1579">
        <v>-0.99350550000000004</v>
      </c>
      <c r="Q1579">
        <v>-3.9858970000000001E-2</v>
      </c>
      <c r="R1579">
        <v>-0.1065757</v>
      </c>
      <c r="S1579">
        <v>-3.0171809999999999</v>
      </c>
      <c r="T1579">
        <v>-0.1418151</v>
      </c>
      <c r="U1579">
        <v>1.6510009999999999E-2</v>
      </c>
      <c r="V1579">
        <v>6.9248530000000003E-2</v>
      </c>
      <c r="W1579">
        <v>-3.0319539999999999E-2</v>
      </c>
      <c r="X1579">
        <v>0.99713859999999999</v>
      </c>
      <c r="Y1579">
        <v>0.18058080000000001</v>
      </c>
      <c r="Z1579">
        <v>1.245866E-2</v>
      </c>
      <c r="AA1579">
        <v>0.98348120000000006</v>
      </c>
      <c r="AB1579">
        <v>19</v>
      </c>
      <c r="AC1579">
        <v>-23.331299999999999</v>
      </c>
      <c r="AD1579">
        <v>-1.1055092809610001</v>
      </c>
      <c r="AE1579">
        <v>0.153799999999989</v>
      </c>
      <c r="AF1579">
        <v>4.2385963211190001</v>
      </c>
      <c r="AG1579">
        <v>-1.1055092809610001</v>
      </c>
      <c r="AH1579">
        <v>22.890422028700598</v>
      </c>
      <c r="AI1579">
        <v>92.718844865422994</v>
      </c>
      <c r="AJ1579">
        <v>79.509420155586398</v>
      </c>
      <c r="AK1579">
        <v>23.3057776140535</v>
      </c>
      <c r="AL1579">
        <v>91.737447928476897</v>
      </c>
      <c r="AM1579">
        <v>86.027344292357697</v>
      </c>
      <c r="AN1579">
        <v>1.0000000105114599</v>
      </c>
    </row>
    <row r="1580" spans="1:40" x14ac:dyDescent="0.25">
      <c r="A1580" t="str">
        <f>"20190312151528747"</f>
        <v>20190312151528747</v>
      </c>
      <c r="B1580" t="str">
        <f>"1552374928739360"</f>
        <v>1552374928739360</v>
      </c>
      <c r="C1580" t="s">
        <v>40</v>
      </c>
      <c r="D1580">
        <v>4.9245049999999999</v>
      </c>
      <c r="E1580">
        <v>0.54233719999999996</v>
      </c>
      <c r="F1580" t="s">
        <v>51</v>
      </c>
      <c r="G1580">
        <v>-232.7458</v>
      </c>
      <c r="H1580" s="1">
        <v>3.8852279999999999E-8</v>
      </c>
      <c r="I1580">
        <v>281.99810000000002</v>
      </c>
      <c r="J1580">
        <v>-209.00200000000001</v>
      </c>
      <c r="K1580">
        <v>1.105621</v>
      </c>
      <c r="L1580">
        <v>281.79309999999998</v>
      </c>
      <c r="M1580">
        <v>-0.98577150000000002</v>
      </c>
      <c r="N1580">
        <v>0</v>
      </c>
      <c r="O1580">
        <v>-0.16778589999999999</v>
      </c>
      <c r="P1580">
        <v>-0.99392119999999995</v>
      </c>
      <c r="Q1580">
        <v>-4.0476659999999998E-2</v>
      </c>
      <c r="R1580">
        <v>-0.1023831</v>
      </c>
      <c r="S1580">
        <v>-3.016464</v>
      </c>
      <c r="T1580">
        <v>-0.13932739999999999</v>
      </c>
      <c r="U1580">
        <v>2.2766109999999999E-2</v>
      </c>
      <c r="V1580">
        <v>6.5566659999999999E-2</v>
      </c>
      <c r="W1580">
        <v>-3.0974749999999999E-2</v>
      </c>
      <c r="X1580">
        <v>0.99736729999999996</v>
      </c>
      <c r="Y1580">
        <v>0.17486570000000001</v>
      </c>
      <c r="Z1580">
        <v>1.175581E-2</v>
      </c>
      <c r="AA1580">
        <v>0.98452209999999996</v>
      </c>
      <c r="AB1580">
        <v>19</v>
      </c>
      <c r="AC1580">
        <v>-23.7438</v>
      </c>
      <c r="AD1580">
        <v>-1.1056209611477199</v>
      </c>
      <c r="AE1580">
        <v>0.20500000000004001</v>
      </c>
      <c r="AF1580">
        <v>4.1771160209283797</v>
      </c>
      <c r="AG1580">
        <v>-1.1056209611477199</v>
      </c>
      <c r="AH1580">
        <v>23.3221975314225</v>
      </c>
      <c r="AI1580">
        <v>92.671702701901594</v>
      </c>
      <c r="AJ1580">
        <v>79.845719101291394</v>
      </c>
      <c r="AK1580">
        <v>23.719097656882202</v>
      </c>
      <c r="AL1580">
        <v>91.775006399172199</v>
      </c>
      <c r="AM1580">
        <v>86.238802793826395</v>
      </c>
      <c r="AN1580">
        <v>0.99999997657520301</v>
      </c>
    </row>
    <row r="1581" spans="1:40" x14ac:dyDescent="0.25">
      <c r="A1581" t="str">
        <f>"20190312151528768"</f>
        <v>20190312151528768</v>
      </c>
      <c r="B1581" t="str">
        <f>"1552374928758880"</f>
        <v>1552374928758880</v>
      </c>
      <c r="C1581" t="s">
        <v>40</v>
      </c>
      <c r="D1581">
        <v>4.8781540000000003</v>
      </c>
      <c r="E1581">
        <v>0.5415449</v>
      </c>
      <c r="F1581" t="s">
        <v>51</v>
      </c>
      <c r="G1581">
        <v>-232.0419</v>
      </c>
      <c r="H1581" s="1">
        <v>-3.3655799999999999E-7</v>
      </c>
      <c r="I1581">
        <v>282.01650000000001</v>
      </c>
      <c r="J1581">
        <v>-209.18530000000001</v>
      </c>
      <c r="K1581">
        <v>1.105747</v>
      </c>
      <c r="L1581">
        <v>281.77069999999998</v>
      </c>
      <c r="M1581">
        <v>-0.98697440000000003</v>
      </c>
      <c r="N1581">
        <v>0</v>
      </c>
      <c r="O1581">
        <v>-0.1605655</v>
      </c>
      <c r="P1581">
        <v>-0.99423589999999995</v>
      </c>
      <c r="Q1581">
        <v>-4.0825189999999997E-2</v>
      </c>
      <c r="R1581">
        <v>-9.9140530000000004E-2</v>
      </c>
      <c r="S1581">
        <v>-3.0154719999999999</v>
      </c>
      <c r="T1581">
        <v>-0.14470459999999999</v>
      </c>
      <c r="U1581">
        <v>2.9235839999999999E-2</v>
      </c>
      <c r="V1581">
        <v>6.1525059999999999E-2</v>
      </c>
      <c r="W1581">
        <v>-3.135288E-2</v>
      </c>
      <c r="X1581">
        <v>0.99761299999999997</v>
      </c>
      <c r="Y1581">
        <v>0.16975599999999999</v>
      </c>
      <c r="Z1581">
        <v>1.1747860000000001E-2</v>
      </c>
      <c r="AA1581">
        <v>0.98541610000000002</v>
      </c>
      <c r="AB1581">
        <v>19</v>
      </c>
      <c r="AC1581">
        <v>-22.856599999999901</v>
      </c>
      <c r="AD1581">
        <v>-1.1057473365579999</v>
      </c>
      <c r="AE1581">
        <v>0.24580000000003099</v>
      </c>
      <c r="AF1581">
        <v>3.9036408631652701</v>
      </c>
      <c r="AG1581">
        <v>-1.1057473365579999</v>
      </c>
      <c r="AH1581">
        <v>22.4679632321313</v>
      </c>
      <c r="AI1581">
        <v>92.775983631898498</v>
      </c>
      <c r="AJ1581">
        <v>80.143675999465799</v>
      </c>
      <c r="AK1581">
        <v>22.831348207262799</v>
      </c>
      <c r="AL1581">
        <v>91.796682108523598</v>
      </c>
      <c r="AM1581">
        <v>86.470908851887302</v>
      </c>
      <c r="AN1581">
        <v>1.00000001693064</v>
      </c>
    </row>
    <row r="1582" spans="1:40" x14ac:dyDescent="0.25">
      <c r="A1582" t="str">
        <f>"20190312151528792"</f>
        <v>20190312151528792</v>
      </c>
      <c r="B1582" t="str">
        <f>"1552374928789136"</f>
        <v>1552374928789136</v>
      </c>
      <c r="C1582" t="s">
        <v>40</v>
      </c>
      <c r="D1582">
        <v>4.9323139999999999</v>
      </c>
      <c r="E1582">
        <v>0.52950739999999996</v>
      </c>
      <c r="F1582" t="s">
        <v>51</v>
      </c>
      <c r="G1582">
        <v>-231.5258</v>
      </c>
      <c r="H1582" s="1">
        <v>-6.1114039999999997E-7</v>
      </c>
      <c r="I1582">
        <v>282.0154</v>
      </c>
      <c r="J1582">
        <v>-209.37880000000001</v>
      </c>
      <c r="K1582">
        <v>1.1058969999999999</v>
      </c>
      <c r="L1582">
        <v>281.74810000000002</v>
      </c>
      <c r="M1582">
        <v>-0.98813960000000001</v>
      </c>
      <c r="N1582">
        <v>0</v>
      </c>
      <c r="O1582">
        <v>-0.15323699999999901</v>
      </c>
      <c r="P1582">
        <v>-0.99466069999999995</v>
      </c>
      <c r="Q1582">
        <v>-4.0403219999999997E-2</v>
      </c>
      <c r="R1582">
        <v>-9.4963539999999999E-2</v>
      </c>
      <c r="S1582">
        <v>-3.0145569999999999</v>
      </c>
      <c r="T1582">
        <v>-0.1492059</v>
      </c>
      <c r="U1582">
        <v>3.3020019999999997E-2</v>
      </c>
      <c r="V1582">
        <v>5.8331330000000001E-2</v>
      </c>
      <c r="W1582">
        <v>-3.0975900000000001E-2</v>
      </c>
      <c r="X1582">
        <v>0.99781660000000005</v>
      </c>
      <c r="Y1582">
        <v>0.16367190000000001</v>
      </c>
      <c r="Z1582">
        <v>1.160694E-2</v>
      </c>
      <c r="AA1582">
        <v>0.98644659999999995</v>
      </c>
      <c r="AB1582">
        <v>19</v>
      </c>
      <c r="AC1582">
        <v>-22.146999999999899</v>
      </c>
      <c r="AD1582">
        <v>-1.1058976111404</v>
      </c>
      <c r="AE1582">
        <v>0.267299999999977</v>
      </c>
      <c r="AF1582">
        <v>3.6489526713896501</v>
      </c>
      <c r="AG1582">
        <v>-1.1058976111404</v>
      </c>
      <c r="AH1582">
        <v>21.790119332416499</v>
      </c>
      <c r="AI1582">
        <v>92.865563803896407</v>
      </c>
      <c r="AJ1582">
        <v>80.493510317413296</v>
      </c>
      <c r="AK1582">
        <v>22.1211926813479</v>
      </c>
      <c r="AL1582">
        <v>91.775072263665706</v>
      </c>
      <c r="AM1582">
        <v>86.654355508774202</v>
      </c>
      <c r="AN1582">
        <v>1.0000000088379599</v>
      </c>
    </row>
    <row r="1583" spans="1:40" x14ac:dyDescent="0.25">
      <c r="A1583" t="str">
        <f>"20190312151528814"</f>
        <v>20190312151528814</v>
      </c>
      <c r="B1583" t="str">
        <f>"1552374928809633"</f>
        <v>1552374928809633</v>
      </c>
      <c r="C1583" t="s">
        <v>40</v>
      </c>
      <c r="D1583">
        <v>4.911225</v>
      </c>
      <c r="E1583">
        <v>0.52902360000000004</v>
      </c>
      <c r="F1583" t="s">
        <v>51</v>
      </c>
      <c r="G1583">
        <v>-228.79150000000001</v>
      </c>
      <c r="H1583" s="1">
        <v>3.1415989999999999E-6</v>
      </c>
      <c r="I1583">
        <v>281.42829999999998</v>
      </c>
      <c r="J1583">
        <v>-209.5659</v>
      </c>
      <c r="K1583">
        <v>1.10605</v>
      </c>
      <c r="L1583">
        <v>281.72739999999999</v>
      </c>
      <c r="M1583">
        <v>-0.98916479999999996</v>
      </c>
      <c r="N1583">
        <v>0</v>
      </c>
      <c r="O1583">
        <v>-0.14648069999999999</v>
      </c>
      <c r="P1583">
        <v>-0.99499020000000005</v>
      </c>
      <c r="Q1583">
        <v>-4.1164689999999997E-2</v>
      </c>
      <c r="R1583">
        <v>-9.1105320000000004E-2</v>
      </c>
      <c r="S1583">
        <v>-3.0044249999999999</v>
      </c>
      <c r="T1583">
        <v>-0.1711549</v>
      </c>
      <c r="U1583">
        <v>-4.9499509999999997E-2</v>
      </c>
      <c r="V1583">
        <v>5.5384679999999999E-2</v>
      </c>
      <c r="W1583">
        <v>-3.179415E-2</v>
      </c>
      <c r="X1583">
        <v>0.99795880000000003</v>
      </c>
      <c r="Y1583">
        <v>0.12972620000000001</v>
      </c>
      <c r="Z1583">
        <v>1.200444E-2</v>
      </c>
      <c r="AA1583">
        <v>0.99147719999999995</v>
      </c>
      <c r="AB1583">
        <v>19</v>
      </c>
      <c r="AC1583">
        <v>-19.2256</v>
      </c>
      <c r="AD1583">
        <v>-1.1060468584009999</v>
      </c>
      <c r="AE1583">
        <v>-0.29910000000000903</v>
      </c>
      <c r="AF1583">
        <v>2.5121292901906198</v>
      </c>
      <c r="AG1583">
        <v>-1.1060468584009999</v>
      </c>
      <c r="AH1583">
        <v>18.999151918492199</v>
      </c>
      <c r="AI1583">
        <v>93.303063134251005</v>
      </c>
      <c r="AJ1583">
        <v>82.467858774265594</v>
      </c>
      <c r="AK1583">
        <v>19.1964034872566</v>
      </c>
      <c r="AL1583">
        <v>91.821977570689995</v>
      </c>
      <c r="AM1583">
        <v>86.823459579661105</v>
      </c>
      <c r="AN1583">
        <v>1.0000000486251801</v>
      </c>
    </row>
    <row r="1584" spans="1:40" x14ac:dyDescent="0.25">
      <c r="A1584" t="str">
        <f>"20190312151528837"</f>
        <v>20190312151528837</v>
      </c>
      <c r="B1584" t="str">
        <f>"1552374928829153"</f>
        <v>1552374928829153</v>
      </c>
      <c r="C1584" t="s">
        <v>40</v>
      </c>
      <c r="D1584">
        <v>4.9425790000000003</v>
      </c>
      <c r="E1584">
        <v>0.5279549</v>
      </c>
      <c r="F1584" t="s">
        <v>41</v>
      </c>
      <c r="G1584">
        <v>-210.4761</v>
      </c>
      <c r="H1584">
        <v>1.050635</v>
      </c>
      <c r="I1584">
        <v>281.7149</v>
      </c>
      <c r="J1584">
        <v>-209.76990000000001</v>
      </c>
      <c r="K1584">
        <v>1.106212</v>
      </c>
      <c r="L1584">
        <v>281.70569999999998</v>
      </c>
      <c r="M1584">
        <v>-0.99017330000000003</v>
      </c>
      <c r="N1584">
        <v>0</v>
      </c>
      <c r="O1584">
        <v>-0.139508299999999</v>
      </c>
      <c r="P1584">
        <v>-0.99535450000000003</v>
      </c>
      <c r="Q1584">
        <v>-4.1736469999999998E-2</v>
      </c>
      <c r="R1584">
        <v>-8.6761950000000004E-2</v>
      </c>
      <c r="S1584">
        <v>-3.0037539999999998</v>
      </c>
      <c r="T1584">
        <v>-0.18272450000000001</v>
      </c>
      <c r="U1584">
        <v>-4.1412350000000001E-2</v>
      </c>
      <c r="V1584">
        <v>5.2715860000000003E-2</v>
      </c>
      <c r="W1584">
        <v>-3.2443609999999998E-2</v>
      </c>
      <c r="X1584">
        <v>0.99808240000000004</v>
      </c>
      <c r="Y1584">
        <v>0.1253629</v>
      </c>
      <c r="Z1584">
        <v>1.226519E-2</v>
      </c>
      <c r="AA1584">
        <v>0.99203520000000001</v>
      </c>
      <c r="AB1584">
        <v>19</v>
      </c>
      <c r="AC1584">
        <v>-0.70619999999999505</v>
      </c>
      <c r="AD1584">
        <v>-5.5576999999999897E-2</v>
      </c>
      <c r="AE1584">
        <v>9.2000000000211895E-3</v>
      </c>
      <c r="AF1584">
        <v>0.10697300654016299</v>
      </c>
      <c r="AG1584">
        <v>-5.5576999999999897E-2</v>
      </c>
      <c r="AH1584">
        <v>0.69371403435586398</v>
      </c>
      <c r="AI1584">
        <v>94.527193822363699</v>
      </c>
      <c r="AJ1584">
        <v>81.233847912274598</v>
      </c>
      <c r="AK1584">
        <v>0.70411021049231404</v>
      </c>
      <c r="AL1584">
        <v>91.859208160782799</v>
      </c>
      <c r="AM1584">
        <v>86.976609980888398</v>
      </c>
      <c r="AN1584">
        <v>1.00000001345756</v>
      </c>
    </row>
    <row r="1585" spans="1:40" x14ac:dyDescent="0.25">
      <c r="A1585" t="str">
        <f>"20190312151528858"</f>
        <v>20190312151528858</v>
      </c>
      <c r="B1585" t="str">
        <f>"1552374928849652"</f>
        <v>1552374928849652</v>
      </c>
      <c r="C1585" t="s">
        <v>40</v>
      </c>
      <c r="D1585">
        <v>4.9209389999999997</v>
      </c>
      <c r="E1585">
        <v>0.52715519999999905</v>
      </c>
      <c r="F1585" t="s">
        <v>41</v>
      </c>
      <c r="G1585">
        <v>-210.64529999999999</v>
      </c>
      <c r="H1585">
        <v>1.0503370000000001</v>
      </c>
      <c r="I1585">
        <v>281.69529999999997</v>
      </c>
      <c r="J1585">
        <v>-209.94659999999999</v>
      </c>
      <c r="K1585">
        <v>1.1063270000000001</v>
      </c>
      <c r="L1585">
        <v>281.68790000000001</v>
      </c>
      <c r="M1585">
        <v>-0.99097170000000001</v>
      </c>
      <c r="N1585">
        <v>0</v>
      </c>
      <c r="O1585">
        <v>-0.13372719999999999</v>
      </c>
      <c r="P1585">
        <v>-0.99560990000000005</v>
      </c>
      <c r="Q1585">
        <v>-4.1672290000000001E-2</v>
      </c>
      <c r="R1585">
        <v>-8.3811300000000005E-2</v>
      </c>
      <c r="S1585">
        <v>-3.0028079999999999</v>
      </c>
      <c r="T1585">
        <v>-0.1914188</v>
      </c>
      <c r="U1585">
        <v>-3.668213E-2</v>
      </c>
      <c r="V1585">
        <v>4.9860439999999999E-2</v>
      </c>
      <c r="W1585">
        <v>-3.2444149999999998E-2</v>
      </c>
      <c r="X1585">
        <v>0.99822909999999998</v>
      </c>
      <c r="Y1585">
        <v>0.1211024</v>
      </c>
      <c r="Z1585">
        <v>1.2351000000000001E-2</v>
      </c>
      <c r="AA1585">
        <v>0.99256319999999998</v>
      </c>
      <c r="AB1585">
        <v>19</v>
      </c>
      <c r="AC1585">
        <v>-0.69870000000000199</v>
      </c>
      <c r="AD1585">
        <v>-5.5989999999999901E-2</v>
      </c>
      <c r="AE1585">
        <v>7.3999999999614296E-3</v>
      </c>
      <c r="AF1585">
        <v>0.100130109458041</v>
      </c>
      <c r="AG1585">
        <v>-5.5989999999999901E-2</v>
      </c>
      <c r="AH1585">
        <v>0.68702294260590402</v>
      </c>
      <c r="AI1585">
        <v>94.610614088153099</v>
      </c>
      <c r="AJ1585">
        <v>81.707814851460896</v>
      </c>
      <c r="AK1585">
        <v>0.69653531323756601</v>
      </c>
      <c r="AL1585">
        <v>91.859239120967999</v>
      </c>
      <c r="AM1585">
        <v>87.140515608878303</v>
      </c>
      <c r="AN1585">
        <v>1.0000000112165099</v>
      </c>
    </row>
    <row r="1586" spans="1:40" x14ac:dyDescent="0.25">
      <c r="A1586" t="str">
        <f>"20190312151528879"</f>
        <v>20190312151528879</v>
      </c>
      <c r="B1586" t="str">
        <f>"1552374928869168"</f>
        <v>1552374928869168</v>
      </c>
      <c r="C1586" t="s">
        <v>40</v>
      </c>
      <c r="D1586">
        <v>4.9866590000000004</v>
      </c>
      <c r="E1586">
        <v>0.52606949999999997</v>
      </c>
      <c r="F1586" t="s">
        <v>41</v>
      </c>
      <c r="G1586">
        <v>-210.8159</v>
      </c>
      <c r="H1586">
        <v>1.0504530000000001</v>
      </c>
      <c r="I1586">
        <v>281.67809999999997</v>
      </c>
      <c r="J1586">
        <v>-210.13650000000001</v>
      </c>
      <c r="K1586">
        <v>1.106422</v>
      </c>
      <c r="L1586">
        <v>281.6694</v>
      </c>
      <c r="M1586">
        <v>-0.99175720000000001</v>
      </c>
      <c r="N1586">
        <v>0</v>
      </c>
      <c r="O1586">
        <v>-0.12777959999999999</v>
      </c>
      <c r="P1586">
        <v>-0.99584079999999997</v>
      </c>
      <c r="Q1586">
        <v>-4.2969699999999902E-2</v>
      </c>
      <c r="R1586">
        <v>-8.0338619999999999E-2</v>
      </c>
      <c r="S1586">
        <v>-3.0022890000000002</v>
      </c>
      <c r="T1586">
        <v>-0.19294749999999999</v>
      </c>
      <c r="U1586">
        <v>-3.4088130000000001E-2</v>
      </c>
      <c r="V1586">
        <v>4.7345949999999998E-2</v>
      </c>
      <c r="W1586">
        <v>-3.3816840000000001E-2</v>
      </c>
      <c r="X1586">
        <v>0.99830600000000003</v>
      </c>
      <c r="Y1586">
        <v>0.1160152</v>
      </c>
      <c r="Z1586">
        <v>1.190925E-2</v>
      </c>
      <c r="AA1586">
        <v>0.99317599999999995</v>
      </c>
      <c r="AB1586">
        <v>19</v>
      </c>
      <c r="AC1586">
        <v>-0.67939999999998602</v>
      </c>
      <c r="AD1586">
        <v>-5.5968999999999901E-2</v>
      </c>
      <c r="AE1586">
        <v>8.6999999999761695E-3</v>
      </c>
      <c r="AF1586">
        <v>9.4802773674223795E-2</v>
      </c>
      <c r="AG1586">
        <v>-5.5968999999999901E-2</v>
      </c>
      <c r="AH1586">
        <v>0.66818457040805501</v>
      </c>
      <c r="AI1586">
        <v>94.740817333189497</v>
      </c>
      <c r="AJ1586">
        <v>81.924708798908</v>
      </c>
      <c r="AK1586">
        <v>0.67719326265751001</v>
      </c>
      <c r="AL1586">
        <v>91.937931606500001</v>
      </c>
      <c r="AM1586">
        <v>87.284708310295997</v>
      </c>
      <c r="AN1586">
        <v>1.0000000436424901</v>
      </c>
    </row>
    <row r="1587" spans="1:40" x14ac:dyDescent="0.25">
      <c r="A1587" t="str">
        <f>"20190312151528902"</f>
        <v>20190312151528902</v>
      </c>
      <c r="B1587" t="str">
        <f>"1552374928899424"</f>
        <v>1552374928899424</v>
      </c>
      <c r="C1587" t="s">
        <v>40</v>
      </c>
      <c r="D1587">
        <v>5.3008930000000003</v>
      </c>
      <c r="E1587">
        <v>0.51813959999999903</v>
      </c>
      <c r="F1587" t="s">
        <v>41</v>
      </c>
      <c r="G1587">
        <v>-210.98750000000001</v>
      </c>
      <c r="H1587">
        <v>1.051256</v>
      </c>
      <c r="I1587">
        <v>281.66030000000001</v>
      </c>
      <c r="J1587">
        <v>-210.32820000000001</v>
      </c>
      <c r="K1587">
        <v>1.1065039999999999</v>
      </c>
      <c r="L1587">
        <v>281.65159999999997</v>
      </c>
      <c r="M1587">
        <v>-0.99247830000000004</v>
      </c>
      <c r="N1587">
        <v>0</v>
      </c>
      <c r="O1587">
        <v>-0.1220624</v>
      </c>
      <c r="P1587">
        <v>-0.99596680000000004</v>
      </c>
      <c r="Q1587">
        <v>-4.4532589999999997E-2</v>
      </c>
      <c r="R1587">
        <v>-7.7890840000000003E-2</v>
      </c>
      <c r="S1587">
        <v>-3.0014949999999998</v>
      </c>
      <c r="T1587">
        <v>-0.19450509999999999</v>
      </c>
      <c r="U1587">
        <v>-3.2501219999999997E-2</v>
      </c>
      <c r="V1587">
        <v>4.4037220000000002E-2</v>
      </c>
      <c r="W1587">
        <v>-3.5457280000000001E-2</v>
      </c>
      <c r="X1587">
        <v>0.99840039999999997</v>
      </c>
      <c r="Y1587">
        <v>0.1108266</v>
      </c>
      <c r="Z1587">
        <v>1.147272E-2</v>
      </c>
      <c r="AA1587">
        <v>0.99377349999999998</v>
      </c>
      <c r="AB1587">
        <v>19</v>
      </c>
      <c r="AC1587">
        <v>-0.659300000000001</v>
      </c>
      <c r="AD1587">
        <v>-5.5248000000000103E-2</v>
      </c>
      <c r="AE1587">
        <v>8.7000000000330095E-3</v>
      </c>
      <c r="AF1587">
        <v>8.8492906776056798E-2</v>
      </c>
      <c r="AG1587">
        <v>-5.5248000000000103E-2</v>
      </c>
      <c r="AH1587">
        <v>0.64875280052446305</v>
      </c>
      <c r="AI1587">
        <v>94.823133152466596</v>
      </c>
      <c r="AJ1587">
        <v>82.232526283998993</v>
      </c>
      <c r="AK1587">
        <v>0.65708715726455103</v>
      </c>
      <c r="AL1587">
        <v>92.031978570547494</v>
      </c>
      <c r="AM1587">
        <v>87.474447628785299</v>
      </c>
      <c r="AN1587">
        <v>0.99999992708523999</v>
      </c>
    </row>
    <row r="1588" spans="1:40" x14ac:dyDescent="0.25">
      <c r="A1588" t="str">
        <f>"20190312151528925"</f>
        <v>20190312151528925</v>
      </c>
      <c r="B1588" t="str">
        <f>"1552374928918944"</f>
        <v>1552374928918944</v>
      </c>
      <c r="C1588" t="s">
        <v>40</v>
      </c>
      <c r="D1588">
        <v>5.015358</v>
      </c>
      <c r="E1588">
        <v>0.51785689999999995</v>
      </c>
      <c r="F1588" t="s">
        <v>41</v>
      </c>
      <c r="G1588">
        <v>-211.15799999999999</v>
      </c>
      <c r="H1588">
        <v>1.0525469999999999</v>
      </c>
      <c r="I1588">
        <v>281.62729999999999</v>
      </c>
      <c r="J1588">
        <v>-210.53059999999999</v>
      </c>
      <c r="K1588">
        <v>1.1065990000000001</v>
      </c>
      <c r="L1588">
        <v>281.63380000000001</v>
      </c>
      <c r="M1588">
        <v>-0.99316689999999996</v>
      </c>
      <c r="N1588">
        <v>0</v>
      </c>
      <c r="O1588">
        <v>-0.1163366</v>
      </c>
      <c r="P1588">
        <v>-0.99615849999999995</v>
      </c>
      <c r="Q1588">
        <v>-4.4557359999999997E-2</v>
      </c>
      <c r="R1588">
        <v>-7.53862E-2</v>
      </c>
      <c r="S1588">
        <v>-2.9965519999999999</v>
      </c>
      <c r="T1588">
        <v>-0.19472</v>
      </c>
      <c r="U1588">
        <v>-8.8043209999999997E-2</v>
      </c>
      <c r="V1588">
        <v>4.0800219999999998E-2</v>
      </c>
      <c r="W1588">
        <v>-3.5578079999999998E-2</v>
      </c>
      <c r="X1588">
        <v>0.99853369999999997</v>
      </c>
      <c r="Y1588">
        <v>8.6695369999999994E-2</v>
      </c>
      <c r="Z1588">
        <v>1.034757E-2</v>
      </c>
      <c r="AA1588">
        <v>0.99618110000000004</v>
      </c>
      <c r="AB1588">
        <v>19</v>
      </c>
      <c r="AC1588">
        <v>-0.62739999999999396</v>
      </c>
      <c r="AD1588">
        <v>-5.4051999999999899E-2</v>
      </c>
      <c r="AE1588">
        <v>-6.5000000000168196E-3</v>
      </c>
      <c r="AF1588">
        <v>6.6046674875003999E-2</v>
      </c>
      <c r="AG1588">
        <v>-5.4051999999999899E-2</v>
      </c>
      <c r="AH1588">
        <v>0.61929962005093497</v>
      </c>
      <c r="AI1588">
        <v>94.960105811582494</v>
      </c>
      <c r="AJ1588">
        <v>83.912565104970398</v>
      </c>
      <c r="AK1588">
        <v>0.62515262245413095</v>
      </c>
      <c r="AL1588">
        <v>92.038904114358104</v>
      </c>
      <c r="AM1588">
        <v>87.660188381849494</v>
      </c>
      <c r="AN1588">
        <v>1.00000000388211</v>
      </c>
    </row>
    <row r="1589" spans="1:40" x14ac:dyDescent="0.25">
      <c r="A1589" t="str">
        <f>"20190312151528949"</f>
        <v>20190312151528949</v>
      </c>
      <c r="B1589" t="str">
        <f>"1552374928939440"</f>
        <v>1552374928939440</v>
      </c>
      <c r="C1589" t="s">
        <v>40</v>
      </c>
      <c r="D1589">
        <v>4.9863869999999997</v>
      </c>
      <c r="E1589">
        <v>0.51695040000000003</v>
      </c>
      <c r="F1589" t="s">
        <v>41</v>
      </c>
      <c r="G1589">
        <v>-211.33240000000001</v>
      </c>
      <c r="H1589">
        <v>1.054508</v>
      </c>
      <c r="I1589">
        <v>281.61160000000001</v>
      </c>
      <c r="J1589">
        <v>-210.72909999999999</v>
      </c>
      <c r="K1589">
        <v>1.1067070000000001</v>
      </c>
      <c r="L1589">
        <v>281.61700000000002</v>
      </c>
      <c r="M1589">
        <v>-0.99377599999999999</v>
      </c>
      <c r="N1589">
        <v>0</v>
      </c>
      <c r="O1589">
        <v>-0.1110246</v>
      </c>
      <c r="P1589">
        <v>-0.99628629999999996</v>
      </c>
      <c r="Q1589">
        <v>-4.4943740000000003E-2</v>
      </c>
      <c r="R1589">
        <v>-7.3443820000000007E-2</v>
      </c>
      <c r="S1589">
        <v>-2.9965820000000001</v>
      </c>
      <c r="T1589">
        <v>-0.1946079</v>
      </c>
      <c r="U1589">
        <v>-8.3038329999999994E-2</v>
      </c>
      <c r="V1589">
        <v>3.7415450000000003E-2</v>
      </c>
      <c r="W1589">
        <v>-3.6068129999999997E-2</v>
      </c>
      <c r="X1589">
        <v>0.99864869999999994</v>
      </c>
      <c r="Y1589">
        <v>8.3049990000000004E-2</v>
      </c>
      <c r="Z1589">
        <v>9.8811090000000008E-3</v>
      </c>
      <c r="AA1589">
        <v>0.99649639999999995</v>
      </c>
      <c r="AB1589">
        <v>19</v>
      </c>
      <c r="AC1589">
        <v>-0.60330000000001804</v>
      </c>
      <c r="AD1589">
        <v>-5.2198999999999801E-2</v>
      </c>
      <c r="AE1589">
        <v>-5.4000000000087303E-3</v>
      </c>
      <c r="AF1589">
        <v>6.11594902033957E-2</v>
      </c>
      <c r="AG1589">
        <v>-5.2198999999999801E-2</v>
      </c>
      <c r="AH1589">
        <v>0.59571023059734296</v>
      </c>
      <c r="AI1589">
        <v>94.981688777291097</v>
      </c>
      <c r="AJ1589">
        <v>84.138180054886604</v>
      </c>
      <c r="AK1589">
        <v>0.60111221721179398</v>
      </c>
      <c r="AL1589">
        <v>92.0669998990397</v>
      </c>
      <c r="AM1589">
        <v>87.854355437354599</v>
      </c>
      <c r="AN1589">
        <v>1.00000002595604</v>
      </c>
    </row>
    <row r="1590" spans="1:40" x14ac:dyDescent="0.25">
      <c r="A1590" t="str">
        <f>"20190312151528971"</f>
        <v>20190312151528971</v>
      </c>
      <c r="B1590" t="str">
        <f>"1552374928958961"</f>
        <v>1552374928958961</v>
      </c>
      <c r="C1590" t="s">
        <v>40</v>
      </c>
      <c r="D1590">
        <v>4.9756729999999996</v>
      </c>
      <c r="E1590">
        <v>0.51671639999999996</v>
      </c>
      <c r="F1590" t="s">
        <v>41</v>
      </c>
      <c r="G1590">
        <v>-211.50579999999999</v>
      </c>
      <c r="H1590">
        <v>1.0546530000000001</v>
      </c>
      <c r="I1590">
        <v>281.59519999999998</v>
      </c>
      <c r="J1590">
        <v>-210.9211</v>
      </c>
      <c r="K1590">
        <v>1.106827</v>
      </c>
      <c r="L1590">
        <v>281.60140000000001</v>
      </c>
      <c r="M1590">
        <v>-0.99430799999999997</v>
      </c>
      <c r="N1590">
        <v>0</v>
      </c>
      <c r="O1590">
        <v>-0.1061661</v>
      </c>
      <c r="P1590">
        <v>-0.9962915</v>
      </c>
      <c r="Q1590">
        <v>-4.6403449999999999E-2</v>
      </c>
      <c r="R1590">
        <v>-7.2456549999999995E-2</v>
      </c>
      <c r="S1590">
        <v>-2.995911</v>
      </c>
      <c r="T1590">
        <v>-0.20066909999999999</v>
      </c>
      <c r="U1590">
        <v>-8.4350590000000003E-2</v>
      </c>
      <c r="V1590">
        <v>3.352169E-2</v>
      </c>
      <c r="W1590">
        <v>-3.7631079999999997E-2</v>
      </c>
      <c r="X1590">
        <v>0.99872930000000004</v>
      </c>
      <c r="Y1590">
        <v>7.7732540000000003E-2</v>
      </c>
      <c r="Z1590">
        <v>9.6891879999999996E-3</v>
      </c>
      <c r="AA1590">
        <v>0.99692709999999995</v>
      </c>
      <c r="AB1590">
        <v>19</v>
      </c>
      <c r="AC1590">
        <v>-0.584699999999997</v>
      </c>
      <c r="AD1590">
        <v>-5.2173999999999901E-2</v>
      </c>
      <c r="AE1590">
        <v>-6.2000000000352797E-3</v>
      </c>
      <c r="AF1590">
        <v>5.5471223235724398E-2</v>
      </c>
      <c r="AG1590">
        <v>-5.2173999999999901E-2</v>
      </c>
      <c r="AH1590">
        <v>0.577456105565194</v>
      </c>
      <c r="AI1590">
        <v>95.139209328274404</v>
      </c>
      <c r="AJ1590">
        <v>84.512925579299704</v>
      </c>
      <c r="AK1590">
        <v>0.58245578092915096</v>
      </c>
      <c r="AL1590">
        <v>92.1566112445729</v>
      </c>
      <c r="AM1590">
        <v>88.077626640056096</v>
      </c>
      <c r="AN1590">
        <v>1.0000000082804501</v>
      </c>
    </row>
    <row r="1591" spans="1:40" x14ac:dyDescent="0.25">
      <c r="A1591" t="str">
        <f>"20190312151528994"</f>
        <v>20190312151528994</v>
      </c>
      <c r="B1591" t="str">
        <f>"1552374928989217"</f>
        <v>1552374928989217</v>
      </c>
      <c r="C1591" t="s">
        <v>40</v>
      </c>
      <c r="D1591">
        <v>5.0282549999999997</v>
      </c>
      <c r="E1591">
        <v>0.51617040000000003</v>
      </c>
      <c r="F1591" t="s">
        <v>41</v>
      </c>
      <c r="G1591">
        <v>-211.67939999999999</v>
      </c>
      <c r="H1591">
        <v>1.0542579999999999</v>
      </c>
      <c r="I1591">
        <v>281.58069999999998</v>
      </c>
      <c r="J1591">
        <v>-211.11879999999999</v>
      </c>
      <c r="K1591">
        <v>1.106959</v>
      </c>
      <c r="L1591">
        <v>281.58589999999998</v>
      </c>
      <c r="M1591">
        <v>-0.99479960000000001</v>
      </c>
      <c r="N1591">
        <v>0</v>
      </c>
      <c r="O1591">
        <v>-0.101468</v>
      </c>
      <c r="P1591">
        <v>-0.99635399999999996</v>
      </c>
      <c r="Q1591">
        <v>-4.6685320000000002E-2</v>
      </c>
      <c r="R1591">
        <v>-7.1408890000000003E-2</v>
      </c>
      <c r="S1591">
        <v>-2.9954529999999999</v>
      </c>
      <c r="T1591">
        <v>-0.20754030000000001</v>
      </c>
      <c r="U1591">
        <v>-8.3038329999999994E-2</v>
      </c>
      <c r="V1591">
        <v>2.9866500000000001E-2</v>
      </c>
      <c r="W1591">
        <v>-3.8023620000000001E-2</v>
      </c>
      <c r="X1591">
        <v>0.99883040000000001</v>
      </c>
      <c r="Y1591">
        <v>7.3447150000000003E-2</v>
      </c>
      <c r="Z1591">
        <v>9.5500440000000006E-3</v>
      </c>
      <c r="AA1591">
        <v>0.99725339999999996</v>
      </c>
      <c r="AB1591">
        <v>19</v>
      </c>
      <c r="AC1591">
        <v>-0.56059999999999299</v>
      </c>
      <c r="AD1591">
        <v>-5.2701000000000102E-2</v>
      </c>
      <c r="AE1591">
        <v>-5.2000000000020901E-3</v>
      </c>
      <c r="AF1591">
        <v>5.1259054598529002E-2</v>
      </c>
      <c r="AG1591">
        <v>-5.2701000000000102E-2</v>
      </c>
      <c r="AH1591">
        <v>0.55334427817141296</v>
      </c>
      <c r="AI1591">
        <v>95.417434920774895</v>
      </c>
      <c r="AJ1591">
        <v>84.707508934094406</v>
      </c>
      <c r="AK1591">
        <v>0.55820675046471602</v>
      </c>
      <c r="AL1591">
        <v>92.179118287468597</v>
      </c>
      <c r="AM1591">
        <v>88.287282133749002</v>
      </c>
      <c r="AN1591">
        <v>0.99999998573215698</v>
      </c>
    </row>
    <row r="1592" spans="1:40" x14ac:dyDescent="0.25">
      <c r="A1592" t="str">
        <f>"20190312151529015"</f>
        <v>20190312151529015</v>
      </c>
      <c r="B1592" t="str">
        <f>"1552374929008736"</f>
        <v>1552374929008736</v>
      </c>
      <c r="C1592" t="s">
        <v>40</v>
      </c>
      <c r="D1592">
        <v>5.0383209999999998</v>
      </c>
      <c r="E1592">
        <v>0.51574750000000003</v>
      </c>
      <c r="F1592" t="s">
        <v>41</v>
      </c>
      <c r="G1592">
        <v>-212.02160000000001</v>
      </c>
      <c r="H1592">
        <v>1.043634</v>
      </c>
      <c r="I1592">
        <v>281.56079999999997</v>
      </c>
      <c r="J1592">
        <v>-211.31270000000001</v>
      </c>
      <c r="K1592">
        <v>1.1070899999999999</v>
      </c>
      <c r="L1592">
        <v>281.57139999999998</v>
      </c>
      <c r="M1592">
        <v>-0.99522840000000001</v>
      </c>
      <c r="N1592">
        <v>0</v>
      </c>
      <c r="O1592">
        <v>-9.7185649999999998E-2</v>
      </c>
      <c r="P1592">
        <v>-0.99647989999999997</v>
      </c>
      <c r="Q1592">
        <v>-4.6460349999999997E-2</v>
      </c>
      <c r="R1592">
        <v>-6.9781330000000003E-2</v>
      </c>
      <c r="S1592">
        <v>-2.9951020000000002</v>
      </c>
      <c r="T1592">
        <v>-0.2099645</v>
      </c>
      <c r="U1592">
        <v>-8.4289550000000005E-2</v>
      </c>
      <c r="V1592">
        <v>2.721587E-2</v>
      </c>
      <c r="W1592">
        <v>-3.7913589999999997E-2</v>
      </c>
      <c r="X1592">
        <v>0.99891030000000003</v>
      </c>
      <c r="Y1592">
        <v>6.8746630000000003E-2</v>
      </c>
      <c r="Z1592">
        <v>9.1993630000000003E-3</v>
      </c>
      <c r="AA1592">
        <v>0.99759169999999997</v>
      </c>
      <c r="AB1592">
        <v>19</v>
      </c>
      <c r="AC1592">
        <v>-0.70889999999999898</v>
      </c>
      <c r="AD1592">
        <v>-6.3455999999999901E-2</v>
      </c>
      <c r="AE1592">
        <v>-1.06000000000108E-2</v>
      </c>
      <c r="AF1592">
        <v>5.7883985795698902E-2</v>
      </c>
      <c r="AG1592">
        <v>-6.3455999999999901E-2</v>
      </c>
      <c r="AH1592">
        <v>0.70095893880466997</v>
      </c>
      <c r="AI1592">
        <v>95.155286436048101</v>
      </c>
      <c r="AJ1592">
        <v>85.279323816073301</v>
      </c>
      <c r="AK1592">
        <v>0.70620156728639905</v>
      </c>
      <c r="AL1592">
        <v>92.172809527302604</v>
      </c>
      <c r="AM1592">
        <v>88.439330526876404</v>
      </c>
      <c r="AN1592">
        <v>0.99999996566631699</v>
      </c>
    </row>
    <row r="1593" spans="1:40" x14ac:dyDescent="0.25">
      <c r="A1593" t="str">
        <f>"20190312151529038"</f>
        <v>20190312151529038</v>
      </c>
      <c r="B1593" t="str">
        <f>"1552374929029233"</f>
        <v>1552374929029233</v>
      </c>
      <c r="C1593" t="s">
        <v>40</v>
      </c>
      <c r="D1593">
        <v>5.0301090000000004</v>
      </c>
      <c r="E1593">
        <v>0.51532529999999999</v>
      </c>
      <c r="F1593" t="s">
        <v>41</v>
      </c>
      <c r="G1593">
        <v>-212.19820000000001</v>
      </c>
      <c r="H1593">
        <v>1.04521</v>
      </c>
      <c r="I1593">
        <v>281.54689999999999</v>
      </c>
      <c r="J1593">
        <v>-211.5136</v>
      </c>
      <c r="K1593">
        <v>1.107194</v>
      </c>
      <c r="L1593">
        <v>281.55680000000001</v>
      </c>
      <c r="M1593">
        <v>-0.99562779999999995</v>
      </c>
      <c r="N1593">
        <v>0</v>
      </c>
      <c r="O1593">
        <v>-9.3018000000000003E-2</v>
      </c>
      <c r="P1593">
        <v>-0.99657560000000001</v>
      </c>
      <c r="Q1593">
        <v>-4.7373650000000003E-2</v>
      </c>
      <c r="R1593">
        <v>-6.7772490000000005E-2</v>
      </c>
      <c r="S1593">
        <v>-2.9950260000000002</v>
      </c>
      <c r="T1593">
        <v>-0.20929049999999999</v>
      </c>
      <c r="U1593">
        <v>-8.2916260000000006E-2</v>
      </c>
      <c r="V1593">
        <v>2.5051210000000001E-2</v>
      </c>
      <c r="W1593">
        <v>-3.8946990000000001E-2</v>
      </c>
      <c r="X1593">
        <v>0.99892720000000002</v>
      </c>
      <c r="Y1593">
        <v>6.5047279999999999E-2</v>
      </c>
      <c r="Z1593">
        <v>8.7515070000000004E-3</v>
      </c>
      <c r="AA1593">
        <v>0.99784379999999995</v>
      </c>
      <c r="AB1593">
        <v>20</v>
      </c>
      <c r="AC1593">
        <v>-0.68460000000001697</v>
      </c>
      <c r="AD1593">
        <v>-6.1983999999999997E-2</v>
      </c>
      <c r="AE1593">
        <v>-9.9000000000160002E-3</v>
      </c>
      <c r="AF1593">
        <v>5.3387811411727097E-2</v>
      </c>
      <c r="AG1593">
        <v>-6.1983999999999997E-2</v>
      </c>
      <c r="AH1593">
        <v>0.67700393140971105</v>
      </c>
      <c r="AI1593">
        <v>95.215106392611801</v>
      </c>
      <c r="AJ1593">
        <v>85.491046853150394</v>
      </c>
      <c r="AK1593">
        <v>0.68192858702912496</v>
      </c>
      <c r="AL1593">
        <v>92.232062705242896</v>
      </c>
      <c r="AM1593">
        <v>88.563431028981299</v>
      </c>
      <c r="AN1593">
        <v>0.99999999102618198</v>
      </c>
    </row>
    <row r="1594" spans="1:40" x14ac:dyDescent="0.25">
      <c r="A1594" t="str">
        <f>"20190312151529060"</f>
        <v>20190312151529060</v>
      </c>
      <c r="B1594" t="str">
        <f>"1552374929048753"</f>
        <v>1552374929048753</v>
      </c>
      <c r="C1594" t="s">
        <v>40</v>
      </c>
      <c r="D1594">
        <v>5.0351100000000004</v>
      </c>
      <c r="E1594">
        <v>0.51484779999999997</v>
      </c>
      <c r="F1594" t="s">
        <v>41</v>
      </c>
      <c r="G1594">
        <v>-212.37520000000001</v>
      </c>
      <c r="H1594">
        <v>1.0464290000000001</v>
      </c>
      <c r="I1594">
        <v>281.53390000000002</v>
      </c>
      <c r="J1594">
        <v>-211.70840000000001</v>
      </c>
      <c r="K1594">
        <v>1.1072740000000001</v>
      </c>
      <c r="L1594">
        <v>281.54309999999998</v>
      </c>
      <c r="M1594">
        <v>-0.99597599999999997</v>
      </c>
      <c r="N1594">
        <v>0</v>
      </c>
      <c r="O1594">
        <v>-8.9223849999999993E-2</v>
      </c>
      <c r="P1594">
        <v>-0.99658069999999999</v>
      </c>
      <c r="Q1594">
        <v>-4.865941E-2</v>
      </c>
      <c r="R1594">
        <v>-6.6777009999999998E-2</v>
      </c>
      <c r="S1594">
        <v>-2.994812</v>
      </c>
      <c r="T1594">
        <v>-0.21108370000000001</v>
      </c>
      <c r="U1594">
        <v>-8.0291749999999995E-2</v>
      </c>
      <c r="V1594">
        <v>2.2241670000000002E-2</v>
      </c>
      <c r="W1594">
        <v>-4.0344039999999998E-2</v>
      </c>
      <c r="X1594">
        <v>0.99893829999999995</v>
      </c>
      <c r="Y1594">
        <v>6.2126670000000002E-2</v>
      </c>
      <c r="Z1594">
        <v>8.4582619999999994E-3</v>
      </c>
      <c r="AA1594">
        <v>0.99803249999999999</v>
      </c>
      <c r="AB1594">
        <v>20</v>
      </c>
      <c r="AC1594">
        <v>-0.66679999999999495</v>
      </c>
      <c r="AD1594">
        <v>-6.0844999999999802E-2</v>
      </c>
      <c r="AE1594">
        <v>-9.1999999999643391E-3</v>
      </c>
      <c r="AF1594">
        <v>4.9917711620883098E-2</v>
      </c>
      <c r="AG1594">
        <v>-6.0844999999999802E-2</v>
      </c>
      <c r="AH1594">
        <v>0.65947124035170002</v>
      </c>
      <c r="AI1594">
        <v>95.256422288039602</v>
      </c>
      <c r="AJ1594">
        <v>85.671334170291601</v>
      </c>
      <c r="AK1594">
        <v>0.66415074253476203</v>
      </c>
      <c r="AL1594">
        <v>92.312170670712604</v>
      </c>
      <c r="AM1594">
        <v>88.724502505787399</v>
      </c>
      <c r="AN1594">
        <v>1.0000000303273899</v>
      </c>
    </row>
    <row r="1595" spans="1:40" x14ac:dyDescent="0.25">
      <c r="A1595" t="str">
        <f>"20190312151529081"</f>
        <v>20190312151529081</v>
      </c>
      <c r="B1595" t="str">
        <f>"1552374929079008"</f>
        <v>1552374929079008</v>
      </c>
      <c r="C1595" t="s">
        <v>40</v>
      </c>
      <c r="D1595">
        <v>5.051939</v>
      </c>
      <c r="E1595">
        <v>0.51496739999999996</v>
      </c>
      <c r="F1595" t="s">
        <v>41</v>
      </c>
      <c r="G1595">
        <v>-212.55240000000001</v>
      </c>
      <c r="H1595">
        <v>1.046448</v>
      </c>
      <c r="I1595">
        <v>281.5204</v>
      </c>
      <c r="J1595">
        <v>-211.9024</v>
      </c>
      <c r="K1595">
        <v>1.107348</v>
      </c>
      <c r="L1595">
        <v>281.52999999999997</v>
      </c>
      <c r="M1595">
        <v>-0.99628680000000003</v>
      </c>
      <c r="N1595">
        <v>0</v>
      </c>
      <c r="O1595">
        <v>-8.5696079999999994E-2</v>
      </c>
      <c r="P1595">
        <v>-0.99659359999999997</v>
      </c>
      <c r="Q1595">
        <v>-4.9692229999999997E-2</v>
      </c>
      <c r="R1595">
        <v>-6.5819089999999997E-2</v>
      </c>
      <c r="S1595">
        <v>-2.9943240000000002</v>
      </c>
      <c r="T1595">
        <v>-0.21576980000000001</v>
      </c>
      <c r="U1595">
        <v>-8.1146239999999994E-2</v>
      </c>
      <c r="V1595">
        <v>1.9664919999999999E-2</v>
      </c>
      <c r="W1595">
        <v>-4.1489249999999998E-2</v>
      </c>
      <c r="X1595">
        <v>0.99894539999999998</v>
      </c>
      <c r="Y1595">
        <v>5.8304670000000003E-2</v>
      </c>
      <c r="Z1595">
        <v>8.2564409999999998E-3</v>
      </c>
      <c r="AA1595">
        <v>0.9982647</v>
      </c>
      <c r="AB1595">
        <v>20</v>
      </c>
      <c r="AC1595">
        <v>-0.65000000000000502</v>
      </c>
      <c r="AD1595">
        <v>-6.0899999999999899E-2</v>
      </c>
      <c r="AE1595">
        <v>-9.5999999999776195E-3</v>
      </c>
      <c r="AF1595">
        <v>4.5738271461305199E-2</v>
      </c>
      <c r="AG1595">
        <v>-6.0899999999999899E-2</v>
      </c>
      <c r="AH1595">
        <v>0.64279006644932701</v>
      </c>
      <c r="AI1595">
        <v>95.398662345055101</v>
      </c>
      <c r="AJ1595">
        <v>85.929930174302598</v>
      </c>
      <c r="AK1595">
        <v>0.64728654319566803</v>
      </c>
      <c r="AL1595">
        <v>92.377841464015603</v>
      </c>
      <c r="AM1595">
        <v>88.872239253262507</v>
      </c>
      <c r="AN1595">
        <v>0.999999989562664</v>
      </c>
    </row>
    <row r="1596" spans="1:40" x14ac:dyDescent="0.25">
      <c r="A1596" t="str">
        <f>"20190312151529104"</f>
        <v>20190312151529104</v>
      </c>
      <c r="B1596" t="str">
        <f>"1552374929099505"</f>
        <v>1552374929099505</v>
      </c>
      <c r="C1596" t="s">
        <v>40</v>
      </c>
      <c r="D1596">
        <v>5.0828059999999997</v>
      </c>
      <c r="E1596">
        <v>0.52806819999999999</v>
      </c>
      <c r="F1596" t="s">
        <v>41</v>
      </c>
      <c r="G1596">
        <v>-212.73050000000001</v>
      </c>
      <c r="H1596">
        <v>1.0467229999999901</v>
      </c>
      <c r="I1596">
        <v>281.50889999999998</v>
      </c>
      <c r="J1596">
        <v>-212.09979999999999</v>
      </c>
      <c r="K1596">
        <v>1.107432</v>
      </c>
      <c r="L1596">
        <v>281.51710000000003</v>
      </c>
      <c r="M1596">
        <v>-0.99656869999999997</v>
      </c>
      <c r="N1596">
        <v>0</v>
      </c>
      <c r="O1596">
        <v>-8.2365519999999998E-2</v>
      </c>
      <c r="P1596">
        <v>-0.9967374</v>
      </c>
      <c r="Q1596">
        <v>-4.8893079999999998E-2</v>
      </c>
      <c r="R1596">
        <v>-6.4221520000000004E-2</v>
      </c>
      <c r="S1596">
        <v>-2.9942169999999999</v>
      </c>
      <c r="T1596">
        <v>-0.21917429999999999</v>
      </c>
      <c r="U1596">
        <v>-7.7239989999999994E-2</v>
      </c>
      <c r="V1596">
        <v>1.7943319999999999E-2</v>
      </c>
      <c r="W1596">
        <v>-4.0808850000000001E-2</v>
      </c>
      <c r="X1596">
        <v>0.9990059</v>
      </c>
      <c r="Y1596">
        <v>5.6270599999999997E-2</v>
      </c>
      <c r="Z1596">
        <v>8.0699029999999998E-3</v>
      </c>
      <c r="AA1596">
        <v>0.99838289999999996</v>
      </c>
      <c r="AB1596">
        <v>20</v>
      </c>
      <c r="AC1596">
        <v>-0.63070000000001802</v>
      </c>
      <c r="AD1596">
        <v>-6.0709000000000103E-2</v>
      </c>
      <c r="AE1596">
        <v>-8.2000000000448294E-3</v>
      </c>
      <c r="AF1596">
        <v>4.3375709193468899E-2</v>
      </c>
      <c r="AG1596">
        <v>-6.0709000000000103E-2</v>
      </c>
      <c r="AH1596">
        <v>0.62345672572027899</v>
      </c>
      <c r="AI1596">
        <v>95.548305690286</v>
      </c>
      <c r="AJ1596">
        <v>86.020177953536006</v>
      </c>
      <c r="AK1596">
        <v>0.62790550537074197</v>
      </c>
      <c r="AL1596">
        <v>92.338824210854597</v>
      </c>
      <c r="AM1596">
        <v>88.971011108096704</v>
      </c>
      <c r="AN1596">
        <v>1.0000000566028699</v>
      </c>
    </row>
    <row r="1597" spans="1:40" x14ac:dyDescent="0.25">
      <c r="A1597" t="str">
        <f>"20190312151529126"</f>
        <v>20190312151529126</v>
      </c>
      <c r="B1597" t="str">
        <f>"1552374929119024"</f>
        <v>1552374929119024</v>
      </c>
      <c r="C1597" t="s">
        <v>40</v>
      </c>
      <c r="D1597">
        <v>5.1064790000000002</v>
      </c>
      <c r="E1597">
        <v>0.52813009999999905</v>
      </c>
      <c r="F1597" t="s">
        <v>51</v>
      </c>
      <c r="G1597">
        <v>-231.08930000000001</v>
      </c>
      <c r="H1597" s="1">
        <v>-8.3026269999999897E-7</v>
      </c>
      <c r="I1597">
        <v>281.71429999999998</v>
      </c>
      <c r="J1597">
        <v>-212.2997</v>
      </c>
      <c r="K1597">
        <v>1.1075280000000001</v>
      </c>
      <c r="L1597">
        <v>281.5043</v>
      </c>
      <c r="M1597">
        <v>-0.9968226</v>
      </c>
      <c r="N1597">
        <v>0</v>
      </c>
      <c r="O1597">
        <v>-7.924879E-2</v>
      </c>
      <c r="P1597">
        <v>-0.99681819999999999</v>
      </c>
      <c r="Q1597">
        <v>-4.8337529999999997E-2</v>
      </c>
      <c r="R1597">
        <v>-6.3379169999999999E-2</v>
      </c>
      <c r="S1597">
        <v>-3.00325</v>
      </c>
      <c r="T1597">
        <v>-0.1751442</v>
      </c>
      <c r="U1597">
        <v>3.1188960000000002E-2</v>
      </c>
      <c r="V1597">
        <v>1.5678709999999998E-2</v>
      </c>
      <c r="W1597">
        <v>-4.0369090000000003E-2</v>
      </c>
      <c r="X1597">
        <v>0.9990618</v>
      </c>
      <c r="Y1597">
        <v>8.931269E-2</v>
      </c>
      <c r="Z1597">
        <v>7.2165830000000004E-3</v>
      </c>
      <c r="AA1597">
        <v>0.99597749999999996</v>
      </c>
      <c r="AB1597">
        <v>20</v>
      </c>
      <c r="AC1597">
        <v>-18.7896</v>
      </c>
      <c r="AD1597">
        <v>-1.1075288302627</v>
      </c>
      <c r="AE1597">
        <v>0.20999999999997901</v>
      </c>
      <c r="AF1597">
        <v>1.69256061163782</v>
      </c>
      <c r="AG1597">
        <v>-1.1075288302627</v>
      </c>
      <c r="AH1597">
        <v>18.649072125133898</v>
      </c>
      <c r="AI1597">
        <v>93.384803580083997</v>
      </c>
      <c r="AJ1597">
        <v>84.814132367963595</v>
      </c>
      <c r="AK1597">
        <v>18.758445369016599</v>
      </c>
      <c r="AL1597">
        <v>92.313607210171099</v>
      </c>
      <c r="AM1597">
        <v>89.1009062957407</v>
      </c>
      <c r="AN1597">
        <v>0.999999982796965</v>
      </c>
    </row>
    <row r="1598" spans="1:40" x14ac:dyDescent="0.25">
      <c r="A1598" t="str">
        <f>"20190312151529160"</f>
        <v>20190312151529160</v>
      </c>
      <c r="B1598" t="str">
        <f>"1552374929149281"</f>
        <v>1552374929149281</v>
      </c>
      <c r="C1598" t="s">
        <v>40</v>
      </c>
      <c r="D1598">
        <v>5.0806300000000002</v>
      </c>
      <c r="E1598">
        <v>0.52754690000000004</v>
      </c>
      <c r="F1598" t="s">
        <v>51</v>
      </c>
      <c r="G1598">
        <v>-232.01580000000001</v>
      </c>
      <c r="H1598" s="1">
        <v>-3.3780340000000002E-7</v>
      </c>
      <c r="I1598">
        <v>281.72789999999998</v>
      </c>
      <c r="J1598">
        <v>-212.60489999999999</v>
      </c>
      <c r="K1598">
        <v>1.1077030000000001</v>
      </c>
      <c r="L1598">
        <v>281.4855</v>
      </c>
      <c r="M1598">
        <v>-0.99715509999999996</v>
      </c>
      <c r="N1598">
        <v>0</v>
      </c>
      <c r="O1598">
        <v>-7.4968580000000007E-2</v>
      </c>
      <c r="P1598">
        <v>-0.99696220000000002</v>
      </c>
      <c r="Q1598">
        <v>-4.8381920000000002E-2</v>
      </c>
      <c r="R1598">
        <v>-6.1040249999999997E-2</v>
      </c>
      <c r="S1598">
        <v>-3.0035400000000001</v>
      </c>
      <c r="T1598">
        <v>-0.1687196</v>
      </c>
      <c r="U1598">
        <v>3.4057619999999997E-2</v>
      </c>
      <c r="V1598">
        <v>1.3752250000000001E-2</v>
      </c>
      <c r="W1598">
        <v>-4.057608E-2</v>
      </c>
      <c r="X1598">
        <v>0.99908180000000002</v>
      </c>
      <c r="Y1598">
        <v>8.6018929999999993E-2</v>
      </c>
      <c r="Z1598">
        <v>6.6194280000000001E-3</v>
      </c>
      <c r="AA1598">
        <v>0.99627149999999998</v>
      </c>
      <c r="AB1598">
        <v>20</v>
      </c>
      <c r="AC1598">
        <v>-19.410900000000002</v>
      </c>
      <c r="AD1598">
        <v>-1.10770333780339</v>
      </c>
      <c r="AE1598">
        <v>0.242399999999975</v>
      </c>
      <c r="AF1598">
        <v>1.6914626728622899</v>
      </c>
      <c r="AG1598">
        <v>-1.10770333780339</v>
      </c>
      <c r="AH1598">
        <v>19.275338412116799</v>
      </c>
      <c r="AI1598">
        <v>93.276457815790806</v>
      </c>
      <c r="AJ1598">
        <v>84.9849880171612</v>
      </c>
      <c r="AK1598">
        <v>19.3810919083495</v>
      </c>
      <c r="AL1598">
        <v>92.3254765655456</v>
      </c>
      <c r="AM1598">
        <v>89.211379764038597</v>
      </c>
      <c r="AN1598">
        <v>0.99999999286973396</v>
      </c>
    </row>
    <row r="1599" spans="1:40" x14ac:dyDescent="0.25">
      <c r="A1599" t="str">
        <f>"20190312151529181"</f>
        <v>20190312151529181</v>
      </c>
      <c r="B1599" t="str">
        <f>"1552374929179537"</f>
        <v>1552374929179537</v>
      </c>
      <c r="C1599" t="s">
        <v>40</v>
      </c>
      <c r="D1599">
        <v>5.188523</v>
      </c>
      <c r="E1599">
        <v>0.52696350000000003</v>
      </c>
      <c r="F1599" t="s">
        <v>41</v>
      </c>
      <c r="G1599">
        <v>-213.4589</v>
      </c>
      <c r="H1599">
        <v>1.0560849999999999</v>
      </c>
      <c r="I1599">
        <v>281.49610000000001</v>
      </c>
      <c r="J1599">
        <v>-212.7961</v>
      </c>
      <c r="K1599">
        <v>1.1078059999999901</v>
      </c>
      <c r="L1599">
        <v>281.47410000000002</v>
      </c>
      <c r="M1599">
        <v>-0.99733419999999895</v>
      </c>
      <c r="N1599">
        <v>0</v>
      </c>
      <c r="O1599">
        <v>-7.2555659999999994E-2</v>
      </c>
      <c r="P1599">
        <v>-0.99709000000000003</v>
      </c>
      <c r="Q1599">
        <v>-4.7855599999999998E-2</v>
      </c>
      <c r="R1599">
        <v>-5.9342289999999999E-2</v>
      </c>
      <c r="S1599">
        <v>-3.0025629999999999</v>
      </c>
      <c r="T1599">
        <v>-0.18152450000000001</v>
      </c>
      <c r="U1599">
        <v>3.6437990000000003E-2</v>
      </c>
      <c r="V1599">
        <v>1.305077E-2</v>
      </c>
      <c r="W1599">
        <v>-4.0138920000000002E-2</v>
      </c>
      <c r="X1599">
        <v>0.99910889999999997</v>
      </c>
      <c r="Y1599">
        <v>8.4368879999999993E-2</v>
      </c>
      <c r="Z1599">
        <v>6.9279249999999997E-3</v>
      </c>
      <c r="AA1599">
        <v>0.99641049999999998</v>
      </c>
      <c r="AB1599">
        <v>20</v>
      </c>
      <c r="AC1599">
        <v>-0.66280000000000405</v>
      </c>
      <c r="AD1599">
        <v>-5.1720999999999899E-2</v>
      </c>
      <c r="AE1599">
        <v>2.1999999999991301E-2</v>
      </c>
      <c r="AF1599">
        <v>6.9609940083666402E-2</v>
      </c>
      <c r="AG1599">
        <v>-5.1720999999999899E-2</v>
      </c>
      <c r="AH1599">
        <v>0.65546975048641598</v>
      </c>
      <c r="AI1599">
        <v>94.486551510436996</v>
      </c>
      <c r="AJ1599">
        <v>83.937992270541898</v>
      </c>
      <c r="AK1599">
        <v>0.66118166898529196</v>
      </c>
      <c r="AL1599">
        <v>92.300408646085003</v>
      </c>
      <c r="AM1599">
        <v>89.251621604160107</v>
      </c>
      <c r="AN1599">
        <v>1.00000002477778</v>
      </c>
    </row>
    <row r="1600" spans="1:40" x14ac:dyDescent="0.25">
      <c r="A1600" t="str">
        <f>"20190312151529205"</f>
        <v>20190312151529205</v>
      </c>
      <c r="B1600" t="str">
        <f>"1552374929199057"</f>
        <v>1552374929199057</v>
      </c>
      <c r="C1600" t="s">
        <v>40</v>
      </c>
      <c r="D1600">
        <v>5.1436510000000002</v>
      </c>
      <c r="E1600">
        <v>0.5265358</v>
      </c>
      <c r="F1600" t="s">
        <v>41</v>
      </c>
      <c r="G1600">
        <v>-213.63980000000001</v>
      </c>
      <c r="H1600">
        <v>1.055925</v>
      </c>
      <c r="I1600">
        <v>281.4846</v>
      </c>
      <c r="J1600">
        <v>-213.0119</v>
      </c>
      <c r="K1600">
        <v>1.107893</v>
      </c>
      <c r="L1600">
        <v>281.46129999999999</v>
      </c>
      <c r="M1600">
        <v>-0.99751420000000002</v>
      </c>
      <c r="N1600">
        <v>0</v>
      </c>
      <c r="O1600">
        <v>-7.0047570000000003E-2</v>
      </c>
      <c r="P1600">
        <v>-0.99711810000000001</v>
      </c>
      <c r="Q1600">
        <v>-4.8556769999999999E-2</v>
      </c>
      <c r="R1600">
        <v>-5.829198E-2</v>
      </c>
      <c r="S1600">
        <v>-3.0021059999999999</v>
      </c>
      <c r="T1600">
        <v>-0.18466479999999999</v>
      </c>
      <c r="U1600">
        <v>3.720093E-2</v>
      </c>
      <c r="V1600">
        <v>1.159698E-2</v>
      </c>
      <c r="W1600">
        <v>-4.0929350000000003E-2</v>
      </c>
      <c r="X1600">
        <v>0.9990947</v>
      </c>
      <c r="Y1600">
        <v>8.2117019999999999E-2</v>
      </c>
      <c r="Z1600">
        <v>6.8255629999999998E-3</v>
      </c>
      <c r="AA1600">
        <v>0.99659929999999997</v>
      </c>
      <c r="AB1600">
        <v>20</v>
      </c>
      <c r="AC1600">
        <v>-0.627900000000011</v>
      </c>
      <c r="AD1600">
        <v>-5.1968E-2</v>
      </c>
      <c r="AE1600">
        <v>2.3300000000006E-2</v>
      </c>
      <c r="AF1600">
        <v>6.67701779007593E-2</v>
      </c>
      <c r="AG1600">
        <v>-5.1968E-2</v>
      </c>
      <c r="AH1600">
        <v>0.62048095753147203</v>
      </c>
      <c r="AI1600">
        <v>94.760243799501396</v>
      </c>
      <c r="AJ1600">
        <v>83.858015927969802</v>
      </c>
      <c r="AK1600">
        <v>0.62622324161601695</v>
      </c>
      <c r="AL1600">
        <v>92.3457343503853</v>
      </c>
      <c r="AM1600">
        <v>89.334969778277696</v>
      </c>
      <c r="AN1600">
        <v>0.999999960602315</v>
      </c>
    </row>
    <row r="1601" spans="1:40" x14ac:dyDescent="0.25">
      <c r="A1601" t="str">
        <f>"20190312151529229"</f>
        <v>20190312151529229</v>
      </c>
      <c r="B1601" t="str">
        <f>"1552374929219552"</f>
        <v>1552374929219552</v>
      </c>
      <c r="C1601" t="s">
        <v>40</v>
      </c>
      <c r="D1601">
        <v>5.1000240000000003</v>
      </c>
      <c r="E1601">
        <v>0.52609189999999995</v>
      </c>
      <c r="F1601" t="s">
        <v>51</v>
      </c>
      <c r="G1601">
        <v>-231.477</v>
      </c>
      <c r="H1601" s="1">
        <v>-6.2280699999999997E-7</v>
      </c>
      <c r="I1601">
        <v>281.6875</v>
      </c>
      <c r="J1601">
        <v>-213.22810000000001</v>
      </c>
      <c r="K1601">
        <v>1.107961</v>
      </c>
      <c r="L1601">
        <v>281.44889999999998</v>
      </c>
      <c r="M1601">
        <v>-0.99767240000000001</v>
      </c>
      <c r="N1601">
        <v>0</v>
      </c>
      <c r="O1601">
        <v>-6.77672E-2</v>
      </c>
      <c r="P1601">
        <v>-0.99704780000000004</v>
      </c>
      <c r="Q1601">
        <v>-5.0107810000000003E-2</v>
      </c>
      <c r="R1601">
        <v>-5.8181070000000001E-2</v>
      </c>
      <c r="S1601">
        <v>-3.0020289999999998</v>
      </c>
      <c r="T1601">
        <v>-0.18012049999999999</v>
      </c>
      <c r="U1601">
        <v>3.6773680000000003E-2</v>
      </c>
      <c r="V1601">
        <v>9.4245630000000004E-3</v>
      </c>
      <c r="W1601">
        <v>-4.2559359999999997E-2</v>
      </c>
      <c r="X1601">
        <v>0.99904950000000003</v>
      </c>
      <c r="Y1601">
        <v>7.9719499999999999E-2</v>
      </c>
      <c r="Z1601">
        <v>6.4497259999999898E-3</v>
      </c>
      <c r="AA1601">
        <v>0.99679649999999997</v>
      </c>
      <c r="AB1601">
        <v>20</v>
      </c>
      <c r="AC1601">
        <v>-18.2488999999999</v>
      </c>
      <c r="AD1601">
        <v>-1.1079616228069999</v>
      </c>
      <c r="AE1601">
        <v>0.23860000000001899</v>
      </c>
      <c r="AF1601">
        <v>1.46934845776114</v>
      </c>
      <c r="AG1601">
        <v>-1.1079616228069999</v>
      </c>
      <c r="AH1601">
        <v>18.1239798297138</v>
      </c>
      <c r="AI1601">
        <v>93.486860686594099</v>
      </c>
      <c r="AJ1601">
        <v>85.365049823944403</v>
      </c>
      <c r="AK1601">
        <v>18.217167966394001</v>
      </c>
      <c r="AL1601">
        <v>92.439208410586005</v>
      </c>
      <c r="AM1601">
        <v>89.459514602220096</v>
      </c>
      <c r="AN1601">
        <v>1.0000000124807999</v>
      </c>
    </row>
    <row r="1602" spans="1:40" x14ac:dyDescent="0.25">
      <c r="A1602" t="str">
        <f>"20190312151529252"</f>
        <v>20190312151529252</v>
      </c>
      <c r="B1602" t="str">
        <f>"1552374929239073"</f>
        <v>1552374929239073</v>
      </c>
      <c r="C1602" t="s">
        <v>40</v>
      </c>
      <c r="D1602">
        <v>5.1220939999999997</v>
      </c>
      <c r="E1602">
        <v>0.52555189999999996</v>
      </c>
      <c r="F1602" t="s">
        <v>51</v>
      </c>
      <c r="G1602">
        <v>-231.32550000000001</v>
      </c>
      <c r="H1602" s="1">
        <v>-7.0185979999999998E-7</v>
      </c>
      <c r="I1602">
        <v>281.65219999999999</v>
      </c>
      <c r="J1602">
        <v>-213.43729999999999</v>
      </c>
      <c r="K1602">
        <v>1.1080159999999999</v>
      </c>
      <c r="L1602">
        <v>281.43709999999999</v>
      </c>
      <c r="M1602">
        <v>-0.99780670000000005</v>
      </c>
      <c r="N1602">
        <v>0</v>
      </c>
      <c r="O1602">
        <v>-6.5769789999999995E-2</v>
      </c>
      <c r="P1602">
        <v>-0.99696059999999997</v>
      </c>
      <c r="Q1602">
        <v>-5.1512820000000001E-2</v>
      </c>
      <c r="R1602">
        <v>-5.8447060000000002E-2</v>
      </c>
      <c r="S1602">
        <v>-3.0016020000000001</v>
      </c>
      <c r="T1602">
        <v>-0.18376410000000001</v>
      </c>
      <c r="U1602">
        <v>3.3721920000000002E-2</v>
      </c>
      <c r="V1602">
        <v>7.158378E-3</v>
      </c>
      <c r="W1602">
        <v>-4.4035579999999998E-2</v>
      </c>
      <c r="X1602">
        <v>0.99900429999999996</v>
      </c>
      <c r="Y1602">
        <v>7.6710440000000005E-2</v>
      </c>
      <c r="Z1602">
        <v>6.3668819999999999E-3</v>
      </c>
      <c r="AA1602">
        <v>0.99703310000000001</v>
      </c>
      <c r="AB1602">
        <v>20</v>
      </c>
      <c r="AC1602">
        <v>-17.888200000000001</v>
      </c>
      <c r="AD1602">
        <v>-1.1080167018597999</v>
      </c>
      <c r="AE1602">
        <v>0.21510000000000601</v>
      </c>
      <c r="AF1602">
        <v>1.38585406254114</v>
      </c>
      <c r="AG1602">
        <v>-1.1080167018597999</v>
      </c>
      <c r="AH1602">
        <v>17.767161585014598</v>
      </c>
      <c r="AI1602">
        <v>93.557747008404903</v>
      </c>
      <c r="AJ1602">
        <v>85.5399099814544</v>
      </c>
      <c r="AK1602">
        <v>17.855540408575798</v>
      </c>
      <c r="AL1602">
        <v>92.523869059811105</v>
      </c>
      <c r="AM1602">
        <v>89.589453390535994</v>
      </c>
      <c r="AN1602">
        <v>0.99999998305000803</v>
      </c>
    </row>
    <row r="1603" spans="1:40" x14ac:dyDescent="0.25">
      <c r="A1603" t="str">
        <f>"20190312151529272"</f>
        <v>20190312151529272</v>
      </c>
      <c r="B1603" t="str">
        <f>"1552374929269329"</f>
        <v>1552374929269329</v>
      </c>
      <c r="C1603" t="s">
        <v>40</v>
      </c>
      <c r="D1603">
        <v>4.9989860000000004</v>
      </c>
      <c r="E1603">
        <v>0.52484140000000001</v>
      </c>
      <c r="F1603" t="s">
        <v>51</v>
      </c>
      <c r="G1603">
        <v>-230.9091</v>
      </c>
      <c r="H1603" s="1">
        <v>-9.2129249999999998E-7</v>
      </c>
      <c r="I1603">
        <v>281.60270000000003</v>
      </c>
      <c r="J1603">
        <v>-213.6223</v>
      </c>
      <c r="K1603">
        <v>1.1080730000000001</v>
      </c>
      <c r="L1603">
        <v>281.42680000000001</v>
      </c>
      <c r="M1603">
        <v>-0.99791160000000001</v>
      </c>
      <c r="N1603">
        <v>0</v>
      </c>
      <c r="O1603">
        <v>-6.416442E-2</v>
      </c>
      <c r="P1603">
        <v>-0.99688969999999999</v>
      </c>
      <c r="Q1603">
        <v>-5.2562690000000002E-2</v>
      </c>
      <c r="R1603">
        <v>-5.8723549999999999E-2</v>
      </c>
      <c r="S1603">
        <v>-3.0009769999999998</v>
      </c>
      <c r="T1603">
        <v>-0.1903145</v>
      </c>
      <c r="U1603">
        <v>2.844238E-2</v>
      </c>
      <c r="V1603">
        <v>5.2755579999999996E-3</v>
      </c>
      <c r="W1603">
        <v>-4.514609E-2</v>
      </c>
      <c r="X1603">
        <v>0.99896649999999998</v>
      </c>
      <c r="Y1603">
        <v>7.3344919999999994E-2</v>
      </c>
      <c r="Z1603">
        <v>6.3865880000000003E-3</v>
      </c>
      <c r="AA1603">
        <v>0.99728620000000001</v>
      </c>
      <c r="AB1603">
        <v>20</v>
      </c>
      <c r="AC1603">
        <v>-17.286799999999999</v>
      </c>
      <c r="AD1603">
        <v>-1.1080739212924999</v>
      </c>
      <c r="AE1603">
        <v>0.17590000000001199</v>
      </c>
      <c r="AF1603">
        <v>1.27950909163316</v>
      </c>
      <c r="AG1603">
        <v>-1.1080739212924999</v>
      </c>
      <c r="AH1603">
        <v>17.1693519484135</v>
      </c>
      <c r="AI1603">
        <v>93.682445061764398</v>
      </c>
      <c r="AJ1603">
        <v>85.738033226042205</v>
      </c>
      <c r="AK1603">
        <v>17.2525829271767</v>
      </c>
      <c r="AL1603">
        <v>92.587559818136697</v>
      </c>
      <c r="AM1603">
        <v>89.697422888521501</v>
      </c>
      <c r="AN1603">
        <v>1.0000000345383699</v>
      </c>
    </row>
    <row r="1604" spans="1:40" x14ac:dyDescent="0.25">
      <c r="A1604" t="str">
        <f>"20190312151529295"</f>
        <v>20190312151529295</v>
      </c>
      <c r="B1604" t="str">
        <f>"1552374929288849"</f>
        <v>1552374929288849</v>
      </c>
      <c r="C1604" t="s">
        <v>40</v>
      </c>
      <c r="D1604">
        <v>5.0237020000000001</v>
      </c>
      <c r="E1604">
        <v>0.53145559999999903</v>
      </c>
      <c r="F1604" t="s">
        <v>51</v>
      </c>
      <c r="G1604">
        <v>-230.85560000000001</v>
      </c>
      <c r="H1604" s="1">
        <v>-9.4759799999999999E-7</v>
      </c>
      <c r="I1604">
        <v>281.553</v>
      </c>
      <c r="J1604">
        <v>-213.8236</v>
      </c>
      <c r="K1604">
        <v>1.1081259999999999</v>
      </c>
      <c r="L1604">
        <v>281.41590000000002</v>
      </c>
      <c r="M1604">
        <v>-0.99801439999999997</v>
      </c>
      <c r="N1604">
        <v>0</v>
      </c>
      <c r="O1604">
        <v>-6.2554520000000002E-2</v>
      </c>
      <c r="P1604">
        <v>-0.9968262</v>
      </c>
      <c r="Q1604">
        <v>-5.3237949999999999E-2</v>
      </c>
      <c r="R1604">
        <v>-5.9189619999999998E-2</v>
      </c>
      <c r="S1604">
        <v>-3.0004879999999998</v>
      </c>
      <c r="T1604">
        <v>-0.19292690000000001</v>
      </c>
      <c r="U1604">
        <v>2.1972660000000001E-2</v>
      </c>
      <c r="V1604">
        <v>3.2012289999999999E-3</v>
      </c>
      <c r="W1604">
        <v>-4.5886259999999998E-2</v>
      </c>
      <c r="X1604">
        <v>0.99894150000000004</v>
      </c>
      <c r="Y1604">
        <v>6.9590260000000001E-2</v>
      </c>
      <c r="Z1604">
        <v>6.2512640000000003E-3</v>
      </c>
      <c r="AA1604">
        <v>0.99755609999999995</v>
      </c>
      <c r="AB1604">
        <v>20</v>
      </c>
      <c r="AC1604">
        <v>-17.032</v>
      </c>
      <c r="AD1604">
        <v>-1.108126947598</v>
      </c>
      <c r="AE1604">
        <v>0.13709999999997499</v>
      </c>
      <c r="AF1604">
        <v>1.19722143124137</v>
      </c>
      <c r="AG1604">
        <v>-1.108126947598</v>
      </c>
      <c r="AH1604">
        <v>16.918454294144102</v>
      </c>
      <c r="AI1604">
        <v>93.738092045663095</v>
      </c>
      <c r="AJ1604">
        <v>85.952255608604801</v>
      </c>
      <c r="AK1604">
        <v>16.996922668249599</v>
      </c>
      <c r="AL1604">
        <v>92.630012632508596</v>
      </c>
      <c r="AM1604">
        <v>89.816389365056693</v>
      </c>
      <c r="AN1604">
        <v>0.999999958573073</v>
      </c>
    </row>
    <row r="1605" spans="1:40" x14ac:dyDescent="0.25">
      <c r="A1605" t="str">
        <f>"20190312151529319"</f>
        <v>20190312151529319</v>
      </c>
      <c r="B1605" t="str">
        <f>"1552374929309345"</f>
        <v>1552374929309345</v>
      </c>
      <c r="C1605" t="s">
        <v>40</v>
      </c>
      <c r="D1605">
        <v>5.0249540000000001</v>
      </c>
      <c r="E1605">
        <v>0.53457119999999902</v>
      </c>
      <c r="F1605" t="s">
        <v>41</v>
      </c>
      <c r="G1605">
        <v>-214.68029999999999</v>
      </c>
      <c r="H1605">
        <v>0.93433310000000003</v>
      </c>
      <c r="I1605">
        <v>281.43830000000003</v>
      </c>
      <c r="J1605">
        <v>-214.05080000000001</v>
      </c>
      <c r="K1605">
        <v>1.1081780000000001</v>
      </c>
      <c r="L1605">
        <v>281.40370000000001</v>
      </c>
      <c r="M1605">
        <v>-0.99811810000000001</v>
      </c>
      <c r="N1605">
        <v>0</v>
      </c>
      <c r="O1605">
        <v>-6.088797E-2</v>
      </c>
      <c r="P1605">
        <v>-0.99686300000000005</v>
      </c>
      <c r="Q1605">
        <v>-5.3034159999999997E-2</v>
      </c>
      <c r="R1605">
        <v>-5.8751749999999998E-2</v>
      </c>
      <c r="S1605">
        <v>-2.9818570000000002</v>
      </c>
      <c r="T1605">
        <v>-0.60483229999999999</v>
      </c>
      <c r="U1605">
        <v>7.7667239999999999E-2</v>
      </c>
      <c r="V1605">
        <v>1.980248E-3</v>
      </c>
      <c r="W1605">
        <v>-4.575916E-2</v>
      </c>
      <c r="X1605">
        <v>0.99895049999999996</v>
      </c>
      <c r="Y1605">
        <v>8.3911600000000003E-2</v>
      </c>
      <c r="Z1605">
        <v>2.06439E-2</v>
      </c>
      <c r="AA1605">
        <v>0.99625929999999996</v>
      </c>
      <c r="AB1605">
        <v>21</v>
      </c>
      <c r="AC1605">
        <v>-0.62949999999997797</v>
      </c>
      <c r="AD1605">
        <v>-0.1738449</v>
      </c>
      <c r="AE1605">
        <v>3.4600000000011698E-2</v>
      </c>
      <c r="AF1605">
        <v>6.7716836777251405E-2</v>
      </c>
      <c r="AG1605">
        <v>-0.1738449</v>
      </c>
      <c r="AH1605">
        <v>0.58197390253013104</v>
      </c>
      <c r="AI1605">
        <v>106.526366348027</v>
      </c>
      <c r="AJ1605">
        <v>83.363070261579495</v>
      </c>
      <c r="AK1605">
        <v>0.61114748012675102</v>
      </c>
      <c r="AL1605">
        <v>92.622722672760503</v>
      </c>
      <c r="AM1605">
        <v>89.886421094767599</v>
      </c>
      <c r="AN1605">
        <v>0.99999996177814698</v>
      </c>
    </row>
    <row r="1606" spans="1:40" x14ac:dyDescent="0.25">
      <c r="A1606" t="str">
        <f>"20190312151529341"</f>
        <v>20190312151529341</v>
      </c>
      <c r="B1606" t="str">
        <f>"1552374929328865"</f>
        <v>1552374929328865</v>
      </c>
      <c r="C1606" t="s">
        <v>40</v>
      </c>
      <c r="D1606">
        <v>5.0132120000000002</v>
      </c>
      <c r="E1606">
        <v>0.53549550000000001</v>
      </c>
      <c r="F1606" t="s">
        <v>41</v>
      </c>
      <c r="G1606">
        <v>-214.86</v>
      </c>
      <c r="H1606">
        <v>0.92014240000000003</v>
      </c>
      <c r="I1606">
        <v>281.43209999999999</v>
      </c>
      <c r="J1606">
        <v>-214.26230000000001</v>
      </c>
      <c r="K1606">
        <v>1.1082080000000001</v>
      </c>
      <c r="L1606">
        <v>281.39249999999998</v>
      </c>
      <c r="M1606">
        <v>-0.99820629999999999</v>
      </c>
      <c r="N1606">
        <v>0</v>
      </c>
      <c r="O1606">
        <v>-5.9430950000000003E-2</v>
      </c>
      <c r="P1606">
        <v>-0.99687870000000001</v>
      </c>
      <c r="Q1606">
        <v>-5.2698479999999999E-2</v>
      </c>
      <c r="R1606">
        <v>-5.8783580000000002E-2</v>
      </c>
      <c r="S1606">
        <v>-2.9787750000000002</v>
      </c>
      <c r="T1606">
        <v>-0.69211460000000002</v>
      </c>
      <c r="U1606">
        <v>0.1044312</v>
      </c>
      <c r="V1606">
        <v>4.9634430000000001E-4</v>
      </c>
      <c r="W1606">
        <v>-4.5493159999999998E-2</v>
      </c>
      <c r="X1606">
        <v>0.99896450000000003</v>
      </c>
      <c r="Y1606">
        <v>9.0384279999999997E-2</v>
      </c>
      <c r="Z1606">
        <v>2.39802E-2</v>
      </c>
      <c r="AA1606">
        <v>0.99561820000000001</v>
      </c>
      <c r="AB1606">
        <v>21</v>
      </c>
      <c r="AC1606">
        <v>-0.59770000000000301</v>
      </c>
      <c r="AD1606">
        <v>-0.188065599999999</v>
      </c>
      <c r="AE1606">
        <v>3.9600000000007102E-2</v>
      </c>
      <c r="AF1606">
        <v>6.8318562868348406E-2</v>
      </c>
      <c r="AG1606">
        <v>-0.188065599999999</v>
      </c>
      <c r="AH1606">
        <v>0.54096624628529999</v>
      </c>
      <c r="AI1606">
        <v>109.029721478543</v>
      </c>
      <c r="AJ1606">
        <v>82.802227499172503</v>
      </c>
      <c r="AK1606">
        <v>0.57678468734508204</v>
      </c>
      <c r="AL1606">
        <v>92.607466076782103</v>
      </c>
      <c r="AM1606">
        <v>89.971532090244196</v>
      </c>
      <c r="AN1606">
        <v>0.99999997311234901</v>
      </c>
    </row>
    <row r="1607" spans="1:40" x14ac:dyDescent="0.25">
      <c r="A1607" t="str">
        <f>"20190312151529363"</f>
        <v>20190312151529363</v>
      </c>
      <c r="B1607" t="str">
        <f>"1552374929359120"</f>
        <v>1552374929359120</v>
      </c>
      <c r="C1607" t="s">
        <v>40</v>
      </c>
      <c r="D1607">
        <v>4.9993460000000001</v>
      </c>
      <c r="E1607">
        <v>0.53634269999999995</v>
      </c>
      <c r="F1607" t="s">
        <v>41</v>
      </c>
      <c r="G1607">
        <v>-215.04490000000001</v>
      </c>
      <c r="H1607">
        <v>0.91584920000000003</v>
      </c>
      <c r="I1607">
        <v>281.42200000000003</v>
      </c>
      <c r="J1607">
        <v>-214.46619999999999</v>
      </c>
      <c r="K1607">
        <v>1.108222</v>
      </c>
      <c r="L1607">
        <v>281.38189999999997</v>
      </c>
      <c r="M1607">
        <v>-0.99828510000000004</v>
      </c>
      <c r="N1607">
        <v>0</v>
      </c>
      <c r="O1607">
        <v>-5.8102809999999998E-2</v>
      </c>
      <c r="P1607">
        <v>-0.99691399999999997</v>
      </c>
      <c r="Q1607">
        <v>-5.242463E-2</v>
      </c>
      <c r="R1607">
        <v>-5.8431049999999998E-2</v>
      </c>
      <c r="S1607">
        <v>-2.9773100000000001</v>
      </c>
      <c r="T1607">
        <v>-0.73176799999999997</v>
      </c>
      <c r="U1607">
        <v>0.1119385</v>
      </c>
      <c r="V1607">
        <v>-4.7569689999999999E-4</v>
      </c>
      <c r="W1607">
        <v>-4.5287590000000003E-2</v>
      </c>
      <c r="X1607">
        <v>0.99897389999999997</v>
      </c>
      <c r="Y1607">
        <v>9.1134090000000001E-2</v>
      </c>
      <c r="Z1607">
        <v>2.5096159999999999E-2</v>
      </c>
      <c r="AA1607">
        <v>0.99552240000000003</v>
      </c>
      <c r="AB1607">
        <v>21</v>
      </c>
      <c r="AC1607">
        <v>-0.57870000000002597</v>
      </c>
      <c r="AD1607">
        <v>-0.19237279999999901</v>
      </c>
      <c r="AE1607">
        <v>4.0100000000052198E-2</v>
      </c>
      <c r="AF1607">
        <v>6.6359243764683495E-2</v>
      </c>
      <c r="AG1607">
        <v>-0.19237279999999901</v>
      </c>
      <c r="AH1607">
        <v>0.51838240903968502</v>
      </c>
      <c r="AI1607">
        <v>110.208576484616</v>
      </c>
      <c r="AJ1607">
        <v>82.705119090115602</v>
      </c>
      <c r="AK1607">
        <v>0.55689421384554505</v>
      </c>
      <c r="AL1607">
        <v>92.595675502688906</v>
      </c>
      <c r="AM1607">
        <v>90.027283418152706</v>
      </c>
      <c r="AN1607">
        <v>1.0000000224883701</v>
      </c>
    </row>
    <row r="1608" spans="1:40" x14ac:dyDescent="0.25">
      <c r="A1608" t="str">
        <f>"20190312151529384"</f>
        <v>20190312151529384</v>
      </c>
      <c r="B1608" t="str">
        <f>"1552374929379617"</f>
        <v>1552374929379617</v>
      </c>
      <c r="C1608" t="s">
        <v>40</v>
      </c>
      <c r="D1608">
        <v>4.9089289999999997</v>
      </c>
      <c r="E1608">
        <v>0.53624919999999998</v>
      </c>
      <c r="F1608" t="s">
        <v>41</v>
      </c>
      <c r="G1608">
        <v>-215.23140000000001</v>
      </c>
      <c r="H1608">
        <v>0.91253949999999995</v>
      </c>
      <c r="I1608">
        <v>281.4128</v>
      </c>
      <c r="J1608">
        <v>-214.66909999999999</v>
      </c>
      <c r="K1608">
        <v>1.108223</v>
      </c>
      <c r="L1608">
        <v>281.37150000000003</v>
      </c>
      <c r="M1608">
        <v>-0.99835779999999996</v>
      </c>
      <c r="N1608">
        <v>0</v>
      </c>
      <c r="O1608">
        <v>-5.6847769999999999E-2</v>
      </c>
      <c r="P1608">
        <v>-0.99702170000000001</v>
      </c>
      <c r="Q1608">
        <v>-5.1458249999999997E-2</v>
      </c>
      <c r="R1608">
        <v>-5.7444090000000003E-2</v>
      </c>
      <c r="S1608">
        <v>-2.976318</v>
      </c>
      <c r="T1608">
        <v>-0.76113719999999996</v>
      </c>
      <c r="U1608">
        <v>0.119812</v>
      </c>
      <c r="V1608">
        <v>-7.3771769999999995E-4</v>
      </c>
      <c r="W1608">
        <v>-4.4395440000000001E-2</v>
      </c>
      <c r="X1608">
        <v>0.99901379999999995</v>
      </c>
      <c r="Y1608">
        <v>9.2171340000000004E-2</v>
      </c>
      <c r="Z1608">
        <v>2.5894940000000002E-2</v>
      </c>
      <c r="AA1608">
        <v>0.99540640000000002</v>
      </c>
      <c r="AB1608">
        <v>21</v>
      </c>
      <c r="AC1608">
        <v>-0.56230000000002101</v>
      </c>
      <c r="AD1608">
        <v>-0.19568349999999901</v>
      </c>
      <c r="AE1608">
        <v>4.1299999999978299E-2</v>
      </c>
      <c r="AF1608">
        <v>6.5329989160057306E-2</v>
      </c>
      <c r="AG1608">
        <v>-0.19568349999999901</v>
      </c>
      <c r="AH1608">
        <v>0.49894129024397499</v>
      </c>
      <c r="AI1608">
        <v>111.24996569179</v>
      </c>
      <c r="AJ1608">
        <v>82.540287474411201</v>
      </c>
      <c r="AK1608">
        <v>0.53990966908013904</v>
      </c>
      <c r="AL1608">
        <v>92.544507569043702</v>
      </c>
      <c r="AM1608">
        <v>90.042309828952398</v>
      </c>
      <c r="AN1608">
        <v>1.0000000359553101</v>
      </c>
    </row>
    <row r="1609" spans="1:40" x14ac:dyDescent="0.25">
      <c r="A1609" t="str">
        <f>"20190312151529429"</f>
        <v>20190312151529429</v>
      </c>
      <c r="B1609" t="str">
        <f>"1552374929418657"</f>
        <v>1552374929418657</v>
      </c>
      <c r="C1609" t="s">
        <v>40</v>
      </c>
      <c r="D1609">
        <v>5.0756449999999997</v>
      </c>
      <c r="E1609">
        <v>0.53676769999999996</v>
      </c>
      <c r="F1609" t="s">
        <v>41</v>
      </c>
      <c r="G1609">
        <v>-215.42070000000001</v>
      </c>
      <c r="H1609">
        <v>0.91405930000000002</v>
      </c>
      <c r="I1609">
        <v>281.40230000000003</v>
      </c>
      <c r="J1609">
        <v>-215.095</v>
      </c>
      <c r="K1609">
        <v>1.1082019999999999</v>
      </c>
      <c r="L1609">
        <v>281.35039999999998</v>
      </c>
      <c r="M1609">
        <v>-0.99849710000000003</v>
      </c>
      <c r="N1609">
        <v>0</v>
      </c>
      <c r="O1609">
        <v>-5.4369609999999999E-2</v>
      </c>
      <c r="P1609">
        <v>-0.99722270000000002</v>
      </c>
      <c r="Q1609">
        <v>-5.0232440000000003E-2</v>
      </c>
      <c r="R1609">
        <v>-5.4989799999999998E-2</v>
      </c>
      <c r="S1609">
        <v>-2.9762879999999998</v>
      </c>
      <c r="T1609">
        <v>-0.76886390000000004</v>
      </c>
      <c r="U1609">
        <v>0.1216431</v>
      </c>
      <c r="V1609">
        <v>-7.5251959999999998E-4</v>
      </c>
      <c r="W1609">
        <v>-4.3352950000000001E-2</v>
      </c>
      <c r="X1609">
        <v>0.99905960000000005</v>
      </c>
      <c r="Y1609">
        <v>9.0357060000000003E-2</v>
      </c>
      <c r="Z1609">
        <v>2.5289809999999999E-2</v>
      </c>
      <c r="AA1609">
        <v>0.99558829999999998</v>
      </c>
      <c r="AB1609">
        <v>21</v>
      </c>
      <c r="AC1609">
        <v>-0.32570000000001098</v>
      </c>
      <c r="AD1609">
        <v>-0.1941427</v>
      </c>
      <c r="AE1609">
        <v>5.1900000000046E-2</v>
      </c>
      <c r="AF1609">
        <v>5.1638529982634997E-2</v>
      </c>
      <c r="AG1609">
        <v>-0.1941427</v>
      </c>
      <c r="AH1609">
        <v>0.23943098338763699</v>
      </c>
      <c r="AI1609">
        <v>128.40124613147199</v>
      </c>
      <c r="AJ1609">
        <v>77.829329952921398</v>
      </c>
      <c r="AK1609">
        <v>0.31254619106306297</v>
      </c>
      <c r="AL1609">
        <v>92.484719648545394</v>
      </c>
      <c r="AM1609">
        <v>90.043156773556703</v>
      </c>
      <c r="AN1609">
        <v>1.0000000644558</v>
      </c>
    </row>
    <row r="1610" spans="1:40" x14ac:dyDescent="0.25">
      <c r="A1610" t="str">
        <f>"20190312151529452"</f>
        <v>20190312151529452</v>
      </c>
      <c r="B1610" t="str">
        <f>"1552374929448913"</f>
        <v>1552374929448913</v>
      </c>
      <c r="C1610" t="s">
        <v>40</v>
      </c>
      <c r="D1610">
        <v>5.0476229999999997</v>
      </c>
      <c r="E1610">
        <v>0.56430760000000002</v>
      </c>
      <c r="F1610" t="s">
        <v>41</v>
      </c>
      <c r="G1610">
        <v>-215.80609999999999</v>
      </c>
      <c r="H1610">
        <v>0.92598429999999998</v>
      </c>
      <c r="I1610">
        <v>281.38209999999998</v>
      </c>
      <c r="J1610">
        <v>-215.31559999999999</v>
      </c>
      <c r="K1610">
        <v>1.108176</v>
      </c>
      <c r="L1610">
        <v>281.33980000000003</v>
      </c>
      <c r="M1610">
        <v>-0.99856389999999995</v>
      </c>
      <c r="N1610">
        <v>0</v>
      </c>
      <c r="O1610">
        <v>-5.3143929999999999E-2</v>
      </c>
      <c r="P1610">
        <v>-0.9972299</v>
      </c>
      <c r="Q1610">
        <v>-5.113873E-2</v>
      </c>
      <c r="R1610">
        <v>-5.4014970000000002E-2</v>
      </c>
      <c r="S1610">
        <v>-2.977249</v>
      </c>
      <c r="T1610">
        <v>-0.7628857</v>
      </c>
      <c r="U1610">
        <v>0.13284299999999999</v>
      </c>
      <c r="V1610">
        <v>-1.0059139999999999E-3</v>
      </c>
      <c r="W1610">
        <v>-4.4360759999999999E-2</v>
      </c>
      <c r="X1610">
        <v>0.99901510000000004</v>
      </c>
      <c r="Y1610">
        <v>9.2893870000000003E-2</v>
      </c>
      <c r="Z1610">
        <v>2.5100839999999999E-2</v>
      </c>
      <c r="AA1610">
        <v>0.99535960000000001</v>
      </c>
      <c r="AB1610">
        <v>21</v>
      </c>
      <c r="AC1610">
        <v>-0.49049999999999699</v>
      </c>
      <c r="AD1610">
        <v>-0.18219170000000001</v>
      </c>
      <c r="AE1610">
        <v>4.22999999999547E-2</v>
      </c>
      <c r="AF1610">
        <v>6.0079979282520402E-2</v>
      </c>
      <c r="AG1610">
        <v>-0.18219170000000001</v>
      </c>
      <c r="AH1610">
        <v>0.42883055115653701</v>
      </c>
      <c r="AI1610">
        <v>112.818818213931</v>
      </c>
      <c r="AJ1610">
        <v>82.024662917712305</v>
      </c>
      <c r="AK1610">
        <v>0.46978618654095999</v>
      </c>
      <c r="AL1610">
        <v>92.542518608481899</v>
      </c>
      <c r="AM1610">
        <v>90.057691427562304</v>
      </c>
      <c r="AN1610">
        <v>1.00000002945938</v>
      </c>
    </row>
    <row r="1611" spans="1:40" x14ac:dyDescent="0.25">
      <c r="A1611" t="str">
        <f>"20190312151529472"</f>
        <v>20190312151529472</v>
      </c>
      <c r="B1611" t="str">
        <f>"1552374929469409"</f>
        <v>1552374929469409</v>
      </c>
      <c r="C1611" t="s">
        <v>40</v>
      </c>
      <c r="D1611">
        <v>5.0349919999999999</v>
      </c>
      <c r="E1611">
        <v>0.564953699999999</v>
      </c>
      <c r="F1611" t="s">
        <v>41</v>
      </c>
      <c r="G1611">
        <v>-215.99719999999999</v>
      </c>
      <c r="H1611">
        <v>0.91656769999999999</v>
      </c>
      <c r="I1611">
        <v>281.42140000000001</v>
      </c>
      <c r="J1611">
        <v>-215.50980000000001</v>
      </c>
      <c r="K1611">
        <v>1.1081559999999999</v>
      </c>
      <c r="L1611">
        <v>281.3306</v>
      </c>
      <c r="M1611">
        <v>-0.9986197</v>
      </c>
      <c r="N1611">
        <v>0</v>
      </c>
      <c r="O1611">
        <v>-5.2094939999999999E-2</v>
      </c>
      <c r="P1611">
        <v>-0.99722449999999996</v>
      </c>
      <c r="Q1611">
        <v>-5.1938379999999999E-2</v>
      </c>
      <c r="R1611">
        <v>-5.3346829999999998E-2</v>
      </c>
      <c r="S1611">
        <v>-2.984604</v>
      </c>
      <c r="T1611">
        <v>-0.83887929999999999</v>
      </c>
      <c r="U1611">
        <v>0.35592649999999998</v>
      </c>
      <c r="V1611">
        <v>-1.388858E-3</v>
      </c>
      <c r="W1611">
        <v>-4.5251180000000002E-2</v>
      </c>
      <c r="X1611">
        <v>0.99897469999999999</v>
      </c>
      <c r="Y1611">
        <v>0.1617982</v>
      </c>
      <c r="Z1611">
        <v>3.6553960000000003E-2</v>
      </c>
      <c r="AA1611">
        <v>0.98614659999999998</v>
      </c>
      <c r="AB1611">
        <v>21</v>
      </c>
      <c r="AC1611">
        <v>-0.48739999999997902</v>
      </c>
      <c r="AD1611">
        <v>-0.19158829999999999</v>
      </c>
      <c r="AE1611">
        <v>9.0800000000001505E-2</v>
      </c>
      <c r="AF1611">
        <v>0.10098773930595099</v>
      </c>
      <c r="AG1611">
        <v>-0.19158829999999999</v>
      </c>
      <c r="AH1611">
        <v>0.41938119268315699</v>
      </c>
      <c r="AI1611">
        <v>113.947935279145</v>
      </c>
      <c r="AJ1611">
        <v>76.4608377628753</v>
      </c>
      <c r="AK1611">
        <v>0.47200125525613201</v>
      </c>
      <c r="AL1611">
        <v>92.593587216716799</v>
      </c>
      <c r="AM1611">
        <v>90.079657323126099</v>
      </c>
      <c r="AN1611">
        <v>1.00000002472901</v>
      </c>
    </row>
    <row r="1612" spans="1:40" x14ac:dyDescent="0.25">
      <c r="A1612" t="str">
        <f>"20190312151529495"</f>
        <v>20190312151529495</v>
      </c>
      <c r="B1612" t="str">
        <f>"1552374929488929"</f>
        <v>1552374929488929</v>
      </c>
      <c r="C1612" t="s">
        <v>40</v>
      </c>
      <c r="D1612">
        <v>5.0776620000000001</v>
      </c>
      <c r="E1612">
        <v>0.56474579999999996</v>
      </c>
      <c r="F1612" t="s">
        <v>41</v>
      </c>
      <c r="G1612">
        <v>-216.1892</v>
      </c>
      <c r="H1612">
        <v>0.91613909999999998</v>
      </c>
      <c r="I1612">
        <v>281.41329999999999</v>
      </c>
      <c r="J1612">
        <v>-215.7329</v>
      </c>
      <c r="K1612">
        <v>1.1081399999999999</v>
      </c>
      <c r="L1612">
        <v>281.32029999999997</v>
      </c>
      <c r="M1612">
        <v>-0.99868049999999997</v>
      </c>
      <c r="N1612">
        <v>0</v>
      </c>
      <c r="O1612">
        <v>-5.0930530000000002E-2</v>
      </c>
      <c r="P1612">
        <v>-0.99720310000000001</v>
      </c>
      <c r="Q1612">
        <v>-5.2814020000000003E-2</v>
      </c>
      <c r="R1612">
        <v>-5.2885710000000002E-2</v>
      </c>
      <c r="S1612">
        <v>-2.9838559999999998</v>
      </c>
      <c r="T1612">
        <v>-0.8433676</v>
      </c>
      <c r="U1612">
        <v>0.36312870000000003</v>
      </c>
      <c r="V1612">
        <v>-2.0942349999999998E-3</v>
      </c>
      <c r="W1612">
        <v>-4.6238309999999998E-2</v>
      </c>
      <c r="X1612">
        <v>0.99892820000000004</v>
      </c>
      <c r="Y1612">
        <v>0.1629379</v>
      </c>
      <c r="Z1612">
        <v>3.6581860000000001E-2</v>
      </c>
      <c r="AA1612">
        <v>0.98595790000000005</v>
      </c>
      <c r="AB1612">
        <v>21</v>
      </c>
      <c r="AC1612">
        <v>-0.45629999999999798</v>
      </c>
      <c r="AD1612">
        <v>-0.192000899999999</v>
      </c>
      <c r="AE1612">
        <v>9.3000000000017694E-2</v>
      </c>
      <c r="AF1612">
        <v>9.9247991831201199E-2</v>
      </c>
      <c r="AG1612">
        <v>-0.192000899999999</v>
      </c>
      <c r="AH1612">
        <v>0.38544790232899301</v>
      </c>
      <c r="AI1612">
        <v>115.752177128686</v>
      </c>
      <c r="AJ1612">
        <v>75.560710016819002</v>
      </c>
      <c r="AK1612">
        <v>0.44191016608939498</v>
      </c>
      <c r="AL1612">
        <v>92.6502050471384</v>
      </c>
      <c r="AM1612">
        <v>90.120119394980506</v>
      </c>
      <c r="AN1612">
        <v>0.999999957943564</v>
      </c>
    </row>
    <row r="1613" spans="1:40" x14ac:dyDescent="0.25">
      <c r="A1613" t="str">
        <f>"20190312151529518"</f>
        <v>20190312151529518</v>
      </c>
      <c r="B1613" t="str">
        <f>"1552374929509426"</f>
        <v>1552374929509426</v>
      </c>
      <c r="C1613" t="s">
        <v>40</v>
      </c>
      <c r="D1613">
        <v>5.4408159999999999</v>
      </c>
      <c r="E1613">
        <v>0.56486579999999997</v>
      </c>
      <c r="F1613" t="s">
        <v>41</v>
      </c>
      <c r="G1613">
        <v>-216.5609</v>
      </c>
      <c r="H1613">
        <v>0.87307610000000002</v>
      </c>
      <c r="I1613">
        <v>281.4212</v>
      </c>
      <c r="J1613">
        <v>-215.94990000000001</v>
      </c>
      <c r="K1613">
        <v>1.1081179999999999</v>
      </c>
      <c r="L1613">
        <v>281.31049999999999</v>
      </c>
      <c r="M1613">
        <v>-0.99873630000000002</v>
      </c>
      <c r="N1613">
        <v>0</v>
      </c>
      <c r="O1613">
        <v>-4.984098E-2</v>
      </c>
      <c r="P1613">
        <v>-0.99720010000000003</v>
      </c>
      <c r="Q1613">
        <v>-5.3141340000000002E-2</v>
      </c>
      <c r="R1613">
        <v>-5.2615960000000003E-2</v>
      </c>
      <c r="S1613">
        <v>-2.9828190000000001</v>
      </c>
      <c r="T1613">
        <v>-0.84671869999999905</v>
      </c>
      <c r="U1613">
        <v>0.3630371</v>
      </c>
      <c r="V1613">
        <v>-2.9139309999999998E-3</v>
      </c>
      <c r="W1613">
        <v>-4.6679739999999997E-2</v>
      </c>
      <c r="X1613">
        <v>0.99890570000000001</v>
      </c>
      <c r="Y1613">
        <v>0.16188759999999999</v>
      </c>
      <c r="Z1613">
        <v>3.6285930000000001E-2</v>
      </c>
      <c r="AA1613">
        <v>0.98614190000000002</v>
      </c>
      <c r="AB1613">
        <v>22</v>
      </c>
      <c r="AC1613">
        <v>-0.61099999999999</v>
      </c>
      <c r="AD1613">
        <v>-0.235041899999999</v>
      </c>
      <c r="AE1613">
        <v>0.110700000000008</v>
      </c>
      <c r="AF1613">
        <v>0.123343420317871</v>
      </c>
      <c r="AG1613">
        <v>-0.235041899999999</v>
      </c>
      <c r="AH1613">
        <v>0.52893766663742403</v>
      </c>
      <c r="AI1613">
        <v>113.400815283716</v>
      </c>
      <c r="AJ1613">
        <v>76.873720499418894</v>
      </c>
      <c r="AK1613">
        <v>0.59180516158543495</v>
      </c>
      <c r="AL1613">
        <v>92.675524235800495</v>
      </c>
      <c r="AM1613">
        <v>90.167138374040903</v>
      </c>
      <c r="AN1613">
        <v>1.00000004330641</v>
      </c>
    </row>
    <row r="1614" spans="1:40" x14ac:dyDescent="0.25">
      <c r="A1614" t="str">
        <f>"20190312151529540"</f>
        <v>20190312151529540</v>
      </c>
      <c r="B1614" t="str">
        <f>"1552374929528945"</f>
        <v>1552374929528945</v>
      </c>
      <c r="C1614" t="s">
        <v>40</v>
      </c>
      <c r="D1614">
        <v>5.0565639999999998</v>
      </c>
      <c r="E1614">
        <v>0.56484000000000001</v>
      </c>
      <c r="F1614" t="s">
        <v>41</v>
      </c>
      <c r="G1614">
        <v>-216.75749999999999</v>
      </c>
      <c r="H1614">
        <v>0.8775908</v>
      </c>
      <c r="I1614">
        <v>281.40949999999998</v>
      </c>
      <c r="J1614">
        <v>-216.16839999999999</v>
      </c>
      <c r="K1614">
        <v>1.1081129999999999</v>
      </c>
      <c r="L1614">
        <v>281.30079999999998</v>
      </c>
      <c r="M1614">
        <v>-0.9987895</v>
      </c>
      <c r="N1614">
        <v>0</v>
      </c>
      <c r="O1614">
        <v>-4.8778969999999998E-2</v>
      </c>
      <c r="P1614">
        <v>-0.99723980000000001</v>
      </c>
      <c r="Q1614">
        <v>-5.2374240000000002E-2</v>
      </c>
      <c r="R1614">
        <v>-5.2629530000000001E-2</v>
      </c>
      <c r="S1614">
        <v>-2.9823</v>
      </c>
      <c r="T1614">
        <v>-0.8512516</v>
      </c>
      <c r="U1614">
        <v>0.36474610000000002</v>
      </c>
      <c r="V1614">
        <v>-3.9857599999999997E-3</v>
      </c>
      <c r="W1614">
        <v>-4.6024559999999999E-2</v>
      </c>
      <c r="X1614">
        <v>0.99893240000000005</v>
      </c>
      <c r="Y1614">
        <v>0.1613897</v>
      </c>
      <c r="Z1614">
        <v>3.6111980000000002E-2</v>
      </c>
      <c r="AA1614">
        <v>0.98622980000000005</v>
      </c>
      <c r="AB1614">
        <v>22</v>
      </c>
      <c r="AC1614">
        <v>-0.58910000000000196</v>
      </c>
      <c r="AD1614">
        <v>-0.23052219999999901</v>
      </c>
      <c r="AE1614">
        <v>0.10869999999999801</v>
      </c>
      <c r="AF1614">
        <v>0.11959656942013901</v>
      </c>
      <c r="AG1614">
        <v>-0.23052219999999901</v>
      </c>
      <c r="AH1614">
        <v>0.50788662003832796</v>
      </c>
      <c r="AI1614">
        <v>113.83590885108499</v>
      </c>
      <c r="AJ1614">
        <v>76.749450055844605</v>
      </c>
      <c r="AK1614">
        <v>0.57043197922614997</v>
      </c>
      <c r="AL1614">
        <v>92.6379447966778</v>
      </c>
      <c r="AM1614">
        <v>90.228610078394894</v>
      </c>
      <c r="AN1614">
        <v>1.0000000430878599</v>
      </c>
    </row>
    <row r="1615" spans="1:40" x14ac:dyDescent="0.25">
      <c r="A1615" t="str">
        <f>"20190312151529561"</f>
        <v>20190312151529561</v>
      </c>
      <c r="B1615" t="str">
        <f>"1552374929559201"</f>
        <v>1552374929559201</v>
      </c>
      <c r="C1615" t="s">
        <v>40</v>
      </c>
      <c r="D1615">
        <v>5.0098830000000003</v>
      </c>
      <c r="E1615">
        <v>0.56423650000000003</v>
      </c>
      <c r="F1615" t="s">
        <v>41</v>
      </c>
      <c r="G1615">
        <v>-216.95590000000001</v>
      </c>
      <c r="H1615">
        <v>0.88439389999999996</v>
      </c>
      <c r="I1615">
        <v>281.39710000000002</v>
      </c>
      <c r="J1615">
        <v>-216.37880000000001</v>
      </c>
      <c r="K1615">
        <v>1.108107</v>
      </c>
      <c r="L1615">
        <v>281.29160000000002</v>
      </c>
      <c r="M1615">
        <v>-0.99883789999999995</v>
      </c>
      <c r="N1615">
        <v>0</v>
      </c>
      <c r="O1615">
        <v>-4.7792920000000003E-2</v>
      </c>
      <c r="P1615">
        <v>-0.99720319999999996</v>
      </c>
      <c r="Q1615">
        <v>-5.2482870000000001E-2</v>
      </c>
      <c r="R1615">
        <v>-5.3214360000000002E-2</v>
      </c>
      <c r="S1615">
        <v>-2.9830019999999999</v>
      </c>
      <c r="T1615">
        <v>-0.84740110000000002</v>
      </c>
      <c r="U1615">
        <v>0.36398320000000001</v>
      </c>
      <c r="V1615">
        <v>-5.557106E-3</v>
      </c>
      <c r="W1615">
        <v>-4.6237060000000003E-2</v>
      </c>
      <c r="X1615">
        <v>0.998915</v>
      </c>
      <c r="Y1615">
        <v>0.1602983</v>
      </c>
      <c r="Z1615">
        <v>3.5521850000000001E-2</v>
      </c>
      <c r="AA1615">
        <v>0.98642929999999995</v>
      </c>
      <c r="AB1615">
        <v>22</v>
      </c>
      <c r="AC1615">
        <v>-0.57710000000000095</v>
      </c>
      <c r="AD1615">
        <v>-0.223713099999999</v>
      </c>
      <c r="AE1615">
        <v>0.10550000000000601</v>
      </c>
      <c r="AF1615">
        <v>0.116081480728163</v>
      </c>
      <c r="AG1615">
        <v>-0.223713099999999</v>
      </c>
      <c r="AH1615">
        <v>0.49885773426668401</v>
      </c>
      <c r="AI1615">
        <v>113.594812017973</v>
      </c>
      <c r="AJ1615">
        <v>76.900691911605094</v>
      </c>
      <c r="AK1615">
        <v>0.55891099498698604</v>
      </c>
      <c r="AL1615">
        <v>92.650133339481499</v>
      </c>
      <c r="AM1615">
        <v>90.318741269786003</v>
      </c>
      <c r="AN1615">
        <v>0.99999996218476805</v>
      </c>
    </row>
    <row r="1616" spans="1:40" x14ac:dyDescent="0.25">
      <c r="A1616" t="str">
        <f>"20190312151529584"</f>
        <v>20190312151529584</v>
      </c>
      <c r="B1616" t="str">
        <f>"1552374929578720"</f>
        <v>1552374929578720</v>
      </c>
      <c r="C1616" t="s">
        <v>40</v>
      </c>
      <c r="D1616">
        <v>5.0979419999999998</v>
      </c>
      <c r="E1616">
        <v>0.56454799999999905</v>
      </c>
      <c r="F1616" t="s">
        <v>41</v>
      </c>
      <c r="G1616">
        <v>-217.15469999999999</v>
      </c>
      <c r="H1616">
        <v>0.88987329999999998</v>
      </c>
      <c r="I1616">
        <v>281.38459999999998</v>
      </c>
      <c r="J1616">
        <v>-216.61</v>
      </c>
      <c r="K1616">
        <v>1.1081080000000001</v>
      </c>
      <c r="L1616">
        <v>281.2817</v>
      </c>
      <c r="M1616">
        <v>-0.99888759999999999</v>
      </c>
      <c r="N1616">
        <v>0</v>
      </c>
      <c r="O1616">
        <v>-4.675646E-2</v>
      </c>
      <c r="P1616">
        <v>-0.99716280000000002</v>
      </c>
      <c r="Q1616">
        <v>-5.2504370000000002E-2</v>
      </c>
      <c r="R1616">
        <v>-5.3945640000000003E-2</v>
      </c>
      <c r="S1616">
        <v>-2.983276</v>
      </c>
      <c r="T1616">
        <v>-0.83910379999999996</v>
      </c>
      <c r="U1616">
        <v>0.35693360000000002</v>
      </c>
      <c r="V1616">
        <v>-7.3241969999999898E-3</v>
      </c>
      <c r="W1616">
        <v>-4.6372139999999999E-2</v>
      </c>
      <c r="X1616">
        <v>0.99889740000000005</v>
      </c>
      <c r="Y1616">
        <v>0.1572762</v>
      </c>
      <c r="Z1616">
        <v>3.448768E-2</v>
      </c>
      <c r="AA1616">
        <v>0.98695219999999995</v>
      </c>
      <c r="AB1616">
        <v>22</v>
      </c>
      <c r="AC1616">
        <v>-0.54469999999997698</v>
      </c>
      <c r="AD1616">
        <v>-0.2182347</v>
      </c>
      <c r="AE1616">
        <v>0.102899999999976</v>
      </c>
      <c r="AF1616">
        <v>0.111045254086553</v>
      </c>
      <c r="AG1616">
        <v>-0.2182347</v>
      </c>
      <c r="AH1616">
        <v>0.46692425418487499</v>
      </c>
      <c r="AI1616">
        <v>114.451561166224</v>
      </c>
      <c r="AJ1616">
        <v>76.622272894630399</v>
      </c>
      <c r="AK1616">
        <v>0.52723400107100404</v>
      </c>
      <c r="AL1616">
        <v>92.657881017182703</v>
      </c>
      <c r="AM1616">
        <v>90.420101259936203</v>
      </c>
      <c r="AN1616">
        <v>1.0000000174783099</v>
      </c>
    </row>
    <row r="1617" spans="1:40" x14ac:dyDescent="0.25">
      <c r="A1617" t="str">
        <f>"20190312151529607"</f>
        <v>20190312151529607</v>
      </c>
      <c r="B1617" t="str">
        <f>"1552374929599217"</f>
        <v>1552374929599217</v>
      </c>
      <c r="C1617" t="s">
        <v>40</v>
      </c>
      <c r="D1617">
        <v>5.5303120000000003</v>
      </c>
      <c r="E1617">
        <v>0.56447990000000003</v>
      </c>
      <c r="F1617" t="s">
        <v>41</v>
      </c>
      <c r="G1617">
        <v>-217.3554</v>
      </c>
      <c r="H1617">
        <v>0.89760609999999996</v>
      </c>
      <c r="I1617">
        <v>281.37110000000001</v>
      </c>
      <c r="J1617">
        <v>-216.82419999999999</v>
      </c>
      <c r="K1617">
        <v>1.108106</v>
      </c>
      <c r="L1617">
        <v>281.27280000000002</v>
      </c>
      <c r="M1617">
        <v>-0.99893050000000005</v>
      </c>
      <c r="N1617">
        <v>0</v>
      </c>
      <c r="O1617">
        <v>-4.5846749999999999E-2</v>
      </c>
      <c r="P1617">
        <v>-0.99712610000000002</v>
      </c>
      <c r="Q1617">
        <v>-5.2231560000000003E-2</v>
      </c>
      <c r="R1617">
        <v>-5.4879039999999997E-2</v>
      </c>
      <c r="S1617">
        <v>-2.9834900000000002</v>
      </c>
      <c r="T1617">
        <v>-0.84252669999999996</v>
      </c>
      <c r="U1617">
        <v>0.35726930000000001</v>
      </c>
      <c r="V1617">
        <v>-9.1656740000000004E-3</v>
      </c>
      <c r="W1617">
        <v>-4.6205749999999997E-2</v>
      </c>
      <c r="X1617">
        <v>0.9988899</v>
      </c>
      <c r="Y1617">
        <v>0.1564835</v>
      </c>
      <c r="Z1617">
        <v>3.4259860000000003E-2</v>
      </c>
      <c r="AA1617">
        <v>0.98708620000000002</v>
      </c>
      <c r="AB1617">
        <v>22</v>
      </c>
      <c r="AC1617">
        <v>-0.531200000000012</v>
      </c>
      <c r="AD1617">
        <v>-0.21049989999999999</v>
      </c>
      <c r="AE1617">
        <v>9.8299999999994697E-2</v>
      </c>
      <c r="AF1617">
        <v>0.106396437890985</v>
      </c>
      <c r="AG1617">
        <v>-0.21049989999999999</v>
      </c>
      <c r="AH1617">
        <v>0.45678051990035401</v>
      </c>
      <c r="AI1617">
        <v>114.171462395639</v>
      </c>
      <c r="AJ1617">
        <v>76.888068090861097</v>
      </c>
      <c r="AK1617">
        <v>0.51408059023497299</v>
      </c>
      <c r="AL1617">
        <v>92.648337371430799</v>
      </c>
      <c r="AM1617">
        <v>90.525723304071207</v>
      </c>
      <c r="AN1617">
        <v>1.0000000066174699</v>
      </c>
    </row>
    <row r="1618" spans="1:40" x14ac:dyDescent="0.25">
      <c r="A1618" t="str">
        <f>"20190312151529627"</f>
        <v>20190312151529627</v>
      </c>
      <c r="B1618" t="str">
        <f>"1552374929618738"</f>
        <v>1552374929618738</v>
      </c>
      <c r="C1618" t="s">
        <v>40</v>
      </c>
      <c r="D1618">
        <v>5.0392809999999999</v>
      </c>
      <c r="E1618">
        <v>0.55884319999999998</v>
      </c>
      <c r="F1618" t="s">
        <v>41</v>
      </c>
      <c r="G1618">
        <v>-217.5558</v>
      </c>
      <c r="H1618">
        <v>0.90169080000000001</v>
      </c>
      <c r="I1618">
        <v>281.35969999999998</v>
      </c>
      <c r="J1618">
        <v>-217.0343</v>
      </c>
      <c r="K1618">
        <v>1.108109</v>
      </c>
      <c r="L1618">
        <v>281.26409999999998</v>
      </c>
      <c r="M1618">
        <v>-0.99896940000000001</v>
      </c>
      <c r="N1618">
        <v>0</v>
      </c>
      <c r="O1618">
        <v>-4.500179E-2</v>
      </c>
      <c r="P1618">
        <v>-0.99710359999999998</v>
      </c>
      <c r="Q1618">
        <v>-5.215798E-2</v>
      </c>
      <c r="R1618">
        <v>-5.5353079999999999E-2</v>
      </c>
      <c r="S1618">
        <v>-2.9840089999999999</v>
      </c>
      <c r="T1618">
        <v>-0.84195710000000001</v>
      </c>
      <c r="U1618">
        <v>0.3536377</v>
      </c>
      <c r="V1618">
        <v>-1.048264E-2</v>
      </c>
      <c r="W1618">
        <v>-4.6241070000000002E-2</v>
      </c>
      <c r="X1618">
        <v>0.99887530000000002</v>
      </c>
      <c r="Y1618">
        <v>0.15456249999999999</v>
      </c>
      <c r="Z1618">
        <v>3.3735950000000001E-2</v>
      </c>
      <c r="AA1618">
        <v>0.98740680000000003</v>
      </c>
      <c r="AB1618">
        <v>22</v>
      </c>
      <c r="AC1618">
        <v>-0.52150000000000296</v>
      </c>
      <c r="AD1618">
        <v>-0.206418199999999</v>
      </c>
      <c r="AE1618">
        <v>9.5599999999990304E-2</v>
      </c>
      <c r="AF1618">
        <v>0.103312251655186</v>
      </c>
      <c r="AG1618">
        <v>-0.206418199999999</v>
      </c>
      <c r="AH1618">
        <v>0.448662582898328</v>
      </c>
      <c r="AI1618">
        <v>114.14868688132501</v>
      </c>
      <c r="AJ1618">
        <v>77.032699120998402</v>
      </c>
      <c r="AK1618">
        <v>0.50455922142628995</v>
      </c>
      <c r="AL1618">
        <v>92.650363258193195</v>
      </c>
      <c r="AM1618">
        <v>90.601265225512194</v>
      </c>
      <c r="AN1618">
        <v>0.99999999362310199</v>
      </c>
    </row>
    <row r="1619" spans="1:40" x14ac:dyDescent="0.25">
      <c r="A1619" t="str">
        <f>"20190312151529653"</f>
        <v>20190312151529653</v>
      </c>
      <c r="B1619" t="str">
        <f>"1552374929648993"</f>
        <v>1552374929648993</v>
      </c>
      <c r="C1619" t="s">
        <v>40</v>
      </c>
      <c r="D1619">
        <v>5.0315079999999996</v>
      </c>
      <c r="E1619">
        <v>0.56604080000000001</v>
      </c>
      <c r="F1619" t="s">
        <v>41</v>
      </c>
      <c r="G1619">
        <v>-217.76650000000001</v>
      </c>
      <c r="H1619">
        <v>0.92858649999999998</v>
      </c>
      <c r="I1619">
        <v>281.33920000000001</v>
      </c>
      <c r="J1619">
        <v>-217.2927</v>
      </c>
      <c r="K1619">
        <v>1.108115</v>
      </c>
      <c r="L1619">
        <v>281.25349999999997</v>
      </c>
      <c r="M1619">
        <v>-0.99901379999999995</v>
      </c>
      <c r="N1619">
        <v>0</v>
      </c>
      <c r="O1619">
        <v>-4.402594E-2</v>
      </c>
      <c r="P1619">
        <v>-0.99710540000000003</v>
      </c>
      <c r="Q1619">
        <v>-5.223916E-2</v>
      </c>
      <c r="R1619">
        <v>-5.524652E-2</v>
      </c>
      <c r="S1619">
        <v>-2.9873959999999999</v>
      </c>
      <c r="T1619">
        <v>-0.73248459999999904</v>
      </c>
      <c r="U1619">
        <v>0.30593870000000001</v>
      </c>
      <c r="V1619">
        <v>-1.134844E-2</v>
      </c>
      <c r="W1619">
        <v>-4.6462429999999999E-2</v>
      </c>
      <c r="X1619">
        <v>0.99885559999999995</v>
      </c>
      <c r="Y1619">
        <v>0.14016999999999999</v>
      </c>
      <c r="Z1619">
        <v>2.750532E-2</v>
      </c>
      <c r="AA1619">
        <v>0.98974530000000005</v>
      </c>
      <c r="AB1619">
        <v>22</v>
      </c>
      <c r="AC1619">
        <v>-0.47380000000001099</v>
      </c>
      <c r="AD1619">
        <v>-0.17952849999999901</v>
      </c>
      <c r="AE1619">
        <v>8.5700000000031196E-2</v>
      </c>
      <c r="AF1619">
        <v>9.3480531215808793E-2</v>
      </c>
      <c r="AG1619">
        <v>-0.17952849999999901</v>
      </c>
      <c r="AH1619">
        <v>0.41225360647190901</v>
      </c>
      <c r="AI1619">
        <v>113.010884758873</v>
      </c>
      <c r="AJ1619">
        <v>77.223948390919702</v>
      </c>
      <c r="AK1619">
        <v>0.45926259163765498</v>
      </c>
      <c r="AL1619">
        <v>92.663059809516596</v>
      </c>
      <c r="AM1619">
        <v>90.650934670647601</v>
      </c>
      <c r="AN1619">
        <v>1.00000002707164</v>
      </c>
    </row>
    <row r="1620" spans="1:40" x14ac:dyDescent="0.25">
      <c r="A1620" t="str">
        <f>"20190312151529674"</f>
        <v>20190312151529674</v>
      </c>
      <c r="B1620" t="str">
        <f>"1552374929669489"</f>
        <v>1552374929669489</v>
      </c>
      <c r="C1620" t="s">
        <v>40</v>
      </c>
      <c r="D1620">
        <v>5.0378619999999996</v>
      </c>
      <c r="E1620">
        <v>0.56658569999999997</v>
      </c>
      <c r="F1620" t="s">
        <v>41</v>
      </c>
      <c r="G1620">
        <v>-218.14599999999999</v>
      </c>
      <c r="H1620">
        <v>0.86565110000000001</v>
      </c>
      <c r="I1620">
        <v>281.35759999999999</v>
      </c>
      <c r="J1620">
        <v>-217.50700000000001</v>
      </c>
      <c r="K1620">
        <v>1.1081259999999999</v>
      </c>
      <c r="L1620">
        <v>281.245</v>
      </c>
      <c r="M1620">
        <v>-0.99904729999999997</v>
      </c>
      <c r="N1620">
        <v>0</v>
      </c>
      <c r="O1620">
        <v>-4.3274470000000002E-2</v>
      </c>
      <c r="P1620">
        <v>-0.99706640000000002</v>
      </c>
      <c r="Q1620">
        <v>-5.2253590000000003E-2</v>
      </c>
      <c r="R1620">
        <v>-5.5932129999999997E-2</v>
      </c>
      <c r="S1620">
        <v>-2.984451</v>
      </c>
      <c r="T1620">
        <v>-0.84798839999999998</v>
      </c>
      <c r="U1620">
        <v>0.36407469999999997</v>
      </c>
      <c r="V1620">
        <v>-1.278341E-2</v>
      </c>
      <c r="W1620">
        <v>-4.6589579999999998E-2</v>
      </c>
      <c r="X1620">
        <v>0.99883230000000001</v>
      </c>
      <c r="Y1620">
        <v>0.15614620000000001</v>
      </c>
      <c r="Z1620">
        <v>3.3697240000000003E-2</v>
      </c>
      <c r="AA1620">
        <v>0.98715900000000001</v>
      </c>
      <c r="AB1620">
        <v>22</v>
      </c>
      <c r="AC1620">
        <v>-0.63899999999998103</v>
      </c>
      <c r="AD1620">
        <v>-0.24247489999999899</v>
      </c>
      <c r="AE1620">
        <v>0.112599999999986</v>
      </c>
      <c r="AF1620">
        <v>0.122973645330262</v>
      </c>
      <c r="AG1620">
        <v>-0.24247489999999899</v>
      </c>
      <c r="AH1620">
        <v>0.55589581704298896</v>
      </c>
      <c r="AI1620">
        <v>113.0687288252</v>
      </c>
      <c r="AJ1620">
        <v>77.526084631232607</v>
      </c>
      <c r="AK1620">
        <v>0.61881883777218305</v>
      </c>
      <c r="AL1620">
        <v>92.670352980512902</v>
      </c>
      <c r="AM1620">
        <v>90.7332516722349</v>
      </c>
      <c r="AN1620">
        <v>0.99999998402954704</v>
      </c>
    </row>
    <row r="1621" spans="1:40" x14ac:dyDescent="0.25">
      <c r="A1621" t="str">
        <f>"20190312151529696"</f>
        <v>20190312151529696</v>
      </c>
      <c r="B1621" t="str">
        <f>"1552374929689009"</f>
        <v>1552374929689009</v>
      </c>
      <c r="C1621" t="s">
        <v>40</v>
      </c>
      <c r="D1621">
        <v>5.0238300000000002</v>
      </c>
      <c r="E1621">
        <v>0.56669320000000001</v>
      </c>
      <c r="F1621" t="s">
        <v>41</v>
      </c>
      <c r="G1621">
        <v>-218.35</v>
      </c>
      <c r="H1621">
        <v>0.867718199999999</v>
      </c>
      <c r="I1621">
        <v>281.34859999999998</v>
      </c>
      <c r="J1621">
        <v>-217.732</v>
      </c>
      <c r="K1621">
        <v>1.1081319999999999</v>
      </c>
      <c r="L1621">
        <v>281.23610000000002</v>
      </c>
      <c r="M1621">
        <v>-0.99907999999999997</v>
      </c>
      <c r="N1621">
        <v>0</v>
      </c>
      <c r="O1621">
        <v>-4.2527750000000003E-2</v>
      </c>
      <c r="P1621">
        <v>-0.99705820000000001</v>
      </c>
      <c r="Q1621">
        <v>-5.1594609999999999E-2</v>
      </c>
      <c r="R1621">
        <v>-5.6687689999999999E-2</v>
      </c>
      <c r="S1621">
        <v>-2.984756</v>
      </c>
      <c r="T1621">
        <v>-0.85120079999999998</v>
      </c>
      <c r="U1621">
        <v>0.3660583</v>
      </c>
      <c r="V1621">
        <v>-1.428167E-2</v>
      </c>
      <c r="W1621">
        <v>-4.603844E-2</v>
      </c>
      <c r="X1621">
        <v>0.99883759999999999</v>
      </c>
      <c r="Y1621">
        <v>0.15602179999999999</v>
      </c>
      <c r="Z1621">
        <v>3.3589999999999898E-2</v>
      </c>
      <c r="AA1621">
        <v>0.98718229999999996</v>
      </c>
      <c r="AB1621">
        <v>23</v>
      </c>
      <c r="AC1621">
        <v>-0.617999999999995</v>
      </c>
      <c r="AD1621">
        <v>-0.24041379999999901</v>
      </c>
      <c r="AE1621">
        <v>0.112499999999954</v>
      </c>
      <c r="AF1621">
        <v>0.12096203939874001</v>
      </c>
      <c r="AG1621">
        <v>-0.24041379999999901</v>
      </c>
      <c r="AH1621">
        <v>0.53437958228806703</v>
      </c>
      <c r="AI1621">
        <v>113.69148924695899</v>
      </c>
      <c r="AJ1621">
        <v>77.245483145640506</v>
      </c>
      <c r="AK1621">
        <v>0.59832445058873496</v>
      </c>
      <c r="AL1621">
        <v>92.638740946806493</v>
      </c>
      <c r="AM1621">
        <v>90.819175868951504</v>
      </c>
      <c r="AN1621">
        <v>1.0000000276146901</v>
      </c>
    </row>
    <row r="1622" spans="1:40" x14ac:dyDescent="0.25">
      <c r="A1622" t="str">
        <f>"20190312151529718"</f>
        <v>20190312151529718</v>
      </c>
      <c r="B1622" t="str">
        <f>"1552374929709505"</f>
        <v>1552374929709505</v>
      </c>
      <c r="C1622" t="s">
        <v>40</v>
      </c>
      <c r="D1622">
        <v>5.1000370000000004</v>
      </c>
      <c r="E1622">
        <v>0.56627139999999998</v>
      </c>
      <c r="F1622" t="s">
        <v>41</v>
      </c>
      <c r="G1622">
        <v>-218.55690000000001</v>
      </c>
      <c r="H1622">
        <v>0.87469699999999995</v>
      </c>
      <c r="I1622">
        <v>281.33679999999998</v>
      </c>
      <c r="J1622">
        <v>-217.95099999999999</v>
      </c>
      <c r="K1622">
        <v>1.1081399999999999</v>
      </c>
      <c r="L1622">
        <v>281.22750000000002</v>
      </c>
      <c r="M1622">
        <v>-0.99910940000000004</v>
      </c>
      <c r="N1622">
        <v>0</v>
      </c>
      <c r="O1622">
        <v>-4.1841120000000002E-2</v>
      </c>
      <c r="P1622">
        <v>-0.99705849999999996</v>
      </c>
      <c r="Q1622">
        <v>-5.099244E-2</v>
      </c>
      <c r="R1622">
        <v>-5.7222000000000002E-2</v>
      </c>
      <c r="S1622">
        <v>-2.9858549999999999</v>
      </c>
      <c r="T1622">
        <v>-0.84498259999999903</v>
      </c>
      <c r="U1622">
        <v>0.3644714</v>
      </c>
      <c r="V1622">
        <v>-1.549939E-2</v>
      </c>
      <c r="W1622">
        <v>-4.5530269999999998E-2</v>
      </c>
      <c r="X1622">
        <v>0.99884269999999997</v>
      </c>
      <c r="Y1622">
        <v>0.1549671</v>
      </c>
      <c r="Z1622">
        <v>3.3007199999999903E-2</v>
      </c>
      <c r="AA1622">
        <v>0.98736809999999997</v>
      </c>
      <c r="AB1622">
        <v>23</v>
      </c>
      <c r="AC1622">
        <v>-0.60590000000001898</v>
      </c>
      <c r="AD1622">
        <v>-0.23344300000000001</v>
      </c>
      <c r="AE1622">
        <v>0.109299999999961</v>
      </c>
      <c r="AF1622">
        <v>0.11764324602723</v>
      </c>
      <c r="AG1622">
        <v>-0.23344300000000001</v>
      </c>
      <c r="AH1622">
        <v>0.52527943986748604</v>
      </c>
      <c r="AI1622">
        <v>113.44509657243501</v>
      </c>
      <c r="AJ1622">
        <v>77.376172773391502</v>
      </c>
      <c r="AK1622">
        <v>0.58673167421941996</v>
      </c>
      <c r="AL1622">
        <v>92.609594489935304</v>
      </c>
      <c r="AM1622">
        <v>90.889007213110801</v>
      </c>
      <c r="AN1622">
        <v>0.99999998795996703</v>
      </c>
    </row>
    <row r="1623" spans="1:40" x14ac:dyDescent="0.25">
      <c r="A1623" t="str">
        <f>"20190312151529740"</f>
        <v>20190312151529740</v>
      </c>
      <c r="B1623" t="str">
        <f>"1552374929729025"</f>
        <v>1552374929729025</v>
      </c>
      <c r="C1623" t="s">
        <v>40</v>
      </c>
      <c r="D1623">
        <v>5.0258120000000002</v>
      </c>
      <c r="E1623">
        <v>0.56557899999999905</v>
      </c>
      <c r="F1623" t="s">
        <v>41</v>
      </c>
      <c r="G1623">
        <v>-218.76130000000001</v>
      </c>
      <c r="H1623">
        <v>0.87327649999999901</v>
      </c>
      <c r="I1623">
        <v>281.3254</v>
      </c>
      <c r="J1623">
        <v>-218.1797</v>
      </c>
      <c r="K1623">
        <v>1.108144</v>
      </c>
      <c r="L1623">
        <v>281.21879999999999</v>
      </c>
      <c r="M1623">
        <v>-0.99913790000000002</v>
      </c>
      <c r="N1623">
        <v>0</v>
      </c>
      <c r="O1623">
        <v>-4.1166660000000001E-2</v>
      </c>
      <c r="P1623">
        <v>-0.99705029999999994</v>
      </c>
      <c r="Q1623">
        <v>-5.0708139999999999E-2</v>
      </c>
      <c r="R1623">
        <v>-5.7617109999999999E-2</v>
      </c>
      <c r="S1623">
        <v>-2.9852449999999999</v>
      </c>
      <c r="T1623">
        <v>-0.86529210000000001</v>
      </c>
      <c r="U1623">
        <v>0.35968020000000001</v>
      </c>
      <c r="V1623">
        <v>-1.6566890000000001E-2</v>
      </c>
      <c r="W1623">
        <v>-4.5333859999999997E-2</v>
      </c>
      <c r="X1623">
        <v>0.99883449999999996</v>
      </c>
      <c r="Y1623">
        <v>0.1525213</v>
      </c>
      <c r="Z1623">
        <v>3.3242239999999999E-2</v>
      </c>
      <c r="AA1623">
        <v>0.98774090000000003</v>
      </c>
      <c r="AB1623">
        <v>23</v>
      </c>
      <c r="AC1623">
        <v>-0.581600000000008</v>
      </c>
      <c r="AD1623">
        <v>-0.23486750000000001</v>
      </c>
      <c r="AE1623">
        <v>0.106600000000014</v>
      </c>
      <c r="AF1623">
        <v>0.112674869598232</v>
      </c>
      <c r="AG1623">
        <v>-0.23486750000000001</v>
      </c>
      <c r="AH1623">
        <v>0.49812523646357099</v>
      </c>
      <c r="AI1623">
        <v>114.69697122399199</v>
      </c>
      <c r="AJ1623">
        <v>77.254307280890401</v>
      </c>
      <c r="AK1623">
        <v>0.56212731653702597</v>
      </c>
      <c r="AL1623">
        <v>92.598329389603506</v>
      </c>
      <c r="AM1623">
        <v>90.950233344298795</v>
      </c>
      <c r="AN1623">
        <v>0.99999998954850999</v>
      </c>
    </row>
    <row r="1624" spans="1:40" x14ac:dyDescent="0.25">
      <c r="A1624" t="str">
        <f>"20190312151529762"</f>
        <v>20190312151529762</v>
      </c>
      <c r="B1624" t="str">
        <f>"1552374929759281"</f>
        <v>1552374929759281</v>
      </c>
      <c r="C1624" t="s">
        <v>40</v>
      </c>
      <c r="D1624">
        <v>4.9730030000000003</v>
      </c>
      <c r="E1624">
        <v>0.525761699999999</v>
      </c>
      <c r="F1624" t="s">
        <v>41</v>
      </c>
      <c r="G1624">
        <v>-218.96960000000001</v>
      </c>
      <c r="H1624">
        <v>0.87900849999999897</v>
      </c>
      <c r="I1624">
        <v>281.31220000000002</v>
      </c>
      <c r="J1624">
        <v>-218.40710000000001</v>
      </c>
      <c r="K1624">
        <v>1.1081540000000001</v>
      </c>
      <c r="L1624">
        <v>281.21010000000001</v>
      </c>
      <c r="M1624">
        <v>-0.99916400000000005</v>
      </c>
      <c r="N1624">
        <v>0</v>
      </c>
      <c r="O1624">
        <v>-4.0537879999999998E-2</v>
      </c>
      <c r="P1624">
        <v>-0.9970599</v>
      </c>
      <c r="Q1624">
        <v>-5.0125070000000001E-2</v>
      </c>
      <c r="R1624">
        <v>-5.7957719999999997E-2</v>
      </c>
      <c r="S1624">
        <v>-2.9852449999999999</v>
      </c>
      <c r="T1624">
        <v>-0.86593410000000004</v>
      </c>
      <c r="U1624">
        <v>0.3529968</v>
      </c>
      <c r="V1624">
        <v>-1.7532699999999998E-2</v>
      </c>
      <c r="W1624">
        <v>-4.4828519999999997E-2</v>
      </c>
      <c r="X1624">
        <v>0.99884079999999997</v>
      </c>
      <c r="Y1624">
        <v>0.14984020000000001</v>
      </c>
      <c r="Z1624">
        <v>3.2711959999999998E-2</v>
      </c>
      <c r="AA1624">
        <v>0.98816899999999996</v>
      </c>
      <c r="AB1624">
        <v>23</v>
      </c>
      <c r="AC1624">
        <v>-0.5625</v>
      </c>
      <c r="AD1624">
        <v>-0.2291455</v>
      </c>
      <c r="AE1624">
        <v>0.102100000000007</v>
      </c>
      <c r="AF1624">
        <v>0.10754162460474</v>
      </c>
      <c r="AG1624">
        <v>-0.2291455</v>
      </c>
      <c r="AH1624">
        <v>0.48067482334721001</v>
      </c>
      <c r="AI1624">
        <v>114.948563132526</v>
      </c>
      <c r="AJ1624">
        <v>77.388866732566697</v>
      </c>
      <c r="AK1624">
        <v>0.54325053795900502</v>
      </c>
      <c r="AL1624">
        <v>92.569346129216896</v>
      </c>
      <c r="AM1624">
        <v>91.0056122678496</v>
      </c>
      <c r="AN1624">
        <v>0.99999996775965905</v>
      </c>
    </row>
    <row r="1625" spans="1:40" x14ac:dyDescent="0.25">
      <c r="A1625" t="str">
        <f>"20190312151529785"</f>
        <v>20190312151529785</v>
      </c>
      <c r="B1625" t="str">
        <f>"1552374929778802"</f>
        <v>1552374929778802</v>
      </c>
      <c r="C1625" t="s">
        <v>40</v>
      </c>
      <c r="D1625">
        <v>5.121149</v>
      </c>
      <c r="E1625">
        <v>0.51541619999999999</v>
      </c>
      <c r="F1625" t="s">
        <v>41</v>
      </c>
      <c r="G1625">
        <v>-219.21799999999999</v>
      </c>
      <c r="H1625">
        <v>0.97955619999999999</v>
      </c>
      <c r="I1625">
        <v>281.2192</v>
      </c>
      <c r="J1625">
        <v>-218.654</v>
      </c>
      <c r="K1625">
        <v>1.1081719999999999</v>
      </c>
      <c r="L1625">
        <v>281.20080000000002</v>
      </c>
      <c r="M1625">
        <v>-0.99919000000000002</v>
      </c>
      <c r="N1625">
        <v>0</v>
      </c>
      <c r="O1625">
        <v>-3.9901739999999998E-2</v>
      </c>
      <c r="P1625">
        <v>-0.99708459999999999</v>
      </c>
      <c r="Q1625">
        <v>-4.9445639999999999E-2</v>
      </c>
      <c r="R1625">
        <v>-5.8117700000000001E-2</v>
      </c>
      <c r="S1625">
        <v>-2.9869379999999999</v>
      </c>
      <c r="T1625">
        <v>-0.47381309999999899</v>
      </c>
      <c r="U1625">
        <v>3.2897950000000002E-2</v>
      </c>
      <c r="V1625">
        <v>-1.8324779999999999E-2</v>
      </c>
      <c r="W1625">
        <v>-4.42233E-2</v>
      </c>
      <c r="X1625">
        <v>0.99885360000000001</v>
      </c>
      <c r="Y1625">
        <v>4.9783210000000001E-2</v>
      </c>
      <c r="Z1625">
        <v>1.0213069999999999E-2</v>
      </c>
      <c r="AA1625">
        <v>0.99870780000000003</v>
      </c>
      <c r="AB1625">
        <v>23</v>
      </c>
      <c r="AC1625">
        <v>-0.56399999999996397</v>
      </c>
      <c r="AD1625">
        <v>-0.128615799999999</v>
      </c>
      <c r="AE1625">
        <v>1.8399999999985501E-2</v>
      </c>
      <c r="AF1625">
        <v>3.8870966189628597E-2</v>
      </c>
      <c r="AG1625">
        <v>-0.128615799999999</v>
      </c>
      <c r="AH1625">
        <v>0.53502325716890797</v>
      </c>
      <c r="AI1625">
        <v>103.482782818144</v>
      </c>
      <c r="AJ1625">
        <v>85.844599216633995</v>
      </c>
      <c r="AK1625">
        <v>0.55163653045622596</v>
      </c>
      <c r="AL1625">
        <v>92.534635053512304</v>
      </c>
      <c r="AM1625">
        <v>91.051019675728298</v>
      </c>
      <c r="AN1625">
        <v>1.00000000602894</v>
      </c>
    </row>
    <row r="1626" spans="1:40" x14ac:dyDescent="0.25">
      <c r="A1626" t="str">
        <f>"20190312151529807"</f>
        <v>20190312151529807</v>
      </c>
      <c r="B1626" t="str">
        <f>"1552374929799297"</f>
        <v>1552374929799297</v>
      </c>
      <c r="C1626" t="s">
        <v>40</v>
      </c>
      <c r="D1626">
        <v>5.126773</v>
      </c>
      <c r="E1626">
        <v>0.51137719999999998</v>
      </c>
      <c r="F1626" t="s">
        <v>41</v>
      </c>
      <c r="G1626">
        <v>-219.44049999999999</v>
      </c>
      <c r="H1626">
        <v>1.0096000000000001</v>
      </c>
      <c r="I1626">
        <v>281.18770000000001</v>
      </c>
      <c r="J1626">
        <v>-218.87549999999999</v>
      </c>
      <c r="K1626">
        <v>1.108185</v>
      </c>
      <c r="L1626">
        <v>281.19260000000003</v>
      </c>
      <c r="M1626">
        <v>-0.99921130000000002</v>
      </c>
      <c r="N1626">
        <v>0</v>
      </c>
      <c r="O1626">
        <v>-3.9374489999999998E-2</v>
      </c>
      <c r="P1626">
        <v>-0.99704950000000003</v>
      </c>
      <c r="Q1626">
        <v>-4.9398360000000002E-2</v>
      </c>
      <c r="R1626">
        <v>-5.8755889999999998E-2</v>
      </c>
      <c r="S1626">
        <v>-2.9872589999999999</v>
      </c>
      <c r="T1626">
        <v>-0.3745404</v>
      </c>
      <c r="U1626">
        <v>-5.0506589999999997E-2</v>
      </c>
      <c r="V1626">
        <v>-1.9487859999999999E-2</v>
      </c>
      <c r="W1626">
        <v>-4.423361E-2</v>
      </c>
      <c r="X1626">
        <v>0.99883109999999997</v>
      </c>
      <c r="Y1626">
        <v>2.19974E-2</v>
      </c>
      <c r="Z1626">
        <v>6.289383E-3</v>
      </c>
      <c r="AA1626">
        <v>0.99973820000000002</v>
      </c>
      <c r="AB1626">
        <v>23</v>
      </c>
      <c r="AC1626">
        <v>-0.56499999999999695</v>
      </c>
      <c r="AD1626">
        <v>-9.8584999999999895E-2</v>
      </c>
      <c r="AE1626">
        <v>-4.9000000000205502E-3</v>
      </c>
      <c r="AF1626">
        <v>1.68380737521171E-2</v>
      </c>
      <c r="AG1626">
        <v>-9.8584999999999895E-2</v>
      </c>
      <c r="AH1626">
        <v>0.54806971611320698</v>
      </c>
      <c r="AI1626">
        <v>100.19242540492399</v>
      </c>
      <c r="AJ1626">
        <v>88.240283725221303</v>
      </c>
      <c r="AK1626">
        <v>0.55712021743344897</v>
      </c>
      <c r="AL1626">
        <v>92.535226423648794</v>
      </c>
      <c r="AM1626">
        <v>91.117737004495595</v>
      </c>
      <c r="AN1626">
        <v>0.99999997763410997</v>
      </c>
    </row>
    <row r="1627" spans="1:40" x14ac:dyDescent="0.25">
      <c r="A1627" t="str">
        <f>"20190312151529830"</f>
        <v>20190312151529830</v>
      </c>
      <c r="B1627" t="str">
        <f>"1552374929818817"</f>
        <v>1552374929818817</v>
      </c>
      <c r="C1627" t="s">
        <v>40</v>
      </c>
      <c r="D1627">
        <v>5.0924339999999999</v>
      </c>
      <c r="E1627">
        <v>0.50844219999999996</v>
      </c>
      <c r="F1627" t="s">
        <v>41</v>
      </c>
      <c r="G1627">
        <v>-219.65799999999999</v>
      </c>
      <c r="H1627">
        <v>1.026394</v>
      </c>
      <c r="I1627">
        <v>281.17059999999998</v>
      </c>
      <c r="J1627">
        <v>-219.11930000000001</v>
      </c>
      <c r="K1627">
        <v>1.108206</v>
      </c>
      <c r="L1627">
        <v>281.18349999999998</v>
      </c>
      <c r="M1627">
        <v>-0.99923229999999996</v>
      </c>
      <c r="N1627">
        <v>0</v>
      </c>
      <c r="O1627">
        <v>-3.8845240000000003E-2</v>
      </c>
      <c r="P1627">
        <v>-0.99702919999999995</v>
      </c>
      <c r="Q1627">
        <v>-4.911397E-2</v>
      </c>
      <c r="R1627">
        <v>-5.9336699999999999E-2</v>
      </c>
      <c r="S1627">
        <v>-2.9884189999999999</v>
      </c>
      <c r="T1627">
        <v>-0.31250600000000001</v>
      </c>
      <c r="U1627">
        <v>-8.4777829999999998E-2</v>
      </c>
      <c r="V1627">
        <v>-2.0594459999999998E-2</v>
      </c>
      <c r="W1627">
        <v>-4.4004300000000003E-2</v>
      </c>
      <c r="X1627">
        <v>0.99881909999999896</v>
      </c>
      <c r="Y1627">
        <v>1.022693E-2</v>
      </c>
      <c r="Z1627">
        <v>4.5821830000000001E-3</v>
      </c>
      <c r="AA1627">
        <v>0.99993719999999997</v>
      </c>
      <c r="AB1627">
        <v>23</v>
      </c>
      <c r="AC1627">
        <v>-0.53869999999997698</v>
      </c>
      <c r="AD1627">
        <v>-8.1811999999999996E-2</v>
      </c>
      <c r="AE1627">
        <v>-1.29000000000019E-2</v>
      </c>
      <c r="AF1627">
        <v>7.8548747435777007E-3</v>
      </c>
      <c r="AG1627">
        <v>-8.1811999999999996E-2</v>
      </c>
      <c r="AH1627">
        <v>0.52665455835462704</v>
      </c>
      <c r="AI1627">
        <v>98.828946386126404</v>
      </c>
      <c r="AJ1627">
        <v>89.145516168312895</v>
      </c>
      <c r="AK1627">
        <v>0.53302901068979702</v>
      </c>
      <c r="AL1627">
        <v>92.522074933910204</v>
      </c>
      <c r="AM1627">
        <v>91.181203348603802</v>
      </c>
      <c r="AN1627">
        <v>1.0000000523629899</v>
      </c>
    </row>
    <row r="1628" spans="1:40" x14ac:dyDescent="0.25">
      <c r="A1628" t="str">
        <f>"20190312151529852"</f>
        <v>20190312151529852</v>
      </c>
      <c r="B1628" t="str">
        <f>"1552374929849073"</f>
        <v>1552374929849073</v>
      </c>
      <c r="C1628" t="s">
        <v>40</v>
      </c>
      <c r="D1628">
        <v>5.0886969999999998</v>
      </c>
      <c r="E1628">
        <v>0.50594269999999997</v>
      </c>
      <c r="F1628" t="s">
        <v>41</v>
      </c>
      <c r="G1628">
        <v>-219.87289999999999</v>
      </c>
      <c r="H1628">
        <v>1.035398</v>
      </c>
      <c r="I1628">
        <v>281.1558</v>
      </c>
      <c r="J1628">
        <v>-219.35849999999999</v>
      </c>
      <c r="K1628">
        <v>1.108233</v>
      </c>
      <c r="L1628">
        <v>281.1748</v>
      </c>
      <c r="M1628">
        <v>-0.99925019999999998</v>
      </c>
      <c r="N1628">
        <v>0</v>
      </c>
      <c r="O1628">
        <v>-3.8387459999999998E-2</v>
      </c>
      <c r="P1628">
        <v>-0.99698039999999999</v>
      </c>
      <c r="Q1628">
        <v>-4.9380309999999997E-2</v>
      </c>
      <c r="R1628">
        <v>-5.9932689999999997E-2</v>
      </c>
      <c r="S1628">
        <v>-2.988159</v>
      </c>
      <c r="T1628">
        <v>-0.28874889999999998</v>
      </c>
      <c r="U1628">
        <v>-0.11019900000000001</v>
      </c>
      <c r="V1628">
        <v>-2.1646229999999999E-2</v>
      </c>
      <c r="W1628">
        <v>-4.4316910000000001E-2</v>
      </c>
      <c r="X1628">
        <v>0.99878299999999998</v>
      </c>
      <c r="Y1628">
        <v>1.350815E-3</v>
      </c>
      <c r="Z1628">
        <v>3.7633530000000001E-3</v>
      </c>
      <c r="AA1628">
        <v>0.99999199999999999</v>
      </c>
      <c r="AB1628">
        <v>23</v>
      </c>
      <c r="AC1628">
        <v>-0.51439999999999397</v>
      </c>
      <c r="AD1628">
        <v>-7.28349999999999E-2</v>
      </c>
      <c r="AE1628">
        <v>-1.9000000000005401E-2</v>
      </c>
      <c r="AF1628">
        <v>7.4583296348580599E-4</v>
      </c>
      <c r="AG1628">
        <v>-7.28349999999999E-2</v>
      </c>
      <c r="AH1628">
        <v>0.50464667063956803</v>
      </c>
      <c r="AI1628">
        <v>98.212704393797594</v>
      </c>
      <c r="AJ1628">
        <v>89.915320852386301</v>
      </c>
      <c r="AK1628">
        <v>0.50987621603621602</v>
      </c>
      <c r="AL1628">
        <v>92.540003753535004</v>
      </c>
      <c r="AM1628">
        <v>91.241554467234394</v>
      </c>
      <c r="AN1628">
        <v>1.00000001443708</v>
      </c>
    </row>
    <row r="1629" spans="1:40" x14ac:dyDescent="0.25">
      <c r="A1629" t="str">
        <f>"20190312151529876"</f>
        <v>20190312151529876</v>
      </c>
      <c r="B1629" t="str">
        <f>"1552374929868594"</f>
        <v>1552374929868594</v>
      </c>
      <c r="C1629" t="s">
        <v>40</v>
      </c>
      <c r="D1629">
        <v>5.1207719999999997</v>
      </c>
      <c r="E1629">
        <v>0.50499280000000002</v>
      </c>
      <c r="F1629" t="s">
        <v>41</v>
      </c>
      <c r="G1629">
        <v>-220.09</v>
      </c>
      <c r="H1629">
        <v>1.041123</v>
      </c>
      <c r="I1629">
        <v>281.14269999999999</v>
      </c>
      <c r="J1629">
        <v>-219.60040000000001</v>
      </c>
      <c r="K1629">
        <v>1.108268</v>
      </c>
      <c r="L1629">
        <v>281.166</v>
      </c>
      <c r="M1629">
        <v>-0.99926499999999996</v>
      </c>
      <c r="N1629">
        <v>0</v>
      </c>
      <c r="O1629">
        <v>-3.8004700000000002E-2</v>
      </c>
      <c r="P1629">
        <v>-0.99699720000000003</v>
      </c>
      <c r="Q1629">
        <v>-4.9026559999999997E-2</v>
      </c>
      <c r="R1629">
        <v>-5.9941019999999998E-2</v>
      </c>
      <c r="S1629">
        <v>-2.987549</v>
      </c>
      <c r="T1629">
        <v>-0.27425850000000002</v>
      </c>
      <c r="U1629">
        <v>-0.13198850000000001</v>
      </c>
      <c r="V1629">
        <v>-2.2031829999999999E-2</v>
      </c>
      <c r="W1629">
        <v>-4.4002939999999997E-2</v>
      </c>
      <c r="X1629">
        <v>0.99878840000000002</v>
      </c>
      <c r="Y1629">
        <v>-6.2695240000000003E-3</v>
      </c>
      <c r="Z1629">
        <v>3.1914999999999999E-3</v>
      </c>
      <c r="AA1629">
        <v>0.99997530000000001</v>
      </c>
      <c r="AB1629">
        <v>24</v>
      </c>
      <c r="AC1629">
        <v>-0.48959999999999498</v>
      </c>
      <c r="AD1629">
        <v>-6.7144999999999996E-2</v>
      </c>
      <c r="AE1629">
        <v>-2.3300000000006E-2</v>
      </c>
      <c r="AF1629">
        <v>-4.5897036040061798E-3</v>
      </c>
      <c r="AG1629">
        <v>-6.7144999999999996E-2</v>
      </c>
      <c r="AH1629">
        <v>0.48110361548953201</v>
      </c>
      <c r="AI1629">
        <v>97.944781068048499</v>
      </c>
      <c r="AJ1629">
        <v>90.546582191420399</v>
      </c>
      <c r="AK1629">
        <v>0.48578823085916001</v>
      </c>
      <c r="AL1629">
        <v>92.521997158800303</v>
      </c>
      <c r="AM1629">
        <v>91.263657239203994</v>
      </c>
      <c r="AN1629">
        <v>0.99999996411817504</v>
      </c>
    </row>
    <row r="1630" spans="1:40" x14ac:dyDescent="0.25">
      <c r="A1630" t="str">
        <f>"20190312151529898"</f>
        <v>20190312151529898</v>
      </c>
      <c r="B1630" t="str">
        <f>"1552374929889090"</f>
        <v>1552374929889090</v>
      </c>
      <c r="C1630" t="s">
        <v>40</v>
      </c>
      <c r="D1630">
        <v>5.1241789999999998</v>
      </c>
      <c r="E1630">
        <v>0.50425540000000002</v>
      </c>
      <c r="F1630" t="s">
        <v>41</v>
      </c>
      <c r="G1630">
        <v>-220.50739999999999</v>
      </c>
      <c r="H1630">
        <v>1.0272749999999999</v>
      </c>
      <c r="I1630">
        <v>281.12369999999999</v>
      </c>
      <c r="J1630">
        <v>-219.84559999999999</v>
      </c>
      <c r="K1630">
        <v>1.1083149999999999</v>
      </c>
      <c r="L1630">
        <v>281.15699999999998</v>
      </c>
      <c r="M1630">
        <v>-0.99927659999999996</v>
      </c>
      <c r="N1630">
        <v>0</v>
      </c>
      <c r="O1630">
        <v>-3.7701640000000002E-2</v>
      </c>
      <c r="P1630">
        <v>-0.99699059999999995</v>
      </c>
      <c r="Q1630">
        <v>-4.8682379999999997E-2</v>
      </c>
      <c r="R1630">
        <v>-6.0333680000000001E-2</v>
      </c>
      <c r="S1630">
        <v>-2.9875029999999998</v>
      </c>
      <c r="T1630">
        <v>-0.26697029999999999</v>
      </c>
      <c r="U1630">
        <v>-0.13980100000000001</v>
      </c>
      <c r="V1630">
        <v>-2.272128E-2</v>
      </c>
      <c r="W1630">
        <v>-4.3692910000000001E-2</v>
      </c>
      <c r="X1630">
        <v>0.99878659999999997</v>
      </c>
      <c r="Y1630">
        <v>-9.1633610000000001E-3</v>
      </c>
      <c r="Z1630">
        <v>2.9508899999999998E-3</v>
      </c>
      <c r="AA1630">
        <v>0.99995369999999995</v>
      </c>
      <c r="AB1630">
        <v>24</v>
      </c>
      <c r="AC1630">
        <v>-0.66179999999999894</v>
      </c>
      <c r="AD1630">
        <v>-8.1040000000000001E-2</v>
      </c>
      <c r="AE1630">
        <v>-3.3299999999996999E-2</v>
      </c>
      <c r="AF1630">
        <v>-8.2023850926131892E-3</v>
      </c>
      <c r="AG1630">
        <v>-8.1040000000000001E-2</v>
      </c>
      <c r="AH1630">
        <v>0.65282065679147605</v>
      </c>
      <c r="AI1630">
        <v>97.075842135931595</v>
      </c>
      <c r="AJ1630">
        <v>90.719856693617899</v>
      </c>
      <c r="AK1630">
        <v>0.65788264200757096</v>
      </c>
      <c r="AL1630">
        <v>92.504216557555296</v>
      </c>
      <c r="AM1630">
        <v>91.303190238528401</v>
      </c>
      <c r="AN1630">
        <v>0.99999999964433295</v>
      </c>
    </row>
    <row r="1631" spans="1:40" x14ac:dyDescent="0.25">
      <c r="A1631" t="str">
        <f>"20190312151529919"</f>
        <v>20190312151529919</v>
      </c>
      <c r="B1631" t="str">
        <f>"1552374929908610"</f>
        <v>1552374929908610</v>
      </c>
      <c r="C1631" t="s">
        <v>40</v>
      </c>
      <c r="D1631">
        <v>5.0853590000000004</v>
      </c>
      <c r="E1631">
        <v>0.50381860000000001</v>
      </c>
      <c r="F1631" t="s">
        <v>41</v>
      </c>
      <c r="G1631">
        <v>-220.72479999999999</v>
      </c>
      <c r="H1631">
        <v>1.031811</v>
      </c>
      <c r="I1631">
        <v>281.1139</v>
      </c>
      <c r="J1631">
        <v>-220.0728</v>
      </c>
      <c r="K1631">
        <v>1.1083620000000001</v>
      </c>
      <c r="L1631">
        <v>281.14879999999999</v>
      </c>
      <c r="M1631">
        <v>-0.99928490000000003</v>
      </c>
      <c r="N1631">
        <v>0</v>
      </c>
      <c r="O1631">
        <v>-3.7485949999999997E-2</v>
      </c>
      <c r="P1631">
        <v>-0.99699210000000005</v>
      </c>
      <c r="Q1631">
        <v>-4.8194620000000001E-2</v>
      </c>
      <c r="R1631">
        <v>-6.0695829999999999E-2</v>
      </c>
      <c r="S1631">
        <v>-2.987457</v>
      </c>
      <c r="T1631">
        <v>-0.26001010000000002</v>
      </c>
      <c r="U1631">
        <v>-0.14697270000000001</v>
      </c>
      <c r="V1631">
        <v>-2.3294209999999999E-2</v>
      </c>
      <c r="W1631">
        <v>-4.3231989999999998E-2</v>
      </c>
      <c r="X1631">
        <v>0.9987935</v>
      </c>
      <c r="Y1631">
        <v>-1.175841E-2</v>
      </c>
      <c r="Z1631">
        <v>2.7427390000000001E-3</v>
      </c>
      <c r="AA1631">
        <v>0.99992709999999996</v>
      </c>
      <c r="AB1631">
        <v>24</v>
      </c>
      <c r="AC1631">
        <v>-0.65199999999998604</v>
      </c>
      <c r="AD1631">
        <v>-7.6550999999999994E-2</v>
      </c>
      <c r="AE1631">
        <v>-3.48999999999932E-2</v>
      </c>
      <c r="AF1631">
        <v>-1.0292849901682499E-2</v>
      </c>
      <c r="AG1631">
        <v>-7.6550999999999994E-2</v>
      </c>
      <c r="AH1631">
        <v>0.64399786657999503</v>
      </c>
      <c r="AI1631">
        <v>96.777992110398898</v>
      </c>
      <c r="AJ1631">
        <v>90.915665534210802</v>
      </c>
      <c r="AK1631">
        <v>0.64861332897164803</v>
      </c>
      <c r="AL1631">
        <v>92.477782707270705</v>
      </c>
      <c r="AM1631">
        <v>91.336029931096405</v>
      </c>
      <c r="AN1631">
        <v>1.00000004041056</v>
      </c>
    </row>
    <row r="1632" spans="1:40" x14ac:dyDescent="0.25">
      <c r="A1632" t="str">
        <f>"20190312151529942"</f>
        <v>20190312151529942</v>
      </c>
      <c r="B1632" t="str">
        <f>"1552374929939842"</f>
        <v>1552374929939842</v>
      </c>
      <c r="C1632" t="s">
        <v>40</v>
      </c>
      <c r="D1632">
        <v>5.1237089999999998</v>
      </c>
      <c r="E1632">
        <v>0.50319700000000001</v>
      </c>
      <c r="F1632" t="s">
        <v>41</v>
      </c>
      <c r="G1632">
        <v>-220.9425</v>
      </c>
      <c r="H1632">
        <v>1.0337889999999901</v>
      </c>
      <c r="I1632">
        <v>281.10489999999999</v>
      </c>
      <c r="J1632">
        <v>-220.32409999999999</v>
      </c>
      <c r="K1632">
        <v>1.108406</v>
      </c>
      <c r="L1632">
        <v>281.13959999999997</v>
      </c>
      <c r="M1632">
        <v>-0.99929089999999998</v>
      </c>
      <c r="N1632">
        <v>0</v>
      </c>
      <c r="O1632">
        <v>-3.7325850000000001E-2</v>
      </c>
      <c r="P1632">
        <v>-0.99701039999999996</v>
      </c>
      <c r="Q1632">
        <v>-4.7617319999999998E-2</v>
      </c>
      <c r="R1632">
        <v>-6.0852900000000001E-2</v>
      </c>
      <c r="S1632">
        <v>-2.9874269999999998</v>
      </c>
      <c r="T1632">
        <v>-0.2563107</v>
      </c>
      <c r="U1632">
        <v>-0.15161129999999901</v>
      </c>
      <c r="V1632">
        <v>-2.360481E-2</v>
      </c>
      <c r="W1632">
        <v>-4.2679450000000001E-2</v>
      </c>
      <c r="X1632">
        <v>0.99880990000000003</v>
      </c>
      <c r="Y1632">
        <v>-1.3458299999999999E-2</v>
      </c>
      <c r="Z1632">
        <v>2.617327E-3</v>
      </c>
      <c r="AA1632">
        <v>0.99990599999999996</v>
      </c>
      <c r="AB1632">
        <v>24</v>
      </c>
      <c r="AC1632">
        <v>-0.61840000000000805</v>
      </c>
      <c r="AD1632">
        <v>-7.46170000000001E-2</v>
      </c>
      <c r="AE1632">
        <v>-3.4699999999986603E-2</v>
      </c>
      <c r="AF1632">
        <v>-1.14273795252346E-2</v>
      </c>
      <c r="AG1632">
        <v>-7.46170000000001E-2</v>
      </c>
      <c r="AH1632">
        <v>0.61040518015808798</v>
      </c>
      <c r="AI1632">
        <v>96.968150400875103</v>
      </c>
      <c r="AJ1632">
        <v>91.072507516330802</v>
      </c>
      <c r="AK1632">
        <v>0.61505509156143201</v>
      </c>
      <c r="AL1632">
        <v>92.446095423633594</v>
      </c>
      <c r="AM1632">
        <v>91.353815460055003</v>
      </c>
      <c r="AN1632">
        <v>0.99999996942272296</v>
      </c>
    </row>
    <row r="1633" spans="1:40" x14ac:dyDescent="0.25">
      <c r="A1633" t="str">
        <f>"20190312151529964"</f>
        <v>20190312151529964</v>
      </c>
      <c r="B1633" t="str">
        <f>"1552374929958969"</f>
        <v>1552374929958969</v>
      </c>
      <c r="C1633" t="s">
        <v>40</v>
      </c>
      <c r="D1633">
        <v>5.1267339999999999</v>
      </c>
      <c r="E1633">
        <v>0.50282669999999996</v>
      </c>
      <c r="F1633" t="s">
        <v>41</v>
      </c>
      <c r="G1633">
        <v>-221.16290000000001</v>
      </c>
      <c r="H1633">
        <v>1.0377459999999901</v>
      </c>
      <c r="I1633">
        <v>281.09559999999999</v>
      </c>
      <c r="J1633">
        <v>-220.56020000000001</v>
      </c>
      <c r="K1633">
        <v>1.1084459999999901</v>
      </c>
      <c r="L1633">
        <v>281.1309</v>
      </c>
      <c r="M1633">
        <v>-0.99929409999999996</v>
      </c>
      <c r="N1633">
        <v>0</v>
      </c>
      <c r="O1633">
        <v>-3.7245939999999998E-2</v>
      </c>
      <c r="P1633">
        <v>-0.99699380000000004</v>
      </c>
      <c r="Q1633">
        <v>-4.7060650000000002E-2</v>
      </c>
      <c r="R1633">
        <v>-6.155294E-2</v>
      </c>
      <c r="S1633">
        <v>-2.9873810000000001</v>
      </c>
      <c r="T1633">
        <v>-0.25180590000000003</v>
      </c>
      <c r="U1633">
        <v>-0.15701289999999901</v>
      </c>
      <c r="V1633">
        <v>-2.438073E-2</v>
      </c>
      <c r="W1633">
        <v>-4.2141789999999998E-2</v>
      </c>
      <c r="X1633">
        <v>0.99881410000000004</v>
      </c>
      <c r="Y1633">
        <v>-1.5332220000000001E-2</v>
      </c>
      <c r="Z1633">
        <v>2.4858889999999998E-3</v>
      </c>
      <c r="AA1633">
        <v>0.99987939999999997</v>
      </c>
      <c r="AB1633">
        <v>24</v>
      </c>
      <c r="AC1633">
        <v>-0.60269999999999802</v>
      </c>
      <c r="AD1633">
        <v>-7.0699999999999902E-2</v>
      </c>
      <c r="AE1633">
        <v>-3.53000000000065E-2</v>
      </c>
      <c r="AF1633">
        <v>-1.2653582631675001E-2</v>
      </c>
      <c r="AG1633">
        <v>-7.0699999999999902E-2</v>
      </c>
      <c r="AH1633">
        <v>0.59543113033106998</v>
      </c>
      <c r="AI1633">
        <v>96.769939039582795</v>
      </c>
      <c r="AJ1633">
        <v>91.217416648948401</v>
      </c>
      <c r="AK1633">
        <v>0.59974730855648895</v>
      </c>
      <c r="AL1633">
        <v>92.415262009900204</v>
      </c>
      <c r="AM1633">
        <v>91.398293824264698</v>
      </c>
      <c r="AN1633">
        <v>0.99999997840927302</v>
      </c>
    </row>
    <row r="1634" spans="1:40" x14ac:dyDescent="0.25">
      <c r="A1634" t="str">
        <f>"20190312151529988"</f>
        <v>20190312151529988</v>
      </c>
      <c r="B1634" t="str">
        <f>"1552374929979465"</f>
        <v>1552374929979465</v>
      </c>
      <c r="C1634" t="s">
        <v>40</v>
      </c>
      <c r="D1634">
        <v>5.1199490000000001</v>
      </c>
      <c r="E1634">
        <v>0.50245169999999995</v>
      </c>
      <c r="F1634" t="s">
        <v>41</v>
      </c>
      <c r="G1634">
        <v>-221.38409999999999</v>
      </c>
      <c r="H1634">
        <v>1.0398609999999999</v>
      </c>
      <c r="I1634">
        <v>281.08640000000003</v>
      </c>
      <c r="J1634">
        <v>-220.81020000000001</v>
      </c>
      <c r="K1634">
        <v>1.108484</v>
      </c>
      <c r="L1634">
        <v>281.1216</v>
      </c>
      <c r="M1634">
        <v>-0.99929480000000004</v>
      </c>
      <c r="N1634">
        <v>0</v>
      </c>
      <c r="O1634">
        <v>-3.7227440000000001E-2</v>
      </c>
      <c r="P1634">
        <v>-0.99696709999999999</v>
      </c>
      <c r="Q1634">
        <v>-4.703222E-2</v>
      </c>
      <c r="R1634">
        <v>-6.20063E-2</v>
      </c>
      <c r="S1634">
        <v>-2.98732</v>
      </c>
      <c r="T1634">
        <v>-0.24881510000000001</v>
      </c>
      <c r="U1634">
        <v>-0.161987299999999</v>
      </c>
      <c r="V1634">
        <v>-2.4848909999999998E-2</v>
      </c>
      <c r="W1634">
        <v>-4.2129750000000001E-2</v>
      </c>
      <c r="X1634">
        <v>0.99880310000000005</v>
      </c>
      <c r="Y1634">
        <v>-1.7004350000000001E-2</v>
      </c>
      <c r="Z1634">
        <v>2.3853820000000001E-3</v>
      </c>
      <c r="AA1634">
        <v>0.99985259999999998</v>
      </c>
      <c r="AB1634">
        <v>24</v>
      </c>
      <c r="AC1634">
        <v>-0.57389999999997998</v>
      </c>
      <c r="AD1634">
        <v>-6.8622999999999795E-2</v>
      </c>
      <c r="AE1634">
        <v>-3.51999999999748E-2</v>
      </c>
      <c r="AF1634">
        <v>-1.3616558846300799E-2</v>
      </c>
      <c r="AG1634">
        <v>-6.8622999999999795E-2</v>
      </c>
      <c r="AH1634">
        <v>0.56673987336395604</v>
      </c>
      <c r="AI1634">
        <v>96.902006863086399</v>
      </c>
      <c r="AJ1634">
        <v>91.376330346461799</v>
      </c>
      <c r="AK1634">
        <v>0.57104168925255205</v>
      </c>
      <c r="AL1634">
        <v>92.414571483126707</v>
      </c>
      <c r="AM1634">
        <v>91.4251497989585</v>
      </c>
      <c r="AN1634">
        <v>1.00000000836643</v>
      </c>
    </row>
    <row r="1635" spans="1:40" x14ac:dyDescent="0.25">
      <c r="A1635" t="str">
        <f>"20190312151530009"</f>
        <v>20190312151530009</v>
      </c>
      <c r="B1635" t="str">
        <f>"1552374929998985"</f>
        <v>1552374929998985</v>
      </c>
      <c r="C1635" t="s">
        <v>40</v>
      </c>
      <c r="D1635">
        <v>5.0894320000000004</v>
      </c>
      <c r="E1635">
        <v>0.50227239999999995</v>
      </c>
      <c r="F1635" t="s">
        <v>51</v>
      </c>
      <c r="G1635">
        <v>-234.24199999999999</v>
      </c>
      <c r="H1635" s="1">
        <v>9.0609709999999996E-7</v>
      </c>
      <c r="I1635">
        <v>280.37279999999998</v>
      </c>
      <c r="J1635">
        <v>-221.05670000000001</v>
      </c>
      <c r="K1635">
        <v>1.1085210000000001</v>
      </c>
      <c r="L1635">
        <v>281.11239999999998</v>
      </c>
      <c r="M1635">
        <v>-0.99929299999999999</v>
      </c>
      <c r="N1635">
        <v>0</v>
      </c>
      <c r="O1635">
        <v>-3.727772E-2</v>
      </c>
      <c r="P1635">
        <v>-0.99693149999999997</v>
      </c>
      <c r="Q1635">
        <v>-4.689923E-2</v>
      </c>
      <c r="R1635">
        <v>-6.2676720000000005E-2</v>
      </c>
      <c r="S1635">
        <v>-2.9871370000000002</v>
      </c>
      <c r="T1635">
        <v>-0.24651770000000001</v>
      </c>
      <c r="U1635">
        <v>-0.1665344</v>
      </c>
      <c r="V1635">
        <v>-2.5465809999999998E-2</v>
      </c>
      <c r="W1635">
        <v>-4.2006500000000002E-2</v>
      </c>
      <c r="X1635">
        <v>0.99879280000000004</v>
      </c>
      <c r="Y1635">
        <v>-1.8468689999999999E-2</v>
      </c>
      <c r="Z1635">
        <v>2.3073159999999998E-3</v>
      </c>
      <c r="AA1635">
        <v>0.99982680000000002</v>
      </c>
      <c r="AB1635">
        <v>24</v>
      </c>
      <c r="AC1635">
        <v>-13.1853</v>
      </c>
      <c r="AD1635">
        <v>-1.1085200939029001</v>
      </c>
      <c r="AE1635">
        <v>-0.73959999999999504</v>
      </c>
      <c r="AF1635">
        <v>-0.245830017266184</v>
      </c>
      <c r="AG1635">
        <v>-1.1085200939029001</v>
      </c>
      <c r="AH1635">
        <v>13.111323773788101</v>
      </c>
      <c r="AI1635">
        <v>94.831834923265504</v>
      </c>
      <c r="AJ1635">
        <v>91.074138093720094</v>
      </c>
      <c r="AK1635">
        <v>13.1603974216995</v>
      </c>
      <c r="AL1635">
        <v>92.407503408041094</v>
      </c>
      <c r="AM1635">
        <v>91.460530538868397</v>
      </c>
      <c r="AN1635">
        <v>1.00000005542652</v>
      </c>
    </row>
    <row r="1636" spans="1:40" x14ac:dyDescent="0.25">
      <c r="A1636" t="str">
        <f>"20190312151530032"</f>
        <v>20190312151530032</v>
      </c>
      <c r="B1636" t="str">
        <f>"1552374930019481"</f>
        <v>1552374930019481</v>
      </c>
      <c r="C1636" t="s">
        <v>40</v>
      </c>
      <c r="D1636">
        <v>5.0568350000000004</v>
      </c>
      <c r="E1636">
        <v>0.50214650000000005</v>
      </c>
      <c r="F1636" t="s">
        <v>51</v>
      </c>
      <c r="G1636">
        <v>-234.50450000000001</v>
      </c>
      <c r="H1636" s="1">
        <v>1.0468479999999999E-6</v>
      </c>
      <c r="I1636">
        <v>280.34809999999999</v>
      </c>
      <c r="J1636">
        <v>-221.2996</v>
      </c>
      <c r="K1636">
        <v>1.108562</v>
      </c>
      <c r="L1636">
        <v>281.10329999999999</v>
      </c>
      <c r="M1636">
        <v>-0.99928859999999997</v>
      </c>
      <c r="N1636">
        <v>0</v>
      </c>
      <c r="O1636">
        <v>-3.7393379999999997E-2</v>
      </c>
      <c r="P1636">
        <v>-0.99687269999999994</v>
      </c>
      <c r="Q1636">
        <v>-4.7028479999999998E-2</v>
      </c>
      <c r="R1636">
        <v>-6.350807E-2</v>
      </c>
      <c r="S1636">
        <v>-2.9869840000000001</v>
      </c>
      <c r="T1636">
        <v>-0.24622060000000001</v>
      </c>
      <c r="U1636">
        <v>-0.16976930000000001</v>
      </c>
      <c r="V1636">
        <v>-2.61791E-2</v>
      </c>
      <c r="W1636">
        <v>-4.2134730000000002E-2</v>
      </c>
      <c r="X1636">
        <v>0.99876889999999996</v>
      </c>
      <c r="Y1636">
        <v>-1.943216E-2</v>
      </c>
      <c r="Z1636">
        <v>2.2744660000000002E-3</v>
      </c>
      <c r="AA1636">
        <v>0.99980860000000005</v>
      </c>
      <c r="AB1636">
        <v>25</v>
      </c>
      <c r="AC1636">
        <v>-13.2049</v>
      </c>
      <c r="AD1636">
        <v>-1.108560953152</v>
      </c>
      <c r="AE1636">
        <v>-0.75520000000000198</v>
      </c>
      <c r="AF1636">
        <v>-0.25907013920125799</v>
      </c>
      <c r="AG1636">
        <v>-1.108560953152</v>
      </c>
      <c r="AH1636">
        <v>13.131657807513699</v>
      </c>
      <c r="AI1636">
        <v>94.824474848250702</v>
      </c>
      <c r="AJ1636">
        <v>91.130222887868996</v>
      </c>
      <c r="AK1636">
        <v>13.180912771789201</v>
      </c>
      <c r="AL1636">
        <v>92.414857094312893</v>
      </c>
      <c r="AM1636">
        <v>91.501457019797797</v>
      </c>
      <c r="AN1636">
        <v>0.99999999817809604</v>
      </c>
    </row>
    <row r="1637" spans="1:40" x14ac:dyDescent="0.25">
      <c r="A1637" t="str">
        <f>"20190312151530055"</f>
        <v>20190312151530055</v>
      </c>
      <c r="B1637" t="str">
        <f>"1552374930049268"</f>
        <v>1552374930049268</v>
      </c>
      <c r="C1637" t="s">
        <v>40</v>
      </c>
      <c r="D1637">
        <v>5.0541130000000001</v>
      </c>
      <c r="E1637">
        <v>0.50220980000000004</v>
      </c>
      <c r="F1637" t="s">
        <v>51</v>
      </c>
      <c r="G1637">
        <v>-234.76349999999999</v>
      </c>
      <c r="H1637" s="1">
        <v>1.1858909999999999E-6</v>
      </c>
      <c r="I1637">
        <v>280.32100000000003</v>
      </c>
      <c r="J1637">
        <v>-221.55590000000001</v>
      </c>
      <c r="K1637">
        <v>1.108603</v>
      </c>
      <c r="L1637">
        <v>281.09359999999998</v>
      </c>
      <c r="M1637">
        <v>-0.99928159999999999</v>
      </c>
      <c r="N1637">
        <v>0</v>
      </c>
      <c r="O1637">
        <v>-3.7582160000000003E-2</v>
      </c>
      <c r="P1637">
        <v>-0.9968534</v>
      </c>
      <c r="Q1637">
        <v>-4.6838310000000001E-2</v>
      </c>
      <c r="R1637">
        <v>-6.3952830000000002E-2</v>
      </c>
      <c r="S1637">
        <v>-2.986755</v>
      </c>
      <c r="T1637">
        <v>-0.2459161</v>
      </c>
      <c r="U1637">
        <v>-0.17352290000000001</v>
      </c>
      <c r="V1637">
        <v>-2.6431260000000002E-2</v>
      </c>
      <c r="W1637">
        <v>-4.193392E-2</v>
      </c>
      <c r="X1637">
        <v>0.99877070000000001</v>
      </c>
      <c r="Y1637">
        <v>-2.049691E-2</v>
      </c>
      <c r="Z1637">
        <v>2.2435020000000001E-3</v>
      </c>
      <c r="AA1637">
        <v>0.99978739999999999</v>
      </c>
      <c r="AB1637">
        <v>25</v>
      </c>
      <c r="AC1637">
        <v>-13.2075999999999</v>
      </c>
      <c r="AD1637">
        <v>-1.1086018141089999</v>
      </c>
      <c r="AE1637">
        <v>-0.77260000000001094</v>
      </c>
      <c r="AF1637">
        <v>-0.27375598437731102</v>
      </c>
      <c r="AG1637">
        <v>-1.1086018141089999</v>
      </c>
      <c r="AH1637">
        <v>13.1350796570618</v>
      </c>
      <c r="AI1637">
        <v>94.823292553467994</v>
      </c>
      <c r="AJ1637">
        <v>91.193962463249093</v>
      </c>
      <c r="AK1637">
        <v>13.1846220241077</v>
      </c>
      <c r="AL1637">
        <v>92.403341374874998</v>
      </c>
      <c r="AM1637">
        <v>91.515909773921805</v>
      </c>
      <c r="AN1637">
        <v>0.99999998816512103</v>
      </c>
    </row>
    <row r="1638" spans="1:40" x14ac:dyDescent="0.25">
      <c r="A1638" t="str">
        <f>"20190312151530078"</f>
        <v>20190312151530078</v>
      </c>
      <c r="B1638" t="str">
        <f>"1552374930068788"</f>
        <v>1552374930068788</v>
      </c>
      <c r="C1638" t="s">
        <v>40</v>
      </c>
      <c r="D1638">
        <v>5.0025449999999996</v>
      </c>
      <c r="E1638">
        <v>0.50254829999999995</v>
      </c>
      <c r="F1638" t="s">
        <v>41</v>
      </c>
      <c r="G1638">
        <v>-222.48310000000001</v>
      </c>
      <c r="H1638">
        <v>1.032867</v>
      </c>
      <c r="I1638">
        <v>281.03960000000001</v>
      </c>
      <c r="J1638">
        <v>-221.8116</v>
      </c>
      <c r="K1638">
        <v>1.1086480000000001</v>
      </c>
      <c r="L1638">
        <v>281.08370000000002</v>
      </c>
      <c r="M1638">
        <v>-0.99927220000000005</v>
      </c>
      <c r="N1638">
        <v>0</v>
      </c>
      <c r="O1638">
        <v>-3.7827310000000003E-2</v>
      </c>
      <c r="P1638">
        <v>-0.9968399</v>
      </c>
      <c r="Q1638">
        <v>-4.610173E-2</v>
      </c>
      <c r="R1638">
        <v>-6.4694249999999995E-2</v>
      </c>
      <c r="S1638">
        <v>-2.9868009999999998</v>
      </c>
      <c r="T1638">
        <v>-0.2441111</v>
      </c>
      <c r="U1638">
        <v>-0.17422489999999999</v>
      </c>
      <c r="V1638">
        <v>-2.6923590000000001E-2</v>
      </c>
      <c r="W1638">
        <v>-4.1183310000000001E-2</v>
      </c>
      <c r="X1638">
        <v>0.99878880000000003</v>
      </c>
      <c r="Y1638">
        <v>-2.04849E-2</v>
      </c>
      <c r="Z1638">
        <v>2.2474909999999999E-3</v>
      </c>
      <c r="AA1638">
        <v>0.9997876</v>
      </c>
      <c r="AB1638">
        <v>25</v>
      </c>
      <c r="AC1638">
        <v>-0.67150000000000798</v>
      </c>
      <c r="AD1638">
        <v>-7.5780999999999807E-2</v>
      </c>
      <c r="AE1638">
        <v>-4.4100000000014399E-2</v>
      </c>
      <c r="AF1638">
        <v>-1.8433334546032801E-2</v>
      </c>
      <c r="AG1638">
        <v>-7.5780999999999807E-2</v>
      </c>
      <c r="AH1638">
        <v>0.66426394660113397</v>
      </c>
      <c r="AI1638">
        <v>96.505834518773398</v>
      </c>
      <c r="AJ1638">
        <v>91.589550811920603</v>
      </c>
      <c r="AK1638">
        <v>0.66882668796751799</v>
      </c>
      <c r="AL1638">
        <v>92.360297359406999</v>
      </c>
      <c r="AM1638">
        <v>91.544104819264902</v>
      </c>
      <c r="AN1638">
        <v>1.0000000058632399</v>
      </c>
    </row>
    <row r="1639" spans="1:40" x14ac:dyDescent="0.25">
      <c r="A1639" t="str">
        <f>"20190312151530099"</f>
        <v>20190312151530099</v>
      </c>
      <c r="B1639" t="str">
        <f>"1552374930089285"</f>
        <v>1552374930089285</v>
      </c>
      <c r="C1639" t="s">
        <v>40</v>
      </c>
      <c r="D1639">
        <v>5.2741889999999998</v>
      </c>
      <c r="E1639">
        <v>0.50313540000000001</v>
      </c>
      <c r="F1639" t="s">
        <v>41</v>
      </c>
      <c r="G1639">
        <v>-222.71019999999999</v>
      </c>
      <c r="H1639">
        <v>1.036859</v>
      </c>
      <c r="I1639">
        <v>281.03149999999999</v>
      </c>
      <c r="J1639">
        <v>-222.0479</v>
      </c>
      <c r="K1639">
        <v>1.108676</v>
      </c>
      <c r="L1639">
        <v>281.0745</v>
      </c>
      <c r="M1639">
        <v>-0.99926210000000004</v>
      </c>
      <c r="N1639">
        <v>0</v>
      </c>
      <c r="O1639">
        <v>-3.8089690000000002E-2</v>
      </c>
      <c r="P1639">
        <v>-0.99681310000000001</v>
      </c>
      <c r="Q1639">
        <v>-4.5340220000000001E-2</v>
      </c>
      <c r="R1639">
        <v>-6.5637169999999995E-2</v>
      </c>
      <c r="S1639">
        <v>-2.9871829999999999</v>
      </c>
      <c r="T1639">
        <v>-0.23880199999999999</v>
      </c>
      <c r="U1639">
        <v>-0.17388919999999999</v>
      </c>
      <c r="V1639">
        <v>-2.7602169999999999E-2</v>
      </c>
      <c r="W1639">
        <v>-4.0408159999999999E-2</v>
      </c>
      <c r="X1639">
        <v>0.99880190000000002</v>
      </c>
      <c r="Y1639">
        <v>-2.010255E-2</v>
      </c>
      <c r="Z1639">
        <v>2.2346449999999999E-3</v>
      </c>
      <c r="AA1639">
        <v>0.9997954</v>
      </c>
      <c r="AB1639">
        <v>25</v>
      </c>
      <c r="AC1639">
        <v>-0.66229999999998701</v>
      </c>
      <c r="AD1639">
        <v>-7.1817000000000006E-2</v>
      </c>
      <c r="AE1639">
        <v>-4.3000000000006297E-2</v>
      </c>
      <c r="AF1639">
        <v>-1.7536352950376199E-2</v>
      </c>
      <c r="AG1639">
        <v>-7.1817000000000006E-2</v>
      </c>
      <c r="AH1639">
        <v>0.65577876521359202</v>
      </c>
      <c r="AI1639">
        <v>96.247572285510401</v>
      </c>
      <c r="AJ1639">
        <v>91.531796497012706</v>
      </c>
      <c r="AK1639">
        <v>0.65993256781951903</v>
      </c>
      <c r="AL1639">
        <v>92.315847620233399</v>
      </c>
      <c r="AM1639">
        <v>91.582982002849405</v>
      </c>
      <c r="AN1639">
        <v>0.99999996731345098</v>
      </c>
    </row>
    <row r="1640" spans="1:40" x14ac:dyDescent="0.25">
      <c r="A1640" t="str">
        <f>"20190312151530119"</f>
        <v>20190312151530119</v>
      </c>
      <c r="B1640" t="str">
        <f>"1552374930108804"</f>
        <v>1552374930108804</v>
      </c>
      <c r="C1640" t="s">
        <v>40</v>
      </c>
      <c r="D1640">
        <v>5.2318189999999998</v>
      </c>
      <c r="E1640">
        <v>0.50378849999999997</v>
      </c>
      <c r="F1640" t="s">
        <v>41</v>
      </c>
      <c r="G1640">
        <v>-222.94309999999999</v>
      </c>
      <c r="H1640">
        <v>1.0389649999999999</v>
      </c>
      <c r="I1640">
        <v>281.0231</v>
      </c>
      <c r="J1640">
        <v>-222.2791</v>
      </c>
      <c r="K1640">
        <v>1.1087049999999901</v>
      </c>
      <c r="L1640">
        <v>281.06540000000001</v>
      </c>
      <c r="M1640">
        <v>-0.99925120000000001</v>
      </c>
      <c r="N1640">
        <v>0</v>
      </c>
      <c r="O1640">
        <v>-3.8373820000000003E-2</v>
      </c>
      <c r="P1640">
        <v>-0.99680489999999999</v>
      </c>
      <c r="Q1640">
        <v>-4.512476E-2</v>
      </c>
      <c r="R1640">
        <v>-6.5907129999999994E-2</v>
      </c>
      <c r="S1640">
        <v>-2.9876559999999999</v>
      </c>
      <c r="T1640">
        <v>-0.2328308</v>
      </c>
      <c r="U1640">
        <v>-0.1719666</v>
      </c>
      <c r="V1640">
        <v>-2.758623E-2</v>
      </c>
      <c r="W1640">
        <v>-4.0178369999999998E-2</v>
      </c>
      <c r="X1640">
        <v>0.99881169999999997</v>
      </c>
      <c r="Y1640">
        <v>-1.916868E-2</v>
      </c>
      <c r="Z1640">
        <v>2.2370150000000002E-3</v>
      </c>
      <c r="AA1640">
        <v>0.99981370000000003</v>
      </c>
      <c r="AB1640">
        <v>25</v>
      </c>
      <c r="AC1640">
        <v>-0.66399999999998705</v>
      </c>
      <c r="AD1640">
        <v>-6.9739999999999899E-2</v>
      </c>
      <c r="AE1640">
        <v>-4.2300000000011502E-2</v>
      </c>
      <c r="AF1640">
        <v>-1.66058704881271E-2</v>
      </c>
      <c r="AG1640">
        <v>-6.9739999999999899E-2</v>
      </c>
      <c r="AH1640">
        <v>0.65790591340138405</v>
      </c>
      <c r="AI1640">
        <v>96.049015694923</v>
      </c>
      <c r="AJ1640">
        <v>91.4458668055522</v>
      </c>
      <c r="AK1640">
        <v>0.66180028212685005</v>
      </c>
      <c r="AL1640">
        <v>92.302670715636694</v>
      </c>
      <c r="AM1640">
        <v>91.582052795158901</v>
      </c>
      <c r="AN1640">
        <v>1.00000005677917</v>
      </c>
    </row>
    <row r="1641" spans="1:40" x14ac:dyDescent="0.25">
      <c r="A1641" t="str">
        <f>"20190312151530142"</f>
        <v>20190312151530142</v>
      </c>
      <c r="B1641" t="str">
        <f>"1552374930139060"</f>
        <v>1552374930139060</v>
      </c>
      <c r="C1641" t="s">
        <v>40</v>
      </c>
      <c r="D1641">
        <v>4.9263370000000002</v>
      </c>
      <c r="E1641">
        <v>0.50468950000000001</v>
      </c>
      <c r="F1641" t="s">
        <v>41</v>
      </c>
      <c r="G1641">
        <v>-223.1737</v>
      </c>
      <c r="H1641">
        <v>1.040365</v>
      </c>
      <c r="I1641">
        <v>281.0154</v>
      </c>
      <c r="J1641">
        <v>-222.53890000000001</v>
      </c>
      <c r="K1641">
        <v>1.108717</v>
      </c>
      <c r="L1641">
        <v>281.05509999999998</v>
      </c>
      <c r="M1641">
        <v>-0.99923790000000001</v>
      </c>
      <c r="N1641">
        <v>0</v>
      </c>
      <c r="O1641">
        <v>-3.8717290000000001E-2</v>
      </c>
      <c r="P1641">
        <v>-0.99679580000000001</v>
      </c>
      <c r="Q1641">
        <v>-4.5008350000000003E-2</v>
      </c>
      <c r="R1641">
        <v>-6.6128969999999995E-2</v>
      </c>
      <c r="S1641">
        <v>-2.9881899999999999</v>
      </c>
      <c r="T1641">
        <v>-0.22847319999999999</v>
      </c>
      <c r="U1641">
        <v>-0.1676636</v>
      </c>
      <c r="V1641">
        <v>-2.746351E-2</v>
      </c>
      <c r="W1641">
        <v>-4.0044879999999998E-2</v>
      </c>
      <c r="X1641">
        <v>0.99882040000000005</v>
      </c>
      <c r="Y1641">
        <v>-1.7383659999999999E-2</v>
      </c>
      <c r="Z1641">
        <v>2.2892519999999999E-3</v>
      </c>
      <c r="AA1641">
        <v>0.99984629999999997</v>
      </c>
      <c r="AB1641">
        <v>25</v>
      </c>
      <c r="AC1641">
        <v>-0.63479999999998404</v>
      </c>
      <c r="AD1641">
        <v>-6.8351999999999899E-2</v>
      </c>
      <c r="AE1641">
        <v>-3.9699999999982E-2</v>
      </c>
      <c r="AF1641">
        <v>-1.4919889088642099E-2</v>
      </c>
      <c r="AG1641">
        <v>-6.8351999999999899E-2</v>
      </c>
      <c r="AH1641">
        <v>0.62860157862348798</v>
      </c>
      <c r="AI1641">
        <v>96.204033125092096</v>
      </c>
      <c r="AJ1641">
        <v>91.359662832872402</v>
      </c>
      <c r="AK1641">
        <v>0.63248284059123605</v>
      </c>
      <c r="AL1641">
        <v>92.295016240037896</v>
      </c>
      <c r="AM1641">
        <v>91.575004721943699</v>
      </c>
      <c r="AN1641">
        <v>1.00000001412594</v>
      </c>
    </row>
    <row r="1642" spans="1:40" x14ac:dyDescent="0.25">
      <c r="A1642" t="str">
        <f>"20190312151530164"</f>
        <v>20190312151530164</v>
      </c>
      <c r="B1642" t="str">
        <f>"1552374930159085"</f>
        <v>1552374930159085</v>
      </c>
      <c r="C1642" t="s">
        <v>40</v>
      </c>
      <c r="D1642">
        <v>4.9076370000000002</v>
      </c>
      <c r="E1642">
        <v>0.50516269999999996</v>
      </c>
      <c r="F1642" t="s">
        <v>51</v>
      </c>
      <c r="G1642">
        <v>-237.40899999999999</v>
      </c>
      <c r="H1642" s="1">
        <v>2.596689E-6</v>
      </c>
      <c r="I1642">
        <v>280.25200000000001</v>
      </c>
      <c r="J1642">
        <v>-222.8015</v>
      </c>
      <c r="K1642">
        <v>1.108727</v>
      </c>
      <c r="L1642">
        <v>281.04450000000003</v>
      </c>
      <c r="M1642">
        <v>-0.9992238</v>
      </c>
      <c r="N1642">
        <v>0</v>
      </c>
      <c r="O1642">
        <v>-3.9077880000000002E-2</v>
      </c>
      <c r="P1642">
        <v>-0.9967549</v>
      </c>
      <c r="Q1642">
        <v>-4.4897029999999997E-2</v>
      </c>
      <c r="R1642">
        <v>-6.6814100000000001E-2</v>
      </c>
      <c r="S1642">
        <v>-2.988861</v>
      </c>
      <c r="T1642">
        <v>-0.22284979999999999</v>
      </c>
      <c r="U1642">
        <v>-0.16140750000000001</v>
      </c>
      <c r="V1642">
        <v>-2.7788940000000002E-2</v>
      </c>
      <c r="W1642">
        <v>-3.9913869999999997E-2</v>
      </c>
      <c r="X1642">
        <v>0.99881660000000005</v>
      </c>
      <c r="Y1642">
        <v>-1.4928500000000001E-2</v>
      </c>
      <c r="Z1642">
        <v>2.3508579999999999E-3</v>
      </c>
      <c r="AA1642">
        <v>0.99988580000000005</v>
      </c>
      <c r="AB1642">
        <v>25</v>
      </c>
      <c r="AC1642">
        <v>-14.6075</v>
      </c>
      <c r="AD1642">
        <v>-1.108724403311</v>
      </c>
      <c r="AE1642">
        <v>-0.79250000000001797</v>
      </c>
      <c r="AF1642">
        <v>-0.21979494586679801</v>
      </c>
      <c r="AG1642">
        <v>-1.108724403311</v>
      </c>
      <c r="AH1642">
        <v>14.5437713471705</v>
      </c>
      <c r="AI1642">
        <v>94.3589371173953</v>
      </c>
      <c r="AJ1642">
        <v>90.865825228423702</v>
      </c>
      <c r="AK1642">
        <v>14.587627107227</v>
      </c>
      <c r="AL1642">
        <v>92.287504011969503</v>
      </c>
      <c r="AM1642">
        <v>91.593664297611795</v>
      </c>
      <c r="AN1642">
        <v>0.99999997132012997</v>
      </c>
    </row>
    <row r="1643" spans="1:40" x14ac:dyDescent="0.25">
      <c r="A1643" t="str">
        <f>"20190312151530198"</f>
        <v>20190312151530198</v>
      </c>
      <c r="B1643" t="str">
        <f>"1552374930189342"</f>
        <v>1552374930189342</v>
      </c>
      <c r="C1643" t="s">
        <v>40</v>
      </c>
      <c r="D1643">
        <v>4.9061940000000002</v>
      </c>
      <c r="E1643">
        <v>0.50579439999999998</v>
      </c>
      <c r="F1643" t="s">
        <v>51</v>
      </c>
      <c r="G1643">
        <v>-237.87639999999999</v>
      </c>
      <c r="H1643" s="1">
        <v>2.8459900000000001E-6</v>
      </c>
      <c r="I1643">
        <v>280.23840000000001</v>
      </c>
      <c r="J1643">
        <v>-223.1722</v>
      </c>
      <c r="K1643">
        <v>1.1087290000000001</v>
      </c>
      <c r="L1643">
        <v>281.02949999999998</v>
      </c>
      <c r="M1643">
        <v>-0.99920319999999996</v>
      </c>
      <c r="N1643">
        <v>0</v>
      </c>
      <c r="O1643">
        <v>-3.9592740000000001E-2</v>
      </c>
      <c r="P1643">
        <v>-0.99670829999999999</v>
      </c>
      <c r="Q1643">
        <v>-4.5108530000000001E-2</v>
      </c>
      <c r="R1643">
        <v>-6.7364950000000007E-2</v>
      </c>
      <c r="S1643">
        <v>-2.9891510000000001</v>
      </c>
      <c r="T1643">
        <v>-0.21984529999999999</v>
      </c>
      <c r="U1643">
        <v>-0.1598511</v>
      </c>
      <c r="V1643">
        <v>-2.7826380000000001E-2</v>
      </c>
      <c r="W1643">
        <v>-4.0089909999999999E-2</v>
      </c>
      <c r="X1643">
        <v>0.99880860000000005</v>
      </c>
      <c r="Y1643">
        <v>-1.3891300000000001E-2</v>
      </c>
      <c r="Z1643">
        <v>2.3948760000000002E-3</v>
      </c>
      <c r="AA1643">
        <v>0.99990060000000003</v>
      </c>
      <c r="AB1643">
        <v>25</v>
      </c>
      <c r="AC1643">
        <v>-14.704199999999901</v>
      </c>
      <c r="AD1643">
        <v>-1.10872615401</v>
      </c>
      <c r="AE1643">
        <v>-0.79109999999997105</v>
      </c>
      <c r="AF1643">
        <v>-0.20711856117609101</v>
      </c>
      <c r="AG1643">
        <v>-1.10872615401</v>
      </c>
      <c r="AH1643">
        <v>14.6409918011444</v>
      </c>
      <c r="AI1643">
        <v>94.330170725993995</v>
      </c>
      <c r="AJ1643">
        <v>90.810479785056103</v>
      </c>
      <c r="AK1643">
        <v>14.684373078349299</v>
      </c>
      <c r="AL1643">
        <v>92.297598228079096</v>
      </c>
      <c r="AM1643">
        <v>91.595823104892801</v>
      </c>
      <c r="AN1643">
        <v>1.00000006387083</v>
      </c>
    </row>
    <row r="1644" spans="1:40" x14ac:dyDescent="0.25">
      <c r="A1644" t="str">
        <f>"20190312151530220"</f>
        <v>20190312151530220</v>
      </c>
      <c r="B1644" t="str">
        <f>"1552374930208861"</f>
        <v>1552374930208861</v>
      </c>
      <c r="C1644" t="s">
        <v>40</v>
      </c>
      <c r="D1644">
        <v>4.8937210000000002</v>
      </c>
      <c r="E1644">
        <v>0.50612000000000001</v>
      </c>
      <c r="F1644" t="s">
        <v>41</v>
      </c>
      <c r="G1644">
        <v>-224.08359999999999</v>
      </c>
      <c r="H1644">
        <v>1.042168</v>
      </c>
      <c r="I1644">
        <v>280.9819</v>
      </c>
      <c r="J1644">
        <v>-223.43700000000001</v>
      </c>
      <c r="K1644">
        <v>1.1087320000000001</v>
      </c>
      <c r="L1644">
        <v>281.01859999999999</v>
      </c>
      <c r="M1644">
        <v>-0.99918850000000003</v>
      </c>
      <c r="N1644">
        <v>0</v>
      </c>
      <c r="O1644">
        <v>-3.9956510000000001E-2</v>
      </c>
      <c r="P1644">
        <v>-0.99665340000000002</v>
      </c>
      <c r="Q1644">
        <v>-4.5749520000000002E-2</v>
      </c>
      <c r="R1644">
        <v>-6.7741469999999998E-2</v>
      </c>
      <c r="S1644">
        <v>-2.9894560000000001</v>
      </c>
      <c r="T1644">
        <v>-0.21849080000000001</v>
      </c>
      <c r="U1644">
        <v>-0.15652469999999999</v>
      </c>
      <c r="V1644">
        <v>-2.7840440000000001E-2</v>
      </c>
      <c r="W1644">
        <v>-4.0704280000000002E-2</v>
      </c>
      <c r="X1644">
        <v>0.99878330000000004</v>
      </c>
      <c r="Y1644">
        <v>-1.241634E-2</v>
      </c>
      <c r="Z1644">
        <v>2.4602999999999999E-3</v>
      </c>
      <c r="AA1644">
        <v>0.99991989999999997</v>
      </c>
      <c r="AB1644">
        <v>26</v>
      </c>
      <c r="AC1644">
        <v>-0.64659999999997797</v>
      </c>
      <c r="AD1644">
        <v>-6.6563999999999998E-2</v>
      </c>
      <c r="AE1644">
        <v>-3.6699999999996097E-2</v>
      </c>
      <c r="AF1644">
        <v>-1.0721224084315899E-2</v>
      </c>
      <c r="AG1644">
        <v>-6.6563999999999998E-2</v>
      </c>
      <c r="AH1644">
        <v>0.64078111343322997</v>
      </c>
      <c r="AI1644">
        <v>95.929759808418893</v>
      </c>
      <c r="AJ1644">
        <v>90.9585544374184</v>
      </c>
      <c r="AK1644">
        <v>0.64431835770416801</v>
      </c>
      <c r="AL1644">
        <v>92.332827930921297</v>
      </c>
      <c r="AM1644">
        <v>91.596669441620506</v>
      </c>
      <c r="AN1644">
        <v>1.0000000044343</v>
      </c>
    </row>
    <row r="1645" spans="1:40" x14ac:dyDescent="0.25">
      <c r="A1645" t="str">
        <f>"20190312151530243"</f>
        <v>20190312151530243</v>
      </c>
      <c r="B1645" t="str">
        <f>"1552374930239118"</f>
        <v>1552374930239118</v>
      </c>
      <c r="C1645" t="s">
        <v>40</v>
      </c>
      <c r="D1645">
        <v>4.8890419999999999</v>
      </c>
      <c r="E1645">
        <v>0.50660000000000005</v>
      </c>
      <c r="F1645" t="s">
        <v>51</v>
      </c>
      <c r="G1645">
        <v>-238.53319999999999</v>
      </c>
      <c r="H1645" s="1">
        <v>3.1956349999999999E-6</v>
      </c>
      <c r="I1645">
        <v>280.23630000000003</v>
      </c>
      <c r="J1645">
        <v>-223.69730000000001</v>
      </c>
      <c r="K1645">
        <v>1.10873</v>
      </c>
      <c r="L1645">
        <v>281.00779999999997</v>
      </c>
      <c r="M1645">
        <v>-0.99917420000000001</v>
      </c>
      <c r="N1645">
        <v>0</v>
      </c>
      <c r="O1645">
        <v>-4.030943E-2</v>
      </c>
      <c r="P1645">
        <v>-0.99663060000000003</v>
      </c>
      <c r="Q1645">
        <v>-4.5301199999999903E-2</v>
      </c>
      <c r="R1645">
        <v>-6.8374519999999994E-2</v>
      </c>
      <c r="S1645">
        <v>-2.989471</v>
      </c>
      <c r="T1645">
        <v>-0.21955930000000001</v>
      </c>
      <c r="U1645">
        <v>-0.15490719999999999</v>
      </c>
      <c r="V1645">
        <v>-2.812197E-2</v>
      </c>
      <c r="W1645">
        <v>-4.0230870000000002E-2</v>
      </c>
      <c r="X1645">
        <v>0.99879459999999998</v>
      </c>
      <c r="Y1645">
        <v>-1.15274E-2</v>
      </c>
      <c r="Z1645">
        <v>2.5307469999999999E-3</v>
      </c>
      <c r="AA1645">
        <v>0.9999304</v>
      </c>
      <c r="AB1645">
        <v>26</v>
      </c>
      <c r="AC1645">
        <v>-14.835899999999899</v>
      </c>
      <c r="AD1645">
        <v>-1.108726804365</v>
      </c>
      <c r="AE1645">
        <v>-0.77149999999994601</v>
      </c>
      <c r="AF1645">
        <v>-0.17188111261560701</v>
      </c>
      <c r="AG1645">
        <v>-1.108726804365</v>
      </c>
      <c r="AH1645">
        <v>14.7726584291831</v>
      </c>
      <c r="AI1645">
        <v>94.291862273997793</v>
      </c>
      <c r="AJ1645">
        <v>90.666611092365699</v>
      </c>
      <c r="AK1645">
        <v>14.815203518983701</v>
      </c>
      <c r="AL1645">
        <v>92.305681284609804</v>
      </c>
      <c r="AM1645">
        <v>91.612788669513606</v>
      </c>
      <c r="AN1645">
        <v>1.0000000105433899</v>
      </c>
    </row>
    <row r="1646" spans="1:40" x14ac:dyDescent="0.25">
      <c r="A1646" t="str">
        <f>"20190312151530267"</f>
        <v>20190312151530267</v>
      </c>
      <c r="B1646" t="str">
        <f>"1552374930259613"</f>
        <v>1552374930259613</v>
      </c>
      <c r="C1646" t="s">
        <v>40</v>
      </c>
      <c r="D1646">
        <v>4.870997</v>
      </c>
      <c r="E1646">
        <v>0.50685789999999997</v>
      </c>
      <c r="F1646" t="s">
        <v>51</v>
      </c>
      <c r="G1646">
        <v>-239.1046</v>
      </c>
      <c r="H1646" s="1">
        <v>3.5004809999999999E-6</v>
      </c>
      <c r="I1646">
        <v>280.21839999999997</v>
      </c>
      <c r="J1646">
        <v>-223.97200000000001</v>
      </c>
      <c r="K1646">
        <v>1.1087309999999999</v>
      </c>
      <c r="L1646">
        <v>280.99639999999999</v>
      </c>
      <c r="M1646">
        <v>-0.99915929999999997</v>
      </c>
      <c r="N1646">
        <v>0</v>
      </c>
      <c r="O1646">
        <v>-4.0676770000000001E-2</v>
      </c>
      <c r="P1646">
        <v>-0.99659629999999999</v>
      </c>
      <c r="Q1646">
        <v>-4.5131530000000003E-2</v>
      </c>
      <c r="R1646">
        <v>-6.8983989999999995E-2</v>
      </c>
      <c r="S1646">
        <v>-2.989868</v>
      </c>
      <c r="T1646">
        <v>-0.2151537</v>
      </c>
      <c r="U1646">
        <v>-0.15319820000000001</v>
      </c>
      <c r="V1646">
        <v>-2.836557E-2</v>
      </c>
      <c r="W1646">
        <v>-4.003607E-2</v>
      </c>
      <c r="X1646">
        <v>0.99879549999999995</v>
      </c>
      <c r="Y1646">
        <v>-1.0583159999999999E-2</v>
      </c>
      <c r="Z1646">
        <v>2.540077E-3</v>
      </c>
      <c r="AA1646">
        <v>0.99994079999999996</v>
      </c>
      <c r="AB1646">
        <v>26</v>
      </c>
      <c r="AC1646">
        <v>-15.132599999999901</v>
      </c>
      <c r="AD1646">
        <v>-1.108727499519</v>
      </c>
      <c r="AE1646">
        <v>-0.77800000000002001</v>
      </c>
      <c r="AF1646">
        <v>-0.16094108263089599</v>
      </c>
      <c r="AG1646">
        <v>-1.108727499519</v>
      </c>
      <c r="AH1646">
        <v>15.071032344181001</v>
      </c>
      <c r="AI1646">
        <v>94.207248176423505</v>
      </c>
      <c r="AJ1646">
        <v>90.611828975994001</v>
      </c>
      <c r="AK1646">
        <v>15.112617067193099</v>
      </c>
      <c r="AL1646">
        <v>92.294511156635494</v>
      </c>
      <c r="AM1646">
        <v>91.626750135376994</v>
      </c>
      <c r="AN1646">
        <v>0.99999997164135901</v>
      </c>
    </row>
    <row r="1647" spans="1:40" x14ac:dyDescent="0.25">
      <c r="A1647" t="str">
        <f>"20190312151530289"</f>
        <v>20190312151530289</v>
      </c>
      <c r="B1647" t="str">
        <f>"1552374930279134"</f>
        <v>1552374930279134</v>
      </c>
      <c r="C1647" t="s">
        <v>40</v>
      </c>
      <c r="D1647">
        <v>5.1154010000000003</v>
      </c>
      <c r="E1647">
        <v>0.50713609999999998</v>
      </c>
      <c r="F1647" t="s">
        <v>51</v>
      </c>
      <c r="G1647">
        <v>-239.4178</v>
      </c>
      <c r="H1647" s="1">
        <v>3.667705E-6</v>
      </c>
      <c r="I1647">
        <v>280.20569999999998</v>
      </c>
      <c r="J1647">
        <v>-224.23670000000001</v>
      </c>
      <c r="K1647">
        <v>1.1087290000000001</v>
      </c>
      <c r="L1647">
        <v>280.98520000000002</v>
      </c>
      <c r="M1647">
        <v>-0.9991449</v>
      </c>
      <c r="N1647">
        <v>0</v>
      </c>
      <c r="O1647">
        <v>-4.1026470000000002E-2</v>
      </c>
      <c r="P1647">
        <v>-0.996587</v>
      </c>
      <c r="Q1647">
        <v>-4.428182E-2</v>
      </c>
      <c r="R1647">
        <v>-6.9668220000000003E-2</v>
      </c>
      <c r="S1647">
        <v>-2.9899439999999999</v>
      </c>
      <c r="T1647">
        <v>-0.21462300000000001</v>
      </c>
      <c r="U1647">
        <v>-0.15304570000000001</v>
      </c>
      <c r="V1647">
        <v>-2.8700420000000001E-2</v>
      </c>
      <c r="W1647">
        <v>-3.9163150000000001E-2</v>
      </c>
      <c r="X1647">
        <v>0.9988205</v>
      </c>
      <c r="Y1647">
        <v>-1.018252E-2</v>
      </c>
      <c r="Z1647">
        <v>2.573143E-3</v>
      </c>
      <c r="AA1647">
        <v>0.99994490000000003</v>
      </c>
      <c r="AB1647">
        <v>26</v>
      </c>
      <c r="AC1647">
        <v>-15.181099999999899</v>
      </c>
      <c r="AD1647">
        <v>-1.1087253322949999</v>
      </c>
      <c r="AE1647">
        <v>-0.77950000000004105</v>
      </c>
      <c r="AF1647">
        <v>-0.155183009560421</v>
      </c>
      <c r="AG1647">
        <v>-1.1087253322949999</v>
      </c>
      <c r="AH1647">
        <v>15.1198635011192</v>
      </c>
      <c r="AI1647">
        <v>94.193718993362197</v>
      </c>
      <c r="AJ1647">
        <v>90.588035686648197</v>
      </c>
      <c r="AK1647">
        <v>15.1612541012083</v>
      </c>
      <c r="AL1647">
        <v>92.244457357034094</v>
      </c>
      <c r="AM1647">
        <v>91.645901925938503</v>
      </c>
      <c r="AN1647">
        <v>0.99999992882317201</v>
      </c>
    </row>
    <row r="1648" spans="1:40" x14ac:dyDescent="0.25">
      <c r="A1648" t="str">
        <f>"20190312151530310"</f>
        <v>20190312151530310</v>
      </c>
      <c r="B1648" t="str">
        <f>"1552374930299629"</f>
        <v>1552374930299629</v>
      </c>
      <c r="C1648" t="s">
        <v>40</v>
      </c>
      <c r="D1648">
        <v>4.8391250000000001</v>
      </c>
      <c r="E1648">
        <v>0.5073375</v>
      </c>
      <c r="F1648" t="s">
        <v>51</v>
      </c>
      <c r="G1648">
        <v>-239.947</v>
      </c>
      <c r="H1648" s="1">
        <v>3.9502720000000002E-6</v>
      </c>
      <c r="I1648">
        <v>280.18299999999999</v>
      </c>
      <c r="J1648">
        <v>-224.4796</v>
      </c>
      <c r="K1648">
        <v>1.1087340000000001</v>
      </c>
      <c r="L1648">
        <v>280.97489999999999</v>
      </c>
      <c r="M1648">
        <v>-0.99913160000000001</v>
      </c>
      <c r="N1648">
        <v>0</v>
      </c>
      <c r="O1648">
        <v>-4.1344930000000002E-2</v>
      </c>
      <c r="P1648">
        <v>-0.99653939999999996</v>
      </c>
      <c r="Q1648">
        <v>-4.3921780000000001E-2</v>
      </c>
      <c r="R1648">
        <v>-7.0570170000000002E-2</v>
      </c>
      <c r="S1648">
        <v>-2.9902500000000001</v>
      </c>
      <c r="T1648">
        <v>-0.21103250000000001</v>
      </c>
      <c r="U1648">
        <v>-0.15267939999999999</v>
      </c>
      <c r="V1648">
        <v>-2.928571E-2</v>
      </c>
      <c r="W1648">
        <v>-3.8783150000000002E-2</v>
      </c>
      <c r="X1648">
        <v>0.9988184</v>
      </c>
      <c r="Y1648">
        <v>-9.7357030000000001E-3</v>
      </c>
      <c r="Z1648">
        <v>2.5680999999999998E-3</v>
      </c>
      <c r="AA1648">
        <v>0.99994930000000004</v>
      </c>
      <c r="AB1648">
        <v>26</v>
      </c>
      <c r="AC1648">
        <v>-15.4673999999999</v>
      </c>
      <c r="AD1648">
        <v>-1.1087300497279999</v>
      </c>
      <c r="AE1648">
        <v>-0.79189999999999805</v>
      </c>
      <c r="AF1648">
        <v>-0.15094221051662801</v>
      </c>
      <c r="AG1648">
        <v>-1.1087300497279999</v>
      </c>
      <c r="AH1648">
        <v>15.40795221528</v>
      </c>
      <c r="AI1648">
        <v>94.115615988921704</v>
      </c>
      <c r="AJ1648">
        <v>90.561273480720203</v>
      </c>
      <c r="AK1648">
        <v>15.448529293833699</v>
      </c>
      <c r="AL1648">
        <v>92.222668267209102</v>
      </c>
      <c r="AM1648">
        <v>91.679451436271506</v>
      </c>
      <c r="AN1648">
        <v>0.99999999085634295</v>
      </c>
    </row>
    <row r="1649" spans="1:40" x14ac:dyDescent="0.25">
      <c r="A1649" t="str">
        <f>"20190312151530333"</f>
        <v>20190312151530333</v>
      </c>
      <c r="B1649" t="str">
        <f>"1552374930328910"</f>
        <v>1552374930328910</v>
      </c>
      <c r="C1649" t="s">
        <v>40</v>
      </c>
      <c r="D1649">
        <v>4.7988970000000002</v>
      </c>
      <c r="E1649">
        <v>0.50761719999999999</v>
      </c>
      <c r="F1649" t="s">
        <v>51</v>
      </c>
      <c r="G1649">
        <v>-240.29900000000001</v>
      </c>
      <c r="H1649" s="1">
        <v>-1.377679E-6</v>
      </c>
      <c r="I1649">
        <v>280.16140000000001</v>
      </c>
      <c r="J1649">
        <v>-224.7585</v>
      </c>
      <c r="K1649">
        <v>1.10873</v>
      </c>
      <c r="L1649">
        <v>280.96300000000002</v>
      </c>
      <c r="M1649">
        <v>-0.99911649999999996</v>
      </c>
      <c r="N1649">
        <v>0</v>
      </c>
      <c r="O1649">
        <v>-4.1707840000000003E-2</v>
      </c>
      <c r="P1649">
        <v>-0.99647359999999896</v>
      </c>
      <c r="Q1649">
        <v>-4.3663189999999998E-2</v>
      </c>
      <c r="R1649">
        <v>-7.1653389999999997E-2</v>
      </c>
      <c r="S1649">
        <v>-2.9902950000000001</v>
      </c>
      <c r="T1649">
        <v>-0.20958160000000001</v>
      </c>
      <c r="U1649">
        <v>-0.1537781</v>
      </c>
      <c r="V1649">
        <v>-3.0008529999999999E-2</v>
      </c>
      <c r="W1649">
        <v>-3.851123E-2</v>
      </c>
      <c r="X1649">
        <v>0.99880749999999996</v>
      </c>
      <c r="Y1649">
        <v>-9.7379449999999996E-3</v>
      </c>
      <c r="Z1649">
        <v>2.5756989999999999E-3</v>
      </c>
      <c r="AA1649">
        <v>0.99994930000000004</v>
      </c>
      <c r="AB1649">
        <v>26</v>
      </c>
      <c r="AC1649">
        <v>-15.5405</v>
      </c>
      <c r="AD1649">
        <v>-1.108731377679</v>
      </c>
      <c r="AE1649">
        <v>-0.80159999999995002</v>
      </c>
      <c r="AF1649">
        <v>-0.15196169474745899</v>
      </c>
      <c r="AG1649">
        <v>-1.108731377679</v>
      </c>
      <c r="AH1649">
        <v>15.4818162882388</v>
      </c>
      <c r="AI1649">
        <v>94.096051415320503</v>
      </c>
      <c r="AJ1649">
        <v>90.562368393739206</v>
      </c>
      <c r="AK1649">
        <v>15.522210319645099</v>
      </c>
      <c r="AL1649">
        <v>92.207076676484306</v>
      </c>
      <c r="AM1649">
        <v>91.720897233240507</v>
      </c>
      <c r="AN1649">
        <v>1.00000002438256</v>
      </c>
    </row>
    <row r="1650" spans="1:40" x14ac:dyDescent="0.25">
      <c r="A1650" t="str">
        <f>"20190312151530355"</f>
        <v>20190312151530355</v>
      </c>
      <c r="B1650" t="str">
        <f>"1552374930349406"</f>
        <v>1552374930349406</v>
      </c>
      <c r="C1650" t="s">
        <v>40</v>
      </c>
      <c r="D1650">
        <v>4.7970739999999896</v>
      </c>
      <c r="E1650">
        <v>0.50778690000000004</v>
      </c>
      <c r="F1650" t="s">
        <v>41</v>
      </c>
      <c r="G1650">
        <v>-225.7159</v>
      </c>
      <c r="H1650">
        <v>1.0422070000000001</v>
      </c>
      <c r="I1650">
        <v>280.9135</v>
      </c>
      <c r="J1650">
        <v>-225.01429999999999</v>
      </c>
      <c r="K1650">
        <v>1.108725</v>
      </c>
      <c r="L1650">
        <v>280.95190000000002</v>
      </c>
      <c r="M1650">
        <v>-0.99910299999999996</v>
      </c>
      <c r="N1650">
        <v>0</v>
      </c>
      <c r="O1650">
        <v>-4.203254E-2</v>
      </c>
      <c r="P1650">
        <v>-0.99636610000000003</v>
      </c>
      <c r="Q1650">
        <v>-4.3862569999999997E-2</v>
      </c>
      <c r="R1650">
        <v>-7.3014540000000003E-2</v>
      </c>
      <c r="S1650">
        <v>-2.9903870000000001</v>
      </c>
      <c r="T1650">
        <v>-0.20780399999999999</v>
      </c>
      <c r="U1650">
        <v>-0.15478520000000001</v>
      </c>
      <c r="V1650">
        <v>-3.1047970000000001E-2</v>
      </c>
      <c r="W1650">
        <v>-3.8708659999999999E-2</v>
      </c>
      <c r="X1650">
        <v>0.99876810000000005</v>
      </c>
      <c r="Y1650">
        <v>-9.7466879999999999E-3</v>
      </c>
      <c r="Z1650">
        <v>2.575992E-3</v>
      </c>
      <c r="AA1650">
        <v>0.99994919999999998</v>
      </c>
      <c r="AB1650">
        <v>26</v>
      </c>
      <c r="AC1650">
        <v>-0.70160000000001299</v>
      </c>
      <c r="AD1650">
        <v>-6.6517999999999994E-2</v>
      </c>
      <c r="AE1650">
        <v>-3.8400000000024102E-2</v>
      </c>
      <c r="AF1650">
        <v>-8.7968064507004499E-3</v>
      </c>
      <c r="AG1650">
        <v>-6.6517999999999994E-2</v>
      </c>
      <c r="AH1650">
        <v>0.69635335966200296</v>
      </c>
      <c r="AI1650">
        <v>95.456095402973205</v>
      </c>
      <c r="AJ1650">
        <v>90.723760526373397</v>
      </c>
      <c r="AK1650">
        <v>0.69957846567793203</v>
      </c>
      <c r="AL1650">
        <v>92.2183970166721</v>
      </c>
      <c r="AM1650">
        <v>91.780538398209004</v>
      </c>
      <c r="AN1650">
        <v>1.0000000271888601</v>
      </c>
    </row>
    <row r="1651" spans="1:40" x14ac:dyDescent="0.25">
      <c r="A1651" t="str">
        <f>"20190312151530377"</f>
        <v>20190312151530377</v>
      </c>
      <c r="B1651" t="str">
        <f>"1552374930368926"</f>
        <v>1552374930368926</v>
      </c>
      <c r="C1651" t="s">
        <v>40</v>
      </c>
      <c r="D1651">
        <v>4.8067640000000003</v>
      </c>
      <c r="E1651">
        <v>0.5078589</v>
      </c>
      <c r="F1651" t="s">
        <v>41</v>
      </c>
      <c r="G1651">
        <v>-225.96</v>
      </c>
      <c r="H1651">
        <v>1.0429580000000001</v>
      </c>
      <c r="I1651">
        <v>280.90230000000003</v>
      </c>
      <c r="J1651">
        <v>-225.2859</v>
      </c>
      <c r="K1651">
        <v>1.1087049999999901</v>
      </c>
      <c r="L1651">
        <v>280.9402</v>
      </c>
      <c r="M1651">
        <v>-0.9990888</v>
      </c>
      <c r="N1651">
        <v>0</v>
      </c>
      <c r="O1651">
        <v>-4.2367950000000001E-2</v>
      </c>
      <c r="P1651">
        <v>-0.99628000000000005</v>
      </c>
      <c r="Q1651">
        <v>-4.4069169999999998E-2</v>
      </c>
      <c r="R1651">
        <v>-7.4056830000000004E-2</v>
      </c>
      <c r="S1651">
        <v>-2.9902190000000002</v>
      </c>
      <c r="T1651">
        <v>-0.20811199999999999</v>
      </c>
      <c r="U1651">
        <v>-0.157684299999999</v>
      </c>
      <c r="V1651">
        <v>-3.1758740000000001E-2</v>
      </c>
      <c r="W1651">
        <v>-3.8916850000000003E-2</v>
      </c>
      <c r="X1651">
        <v>0.9987376</v>
      </c>
      <c r="Y1651">
        <v>-1.038027E-2</v>
      </c>
      <c r="Z1651">
        <v>2.5811300000000001E-3</v>
      </c>
      <c r="AA1651">
        <v>0.99994280000000002</v>
      </c>
      <c r="AB1651">
        <v>27</v>
      </c>
      <c r="AC1651">
        <v>-0.67410000000000903</v>
      </c>
      <c r="AD1651">
        <v>-6.5746999999999695E-2</v>
      </c>
      <c r="AE1651">
        <v>-3.7899999999979103E-2</v>
      </c>
      <c r="AF1651">
        <v>-9.2179427467210598E-3</v>
      </c>
      <c r="AG1651">
        <v>-6.5746999999999695E-2</v>
      </c>
      <c r="AH1651">
        <v>0.66875881211194699</v>
      </c>
      <c r="AI1651">
        <v>95.6142882409424</v>
      </c>
      <c r="AJ1651">
        <v>90.789695420642005</v>
      </c>
      <c r="AK1651">
        <v>0.67204611988677099</v>
      </c>
      <c r="AL1651">
        <v>92.230334555581507</v>
      </c>
      <c r="AM1651">
        <v>91.821328059276397</v>
      </c>
      <c r="AN1651">
        <v>0.99999996621703402</v>
      </c>
    </row>
    <row r="1652" spans="1:40" x14ac:dyDescent="0.25">
      <c r="A1652" t="str">
        <f>"20190312151530399"</f>
        <v>20190312151530399</v>
      </c>
      <c r="B1652" t="str">
        <f>"1552374930389422"</f>
        <v>1552374930389422</v>
      </c>
      <c r="C1652" t="s">
        <v>40</v>
      </c>
      <c r="D1652">
        <v>4.7309239999999999</v>
      </c>
      <c r="E1652">
        <v>0.50781609999999999</v>
      </c>
      <c r="F1652" t="s">
        <v>51</v>
      </c>
      <c r="G1652">
        <v>-241.21209999999999</v>
      </c>
      <c r="H1652" s="1">
        <v>-8.9177669999999995E-7</v>
      </c>
      <c r="I1652">
        <v>280.08710000000002</v>
      </c>
      <c r="J1652">
        <v>-225.53970000000001</v>
      </c>
      <c r="K1652">
        <v>1.1086849999999999</v>
      </c>
      <c r="L1652">
        <v>280.92910000000001</v>
      </c>
      <c r="M1652">
        <v>-0.99907599999999996</v>
      </c>
      <c r="N1652">
        <v>0</v>
      </c>
      <c r="O1652">
        <v>-4.2666490000000001E-2</v>
      </c>
      <c r="P1652">
        <v>-0.99625980000000003</v>
      </c>
      <c r="Q1652">
        <v>-4.410874E-2</v>
      </c>
      <c r="R1652">
        <v>-7.4302960000000001E-2</v>
      </c>
      <c r="S1652">
        <v>-2.990097</v>
      </c>
      <c r="T1652">
        <v>-0.2081566</v>
      </c>
      <c r="U1652">
        <v>-0.160156299999999</v>
      </c>
      <c r="V1652">
        <v>-3.1707730000000003E-2</v>
      </c>
      <c r="W1652">
        <v>-3.8961170000000003E-2</v>
      </c>
      <c r="X1652">
        <v>0.99873749999999994</v>
      </c>
      <c r="Y1652">
        <v>-1.0907419999999999E-2</v>
      </c>
      <c r="Z1652">
        <v>2.584121E-3</v>
      </c>
      <c r="AA1652">
        <v>0.99993719999999997</v>
      </c>
      <c r="AB1652">
        <v>27</v>
      </c>
      <c r="AC1652">
        <v>-15.6723999999999</v>
      </c>
      <c r="AD1652">
        <v>-1.1086858917767</v>
      </c>
      <c r="AE1652">
        <v>-0.84199999999998398</v>
      </c>
      <c r="AF1652">
        <v>-0.17168132151132101</v>
      </c>
      <c r="AG1652">
        <v>-1.1086858917767</v>
      </c>
      <c r="AH1652">
        <v>15.6161301682475</v>
      </c>
      <c r="AI1652">
        <v>94.060724114685598</v>
      </c>
      <c r="AJ1652">
        <v>90.629875568847496</v>
      </c>
      <c r="AK1652">
        <v>15.656378263009399</v>
      </c>
      <c r="AL1652">
        <v>92.232875815882693</v>
      </c>
      <c r="AM1652">
        <v>91.818404840591498</v>
      </c>
      <c r="AN1652">
        <v>0.99999997340788505</v>
      </c>
    </row>
    <row r="1653" spans="1:40" x14ac:dyDescent="0.25">
      <c r="A1653" t="str">
        <f>"20190312151530421"</f>
        <v>20190312151530421</v>
      </c>
      <c r="B1653" t="str">
        <f>"1552374930408942"</f>
        <v>1552374930408942</v>
      </c>
      <c r="C1653" t="s">
        <v>40</v>
      </c>
      <c r="D1653">
        <v>4.7498449999999997</v>
      </c>
      <c r="E1653">
        <v>0.50773950000000001</v>
      </c>
      <c r="F1653" t="s">
        <v>51</v>
      </c>
      <c r="G1653">
        <v>-241.50239999999999</v>
      </c>
      <c r="H1653" s="1">
        <v>-7.372934E-7</v>
      </c>
      <c r="I1653">
        <v>280.06670000000003</v>
      </c>
      <c r="J1653">
        <v>-225.8065</v>
      </c>
      <c r="K1653">
        <v>1.1086640000000001</v>
      </c>
      <c r="L1653">
        <v>280.91739999999999</v>
      </c>
      <c r="M1653">
        <v>-0.9990637</v>
      </c>
      <c r="N1653">
        <v>0</v>
      </c>
      <c r="O1653">
        <v>-4.2953520000000002E-2</v>
      </c>
      <c r="P1653">
        <v>-0.99628099999999997</v>
      </c>
      <c r="Q1653">
        <v>-4.4206530000000001E-2</v>
      </c>
      <c r="R1653">
        <v>-7.3959899999999995E-2</v>
      </c>
      <c r="S1653">
        <v>-2.990005</v>
      </c>
      <c r="T1653">
        <v>-0.2076703</v>
      </c>
      <c r="U1653">
        <v>-0.16152949999999999</v>
      </c>
      <c r="V1653">
        <v>-3.107849E-2</v>
      </c>
      <c r="W1653">
        <v>-3.9067640000000001E-2</v>
      </c>
      <c r="X1653">
        <v>0.99875309999999995</v>
      </c>
      <c r="Y1653">
        <v>-1.107963E-2</v>
      </c>
      <c r="Z1653">
        <v>2.592043E-3</v>
      </c>
      <c r="AA1653">
        <v>0.99993529999999997</v>
      </c>
      <c r="AB1653">
        <v>27</v>
      </c>
      <c r="AC1653">
        <v>-15.6958999999999</v>
      </c>
      <c r="AD1653">
        <v>-1.10866473729339</v>
      </c>
      <c r="AE1653">
        <v>-0.85069999999996004</v>
      </c>
      <c r="AF1653">
        <v>-0.17484192183793101</v>
      </c>
      <c r="AG1653">
        <v>-1.10866473729339</v>
      </c>
      <c r="AH1653">
        <v>15.640151691129001</v>
      </c>
      <c r="AI1653">
        <v>94.054422712511894</v>
      </c>
      <c r="AJ1653">
        <v>90.640485279484693</v>
      </c>
      <c r="AK1653">
        <v>15.6803715555109</v>
      </c>
      <c r="AL1653">
        <v>92.238980789396805</v>
      </c>
      <c r="AM1653">
        <v>91.782314280718694</v>
      </c>
      <c r="AN1653">
        <v>0.999999953897728</v>
      </c>
    </row>
    <row r="1654" spans="1:40" x14ac:dyDescent="0.25">
      <c r="A1654" t="str">
        <f>"20190312151530444"</f>
        <v>20190312151530444</v>
      </c>
      <c r="B1654" t="str">
        <f>"1552374930439198"</f>
        <v>1552374930439198</v>
      </c>
      <c r="C1654" t="s">
        <v>40</v>
      </c>
      <c r="D1654">
        <v>4.8710769999999997</v>
      </c>
      <c r="E1654">
        <v>0.50765939999999998</v>
      </c>
      <c r="F1654" t="s">
        <v>51</v>
      </c>
      <c r="G1654">
        <v>-241.79239999999999</v>
      </c>
      <c r="H1654" s="1">
        <v>-5.8293399999999899E-7</v>
      </c>
      <c r="I1654">
        <v>280.05610000000001</v>
      </c>
      <c r="J1654">
        <v>-226.0805</v>
      </c>
      <c r="K1654">
        <v>1.1086290000000001</v>
      </c>
      <c r="L1654">
        <v>280.90539999999999</v>
      </c>
      <c r="M1654">
        <v>-0.99905299999999997</v>
      </c>
      <c r="N1654">
        <v>0</v>
      </c>
      <c r="O1654">
        <v>-4.320471E-2</v>
      </c>
      <c r="P1654">
        <v>-0.99629869999999998</v>
      </c>
      <c r="Q1654">
        <v>-4.431939E-2</v>
      </c>
      <c r="R1654">
        <v>-7.3654600000000001E-2</v>
      </c>
      <c r="S1654">
        <v>-2.990021</v>
      </c>
      <c r="T1654">
        <v>-0.20736540000000001</v>
      </c>
      <c r="U1654">
        <v>-0.1611023</v>
      </c>
      <c r="V1654">
        <v>-3.0523990000000001E-2</v>
      </c>
      <c r="W1654">
        <v>-3.9193760000000001E-2</v>
      </c>
      <c r="X1654">
        <v>0.99876529999999997</v>
      </c>
      <c r="Y1654">
        <v>-1.06868E-2</v>
      </c>
      <c r="Z1654">
        <v>2.6192049999999999E-3</v>
      </c>
      <c r="AA1654">
        <v>0.99993940000000003</v>
      </c>
      <c r="AB1654">
        <v>27</v>
      </c>
      <c r="AC1654">
        <v>-15.711899999999901</v>
      </c>
      <c r="AD1654">
        <v>-1.108629582934</v>
      </c>
      <c r="AE1654">
        <v>-0.84929999999997097</v>
      </c>
      <c r="AF1654">
        <v>-0.16883176132682201</v>
      </c>
      <c r="AG1654">
        <v>-1.108629582934</v>
      </c>
      <c r="AH1654">
        <v>15.6562023582748</v>
      </c>
      <c r="AI1654">
        <v>94.050169498499798</v>
      </c>
      <c r="AJ1654">
        <v>90.617836446628402</v>
      </c>
      <c r="AK1654">
        <v>15.696312815404699</v>
      </c>
      <c r="AL1654">
        <v>92.246212380632798</v>
      </c>
      <c r="AM1654">
        <v>91.750512963556105</v>
      </c>
      <c r="AN1654">
        <v>0.99999999463627298</v>
      </c>
    </row>
    <row r="1655" spans="1:40" x14ac:dyDescent="0.25">
      <c r="A1655" t="str">
        <f>"20190312151530468"</f>
        <v>20190312151530468</v>
      </c>
      <c r="B1655" t="str">
        <f>"1552374930459693"</f>
        <v>1552374930459693</v>
      </c>
      <c r="C1655" t="s">
        <v>40</v>
      </c>
      <c r="D1655">
        <v>4.7182909999999998</v>
      </c>
      <c r="E1655">
        <v>0.50753709999999996</v>
      </c>
      <c r="F1655" t="s">
        <v>51</v>
      </c>
      <c r="G1655">
        <v>-242.1703</v>
      </c>
      <c r="H1655" s="1">
        <v>-3.8184459999999999E-7</v>
      </c>
      <c r="I1655">
        <v>280.03989999999999</v>
      </c>
      <c r="J1655">
        <v>-226.3682</v>
      </c>
      <c r="K1655">
        <v>1.108581</v>
      </c>
      <c r="L1655">
        <v>280.89269999999999</v>
      </c>
      <c r="M1655">
        <v>-0.9990445</v>
      </c>
      <c r="N1655">
        <v>0</v>
      </c>
      <c r="O1655">
        <v>-4.34055E-2</v>
      </c>
      <c r="P1655">
        <v>-0.99629120000000004</v>
      </c>
      <c r="Q1655">
        <v>-4.4601689999999999E-2</v>
      </c>
      <c r="R1655">
        <v>-7.358526E-2</v>
      </c>
      <c r="S1655">
        <v>-2.990097</v>
      </c>
      <c r="T1655">
        <v>-0.20602500000000001</v>
      </c>
      <c r="U1655">
        <v>-0.16082759999999999</v>
      </c>
      <c r="V1655">
        <v>-3.0258360000000002E-2</v>
      </c>
      <c r="W1655">
        <v>-3.9490989999999997E-2</v>
      </c>
      <c r="X1655">
        <v>0.99876169999999997</v>
      </c>
      <c r="Y1655">
        <v>-1.0393049999999999E-2</v>
      </c>
      <c r="Z1655">
        <v>2.626148E-3</v>
      </c>
      <c r="AA1655">
        <v>0.99994249999999996</v>
      </c>
      <c r="AB1655">
        <v>27</v>
      </c>
      <c r="AC1655">
        <v>-15.8020999999999</v>
      </c>
      <c r="AD1655">
        <v>-1.1085813818446</v>
      </c>
      <c r="AE1655">
        <v>-0.852800000000002</v>
      </c>
      <c r="AF1655">
        <v>-0.16527819185873499</v>
      </c>
      <c r="AG1655">
        <v>-1.1085813818446</v>
      </c>
      <c r="AH1655">
        <v>15.7469484302403</v>
      </c>
      <c r="AI1655">
        <v>94.026744085595297</v>
      </c>
      <c r="AJ1655">
        <v>90.601347947732805</v>
      </c>
      <c r="AK1655">
        <v>15.786787337059</v>
      </c>
      <c r="AL1655">
        <v>92.263255542913001</v>
      </c>
      <c r="AM1655">
        <v>91.735295018187699</v>
      </c>
      <c r="AN1655">
        <v>1.00000002001397</v>
      </c>
    </row>
    <row r="1656" spans="1:40" x14ac:dyDescent="0.25">
      <c r="A1656" t="str">
        <f>"20190312151530490"</f>
        <v>20190312151530490</v>
      </c>
      <c r="B1656" t="str">
        <f>"1552374930479214"</f>
        <v>1552374930479214</v>
      </c>
      <c r="C1656" t="s">
        <v>40</v>
      </c>
      <c r="D1656">
        <v>4.7201719999999998</v>
      </c>
      <c r="E1656">
        <v>0.50748530000000003</v>
      </c>
      <c r="F1656" t="s">
        <v>51</v>
      </c>
      <c r="G1656">
        <v>-242.3777</v>
      </c>
      <c r="H1656" s="1">
        <v>-2.7149159999999999E-7</v>
      </c>
      <c r="I1656">
        <v>280.02929999999998</v>
      </c>
      <c r="J1656">
        <v>-226.6405</v>
      </c>
      <c r="K1656">
        <v>1.108536</v>
      </c>
      <c r="L1656">
        <v>280.88069999999999</v>
      </c>
      <c r="M1656">
        <v>-0.99903909999999996</v>
      </c>
      <c r="N1656">
        <v>0</v>
      </c>
      <c r="O1656">
        <v>-4.3530920000000001E-2</v>
      </c>
      <c r="P1656">
        <v>-0.99626139999999996</v>
      </c>
      <c r="Q1656">
        <v>-4.4779310000000003E-2</v>
      </c>
      <c r="R1656">
        <v>-7.3881600000000006E-2</v>
      </c>
      <c r="S1656">
        <v>-2.9899900000000001</v>
      </c>
      <c r="T1656">
        <v>-0.20704230000000001</v>
      </c>
      <c r="U1656">
        <v>-0.16125490000000001</v>
      </c>
      <c r="V1656">
        <v>-3.0434820000000001E-2</v>
      </c>
      <c r="W1656">
        <v>-3.9681130000000002E-2</v>
      </c>
      <c r="X1656">
        <v>0.99874879999999999</v>
      </c>
      <c r="Y1656">
        <v>-1.0412930000000001E-2</v>
      </c>
      <c r="Z1656">
        <v>2.647136E-3</v>
      </c>
      <c r="AA1656">
        <v>0.99994229999999995</v>
      </c>
      <c r="AB1656">
        <v>27</v>
      </c>
      <c r="AC1656">
        <v>-15.7372</v>
      </c>
      <c r="AD1656">
        <v>-1.1085362714916001</v>
      </c>
      <c r="AE1656">
        <v>-0.85140000000001204</v>
      </c>
      <c r="AF1656">
        <v>-0.16471433705896099</v>
      </c>
      <c r="AG1656">
        <v>-1.1085362714916001</v>
      </c>
      <c r="AH1656">
        <v>15.681761026771801</v>
      </c>
      <c r="AI1656">
        <v>94.043263109992594</v>
      </c>
      <c r="AJ1656">
        <v>90.601787597996605</v>
      </c>
      <c r="AK1656">
        <v>15.7217560208402</v>
      </c>
      <c r="AL1656">
        <v>92.274158312955294</v>
      </c>
      <c r="AM1656">
        <v>91.745431159803502</v>
      </c>
      <c r="AN1656">
        <v>1.0000000179239701</v>
      </c>
    </row>
    <row r="1657" spans="1:40" x14ac:dyDescent="0.25">
      <c r="A1657" t="str">
        <f>"20190312151530512"</f>
        <v>20190312151530512</v>
      </c>
      <c r="B1657" t="str">
        <f>"1552374930499710"</f>
        <v>1552374930499710</v>
      </c>
      <c r="C1657" t="s">
        <v>40</v>
      </c>
      <c r="D1657">
        <v>4.7190820000000002</v>
      </c>
      <c r="E1657">
        <v>0.50736130000000002</v>
      </c>
      <c r="F1657" t="s">
        <v>51</v>
      </c>
      <c r="G1657">
        <v>-242.65379999999999</v>
      </c>
      <c r="H1657" s="1">
        <v>-1.2458679999999999E-7</v>
      </c>
      <c r="I1657">
        <v>280.0093</v>
      </c>
      <c r="J1657">
        <v>-226.90629999999999</v>
      </c>
      <c r="K1657">
        <v>1.1084830000000001</v>
      </c>
      <c r="L1657">
        <v>280.86900000000003</v>
      </c>
      <c r="M1657">
        <v>-0.99903679999999995</v>
      </c>
      <c r="N1657">
        <v>0</v>
      </c>
      <c r="O1657">
        <v>-4.3583249999999997E-2</v>
      </c>
      <c r="P1657">
        <v>-0.9962415</v>
      </c>
      <c r="Q1657">
        <v>-4.4424360000000003E-2</v>
      </c>
      <c r="R1657">
        <v>-7.4361549999999998E-2</v>
      </c>
      <c r="S1657">
        <v>-2.989868</v>
      </c>
      <c r="T1657">
        <v>-0.2069764</v>
      </c>
      <c r="U1657">
        <v>-0.16268920000000001</v>
      </c>
      <c r="V1657">
        <v>-3.0867660000000002E-2</v>
      </c>
      <c r="W1657">
        <v>-3.9339520000000003E-2</v>
      </c>
      <c r="X1657">
        <v>0.998749</v>
      </c>
      <c r="Y1657">
        <v>-1.08401E-2</v>
      </c>
      <c r="Z1657">
        <v>2.6352139999999999E-3</v>
      </c>
      <c r="AA1657">
        <v>0.99993779999999999</v>
      </c>
      <c r="AB1657">
        <v>27</v>
      </c>
      <c r="AC1657">
        <v>-15.7475</v>
      </c>
      <c r="AD1657">
        <v>-1.1084831245868001</v>
      </c>
      <c r="AE1657">
        <v>-0.85970000000003199</v>
      </c>
      <c r="AF1657">
        <v>-0.17169872625686899</v>
      </c>
      <c r="AG1657">
        <v>-1.1084831245868001</v>
      </c>
      <c r="AH1657">
        <v>15.6924816871154</v>
      </c>
      <c r="AI1657">
        <v>94.040298038932804</v>
      </c>
      <c r="AJ1657">
        <v>90.6268747043719</v>
      </c>
      <c r="AK1657">
        <v>15.732520357226401</v>
      </c>
      <c r="AL1657">
        <v>92.254570275164198</v>
      </c>
      <c r="AM1657">
        <v>91.770238413726403</v>
      </c>
      <c r="AN1657">
        <v>0.99999998763435205</v>
      </c>
    </row>
    <row r="1658" spans="1:40" x14ac:dyDescent="0.25">
      <c r="A1658" t="str">
        <f>"20190312151530533"</f>
        <v>20190312151530533</v>
      </c>
      <c r="B1658" t="str">
        <f>"1552374930528990"</f>
        <v>1552374930528990</v>
      </c>
      <c r="C1658" t="s">
        <v>40</v>
      </c>
      <c r="D1658">
        <v>4.8728210000000001</v>
      </c>
      <c r="E1658">
        <v>0.50726000000000004</v>
      </c>
      <c r="F1658" t="s">
        <v>51</v>
      </c>
      <c r="G1658">
        <v>-243.054</v>
      </c>
      <c r="H1658" s="1">
        <v>8.8408679999999906E-8</v>
      </c>
      <c r="I1658">
        <v>279.97710000000001</v>
      </c>
      <c r="J1658">
        <v>-227.17580000000001</v>
      </c>
      <c r="K1658">
        <v>1.1084210000000001</v>
      </c>
      <c r="L1658">
        <v>280.85730000000001</v>
      </c>
      <c r="M1658">
        <v>-0.9990386</v>
      </c>
      <c r="N1658">
        <v>0</v>
      </c>
      <c r="O1658">
        <v>-4.354529E-2</v>
      </c>
      <c r="P1658">
        <v>-0.99620439999999999</v>
      </c>
      <c r="Q1658">
        <v>-4.4259149999999997E-2</v>
      </c>
      <c r="R1658">
        <v>-7.4953439999999996E-2</v>
      </c>
      <c r="S1658">
        <v>-2.9898380000000002</v>
      </c>
      <c r="T1658">
        <v>-0.2052418</v>
      </c>
      <c r="U1658">
        <v>-0.16516110000000001</v>
      </c>
      <c r="V1658">
        <v>-3.1504570000000003E-2</v>
      </c>
      <c r="W1658">
        <v>-3.9188859999999999E-2</v>
      </c>
      <c r="X1658">
        <v>0.99873509999999999</v>
      </c>
      <c r="Y1658">
        <v>-1.16995E-2</v>
      </c>
      <c r="Z1658">
        <v>2.581098E-3</v>
      </c>
      <c r="AA1658">
        <v>0.99992820000000004</v>
      </c>
      <c r="AB1658">
        <v>27</v>
      </c>
      <c r="AC1658">
        <v>-15.8781999999999</v>
      </c>
      <c r="AD1658">
        <v>-1.1084209115913199</v>
      </c>
      <c r="AE1658">
        <v>-0.88020000000000198</v>
      </c>
      <c r="AF1658">
        <v>-0.18702675426307599</v>
      </c>
      <c r="AG1658">
        <v>-1.1084209115913199</v>
      </c>
      <c r="AH1658">
        <v>15.8245886333727</v>
      </c>
      <c r="AI1658">
        <v>94.0064151037584</v>
      </c>
      <c r="AJ1658">
        <v>90.677132595737604</v>
      </c>
      <c r="AK1658">
        <v>15.8644628443428</v>
      </c>
      <c r="AL1658">
        <v>92.245931285820902</v>
      </c>
      <c r="AM1658">
        <v>91.806765915012903</v>
      </c>
      <c r="AN1658">
        <v>1.0000000523254899</v>
      </c>
    </row>
    <row r="1659" spans="1:40" x14ac:dyDescent="0.25">
      <c r="A1659" t="str">
        <f>"20190312151530556"</f>
        <v>20190312151530556</v>
      </c>
      <c r="B1659" t="str">
        <f>"1552374930549486"</f>
        <v>1552374930549486</v>
      </c>
      <c r="C1659" t="s">
        <v>40</v>
      </c>
      <c r="D1659">
        <v>4.7692809999999897</v>
      </c>
      <c r="E1659">
        <v>0.50720140000000002</v>
      </c>
      <c r="F1659" t="s">
        <v>51</v>
      </c>
      <c r="G1659">
        <v>-243.5265</v>
      </c>
      <c r="H1659" s="1">
        <v>3.3984099999999998E-7</v>
      </c>
      <c r="I1659">
        <v>279.9402</v>
      </c>
      <c r="J1659">
        <v>-227.45699999999999</v>
      </c>
      <c r="K1659">
        <v>1.1083459999999901</v>
      </c>
      <c r="L1659">
        <v>280.84519999999998</v>
      </c>
      <c r="M1659">
        <v>-0.99904550000000003</v>
      </c>
      <c r="N1659">
        <v>0</v>
      </c>
      <c r="O1659">
        <v>-4.3390310000000001E-2</v>
      </c>
      <c r="P1659">
        <v>-0.99613700000000005</v>
      </c>
      <c r="Q1659">
        <v>-4.4072609999999998E-2</v>
      </c>
      <c r="R1659">
        <v>-7.5952329999999998E-2</v>
      </c>
      <c r="S1659">
        <v>-2.9898069999999999</v>
      </c>
      <c r="T1659">
        <v>-0.20267959999999999</v>
      </c>
      <c r="U1659">
        <v>-0.16769410000000001</v>
      </c>
      <c r="V1659">
        <v>-3.2667259999999997E-2</v>
      </c>
      <c r="W1659">
        <v>-3.9015040000000001E-2</v>
      </c>
      <c r="X1659">
        <v>0.9987045</v>
      </c>
      <c r="Y1659">
        <v>-1.269521E-2</v>
      </c>
      <c r="Z1659">
        <v>2.504746E-3</v>
      </c>
      <c r="AA1659">
        <v>0.99991629999999998</v>
      </c>
      <c r="AB1659">
        <v>28</v>
      </c>
      <c r="AC1659">
        <v>-16.069500000000001</v>
      </c>
      <c r="AD1659">
        <v>-1.1083456601589901</v>
      </c>
      <c r="AE1659">
        <v>-0.90499999999997205</v>
      </c>
      <c r="AF1659">
        <v>-0.205901808828482</v>
      </c>
      <c r="AG1659">
        <v>-1.1083456601589901</v>
      </c>
      <c r="AH1659">
        <v>16.017676662024002</v>
      </c>
      <c r="AI1659">
        <v>93.957955201127305</v>
      </c>
      <c r="AJ1659">
        <v>90.736477277488802</v>
      </c>
      <c r="AK1659">
        <v>16.057297135770401</v>
      </c>
      <c r="AL1659">
        <v>92.235964626940699</v>
      </c>
      <c r="AM1659">
        <v>91.873456094958897</v>
      </c>
      <c r="AN1659">
        <v>1.00000000077117</v>
      </c>
    </row>
    <row r="1660" spans="1:40" x14ac:dyDescent="0.25">
      <c r="A1660" t="str">
        <f>"20190312151530577"</f>
        <v>20190312151530577</v>
      </c>
      <c r="B1660" t="str">
        <f>"1552374930569982"</f>
        <v>1552374930569982</v>
      </c>
      <c r="C1660" t="s">
        <v>40</v>
      </c>
      <c r="D1660">
        <v>4.935111</v>
      </c>
      <c r="E1660">
        <v>0.5070403</v>
      </c>
      <c r="F1660" t="s">
        <v>51</v>
      </c>
      <c r="G1660">
        <v>-243.9469</v>
      </c>
      <c r="H1660" s="1">
        <v>5.6354590000000004E-7</v>
      </c>
      <c r="I1660">
        <v>279.90039999999999</v>
      </c>
      <c r="J1660">
        <v>-227.72120000000001</v>
      </c>
      <c r="K1660">
        <v>1.1082700000000001</v>
      </c>
      <c r="L1660">
        <v>280.83390000000003</v>
      </c>
      <c r="M1660">
        <v>-0.99905560000000004</v>
      </c>
      <c r="N1660">
        <v>0</v>
      </c>
      <c r="O1660">
        <v>-4.315778E-2</v>
      </c>
      <c r="P1660">
        <v>-0.99609550000000002</v>
      </c>
      <c r="Q1660">
        <v>-4.440185E-2</v>
      </c>
      <c r="R1660">
        <v>-7.6304029999999995E-2</v>
      </c>
      <c r="S1660">
        <v>-2.9896699999999998</v>
      </c>
      <c r="T1660">
        <v>-0.20094609999999999</v>
      </c>
      <c r="U1660">
        <v>-0.17129520000000001</v>
      </c>
      <c r="V1660">
        <v>-3.3259230000000001E-2</v>
      </c>
      <c r="W1660">
        <v>-3.9353569999999997E-2</v>
      </c>
      <c r="X1660">
        <v>0.99867169999999905</v>
      </c>
      <c r="Y1660">
        <v>-1.4126110000000001E-2</v>
      </c>
      <c r="Z1660">
        <v>2.4198079999999999E-3</v>
      </c>
      <c r="AA1660">
        <v>0.99989729999999999</v>
      </c>
      <c r="AB1660">
        <v>28</v>
      </c>
      <c r="AC1660">
        <v>-16.2256999999999</v>
      </c>
      <c r="AD1660">
        <v>-1.1082694364540999</v>
      </c>
      <c r="AE1660">
        <v>-0.93350000000003697</v>
      </c>
      <c r="AF1660">
        <v>-0.23128070783819901</v>
      </c>
      <c r="AG1660">
        <v>-1.1082694364540999</v>
      </c>
      <c r="AH1660">
        <v>16.1756538707386</v>
      </c>
      <c r="AI1660">
        <v>93.919076211148493</v>
      </c>
      <c r="AJ1660">
        <v>90.819163518309296</v>
      </c>
      <c r="AK1660">
        <v>16.215225254541998</v>
      </c>
      <c r="AL1660">
        <v>92.255375826925601</v>
      </c>
      <c r="AM1660">
        <v>91.907443115412903</v>
      </c>
      <c r="AN1660">
        <v>1.00000002211641</v>
      </c>
    </row>
    <row r="1661" spans="1:40" x14ac:dyDescent="0.25">
      <c r="A1661" t="str">
        <f>"20190312151530600"</f>
        <v>20190312151530600</v>
      </c>
      <c r="B1661" t="str">
        <f>"1552374930589501"</f>
        <v>1552374930589501</v>
      </c>
      <c r="C1661" t="s">
        <v>40</v>
      </c>
      <c r="D1661">
        <v>4.7856230000000002</v>
      </c>
      <c r="E1661">
        <v>0.5068897</v>
      </c>
      <c r="F1661" t="s">
        <v>51</v>
      </c>
      <c r="G1661">
        <v>-244.10509999999999</v>
      </c>
      <c r="H1661" s="1">
        <v>6.4776759999999996E-7</v>
      </c>
      <c r="I1661">
        <v>279.88200000000001</v>
      </c>
      <c r="J1661">
        <v>-228.00280000000001</v>
      </c>
      <c r="K1661">
        <v>1.1081920000000001</v>
      </c>
      <c r="L1661">
        <v>280.822</v>
      </c>
      <c r="M1661">
        <v>-0.99907080000000004</v>
      </c>
      <c r="N1661">
        <v>0</v>
      </c>
      <c r="O1661">
        <v>-4.2808539999999999E-2</v>
      </c>
      <c r="P1661">
        <v>-0.99607639999999997</v>
      </c>
      <c r="Q1661">
        <v>-4.4594389999999998E-2</v>
      </c>
      <c r="R1661">
        <v>-7.6442399999999994E-2</v>
      </c>
      <c r="S1661">
        <v>-2.9894409999999998</v>
      </c>
      <c r="T1661">
        <v>-0.2022167</v>
      </c>
      <c r="U1661">
        <v>-0.17367550000000001</v>
      </c>
      <c r="V1661">
        <v>-3.3754689999999997E-2</v>
      </c>
      <c r="W1661">
        <v>-3.9552789999999997E-2</v>
      </c>
      <c r="X1661">
        <v>0.99864719999999996</v>
      </c>
      <c r="Y1661">
        <v>-1.527099E-2</v>
      </c>
      <c r="Z1661">
        <v>2.3730000000000001E-3</v>
      </c>
      <c r="AA1661">
        <v>0.99988060000000001</v>
      </c>
      <c r="AB1661">
        <v>28</v>
      </c>
      <c r="AC1661">
        <v>-16.1022999999999</v>
      </c>
      <c r="AD1661">
        <v>-1.1081913522323901</v>
      </c>
      <c r="AE1661">
        <v>-0.93999999999999695</v>
      </c>
      <c r="AF1661">
        <v>-0.24864004332526399</v>
      </c>
      <c r="AG1661">
        <v>-1.1081913522323901</v>
      </c>
      <c r="AH1661">
        <v>16.0520076487194</v>
      </c>
      <c r="AI1661">
        <v>93.948821907230098</v>
      </c>
      <c r="AJ1661">
        <v>90.887420827946201</v>
      </c>
      <c r="AK1661">
        <v>16.092136573458902</v>
      </c>
      <c r="AL1661">
        <v>92.266799199344703</v>
      </c>
      <c r="AM1661">
        <v>91.935884132713198</v>
      </c>
      <c r="AN1661">
        <v>1.0000000161808</v>
      </c>
    </row>
    <row r="1662" spans="1:40" x14ac:dyDescent="0.25">
      <c r="A1662" t="str">
        <f>"20190312151530622"</f>
        <v>20190312151530622</v>
      </c>
      <c r="B1662" t="str">
        <f>"1552374930618782"</f>
        <v>1552374930618782</v>
      </c>
      <c r="C1662" t="s">
        <v>40</v>
      </c>
      <c r="D1662">
        <v>4.8012739999999896</v>
      </c>
      <c r="E1662">
        <v>0.50678109999999998</v>
      </c>
      <c r="F1662" t="s">
        <v>51</v>
      </c>
      <c r="G1662">
        <v>-244.40459999999999</v>
      </c>
      <c r="H1662" s="1">
        <v>8.0709299999999999E-7</v>
      </c>
      <c r="I1662">
        <v>279.86059999999998</v>
      </c>
      <c r="J1662">
        <v>-228.279</v>
      </c>
      <c r="K1662">
        <v>1.108112</v>
      </c>
      <c r="L1662">
        <v>280.81060000000002</v>
      </c>
      <c r="M1662">
        <v>-0.99909029999999999</v>
      </c>
      <c r="N1662">
        <v>0</v>
      </c>
      <c r="O1662">
        <v>-4.2349129999999999E-2</v>
      </c>
      <c r="P1662">
        <v>-0.99614570000000002</v>
      </c>
      <c r="Q1662">
        <v>-4.3888030000000001E-2</v>
      </c>
      <c r="R1662">
        <v>-7.5943860000000002E-2</v>
      </c>
      <c r="S1662">
        <v>-2.9893339999999999</v>
      </c>
      <c r="T1662">
        <v>-0.20197570000000001</v>
      </c>
      <c r="U1662">
        <v>-0.1752319</v>
      </c>
      <c r="V1662">
        <v>-3.3719909999999999E-2</v>
      </c>
      <c r="W1662">
        <v>-3.8849590000000003E-2</v>
      </c>
      <c r="X1662">
        <v>0.99867589999999995</v>
      </c>
      <c r="Y1662">
        <v>-1.6248229999999999E-2</v>
      </c>
      <c r="Z1662">
        <v>2.3063319999999999E-3</v>
      </c>
      <c r="AA1662">
        <v>0.99986540000000002</v>
      </c>
      <c r="AB1662">
        <v>28</v>
      </c>
      <c r="AC1662">
        <v>-16.125599999999899</v>
      </c>
      <c r="AD1662">
        <v>-1.108111192907</v>
      </c>
      <c r="AE1662">
        <v>-0.95000000000004503</v>
      </c>
      <c r="AF1662">
        <v>-0.26498703199845802</v>
      </c>
      <c r="AG1662">
        <v>-1.108111192907</v>
      </c>
      <c r="AH1662">
        <v>16.075716564001802</v>
      </c>
      <c r="AI1662">
        <v>93.942669705101807</v>
      </c>
      <c r="AJ1662">
        <v>90.944359999258893</v>
      </c>
      <c r="AK1662">
        <v>16.1160414366895</v>
      </c>
      <c r="AL1662">
        <v>92.226477987405701</v>
      </c>
      <c r="AM1662">
        <v>91.933835426790793</v>
      </c>
      <c r="AN1662">
        <v>0.99999993810719101</v>
      </c>
    </row>
    <row r="1663" spans="1:40" x14ac:dyDescent="0.25">
      <c r="A1663" t="str">
        <f>"20190312151530645"</f>
        <v>20190312151530645</v>
      </c>
      <c r="B1663" t="str">
        <f>"1552374930639278"</f>
        <v>1552374930639278</v>
      </c>
      <c r="C1663" t="s">
        <v>40</v>
      </c>
      <c r="D1663">
        <v>4.7886100000000003</v>
      </c>
      <c r="E1663">
        <v>0.50671739999999998</v>
      </c>
      <c r="F1663" t="s">
        <v>51</v>
      </c>
      <c r="G1663">
        <v>-244.82239999999999</v>
      </c>
      <c r="H1663" s="1">
        <v>1.029469E-6</v>
      </c>
      <c r="I1663">
        <v>279.84339999999997</v>
      </c>
      <c r="J1663">
        <v>-228.5745</v>
      </c>
      <c r="K1663">
        <v>1.108015</v>
      </c>
      <c r="L1663">
        <v>280.79860000000002</v>
      </c>
      <c r="M1663">
        <v>-0.99911709999999998</v>
      </c>
      <c r="N1663">
        <v>0</v>
      </c>
      <c r="O1663">
        <v>-4.1712880000000001E-2</v>
      </c>
      <c r="P1663">
        <v>-0.9961738</v>
      </c>
      <c r="Q1663">
        <v>-4.3773670000000001E-2</v>
      </c>
      <c r="R1663">
        <v>-7.564237E-2</v>
      </c>
      <c r="S1663">
        <v>-2.9894560000000001</v>
      </c>
      <c r="T1663">
        <v>-0.2002398</v>
      </c>
      <c r="U1663">
        <v>-0.17477419999999999</v>
      </c>
      <c r="V1663">
        <v>-3.4063410000000002E-2</v>
      </c>
      <c r="W1663">
        <v>-3.8734119999999997E-2</v>
      </c>
      <c r="X1663">
        <v>0.99866880000000002</v>
      </c>
      <c r="Y1663">
        <v>-1.6726499999999998E-2</v>
      </c>
      <c r="Z1663">
        <v>2.2280070000000002E-3</v>
      </c>
      <c r="AA1663">
        <v>0.99985760000000001</v>
      </c>
      <c r="AB1663">
        <v>28</v>
      </c>
      <c r="AC1663">
        <v>-16.247899999999898</v>
      </c>
      <c r="AD1663">
        <v>-1.1080139705309999</v>
      </c>
      <c r="AE1663">
        <v>-0.95520000000004701</v>
      </c>
      <c r="AF1663">
        <v>-0.27533738088166898</v>
      </c>
      <c r="AG1663">
        <v>-1.1080139705309999</v>
      </c>
      <c r="AH1663">
        <v>16.198531570525201</v>
      </c>
      <c r="AI1663">
        <v>93.912494354744496</v>
      </c>
      <c r="AJ1663">
        <v>90.973801282794199</v>
      </c>
      <c r="AK1663">
        <v>16.238717026708201</v>
      </c>
      <c r="AL1663">
        <v>92.219856900120305</v>
      </c>
      <c r="AM1663">
        <v>91.953533828356896</v>
      </c>
      <c r="AN1663">
        <v>1.00000001002322</v>
      </c>
    </row>
    <row r="1664" spans="1:40" x14ac:dyDescent="0.25">
      <c r="A1664" t="str">
        <f>"20190312151530669"</f>
        <v>20190312151530669</v>
      </c>
      <c r="B1664" t="str">
        <f>"1552374930659774"</f>
        <v>1552374930659774</v>
      </c>
      <c r="C1664" t="s">
        <v>40</v>
      </c>
      <c r="D1664">
        <v>4.8318879999999904</v>
      </c>
      <c r="E1664">
        <v>0.50666719999999998</v>
      </c>
      <c r="F1664" t="s">
        <v>51</v>
      </c>
      <c r="G1664">
        <v>-245.17429999999999</v>
      </c>
      <c r="H1664" s="1">
        <v>1.2167130000000001E-6</v>
      </c>
      <c r="I1664">
        <v>279.83179999999999</v>
      </c>
      <c r="J1664">
        <v>-228.86920000000001</v>
      </c>
      <c r="K1664">
        <v>1.1078950000000001</v>
      </c>
      <c r="L1664">
        <v>280.78699999999998</v>
      </c>
      <c r="M1664">
        <v>-0.99915030000000005</v>
      </c>
      <c r="N1664">
        <v>0</v>
      </c>
      <c r="O1664">
        <v>-4.0913030000000003E-2</v>
      </c>
      <c r="P1664">
        <v>-0.99620609999999998</v>
      </c>
      <c r="Q1664">
        <v>-4.3543760000000001E-2</v>
      </c>
      <c r="R1664">
        <v>-7.5350929999999997E-2</v>
      </c>
      <c r="S1664">
        <v>-2.9895320000000001</v>
      </c>
      <c r="T1664">
        <v>-0.1995468</v>
      </c>
      <c r="U1664">
        <v>-0.17413329999999999</v>
      </c>
      <c r="V1664">
        <v>-3.4580390000000003E-2</v>
      </c>
      <c r="W1664">
        <v>-3.8498089999999999E-2</v>
      </c>
      <c r="X1664">
        <v>0.99866010000000005</v>
      </c>
      <c r="Y1664">
        <v>-1.730839E-2</v>
      </c>
      <c r="Z1664">
        <v>2.147674E-3</v>
      </c>
      <c r="AA1664">
        <v>0.99984790000000001</v>
      </c>
      <c r="AB1664">
        <v>28</v>
      </c>
      <c r="AC1664">
        <v>-16.3050999999999</v>
      </c>
      <c r="AD1664">
        <v>-1.1078937832869999</v>
      </c>
      <c r="AE1664">
        <v>-0.95520000000004701</v>
      </c>
      <c r="AF1664">
        <v>-0.28598503903835798</v>
      </c>
      <c r="AG1664">
        <v>-1.1078937832869999</v>
      </c>
      <c r="AH1664">
        <v>16.255733989808</v>
      </c>
      <c r="AI1664">
        <v>93.8983075917333</v>
      </c>
      <c r="AJ1664">
        <v>91.007893310344002</v>
      </c>
      <c r="AK1664">
        <v>16.295953596675499</v>
      </c>
      <c r="AL1664">
        <v>92.206323413620296</v>
      </c>
      <c r="AM1664">
        <v>91.983176354913994</v>
      </c>
      <c r="AN1664">
        <v>0.99999995081910398</v>
      </c>
    </row>
    <row r="1665" spans="1:40" x14ac:dyDescent="0.25">
      <c r="A1665" t="str">
        <f>"20190312151530691"</f>
        <v>20190312151530691</v>
      </c>
      <c r="B1665" t="str">
        <f>"1552374930679294"</f>
        <v>1552374930679294</v>
      </c>
      <c r="C1665" t="s">
        <v>40</v>
      </c>
      <c r="D1665">
        <v>4.8343629999999997</v>
      </c>
      <c r="E1665">
        <v>0.50661679999999998</v>
      </c>
      <c r="F1665" t="s">
        <v>51</v>
      </c>
      <c r="G1665">
        <v>-245.54679999999999</v>
      </c>
      <c r="H1665" s="1">
        <v>1.41493E-6</v>
      </c>
      <c r="I1665">
        <v>279.81740000000002</v>
      </c>
      <c r="J1665">
        <v>-229.15600000000001</v>
      </c>
      <c r="K1665">
        <v>1.1077619999999999</v>
      </c>
      <c r="L1665">
        <v>280.77620000000002</v>
      </c>
      <c r="M1665">
        <v>-0.99918879999999999</v>
      </c>
      <c r="N1665">
        <v>0</v>
      </c>
      <c r="O1665">
        <v>-3.9960599999999999E-2</v>
      </c>
      <c r="P1665">
        <v>-0.99619950000000002</v>
      </c>
      <c r="Q1665">
        <v>-4.3723419999999999E-2</v>
      </c>
      <c r="R1665">
        <v>-7.5335470000000002E-2</v>
      </c>
      <c r="S1665">
        <v>-2.9896090000000002</v>
      </c>
      <c r="T1665">
        <v>-0.19859969999999999</v>
      </c>
      <c r="U1665">
        <v>-0.17382810000000001</v>
      </c>
      <c r="V1665">
        <v>-3.5529209999999999E-2</v>
      </c>
      <c r="W1665">
        <v>-3.8666539999999999E-2</v>
      </c>
      <c r="X1665">
        <v>0.99862030000000002</v>
      </c>
      <c r="Y1665">
        <v>-1.8153820000000001E-2</v>
      </c>
      <c r="Z1665">
        <v>2.046357E-3</v>
      </c>
      <c r="AA1665">
        <v>0.99983310000000003</v>
      </c>
      <c r="AB1665">
        <v>28</v>
      </c>
      <c r="AC1665">
        <v>-16.390799999999999</v>
      </c>
      <c r="AD1665">
        <v>-1.1077605850700001</v>
      </c>
      <c r="AE1665">
        <v>-0.95879999999999599</v>
      </c>
      <c r="AF1665">
        <v>-0.30166658627305099</v>
      </c>
      <c r="AG1665">
        <v>-1.1077605850700001</v>
      </c>
      <c r="AH1665">
        <v>16.341634225006</v>
      </c>
      <c r="AI1665">
        <v>93.877353514447904</v>
      </c>
      <c r="AJ1665">
        <v>91.0575600366938</v>
      </c>
      <c r="AK1665">
        <v>16.381915192888599</v>
      </c>
      <c r="AL1665">
        <v>92.215982048711396</v>
      </c>
      <c r="AM1665">
        <v>92.037626818945398</v>
      </c>
      <c r="AN1665">
        <v>0.99999996482544196</v>
      </c>
    </row>
    <row r="1666" spans="1:40" x14ac:dyDescent="0.25">
      <c r="A1666" t="str">
        <f>"20190312151530713"</f>
        <v>20190312151530713</v>
      </c>
      <c r="B1666" t="str">
        <f>"1552374930709550"</f>
        <v>1552374930709550</v>
      </c>
      <c r="C1666" t="s">
        <v>40</v>
      </c>
      <c r="D1666">
        <v>4.8318919999999999</v>
      </c>
      <c r="E1666">
        <v>0.5065866</v>
      </c>
      <c r="F1666" t="s">
        <v>51</v>
      </c>
      <c r="G1666">
        <v>-245.7978</v>
      </c>
      <c r="H1666" s="1">
        <v>1.548505E-6</v>
      </c>
      <c r="I1666">
        <v>279.80700000000002</v>
      </c>
      <c r="J1666">
        <v>-229.42750000000001</v>
      </c>
      <c r="K1666">
        <v>1.10762</v>
      </c>
      <c r="L1666">
        <v>280.7663</v>
      </c>
      <c r="M1666">
        <v>-0.99923119999999999</v>
      </c>
      <c r="N1666">
        <v>0</v>
      </c>
      <c r="O1666">
        <v>-3.8883630000000002E-2</v>
      </c>
      <c r="P1666">
        <v>-0.99623680000000003</v>
      </c>
      <c r="Q1666">
        <v>-4.374289E-2</v>
      </c>
      <c r="R1666">
        <v>-7.4825909999999995E-2</v>
      </c>
      <c r="S1666">
        <v>-2.9895480000000001</v>
      </c>
      <c r="T1666">
        <v>-0.19899919999999999</v>
      </c>
      <c r="U1666">
        <v>-0.174102799999999</v>
      </c>
      <c r="V1666">
        <v>-3.6107750000000001E-2</v>
      </c>
      <c r="W1666">
        <v>-3.8671410000000003E-2</v>
      </c>
      <c r="X1666">
        <v>0.99859940000000003</v>
      </c>
      <c r="Y1666">
        <v>-1.9319429999999999E-2</v>
      </c>
      <c r="Z1666">
        <v>1.9403140000000001E-3</v>
      </c>
      <c r="AA1666">
        <v>0.99981149999999996</v>
      </c>
      <c r="AB1666">
        <v>28</v>
      </c>
      <c r="AC1666">
        <v>-16.370299999999901</v>
      </c>
      <c r="AD1666">
        <v>-1.107618451495</v>
      </c>
      <c r="AE1666">
        <v>-0.95929999999998405</v>
      </c>
      <c r="AF1666">
        <v>-0.320567333345538</v>
      </c>
      <c r="AG1666">
        <v>-1.107618451495</v>
      </c>
      <c r="AH1666">
        <v>16.320761853084498</v>
      </c>
      <c r="AI1666">
        <v>93.881713356865305</v>
      </c>
      <c r="AJ1666">
        <v>91.125241209384399</v>
      </c>
      <c r="AK1666">
        <v>16.361443992337499</v>
      </c>
      <c r="AL1666">
        <v>92.216261199776298</v>
      </c>
      <c r="AM1666">
        <v>92.070821168684304</v>
      </c>
      <c r="AN1666">
        <v>1.0000000046209001</v>
      </c>
    </row>
    <row r="1667" spans="1:40" x14ac:dyDescent="0.25">
      <c r="A1667" t="str">
        <f>"20190312151530734"</f>
        <v>20190312151530734</v>
      </c>
      <c r="B1667" t="str">
        <f>"1552374930729070"</f>
        <v>1552374930729070</v>
      </c>
      <c r="C1667" t="s">
        <v>40</v>
      </c>
      <c r="D1667">
        <v>4.8264620000000003</v>
      </c>
      <c r="E1667">
        <v>0.50657929999999995</v>
      </c>
      <c r="F1667" t="s">
        <v>51</v>
      </c>
      <c r="G1667">
        <v>-246.04929999999999</v>
      </c>
      <c r="H1667" s="1">
        <v>1.682331E-6</v>
      </c>
      <c r="I1667">
        <v>279.80560000000003</v>
      </c>
      <c r="J1667">
        <v>-229.71250000000001</v>
      </c>
      <c r="K1667">
        <v>1.1074649999999999</v>
      </c>
      <c r="L1667">
        <v>280.75639999999999</v>
      </c>
      <c r="M1667">
        <v>-0.99928209999999995</v>
      </c>
      <c r="N1667">
        <v>0</v>
      </c>
      <c r="O1667">
        <v>-3.7551920000000003E-2</v>
      </c>
      <c r="P1667">
        <v>-0.99626340000000002</v>
      </c>
      <c r="Q1667">
        <v>-4.4073759999999997E-2</v>
      </c>
      <c r="R1667">
        <v>-7.4274439999999997E-2</v>
      </c>
      <c r="S1667">
        <v>-2.9895939999999999</v>
      </c>
      <c r="T1667">
        <v>-0.1992159</v>
      </c>
      <c r="U1667">
        <v>-0.17279050000000001</v>
      </c>
      <c r="V1667">
        <v>-3.6901549999999998E-2</v>
      </c>
      <c r="W1667">
        <v>-3.8982490000000002E-2</v>
      </c>
      <c r="X1667">
        <v>0.99855830000000001</v>
      </c>
      <c r="Y1667">
        <v>-2.0208799999999999E-2</v>
      </c>
      <c r="Z1667">
        <v>1.8243759999999999E-3</v>
      </c>
      <c r="AA1667">
        <v>0.99979410000000002</v>
      </c>
      <c r="AB1667">
        <v>29</v>
      </c>
      <c r="AC1667">
        <v>-16.336799999999901</v>
      </c>
      <c r="AD1667">
        <v>-1.1074633176690001</v>
      </c>
      <c r="AE1667">
        <v>-0.95079999999995801</v>
      </c>
      <c r="AF1667">
        <v>-0.33510868052750198</v>
      </c>
      <c r="AG1667">
        <v>-1.1074633176690001</v>
      </c>
      <c r="AH1667">
        <v>16.286391747065998</v>
      </c>
      <c r="AI1667">
        <v>93.889264072085595</v>
      </c>
      <c r="AJ1667">
        <v>91.178751219852501</v>
      </c>
      <c r="AK1667">
        <v>16.3274409803449</v>
      </c>
      <c r="AL1667">
        <v>92.2340981893784</v>
      </c>
      <c r="AM1667">
        <v>92.116392591018297</v>
      </c>
      <c r="AN1667">
        <v>1.00000001870894</v>
      </c>
    </row>
    <row r="1668" spans="1:40" x14ac:dyDescent="0.25">
      <c r="A1668" t="str">
        <f>"20190312151530757"</f>
        <v>20190312151530757</v>
      </c>
      <c r="B1668" t="str">
        <f>"1552374930749566"</f>
        <v>1552374930749566</v>
      </c>
      <c r="C1668" t="s">
        <v>40</v>
      </c>
      <c r="D1668">
        <v>4.8077560000000004</v>
      </c>
      <c r="E1668">
        <v>0.5065463</v>
      </c>
      <c r="F1668" t="s">
        <v>51</v>
      </c>
      <c r="G1668">
        <v>-246.2405</v>
      </c>
      <c r="H1668" s="1">
        <v>1.7840800000000001E-6</v>
      </c>
      <c r="I1668">
        <v>279.81049999999999</v>
      </c>
      <c r="J1668">
        <v>-230.00110000000001</v>
      </c>
      <c r="K1668">
        <v>1.1073090000000001</v>
      </c>
      <c r="L1668">
        <v>280.74709999999999</v>
      </c>
      <c r="M1668">
        <v>-0.99933919999999998</v>
      </c>
      <c r="N1668">
        <v>0</v>
      </c>
      <c r="O1668">
        <v>-3.6001640000000001E-2</v>
      </c>
      <c r="P1668">
        <v>-0.99635660000000004</v>
      </c>
      <c r="Q1668">
        <v>-4.3920239999999999E-2</v>
      </c>
      <c r="R1668">
        <v>-7.3106790000000005E-2</v>
      </c>
      <c r="S1668">
        <v>-2.9896389999999999</v>
      </c>
      <c r="T1668">
        <v>-0.2003219</v>
      </c>
      <c r="U1668">
        <v>-0.17111209999999999</v>
      </c>
      <c r="V1668">
        <v>-3.7295099999999998E-2</v>
      </c>
      <c r="W1668">
        <v>-3.8807029999999999E-2</v>
      </c>
      <c r="X1668">
        <v>0.99855050000000001</v>
      </c>
      <c r="Y1668">
        <v>-2.119424E-2</v>
      </c>
      <c r="Z1668">
        <v>1.6979689999999999E-3</v>
      </c>
      <c r="AA1668">
        <v>0.99977389999999999</v>
      </c>
      <c r="AB1668">
        <v>29</v>
      </c>
      <c r="AC1668">
        <v>-16.2393999999999</v>
      </c>
      <c r="AD1668">
        <v>-1.1073072159199999</v>
      </c>
      <c r="AE1668">
        <v>-0.93659999999999799</v>
      </c>
      <c r="AF1668">
        <v>-0.34971986723986498</v>
      </c>
      <c r="AG1668">
        <v>-1.1073072159199999</v>
      </c>
      <c r="AH1668">
        <v>16.1875788879785</v>
      </c>
      <c r="AI1668">
        <v>93.912297173749494</v>
      </c>
      <c r="AJ1668">
        <v>91.237637572194998</v>
      </c>
      <c r="AK1668">
        <v>16.229175687954701</v>
      </c>
      <c r="AL1668">
        <v>92.224037488519798</v>
      </c>
      <c r="AM1668">
        <v>92.138959467503994</v>
      </c>
      <c r="AN1668">
        <v>1.00000000555584</v>
      </c>
    </row>
    <row r="1669" spans="1:40" x14ac:dyDescent="0.25">
      <c r="A1669" t="str">
        <f>"20190312151530778"</f>
        <v>20190312151530778</v>
      </c>
      <c r="B1669" t="str">
        <f>"1552374930769086"</f>
        <v>1552374930769086</v>
      </c>
      <c r="C1669" t="s">
        <v>40</v>
      </c>
      <c r="D1669">
        <v>4.8535450000000004</v>
      </c>
      <c r="E1669">
        <v>0.50654759999999999</v>
      </c>
      <c r="F1669" t="s">
        <v>51</v>
      </c>
      <c r="G1669">
        <v>-246.52950000000001</v>
      </c>
      <c r="H1669" s="1">
        <v>1.937864E-6</v>
      </c>
      <c r="I1669">
        <v>279.81889999999999</v>
      </c>
      <c r="J1669">
        <v>-230.28720000000001</v>
      </c>
      <c r="K1669">
        <v>1.107167</v>
      </c>
      <c r="L1669">
        <v>280.73849999999999</v>
      </c>
      <c r="M1669">
        <v>-0.99939889999999998</v>
      </c>
      <c r="N1669">
        <v>0</v>
      </c>
      <c r="O1669">
        <v>-3.4303170000000001E-2</v>
      </c>
      <c r="P1669">
        <v>-0.99648099999999995</v>
      </c>
      <c r="Q1669">
        <v>-4.3420599999999997E-2</v>
      </c>
      <c r="R1669">
        <v>-7.1696770000000007E-2</v>
      </c>
      <c r="S1669">
        <v>-2.9898380000000002</v>
      </c>
      <c r="T1669">
        <v>-0.2003027</v>
      </c>
      <c r="U1669">
        <v>-0.16790769999999999</v>
      </c>
      <c r="V1669">
        <v>-3.7589640000000001E-2</v>
      </c>
      <c r="W1669">
        <v>-3.8285659999999999E-2</v>
      </c>
      <c r="X1669">
        <v>0.99855959999999999</v>
      </c>
      <c r="Y1669">
        <v>-2.1816350000000002E-2</v>
      </c>
      <c r="Z1669">
        <v>1.56349299999999E-3</v>
      </c>
      <c r="AA1669">
        <v>0.99976069999999995</v>
      </c>
      <c r="AB1669">
        <v>29</v>
      </c>
      <c r="AC1669">
        <v>-16.2423</v>
      </c>
      <c r="AD1669">
        <v>-1.1071650621359901</v>
      </c>
      <c r="AE1669">
        <v>-0.91960000000000197</v>
      </c>
      <c r="AF1669">
        <v>-0.36022096482614202</v>
      </c>
      <c r="AG1669">
        <v>-1.1071650621359901</v>
      </c>
      <c r="AH1669">
        <v>16.189302442162798</v>
      </c>
      <c r="AI1669">
        <v>93.911326078048504</v>
      </c>
      <c r="AJ1669">
        <v>91.274652567869694</v>
      </c>
      <c r="AK1669">
        <v>16.231114785563399</v>
      </c>
      <c r="AL1669">
        <v>92.194142930584107</v>
      </c>
      <c r="AM1669">
        <v>92.155816506870394</v>
      </c>
      <c r="AN1669">
        <v>1.0000000237745601</v>
      </c>
    </row>
    <row r="1670" spans="1:40" x14ac:dyDescent="0.25">
      <c r="A1670" t="str">
        <f>"20190312151530800"</f>
        <v>20190312151530800</v>
      </c>
      <c r="B1670" t="str">
        <f>"1552374930789585"</f>
        <v>1552374930789585</v>
      </c>
      <c r="C1670" t="s">
        <v>40</v>
      </c>
      <c r="D1670">
        <v>4.8067869999999999</v>
      </c>
      <c r="E1670">
        <v>0.50650989999999996</v>
      </c>
      <c r="F1670" t="s">
        <v>51</v>
      </c>
      <c r="G1670">
        <v>-246.9228</v>
      </c>
      <c r="H1670" s="1">
        <v>2.1471990000000001E-6</v>
      </c>
      <c r="I1670">
        <v>279.82859999999999</v>
      </c>
      <c r="J1670">
        <v>-230.56319999999999</v>
      </c>
      <c r="K1670">
        <v>1.107037</v>
      </c>
      <c r="L1670">
        <v>280.73070000000001</v>
      </c>
      <c r="M1670">
        <v>-0.99945859999999997</v>
      </c>
      <c r="N1670">
        <v>0</v>
      </c>
      <c r="O1670">
        <v>-3.2514910000000001E-2</v>
      </c>
      <c r="P1670">
        <v>-0.99656520000000004</v>
      </c>
      <c r="Q1670">
        <v>-4.3407010000000003E-2</v>
      </c>
      <c r="R1670">
        <v>-7.0522650000000006E-2</v>
      </c>
      <c r="S1670">
        <v>-2.990173</v>
      </c>
      <c r="T1670">
        <v>-0.19900699999999999</v>
      </c>
      <c r="U1670">
        <v>-0.16354369999999999</v>
      </c>
      <c r="V1670">
        <v>-3.821153E-2</v>
      </c>
      <c r="W1670">
        <v>-3.8250010000000001E-2</v>
      </c>
      <c r="X1670">
        <v>0.99853740000000002</v>
      </c>
      <c r="Y1670">
        <v>-2.2139280000000001E-2</v>
      </c>
      <c r="Z1670">
        <v>1.4238860000000001E-3</v>
      </c>
      <c r="AA1670">
        <v>0.99975389999999997</v>
      </c>
      <c r="AB1670">
        <v>29</v>
      </c>
      <c r="AC1670">
        <v>-16.3596</v>
      </c>
      <c r="AD1670">
        <v>-1.1070348528009999</v>
      </c>
      <c r="AE1670">
        <v>-0.902100000000018</v>
      </c>
      <c r="AF1670">
        <v>-0.36800534196699802</v>
      </c>
      <c r="AG1670">
        <v>-1.1070348528009999</v>
      </c>
      <c r="AH1670">
        <v>16.305842480420399</v>
      </c>
      <c r="AI1670">
        <v>93.882974225343403</v>
      </c>
      <c r="AJ1670">
        <v>91.292884688387005</v>
      </c>
      <c r="AK1670">
        <v>16.3475213134382</v>
      </c>
      <c r="AL1670">
        <v>92.192098755558703</v>
      </c>
      <c r="AM1670">
        <v>92.191496918714705</v>
      </c>
      <c r="AN1670">
        <v>1.0000000617443401</v>
      </c>
    </row>
    <row r="1671" spans="1:40" x14ac:dyDescent="0.25">
      <c r="A1671" t="str">
        <f>"20190312151530824"</f>
        <v>20190312151530824</v>
      </c>
      <c r="B1671" t="str">
        <f>"1552374930818862"</f>
        <v>1552374930818862</v>
      </c>
      <c r="C1671" t="s">
        <v>40</v>
      </c>
      <c r="D1671">
        <v>4.8083939999999998</v>
      </c>
      <c r="E1671">
        <v>0.50648219999999999</v>
      </c>
      <c r="F1671" t="s">
        <v>51</v>
      </c>
      <c r="G1671">
        <v>-247.18039999999999</v>
      </c>
      <c r="H1671" s="1">
        <v>2.2842679999999998E-6</v>
      </c>
      <c r="I1671">
        <v>279.839</v>
      </c>
      <c r="J1671">
        <v>-230.8784</v>
      </c>
      <c r="K1671">
        <v>1.106894</v>
      </c>
      <c r="L1671">
        <v>280.72250000000003</v>
      </c>
      <c r="M1671">
        <v>-0.99952839999999998</v>
      </c>
      <c r="N1671">
        <v>0</v>
      </c>
      <c r="O1671">
        <v>-3.0290359999999999E-2</v>
      </c>
      <c r="P1671">
        <v>-0.99665959999999998</v>
      </c>
      <c r="Q1671">
        <v>-4.3562900000000002E-2</v>
      </c>
      <c r="R1671">
        <v>-6.9079219999999997E-2</v>
      </c>
      <c r="S1671">
        <v>-2.9903110000000002</v>
      </c>
      <c r="T1671">
        <v>-0.19921410000000001</v>
      </c>
      <c r="U1671">
        <v>-0.1604614</v>
      </c>
      <c r="V1671">
        <v>-3.900124E-2</v>
      </c>
      <c r="W1671">
        <v>-3.8378790000000003E-2</v>
      </c>
      <c r="X1671">
        <v>0.99850179999999999</v>
      </c>
      <c r="Y1671">
        <v>-2.3326920000000001E-2</v>
      </c>
      <c r="Z1671">
        <v>1.238046E-3</v>
      </c>
      <c r="AA1671">
        <v>0.99972709999999998</v>
      </c>
      <c r="AB1671">
        <v>29</v>
      </c>
      <c r="AC1671">
        <v>-16.3019999999999</v>
      </c>
      <c r="AD1671">
        <v>-1.106891715732</v>
      </c>
      <c r="AE1671">
        <v>-0.88350000000002604</v>
      </c>
      <c r="AF1671">
        <v>-0.38751353197447702</v>
      </c>
      <c r="AG1671">
        <v>-1.106891715732</v>
      </c>
      <c r="AH1671">
        <v>16.2465991548858</v>
      </c>
      <c r="AI1671">
        <v>93.896472011909793</v>
      </c>
      <c r="AJ1671">
        <v>91.366358619333198</v>
      </c>
      <c r="AK1671">
        <v>16.288872278563499</v>
      </c>
      <c r="AL1671">
        <v>92.199483003171196</v>
      </c>
      <c r="AM1671">
        <v>92.236822273920595</v>
      </c>
      <c r="AN1671">
        <v>0.99999993642331797</v>
      </c>
    </row>
    <row r="1672" spans="1:40" x14ac:dyDescent="0.25">
      <c r="A1672" t="str">
        <f>"20190312151530847"</f>
        <v>20190312151530847</v>
      </c>
      <c r="B1672" t="str">
        <f>"1552374930839358"</f>
        <v>1552374930839358</v>
      </c>
      <c r="C1672" t="s">
        <v>40</v>
      </c>
      <c r="D1672">
        <v>5.0467430000000002</v>
      </c>
      <c r="E1672">
        <v>0.50646910000000001</v>
      </c>
      <c r="F1672" t="s">
        <v>51</v>
      </c>
      <c r="G1672">
        <v>-247.37899999999999</v>
      </c>
      <c r="H1672" s="1">
        <v>2.3899359999999999E-6</v>
      </c>
      <c r="I1672">
        <v>279.86070000000001</v>
      </c>
      <c r="J1672">
        <v>-231.1833</v>
      </c>
      <c r="K1672">
        <v>1.106754</v>
      </c>
      <c r="L1672">
        <v>280.71559999999999</v>
      </c>
      <c r="M1672">
        <v>-0.99959640000000005</v>
      </c>
      <c r="N1672">
        <v>0</v>
      </c>
      <c r="O1672">
        <v>-2.7961440000000001E-2</v>
      </c>
      <c r="P1672">
        <v>-0.9967973</v>
      </c>
      <c r="Q1672">
        <v>-4.359474E-2</v>
      </c>
      <c r="R1672">
        <v>-6.7045380000000002E-2</v>
      </c>
      <c r="S1672">
        <v>-2.9904630000000001</v>
      </c>
      <c r="T1672">
        <v>-0.2006068</v>
      </c>
      <c r="U1672">
        <v>-0.15618899999999999</v>
      </c>
      <c r="V1672">
        <v>-3.9303100000000001E-2</v>
      </c>
      <c r="W1672">
        <v>-3.8383559999999997E-2</v>
      </c>
      <c r="X1672">
        <v>0.99848990000000004</v>
      </c>
      <c r="Y1672">
        <v>-2.4222170000000001E-2</v>
      </c>
      <c r="Z1672">
        <v>1.0608620000000001E-3</v>
      </c>
      <c r="AA1672">
        <v>0.99970599999999998</v>
      </c>
      <c r="AB1672">
        <v>29</v>
      </c>
      <c r="AC1672">
        <v>-16.195699999999999</v>
      </c>
      <c r="AD1672">
        <v>-1.106751610064</v>
      </c>
      <c r="AE1672">
        <v>-0.854899999999986</v>
      </c>
      <c r="AF1672">
        <v>-0.399842919583073</v>
      </c>
      <c r="AG1672">
        <v>-1.106751610064</v>
      </c>
      <c r="AH1672">
        <v>16.138119059277798</v>
      </c>
      <c r="AI1672">
        <v>93.921999749025503</v>
      </c>
      <c r="AJ1672">
        <v>91.419287195687204</v>
      </c>
      <c r="AK1672">
        <v>16.180965986557901</v>
      </c>
      <c r="AL1672">
        <v>92.199756242687599</v>
      </c>
      <c r="AM1672">
        <v>92.254143774869505</v>
      </c>
      <c r="AN1672">
        <v>1.00000005587494</v>
      </c>
    </row>
    <row r="1673" spans="1:40" x14ac:dyDescent="0.25">
      <c r="A1673" t="str">
        <f>"20190312151530870"</f>
        <v>20190312151530870</v>
      </c>
      <c r="B1673" t="str">
        <f>"1552374930859856"</f>
        <v>1552374930859856</v>
      </c>
      <c r="C1673" t="s">
        <v>40</v>
      </c>
      <c r="D1673">
        <v>4.84938</v>
      </c>
      <c r="E1673">
        <v>0.50649429999999995</v>
      </c>
      <c r="F1673" t="s">
        <v>51</v>
      </c>
      <c r="G1673">
        <v>-247.643</v>
      </c>
      <c r="H1673" s="1">
        <v>2.5304150000000001E-6</v>
      </c>
      <c r="I1673">
        <v>279.88869999999997</v>
      </c>
      <c r="J1673">
        <v>-231.48650000000001</v>
      </c>
      <c r="K1673">
        <v>1.106611</v>
      </c>
      <c r="L1673">
        <v>280.70940000000002</v>
      </c>
      <c r="M1673">
        <v>-0.99966259999999996</v>
      </c>
      <c r="N1673">
        <v>0</v>
      </c>
      <c r="O1673">
        <v>-2.5477010000000001E-2</v>
      </c>
      <c r="P1673">
        <v>-0.99701519999999999</v>
      </c>
      <c r="Q1673">
        <v>-4.3085980000000003E-2</v>
      </c>
      <c r="R1673">
        <v>-6.4062930000000004E-2</v>
      </c>
      <c r="S1673">
        <v>-2.9907530000000002</v>
      </c>
      <c r="T1673">
        <v>-0.20109840000000001</v>
      </c>
      <c r="U1673">
        <v>-0.15023800000000001</v>
      </c>
      <c r="V1673">
        <v>-3.8808250000000002E-2</v>
      </c>
      <c r="W1673">
        <v>-3.7849140000000003E-2</v>
      </c>
      <c r="X1673">
        <v>0.99852960000000002</v>
      </c>
      <c r="Y1673">
        <v>-2.47111E-2</v>
      </c>
      <c r="Z1673">
        <v>8.8034899999999902E-4</v>
      </c>
      <c r="AA1673">
        <v>0.99969419999999998</v>
      </c>
      <c r="AB1673">
        <v>29</v>
      </c>
      <c r="AC1673">
        <v>-16.156499999999902</v>
      </c>
      <c r="AD1673">
        <v>-1.106608469585</v>
      </c>
      <c r="AE1673">
        <v>-0.82070000000004395</v>
      </c>
      <c r="AF1673">
        <v>-0.40690501674566099</v>
      </c>
      <c r="AG1673">
        <v>-1.106608469585</v>
      </c>
      <c r="AH1673">
        <v>16.096844041981601</v>
      </c>
      <c r="AI1673">
        <v>93.931468727942402</v>
      </c>
      <c r="AJ1673">
        <v>91.448046340779499</v>
      </c>
      <c r="AK1673">
        <v>16.1399672276461</v>
      </c>
      <c r="AL1673">
        <v>92.1691140875824</v>
      </c>
      <c r="AM1673">
        <v>92.225703051569297</v>
      </c>
      <c r="AN1673">
        <v>0.99999999987148103</v>
      </c>
    </row>
    <row r="1674" spans="1:40" x14ac:dyDescent="0.25">
      <c r="A1674" t="str">
        <f>"20190312151530893"</f>
        <v>20190312151530893</v>
      </c>
      <c r="B1674" t="str">
        <f>"1552374930889134"</f>
        <v>1552374930889134</v>
      </c>
      <c r="C1674" t="s">
        <v>40</v>
      </c>
      <c r="D1674">
        <v>4.7928579999999998</v>
      </c>
      <c r="E1674">
        <v>0.53936669999999998</v>
      </c>
      <c r="F1674" t="s">
        <v>51</v>
      </c>
      <c r="G1674">
        <v>-248.01679999999999</v>
      </c>
      <c r="H1674" s="1">
        <v>2.7293580000000002E-6</v>
      </c>
      <c r="I1674">
        <v>279.92959999999999</v>
      </c>
      <c r="J1674">
        <v>-231.78100000000001</v>
      </c>
      <c r="K1674">
        <v>1.1064780000000001</v>
      </c>
      <c r="L1674">
        <v>280.70440000000002</v>
      </c>
      <c r="M1674">
        <v>-0.99972459999999996</v>
      </c>
      <c r="N1674">
        <v>0</v>
      </c>
      <c r="O1674">
        <v>-2.2914179999999999E-2</v>
      </c>
      <c r="P1674">
        <v>-0.99726389999999998</v>
      </c>
      <c r="Q1674">
        <v>-4.2396999999999997E-2</v>
      </c>
      <c r="R1674">
        <v>-6.0561440000000001E-2</v>
      </c>
      <c r="S1674">
        <v>-2.9912570000000001</v>
      </c>
      <c r="T1674">
        <v>-0.20024700000000001</v>
      </c>
      <c r="U1674">
        <v>-0.141113299999999</v>
      </c>
      <c r="V1674">
        <v>-3.787078E-2</v>
      </c>
      <c r="W1674">
        <v>-3.713661E-2</v>
      </c>
      <c r="X1674">
        <v>0.99859240000000005</v>
      </c>
      <c r="Y1674">
        <v>-2.4218529999999999E-2</v>
      </c>
      <c r="Z1674">
        <v>7.2182959999999999E-4</v>
      </c>
      <c r="AA1674">
        <v>0.9997064</v>
      </c>
      <c r="AB1674">
        <v>29</v>
      </c>
      <c r="AC1674">
        <v>-16.235800000000001</v>
      </c>
      <c r="AD1674">
        <v>-1.106475270642</v>
      </c>
      <c r="AE1674">
        <v>-0.77480000000002702</v>
      </c>
      <c r="AF1674">
        <v>-0.40070490952063298</v>
      </c>
      <c r="AG1674">
        <v>-1.106475270642</v>
      </c>
      <c r="AH1674">
        <v>16.174340555023999</v>
      </c>
      <c r="AI1674">
        <v>93.912270144832206</v>
      </c>
      <c r="AJ1674">
        <v>91.419161713505005</v>
      </c>
      <c r="AK1674">
        <v>16.217094201457599</v>
      </c>
      <c r="AL1674">
        <v>92.128260288315701</v>
      </c>
      <c r="AM1674">
        <v>92.171853609027806</v>
      </c>
      <c r="AN1674">
        <v>1.0000000525589201</v>
      </c>
    </row>
    <row r="1675" spans="1:40" x14ac:dyDescent="0.25">
      <c r="A1675" t="str">
        <f>"20190312151530913"</f>
        <v>20190312151530913</v>
      </c>
      <c r="B1675" t="str">
        <f>"1552374930909630"</f>
        <v>1552374930909630</v>
      </c>
      <c r="C1675" t="s">
        <v>40</v>
      </c>
      <c r="D1675">
        <v>4.8166520000000004</v>
      </c>
      <c r="E1675">
        <v>0.54118549999999999</v>
      </c>
      <c r="F1675" t="s">
        <v>51</v>
      </c>
      <c r="G1675">
        <v>-249.40170000000001</v>
      </c>
      <c r="H1675" s="1">
        <v>3.4663120000000001E-6</v>
      </c>
      <c r="I1675">
        <v>281.47199999999998</v>
      </c>
      <c r="J1675">
        <v>-232.05869999999999</v>
      </c>
      <c r="K1675">
        <v>1.106352</v>
      </c>
      <c r="L1675">
        <v>280.7004</v>
      </c>
      <c r="M1675">
        <v>-0.99977959999999999</v>
      </c>
      <c r="N1675">
        <v>0</v>
      </c>
      <c r="O1675">
        <v>-2.0367380000000001E-2</v>
      </c>
      <c r="P1675">
        <v>-0.99746889999999999</v>
      </c>
      <c r="Q1675">
        <v>-4.2094230000000003E-2</v>
      </c>
      <c r="R1675">
        <v>-5.7307209999999997E-2</v>
      </c>
      <c r="S1675">
        <v>-3.0081479999999998</v>
      </c>
      <c r="T1675">
        <v>-0.1888938</v>
      </c>
      <c r="U1675">
        <v>0.13104250000000001</v>
      </c>
      <c r="V1675">
        <v>-3.7166009999999999E-2</v>
      </c>
      <c r="W1675">
        <v>-3.6811219999999999E-2</v>
      </c>
      <c r="X1675">
        <v>0.99863089999999999</v>
      </c>
      <c r="Y1675">
        <v>6.3695269999999998E-2</v>
      </c>
      <c r="Z1675">
        <v>3.2741100000000002E-3</v>
      </c>
      <c r="AA1675">
        <v>0.99796399999999996</v>
      </c>
      <c r="AB1675">
        <v>30</v>
      </c>
      <c r="AC1675">
        <v>-17.343</v>
      </c>
      <c r="AD1675">
        <v>-1.1063485336879999</v>
      </c>
      <c r="AE1675">
        <v>0.77159999999997797</v>
      </c>
      <c r="AF1675">
        <v>1.1201266951163</v>
      </c>
      <c r="AG1675">
        <v>-1.1063485336879999</v>
      </c>
      <c r="AH1675">
        <v>17.2536126888638</v>
      </c>
      <c r="AI1675">
        <v>93.661251508940197</v>
      </c>
      <c r="AJ1675">
        <v>86.285497150411103</v>
      </c>
      <c r="AK1675">
        <v>17.325294851991099</v>
      </c>
      <c r="AL1675">
        <v>92.109604114333905</v>
      </c>
      <c r="AM1675">
        <v>92.131391247057806</v>
      </c>
      <c r="AN1675">
        <v>1.000000026326</v>
      </c>
    </row>
    <row r="1676" spans="1:40" x14ac:dyDescent="0.25">
      <c r="A1676" t="str">
        <f>"20190312151530936"</f>
        <v>20190312151530936</v>
      </c>
      <c r="B1676" t="str">
        <f>"1552374930929151"</f>
        <v>1552374930929151</v>
      </c>
      <c r="C1676" t="s">
        <v>40</v>
      </c>
      <c r="D1676">
        <v>4.7937659999999997</v>
      </c>
      <c r="E1676">
        <v>0.54168700000000003</v>
      </c>
      <c r="F1676" t="s">
        <v>41</v>
      </c>
      <c r="G1676">
        <v>-233.05690000000001</v>
      </c>
      <c r="H1676">
        <v>1.0468219999999999</v>
      </c>
      <c r="I1676">
        <v>280.75229999999999</v>
      </c>
      <c r="J1676">
        <v>-232.381</v>
      </c>
      <c r="K1676">
        <v>1.106217</v>
      </c>
      <c r="L1676">
        <v>280.697</v>
      </c>
      <c r="M1676">
        <v>-0.9998378</v>
      </c>
      <c r="N1676">
        <v>0</v>
      </c>
      <c r="O1676">
        <v>-1.7268329999999998E-2</v>
      </c>
      <c r="P1676">
        <v>-0.99762490000000004</v>
      </c>
      <c r="Q1676">
        <v>-4.2555589999999997E-2</v>
      </c>
      <c r="R1676">
        <v>-5.4164039999999997E-2</v>
      </c>
      <c r="S1676">
        <v>-3.008972</v>
      </c>
      <c r="T1676">
        <v>-0.179484</v>
      </c>
      <c r="U1676">
        <v>0.15548709999999999</v>
      </c>
      <c r="V1676">
        <v>-3.7129229999999999E-2</v>
      </c>
      <c r="W1676">
        <v>-3.724392E-2</v>
      </c>
      <c r="X1676">
        <v>0.99861619999999995</v>
      </c>
      <c r="Y1676">
        <v>6.8691059999999998E-2</v>
      </c>
      <c r="Z1676">
        <v>3.0740569999999998E-3</v>
      </c>
      <c r="AA1676">
        <v>0.9976332</v>
      </c>
      <c r="AB1676">
        <v>30</v>
      </c>
      <c r="AC1676">
        <v>-0.67590000000004102</v>
      </c>
      <c r="AD1676">
        <v>-5.9395000000000003E-2</v>
      </c>
      <c r="AE1676">
        <v>5.5299999999988303E-2</v>
      </c>
      <c r="AF1676">
        <v>6.6453820947886294E-2</v>
      </c>
      <c r="AG1676">
        <v>-5.9395000000000003E-2</v>
      </c>
      <c r="AH1676">
        <v>0.66970711282996098</v>
      </c>
      <c r="AI1676">
        <v>95.043548660982694</v>
      </c>
      <c r="AJ1676">
        <v>84.333194131904193</v>
      </c>
      <c r="AK1676">
        <v>0.67561193988754797</v>
      </c>
      <c r="AL1676">
        <v>92.134413062242103</v>
      </c>
      <c r="AM1676">
        <v>92.129315250125302</v>
      </c>
      <c r="AN1676">
        <v>1.00000000209989</v>
      </c>
    </row>
    <row r="1677" spans="1:40" x14ac:dyDescent="0.25">
      <c r="A1677" t="str">
        <f>"20190312151530959"</f>
        <v>20190312151530959</v>
      </c>
      <c r="B1677" t="str">
        <f>"1552374930949647"</f>
        <v>1552374930949647</v>
      </c>
      <c r="C1677" t="s">
        <v>40</v>
      </c>
      <c r="D1677">
        <v>4.7462</v>
      </c>
      <c r="E1677">
        <v>0.54182069999999904</v>
      </c>
      <c r="F1677" t="s">
        <v>41</v>
      </c>
      <c r="G1677">
        <v>-233.32859999999999</v>
      </c>
      <c r="H1677">
        <v>1.0500419999999999</v>
      </c>
      <c r="I1677">
        <v>280.75020000000001</v>
      </c>
      <c r="J1677">
        <v>-232.66909999999999</v>
      </c>
      <c r="K1677">
        <v>1.1061179999999999</v>
      </c>
      <c r="L1677">
        <v>280.69479999999999</v>
      </c>
      <c r="M1677">
        <v>-0.99988310000000002</v>
      </c>
      <c r="N1677">
        <v>0</v>
      </c>
      <c r="O1677">
        <v>-1.44095E-2</v>
      </c>
      <c r="P1677">
        <v>-0.99779980000000001</v>
      </c>
      <c r="Q1677">
        <v>-4.2599650000000003E-2</v>
      </c>
      <c r="R1677">
        <v>-5.0806209999999997E-2</v>
      </c>
      <c r="S1677">
        <v>-3.0086819999999999</v>
      </c>
      <c r="T1677">
        <v>-0.17839659999999999</v>
      </c>
      <c r="U1677">
        <v>0.16897579999999901</v>
      </c>
      <c r="V1677">
        <v>-3.6632539999999998E-2</v>
      </c>
      <c r="W1677">
        <v>-3.7266849999999997E-2</v>
      </c>
      <c r="X1677">
        <v>0.99863369999999996</v>
      </c>
      <c r="Y1677">
        <v>7.0307209999999995E-2</v>
      </c>
      <c r="Z1677">
        <v>2.9339819999999999E-3</v>
      </c>
      <c r="AA1677">
        <v>0.99752099999999999</v>
      </c>
      <c r="AB1677">
        <v>30</v>
      </c>
      <c r="AC1677">
        <v>-0.65950000000000797</v>
      </c>
      <c r="AD1677">
        <v>-5.6076000000000001E-2</v>
      </c>
      <c r="AE1677">
        <v>5.54000000000201E-2</v>
      </c>
      <c r="AF1677">
        <v>6.44348527139285E-2</v>
      </c>
      <c r="AG1677">
        <v>-5.6076000000000001E-2</v>
      </c>
      <c r="AH1677">
        <v>0.65393853397733004</v>
      </c>
      <c r="AI1677">
        <v>94.877684462355504</v>
      </c>
      <c r="AJ1677">
        <v>84.372611207115597</v>
      </c>
      <c r="AK1677">
        <v>0.65949372570228804</v>
      </c>
      <c r="AL1677">
        <v>92.135727741871904</v>
      </c>
      <c r="AM1677">
        <v>92.100819609684606</v>
      </c>
      <c r="AN1677">
        <v>1.0000000139357299</v>
      </c>
    </row>
    <row r="1678" spans="1:40" x14ac:dyDescent="0.25">
      <c r="A1678" t="str">
        <f>"20190312151530981"</f>
        <v>20190312151530981</v>
      </c>
      <c r="B1678" t="str">
        <f>"1552374930969166"</f>
        <v>1552374930969166</v>
      </c>
      <c r="C1678" t="s">
        <v>40</v>
      </c>
      <c r="D1678">
        <v>5.1477180000000002</v>
      </c>
      <c r="E1678">
        <v>0.54158169999999894</v>
      </c>
      <c r="F1678" t="s">
        <v>41</v>
      </c>
      <c r="G1678">
        <v>-233.59989999999999</v>
      </c>
      <c r="H1678">
        <v>1.050969</v>
      </c>
      <c r="I1678">
        <v>280.75069999999999</v>
      </c>
      <c r="J1678">
        <v>-232.97829999999999</v>
      </c>
      <c r="K1678">
        <v>1.1060270000000001</v>
      </c>
      <c r="L1678">
        <v>280.6934</v>
      </c>
      <c r="M1678">
        <v>-0.99992329999999996</v>
      </c>
      <c r="N1678">
        <v>0</v>
      </c>
      <c r="O1678">
        <v>-1.126315E-2</v>
      </c>
      <c r="P1678">
        <v>-0.99795579999999995</v>
      </c>
      <c r="Q1678">
        <v>-4.3011260000000003E-2</v>
      </c>
      <c r="R1678">
        <v>-4.7268249999999998E-2</v>
      </c>
      <c r="S1678">
        <v>-3.008194</v>
      </c>
      <c r="T1678">
        <v>-0.1781828</v>
      </c>
      <c r="U1678">
        <v>0.18029790000000001</v>
      </c>
      <c r="V1678">
        <v>-3.6244869999999998E-2</v>
      </c>
      <c r="W1678">
        <v>-3.7657210000000003E-2</v>
      </c>
      <c r="X1678">
        <v>0.9986332</v>
      </c>
      <c r="Y1678">
        <v>7.0923990000000006E-2</v>
      </c>
      <c r="Z1678">
        <v>2.762806E-3</v>
      </c>
      <c r="AA1678">
        <v>0.99747790000000003</v>
      </c>
      <c r="AB1678">
        <v>30</v>
      </c>
      <c r="AC1678">
        <v>-0.62160000000000004</v>
      </c>
      <c r="AD1678">
        <v>-5.5058000000000003E-2</v>
      </c>
      <c r="AE1678">
        <v>5.7299999999997901E-2</v>
      </c>
      <c r="AF1678">
        <v>6.3801298735383996E-2</v>
      </c>
      <c r="AG1678">
        <v>-5.5058000000000003E-2</v>
      </c>
      <c r="AH1678">
        <v>0.61612214495235895</v>
      </c>
      <c r="AI1678">
        <v>95.079491658205995</v>
      </c>
      <c r="AJ1678">
        <v>84.087922022981402</v>
      </c>
      <c r="AK1678">
        <v>0.62185889604074795</v>
      </c>
      <c r="AL1678">
        <v>92.158109436935703</v>
      </c>
      <c r="AM1678">
        <v>92.078607979633603</v>
      </c>
      <c r="AN1678">
        <v>1.00000001210427</v>
      </c>
    </row>
    <row r="1679" spans="1:40" x14ac:dyDescent="0.25">
      <c r="A1679" t="str">
        <f>"20190312151531002"</f>
        <v>20190312151531002</v>
      </c>
      <c r="B1679" t="str">
        <f>"1552374930999422"</f>
        <v>1552374930999422</v>
      </c>
      <c r="C1679" t="s">
        <v>40</v>
      </c>
      <c r="D1679">
        <v>4.6737320000000002</v>
      </c>
      <c r="E1679">
        <v>0.54100280000000001</v>
      </c>
      <c r="F1679" t="s">
        <v>41</v>
      </c>
      <c r="G1679">
        <v>-233.8749</v>
      </c>
      <c r="H1679">
        <v>1.0548230000000001</v>
      </c>
      <c r="I1679">
        <v>280.74979999999999</v>
      </c>
      <c r="J1679">
        <v>-233.2681</v>
      </c>
      <c r="K1679">
        <v>1.105952</v>
      </c>
      <c r="L1679">
        <v>280.69299999999998</v>
      </c>
      <c r="M1679">
        <v>-0.99995270000000003</v>
      </c>
      <c r="N1679">
        <v>0</v>
      </c>
      <c r="O1679">
        <v>-8.2544819999999901E-3</v>
      </c>
      <c r="P1679">
        <v>-0.99807959999999996</v>
      </c>
      <c r="Q1679">
        <v>-4.340215E-2</v>
      </c>
      <c r="R1679">
        <v>-4.4203079999999999E-2</v>
      </c>
      <c r="S1679">
        <v>-3.0076900000000002</v>
      </c>
      <c r="T1679">
        <v>-0.1717795</v>
      </c>
      <c r="U1679">
        <v>0.1890259</v>
      </c>
      <c r="V1679">
        <v>-3.6191500000000001E-2</v>
      </c>
      <c r="W1679">
        <v>-3.8027579999999998E-2</v>
      </c>
      <c r="X1679">
        <v>0.99862110000000004</v>
      </c>
      <c r="Y1679">
        <v>7.0831569999999996E-2</v>
      </c>
      <c r="Z1679">
        <v>2.4897109999999999E-3</v>
      </c>
      <c r="AA1679">
        <v>0.99748519999999896</v>
      </c>
      <c r="AB1679">
        <v>30</v>
      </c>
      <c r="AC1679">
        <v>-0.60679999999999201</v>
      </c>
      <c r="AD1679">
        <v>-5.1128999999999897E-2</v>
      </c>
      <c r="AE1679">
        <v>5.6800000000009697E-2</v>
      </c>
      <c r="AF1679">
        <v>6.1374988194367E-2</v>
      </c>
      <c r="AG1679">
        <v>-5.1128999999999897E-2</v>
      </c>
      <c r="AH1679">
        <v>0.60207302253833705</v>
      </c>
      <c r="AI1679">
        <v>94.829095687596407</v>
      </c>
      <c r="AJ1679">
        <v>84.179406473424194</v>
      </c>
      <c r="AK1679">
        <v>0.60734914858366895</v>
      </c>
      <c r="AL1679">
        <v>92.179345286921901</v>
      </c>
      <c r="AM1679">
        <v>92.075575067884301</v>
      </c>
      <c r="AN1679">
        <v>1.0000000114390499</v>
      </c>
    </row>
    <row r="1680" spans="1:40" x14ac:dyDescent="0.25">
      <c r="A1680" t="str">
        <f>"20190312151531024"</f>
        <v>20190312151531024</v>
      </c>
      <c r="B1680" t="str">
        <f>"1552374931018942"</f>
        <v>1552374931018942</v>
      </c>
      <c r="C1680" t="s">
        <v>40</v>
      </c>
      <c r="D1680">
        <v>4.6913660000000004</v>
      </c>
      <c r="E1680">
        <v>0.54054139999999995</v>
      </c>
      <c r="F1680" t="s">
        <v>41</v>
      </c>
      <c r="G1680">
        <v>-234.148</v>
      </c>
      <c r="H1680">
        <v>1.0553060000000001</v>
      </c>
      <c r="I1680">
        <v>280.74979999999999</v>
      </c>
      <c r="J1680">
        <v>-233.5694</v>
      </c>
      <c r="K1680">
        <v>1.105882</v>
      </c>
      <c r="L1680">
        <v>280.6936</v>
      </c>
      <c r="M1680">
        <v>-0.99997369999999997</v>
      </c>
      <c r="N1680">
        <v>0</v>
      </c>
      <c r="O1680">
        <v>-5.0792800000000003E-3</v>
      </c>
      <c r="P1680">
        <v>-0.99818430000000002</v>
      </c>
      <c r="Q1680">
        <v>-4.373871E-2</v>
      </c>
      <c r="R1680">
        <v>-4.1413680000000001E-2</v>
      </c>
      <c r="S1680">
        <v>-3.0068049999999999</v>
      </c>
      <c r="T1680">
        <v>-0.17311499999999999</v>
      </c>
      <c r="U1680">
        <v>0.19375609999999999</v>
      </c>
      <c r="V1680">
        <v>-3.657962E-2</v>
      </c>
      <c r="W1680">
        <v>-3.8340659999999999E-2</v>
      </c>
      <c r="X1680">
        <v>0.99859500000000001</v>
      </c>
      <c r="Y1680">
        <v>6.9251229999999997E-2</v>
      </c>
      <c r="Z1680">
        <v>2.281749E-3</v>
      </c>
      <c r="AA1680">
        <v>0.99759659999999994</v>
      </c>
      <c r="AB1680">
        <v>30</v>
      </c>
      <c r="AC1680">
        <v>-0.57859999999999401</v>
      </c>
      <c r="AD1680">
        <v>-5.05760000000001E-2</v>
      </c>
      <c r="AE1680">
        <v>5.61999999999898E-2</v>
      </c>
      <c r="AF1680">
        <v>5.8693915729689197E-2</v>
      </c>
      <c r="AG1680">
        <v>-5.05760000000001E-2</v>
      </c>
      <c r="AH1680">
        <v>0.57396259896694501</v>
      </c>
      <c r="AI1680">
        <v>95.0097471784117</v>
      </c>
      <c r="AJ1680">
        <v>84.161179928535205</v>
      </c>
      <c r="AK1680">
        <v>0.57916834558923702</v>
      </c>
      <c r="AL1680">
        <v>92.197296512390494</v>
      </c>
      <c r="AM1680">
        <v>92.097868668820098</v>
      </c>
      <c r="AN1680">
        <v>1.0000000244167799</v>
      </c>
    </row>
    <row r="1681" spans="1:40" x14ac:dyDescent="0.25">
      <c r="A1681" t="str">
        <f>"20190312151531046"</f>
        <v>20190312151531046</v>
      </c>
      <c r="B1681" t="str">
        <f>"1552374931039438"</f>
        <v>1552374931039438</v>
      </c>
      <c r="C1681" t="s">
        <v>40</v>
      </c>
      <c r="D1681">
        <v>4.6531940000000001</v>
      </c>
      <c r="E1681">
        <v>0.54047309999999904</v>
      </c>
      <c r="F1681" t="s">
        <v>41</v>
      </c>
      <c r="G1681">
        <v>-234.42269999999999</v>
      </c>
      <c r="H1681">
        <v>1.0564659999999999</v>
      </c>
      <c r="I1681">
        <v>280.74990000000003</v>
      </c>
      <c r="J1681">
        <v>-233.86969999999999</v>
      </c>
      <c r="K1681">
        <v>1.1058269999999999</v>
      </c>
      <c r="L1681">
        <v>280.6952</v>
      </c>
      <c r="M1681">
        <v>-0.99998480000000001</v>
      </c>
      <c r="N1681">
        <v>0</v>
      </c>
      <c r="O1681">
        <v>-1.8826170000000001E-3</v>
      </c>
      <c r="P1681">
        <v>-0.99834290000000003</v>
      </c>
      <c r="Q1681">
        <v>-4.3394340000000003E-2</v>
      </c>
      <c r="R1681">
        <v>-3.7796139999999999E-2</v>
      </c>
      <c r="S1681">
        <v>-3.0060419999999999</v>
      </c>
      <c r="T1681">
        <v>-0.17411989999999999</v>
      </c>
      <c r="U1681">
        <v>0.19851679999999999</v>
      </c>
      <c r="V1681">
        <v>-3.6156340000000002E-2</v>
      </c>
      <c r="W1681">
        <v>-3.7978159999999997E-2</v>
      </c>
      <c r="X1681">
        <v>0.99862430000000002</v>
      </c>
      <c r="Y1681">
        <v>6.7658129999999997E-2</v>
      </c>
      <c r="Z1681">
        <v>2.0645669999999998E-3</v>
      </c>
      <c r="AA1681">
        <v>0.99770639999999999</v>
      </c>
      <c r="AB1681">
        <v>30</v>
      </c>
      <c r="AC1681">
        <v>-0.55299999999999705</v>
      </c>
      <c r="AD1681">
        <v>-4.9361000000000203E-2</v>
      </c>
      <c r="AE1681">
        <v>5.4700000000025201E-2</v>
      </c>
      <c r="AF1681">
        <v>5.5304638516588601E-2</v>
      </c>
      <c r="AG1681">
        <v>-4.9361000000000203E-2</v>
      </c>
      <c r="AH1681">
        <v>0.54856771984394204</v>
      </c>
      <c r="AI1681">
        <v>95.115924051759393</v>
      </c>
      <c r="AJ1681">
        <v>84.243095834515103</v>
      </c>
      <c r="AK1681">
        <v>0.55355366010643703</v>
      </c>
      <c r="AL1681">
        <v>92.1765115832888</v>
      </c>
      <c r="AM1681">
        <v>92.073553771456901</v>
      </c>
      <c r="AN1681">
        <v>1.00000005705483</v>
      </c>
    </row>
    <row r="1682" spans="1:40" x14ac:dyDescent="0.25">
      <c r="A1682" t="str">
        <f>"20190312151531069"</f>
        <v>20190312151531069</v>
      </c>
      <c r="B1682" t="str">
        <f>"1552374931058958"</f>
        <v>1552374931058958</v>
      </c>
      <c r="C1682" t="s">
        <v>40</v>
      </c>
      <c r="D1682">
        <v>4.9181699999999999</v>
      </c>
      <c r="E1682">
        <v>0.54034979999999999</v>
      </c>
      <c r="F1682" t="s">
        <v>51</v>
      </c>
      <c r="G1682">
        <v>-253.85640000000001</v>
      </c>
      <c r="H1682" s="1">
        <v>5.1537299999999997E-7</v>
      </c>
      <c r="I1682">
        <v>282.08339999999998</v>
      </c>
      <c r="J1682">
        <v>-234.18870000000001</v>
      </c>
      <c r="K1682">
        <v>1.105774</v>
      </c>
      <c r="L1682">
        <v>280.69779999999997</v>
      </c>
      <c r="M1682">
        <v>-0.99998520000000002</v>
      </c>
      <c r="N1682">
        <v>0</v>
      </c>
      <c r="O1682">
        <v>1.5339310000000001E-3</v>
      </c>
      <c r="P1682">
        <v>-0.99847900000000001</v>
      </c>
      <c r="Q1682">
        <v>-4.3174129999999998E-2</v>
      </c>
      <c r="R1682">
        <v>-3.4291339999999997E-2</v>
      </c>
      <c r="S1682">
        <v>-3.005646</v>
      </c>
      <c r="T1682">
        <v>-0.1662971</v>
      </c>
      <c r="U1682">
        <v>0.20877080000000001</v>
      </c>
      <c r="V1682">
        <v>-3.6065239999999998E-2</v>
      </c>
      <c r="W1682">
        <v>-3.7737489999999999E-2</v>
      </c>
      <c r="X1682">
        <v>0.99863670000000004</v>
      </c>
      <c r="Y1682">
        <v>6.7661579999999999E-2</v>
      </c>
      <c r="Z1682">
        <v>1.7834189999999901E-3</v>
      </c>
      <c r="AA1682">
        <v>0.99770669999999995</v>
      </c>
      <c r="AB1682">
        <v>30</v>
      </c>
      <c r="AC1682">
        <v>-19.6677</v>
      </c>
      <c r="AD1682">
        <v>-1.105773484627</v>
      </c>
      <c r="AE1682">
        <v>1.3856000000000099</v>
      </c>
      <c r="AF1682">
        <v>1.3511790740651499</v>
      </c>
      <c r="AG1682">
        <v>-1.105773484627</v>
      </c>
      <c r="AH1682">
        <v>19.6081270270973</v>
      </c>
      <c r="AI1682">
        <v>93.220078297302294</v>
      </c>
      <c r="AJ1682">
        <v>86.058028950911705</v>
      </c>
      <c r="AK1682">
        <v>19.685707134880399</v>
      </c>
      <c r="AL1682">
        <v>92.162712355353506</v>
      </c>
      <c r="AM1682">
        <v>92.068308100946993</v>
      </c>
      <c r="AN1682">
        <v>1.0000000391373201</v>
      </c>
    </row>
    <row r="1683" spans="1:40" x14ac:dyDescent="0.25">
      <c r="A1683" t="str">
        <f>"20190312151531093"</f>
        <v>20190312151531093</v>
      </c>
      <c r="B1683" t="str">
        <f>"1552374931089214"</f>
        <v>1552374931089214</v>
      </c>
      <c r="C1683" t="s">
        <v>40</v>
      </c>
      <c r="D1683">
        <v>4.5638899999999998</v>
      </c>
      <c r="E1683">
        <v>0.53994379999999997</v>
      </c>
      <c r="F1683" t="s">
        <v>51</v>
      </c>
      <c r="G1683">
        <v>-254.89750000000001</v>
      </c>
      <c r="H1683" s="1">
        <v>1.069414E-6</v>
      </c>
      <c r="I1683">
        <v>282.20359999999999</v>
      </c>
      <c r="J1683">
        <v>-234.50319999999999</v>
      </c>
      <c r="K1683">
        <v>1.1057330000000001</v>
      </c>
      <c r="L1683">
        <v>280.70150000000001</v>
      </c>
      <c r="M1683">
        <v>-0.99997429999999998</v>
      </c>
      <c r="N1683">
        <v>0</v>
      </c>
      <c r="O1683">
        <v>4.9132960000000002E-3</v>
      </c>
      <c r="P1683">
        <v>-0.99859940000000003</v>
      </c>
      <c r="Q1683">
        <v>-4.29101E-2</v>
      </c>
      <c r="R1683">
        <v>-3.095852E-2</v>
      </c>
      <c r="S1683">
        <v>-3.0051269999999999</v>
      </c>
      <c r="T1683">
        <v>-0.16046270000000001</v>
      </c>
      <c r="U1683">
        <v>0.2185059</v>
      </c>
      <c r="V1683">
        <v>-3.6108960000000002E-2</v>
      </c>
      <c r="W1683">
        <v>-3.7453229999999997E-2</v>
      </c>
      <c r="X1683">
        <v>0.99864580000000003</v>
      </c>
      <c r="Y1683">
        <v>6.7529539999999999E-2</v>
      </c>
      <c r="Z1683">
        <v>1.5374500000000001E-3</v>
      </c>
      <c r="AA1683">
        <v>0.99771609999999999</v>
      </c>
      <c r="AB1683">
        <v>31</v>
      </c>
      <c r="AC1683">
        <v>-20.394300000000001</v>
      </c>
      <c r="AD1683">
        <v>-1.1057319305859901</v>
      </c>
      <c r="AE1683">
        <v>1.50209999999998</v>
      </c>
      <c r="AF1683">
        <v>1.3977905527924299</v>
      </c>
      <c r="AG1683">
        <v>-1.1057319305859901</v>
      </c>
      <c r="AH1683">
        <v>20.341960439724399</v>
      </c>
      <c r="AI1683">
        <v>93.104070674455997</v>
      </c>
      <c r="AJ1683">
        <v>86.069120000334905</v>
      </c>
      <c r="AK1683">
        <v>20.419887758337602</v>
      </c>
      <c r="AL1683">
        <v>92.146413981551504</v>
      </c>
      <c r="AM1683">
        <v>92.070794367313198</v>
      </c>
      <c r="AN1683">
        <v>1.0000000176436701</v>
      </c>
    </row>
    <row r="1684" spans="1:40" x14ac:dyDescent="0.25">
      <c r="A1684" t="str">
        <f>"20190312151531114"</f>
        <v>20190312151531114</v>
      </c>
      <c r="B1684" t="str">
        <f>"1552374931109711"</f>
        <v>1552374931109711</v>
      </c>
      <c r="C1684" t="s">
        <v>40</v>
      </c>
      <c r="D1684">
        <v>4.5594080000000003</v>
      </c>
      <c r="E1684">
        <v>0.53962169999999998</v>
      </c>
      <c r="F1684" t="s">
        <v>51</v>
      </c>
      <c r="G1684">
        <v>-256.40309999999999</v>
      </c>
      <c r="H1684" s="1">
        <v>1.870601E-6</v>
      </c>
      <c r="I1684">
        <v>282.34399999999999</v>
      </c>
      <c r="J1684">
        <v>-234.80189999999999</v>
      </c>
      <c r="K1684">
        <v>1.105704</v>
      </c>
      <c r="L1684">
        <v>280.70609999999999</v>
      </c>
      <c r="M1684">
        <v>-0.99995319999999999</v>
      </c>
      <c r="N1684">
        <v>0</v>
      </c>
      <c r="O1684">
        <v>8.1278069999999904E-3</v>
      </c>
      <c r="P1684">
        <v>-0.99872369999999999</v>
      </c>
      <c r="Q1684">
        <v>-4.213596E-2</v>
      </c>
      <c r="R1684">
        <v>-2.7850940000000001E-2</v>
      </c>
      <c r="S1684">
        <v>-3.0046689999999998</v>
      </c>
      <c r="T1684">
        <v>-0.1517066</v>
      </c>
      <c r="U1684">
        <v>0.22534179999999901</v>
      </c>
      <c r="V1684">
        <v>-3.620955E-2</v>
      </c>
      <c r="W1684">
        <v>-3.665997E-2</v>
      </c>
      <c r="X1684">
        <v>0.99867159999999999</v>
      </c>
      <c r="Y1684">
        <v>6.6605490000000003E-2</v>
      </c>
      <c r="Z1684">
        <v>1.2685319999999999E-3</v>
      </c>
      <c r="AA1684">
        <v>0.99777859999999996</v>
      </c>
      <c r="AB1684">
        <v>31</v>
      </c>
      <c r="AC1684">
        <v>-21.601199999999999</v>
      </c>
      <c r="AD1684">
        <v>-1.1057021293989999</v>
      </c>
      <c r="AE1684">
        <v>1.6378999999999999</v>
      </c>
      <c r="AF1684">
        <v>1.45847356956829</v>
      </c>
      <c r="AG1684">
        <v>-1.1057021293989999</v>
      </c>
      <c r="AH1684">
        <v>21.557638557255199</v>
      </c>
      <c r="AI1684">
        <v>92.929471484833897</v>
      </c>
      <c r="AJ1684">
        <v>86.129574517548804</v>
      </c>
      <c r="AK1684">
        <v>21.635191298376402</v>
      </c>
      <c r="AL1684">
        <v>92.100932277837799</v>
      </c>
      <c r="AM1684">
        <v>92.076504409263407</v>
      </c>
      <c r="AN1684">
        <v>1.0000000247790799</v>
      </c>
    </row>
    <row r="1685" spans="1:40" x14ac:dyDescent="0.25">
      <c r="A1685" t="str">
        <f>"20190312151531136"</f>
        <v>20190312151531136</v>
      </c>
      <c r="B1685" t="str">
        <f>"1552374931129231"</f>
        <v>1552374931129231</v>
      </c>
      <c r="C1685" t="s">
        <v>40</v>
      </c>
      <c r="D1685">
        <v>4.5159140000000004</v>
      </c>
      <c r="E1685">
        <v>0.53944019999999904</v>
      </c>
      <c r="F1685" t="s">
        <v>41</v>
      </c>
      <c r="G1685">
        <v>-235.80869999999999</v>
      </c>
      <c r="H1685">
        <v>1.0568500000000001</v>
      </c>
      <c r="I1685">
        <v>280.78410000000002</v>
      </c>
      <c r="J1685">
        <v>-235.1139</v>
      </c>
      <c r="K1685">
        <v>1.1056729999999999</v>
      </c>
      <c r="L1685">
        <v>280.71190000000001</v>
      </c>
      <c r="M1685">
        <v>-0.99992009999999998</v>
      </c>
      <c r="N1685">
        <v>0</v>
      </c>
      <c r="O1685">
        <v>1.148716E-2</v>
      </c>
      <c r="P1685">
        <v>-0.99882919999999997</v>
      </c>
      <c r="Q1685">
        <v>-4.1228800000000003E-2</v>
      </c>
      <c r="R1685">
        <v>-2.5306470000000001E-2</v>
      </c>
      <c r="S1685">
        <v>-3.004181</v>
      </c>
      <c r="T1685">
        <v>-0.1457601</v>
      </c>
      <c r="U1685">
        <v>0.23220830000000001</v>
      </c>
      <c r="V1685">
        <v>-3.7017479999999998E-2</v>
      </c>
      <c r="W1685">
        <v>-3.5728629999999997E-2</v>
      </c>
      <c r="X1685">
        <v>0.99867570000000006</v>
      </c>
      <c r="Y1685">
        <v>6.554372E-2</v>
      </c>
      <c r="Z1685">
        <v>1.030635E-3</v>
      </c>
      <c r="AA1685">
        <v>0.99784919999999999</v>
      </c>
      <c r="AB1685">
        <v>31</v>
      </c>
      <c r="AC1685">
        <v>-0.69479999999998598</v>
      </c>
      <c r="AD1685">
        <v>-4.8822999999999797E-2</v>
      </c>
      <c r="AE1685">
        <v>7.2200000000009298E-2</v>
      </c>
      <c r="AF1685">
        <v>6.3901686365385693E-2</v>
      </c>
      <c r="AG1685">
        <v>-4.8822999999999797E-2</v>
      </c>
      <c r="AH1685">
        <v>0.69220213131768205</v>
      </c>
      <c r="AI1685">
        <v>94.017527148656001</v>
      </c>
      <c r="AJ1685">
        <v>84.725602981048397</v>
      </c>
      <c r="AK1685">
        <v>0.69685787751167805</v>
      </c>
      <c r="AL1685">
        <v>92.047535507390407</v>
      </c>
      <c r="AM1685">
        <v>92.122786033924697</v>
      </c>
      <c r="AN1685">
        <v>0.99999999129885797</v>
      </c>
    </row>
    <row r="1686" spans="1:40" x14ac:dyDescent="0.25">
      <c r="A1686" t="str">
        <f>"20190312151531158"</f>
        <v>20190312151531158</v>
      </c>
      <c r="B1686" t="str">
        <f>"1552374931148751"</f>
        <v>1552374931148751</v>
      </c>
      <c r="C1686" t="s">
        <v>40</v>
      </c>
      <c r="D1686">
        <v>4.8856830000000002</v>
      </c>
      <c r="E1686">
        <v>0.53915599999999997</v>
      </c>
      <c r="F1686" t="s">
        <v>51</v>
      </c>
      <c r="G1686">
        <v>-258.97370000000001</v>
      </c>
      <c r="H1686" s="1">
        <v>3.2385509999999999E-6</v>
      </c>
      <c r="I1686">
        <v>282.6053</v>
      </c>
      <c r="J1686">
        <v>-235.41900000000001</v>
      </c>
      <c r="K1686">
        <v>1.105648</v>
      </c>
      <c r="L1686">
        <v>280.71859999999998</v>
      </c>
      <c r="M1686">
        <v>-0.99987700000000002</v>
      </c>
      <c r="N1686">
        <v>0</v>
      </c>
      <c r="O1686">
        <v>1.4769869999999999E-2</v>
      </c>
      <c r="P1686">
        <v>-0.99890259999999997</v>
      </c>
      <c r="Q1686">
        <v>-4.1050169999999997E-2</v>
      </c>
      <c r="R1686">
        <v>-2.2552019999999999E-2</v>
      </c>
      <c r="S1686">
        <v>-3.0037989999999999</v>
      </c>
      <c r="T1686">
        <v>-0.13919719999999999</v>
      </c>
      <c r="U1686">
        <v>0.2383728</v>
      </c>
      <c r="V1686">
        <v>-3.7542989999999998E-2</v>
      </c>
      <c r="W1686">
        <v>-3.5528280000000002E-2</v>
      </c>
      <c r="X1686">
        <v>0.99866319999999997</v>
      </c>
      <c r="Y1686">
        <v>6.4323140000000001E-2</v>
      </c>
      <c r="Z1686">
        <v>8.0435269999999995E-4</v>
      </c>
      <c r="AA1686">
        <v>0.99792879999999995</v>
      </c>
      <c r="AB1686">
        <v>31</v>
      </c>
      <c r="AC1686">
        <v>-23.5547</v>
      </c>
      <c r="AD1686">
        <v>-1.1056447614489999</v>
      </c>
      <c r="AE1686">
        <v>1.88670000000001</v>
      </c>
      <c r="AF1686">
        <v>1.5352284688895299</v>
      </c>
      <c r="AG1686">
        <v>-1.1056447614489999</v>
      </c>
      <c r="AH1686">
        <v>23.528487144047102</v>
      </c>
      <c r="AI1686">
        <v>92.684748926726201</v>
      </c>
      <c r="AJ1686">
        <v>86.266755470632305</v>
      </c>
      <c r="AK1686">
        <v>23.604429331754599</v>
      </c>
      <c r="AL1686">
        <v>92.036049067030604</v>
      </c>
      <c r="AM1686">
        <v>92.152920432154602</v>
      </c>
      <c r="AN1686">
        <v>0.99999996090606802</v>
      </c>
    </row>
    <row r="1687" spans="1:40" x14ac:dyDescent="0.25">
      <c r="A1687" t="str">
        <f>"20190312151531181"</f>
        <v>20190312151531181</v>
      </c>
      <c r="B1687" t="str">
        <f>"1552374931169599"</f>
        <v>1552374931169599</v>
      </c>
      <c r="C1687" t="s">
        <v>40</v>
      </c>
      <c r="D1687">
        <v>4.4990860000000001</v>
      </c>
      <c r="E1687">
        <v>0.53880430000000001</v>
      </c>
      <c r="F1687" t="s">
        <v>51</v>
      </c>
      <c r="G1687">
        <v>-259.97030000000001</v>
      </c>
      <c r="H1687" s="1">
        <v>-1.5525799999999901E-6</v>
      </c>
      <c r="I1687">
        <v>282.71589999999998</v>
      </c>
      <c r="J1687">
        <v>-235.7345</v>
      </c>
      <c r="K1687">
        <v>1.105618</v>
      </c>
      <c r="L1687">
        <v>280.72649999999999</v>
      </c>
      <c r="M1687">
        <v>-0.99982099999999996</v>
      </c>
      <c r="N1687">
        <v>0</v>
      </c>
      <c r="O1687">
        <v>1.8161179999999999E-2</v>
      </c>
      <c r="P1687">
        <v>-0.99894059999999996</v>
      </c>
      <c r="Q1687">
        <v>-4.147555E-2</v>
      </c>
      <c r="R1687">
        <v>-1.9941190000000001E-2</v>
      </c>
      <c r="S1687">
        <v>-3.0032350000000001</v>
      </c>
      <c r="T1687">
        <v>-0.13524829999999999</v>
      </c>
      <c r="U1687">
        <v>0.2443237</v>
      </c>
      <c r="V1687">
        <v>-3.832435E-2</v>
      </c>
      <c r="W1687">
        <v>-3.5929740000000002E-2</v>
      </c>
      <c r="X1687">
        <v>0.99861920000000004</v>
      </c>
      <c r="Y1687">
        <v>6.2925560000000005E-2</v>
      </c>
      <c r="Z1687">
        <v>5.9791010000000003E-4</v>
      </c>
      <c r="AA1687">
        <v>0.99801799999999996</v>
      </c>
      <c r="AB1687">
        <v>31</v>
      </c>
      <c r="AC1687">
        <v>-24.235800000000001</v>
      </c>
      <c r="AD1687">
        <v>-1.1056195525800001</v>
      </c>
      <c r="AE1687">
        <v>1.9893999999999801</v>
      </c>
      <c r="AF1687">
        <v>1.5457196689869499</v>
      </c>
      <c r="AG1687">
        <v>-1.1056195525800001</v>
      </c>
      <c r="AH1687">
        <v>24.2178701672396</v>
      </c>
      <c r="AI1687">
        <v>92.608611319834296</v>
      </c>
      <c r="AJ1687">
        <v>86.348017158887899</v>
      </c>
      <c r="AK1687">
        <v>24.2923214067205</v>
      </c>
      <c r="AL1687">
        <v>92.0590656381017</v>
      </c>
      <c r="AM1687">
        <v>92.1977811375735</v>
      </c>
      <c r="AN1687">
        <v>1.00000000431401</v>
      </c>
    </row>
    <row r="1688" spans="1:40" x14ac:dyDescent="0.25">
      <c r="A1688" t="str">
        <f>"20190312151531203"</f>
        <v>20190312151531203</v>
      </c>
      <c r="B1688" t="str">
        <f>"1552374931198876"</f>
        <v>1552374931198876</v>
      </c>
      <c r="C1688" t="s">
        <v>40</v>
      </c>
      <c r="D1688">
        <v>4.8537589999999904</v>
      </c>
      <c r="E1688">
        <v>0.53813869999999997</v>
      </c>
      <c r="F1688" t="s">
        <v>51</v>
      </c>
      <c r="G1688">
        <v>-260.15109999999999</v>
      </c>
      <c r="H1688" s="1">
        <v>-1.4563670000000001E-6</v>
      </c>
      <c r="I1688">
        <v>282.7561</v>
      </c>
      <c r="J1688">
        <v>-236.0532</v>
      </c>
      <c r="K1688">
        <v>1.105585</v>
      </c>
      <c r="L1688">
        <v>280.73559999999998</v>
      </c>
      <c r="M1688">
        <v>-0.99975309999999995</v>
      </c>
      <c r="N1688">
        <v>0</v>
      </c>
      <c r="O1688">
        <v>2.158421E-2</v>
      </c>
      <c r="P1688">
        <v>-0.99899300000000002</v>
      </c>
      <c r="Q1688">
        <v>-4.1375330000000002E-2</v>
      </c>
      <c r="R1688">
        <v>-1.73578E-2</v>
      </c>
      <c r="S1688">
        <v>-3.0025019999999998</v>
      </c>
      <c r="T1688">
        <v>-0.13595739999999901</v>
      </c>
      <c r="U1688">
        <v>0.24957280000000001</v>
      </c>
      <c r="V1688">
        <v>-3.9162580000000002E-2</v>
      </c>
      <c r="W1688">
        <v>-3.5804849999999999E-2</v>
      </c>
      <c r="X1688">
        <v>0.99859120000000001</v>
      </c>
      <c r="Y1688">
        <v>6.1265930000000003E-2</v>
      </c>
      <c r="Z1688">
        <v>4.0908740000000001E-4</v>
      </c>
      <c r="AA1688">
        <v>0.99812140000000005</v>
      </c>
      <c r="AB1688">
        <v>31</v>
      </c>
      <c r="AC1688">
        <v>-24.0978999999999</v>
      </c>
      <c r="AD1688">
        <v>-1.1055864563669999</v>
      </c>
      <c r="AE1688">
        <v>2.0205000000000202</v>
      </c>
      <c r="AF1688">
        <v>1.4967593956292</v>
      </c>
      <c r="AG1688">
        <v>-1.1055864563669999</v>
      </c>
      <c r="AH1688">
        <v>24.085554103503402</v>
      </c>
      <c r="AI1688">
        <v>92.623120001351296</v>
      </c>
      <c r="AJ1688">
        <v>86.444015471218506</v>
      </c>
      <c r="AK1688">
        <v>24.157328630742601</v>
      </c>
      <c r="AL1688">
        <v>92.051905288106894</v>
      </c>
      <c r="AM1688">
        <v>92.245865208227002</v>
      </c>
      <c r="AN1688">
        <v>1.0000000398366</v>
      </c>
    </row>
    <row r="1689" spans="1:40" x14ac:dyDescent="0.25">
      <c r="A1689" t="str">
        <f>"20190312151531237"</f>
        <v>20190312151531237</v>
      </c>
      <c r="B1689" t="str">
        <f>"1552374931229132"</f>
        <v>1552374931229132</v>
      </c>
      <c r="C1689" t="s">
        <v>40</v>
      </c>
      <c r="D1689">
        <v>4.4618159999999998</v>
      </c>
      <c r="E1689">
        <v>0.53787149999999995</v>
      </c>
      <c r="F1689" t="s">
        <v>51</v>
      </c>
      <c r="G1689">
        <v>-260.57909999999998</v>
      </c>
      <c r="H1689" s="1">
        <v>-1.228633E-6</v>
      </c>
      <c r="I1689">
        <v>282.79289999999997</v>
      </c>
      <c r="J1689">
        <v>-236.5283</v>
      </c>
      <c r="K1689">
        <v>1.1055569999999999</v>
      </c>
      <c r="L1689">
        <v>280.75110000000001</v>
      </c>
      <c r="M1689">
        <v>-0.99963000000000002</v>
      </c>
      <c r="N1689">
        <v>0</v>
      </c>
      <c r="O1689">
        <v>2.6678179999999999E-2</v>
      </c>
      <c r="P1689">
        <v>-0.9991139</v>
      </c>
      <c r="Q1689">
        <v>-4.0232959999999998E-2</v>
      </c>
      <c r="R1689">
        <v>-1.237187E-2</v>
      </c>
      <c r="S1689">
        <v>-3.0018009999999999</v>
      </c>
      <c r="T1689">
        <v>-0.1353164</v>
      </c>
      <c r="U1689">
        <v>0.25180049999999998</v>
      </c>
      <c r="V1689">
        <v>-3.9262770000000002E-2</v>
      </c>
      <c r="W1689">
        <v>-3.4633190000000001E-2</v>
      </c>
      <c r="X1689">
        <v>0.99862859999999998</v>
      </c>
      <c r="Y1689">
        <v>5.6944149999999999E-2</v>
      </c>
      <c r="Z1689" s="1">
        <v>8.1108179999999996E-5</v>
      </c>
      <c r="AA1689">
        <v>0.99837739999999997</v>
      </c>
      <c r="AB1689">
        <v>31</v>
      </c>
      <c r="AC1689">
        <v>-24.050799999999899</v>
      </c>
      <c r="AD1689">
        <v>-1.1055582286329999</v>
      </c>
      <c r="AE1689">
        <v>2.0417999999999599</v>
      </c>
      <c r="AF1689">
        <v>1.3965029236920401</v>
      </c>
      <c r="AG1689">
        <v>-1.1055582286329999</v>
      </c>
      <c r="AH1689">
        <v>24.0462650020892</v>
      </c>
      <c r="AI1689">
        <v>92.627972198482396</v>
      </c>
      <c r="AJ1689">
        <v>86.676242697754304</v>
      </c>
      <c r="AK1689">
        <v>24.112140924510999</v>
      </c>
      <c r="AL1689">
        <v>91.984732417219305</v>
      </c>
      <c r="AM1689">
        <v>92.251520681568906</v>
      </c>
      <c r="AN1689">
        <v>1.0000000518478001</v>
      </c>
    </row>
    <row r="1690" spans="1:40" x14ac:dyDescent="0.25">
      <c r="A1690" t="str">
        <f>"20190312151531259"</f>
        <v>20190312151531259</v>
      </c>
      <c r="B1690" t="str">
        <f>"1552374931249628"</f>
        <v>1552374931249628</v>
      </c>
      <c r="C1690" t="s">
        <v>40</v>
      </c>
      <c r="D1690">
        <v>4.4928589999999904</v>
      </c>
      <c r="E1690">
        <v>0.53810789999999997</v>
      </c>
      <c r="F1690" t="s">
        <v>51</v>
      </c>
      <c r="G1690">
        <v>-261.85489999999999</v>
      </c>
      <c r="H1690" s="1">
        <v>-5.4972529999999998E-7</v>
      </c>
      <c r="I1690">
        <v>282.98540000000003</v>
      </c>
      <c r="J1690">
        <v>-236.84399999999999</v>
      </c>
      <c r="K1690">
        <v>1.1055379999999999</v>
      </c>
      <c r="L1690">
        <v>280.76280000000003</v>
      </c>
      <c r="M1690">
        <v>-0.99953400000000003</v>
      </c>
      <c r="N1690">
        <v>0</v>
      </c>
      <c r="O1690">
        <v>3.0056630000000001E-2</v>
      </c>
      <c r="P1690">
        <v>-0.99916340000000003</v>
      </c>
      <c r="Q1690">
        <v>-3.9824329999999998E-2</v>
      </c>
      <c r="R1690">
        <v>-9.316698E-3</v>
      </c>
      <c r="S1690">
        <v>-3.0006710000000001</v>
      </c>
      <c r="T1690">
        <v>-0.13098570000000001</v>
      </c>
      <c r="U1690">
        <v>0.26470949999999999</v>
      </c>
      <c r="V1690">
        <v>-3.9583350000000003E-2</v>
      </c>
      <c r="W1690">
        <v>-3.4203490000000003E-2</v>
      </c>
      <c r="X1690">
        <v>0.99863069999999998</v>
      </c>
      <c r="Y1690">
        <v>5.7868740000000002E-2</v>
      </c>
      <c r="Z1690" s="1">
        <v>-4.8309100000000001E-5</v>
      </c>
      <c r="AA1690">
        <v>0.99832419999999999</v>
      </c>
      <c r="AB1690">
        <v>32</v>
      </c>
      <c r="AC1690">
        <v>-25.0108999999999</v>
      </c>
      <c r="AD1690">
        <v>-1.1055385497253001</v>
      </c>
      <c r="AE1690">
        <v>2.2225999999999999</v>
      </c>
      <c r="AF1690">
        <v>1.4669979372356301</v>
      </c>
      <c r="AG1690">
        <v>-1.1055385497253001</v>
      </c>
      <c r="AH1690">
        <v>25.017906491877199</v>
      </c>
      <c r="AI1690">
        <v>92.525914905743406</v>
      </c>
      <c r="AJ1690">
        <v>86.644137558503402</v>
      </c>
      <c r="AK1690">
        <v>25.085253510162001</v>
      </c>
      <c r="AL1690">
        <v>91.9600979324523</v>
      </c>
      <c r="AM1690">
        <v>92.269880398293196</v>
      </c>
      <c r="AN1690">
        <v>0.99999999765394598</v>
      </c>
    </row>
    <row r="1691" spans="1:40" x14ac:dyDescent="0.25">
      <c r="A1691" t="str">
        <f>"20190312151531282"</f>
        <v>20190312151531282</v>
      </c>
      <c r="B1691" t="str">
        <f>"1552374931278908"</f>
        <v>1552374931278908</v>
      </c>
      <c r="C1691" t="s">
        <v>40</v>
      </c>
      <c r="D1691">
        <v>4.4738619999999996</v>
      </c>
      <c r="E1691">
        <v>0.53840710000000003</v>
      </c>
      <c r="F1691" t="s">
        <v>51</v>
      </c>
      <c r="G1691">
        <v>-262.76600000000002</v>
      </c>
      <c r="H1691" s="1">
        <v>-6.4852770000000005E-8</v>
      </c>
      <c r="I1691">
        <v>283.14580000000001</v>
      </c>
      <c r="J1691">
        <v>-237.18020000000001</v>
      </c>
      <c r="K1691">
        <v>1.105524</v>
      </c>
      <c r="L1691">
        <v>280.77640000000002</v>
      </c>
      <c r="M1691">
        <v>-0.99941959999999996</v>
      </c>
      <c r="N1691">
        <v>0</v>
      </c>
      <c r="O1691">
        <v>3.3644109999999998E-2</v>
      </c>
      <c r="P1691">
        <v>-0.99921369999999998</v>
      </c>
      <c r="Q1691">
        <v>-3.9182910000000001E-2</v>
      </c>
      <c r="R1691">
        <v>-6.0790540000000004E-3</v>
      </c>
      <c r="S1691">
        <v>-2.9999850000000001</v>
      </c>
      <c r="T1691">
        <v>-0.12794520000000001</v>
      </c>
      <c r="U1691">
        <v>0.27578740000000002</v>
      </c>
      <c r="V1691">
        <v>-3.992996E-2</v>
      </c>
      <c r="W1691">
        <v>-3.3539939999999997E-2</v>
      </c>
      <c r="X1691">
        <v>0.99863939999999995</v>
      </c>
      <c r="Y1691">
        <v>5.7966509999999999E-2</v>
      </c>
      <c r="Z1691">
        <v>-1.975375E-4</v>
      </c>
      <c r="AA1691">
        <v>0.9983185</v>
      </c>
      <c r="AB1691">
        <v>32</v>
      </c>
      <c r="AC1691">
        <v>-25.5857999999999</v>
      </c>
      <c r="AD1691">
        <v>-1.10552406485277</v>
      </c>
      <c r="AE1691">
        <v>2.3693999999999802</v>
      </c>
      <c r="AF1691">
        <v>1.5044499498133299</v>
      </c>
      <c r="AG1691">
        <v>-1.10552406485277</v>
      </c>
      <c r="AH1691">
        <v>25.6036374734161</v>
      </c>
      <c r="AI1691">
        <v>92.468152394952099</v>
      </c>
      <c r="AJ1691">
        <v>86.637210895101006</v>
      </c>
      <c r="AK1691">
        <v>25.671614771563899</v>
      </c>
      <c r="AL1691">
        <v>91.922057503358602</v>
      </c>
      <c r="AM1691">
        <v>92.2897155233875</v>
      </c>
      <c r="AN1691">
        <v>0.99999999025658204</v>
      </c>
    </row>
    <row r="1692" spans="1:40" x14ac:dyDescent="0.25">
      <c r="A1692" t="str">
        <f>"20190312151531304"</f>
        <v>20190312151531304</v>
      </c>
      <c r="B1692" t="str">
        <f>"1552374931299405"</f>
        <v>1552374931299405</v>
      </c>
      <c r="C1692" t="s">
        <v>40</v>
      </c>
      <c r="D1692">
        <v>4.4841340000000001</v>
      </c>
      <c r="E1692">
        <v>0.53855120000000001</v>
      </c>
      <c r="F1692" t="s">
        <v>51</v>
      </c>
      <c r="G1692">
        <v>-264.64049999999997</v>
      </c>
      <c r="H1692" s="1">
        <v>9.3266470000000004E-7</v>
      </c>
      <c r="I1692">
        <v>283.41230000000002</v>
      </c>
      <c r="J1692">
        <v>-237.49459999999999</v>
      </c>
      <c r="K1692">
        <v>1.105515</v>
      </c>
      <c r="L1692">
        <v>280.79020000000003</v>
      </c>
      <c r="M1692">
        <v>-0.99930189999999997</v>
      </c>
      <c r="N1692">
        <v>0</v>
      </c>
      <c r="O1692">
        <v>3.6971379999999998E-2</v>
      </c>
      <c r="P1692">
        <v>-0.99921979999999999</v>
      </c>
      <c r="Q1692">
        <v>-3.9392829999999997E-2</v>
      </c>
      <c r="R1692">
        <v>-2.8599480000000002E-3</v>
      </c>
      <c r="S1692">
        <v>-2.999374</v>
      </c>
      <c r="T1692">
        <v>-0.1207516</v>
      </c>
      <c r="U1692">
        <v>0.28790280000000001</v>
      </c>
      <c r="V1692">
        <v>-4.0039230000000002E-2</v>
      </c>
      <c r="W1692">
        <v>-3.3732249999999998E-2</v>
      </c>
      <c r="X1692">
        <v>0.99862859999999998</v>
      </c>
      <c r="Y1692">
        <v>5.8662980000000003E-2</v>
      </c>
      <c r="Z1692">
        <v>-3.0585660000000001E-4</v>
      </c>
      <c r="AA1692">
        <v>0.99827779999999999</v>
      </c>
      <c r="AB1692">
        <v>32</v>
      </c>
      <c r="AC1692">
        <v>-27.145899999999902</v>
      </c>
      <c r="AD1692">
        <v>-1.1055140673352899</v>
      </c>
      <c r="AE1692">
        <v>2.6220999999999801</v>
      </c>
      <c r="AF1692">
        <v>1.6140192975568399</v>
      </c>
      <c r="AG1692">
        <v>-1.1055140673352899</v>
      </c>
      <c r="AH1692">
        <v>27.179623355827399</v>
      </c>
      <c r="AI1692">
        <v>92.325094369922098</v>
      </c>
      <c r="AJ1692">
        <v>86.6015709921341</v>
      </c>
      <c r="AK1692">
        <v>27.249938447831401</v>
      </c>
      <c r="AL1692">
        <v>91.933082191873694</v>
      </c>
      <c r="AM1692">
        <v>92.295999532839204</v>
      </c>
      <c r="AN1692">
        <v>1.0000000426835001</v>
      </c>
    </row>
    <row r="1693" spans="1:40" x14ac:dyDescent="0.25">
      <c r="A1693" t="str">
        <f>"20190312151531326"</f>
        <v>20190312151531326</v>
      </c>
      <c r="B1693" t="str">
        <f>"1552374931318925"</f>
        <v>1552374931318925</v>
      </c>
      <c r="C1693" t="s">
        <v>40</v>
      </c>
      <c r="D1693">
        <v>4.4713190000000003</v>
      </c>
      <c r="E1693">
        <v>0.53859000000000001</v>
      </c>
      <c r="F1693" t="s">
        <v>51</v>
      </c>
      <c r="G1693">
        <v>-265.65809999999999</v>
      </c>
      <c r="H1693" s="1">
        <v>1.4741579999999999E-6</v>
      </c>
      <c r="I1693">
        <v>283.59800000000001</v>
      </c>
      <c r="J1693">
        <v>-237.81649999999999</v>
      </c>
      <c r="K1693">
        <v>1.10551</v>
      </c>
      <c r="L1693">
        <v>280.80529999999999</v>
      </c>
      <c r="M1693">
        <v>-0.9991717</v>
      </c>
      <c r="N1693">
        <v>0</v>
      </c>
      <c r="O1693">
        <v>4.0335669999999997E-2</v>
      </c>
      <c r="P1693">
        <v>-0.99921230000000005</v>
      </c>
      <c r="Q1693">
        <v>-3.9685709999999999E-2</v>
      </c>
      <c r="R1693">
        <v>1.0013139999999999E-4</v>
      </c>
      <c r="S1693">
        <v>-2.9985810000000002</v>
      </c>
      <c r="T1693">
        <v>-0.1177045</v>
      </c>
      <c r="U1693">
        <v>0.2989502</v>
      </c>
      <c r="V1693">
        <v>-4.0444069999999999E-2</v>
      </c>
      <c r="W1693">
        <v>-3.4007160000000002E-2</v>
      </c>
      <c r="X1693">
        <v>0.99860289999999996</v>
      </c>
      <c r="Y1693">
        <v>5.8973190000000002E-2</v>
      </c>
      <c r="Z1693">
        <v>-4.23559E-4</v>
      </c>
      <c r="AA1693">
        <v>0.99825949999999997</v>
      </c>
      <c r="AB1693">
        <v>32</v>
      </c>
      <c r="AC1693">
        <v>-27.8416</v>
      </c>
      <c r="AD1693">
        <v>-1.1055085258419901</v>
      </c>
      <c r="AE1693">
        <v>2.7927000000000199</v>
      </c>
      <c r="AF1693">
        <v>1.6648026826275599</v>
      </c>
      <c r="AG1693">
        <v>-1.1055085258419901</v>
      </c>
      <c r="AH1693">
        <v>27.8880567432814</v>
      </c>
      <c r="AI1693">
        <v>92.266039637465298</v>
      </c>
      <c r="AJ1693">
        <v>86.583731025206006</v>
      </c>
      <c r="AK1693">
        <v>27.9595677003289</v>
      </c>
      <c r="AL1693">
        <v>91.948842536945904</v>
      </c>
      <c r="AM1693">
        <v>92.319248974856606</v>
      </c>
      <c r="AN1693">
        <v>0.99999998080892005</v>
      </c>
    </row>
    <row r="1694" spans="1:40" x14ac:dyDescent="0.25">
      <c r="A1694" t="str">
        <f>"20190312151531348"</f>
        <v>20190312151531348</v>
      </c>
      <c r="B1694" t="str">
        <f>"1552374931339420"</f>
        <v>1552374931339420</v>
      </c>
      <c r="C1694" t="s">
        <v>40</v>
      </c>
      <c r="D1694">
        <v>4.9495490000000002</v>
      </c>
      <c r="E1694">
        <v>0.53856740000000003</v>
      </c>
      <c r="F1694" t="s">
        <v>51</v>
      </c>
      <c r="G1694">
        <v>-266.45749999999998</v>
      </c>
      <c r="H1694" s="1">
        <v>1.8995829999999999E-6</v>
      </c>
      <c r="I1694">
        <v>283.74720000000002</v>
      </c>
      <c r="J1694">
        <v>-238.1283</v>
      </c>
      <c r="K1694">
        <v>1.1055200000000001</v>
      </c>
      <c r="L1694">
        <v>280.82089999999999</v>
      </c>
      <c r="M1694">
        <v>-0.99903710000000001</v>
      </c>
      <c r="N1694">
        <v>0</v>
      </c>
      <c r="O1694">
        <v>4.353667E-2</v>
      </c>
      <c r="P1694">
        <v>-0.99920810000000004</v>
      </c>
      <c r="Q1694">
        <v>-3.969172E-2</v>
      </c>
      <c r="R1694">
        <v>2.7817150000000001E-3</v>
      </c>
      <c r="S1694">
        <v>-2.997757</v>
      </c>
      <c r="T1694">
        <v>-0.1157099</v>
      </c>
      <c r="U1694">
        <v>0.30792239999999999</v>
      </c>
      <c r="V1694">
        <v>-4.0961669999999999E-2</v>
      </c>
      <c r="W1694">
        <v>-3.3997069999999997E-2</v>
      </c>
      <c r="X1694">
        <v>0.99858219999999998</v>
      </c>
      <c r="Y1694">
        <v>5.8762420000000003E-2</v>
      </c>
      <c r="Z1694">
        <v>-5.4344370000000003E-4</v>
      </c>
      <c r="AA1694">
        <v>0.99827180000000004</v>
      </c>
      <c r="AB1694">
        <v>32</v>
      </c>
      <c r="AC1694">
        <v>-28.329199999999901</v>
      </c>
      <c r="AD1694">
        <v>-1.105518100417</v>
      </c>
      <c r="AE1694">
        <v>2.9263000000000199</v>
      </c>
      <c r="AF1694">
        <v>1.68760523348251</v>
      </c>
      <c r="AG1694">
        <v>-1.105518100417</v>
      </c>
      <c r="AH1694">
        <v>28.386968241791799</v>
      </c>
      <c r="AI1694">
        <v>92.226305308016606</v>
      </c>
      <c r="AJ1694">
        <v>86.597770364244198</v>
      </c>
      <c r="AK1694">
        <v>28.458568967095399</v>
      </c>
      <c r="AL1694">
        <v>91.948263983066994</v>
      </c>
      <c r="AM1694">
        <v>92.348946140168195</v>
      </c>
      <c r="AN1694">
        <v>1.0000000346672999</v>
      </c>
    </row>
    <row r="1695" spans="1:40" x14ac:dyDescent="0.25">
      <c r="A1695" t="str">
        <f>"20190312151531370"</f>
        <v>20190312151531370</v>
      </c>
      <c r="B1695" t="str">
        <f>"1552374931358940"</f>
        <v>1552374931358940</v>
      </c>
      <c r="C1695" t="s">
        <v>40</v>
      </c>
      <c r="D1695">
        <v>4.4624540000000001</v>
      </c>
      <c r="E1695">
        <v>0.53849569999999902</v>
      </c>
      <c r="F1695" t="s">
        <v>51</v>
      </c>
      <c r="G1695">
        <v>-267.19420000000002</v>
      </c>
      <c r="H1695" s="1">
        <v>2.2916260000000001E-6</v>
      </c>
      <c r="I1695">
        <v>283.88630000000001</v>
      </c>
      <c r="J1695">
        <v>-238.4503</v>
      </c>
      <c r="K1695">
        <v>1.1055410000000001</v>
      </c>
      <c r="L1695">
        <v>280.83789999999999</v>
      </c>
      <c r="M1695">
        <v>-0.99889090000000003</v>
      </c>
      <c r="N1695">
        <v>0</v>
      </c>
      <c r="O1695">
        <v>4.6770539999999999E-2</v>
      </c>
      <c r="P1695">
        <v>-0.99918229999999997</v>
      </c>
      <c r="Q1695">
        <v>-4.0040529999999998E-2</v>
      </c>
      <c r="R1695">
        <v>5.5825930000000003E-3</v>
      </c>
      <c r="S1695">
        <v>-2.9969640000000002</v>
      </c>
      <c r="T1695">
        <v>-0.1139891</v>
      </c>
      <c r="U1695">
        <v>0.31607059999999998</v>
      </c>
      <c r="V1695">
        <v>-4.139404E-2</v>
      </c>
      <c r="W1695">
        <v>-3.433187E-2</v>
      </c>
      <c r="X1695">
        <v>0.99855289999999997</v>
      </c>
      <c r="Y1695">
        <v>5.8245669999999999E-2</v>
      </c>
      <c r="Z1695">
        <v>-6.6758399999999895E-4</v>
      </c>
      <c r="AA1695">
        <v>0.99830200000000002</v>
      </c>
      <c r="AB1695">
        <v>32</v>
      </c>
      <c r="AC1695">
        <v>-28.7439</v>
      </c>
      <c r="AD1695">
        <v>-1.10553870837399</v>
      </c>
      <c r="AE1695">
        <v>3.0484000000000102</v>
      </c>
      <c r="AF1695">
        <v>1.6981921720995301</v>
      </c>
      <c r="AG1695">
        <v>-1.10553870837399</v>
      </c>
      <c r="AH1695">
        <v>28.812872032291001</v>
      </c>
      <c r="AI1695">
        <v>92.193536016411599</v>
      </c>
      <c r="AJ1695">
        <v>86.626965425080101</v>
      </c>
      <c r="AK1695">
        <v>28.884038277883999</v>
      </c>
      <c r="AL1695">
        <v>91.967457845260697</v>
      </c>
      <c r="AM1695">
        <v>92.373781746839299</v>
      </c>
      <c r="AN1695">
        <v>1.0000000189718099</v>
      </c>
    </row>
    <row r="1696" spans="1:40" x14ac:dyDescent="0.25">
      <c r="A1696" t="str">
        <f>"20190312151531394"</f>
        <v>20190312151531394</v>
      </c>
      <c r="B1696" t="str">
        <f>"1552374931389196"</f>
        <v>1552374931389196</v>
      </c>
      <c r="C1696" t="s">
        <v>40</v>
      </c>
      <c r="D1696">
        <v>4.4219059999999999</v>
      </c>
      <c r="E1696">
        <v>0.53840980000000005</v>
      </c>
      <c r="F1696" t="s">
        <v>51</v>
      </c>
      <c r="G1696">
        <v>-267.76299999999998</v>
      </c>
      <c r="H1696" s="1">
        <v>2.5942979999999998E-6</v>
      </c>
      <c r="I1696">
        <v>284.00670000000002</v>
      </c>
      <c r="J1696">
        <v>-238.78229999999999</v>
      </c>
      <c r="K1696">
        <v>1.105583</v>
      </c>
      <c r="L1696">
        <v>280.85649999999998</v>
      </c>
      <c r="M1696">
        <v>-0.9987336</v>
      </c>
      <c r="N1696">
        <v>0</v>
      </c>
      <c r="O1696">
        <v>5.0015549999999999E-2</v>
      </c>
      <c r="P1696">
        <v>-0.99913569999999996</v>
      </c>
      <c r="Q1696">
        <v>-4.0863980000000001E-2</v>
      </c>
      <c r="R1696">
        <v>7.6267080000000003E-3</v>
      </c>
      <c r="S1696">
        <v>-2.9961090000000001</v>
      </c>
      <c r="T1696">
        <v>-0.1129993</v>
      </c>
      <c r="U1696">
        <v>0.32388309999999998</v>
      </c>
      <c r="V1696">
        <v>-4.2594600000000003E-2</v>
      </c>
      <c r="W1696">
        <v>-3.5137580000000002E-2</v>
      </c>
      <c r="X1696">
        <v>0.99847439999999998</v>
      </c>
      <c r="Y1696">
        <v>5.7608630000000001E-2</v>
      </c>
      <c r="Z1696">
        <v>-7.9555879999999998E-4</v>
      </c>
      <c r="AA1696">
        <v>0.99833890000000003</v>
      </c>
      <c r="AB1696">
        <v>32</v>
      </c>
      <c r="AC1696">
        <v>-28.980699999999899</v>
      </c>
      <c r="AD1696">
        <v>-1.105580405702</v>
      </c>
      <c r="AE1696">
        <v>3.1502000000000399</v>
      </c>
      <c r="AF1696">
        <v>1.6943130856236599</v>
      </c>
      <c r="AG1696">
        <v>-1.105580405702</v>
      </c>
      <c r="AH1696">
        <v>29.060190705108901</v>
      </c>
      <c r="AI1696">
        <v>92.175048357712498</v>
      </c>
      <c r="AJ1696">
        <v>86.663228551970803</v>
      </c>
      <c r="AK1696">
        <v>29.130528465561401</v>
      </c>
      <c r="AL1696">
        <v>92.013649462431204</v>
      </c>
      <c r="AM1696">
        <v>92.442738625376407</v>
      </c>
      <c r="AN1696">
        <v>1.0000000384663801</v>
      </c>
    </row>
    <row r="1697" spans="1:40" x14ac:dyDescent="0.25">
      <c r="A1697" t="str">
        <f>"20190312151531415"</f>
        <v>20190312151531415</v>
      </c>
      <c r="B1697" t="str">
        <f>"1552374931409692"</f>
        <v>1552374931409692</v>
      </c>
      <c r="C1697" t="s">
        <v>40</v>
      </c>
      <c r="D1697">
        <v>4.4081239999999999</v>
      </c>
      <c r="E1697">
        <v>0.53838439999999999</v>
      </c>
      <c r="F1697" t="s">
        <v>51</v>
      </c>
      <c r="G1697">
        <v>-268.28910000000002</v>
      </c>
      <c r="H1697" s="1">
        <v>2.8742310000000002E-6</v>
      </c>
      <c r="I1697">
        <v>284.09890000000001</v>
      </c>
      <c r="J1697">
        <v>-239.1053</v>
      </c>
      <c r="K1697">
        <v>1.1056379999999999</v>
      </c>
      <c r="L1697">
        <v>280.87549999999999</v>
      </c>
      <c r="M1697">
        <v>-0.99857609999999997</v>
      </c>
      <c r="N1697">
        <v>0</v>
      </c>
      <c r="O1697">
        <v>5.3065059999999997E-2</v>
      </c>
      <c r="P1697">
        <v>-0.99909309999999996</v>
      </c>
      <c r="Q1697">
        <v>-4.1379560000000003E-2</v>
      </c>
      <c r="R1697">
        <v>1.0032650000000001E-2</v>
      </c>
      <c r="S1697">
        <v>-2.9954990000000001</v>
      </c>
      <c r="T1697">
        <v>-0.1122377</v>
      </c>
      <c r="U1697">
        <v>0.32916260000000003</v>
      </c>
      <c r="V1697">
        <v>-4.3236570000000002E-2</v>
      </c>
      <c r="W1697">
        <v>-3.5640940000000003E-2</v>
      </c>
      <c r="X1697">
        <v>0.99842889999999995</v>
      </c>
      <c r="Y1697">
        <v>5.632376E-2</v>
      </c>
      <c r="Z1697">
        <v>-9.2786240000000003E-4</v>
      </c>
      <c r="AA1697">
        <v>0.99841210000000002</v>
      </c>
      <c r="AB1697">
        <v>32</v>
      </c>
      <c r="AC1697">
        <v>-29.183800000000002</v>
      </c>
      <c r="AD1697">
        <v>-1.10563512576899</v>
      </c>
      <c r="AE1697">
        <v>3.2234000000000198</v>
      </c>
      <c r="AF1697">
        <v>1.6678300789176801</v>
      </c>
      <c r="AG1697">
        <v>-1.10563512576899</v>
      </c>
      <c r="AH1697">
        <v>29.272225148339899</v>
      </c>
      <c r="AI1697">
        <v>92.159579533643196</v>
      </c>
      <c r="AJ1697">
        <v>86.739010477233407</v>
      </c>
      <c r="AK1697">
        <v>29.340539383906599</v>
      </c>
      <c r="AL1697">
        <v>92.042508075868497</v>
      </c>
      <c r="AM1697">
        <v>92.479621921495607</v>
      </c>
      <c r="AN1697">
        <v>0.99999997297232801</v>
      </c>
    </row>
    <row r="1698" spans="1:40" x14ac:dyDescent="0.25">
      <c r="A1698" t="str">
        <f>"20190312151531437"</f>
        <v>20190312151531437</v>
      </c>
      <c r="B1698" t="str">
        <f>"1552374931429213"</f>
        <v>1552374931429213</v>
      </c>
      <c r="C1698" t="s">
        <v>40</v>
      </c>
      <c r="D1698">
        <v>4.4292210000000001</v>
      </c>
      <c r="E1698">
        <v>0.53831569999999995</v>
      </c>
      <c r="F1698" t="s">
        <v>51</v>
      </c>
      <c r="G1698">
        <v>-268.75420000000003</v>
      </c>
      <c r="H1698" s="1">
        <v>3.1217399999999999E-6</v>
      </c>
      <c r="I1698">
        <v>284.20359999999999</v>
      </c>
      <c r="J1698">
        <v>-239.42429999999999</v>
      </c>
      <c r="K1698">
        <v>1.105683</v>
      </c>
      <c r="L1698">
        <v>280.89530000000002</v>
      </c>
      <c r="M1698">
        <v>-0.99841610000000003</v>
      </c>
      <c r="N1698">
        <v>0</v>
      </c>
      <c r="O1698">
        <v>5.5993139999999997E-2</v>
      </c>
      <c r="P1698">
        <v>-0.99907140000000005</v>
      </c>
      <c r="Q1698">
        <v>-4.1246159999999997E-2</v>
      </c>
      <c r="R1698">
        <v>1.245367E-2</v>
      </c>
      <c r="S1698">
        <v>-2.9946899999999999</v>
      </c>
      <c r="T1698">
        <v>-0.11167489999999999</v>
      </c>
      <c r="U1698">
        <v>0.33615109999999998</v>
      </c>
      <c r="V1698">
        <v>-4.3740500000000002E-2</v>
      </c>
      <c r="W1698">
        <v>-3.5495770000000003E-2</v>
      </c>
      <c r="X1698">
        <v>0.99841210000000002</v>
      </c>
      <c r="Y1698">
        <v>5.5729149999999998E-2</v>
      </c>
      <c r="Z1698">
        <v>-1.042886E-3</v>
      </c>
      <c r="AA1698">
        <v>0.99844540000000004</v>
      </c>
      <c r="AB1698">
        <v>33</v>
      </c>
      <c r="AC1698">
        <v>-29.329899999999999</v>
      </c>
      <c r="AD1698">
        <v>-1.1056798782599999</v>
      </c>
      <c r="AE1698">
        <v>3.3082999999999698</v>
      </c>
      <c r="AF1698">
        <v>1.6584844163299</v>
      </c>
      <c r="AG1698">
        <v>-1.1056798782599999</v>
      </c>
      <c r="AH1698">
        <v>29.427833651497899</v>
      </c>
      <c r="AI1698">
        <v>92.148332732030696</v>
      </c>
      <c r="AJ1698">
        <v>86.774355020686002</v>
      </c>
      <c r="AK1698">
        <v>29.495262195353199</v>
      </c>
      <c r="AL1698">
        <v>92.034185225230104</v>
      </c>
      <c r="AM1698">
        <v>92.508527812021995</v>
      </c>
      <c r="AN1698">
        <v>0.99999995122727503</v>
      </c>
    </row>
    <row r="1699" spans="1:40" x14ac:dyDescent="0.25">
      <c r="A1699" t="str">
        <f>"20190312151531459"</f>
        <v>20190312151531459</v>
      </c>
      <c r="B1699" t="str">
        <f>"1552374931449708"</f>
        <v>1552374931449708</v>
      </c>
      <c r="C1699" t="s">
        <v>40</v>
      </c>
      <c r="D1699">
        <v>4.3853099999999996</v>
      </c>
      <c r="E1699">
        <v>0.53812349999999998</v>
      </c>
      <c r="F1699" t="s">
        <v>51</v>
      </c>
      <c r="G1699">
        <v>-269.2808</v>
      </c>
      <c r="H1699" s="1">
        <v>3.4020039999999999E-6</v>
      </c>
      <c r="I1699">
        <v>284.31599999999997</v>
      </c>
      <c r="J1699">
        <v>-239.7525</v>
      </c>
      <c r="K1699">
        <v>1.1057330000000001</v>
      </c>
      <c r="L1699">
        <v>280.91649999999998</v>
      </c>
      <c r="M1699">
        <v>-0.99824829999999998</v>
      </c>
      <c r="N1699">
        <v>0</v>
      </c>
      <c r="O1699">
        <v>5.8907910000000001E-2</v>
      </c>
      <c r="P1699">
        <v>-0.99902489999999999</v>
      </c>
      <c r="Q1699">
        <v>-4.1490930000000002E-2</v>
      </c>
      <c r="R1699">
        <v>1.509164E-2</v>
      </c>
      <c r="S1699">
        <v>-2.9939420000000001</v>
      </c>
      <c r="T1699">
        <v>-0.110875</v>
      </c>
      <c r="U1699">
        <v>0.34301759999999998</v>
      </c>
      <c r="V1699">
        <v>-4.4014829999999998E-2</v>
      </c>
      <c r="W1699">
        <v>-3.5729879999999999E-2</v>
      </c>
      <c r="X1699">
        <v>0.99839169999999999</v>
      </c>
      <c r="Y1699">
        <v>5.5104849999999997E-2</v>
      </c>
      <c r="Z1699">
        <v>-1.154277E-3</v>
      </c>
      <c r="AA1699">
        <v>0.99847989999999998</v>
      </c>
      <c r="AB1699">
        <v>33</v>
      </c>
      <c r="AC1699">
        <v>-29.528300000000002</v>
      </c>
      <c r="AD1699">
        <v>-1.105729597996</v>
      </c>
      <c r="AE1699">
        <v>3.3994999999999802</v>
      </c>
      <c r="AF1699">
        <v>1.6518336645024401</v>
      </c>
      <c r="AG1699">
        <v>-1.105729597996</v>
      </c>
      <c r="AH1699">
        <v>29.636267265767501</v>
      </c>
      <c r="AI1699">
        <v>92.133407153512096</v>
      </c>
      <c r="AJ1699">
        <v>86.809811683936104</v>
      </c>
      <c r="AK1699">
        <v>29.702853900712501</v>
      </c>
      <c r="AL1699">
        <v>92.047607240866597</v>
      </c>
      <c r="AM1699">
        <v>92.524291925108599</v>
      </c>
      <c r="AN1699">
        <v>0.99999995810681497</v>
      </c>
    </row>
    <row r="1700" spans="1:40" x14ac:dyDescent="0.25">
      <c r="A1700" t="str">
        <f>"20190312151531482"</f>
        <v>20190312151531482</v>
      </c>
      <c r="B1700" t="str">
        <f>"1552374931478989"</f>
        <v>1552374931478989</v>
      </c>
      <c r="C1700" t="s">
        <v>40</v>
      </c>
      <c r="D1700">
        <v>4.4323959999999998</v>
      </c>
      <c r="E1700">
        <v>0.53795490000000001</v>
      </c>
      <c r="F1700" t="s">
        <v>51</v>
      </c>
      <c r="G1700">
        <v>-269.5367</v>
      </c>
      <c r="H1700" s="1">
        <v>3.538176E-6</v>
      </c>
      <c r="I1700">
        <v>284.39550000000003</v>
      </c>
      <c r="J1700">
        <v>-240.09389999999999</v>
      </c>
      <c r="K1700">
        <v>1.1057980000000001</v>
      </c>
      <c r="L1700">
        <v>280.93939999999998</v>
      </c>
      <c r="M1700">
        <v>-0.99807239999999997</v>
      </c>
      <c r="N1700">
        <v>0</v>
      </c>
      <c r="O1700">
        <v>6.1816959999999997E-2</v>
      </c>
      <c r="P1700">
        <v>-0.99894559999999999</v>
      </c>
      <c r="Q1700">
        <v>-4.2333330000000002E-2</v>
      </c>
      <c r="R1700">
        <v>1.7775969999999999E-2</v>
      </c>
      <c r="S1700">
        <v>-2.9930270000000001</v>
      </c>
      <c r="T1700">
        <v>-0.1111153</v>
      </c>
      <c r="U1700">
        <v>0.34960940000000001</v>
      </c>
      <c r="V1700">
        <v>-4.4239149999999998E-2</v>
      </c>
      <c r="W1700">
        <v>-3.6563070000000003E-2</v>
      </c>
      <c r="X1700">
        <v>0.99835160000000001</v>
      </c>
      <c r="Y1700">
        <v>5.4401829999999998E-2</v>
      </c>
      <c r="Z1700">
        <v>-1.2772090000000001E-3</v>
      </c>
      <c r="AA1700">
        <v>0.99851829999999997</v>
      </c>
      <c r="AB1700">
        <v>33</v>
      </c>
      <c r="AC1700">
        <v>-29.442799999999998</v>
      </c>
      <c r="AD1700">
        <v>-1.1057944618240001</v>
      </c>
      <c r="AE1700">
        <v>3.4561000000000401</v>
      </c>
      <c r="AF1700">
        <v>1.62713422297234</v>
      </c>
      <c r="AG1700">
        <v>-1.1057944618240001</v>
      </c>
      <c r="AH1700">
        <v>29.559009880471599</v>
      </c>
      <c r="AI1700">
        <v>92.139184778049</v>
      </c>
      <c r="AJ1700">
        <v>86.849220274925798</v>
      </c>
      <c r="AK1700">
        <v>29.624405686615699</v>
      </c>
      <c r="AL1700">
        <v>92.095376772390907</v>
      </c>
      <c r="AM1700">
        <v>92.537241894004296</v>
      </c>
      <c r="AN1700">
        <v>0.99999993885155103</v>
      </c>
    </row>
    <row r="1701" spans="1:40" x14ac:dyDescent="0.25">
      <c r="A1701" t="str">
        <f>"20190312151531506"</f>
        <v>20190312151531506</v>
      </c>
      <c r="B1701" t="str">
        <f>"1552374931499484"</f>
        <v>1552374931499484</v>
      </c>
      <c r="C1701" t="s">
        <v>40</v>
      </c>
      <c r="D1701">
        <v>4.449891</v>
      </c>
      <c r="E1701">
        <v>0.53784609999999899</v>
      </c>
      <c r="F1701" t="s">
        <v>51</v>
      </c>
      <c r="G1701">
        <v>-269.4606</v>
      </c>
      <c r="H1701" s="1">
        <v>3.4976580000000001E-6</v>
      </c>
      <c r="I1701">
        <v>284.43579999999997</v>
      </c>
      <c r="J1701">
        <v>-240.4384</v>
      </c>
      <c r="K1701">
        <v>1.105877</v>
      </c>
      <c r="L1701">
        <v>280.96339999999998</v>
      </c>
      <c r="M1701">
        <v>-0.99789530000000004</v>
      </c>
      <c r="N1701">
        <v>0</v>
      </c>
      <c r="O1701">
        <v>6.4611790000000002E-2</v>
      </c>
      <c r="P1701">
        <v>-0.99888220000000005</v>
      </c>
      <c r="Q1701">
        <v>-4.2884789999999999E-2</v>
      </c>
      <c r="R1701">
        <v>1.988637E-2</v>
      </c>
      <c r="S1701">
        <v>-2.992035</v>
      </c>
      <c r="T1701">
        <v>-0.11266420000000001</v>
      </c>
      <c r="U1701">
        <v>0.35623169999999998</v>
      </c>
      <c r="V1701">
        <v>-4.491995E-2</v>
      </c>
      <c r="W1701">
        <v>-3.7105020000000002E-2</v>
      </c>
      <c r="X1701">
        <v>0.99830129999999995</v>
      </c>
      <c r="Y1701">
        <v>5.3825829999999998E-2</v>
      </c>
      <c r="Z1701">
        <v>-1.410501E-3</v>
      </c>
      <c r="AA1701">
        <v>0.99854929999999997</v>
      </c>
      <c r="AB1701">
        <v>33</v>
      </c>
      <c r="AC1701">
        <v>-29.022200000000002</v>
      </c>
      <c r="AD1701">
        <v>-1.1058735023420001</v>
      </c>
      <c r="AE1701">
        <v>3.4723999999999902</v>
      </c>
      <c r="AF1701">
        <v>1.58766675391225</v>
      </c>
      <c r="AG1701">
        <v>-1.1058735023420001</v>
      </c>
      <c r="AH1701">
        <v>29.1441983640273</v>
      </c>
      <c r="AI1701">
        <v>92.169825537863005</v>
      </c>
      <c r="AJ1701">
        <v>86.881822688181998</v>
      </c>
      <c r="AK1701">
        <v>29.208353945514101</v>
      </c>
      <c r="AL1701">
        <v>92.126449103771293</v>
      </c>
      <c r="AM1701">
        <v>92.576365145145203</v>
      </c>
      <c r="AN1701">
        <v>1.00000003499944</v>
      </c>
    </row>
    <row r="1702" spans="1:40" x14ac:dyDescent="0.25">
      <c r="A1702" t="str">
        <f>"20190312151531526"</f>
        <v>20190312151531526</v>
      </c>
      <c r="B1702" t="str">
        <f>"1552374931519004"</f>
        <v>1552374931519004</v>
      </c>
      <c r="C1702" t="s">
        <v>40</v>
      </c>
      <c r="D1702">
        <v>4.367769</v>
      </c>
      <c r="E1702">
        <v>0.52911940000000002</v>
      </c>
      <c r="F1702" t="s">
        <v>51</v>
      </c>
      <c r="G1702">
        <v>-269.39400000000001</v>
      </c>
      <c r="H1702" s="1">
        <v>3.4622460000000001E-6</v>
      </c>
      <c r="I1702">
        <v>284.46289999999999</v>
      </c>
      <c r="J1702">
        <v>-240.75069999999999</v>
      </c>
      <c r="K1702">
        <v>1.1059699999999999</v>
      </c>
      <c r="L1702">
        <v>280.98579999999998</v>
      </c>
      <c r="M1702">
        <v>-0.9977376</v>
      </c>
      <c r="N1702">
        <v>0</v>
      </c>
      <c r="O1702">
        <v>6.7003370000000007E-2</v>
      </c>
      <c r="P1702">
        <v>-0.99886490000000006</v>
      </c>
      <c r="Q1702">
        <v>-4.265174E-2</v>
      </c>
      <c r="R1702">
        <v>2.1211600000000001E-2</v>
      </c>
      <c r="S1702">
        <v>-2.991241</v>
      </c>
      <c r="T1702">
        <v>-0.1142417</v>
      </c>
      <c r="U1702">
        <v>0.36151119999999998</v>
      </c>
      <c r="V1702">
        <v>-4.5979020000000002E-2</v>
      </c>
      <c r="W1702">
        <v>-3.6863439999999997E-2</v>
      </c>
      <c r="X1702">
        <v>0.99826199999999998</v>
      </c>
      <c r="Y1702">
        <v>5.3203359999999998E-2</v>
      </c>
      <c r="Z1702">
        <v>-1.5329160000000001E-3</v>
      </c>
      <c r="AA1702">
        <v>0.99858250000000004</v>
      </c>
      <c r="AB1702">
        <v>33</v>
      </c>
      <c r="AC1702">
        <v>-28.6433</v>
      </c>
      <c r="AD1702">
        <v>-1.105966537754</v>
      </c>
      <c r="AE1702">
        <v>3.4771000000000001</v>
      </c>
      <c r="AF1702">
        <v>1.5477851846583599</v>
      </c>
      <c r="AG1702">
        <v>-1.105966537754</v>
      </c>
      <c r="AH1702">
        <v>28.769641587452</v>
      </c>
      <c r="AI1702">
        <v>92.198312320852693</v>
      </c>
      <c r="AJ1702">
        <v>86.920498716986998</v>
      </c>
      <c r="AK1702">
        <v>28.832465694611098</v>
      </c>
      <c r="AL1702">
        <v>92.112598183249602</v>
      </c>
      <c r="AM1702">
        <v>92.637126577683105</v>
      </c>
      <c r="AN1702">
        <v>1.0000000020663899</v>
      </c>
    </row>
    <row r="1703" spans="1:40" x14ac:dyDescent="0.25">
      <c r="A1703" t="str">
        <f>"20190312151531549"</f>
        <v>20190312151531549</v>
      </c>
      <c r="B1703" t="str">
        <f>"1552374931539504"</f>
        <v>1552374931539504</v>
      </c>
      <c r="C1703" t="s">
        <v>40</v>
      </c>
      <c r="D1703">
        <v>4.4149890000000003</v>
      </c>
      <c r="E1703">
        <v>0.52920159999999905</v>
      </c>
      <c r="F1703" t="s">
        <v>51</v>
      </c>
      <c r="G1703">
        <v>-265.49160000000001</v>
      </c>
      <c r="H1703" s="1">
        <v>1.385556E-6</v>
      </c>
      <c r="I1703">
        <v>283.43110000000001</v>
      </c>
      <c r="J1703">
        <v>-241.08269999999999</v>
      </c>
      <c r="K1703">
        <v>1.106082</v>
      </c>
      <c r="L1703">
        <v>281.01029999999997</v>
      </c>
      <c r="M1703">
        <v>-0.99757459999999998</v>
      </c>
      <c r="N1703">
        <v>0</v>
      </c>
      <c r="O1703">
        <v>6.9385009999999997E-2</v>
      </c>
      <c r="P1703">
        <v>-0.99884870000000003</v>
      </c>
      <c r="Q1703">
        <v>-4.218148E-2</v>
      </c>
      <c r="R1703">
        <v>2.2850240000000001E-2</v>
      </c>
      <c r="S1703">
        <v>-2.991425</v>
      </c>
      <c r="T1703">
        <v>-0.1337227</v>
      </c>
      <c r="U1703">
        <v>0.29565429999999998</v>
      </c>
      <c r="V1703">
        <v>-4.6712389999999999E-2</v>
      </c>
      <c r="W1703">
        <v>-3.6386229999999999E-2</v>
      </c>
      <c r="X1703">
        <v>0.99824550000000001</v>
      </c>
      <c r="Y1703">
        <v>2.910774E-2</v>
      </c>
      <c r="Z1703">
        <v>-2.4394360000000001E-3</v>
      </c>
      <c r="AA1703">
        <v>0.9995733</v>
      </c>
      <c r="AB1703">
        <v>33</v>
      </c>
      <c r="AC1703">
        <v>-24.408899999999999</v>
      </c>
      <c r="AD1703">
        <v>-1.1060806144440001</v>
      </c>
      <c r="AE1703">
        <v>2.4208000000000398</v>
      </c>
      <c r="AF1703">
        <v>0.71986408787207901</v>
      </c>
      <c r="AG1703">
        <v>-1.1060806144440001</v>
      </c>
      <c r="AH1703">
        <v>24.468287268260799</v>
      </c>
      <c r="AI1703">
        <v>92.587156300459696</v>
      </c>
      <c r="AJ1703">
        <v>88.314827686337793</v>
      </c>
      <c r="AK1703">
        <v>24.5038507274427</v>
      </c>
      <c r="AL1703">
        <v>92.085237624903897</v>
      </c>
      <c r="AM1703">
        <v>92.679172425862504</v>
      </c>
      <c r="AN1703">
        <v>1.0000000416916801</v>
      </c>
    </row>
    <row r="1704" spans="1:40" x14ac:dyDescent="0.25">
      <c r="A1704" t="str">
        <f>"20190312151531571"</f>
        <v>20190312151531571</v>
      </c>
      <c r="B1704" t="str">
        <f>"1552374931559020"</f>
        <v>1552374931559020</v>
      </c>
      <c r="C1704" t="s">
        <v>40</v>
      </c>
      <c r="D1704">
        <v>4.5175070000000002</v>
      </c>
      <c r="E1704">
        <v>0.52841850000000001</v>
      </c>
      <c r="F1704" t="s">
        <v>51</v>
      </c>
      <c r="G1704">
        <v>-268.75959999999998</v>
      </c>
      <c r="H1704" s="1">
        <v>3.1246250000000002E-6</v>
      </c>
      <c r="I1704">
        <v>283.7987</v>
      </c>
      <c r="J1704">
        <v>-241.41309999999999</v>
      </c>
      <c r="K1704">
        <v>1.1062190000000001</v>
      </c>
      <c r="L1704">
        <v>281.03539999999998</v>
      </c>
      <c r="M1704">
        <v>-0.99741999999999997</v>
      </c>
      <c r="N1704">
        <v>0</v>
      </c>
      <c r="O1704">
        <v>7.1572640000000007E-2</v>
      </c>
      <c r="P1704">
        <v>-0.99882899999999997</v>
      </c>
      <c r="Q1704">
        <v>-4.2122420000000001E-2</v>
      </c>
      <c r="R1704">
        <v>2.3807350000000001E-2</v>
      </c>
      <c r="S1704">
        <v>-2.9915310000000002</v>
      </c>
      <c r="T1704">
        <v>-0.1195538</v>
      </c>
      <c r="U1704">
        <v>0.30139159999999998</v>
      </c>
      <c r="V1704">
        <v>-4.7932469999999998E-2</v>
      </c>
      <c r="W1704">
        <v>-3.6316590000000003E-2</v>
      </c>
      <c r="X1704">
        <v>0.99819020000000003</v>
      </c>
      <c r="Y1704">
        <v>2.8804159999999999E-2</v>
      </c>
      <c r="Z1704">
        <v>-2.273752E-3</v>
      </c>
      <c r="AA1704">
        <v>0.99958250000000004</v>
      </c>
      <c r="AB1704">
        <v>33</v>
      </c>
      <c r="AC1704">
        <v>-27.346499999999899</v>
      </c>
      <c r="AD1704">
        <v>-1.106215875375</v>
      </c>
      <c r="AE1704">
        <v>2.7633000000000099</v>
      </c>
      <c r="AF1704">
        <v>0.79762974069107495</v>
      </c>
      <c r="AG1704">
        <v>-1.106215875375</v>
      </c>
      <c r="AH1704">
        <v>27.429713497369899</v>
      </c>
      <c r="AI1704">
        <v>92.308461422121994</v>
      </c>
      <c r="AJ1704">
        <v>88.3343631023358</v>
      </c>
      <c r="AK1704">
        <v>27.463596073965999</v>
      </c>
      <c r="AL1704">
        <v>92.081244899347894</v>
      </c>
      <c r="AM1704">
        <v>92.749195759572004</v>
      </c>
      <c r="AN1704">
        <v>1.00000004588278</v>
      </c>
    </row>
    <row r="1705" spans="1:40" x14ac:dyDescent="0.25">
      <c r="A1705" t="str">
        <f>"20190312151531594"</f>
        <v>20190312151531594</v>
      </c>
      <c r="B1705" t="str">
        <f>"1552374931589277"</f>
        <v>1552374931589277</v>
      </c>
      <c r="C1705" t="s">
        <v>40</v>
      </c>
      <c r="D1705">
        <v>4.4390000000000001</v>
      </c>
      <c r="E1705">
        <v>0.52804180000000001</v>
      </c>
      <c r="F1705" t="s">
        <v>51</v>
      </c>
      <c r="G1705">
        <v>-273.36070000000001</v>
      </c>
      <c r="H1705" s="1">
        <v>2.6889810000000002E-7</v>
      </c>
      <c r="I1705">
        <v>284.22030000000001</v>
      </c>
      <c r="J1705">
        <v>-241.75</v>
      </c>
      <c r="K1705">
        <v>1.1063730000000001</v>
      </c>
      <c r="L1705">
        <v>281.06150000000002</v>
      </c>
      <c r="M1705">
        <v>-0.9972723</v>
      </c>
      <c r="N1705">
        <v>0</v>
      </c>
      <c r="O1705">
        <v>7.3598300000000005E-2</v>
      </c>
      <c r="P1705">
        <v>-0.99882700000000002</v>
      </c>
      <c r="Q1705">
        <v>-4.216512E-2</v>
      </c>
      <c r="R1705">
        <v>2.3801249999999999E-2</v>
      </c>
      <c r="S1705">
        <v>-2.992035</v>
      </c>
      <c r="T1705">
        <v>-0.103602399999999</v>
      </c>
      <c r="U1705">
        <v>0.29827880000000001</v>
      </c>
      <c r="V1705">
        <v>-4.9952820000000002E-2</v>
      </c>
      <c r="W1705">
        <v>-3.6345719999999998E-2</v>
      </c>
      <c r="X1705">
        <v>0.99809000000000003</v>
      </c>
      <c r="Y1705">
        <v>2.5722080000000001E-2</v>
      </c>
      <c r="Z1705">
        <v>-2.0932630000000002E-3</v>
      </c>
      <c r="AA1705">
        <v>0.99966690000000002</v>
      </c>
      <c r="AB1705">
        <v>33</v>
      </c>
      <c r="AC1705">
        <v>-31.610700000000001</v>
      </c>
      <c r="AD1705">
        <v>-1.1063727311018901</v>
      </c>
      <c r="AE1705">
        <v>3.1587999999999798</v>
      </c>
      <c r="AF1705">
        <v>0.82270498359591104</v>
      </c>
      <c r="AG1705">
        <v>-1.1063727311018901</v>
      </c>
      <c r="AH1705">
        <v>31.718982548953498</v>
      </c>
      <c r="AI1705">
        <v>91.997022213218898</v>
      </c>
      <c r="AJ1705">
        <v>88.514234905144804</v>
      </c>
      <c r="AK1705">
        <v>31.748933179730301</v>
      </c>
      <c r="AL1705">
        <v>92.082915182222095</v>
      </c>
      <c r="AM1705">
        <v>92.865172132228196</v>
      </c>
      <c r="AN1705">
        <v>0.99999997184413503</v>
      </c>
    </row>
    <row r="1706" spans="1:40" x14ac:dyDescent="0.25">
      <c r="A1706" t="str">
        <f>"20190312151531616"</f>
        <v>20190312151531616</v>
      </c>
      <c r="B1706" t="str">
        <f>"1552374931609772"</f>
        <v>1552374931609772</v>
      </c>
      <c r="C1706" t="s">
        <v>40</v>
      </c>
      <c r="D1706">
        <v>4.4787720000000002</v>
      </c>
      <c r="E1706">
        <v>0.52785660000000001</v>
      </c>
      <c r="F1706" t="s">
        <v>51</v>
      </c>
      <c r="G1706">
        <v>-275.49020000000002</v>
      </c>
      <c r="H1706" s="1">
        <v>1.3946759999999999E-6</v>
      </c>
      <c r="I1706">
        <v>284.39069999999998</v>
      </c>
      <c r="J1706">
        <v>-242.0926</v>
      </c>
      <c r="K1706">
        <v>1.106533</v>
      </c>
      <c r="L1706">
        <v>281.08850000000001</v>
      </c>
      <c r="M1706">
        <v>-0.99713600000000002</v>
      </c>
      <c r="N1706">
        <v>0</v>
      </c>
      <c r="O1706">
        <v>7.5422100000000006E-2</v>
      </c>
      <c r="P1706">
        <v>-0.99884740000000005</v>
      </c>
      <c r="Q1706">
        <v>-4.156688E-2</v>
      </c>
      <c r="R1706">
        <v>2.400656E-2</v>
      </c>
      <c r="S1706">
        <v>-2.9923250000000001</v>
      </c>
      <c r="T1706">
        <v>-9.8121169999999994E-2</v>
      </c>
      <c r="U1706">
        <v>0.29525759999999901</v>
      </c>
      <c r="V1706">
        <v>-5.1557289999999999E-2</v>
      </c>
      <c r="W1706">
        <v>-3.5737829999999998E-2</v>
      </c>
      <c r="X1706">
        <v>0.99803039999999998</v>
      </c>
      <c r="Y1706">
        <v>2.2884149999999999E-2</v>
      </c>
      <c r="Z1706">
        <v>-2.0883210000000002E-3</v>
      </c>
      <c r="AA1706">
        <v>0.99973599999999996</v>
      </c>
      <c r="AB1706">
        <v>34</v>
      </c>
      <c r="AC1706">
        <v>-33.397599999999997</v>
      </c>
      <c r="AD1706">
        <v>-1.106531605324</v>
      </c>
      <c r="AE1706">
        <v>3.3021999999999698</v>
      </c>
      <c r="AF1706">
        <v>0.77299715463599705</v>
      </c>
      <c r="AG1706">
        <v>-1.106531605324</v>
      </c>
      <c r="AH1706">
        <v>33.515098821717999</v>
      </c>
      <c r="AI1706">
        <v>91.890483218781796</v>
      </c>
      <c r="AJ1706">
        <v>88.678755985662505</v>
      </c>
      <c r="AK1706">
        <v>33.542268644565098</v>
      </c>
      <c r="AL1706">
        <v>92.048062920987206</v>
      </c>
      <c r="AM1706">
        <v>92.957216102274899</v>
      </c>
      <c r="AN1706">
        <v>1.0000000129847</v>
      </c>
    </row>
    <row r="1707" spans="1:40" x14ac:dyDescent="0.25">
      <c r="A1707" t="str">
        <f>"20190312151531639"</f>
        <v>20190312151531639</v>
      </c>
      <c r="B1707" t="str">
        <f>"1552374931629307"</f>
        <v>1552374931629307</v>
      </c>
      <c r="C1707" t="s">
        <v>40</v>
      </c>
      <c r="D1707">
        <v>4.465103</v>
      </c>
      <c r="E1707">
        <v>0.52745540000000002</v>
      </c>
      <c r="F1707" t="s">
        <v>51</v>
      </c>
      <c r="G1707">
        <v>-276.38749999999999</v>
      </c>
      <c r="H1707" s="1">
        <v>1.86907E-6</v>
      </c>
      <c r="I1707">
        <v>284.46230000000003</v>
      </c>
      <c r="J1707">
        <v>-242.42930000000001</v>
      </c>
      <c r="K1707">
        <v>1.1066830000000001</v>
      </c>
      <c r="L1707">
        <v>281.1155</v>
      </c>
      <c r="M1707">
        <v>-0.99701269999999997</v>
      </c>
      <c r="N1707">
        <v>0</v>
      </c>
      <c r="O1707">
        <v>7.7032760000000006E-2</v>
      </c>
      <c r="P1707">
        <v>-0.99889079999999997</v>
      </c>
      <c r="Q1707">
        <v>-4.0566860000000003E-2</v>
      </c>
      <c r="R1707">
        <v>2.3906940000000002E-2</v>
      </c>
      <c r="S1707">
        <v>-2.9923549999999999</v>
      </c>
      <c r="T1707">
        <v>-9.6548800000000004E-2</v>
      </c>
      <c r="U1707">
        <v>0.29437259999999998</v>
      </c>
      <c r="V1707">
        <v>-5.3254250000000003E-2</v>
      </c>
      <c r="W1707">
        <v>-3.472778E-2</v>
      </c>
      <c r="X1707">
        <v>0.997977</v>
      </c>
      <c r="Y1707">
        <v>2.097622E-2</v>
      </c>
      <c r="Z1707">
        <v>-2.1372069999999999E-3</v>
      </c>
      <c r="AA1707">
        <v>0.99977769999999999</v>
      </c>
      <c r="AB1707">
        <v>34</v>
      </c>
      <c r="AC1707">
        <v>-33.958199999999898</v>
      </c>
      <c r="AD1707">
        <v>-1.10668113093</v>
      </c>
      <c r="AE1707">
        <v>3.34680000000002</v>
      </c>
      <c r="AF1707">
        <v>0.72016212603430796</v>
      </c>
      <c r="AG1707">
        <v>-1.10668113093</v>
      </c>
      <c r="AH1707">
        <v>34.079262860274</v>
      </c>
      <c r="AI1707">
        <v>91.859539784897393</v>
      </c>
      <c r="AJ1707">
        <v>88.7894072071702</v>
      </c>
      <c r="AK1707">
        <v>34.104831530341599</v>
      </c>
      <c r="AL1707">
        <v>91.990155264268097</v>
      </c>
      <c r="AM1707">
        <v>93.054531858312203</v>
      </c>
      <c r="AN1707">
        <v>1.00000006318789</v>
      </c>
    </row>
    <row r="1708" spans="1:40" x14ac:dyDescent="0.25">
      <c r="A1708" t="str">
        <f>"20190312151531660"</f>
        <v>20190312151531660</v>
      </c>
      <c r="B1708" t="str">
        <f>"1552374931649788"</f>
        <v>1552374931649788</v>
      </c>
      <c r="C1708" t="s">
        <v>40</v>
      </c>
      <c r="D1708">
        <v>4.4735290000000001</v>
      </c>
      <c r="E1708">
        <v>0.52718189999999998</v>
      </c>
      <c r="F1708" t="s">
        <v>51</v>
      </c>
      <c r="G1708">
        <v>-275.0761</v>
      </c>
      <c r="H1708" s="1">
        <v>1.1788E-6</v>
      </c>
      <c r="I1708">
        <v>284.28800000000001</v>
      </c>
      <c r="J1708">
        <v>-242.75210000000001</v>
      </c>
      <c r="K1708">
        <v>1.106827</v>
      </c>
      <c r="L1708">
        <v>281.14179999999999</v>
      </c>
      <c r="M1708">
        <v>-0.99690650000000003</v>
      </c>
      <c r="N1708">
        <v>0</v>
      </c>
      <c r="O1708">
        <v>7.8394290000000005E-2</v>
      </c>
      <c r="P1708">
        <v>-0.99889830000000002</v>
      </c>
      <c r="Q1708">
        <v>-4.0285250000000002E-2</v>
      </c>
      <c r="R1708">
        <v>2.407569E-2</v>
      </c>
      <c r="S1708">
        <v>-2.9922490000000002</v>
      </c>
      <c r="T1708">
        <v>-0.1014333</v>
      </c>
      <c r="U1708">
        <v>0.29077150000000002</v>
      </c>
      <c r="V1708">
        <v>-5.4435879999999999E-2</v>
      </c>
      <c r="W1708">
        <v>-3.4439459999999998E-2</v>
      </c>
      <c r="X1708">
        <v>0.99792320000000001</v>
      </c>
      <c r="Y1708">
        <v>1.8427659999999998E-2</v>
      </c>
      <c r="Z1708">
        <v>-2.3344360000000001E-3</v>
      </c>
      <c r="AA1708">
        <v>0.99982740000000003</v>
      </c>
      <c r="AB1708">
        <v>34</v>
      </c>
      <c r="AC1708">
        <v>-32.323999999999899</v>
      </c>
      <c r="AD1708">
        <v>-1.1068258211999999</v>
      </c>
      <c r="AE1708">
        <v>3.1462000000000199</v>
      </c>
      <c r="AF1708">
        <v>0.60176083340665099</v>
      </c>
      <c r="AG1708">
        <v>-1.1068258211999999</v>
      </c>
      <c r="AH1708">
        <v>32.433494563752298</v>
      </c>
      <c r="AI1708">
        <v>91.954181891400495</v>
      </c>
      <c r="AJ1708">
        <v>88.9370741252621</v>
      </c>
      <c r="AK1708">
        <v>32.457953557118302</v>
      </c>
      <c r="AL1708">
        <v>91.973625929264799</v>
      </c>
      <c r="AM1708">
        <v>93.122342579722201</v>
      </c>
      <c r="AN1708">
        <v>1.0000000272673499</v>
      </c>
    </row>
    <row r="1709" spans="1:40" x14ac:dyDescent="0.25">
      <c r="A1709" t="str">
        <f>"20190312151531750"</f>
        <v>20190312151531750</v>
      </c>
      <c r="B1709" t="str">
        <f>"1552374931739332"</f>
        <v>1552374931739332</v>
      </c>
      <c r="C1709" t="s">
        <v>40</v>
      </c>
      <c r="D1709">
        <v>4.4780410000000002</v>
      </c>
      <c r="E1709">
        <v>0.52775039999999995</v>
      </c>
      <c r="F1709" t="s">
        <v>51</v>
      </c>
      <c r="G1709">
        <v>-274.21800000000002</v>
      </c>
      <c r="H1709" s="1">
        <v>7.267874E-7</v>
      </c>
      <c r="I1709">
        <v>284.18200000000002</v>
      </c>
      <c r="J1709">
        <v>-244.11709999999999</v>
      </c>
      <c r="K1709">
        <v>1.1076520000000001</v>
      </c>
      <c r="L1709">
        <v>281.25470000000001</v>
      </c>
      <c r="M1709">
        <v>-0.9966372</v>
      </c>
      <c r="N1709">
        <v>0</v>
      </c>
      <c r="O1709">
        <v>8.1738790000000006E-2</v>
      </c>
      <c r="P1709">
        <v>-0.99895020000000001</v>
      </c>
      <c r="Q1709">
        <v>-3.8852940000000002E-2</v>
      </c>
      <c r="R1709">
        <v>2.4270480000000001E-2</v>
      </c>
      <c r="S1709">
        <v>-2.9920960000000001</v>
      </c>
      <c r="T1709">
        <v>-0.1052482</v>
      </c>
      <c r="U1709">
        <v>0.28909299999999999</v>
      </c>
      <c r="V1709">
        <v>-5.7524760000000001E-2</v>
      </c>
      <c r="W1709">
        <v>-3.2997430000000001E-2</v>
      </c>
      <c r="X1709">
        <v>0.99779859999999998</v>
      </c>
      <c r="Y1709">
        <v>1.452899E-2</v>
      </c>
      <c r="Z1709">
        <v>-2.6076020000000001E-3</v>
      </c>
      <c r="AA1709">
        <v>0.99989099999999997</v>
      </c>
      <c r="AB1709">
        <v>34</v>
      </c>
      <c r="AC1709">
        <v>-30.100899999999999</v>
      </c>
      <c r="AD1709">
        <v>-1.1076512732126</v>
      </c>
      <c r="AE1709">
        <v>2.9272999999999998</v>
      </c>
      <c r="AF1709">
        <v>0.45644021715204097</v>
      </c>
      <c r="AG1709">
        <v>-1.1076512732126</v>
      </c>
      <c r="AH1709">
        <v>30.198941607143901</v>
      </c>
      <c r="AI1709">
        <v>92.1003407788223</v>
      </c>
      <c r="AJ1709">
        <v>89.134072074284305</v>
      </c>
      <c r="AK1709">
        <v>30.222695167813399</v>
      </c>
      <c r="AL1709">
        <v>91.890956758953905</v>
      </c>
      <c r="AM1709">
        <v>93.299545275831605</v>
      </c>
      <c r="AN1709">
        <v>0.99999998728081096</v>
      </c>
    </row>
    <row r="1710" spans="1:40" x14ac:dyDescent="0.25">
      <c r="A1710" t="str">
        <f>"20190312151531772"</f>
        <v>20190312151531772</v>
      </c>
      <c r="B1710" t="str">
        <f>"1552374931769589"</f>
        <v>1552374931769589</v>
      </c>
      <c r="C1710" t="s">
        <v>40</v>
      </c>
      <c r="D1710">
        <v>4.2880390000000004</v>
      </c>
      <c r="E1710">
        <v>0.52251429999999999</v>
      </c>
      <c r="F1710" t="s">
        <v>52</v>
      </c>
      <c r="G1710">
        <v>-291.77809999999999</v>
      </c>
      <c r="H1710" s="1">
        <v>2.4048470000000001E-6</v>
      </c>
      <c r="I1710">
        <v>285.9468</v>
      </c>
      <c r="J1710">
        <v>-244.4641</v>
      </c>
      <c r="K1710">
        <v>1.107888</v>
      </c>
      <c r="L1710">
        <v>281.28339999999997</v>
      </c>
      <c r="M1710">
        <v>-0.99662099999999998</v>
      </c>
      <c r="N1710">
        <v>0</v>
      </c>
      <c r="O1710">
        <v>8.1934779999999999E-2</v>
      </c>
      <c r="P1710">
        <v>-0.99900560000000005</v>
      </c>
      <c r="Q1710">
        <v>-3.8158949999999997E-2</v>
      </c>
      <c r="R1710">
        <v>2.3062639999999999E-2</v>
      </c>
      <c r="S1710">
        <v>-2.993271</v>
      </c>
      <c r="T1710">
        <v>-6.9564100000000004E-2</v>
      </c>
      <c r="U1710">
        <v>0.29467769999999999</v>
      </c>
      <c r="V1710">
        <v>-5.8909620000000003E-2</v>
      </c>
      <c r="W1710">
        <v>-3.2304439999999997E-2</v>
      </c>
      <c r="X1710">
        <v>0.99774050000000003</v>
      </c>
      <c r="Y1710">
        <v>1.611926E-2</v>
      </c>
      <c r="Z1710">
        <v>-1.7090269999999999E-3</v>
      </c>
      <c r="AA1710">
        <v>0.9998686</v>
      </c>
      <c r="AB1710">
        <v>34</v>
      </c>
      <c r="AC1710">
        <v>-47.313999999999901</v>
      </c>
      <c r="AD1710">
        <v>-1.107885595153</v>
      </c>
      <c r="AE1710">
        <v>4.6634000000000198</v>
      </c>
      <c r="AF1710">
        <v>0.77057458408490997</v>
      </c>
      <c r="AG1710">
        <v>-1.107885595153</v>
      </c>
      <c r="AH1710">
        <v>47.5112122287657</v>
      </c>
      <c r="AI1710">
        <v>91.335628407239895</v>
      </c>
      <c r="AJ1710">
        <v>89.070812998860106</v>
      </c>
      <c r="AK1710">
        <v>47.530374321357897</v>
      </c>
      <c r="AL1710">
        <v>91.851230126651998</v>
      </c>
      <c r="AM1710">
        <v>93.378993462061899</v>
      </c>
      <c r="AN1710">
        <v>1.0000000127562501</v>
      </c>
    </row>
    <row r="1711" spans="1:40" x14ac:dyDescent="0.25">
      <c r="A1711" t="str">
        <f>"20190312151531795"</f>
        <v>20190312151531795</v>
      </c>
      <c r="B1711" t="str">
        <f>"1552374931789108"</f>
        <v>1552374931789108</v>
      </c>
      <c r="C1711" t="s">
        <v>40</v>
      </c>
      <c r="D1711">
        <v>4.4187519999999996</v>
      </c>
      <c r="E1711">
        <v>0.52011169999999995</v>
      </c>
      <c r="F1711" t="s">
        <v>51</v>
      </c>
      <c r="G1711">
        <v>-344.44310000000002</v>
      </c>
      <c r="H1711">
        <v>5.4641679999999998E-2</v>
      </c>
      <c r="I1711">
        <v>289.62099999999998</v>
      </c>
      <c r="J1711">
        <v>-244.81790000000001</v>
      </c>
      <c r="K1711">
        <v>1.1081289999999999</v>
      </c>
      <c r="L1711">
        <v>281.3125</v>
      </c>
      <c r="M1711">
        <v>-0.99662859999999998</v>
      </c>
      <c r="N1711">
        <v>0</v>
      </c>
      <c r="O1711">
        <v>8.1838640000000004E-2</v>
      </c>
      <c r="P1711">
        <v>-0.99907380000000001</v>
      </c>
      <c r="Q1711">
        <v>-3.7071420000000001E-2</v>
      </c>
      <c r="R1711">
        <v>2.1853689999999999E-2</v>
      </c>
      <c r="S1711">
        <v>-2.9960330000000002</v>
      </c>
      <c r="T1711">
        <v>-3.156221E-2</v>
      </c>
      <c r="U1711">
        <v>0.2498474</v>
      </c>
      <c r="V1711">
        <v>-6.0004490000000001E-2</v>
      </c>
      <c r="W1711">
        <v>-3.121999E-2</v>
      </c>
      <c r="X1711">
        <v>0.99770979999999998</v>
      </c>
      <c r="Y1711">
        <v>1.273001E-3</v>
      </c>
      <c r="Z1711">
        <v>-8.5249190000000002E-4</v>
      </c>
      <c r="AA1711">
        <v>0.99999879999999997</v>
      </c>
      <c r="AB1711">
        <v>34</v>
      </c>
      <c r="AC1711">
        <v>-99.625200000000007</v>
      </c>
      <c r="AD1711">
        <v>-1.0534873199999999</v>
      </c>
      <c r="AE1711">
        <v>8.3084999999999791</v>
      </c>
      <c r="AF1711">
        <v>0.12728586643860401</v>
      </c>
      <c r="AG1711">
        <v>-1.0534873199999999</v>
      </c>
      <c r="AH1711">
        <v>99.959872670042699</v>
      </c>
      <c r="AI1711">
        <v>90.603823234426301</v>
      </c>
      <c r="AJ1711">
        <v>89.927041333666807</v>
      </c>
      <c r="AK1711">
        <v>99.965504957641997</v>
      </c>
      <c r="AL1711">
        <v>91.789064309524207</v>
      </c>
      <c r="AM1711">
        <v>93.441750110666902</v>
      </c>
      <c r="AN1711">
        <v>1.00000003580589</v>
      </c>
    </row>
    <row r="1712" spans="1:40" x14ac:dyDescent="0.25">
      <c r="A1712" t="str">
        <f>"20190312151531817"</f>
        <v>20190312151531817</v>
      </c>
      <c r="B1712" t="str">
        <f>"1552374931809605"</f>
        <v>1552374931809605</v>
      </c>
      <c r="C1712" t="s">
        <v>40</v>
      </c>
      <c r="D1712">
        <v>4.3551359999999999</v>
      </c>
      <c r="E1712">
        <v>0.51758170000000003</v>
      </c>
      <c r="F1712" t="s">
        <v>51</v>
      </c>
      <c r="G1712">
        <v>-396.63819999999998</v>
      </c>
      <c r="H1712">
        <v>8.0000500000000002E-2</v>
      </c>
      <c r="I1712">
        <v>292.82799999999997</v>
      </c>
      <c r="J1712">
        <v>-245.15520000000001</v>
      </c>
      <c r="K1712">
        <v>1.108352</v>
      </c>
      <c r="L1712">
        <v>281.3399</v>
      </c>
      <c r="M1712">
        <v>-0.99665680000000001</v>
      </c>
      <c r="N1712">
        <v>0</v>
      </c>
      <c r="O1712">
        <v>8.1491809999999998E-2</v>
      </c>
      <c r="P1712">
        <v>-0.99915080000000001</v>
      </c>
      <c r="Q1712">
        <v>-3.6055110000000001E-2</v>
      </c>
      <c r="R1712">
        <v>1.9943869999999999E-2</v>
      </c>
      <c r="S1712">
        <v>-2.997055</v>
      </c>
      <c r="T1712">
        <v>-2.0296100000000001E-2</v>
      </c>
      <c r="U1712">
        <v>0.22732540000000001</v>
      </c>
      <c r="V1712">
        <v>-6.1550590000000002E-2</v>
      </c>
      <c r="W1712">
        <v>-3.0207870000000001E-2</v>
      </c>
      <c r="X1712">
        <v>0.9976467</v>
      </c>
      <c r="Y1712">
        <v>-5.8770139999999998E-3</v>
      </c>
      <c r="Z1712">
        <v>-5.7006259999999997E-4</v>
      </c>
      <c r="AA1712">
        <v>0.99998260000000005</v>
      </c>
      <c r="AB1712">
        <v>35</v>
      </c>
      <c r="AC1712">
        <v>-151.48299999999901</v>
      </c>
      <c r="AD1712">
        <v>-1.0283514999999901</v>
      </c>
      <c r="AE1712">
        <v>11.4880999999999</v>
      </c>
      <c r="AF1712">
        <v>-0.89490521668141898</v>
      </c>
      <c r="AG1712">
        <v>-1.0283514999999901</v>
      </c>
      <c r="AH1712">
        <v>151.90839347121999</v>
      </c>
      <c r="AI1712">
        <v>90.387854002711606</v>
      </c>
      <c r="AJ1712">
        <v>90.337530386996704</v>
      </c>
      <c r="AK1712">
        <v>151.91451006787199</v>
      </c>
      <c r="AL1712">
        <v>91.731046856842894</v>
      </c>
      <c r="AM1712">
        <v>93.530432892674099</v>
      </c>
      <c r="AN1712">
        <v>0.99999996428008597</v>
      </c>
    </row>
    <row r="1713" spans="1:40" x14ac:dyDescent="0.25">
      <c r="A1713" t="str">
        <f>"20190312151531838"</f>
        <v>20190312151531838</v>
      </c>
      <c r="B1713" t="str">
        <f>"1552374931829124"</f>
        <v>1552374931829124</v>
      </c>
      <c r="C1713" t="s">
        <v>40</v>
      </c>
      <c r="D1713">
        <v>4.4469479999999999</v>
      </c>
      <c r="E1713">
        <v>0.51594569999999995</v>
      </c>
      <c r="F1713" t="s">
        <v>51</v>
      </c>
      <c r="G1713">
        <v>-388.74889999999999</v>
      </c>
      <c r="H1713">
        <v>8.0001119999999995E-2</v>
      </c>
      <c r="I1713">
        <v>290.99220000000003</v>
      </c>
      <c r="J1713">
        <v>-245.4915</v>
      </c>
      <c r="K1713">
        <v>1.108549</v>
      </c>
      <c r="L1713">
        <v>281.36700000000002</v>
      </c>
      <c r="M1713">
        <v>-0.99670119999999895</v>
      </c>
      <c r="N1713">
        <v>0</v>
      </c>
      <c r="O1713">
        <v>8.0946690000000002E-2</v>
      </c>
      <c r="P1713">
        <v>-0.9992259</v>
      </c>
      <c r="Q1713">
        <v>-3.538583E-2</v>
      </c>
      <c r="R1713">
        <v>1.7196309999999999E-2</v>
      </c>
      <c r="S1713">
        <v>-2.9977719999999999</v>
      </c>
      <c r="T1713">
        <v>-2.1468640000000001E-2</v>
      </c>
      <c r="U1713">
        <v>0.20150760000000001</v>
      </c>
      <c r="V1713">
        <v>-6.3735249999999993E-2</v>
      </c>
      <c r="W1713">
        <v>-2.954294E-2</v>
      </c>
      <c r="X1713">
        <v>0.99752940000000001</v>
      </c>
      <c r="Y1713">
        <v>-1.3915749999999999E-2</v>
      </c>
      <c r="Z1713">
        <v>-6.2795500000000003E-4</v>
      </c>
      <c r="AA1713">
        <v>0.99990299999999999</v>
      </c>
      <c r="AB1713">
        <v>35</v>
      </c>
      <c r="AC1713">
        <v>-143.25739999999999</v>
      </c>
      <c r="AD1713">
        <v>-1.0285478800000001</v>
      </c>
      <c r="AE1713">
        <v>9.6251999999999995</v>
      </c>
      <c r="AF1713">
        <v>-2.0026955856752</v>
      </c>
      <c r="AG1713">
        <v>-1.0285478800000001</v>
      </c>
      <c r="AH1713">
        <v>143.55904945896799</v>
      </c>
      <c r="AI1713">
        <v>90.410456263171</v>
      </c>
      <c r="AJ1713">
        <v>90.799242976151206</v>
      </c>
      <c r="AK1713">
        <v>143.576702086072</v>
      </c>
      <c r="AL1713">
        <v>91.692932207381006</v>
      </c>
      <c r="AM1713">
        <v>93.6558358460466</v>
      </c>
      <c r="AN1713">
        <v>0.99999993563038003</v>
      </c>
    </row>
    <row r="1714" spans="1:40" x14ac:dyDescent="0.25">
      <c r="A1714" t="str">
        <f>"20190312151531861"</f>
        <v>20190312151531861</v>
      </c>
      <c r="B1714" t="str">
        <f>"1552374931858927"</f>
        <v>1552374931858927</v>
      </c>
      <c r="C1714" t="s">
        <v>40</v>
      </c>
      <c r="D1714">
        <v>4.4314419999999997</v>
      </c>
      <c r="E1714">
        <v>0.51350370000000001</v>
      </c>
      <c r="F1714" t="s">
        <v>51</v>
      </c>
      <c r="G1714">
        <v>-465.64330000000001</v>
      </c>
      <c r="H1714">
        <v>7.9999769999999998E-2</v>
      </c>
      <c r="I1714">
        <v>294.59010000000001</v>
      </c>
      <c r="J1714">
        <v>-245.85659999999999</v>
      </c>
      <c r="K1714">
        <v>1.108746</v>
      </c>
      <c r="L1714">
        <v>281.39600000000002</v>
      </c>
      <c r="M1714">
        <v>-0.99676569999999998</v>
      </c>
      <c r="N1714">
        <v>0</v>
      </c>
      <c r="O1714">
        <v>8.0144670000000001E-2</v>
      </c>
      <c r="P1714">
        <v>-0.99930379999999996</v>
      </c>
      <c r="Q1714">
        <v>-3.4536320000000002E-2</v>
      </c>
      <c r="R1714">
        <v>1.411774E-2</v>
      </c>
      <c r="S1714">
        <v>-2.9987339999999998</v>
      </c>
      <c r="T1714">
        <v>-1.4010069999999999E-2</v>
      </c>
      <c r="U1714">
        <v>0.18011469999999999</v>
      </c>
      <c r="V1714">
        <v>-6.5994189999999994E-2</v>
      </c>
      <c r="W1714">
        <v>-2.8698959999999999E-2</v>
      </c>
      <c r="X1714">
        <v>0.99740720000000005</v>
      </c>
      <c r="Y1714">
        <v>-2.023813E-2</v>
      </c>
      <c r="Z1714">
        <v>-4.2081049999999999E-4</v>
      </c>
      <c r="AA1714">
        <v>0.99979510000000005</v>
      </c>
      <c r="AB1714">
        <v>35</v>
      </c>
      <c r="AC1714">
        <v>-219.7867</v>
      </c>
      <c r="AD1714">
        <v>-1.0287462300000001</v>
      </c>
      <c r="AE1714">
        <v>13.194100000000001</v>
      </c>
      <c r="AF1714">
        <v>-4.4632868320647496</v>
      </c>
      <c r="AG1714">
        <v>-1.0287462300000001</v>
      </c>
      <c r="AH1714">
        <v>220.132324464287</v>
      </c>
      <c r="AI1714">
        <v>90.267703876178203</v>
      </c>
      <c r="AJ1714">
        <v>91.161539836327194</v>
      </c>
      <c r="AK1714">
        <v>220.17997075619999</v>
      </c>
      <c r="AL1714">
        <v>91.644555099510001</v>
      </c>
      <c r="AM1714">
        <v>93.785500157405593</v>
      </c>
      <c r="AN1714">
        <v>0.99999999301533804</v>
      </c>
    </row>
    <row r="1715" spans="1:40" x14ac:dyDescent="0.25">
      <c r="A1715" t="str">
        <f>"20190312151531884"</f>
        <v>20190312151531884</v>
      </c>
      <c r="B1715" t="str">
        <f>"1552374931879407"</f>
        <v>1552374931879407</v>
      </c>
      <c r="C1715" t="s">
        <v>40</v>
      </c>
      <c r="D1715">
        <v>4.4360439999999999</v>
      </c>
      <c r="E1715">
        <v>0.51202490000000001</v>
      </c>
      <c r="F1715" t="s">
        <v>53</v>
      </c>
      <c r="G1715">
        <v>-510.9538</v>
      </c>
      <c r="H1715">
        <v>0.4650955</v>
      </c>
      <c r="I1715">
        <v>294.80259999999998</v>
      </c>
      <c r="J1715">
        <v>-246.20160000000001</v>
      </c>
      <c r="K1715">
        <v>1.108932</v>
      </c>
      <c r="L1715">
        <v>281.423</v>
      </c>
      <c r="M1715">
        <v>-0.99684119999999998</v>
      </c>
      <c r="N1715">
        <v>0</v>
      </c>
      <c r="O1715">
        <v>7.9198409999999997E-2</v>
      </c>
      <c r="P1715">
        <v>-0.99936360000000002</v>
      </c>
      <c r="Q1715">
        <v>-3.4093419999999999E-2</v>
      </c>
      <c r="R1715">
        <v>1.0496510000000001E-2</v>
      </c>
      <c r="S1715">
        <v>-2.9997099999999999</v>
      </c>
      <c r="T1715">
        <v>-7.2822569999999899E-3</v>
      </c>
      <c r="U1715">
        <v>0.1517029</v>
      </c>
      <c r="V1715">
        <v>-6.8650089999999997E-2</v>
      </c>
      <c r="W1715">
        <v>-2.8263730000000001E-2</v>
      </c>
      <c r="X1715">
        <v>0.99724040000000003</v>
      </c>
      <c r="Y1715">
        <v>-2.87491E-2</v>
      </c>
      <c r="Z1715">
        <v>-2.2677360000000001E-4</v>
      </c>
      <c r="AA1715">
        <v>0.99958659999999999</v>
      </c>
      <c r="AB1715">
        <v>35</v>
      </c>
      <c r="AC1715">
        <v>-264.75220000000002</v>
      </c>
      <c r="AD1715">
        <v>-0.64383649999999903</v>
      </c>
      <c r="AE1715">
        <v>13.3795999999999</v>
      </c>
      <c r="AF1715">
        <v>-7.6307061839102897</v>
      </c>
      <c r="AG1715">
        <v>-0.64383649999999903</v>
      </c>
      <c r="AH1715">
        <v>264.978648914573</v>
      </c>
      <c r="AI1715">
        <v>90.139157458038696</v>
      </c>
      <c r="AJ1715">
        <v>91.649515775615896</v>
      </c>
      <c r="AK1715">
        <v>265.08928039982402</v>
      </c>
      <c r="AL1715">
        <v>91.619608053491604</v>
      </c>
      <c r="AM1715">
        <v>93.938032082744499</v>
      </c>
      <c r="AN1715">
        <v>1.0000000443413299</v>
      </c>
    </row>
    <row r="1716" spans="1:40" x14ac:dyDescent="0.25">
      <c r="A1716" t="str">
        <f>"20190312151531907"</f>
        <v>20190312151531907</v>
      </c>
      <c r="B1716" t="str">
        <f>"1552374931898930"</f>
        <v>1552374931898930</v>
      </c>
      <c r="C1716" t="s">
        <v>40</v>
      </c>
      <c r="D1716">
        <v>4.5045929999999998</v>
      </c>
      <c r="E1716">
        <v>0.51086319999999996</v>
      </c>
      <c r="F1716" t="s">
        <v>53</v>
      </c>
      <c r="G1716">
        <v>-550.05709999999999</v>
      </c>
      <c r="H1716">
        <v>0.59482400000000002</v>
      </c>
      <c r="I1716">
        <v>294.49599999999998</v>
      </c>
      <c r="J1716">
        <v>-246.56970000000001</v>
      </c>
      <c r="K1716">
        <v>1.109127</v>
      </c>
      <c r="L1716">
        <v>281.4513</v>
      </c>
      <c r="M1716">
        <v>-0.99693560000000003</v>
      </c>
      <c r="N1716">
        <v>0</v>
      </c>
      <c r="O1716">
        <v>7.7999490000000005E-2</v>
      </c>
      <c r="P1716">
        <v>-0.99939610000000001</v>
      </c>
      <c r="Q1716">
        <v>-3.4128539999999999E-2</v>
      </c>
      <c r="R1716">
        <v>6.5374300000000003E-3</v>
      </c>
      <c r="S1716">
        <v>-3.0004119999999999</v>
      </c>
      <c r="T1716">
        <v>-5.075693E-3</v>
      </c>
      <c r="U1716">
        <v>0.12908939999999999</v>
      </c>
      <c r="V1716">
        <v>-7.1387290000000006E-2</v>
      </c>
      <c r="W1716">
        <v>-2.830937E-2</v>
      </c>
      <c r="X1716">
        <v>0.99704680000000001</v>
      </c>
      <c r="Y1716">
        <v>-3.5075469999999997E-2</v>
      </c>
      <c r="Z1716">
        <v>-1.6138869999999999E-4</v>
      </c>
      <c r="AA1716">
        <v>0.99938459999999996</v>
      </c>
      <c r="AB1716">
        <v>35</v>
      </c>
      <c r="AC1716">
        <v>-303.48739999999998</v>
      </c>
      <c r="AD1716">
        <v>-0.51430299999999995</v>
      </c>
      <c r="AE1716">
        <v>13.044699999999899</v>
      </c>
      <c r="AF1716">
        <v>-10.6672953101872</v>
      </c>
      <c r="AG1716">
        <v>-0.51430299999999995</v>
      </c>
      <c r="AH1716">
        <v>303.57938987147702</v>
      </c>
      <c r="AI1716">
        <v>90.097006546423998</v>
      </c>
      <c r="AJ1716">
        <v>92.012454268321306</v>
      </c>
      <c r="AK1716">
        <v>303.76718330252299</v>
      </c>
      <c r="AL1716">
        <v>91.622224243177499</v>
      </c>
      <c r="AM1716">
        <v>94.095316848384698</v>
      </c>
      <c r="AN1716">
        <v>0.999999943496789</v>
      </c>
    </row>
    <row r="1717" spans="1:40" x14ac:dyDescent="0.25">
      <c r="A1717" t="str">
        <f>"20190312151531931"</f>
        <v>20190312151531931</v>
      </c>
      <c r="B1717" t="str">
        <f>"1552374931919423"</f>
        <v>1552374931919423</v>
      </c>
      <c r="C1717" t="s">
        <v>40</v>
      </c>
      <c r="D1717">
        <v>4.5414820000000002</v>
      </c>
      <c r="E1717">
        <v>0.50975709999999996</v>
      </c>
      <c r="F1717" t="s">
        <v>54</v>
      </c>
      <c r="G1717">
        <v>-864.25120000000004</v>
      </c>
      <c r="H1717">
        <v>-0.1</v>
      </c>
      <c r="I1717">
        <v>303.66239999999999</v>
      </c>
      <c r="J1717">
        <v>-246.93119999999999</v>
      </c>
      <c r="K1717">
        <v>1.1093090000000001</v>
      </c>
      <c r="L1717">
        <v>281.4785</v>
      </c>
      <c r="M1717">
        <v>-0.99704040000000005</v>
      </c>
      <c r="N1717">
        <v>0</v>
      </c>
      <c r="O1717">
        <v>7.6646339999999993E-2</v>
      </c>
      <c r="P1717">
        <v>-0.99943020000000005</v>
      </c>
      <c r="Q1717">
        <v>-3.3666550000000003E-2</v>
      </c>
      <c r="R1717">
        <v>2.466799E-3</v>
      </c>
      <c r="S1717">
        <v>-3.000931</v>
      </c>
      <c r="T1717">
        <v>-5.8743950000000001E-3</v>
      </c>
      <c r="U1717">
        <v>0.107910199999999</v>
      </c>
      <c r="V1717">
        <v>-7.4084129999999998E-2</v>
      </c>
      <c r="W1717">
        <v>-2.785994E-2</v>
      </c>
      <c r="X1717">
        <v>0.99686280000000005</v>
      </c>
      <c r="Y1717">
        <v>-4.0768029999999997E-2</v>
      </c>
      <c r="Z1717">
        <v>-1.8971839999999999E-4</v>
      </c>
      <c r="AA1717">
        <v>0.99916859999999996</v>
      </c>
      <c r="AB1717">
        <v>35</v>
      </c>
      <c r="AC1717">
        <v>-617.32000000000005</v>
      </c>
      <c r="AD1717">
        <v>-1.209309</v>
      </c>
      <c r="AE1717">
        <v>22.183899999999898</v>
      </c>
      <c r="AF1717">
        <v>-25.1974282869398</v>
      </c>
      <c r="AG1717">
        <v>-1.209309</v>
      </c>
      <c r="AH1717">
        <v>617.20197066052401</v>
      </c>
      <c r="AI1717">
        <v>90.112168378088498</v>
      </c>
      <c r="AJ1717">
        <v>92.337816613257701</v>
      </c>
      <c r="AK1717">
        <v>617.71728598750303</v>
      </c>
      <c r="AL1717">
        <v>91.596463486614496</v>
      </c>
      <c r="AM1717">
        <v>94.250253077167599</v>
      </c>
      <c r="AN1717">
        <v>1.00000003829924</v>
      </c>
    </row>
    <row r="1718" spans="1:40" x14ac:dyDescent="0.25">
      <c r="A1718" t="str">
        <f>"20190312151531952"</f>
        <v>20190312151531952</v>
      </c>
      <c r="B1718" t="str">
        <f>"1552374931949679"</f>
        <v>1552374931949679</v>
      </c>
      <c r="C1718" t="s">
        <v>40</v>
      </c>
      <c r="D1718">
        <v>4.4520239999999998</v>
      </c>
      <c r="E1718">
        <v>0.50825929999999997</v>
      </c>
      <c r="F1718" t="s">
        <v>54</v>
      </c>
      <c r="G1718">
        <v>-730.71979999999996</v>
      </c>
      <c r="H1718">
        <v>-0.1</v>
      </c>
      <c r="I1718">
        <v>295.52319999999997</v>
      </c>
      <c r="J1718">
        <v>-247.2749</v>
      </c>
      <c r="K1718">
        <v>1.1094679999999999</v>
      </c>
      <c r="L1718">
        <v>281.50369999999998</v>
      </c>
      <c r="M1718">
        <v>-0.99714979999999998</v>
      </c>
      <c r="N1718">
        <v>0</v>
      </c>
      <c r="O1718">
        <v>7.5207940000000001E-2</v>
      </c>
      <c r="P1718">
        <v>-0.99944560000000005</v>
      </c>
      <c r="Q1718">
        <v>-3.3266499999999997E-2</v>
      </c>
      <c r="R1718">
        <v>-1.4591929999999999E-3</v>
      </c>
      <c r="S1718">
        <v>-3.001236</v>
      </c>
      <c r="T1718">
        <v>-7.502079E-3</v>
      </c>
      <c r="U1718">
        <v>8.7127689999999994E-2</v>
      </c>
      <c r="V1718">
        <v>-7.6552220000000004E-2</v>
      </c>
      <c r="W1718">
        <v>-2.7473239999999999E-2</v>
      </c>
      <c r="X1718">
        <v>0.99668699999999999</v>
      </c>
      <c r="Y1718">
        <v>-4.624106E-2</v>
      </c>
      <c r="Z1718">
        <v>-2.4555479999999999E-4</v>
      </c>
      <c r="AA1718">
        <v>0.99893030000000005</v>
      </c>
      <c r="AB1718">
        <v>35</v>
      </c>
      <c r="AC1718">
        <v>-483.44490000000002</v>
      </c>
      <c r="AD1718">
        <v>-1.209468</v>
      </c>
      <c r="AE1718">
        <v>14.019499999999899</v>
      </c>
      <c r="AF1718">
        <v>-22.379616768936</v>
      </c>
      <c r="AG1718">
        <v>-1.209468</v>
      </c>
      <c r="AH1718">
        <v>483.12704837474399</v>
      </c>
      <c r="AI1718">
        <v>90.143281232488803</v>
      </c>
      <c r="AJ1718">
        <v>92.652183580307096</v>
      </c>
      <c r="AK1718">
        <v>483.646621957457</v>
      </c>
      <c r="AL1718">
        <v>91.574298787321297</v>
      </c>
      <c r="AM1718">
        <v>94.392075503629499</v>
      </c>
      <c r="AN1718">
        <v>0.99999999863601297</v>
      </c>
    </row>
    <row r="1719" spans="1:40" x14ac:dyDescent="0.25">
      <c r="A1719" t="str">
        <f>"20190312151531974"</f>
        <v>20190312151531974</v>
      </c>
      <c r="B1719" t="str">
        <f>"1552374931969488"</f>
        <v>1552374931969488</v>
      </c>
      <c r="C1719" t="s">
        <v>40</v>
      </c>
      <c r="D1719">
        <v>4.7724229999999999</v>
      </c>
      <c r="E1719">
        <v>0.50738870000000003</v>
      </c>
      <c r="F1719" t="s">
        <v>54</v>
      </c>
      <c r="G1719">
        <v>-665.20590000000004</v>
      </c>
      <c r="H1719">
        <v>-0.1</v>
      </c>
      <c r="I1719">
        <v>290.2955</v>
      </c>
      <c r="J1719">
        <v>-247.61699999999999</v>
      </c>
      <c r="K1719">
        <v>1.1096360000000001</v>
      </c>
      <c r="L1719">
        <v>281.52820000000003</v>
      </c>
      <c r="M1719">
        <v>-0.99726729999999997</v>
      </c>
      <c r="N1719">
        <v>0</v>
      </c>
      <c r="O1719">
        <v>7.3630849999999998E-2</v>
      </c>
      <c r="P1719">
        <v>-0.99946619999999997</v>
      </c>
      <c r="Q1719">
        <v>-3.2204469999999999E-2</v>
      </c>
      <c r="R1719">
        <v>-5.509636E-3</v>
      </c>
      <c r="S1719">
        <v>-3.001465</v>
      </c>
      <c r="T1719">
        <v>-8.6860659999999992E-3</v>
      </c>
      <c r="U1719">
        <v>6.3140870000000002E-2</v>
      </c>
      <c r="V1719">
        <v>-7.9009860000000001E-2</v>
      </c>
      <c r="W1719">
        <v>-2.6425779999999999E-2</v>
      </c>
      <c r="X1719">
        <v>0.99652350000000001</v>
      </c>
      <c r="Y1719">
        <v>-5.2640430000000002E-2</v>
      </c>
      <c r="Z1719">
        <v>-2.890379E-4</v>
      </c>
      <c r="AA1719">
        <v>0.99861350000000004</v>
      </c>
      <c r="AB1719">
        <v>35</v>
      </c>
      <c r="AC1719">
        <v>-417.58890000000002</v>
      </c>
      <c r="AD1719">
        <v>-1.2096359999999999</v>
      </c>
      <c r="AE1719">
        <v>8.7672999999999703</v>
      </c>
      <c r="AF1719">
        <v>-22.004300320891801</v>
      </c>
      <c r="AG1719">
        <v>-1.2096359999999999</v>
      </c>
      <c r="AH1719">
        <v>417.09739787991901</v>
      </c>
      <c r="AI1719">
        <v>90.165933900632396</v>
      </c>
      <c r="AJ1719">
        <v>93.019884237077093</v>
      </c>
      <c r="AK1719">
        <v>417.679173253903</v>
      </c>
      <c r="AL1719">
        <v>91.514261965431203</v>
      </c>
      <c r="AM1719">
        <v>94.5332412315759</v>
      </c>
      <c r="AN1719">
        <v>0.99999998293903802</v>
      </c>
    </row>
    <row r="1720" spans="1:40" x14ac:dyDescent="0.25">
      <c r="A1720" t="str">
        <f>"20190312151531997"</f>
        <v>20190312151531997</v>
      </c>
      <c r="B1720" t="str">
        <f>"1552374931989008"</f>
        <v>1552374931989008</v>
      </c>
      <c r="C1720" t="s">
        <v>40</v>
      </c>
      <c r="D1720">
        <v>4.4799540000000002</v>
      </c>
      <c r="E1720">
        <v>0.50669319999999995</v>
      </c>
      <c r="F1720" t="s">
        <v>54</v>
      </c>
      <c r="G1720">
        <v>-622.18629999999996</v>
      </c>
      <c r="H1720">
        <v>-0.1</v>
      </c>
      <c r="I1720">
        <v>287.02370000000002</v>
      </c>
      <c r="J1720">
        <v>-247.99289999999999</v>
      </c>
      <c r="K1720">
        <v>1.1098049999999999</v>
      </c>
      <c r="L1720">
        <v>281.55430000000001</v>
      </c>
      <c r="M1720">
        <v>-0.99740459999999997</v>
      </c>
      <c r="N1720">
        <v>0</v>
      </c>
      <c r="O1720">
        <v>7.1746610000000002E-2</v>
      </c>
      <c r="P1720">
        <v>-0.99947980000000003</v>
      </c>
      <c r="Q1720">
        <v>-3.1012769999999999E-2</v>
      </c>
      <c r="R1720">
        <v>-8.8581719999999992E-3</v>
      </c>
      <c r="S1720">
        <v>-3.0015260000000001</v>
      </c>
      <c r="T1720">
        <v>-9.6931459999999997E-3</v>
      </c>
      <c r="U1720">
        <v>4.4036869999999999E-2</v>
      </c>
      <c r="V1720">
        <v>-8.046151E-2</v>
      </c>
      <c r="W1720">
        <v>-2.5250120000000001E-2</v>
      </c>
      <c r="X1720">
        <v>0.99643780000000004</v>
      </c>
      <c r="Y1720">
        <v>-5.7107419999999999E-2</v>
      </c>
      <c r="Z1720">
        <v>-3.237165E-4</v>
      </c>
      <c r="AA1720">
        <v>0.99836800000000003</v>
      </c>
      <c r="AB1720">
        <v>36</v>
      </c>
      <c r="AC1720">
        <v>-374.1934</v>
      </c>
      <c r="AD1720">
        <v>-1.209805</v>
      </c>
      <c r="AE1720">
        <v>5.4694000000000003</v>
      </c>
      <c r="AF1720">
        <v>-21.392069935832399</v>
      </c>
      <c r="AG1720">
        <v>-1.209805</v>
      </c>
      <c r="AH1720">
        <v>373.61754117465</v>
      </c>
      <c r="AI1720">
        <v>90.185224539267196</v>
      </c>
      <c r="AJ1720">
        <v>93.276983629724299</v>
      </c>
      <c r="AK1720">
        <v>374.231414178004</v>
      </c>
      <c r="AL1720">
        <v>91.4468791467892</v>
      </c>
      <c r="AM1720">
        <v>94.616569148495003</v>
      </c>
      <c r="AN1720">
        <v>0.99999995621016602</v>
      </c>
    </row>
    <row r="1721" spans="1:40" x14ac:dyDescent="0.25">
      <c r="A1721" t="str">
        <f>"20190312151532018"</f>
        <v>20190312151532018</v>
      </c>
      <c r="B1721" t="str">
        <f>"1552374932009507"</f>
        <v>1552374932009507</v>
      </c>
      <c r="C1721" t="s">
        <v>40</v>
      </c>
      <c r="D1721">
        <v>4.5189139999999997</v>
      </c>
      <c r="E1721">
        <v>0.50617389999999995</v>
      </c>
      <c r="F1721" t="s">
        <v>54</v>
      </c>
      <c r="G1721">
        <v>-620.68989999999997</v>
      </c>
      <c r="H1721">
        <v>-0.1</v>
      </c>
      <c r="I1721">
        <v>285.08980000000003</v>
      </c>
      <c r="J1721">
        <v>-248.31360000000001</v>
      </c>
      <c r="K1721">
        <v>1.1099330000000001</v>
      </c>
      <c r="L1721">
        <v>281.57600000000002</v>
      </c>
      <c r="M1721">
        <v>-0.99752540000000001</v>
      </c>
      <c r="N1721">
        <v>0</v>
      </c>
      <c r="O1721">
        <v>7.004457E-2</v>
      </c>
      <c r="P1721">
        <v>-0.99948879999999996</v>
      </c>
      <c r="Q1721">
        <v>-2.9877150000000002E-2</v>
      </c>
      <c r="R1721">
        <v>-1.138048E-2</v>
      </c>
      <c r="S1721">
        <v>-3.0014949999999998</v>
      </c>
      <c r="T1721">
        <v>-9.7430940000000008E-3</v>
      </c>
      <c r="U1721">
        <v>2.8472899999999999E-2</v>
      </c>
      <c r="V1721">
        <v>-8.1274810000000003E-2</v>
      </c>
      <c r="W1721">
        <v>-2.412777E-2</v>
      </c>
      <c r="X1721">
        <v>0.99639960000000005</v>
      </c>
      <c r="Y1721">
        <v>-6.0579510000000003E-2</v>
      </c>
      <c r="Z1721">
        <v>-3.255307E-4</v>
      </c>
      <c r="AA1721">
        <v>0.99816329999999998</v>
      </c>
      <c r="AB1721">
        <v>36</v>
      </c>
      <c r="AC1721">
        <v>-372.37630000000001</v>
      </c>
      <c r="AD1721">
        <v>-1.2099329999999999</v>
      </c>
      <c r="AE1721">
        <v>3.5138000000000602</v>
      </c>
      <c r="AF1721">
        <v>-22.578010550280599</v>
      </c>
      <c r="AG1721">
        <v>-1.2099329999999999</v>
      </c>
      <c r="AH1721">
        <v>371.70386223760698</v>
      </c>
      <c r="AI1721">
        <v>90.186159688760696</v>
      </c>
      <c r="AJ1721">
        <v>93.475985536084806</v>
      </c>
      <c r="AK1721">
        <v>372.39091248394698</v>
      </c>
      <c r="AL1721">
        <v>91.382553618654796</v>
      </c>
      <c r="AM1721">
        <v>94.663206369747101</v>
      </c>
      <c r="AN1721">
        <v>0.99999995345293302</v>
      </c>
    </row>
    <row r="1722" spans="1:40" x14ac:dyDescent="0.25">
      <c r="A1722" t="str">
        <f>"20190312151532039"</f>
        <v>20190312151532039</v>
      </c>
      <c r="B1722" t="str">
        <f>"1552374932029024"</f>
        <v>1552374932029024</v>
      </c>
      <c r="C1722" t="s">
        <v>40</v>
      </c>
      <c r="D1722">
        <v>4.5211709999999998</v>
      </c>
      <c r="E1722">
        <v>0.50559989999999999</v>
      </c>
      <c r="F1722" t="s">
        <v>54</v>
      </c>
      <c r="G1722">
        <v>-774.40639999999996</v>
      </c>
      <c r="H1722">
        <v>-0.1</v>
      </c>
      <c r="I1722">
        <v>284.52330000000001</v>
      </c>
      <c r="J1722">
        <v>-248.66640000000001</v>
      </c>
      <c r="K1722">
        <v>1.110058</v>
      </c>
      <c r="L1722">
        <v>281.59910000000002</v>
      </c>
      <c r="M1722">
        <v>-0.99766180000000004</v>
      </c>
      <c r="N1722">
        <v>0</v>
      </c>
      <c r="O1722">
        <v>6.8074090000000004E-2</v>
      </c>
      <c r="P1722">
        <v>-0.99948199999999998</v>
      </c>
      <c r="Q1722">
        <v>-2.9127489999999999E-2</v>
      </c>
      <c r="R1722">
        <v>-1.370008E-2</v>
      </c>
      <c r="S1722">
        <v>-3.0015260000000001</v>
      </c>
      <c r="T1722">
        <v>-6.9030519999999998E-3</v>
      </c>
      <c r="U1722">
        <v>1.6815190000000001E-2</v>
      </c>
      <c r="V1722">
        <v>-8.1616419999999995E-2</v>
      </c>
      <c r="W1722">
        <v>-2.3390009999999999E-2</v>
      </c>
      <c r="X1722">
        <v>0.99638930000000003</v>
      </c>
      <c r="Y1722">
        <v>-6.2484810000000002E-2</v>
      </c>
      <c r="Z1722">
        <v>-2.283152E-4</v>
      </c>
      <c r="AA1722">
        <v>0.99804590000000004</v>
      </c>
      <c r="AB1722">
        <v>36</v>
      </c>
      <c r="AC1722">
        <v>-525.74</v>
      </c>
      <c r="AD1722">
        <v>-1.2100580000000001</v>
      </c>
      <c r="AE1722">
        <v>2.9241999999999799</v>
      </c>
      <c r="AF1722">
        <v>-32.872341005065003</v>
      </c>
      <c r="AG1722">
        <v>-1.2100580000000001</v>
      </c>
      <c r="AH1722">
        <v>524.71666572068102</v>
      </c>
      <c r="AI1722">
        <v>90.1318720066906</v>
      </c>
      <c r="AJ1722">
        <v>93.584769257654301</v>
      </c>
      <c r="AK1722">
        <v>525.74673972222195</v>
      </c>
      <c r="AL1722">
        <v>91.340271103727105</v>
      </c>
      <c r="AM1722">
        <v>94.682767721421897</v>
      </c>
      <c r="AN1722">
        <v>0.99999998486795305</v>
      </c>
    </row>
    <row r="1723" spans="1:40" x14ac:dyDescent="0.25">
      <c r="A1723" t="str">
        <f>"20190312151532064"</f>
        <v>20190312151532064</v>
      </c>
      <c r="B1723" t="str">
        <f>"1552374932059279"</f>
        <v>1552374932059279</v>
      </c>
      <c r="C1723" t="s">
        <v>40</v>
      </c>
      <c r="D1723">
        <v>4.6468809999999996</v>
      </c>
      <c r="E1723">
        <v>0.50473690000000004</v>
      </c>
      <c r="F1723" t="s">
        <v>54</v>
      </c>
      <c r="G1723">
        <v>-682.79989999999998</v>
      </c>
      <c r="H1723">
        <v>-0.1</v>
      </c>
      <c r="I1723">
        <v>282.33620000000002</v>
      </c>
      <c r="J1723">
        <v>-249.0411</v>
      </c>
      <c r="K1723">
        <v>1.110179</v>
      </c>
      <c r="L1723">
        <v>281.62279999999998</v>
      </c>
      <c r="M1723">
        <v>-0.99780950000000002</v>
      </c>
      <c r="N1723">
        <v>0</v>
      </c>
      <c r="O1723">
        <v>6.5873210000000001E-2</v>
      </c>
      <c r="P1723">
        <v>-0.9994693</v>
      </c>
      <c r="Q1723">
        <v>-2.830243E-2</v>
      </c>
      <c r="R1723">
        <v>-1.6133560000000002E-2</v>
      </c>
      <c r="S1723">
        <v>-3.0013890000000001</v>
      </c>
      <c r="T1723">
        <v>-8.3657499999999999E-3</v>
      </c>
      <c r="U1723">
        <v>5.0964360000000002E-3</v>
      </c>
      <c r="V1723">
        <v>-8.1842680000000001E-2</v>
      </c>
      <c r="W1723">
        <v>-2.2577610000000001E-2</v>
      </c>
      <c r="X1723">
        <v>0.99638950000000004</v>
      </c>
      <c r="Y1723">
        <v>-6.41795E-2</v>
      </c>
      <c r="Z1723">
        <v>-2.7295180000000001E-4</v>
      </c>
      <c r="AA1723">
        <v>0.99793829999999994</v>
      </c>
      <c r="AB1723">
        <v>36</v>
      </c>
      <c r="AC1723">
        <v>-433.75880000000001</v>
      </c>
      <c r="AD1723">
        <v>-1.2101789999999999</v>
      </c>
      <c r="AE1723">
        <v>0.71340000000003501</v>
      </c>
      <c r="AF1723">
        <v>-27.8615447104014</v>
      </c>
      <c r="AG1723">
        <v>-1.2101789999999999</v>
      </c>
      <c r="AH1723">
        <v>432.86026707371201</v>
      </c>
      <c r="AI1723">
        <v>90.159854774563598</v>
      </c>
      <c r="AJ1723">
        <v>93.6828278082602</v>
      </c>
      <c r="AK1723">
        <v>433.757698511493</v>
      </c>
      <c r="AL1723">
        <v>91.293711686161899</v>
      </c>
      <c r="AM1723">
        <v>94.695690549992605</v>
      </c>
      <c r="AN1723">
        <v>1.00000000422657</v>
      </c>
    </row>
    <row r="1724" spans="1:40" x14ac:dyDescent="0.25">
      <c r="A1724" t="str">
        <f>"20190312151532085"</f>
        <v>20190312151532085</v>
      </c>
      <c r="B1724" t="str">
        <f>"1552374932078800"</f>
        <v>1552374932078800</v>
      </c>
      <c r="C1724" t="s">
        <v>40</v>
      </c>
      <c r="D1724">
        <v>4.7993410000000001</v>
      </c>
      <c r="E1724">
        <v>0.50436619999999999</v>
      </c>
      <c r="F1724" t="s">
        <v>51</v>
      </c>
      <c r="G1724">
        <v>-455.45159999999998</v>
      </c>
      <c r="H1724" s="1">
        <v>1.523197E-6</v>
      </c>
      <c r="I1724">
        <v>280.98050000000001</v>
      </c>
      <c r="J1724">
        <v>-249.39769999999999</v>
      </c>
      <c r="K1724">
        <v>1.1102959999999999</v>
      </c>
      <c r="L1724">
        <v>281.64449999999999</v>
      </c>
      <c r="M1724">
        <v>-0.9979517</v>
      </c>
      <c r="N1724">
        <v>0</v>
      </c>
      <c r="O1724">
        <v>6.3681600000000005E-2</v>
      </c>
      <c r="P1724">
        <v>-0.99945530000000005</v>
      </c>
      <c r="Q1724">
        <v>-2.7864320000000001E-2</v>
      </c>
      <c r="R1724">
        <v>-1.7684249999999999E-2</v>
      </c>
      <c r="S1724">
        <v>-3.0009920000000001</v>
      </c>
      <c r="T1724">
        <v>-1.614082E-2</v>
      </c>
      <c r="U1724">
        <v>-9.3383790000000008E-3</v>
      </c>
      <c r="V1724">
        <v>-8.1196809999999994E-2</v>
      </c>
      <c r="W1724">
        <v>-2.21499E-2</v>
      </c>
      <c r="X1724">
        <v>0.99645189999999995</v>
      </c>
      <c r="Y1724">
        <v>-6.6786010000000007E-2</v>
      </c>
      <c r="Z1724">
        <v>-5.2195099999999999E-4</v>
      </c>
      <c r="AA1724">
        <v>0.99776719999999997</v>
      </c>
      <c r="AB1724">
        <v>36</v>
      </c>
      <c r="AC1724">
        <v>-206.0539</v>
      </c>
      <c r="AD1724">
        <v>-1.1102944768030001</v>
      </c>
      <c r="AE1724">
        <v>-0.66399999999998705</v>
      </c>
      <c r="AF1724">
        <v>-13.784337171308801</v>
      </c>
      <c r="AG1724">
        <v>-1.1102944768030001</v>
      </c>
      <c r="AH1724">
        <v>205.58739564885599</v>
      </c>
      <c r="AI1724">
        <v>90.3087351830671</v>
      </c>
      <c r="AJ1724">
        <v>93.835857878419702</v>
      </c>
      <c r="AK1724">
        <v>206.05197876932999</v>
      </c>
      <c r="AL1724">
        <v>91.269199628148598</v>
      </c>
      <c r="AM1724">
        <v>94.658507322901997</v>
      </c>
      <c r="AN1724">
        <v>0.99999996451889706</v>
      </c>
    </row>
    <row r="1725" spans="1:40" x14ac:dyDescent="0.25">
      <c r="A1725" t="str">
        <f>"20190312151532109"</f>
        <v>20190312151532109</v>
      </c>
      <c r="B1725" t="str">
        <f>"1552374932099297"</f>
        <v>1552374932099297</v>
      </c>
      <c r="C1725" t="s">
        <v>40</v>
      </c>
      <c r="D1725">
        <v>4.6663500000000004</v>
      </c>
      <c r="E1725">
        <v>0.50399680000000002</v>
      </c>
      <c r="F1725" t="s">
        <v>52</v>
      </c>
      <c r="G1725">
        <v>-432.18959999999998</v>
      </c>
      <c r="H1725" s="1">
        <v>3.537498E-6</v>
      </c>
      <c r="I1725">
        <v>280.61840000000001</v>
      </c>
      <c r="J1725">
        <v>-249.76249999999999</v>
      </c>
      <c r="K1725">
        <v>1.110406</v>
      </c>
      <c r="L1725">
        <v>281.66579999999999</v>
      </c>
      <c r="M1725">
        <v>-0.99809780000000003</v>
      </c>
      <c r="N1725">
        <v>0</v>
      </c>
      <c r="O1725">
        <v>6.1348510000000002E-2</v>
      </c>
      <c r="P1725">
        <v>-0.99943789999999999</v>
      </c>
      <c r="Q1725">
        <v>-2.7144169999999999E-2</v>
      </c>
      <c r="R1725">
        <v>-1.9675620000000001E-2</v>
      </c>
      <c r="S1725">
        <v>-3.000839</v>
      </c>
      <c r="T1725">
        <v>-1.8227340000000002E-2</v>
      </c>
      <c r="U1725">
        <v>-1.6845699999999901E-2</v>
      </c>
      <c r="V1725">
        <v>-8.0851660000000006E-2</v>
      </c>
      <c r="W1725">
        <v>-2.144273E-2</v>
      </c>
      <c r="X1725">
        <v>0.99649549999999998</v>
      </c>
      <c r="Y1725">
        <v>-6.6949320000000007E-2</v>
      </c>
      <c r="Z1725">
        <v>-5.7580109999999995E-4</v>
      </c>
      <c r="AA1725">
        <v>0.99775619999999998</v>
      </c>
      <c r="AB1725">
        <v>36</v>
      </c>
      <c r="AC1725">
        <v>-182.4271</v>
      </c>
      <c r="AD1725">
        <v>-1.1104024625019999</v>
      </c>
      <c r="AE1725">
        <v>-1.0473999999999799</v>
      </c>
      <c r="AF1725">
        <v>-12.236812311846499</v>
      </c>
      <c r="AG1725">
        <v>-1.1104024625019999</v>
      </c>
      <c r="AH1725">
        <v>182.01246780204701</v>
      </c>
      <c r="AI1725">
        <v>90.348752446009001</v>
      </c>
      <c r="AJ1725">
        <v>93.846243191495503</v>
      </c>
      <c r="AK1725">
        <v>182.42672776919301</v>
      </c>
      <c r="AL1725">
        <v>91.228672059055597</v>
      </c>
      <c r="AM1725">
        <v>94.638589547624804</v>
      </c>
      <c r="AN1725">
        <v>1.00000003155742</v>
      </c>
    </row>
    <row r="1726" spans="1:40" x14ac:dyDescent="0.25">
      <c r="A1726" t="str">
        <f>"20190312151532130"</f>
        <v>20190312151532130</v>
      </c>
      <c r="B1726" t="str">
        <f>"1552374932118816"</f>
        <v>1552374932118816</v>
      </c>
      <c r="C1726" t="s">
        <v>40</v>
      </c>
      <c r="D1726">
        <v>4.7016809999999998</v>
      </c>
      <c r="E1726">
        <v>0.5036214</v>
      </c>
      <c r="F1726" t="s">
        <v>52</v>
      </c>
      <c r="G1726">
        <v>-403.98930000000001</v>
      </c>
      <c r="H1726" s="1">
        <v>7.5179769999999901E-6</v>
      </c>
      <c r="I1726">
        <v>280.33409999999998</v>
      </c>
      <c r="J1726">
        <v>-250.12260000000001</v>
      </c>
      <c r="K1726">
        <v>1.1105080000000001</v>
      </c>
      <c r="L1726">
        <v>281.68599999999998</v>
      </c>
      <c r="M1726">
        <v>-0.99824170000000001</v>
      </c>
      <c r="N1726">
        <v>0</v>
      </c>
      <c r="O1726">
        <v>5.8959280000000003E-2</v>
      </c>
      <c r="P1726">
        <v>-0.99941159999999996</v>
      </c>
      <c r="Q1726">
        <v>-2.6883150000000001E-2</v>
      </c>
      <c r="R1726">
        <v>-2.131125E-2</v>
      </c>
      <c r="S1726">
        <v>-3.00061</v>
      </c>
      <c r="T1726">
        <v>-2.16037E-2</v>
      </c>
      <c r="U1726">
        <v>-2.5909419999999999E-2</v>
      </c>
      <c r="V1726">
        <v>-8.0093700000000004E-2</v>
      </c>
      <c r="W1726">
        <v>-2.119161E-2</v>
      </c>
      <c r="X1726">
        <v>0.99656210000000001</v>
      </c>
      <c r="Y1726">
        <v>-6.757428E-2</v>
      </c>
      <c r="Z1726">
        <v>-6.6758200000000001E-4</v>
      </c>
      <c r="AA1726">
        <v>0.99771399999999999</v>
      </c>
      <c r="AB1726">
        <v>36</v>
      </c>
      <c r="AC1726">
        <v>-153.86670000000001</v>
      </c>
      <c r="AD1726">
        <v>-1.110500482023</v>
      </c>
      <c r="AE1726">
        <v>-1.3519000000000001</v>
      </c>
      <c r="AF1726">
        <v>-10.421044444861501</v>
      </c>
      <c r="AG1726">
        <v>-1.110500482023</v>
      </c>
      <c r="AH1726">
        <v>153.51131751509399</v>
      </c>
      <c r="AI1726">
        <v>90.413518611462493</v>
      </c>
      <c r="AJ1726">
        <v>93.883539159599906</v>
      </c>
      <c r="AK1726">
        <v>153.868632228477</v>
      </c>
      <c r="AL1726">
        <v>91.214280648078798</v>
      </c>
      <c r="AM1726">
        <v>94.594985494054896</v>
      </c>
      <c r="AN1726">
        <v>1.0000000521352399</v>
      </c>
    </row>
    <row r="1727" spans="1:40" x14ac:dyDescent="0.25">
      <c r="A1727" t="str">
        <f>"20190312151532152"</f>
        <v>20190312151532152</v>
      </c>
      <c r="B1727" t="str">
        <f>"1552374932149072"</f>
        <v>1552374932149072</v>
      </c>
      <c r="C1727" t="s">
        <v>40</v>
      </c>
      <c r="D1727">
        <v>4.7662209999999998</v>
      </c>
      <c r="E1727">
        <v>0.50309599999999999</v>
      </c>
      <c r="F1727" t="s">
        <v>51</v>
      </c>
      <c r="G1727">
        <v>-375.49979999999999</v>
      </c>
      <c r="H1727" s="1">
        <v>1.389921E-6</v>
      </c>
      <c r="I1727">
        <v>280.2679</v>
      </c>
      <c r="J1727">
        <v>-250.46629999999999</v>
      </c>
      <c r="K1727">
        <v>1.110608</v>
      </c>
      <c r="L1727">
        <v>281.70440000000002</v>
      </c>
      <c r="M1727">
        <v>-0.99837819999999999</v>
      </c>
      <c r="N1727">
        <v>0</v>
      </c>
      <c r="O1727">
        <v>5.6599620000000003E-2</v>
      </c>
      <c r="P1727">
        <v>-0.99937379999999998</v>
      </c>
      <c r="Q1727">
        <v>-2.6639739999999999E-2</v>
      </c>
      <c r="R1727">
        <v>-2.3291579999999999E-2</v>
      </c>
      <c r="S1727">
        <v>-3.0003510000000002</v>
      </c>
      <c r="T1727">
        <v>-2.6575089999999999E-2</v>
      </c>
      <c r="U1727">
        <v>-3.3935550000000002E-2</v>
      </c>
      <c r="V1727">
        <v>-7.9709189999999999E-2</v>
      </c>
      <c r="W1727">
        <v>-2.0957839999999998E-2</v>
      </c>
      <c r="X1727">
        <v>0.99659779999999998</v>
      </c>
      <c r="Y1727">
        <v>-6.7883849999999996E-2</v>
      </c>
      <c r="Z1727">
        <v>-8.0176309999999997E-4</v>
      </c>
      <c r="AA1727">
        <v>0.99769289999999999</v>
      </c>
      <c r="AB1727">
        <v>36</v>
      </c>
      <c r="AC1727">
        <v>-125.0335</v>
      </c>
      <c r="AD1727">
        <v>-1.110606610079</v>
      </c>
      <c r="AE1727">
        <v>-1.4365000000000201</v>
      </c>
      <c r="AF1727">
        <v>-8.5105068806695598</v>
      </c>
      <c r="AG1727">
        <v>-1.110606610079</v>
      </c>
      <c r="AH1727">
        <v>124.741910859705</v>
      </c>
      <c r="AI1727">
        <v>90.508921355380394</v>
      </c>
      <c r="AJ1727">
        <v>93.902951856395205</v>
      </c>
      <c r="AK1727">
        <v>125.036820574337</v>
      </c>
      <c r="AL1727">
        <v>91.200883724981296</v>
      </c>
      <c r="AM1727">
        <v>94.572856776688297</v>
      </c>
      <c r="AN1727">
        <v>0.99999998049637995</v>
      </c>
    </row>
    <row r="1728" spans="1:40" x14ac:dyDescent="0.25">
      <c r="A1728" t="str">
        <f>"20190312151532175"</f>
        <v>20190312151532175</v>
      </c>
      <c r="B1728" t="str">
        <f>"1552374932169567"</f>
        <v>1552374932169567</v>
      </c>
      <c r="C1728" t="s">
        <v>40</v>
      </c>
      <c r="D1728">
        <v>4.7018950000000004</v>
      </c>
      <c r="E1728">
        <v>0.5027741</v>
      </c>
      <c r="F1728" t="s">
        <v>51</v>
      </c>
      <c r="G1728">
        <v>-356.33879999999999</v>
      </c>
      <c r="H1728" s="1">
        <v>1.8364300000000001E-6</v>
      </c>
      <c r="I1728">
        <v>280.13740000000001</v>
      </c>
      <c r="J1728">
        <v>-250.8417</v>
      </c>
      <c r="K1728">
        <v>1.110716</v>
      </c>
      <c r="L1728">
        <v>281.72340000000003</v>
      </c>
      <c r="M1728">
        <v>-0.99852560000000001</v>
      </c>
      <c r="N1728">
        <v>0</v>
      </c>
      <c r="O1728">
        <v>5.3937069999999997E-2</v>
      </c>
      <c r="P1728">
        <v>-0.99934230000000002</v>
      </c>
      <c r="Q1728">
        <v>-2.6264889999999999E-2</v>
      </c>
      <c r="R1728">
        <v>-2.500898E-2</v>
      </c>
      <c r="S1728">
        <v>-2.9999850000000001</v>
      </c>
      <c r="T1728">
        <v>-3.1469940000000002E-2</v>
      </c>
      <c r="U1728">
        <v>-4.4403079999999998E-2</v>
      </c>
      <c r="V1728">
        <v>-7.8761699999999907E-2</v>
      </c>
      <c r="W1728">
        <v>-2.0588160000000001E-2</v>
      </c>
      <c r="X1728">
        <v>0.99668089999999998</v>
      </c>
      <c r="Y1728">
        <v>-6.8703379999999994E-2</v>
      </c>
      <c r="Z1728">
        <v>-9.2593700000000005E-4</v>
      </c>
      <c r="AA1728">
        <v>0.99763670000000004</v>
      </c>
      <c r="AB1728">
        <v>36</v>
      </c>
      <c r="AC1728">
        <v>-105.4971</v>
      </c>
      <c r="AD1728">
        <v>-1.11071416357</v>
      </c>
      <c r="AE1728">
        <v>-1.5860000000000101</v>
      </c>
      <c r="AF1728">
        <v>-7.27319613282675</v>
      </c>
      <c r="AG1728">
        <v>-1.11071416357</v>
      </c>
      <c r="AH1728">
        <v>105.24631661305099</v>
      </c>
      <c r="AI1728">
        <v>90.603208468410998</v>
      </c>
      <c r="AJ1728">
        <v>93.953221054299803</v>
      </c>
      <c r="AK1728">
        <v>105.503176390828</v>
      </c>
      <c r="AL1728">
        <v>91.179697970638202</v>
      </c>
      <c r="AM1728">
        <v>94.518351248010504</v>
      </c>
      <c r="AN1728">
        <v>1.0000000470719399</v>
      </c>
    </row>
    <row r="1729" spans="1:40" x14ac:dyDescent="0.25">
      <c r="A1729" t="str">
        <f>"20190312151532195"</f>
        <v>20190312151532195</v>
      </c>
      <c r="B1729" t="str">
        <f>"1552374932189088"</f>
        <v>1552374932189088</v>
      </c>
      <c r="C1729" t="s">
        <v>40</v>
      </c>
      <c r="D1729">
        <v>4.6994769999999999</v>
      </c>
      <c r="E1729">
        <v>0.50247159999999902</v>
      </c>
      <c r="F1729" t="s">
        <v>51</v>
      </c>
      <c r="G1729">
        <v>-350.74759999999998</v>
      </c>
      <c r="H1729" s="1">
        <v>-1.1389630000000001E-6</v>
      </c>
      <c r="I1729">
        <v>279.99149999999997</v>
      </c>
      <c r="J1729">
        <v>-251.19220000000001</v>
      </c>
      <c r="K1729">
        <v>1.110808</v>
      </c>
      <c r="L1729">
        <v>281.74020000000002</v>
      </c>
      <c r="M1729">
        <v>-0.9986602</v>
      </c>
      <c r="N1729">
        <v>0</v>
      </c>
      <c r="O1729">
        <v>5.1382369999999997E-2</v>
      </c>
      <c r="P1729">
        <v>-0.99931639999999999</v>
      </c>
      <c r="Q1729">
        <v>-2.5522E-2</v>
      </c>
      <c r="R1729">
        <v>-2.6750619999999999E-2</v>
      </c>
      <c r="S1729">
        <v>-2.9998019999999999</v>
      </c>
      <c r="T1729">
        <v>-3.3350709999999999E-2</v>
      </c>
      <c r="U1729">
        <v>-5.2001949999999998E-2</v>
      </c>
      <c r="V1729">
        <v>-7.7950140000000001E-2</v>
      </c>
      <c r="W1729">
        <v>-1.9847750000000001E-2</v>
      </c>
      <c r="X1729">
        <v>0.99675970000000003</v>
      </c>
      <c r="Y1729">
        <v>-6.8677849999999999E-2</v>
      </c>
      <c r="Z1729">
        <v>-9.52803E-4</v>
      </c>
      <c r="AA1729">
        <v>0.99763849999999998</v>
      </c>
      <c r="AB1729">
        <v>37</v>
      </c>
      <c r="AC1729">
        <v>-99.555399999999906</v>
      </c>
      <c r="AD1729">
        <v>-1.1108091389629999</v>
      </c>
      <c r="AE1729">
        <v>-1.7487000000000399</v>
      </c>
      <c r="AF1729">
        <v>-6.8610247955128303</v>
      </c>
      <c r="AG1729">
        <v>-1.1108091389629999</v>
      </c>
      <c r="AH1729">
        <v>99.321672490647899</v>
      </c>
      <c r="AI1729">
        <v>90.639243462263494</v>
      </c>
      <c r="AJ1729">
        <v>93.951647711794493</v>
      </c>
      <c r="AK1729">
        <v>99.564562895275998</v>
      </c>
      <c r="AL1729">
        <v>91.137266951588103</v>
      </c>
      <c r="AM1729">
        <v>94.471631912798898</v>
      </c>
      <c r="AN1729">
        <v>1.0000000285250801</v>
      </c>
    </row>
    <row r="1730" spans="1:40" x14ac:dyDescent="0.25">
      <c r="A1730" t="str">
        <f>"20190312151532220"</f>
        <v>20190312151532220</v>
      </c>
      <c r="B1730" t="str">
        <f>"1552374932209584"</f>
        <v>1552374932209584</v>
      </c>
      <c r="C1730" t="s">
        <v>40</v>
      </c>
      <c r="D1730">
        <v>4.7437360000000002</v>
      </c>
      <c r="E1730">
        <v>0.50215449999999995</v>
      </c>
      <c r="F1730" t="s">
        <v>51</v>
      </c>
      <c r="G1730">
        <v>-355.16340000000002</v>
      </c>
      <c r="H1730" s="1">
        <v>1.210927E-6</v>
      </c>
      <c r="I1730">
        <v>279.67540000000002</v>
      </c>
      <c r="J1730">
        <v>-251.57329999999999</v>
      </c>
      <c r="K1730">
        <v>1.110897</v>
      </c>
      <c r="L1730">
        <v>281.75740000000002</v>
      </c>
      <c r="M1730">
        <v>-0.99880210000000003</v>
      </c>
      <c r="N1730">
        <v>0</v>
      </c>
      <c r="O1730">
        <v>4.8544410000000003E-2</v>
      </c>
      <c r="P1730">
        <v>-0.99926470000000001</v>
      </c>
      <c r="Q1730">
        <v>-2.5085530000000002E-2</v>
      </c>
      <c r="R1730">
        <v>-2.9001470000000001E-2</v>
      </c>
      <c r="S1730">
        <v>-2.999619</v>
      </c>
      <c r="T1730">
        <v>-3.2047270000000003E-2</v>
      </c>
      <c r="U1730">
        <v>-5.9570310000000001E-2</v>
      </c>
      <c r="V1730">
        <v>-7.7361929999999995E-2</v>
      </c>
      <c r="W1730">
        <v>-1.9412499999999999E-2</v>
      </c>
      <c r="X1730">
        <v>0.99681410000000004</v>
      </c>
      <c r="Y1730">
        <v>-6.8361069999999996E-2</v>
      </c>
      <c r="Z1730">
        <v>-8.8362259999999904E-4</v>
      </c>
      <c r="AA1730">
        <v>0.99766030000000006</v>
      </c>
      <c r="AB1730">
        <v>37</v>
      </c>
      <c r="AC1730">
        <v>-103.59010000000001</v>
      </c>
      <c r="AD1730">
        <v>-1.110895789073</v>
      </c>
      <c r="AE1730">
        <v>-2.0819999999999901</v>
      </c>
      <c r="AF1730">
        <v>-7.1075435660374602</v>
      </c>
      <c r="AG1730">
        <v>-1.110895789073</v>
      </c>
      <c r="AH1730">
        <v>103.35501252041</v>
      </c>
      <c r="AI1730">
        <v>90.614360492409702</v>
      </c>
      <c r="AJ1730">
        <v>93.933937124687006</v>
      </c>
      <c r="AK1730">
        <v>103.605066855302</v>
      </c>
      <c r="AL1730">
        <v>91.112324154363705</v>
      </c>
      <c r="AM1730">
        <v>94.437783159843207</v>
      </c>
      <c r="AN1730">
        <v>1.0000000316641899</v>
      </c>
    </row>
    <row r="1731" spans="1:40" x14ac:dyDescent="0.25">
      <c r="A1731" t="str">
        <f>"20190312151532241"</f>
        <v>20190312151532241</v>
      </c>
      <c r="B1731" t="str">
        <f>"1552374932229103"</f>
        <v>1552374932229103</v>
      </c>
      <c r="C1731" t="s">
        <v>40</v>
      </c>
      <c r="D1731">
        <v>4.6918639999999998</v>
      </c>
      <c r="E1731">
        <v>0.50186980000000003</v>
      </c>
      <c r="F1731" t="s">
        <v>51</v>
      </c>
      <c r="G1731">
        <v>-350.6703</v>
      </c>
      <c r="H1731">
        <v>8.0001260000000005E-2</v>
      </c>
      <c r="I1731">
        <v>279.48180000000002</v>
      </c>
      <c r="J1731">
        <v>-251.93010000000001</v>
      </c>
      <c r="K1731">
        <v>1.110973</v>
      </c>
      <c r="L1731">
        <v>281.77249999999998</v>
      </c>
      <c r="M1731">
        <v>-0.99892959999999997</v>
      </c>
      <c r="N1731">
        <v>0</v>
      </c>
      <c r="O1731">
        <v>4.5844889999999999E-2</v>
      </c>
      <c r="P1731">
        <v>-0.99925359999999996</v>
      </c>
      <c r="Q1731">
        <v>-2.4195999999999999E-2</v>
      </c>
      <c r="R1731">
        <v>-3.0118470000000001E-2</v>
      </c>
      <c r="S1731">
        <v>-2.9994200000000002</v>
      </c>
      <c r="T1731">
        <v>-3.1202669999999998E-2</v>
      </c>
      <c r="U1731">
        <v>-6.8878170000000002E-2</v>
      </c>
      <c r="V1731">
        <v>-7.5785060000000001E-2</v>
      </c>
      <c r="W1731">
        <v>-1.8515670000000001E-2</v>
      </c>
      <c r="X1731">
        <v>0.99695219999999996</v>
      </c>
      <c r="Y1731">
        <v>-6.8761119999999995E-2</v>
      </c>
      <c r="Z1731">
        <v>-8.3439129999999997E-4</v>
      </c>
      <c r="AA1731">
        <v>0.99763279999999999</v>
      </c>
      <c r="AB1731">
        <v>37</v>
      </c>
      <c r="AC1731">
        <v>-98.740200000000002</v>
      </c>
      <c r="AD1731">
        <v>-1.03097174</v>
      </c>
      <c r="AE1731">
        <v>-2.29069999999995</v>
      </c>
      <c r="AF1731">
        <v>-6.8143682892278097</v>
      </c>
      <c r="AG1731">
        <v>-1.03097174</v>
      </c>
      <c r="AH1731">
        <v>98.520623877878293</v>
      </c>
      <c r="AI1731">
        <v>90.598122437613398</v>
      </c>
      <c r="AJ1731">
        <v>93.956671076855201</v>
      </c>
      <c r="AK1731">
        <v>98.761388443036196</v>
      </c>
      <c r="AL1731">
        <v>91.0609304275483</v>
      </c>
      <c r="AM1731">
        <v>94.347078194904896</v>
      </c>
      <c r="AN1731">
        <v>0.99999994721979402</v>
      </c>
    </row>
    <row r="1732" spans="1:40" x14ac:dyDescent="0.25">
      <c r="A1732" t="str">
        <f>"20190312151532275"</f>
        <v>20190312151532275</v>
      </c>
      <c r="B1732" t="str">
        <f>"1552374932269121"</f>
        <v>1552374932269121</v>
      </c>
      <c r="C1732" t="s">
        <v>40</v>
      </c>
      <c r="D1732">
        <v>5.2666659999999998</v>
      </c>
      <c r="E1732">
        <v>0.50125399999999998</v>
      </c>
      <c r="F1732" t="s">
        <v>51</v>
      </c>
      <c r="G1732">
        <v>-356.96660000000003</v>
      </c>
      <c r="H1732">
        <v>8.0000879999999996E-2</v>
      </c>
      <c r="I1732">
        <v>279.16579999999999</v>
      </c>
      <c r="J1732">
        <v>-252.49119999999999</v>
      </c>
      <c r="K1732">
        <v>1.111057</v>
      </c>
      <c r="L1732">
        <v>281.79430000000002</v>
      </c>
      <c r="M1732">
        <v>-0.9991177</v>
      </c>
      <c r="N1732">
        <v>0</v>
      </c>
      <c r="O1732">
        <v>4.154099E-2</v>
      </c>
      <c r="P1732">
        <v>-0.99918229999999997</v>
      </c>
      <c r="Q1732">
        <v>-2.3495189999999999E-2</v>
      </c>
      <c r="R1732">
        <v>-3.2907649999999997E-2</v>
      </c>
      <c r="S1732">
        <v>-2.999298</v>
      </c>
      <c r="T1732">
        <v>-2.943921E-2</v>
      </c>
      <c r="U1732">
        <v>-7.4432369999999998E-2</v>
      </c>
      <c r="V1732">
        <v>-7.4274690000000004E-2</v>
      </c>
      <c r="W1732">
        <v>-1.7810670000000001E-2</v>
      </c>
      <c r="X1732">
        <v>0.99707880000000004</v>
      </c>
      <c r="Y1732">
        <v>-6.6311339999999996E-2</v>
      </c>
      <c r="Z1732">
        <v>-7.3301690000000005E-4</v>
      </c>
      <c r="AA1732">
        <v>0.99779870000000004</v>
      </c>
      <c r="AB1732">
        <v>37</v>
      </c>
      <c r="AC1732">
        <v>-104.47539999999999</v>
      </c>
      <c r="AD1732">
        <v>-1.0310561199999999</v>
      </c>
      <c r="AE1732">
        <v>-2.62850000000003</v>
      </c>
      <c r="AF1732">
        <v>-6.9656473768025098</v>
      </c>
      <c r="AG1732">
        <v>-1.0310561199999999</v>
      </c>
      <c r="AH1732">
        <v>104.265872321508</v>
      </c>
      <c r="AI1732">
        <v>90.565303488123206</v>
      </c>
      <c r="AJ1732">
        <v>93.822056299560003</v>
      </c>
      <c r="AK1732">
        <v>104.50337530943899</v>
      </c>
      <c r="AL1732">
        <v>91.020530139244499</v>
      </c>
      <c r="AM1732">
        <v>94.260225702681595</v>
      </c>
      <c r="AN1732">
        <v>1.0000000414749399</v>
      </c>
    </row>
    <row r="1733" spans="1:40" x14ac:dyDescent="0.25">
      <c r="A1733" t="str">
        <f>"20190312151532297"</f>
        <v>20190312151532297</v>
      </c>
      <c r="B1733" t="str">
        <f>"1552374932289616"</f>
        <v>1552374932289616</v>
      </c>
      <c r="C1733" t="s">
        <v>40</v>
      </c>
      <c r="D1733">
        <v>4.9438339999999998</v>
      </c>
      <c r="E1733">
        <v>0.50107979999999996</v>
      </c>
      <c r="F1733" t="s">
        <v>51</v>
      </c>
      <c r="G1733">
        <v>-358.53449999999998</v>
      </c>
      <c r="H1733">
        <v>8.0000429999999997E-2</v>
      </c>
      <c r="I1733">
        <v>278.69510000000002</v>
      </c>
      <c r="J1733">
        <v>-252.85820000000001</v>
      </c>
      <c r="K1733">
        <v>1.111097</v>
      </c>
      <c r="L1733">
        <v>281.8073</v>
      </c>
      <c r="M1733">
        <v>-0.9992316</v>
      </c>
      <c r="N1733">
        <v>0</v>
      </c>
      <c r="O1733">
        <v>3.8703179999999997E-2</v>
      </c>
      <c r="P1733">
        <v>-0.99911680000000003</v>
      </c>
      <c r="Q1733">
        <v>-2.334512E-2</v>
      </c>
      <c r="R1733">
        <v>-3.4935330000000001E-2</v>
      </c>
      <c r="S1733">
        <v>-2.9988860000000002</v>
      </c>
      <c r="T1733">
        <v>-2.9158119999999999E-2</v>
      </c>
      <c r="U1733">
        <v>-8.7646479999999999E-2</v>
      </c>
      <c r="V1733">
        <v>-7.3465649999999993E-2</v>
      </c>
      <c r="W1733">
        <v>-1.765806E-2</v>
      </c>
      <c r="X1733">
        <v>0.99714139999999996</v>
      </c>
      <c r="Y1733">
        <v>-6.7874359999999995E-2</v>
      </c>
      <c r="Z1733">
        <v>-7.0610349999999998E-4</v>
      </c>
      <c r="AA1733">
        <v>0.99769359999999996</v>
      </c>
      <c r="AB1733">
        <v>37</v>
      </c>
      <c r="AC1733">
        <v>-105.676299999999</v>
      </c>
      <c r="AD1733">
        <v>-1.0310965700000001</v>
      </c>
      <c r="AE1733">
        <v>-3.1121999999999699</v>
      </c>
      <c r="AF1733">
        <v>-7.1992704439915203</v>
      </c>
      <c r="AG1733">
        <v>-1.0310965700000001</v>
      </c>
      <c r="AH1733">
        <v>105.466632916161</v>
      </c>
      <c r="AI1733">
        <v>90.558835074895995</v>
      </c>
      <c r="AJ1733">
        <v>93.9050163304384</v>
      </c>
      <c r="AK1733">
        <v>105.71709092542601</v>
      </c>
      <c r="AL1733">
        <v>91.011784907230705</v>
      </c>
      <c r="AM1733">
        <v>94.213725505441005</v>
      </c>
      <c r="AN1733">
        <v>0.99999999020342301</v>
      </c>
    </row>
    <row r="1734" spans="1:40" x14ac:dyDescent="0.25">
      <c r="A1734" t="str">
        <f>"20190312151532320"</f>
        <v>20190312151532320</v>
      </c>
      <c r="B1734" t="str">
        <f>"1552374932309136"</f>
        <v>1552374932309136</v>
      </c>
      <c r="C1734" t="s">
        <v>40</v>
      </c>
      <c r="D1734">
        <v>4.8013240000000001</v>
      </c>
      <c r="E1734">
        <v>0.50094079999999996</v>
      </c>
      <c r="F1734" t="s">
        <v>51</v>
      </c>
      <c r="G1734">
        <v>-356.60300000000001</v>
      </c>
      <c r="H1734">
        <v>8.0000989999999994E-2</v>
      </c>
      <c r="I1734">
        <v>278.50990000000002</v>
      </c>
      <c r="J1734">
        <v>-253.2439</v>
      </c>
      <c r="K1734">
        <v>1.111127</v>
      </c>
      <c r="L1734">
        <v>281.81970000000001</v>
      </c>
      <c r="M1734">
        <v>-0.99934290000000003</v>
      </c>
      <c r="N1734">
        <v>0</v>
      </c>
      <c r="O1734">
        <v>3.5714040000000002E-2</v>
      </c>
      <c r="P1734">
        <v>-0.99901439999999997</v>
      </c>
      <c r="Q1734">
        <v>-2.3123419999999999E-2</v>
      </c>
      <c r="R1734">
        <v>-3.7888110000000003E-2</v>
      </c>
      <c r="S1734">
        <v>-2.9986269999999999</v>
      </c>
      <c r="T1734">
        <v>-2.9802680000000002E-2</v>
      </c>
      <c r="U1734">
        <v>-9.5306399999999999E-2</v>
      </c>
      <c r="V1734">
        <v>-7.3429789999999995E-2</v>
      </c>
      <c r="W1734">
        <v>-1.7437310000000001E-2</v>
      </c>
      <c r="X1734">
        <v>0.99714789999999998</v>
      </c>
      <c r="Y1734">
        <v>-6.7438650000000003E-2</v>
      </c>
      <c r="Z1734">
        <v>-6.89892E-4</v>
      </c>
      <c r="AA1734">
        <v>0.99772320000000003</v>
      </c>
      <c r="AB1734">
        <v>37</v>
      </c>
      <c r="AC1734">
        <v>-103.3591</v>
      </c>
      <c r="AD1734">
        <v>-1.0311260099999999</v>
      </c>
      <c r="AE1734">
        <v>-3.3097999999999899</v>
      </c>
      <c r="AF1734">
        <v>-6.9984343154631601</v>
      </c>
      <c r="AG1734">
        <v>-1.0311260099999999</v>
      </c>
      <c r="AH1734">
        <v>103.164694161154</v>
      </c>
      <c r="AI1734">
        <v>90.571336383297194</v>
      </c>
      <c r="AJ1734">
        <v>93.880856246571696</v>
      </c>
      <c r="AK1734">
        <v>103.40694089412401</v>
      </c>
      <c r="AL1734">
        <v>90.999134942029599</v>
      </c>
      <c r="AM1734">
        <v>94.211648752280396</v>
      </c>
      <c r="AN1734">
        <v>0.99999996415694403</v>
      </c>
    </row>
    <row r="1735" spans="1:40" x14ac:dyDescent="0.25">
      <c r="A1735" t="str">
        <f>"20190312151532341"</f>
        <v>20190312151532341</v>
      </c>
      <c r="B1735" t="str">
        <f>"1552374932329632"</f>
        <v>1552374932329632</v>
      </c>
      <c r="C1735" t="s">
        <v>40</v>
      </c>
      <c r="D1735">
        <v>4.8073579999999998</v>
      </c>
      <c r="E1735">
        <v>0.50083250000000001</v>
      </c>
      <c r="F1735" t="s">
        <v>51</v>
      </c>
      <c r="G1735">
        <v>-353.88010000000003</v>
      </c>
      <c r="H1735">
        <v>8.0000329999999995E-2</v>
      </c>
      <c r="I1735">
        <v>278.29199999999997</v>
      </c>
      <c r="J1735">
        <v>-253.5908</v>
      </c>
      <c r="K1735">
        <v>1.1111610000000001</v>
      </c>
      <c r="L1735">
        <v>281.83</v>
      </c>
      <c r="M1735">
        <v>-0.99943550000000003</v>
      </c>
      <c r="N1735">
        <v>0</v>
      </c>
      <c r="O1735">
        <v>3.302215E-2</v>
      </c>
      <c r="P1735">
        <v>-0.99892769999999997</v>
      </c>
      <c r="Q1735">
        <v>-2.2569530000000001E-2</v>
      </c>
      <c r="R1735">
        <v>-4.0427610000000003E-2</v>
      </c>
      <c r="S1735">
        <v>-2.9982760000000002</v>
      </c>
      <c r="T1735">
        <v>-3.0720589999999999E-2</v>
      </c>
      <c r="U1735">
        <v>-0.1051025</v>
      </c>
      <c r="V1735">
        <v>-7.3281650000000004E-2</v>
      </c>
      <c r="W1735">
        <v>-1.6881690000000001E-2</v>
      </c>
      <c r="X1735">
        <v>0.99716839999999995</v>
      </c>
      <c r="Y1735">
        <v>-6.8010909999999994E-2</v>
      </c>
      <c r="Z1735">
        <v>-6.8655099999999998E-4</v>
      </c>
      <c r="AA1735">
        <v>0.99768440000000003</v>
      </c>
      <c r="AB1735">
        <v>37</v>
      </c>
      <c r="AC1735">
        <v>-100.2893</v>
      </c>
      <c r="AD1735">
        <v>-1.03116067</v>
      </c>
      <c r="AE1735">
        <v>-3.5379999999999501</v>
      </c>
      <c r="AF1735">
        <v>-6.8471790068306699</v>
      </c>
      <c r="AG1735">
        <v>-1.03116067</v>
      </c>
      <c r="AH1735">
        <v>100.107197694473</v>
      </c>
      <c r="AI1735">
        <v>90.5887824530177</v>
      </c>
      <c r="AJ1735">
        <v>93.912849269911206</v>
      </c>
      <c r="AK1735">
        <v>100.346390981037</v>
      </c>
      <c r="AL1735">
        <v>90.967295532255406</v>
      </c>
      <c r="AM1735">
        <v>94.2030963964135</v>
      </c>
      <c r="AN1735">
        <v>1.0000000048212601</v>
      </c>
    </row>
    <row r="1736" spans="1:40" x14ac:dyDescent="0.25">
      <c r="A1736" t="str">
        <f>"20190312151532364"</f>
        <v>20190312151532364</v>
      </c>
      <c r="B1736" t="str">
        <f>"1552374932358912"</f>
        <v>1552374932358912</v>
      </c>
      <c r="C1736" t="s">
        <v>40</v>
      </c>
      <c r="D1736">
        <v>4.7902559999999896</v>
      </c>
      <c r="E1736">
        <v>0.50068290000000004</v>
      </c>
      <c r="F1736" t="s">
        <v>51</v>
      </c>
      <c r="G1736">
        <v>-354.07190000000003</v>
      </c>
      <c r="H1736">
        <v>8.0000269999999998E-2</v>
      </c>
      <c r="I1736">
        <v>278.02089999999998</v>
      </c>
      <c r="J1736">
        <v>-253.9776</v>
      </c>
      <c r="K1736">
        <v>1.1111899999999999</v>
      </c>
      <c r="L1736">
        <v>281.84030000000001</v>
      </c>
      <c r="M1736">
        <v>-0.99953009999999998</v>
      </c>
      <c r="N1736">
        <v>0</v>
      </c>
      <c r="O1736">
        <v>3.002167E-2</v>
      </c>
      <c r="P1736">
        <v>-0.99881070000000005</v>
      </c>
      <c r="Q1736">
        <v>-2.2001529999999998E-2</v>
      </c>
      <c r="R1736">
        <v>-4.3516569999999997E-2</v>
      </c>
      <c r="S1736">
        <v>-2.997925</v>
      </c>
      <c r="T1736">
        <v>-3.076541E-2</v>
      </c>
      <c r="U1736">
        <v>-0.113647499999999</v>
      </c>
      <c r="V1736">
        <v>-7.3374129999999996E-2</v>
      </c>
      <c r="W1736">
        <v>-1.6311659999999999E-2</v>
      </c>
      <c r="X1736">
        <v>0.99717109999999998</v>
      </c>
      <c r="Y1736">
        <v>-6.785998E-2</v>
      </c>
      <c r="Z1736">
        <v>-6.5604909999999995E-4</v>
      </c>
      <c r="AA1736">
        <v>0.99769459999999999</v>
      </c>
      <c r="AB1736">
        <v>37</v>
      </c>
      <c r="AC1736">
        <v>-100.0943</v>
      </c>
      <c r="AD1736">
        <v>-1.0311897299999999</v>
      </c>
      <c r="AE1736">
        <v>-3.8194000000000199</v>
      </c>
      <c r="AF1736">
        <v>-6.8220108896182001</v>
      </c>
      <c r="AG1736">
        <v>-1.0311897299999999</v>
      </c>
      <c r="AH1736">
        <v>99.923923610864705</v>
      </c>
      <c r="AI1736">
        <v>90.589883978146403</v>
      </c>
      <c r="AJ1736">
        <v>93.905639565603806</v>
      </c>
      <c r="AK1736">
        <v>100.161837516228</v>
      </c>
      <c r="AL1736">
        <v>90.934630707446999</v>
      </c>
      <c r="AM1736">
        <v>94.208370222685701</v>
      </c>
      <c r="AN1736">
        <v>1.00000001794021</v>
      </c>
    </row>
    <row r="1737" spans="1:40" x14ac:dyDescent="0.25">
      <c r="A1737" t="str">
        <f>"20190312151532387"</f>
        <v>20190312151532387</v>
      </c>
      <c r="B1737" t="str">
        <f>"1552374932379408"</f>
        <v>1552374932379408</v>
      </c>
      <c r="C1737" t="s">
        <v>40</v>
      </c>
      <c r="D1737">
        <v>4.774724</v>
      </c>
      <c r="E1737">
        <v>0.50058859999999905</v>
      </c>
      <c r="F1737" t="s">
        <v>51</v>
      </c>
      <c r="G1737">
        <v>-352.87610000000001</v>
      </c>
      <c r="H1737">
        <v>8.0000619999999995E-2</v>
      </c>
      <c r="I1737">
        <v>277.74220000000003</v>
      </c>
      <c r="J1737">
        <v>-254.34229999999999</v>
      </c>
      <c r="K1737">
        <v>1.1112120000000001</v>
      </c>
      <c r="L1737">
        <v>281.84890000000001</v>
      </c>
      <c r="M1737">
        <v>-0.99961080000000002</v>
      </c>
      <c r="N1737">
        <v>0</v>
      </c>
      <c r="O1737">
        <v>2.7195E-2</v>
      </c>
      <c r="P1737">
        <v>-0.99869419999999998</v>
      </c>
      <c r="Q1737">
        <v>-2.1982370000000001E-2</v>
      </c>
      <c r="R1737">
        <v>-4.6115339999999998E-2</v>
      </c>
      <c r="S1737">
        <v>-2.9974669999999999</v>
      </c>
      <c r="T1737">
        <v>-3.125381E-2</v>
      </c>
      <c r="U1737">
        <v>-0.1242065</v>
      </c>
      <c r="V1737">
        <v>-7.3148779999999997E-2</v>
      </c>
      <c r="W1737">
        <v>-1.6286599999999998E-2</v>
      </c>
      <c r="X1737">
        <v>0.99718799999999996</v>
      </c>
      <c r="Y1737">
        <v>-6.8553370000000002E-2</v>
      </c>
      <c r="Z1737">
        <v>-6.4067639999999999E-4</v>
      </c>
      <c r="AA1737">
        <v>0.99764719999999996</v>
      </c>
      <c r="AB1737">
        <v>37</v>
      </c>
      <c r="AC1737">
        <v>-98.533799999999999</v>
      </c>
      <c r="AD1737">
        <v>-1.03121138</v>
      </c>
      <c r="AE1737">
        <v>-4.1066999999999796</v>
      </c>
      <c r="AF1737">
        <v>-6.7841178235225801</v>
      </c>
      <c r="AG1737">
        <v>-1.03121138</v>
      </c>
      <c r="AH1737">
        <v>98.374915642273095</v>
      </c>
      <c r="AI1737">
        <v>90.599155951720505</v>
      </c>
      <c r="AJ1737">
        <v>93.944978061017693</v>
      </c>
      <c r="AK1737">
        <v>98.613952761148497</v>
      </c>
      <c r="AL1737">
        <v>90.933194745691694</v>
      </c>
      <c r="AM1737">
        <v>94.1954206556358</v>
      </c>
      <c r="AN1737">
        <v>0.99999995234952299</v>
      </c>
    </row>
    <row r="1738" spans="1:40" x14ac:dyDescent="0.25">
      <c r="A1738" t="str">
        <f>"20190312151532409"</f>
        <v>20190312151532409</v>
      </c>
      <c r="B1738" t="str">
        <f>"1552374932398928"</f>
        <v>1552374932398928</v>
      </c>
      <c r="C1738" t="s">
        <v>40</v>
      </c>
      <c r="D1738">
        <v>4.7989730000000002</v>
      </c>
      <c r="E1738">
        <v>0.50051129999999999</v>
      </c>
      <c r="F1738" t="s">
        <v>51</v>
      </c>
      <c r="G1738">
        <v>-349.02370000000002</v>
      </c>
      <c r="H1738">
        <v>8.0000280000000007E-2</v>
      </c>
      <c r="I1738">
        <v>277.65519999999998</v>
      </c>
      <c r="J1738">
        <v>-254.71420000000001</v>
      </c>
      <c r="K1738">
        <v>1.111235</v>
      </c>
      <c r="L1738">
        <v>281.85680000000002</v>
      </c>
      <c r="M1738">
        <v>-0.99968489999999999</v>
      </c>
      <c r="N1738">
        <v>0</v>
      </c>
      <c r="O1738">
        <v>2.432173E-2</v>
      </c>
      <c r="P1738">
        <v>-0.99858469999999999</v>
      </c>
      <c r="Q1738">
        <v>-2.175707E-2</v>
      </c>
      <c r="R1738">
        <v>-4.8533369999999999E-2</v>
      </c>
      <c r="S1738">
        <v>-2.9970699999999999</v>
      </c>
      <c r="T1738">
        <v>-3.2642249999999998E-2</v>
      </c>
      <c r="U1738">
        <v>-0.13275149999999999</v>
      </c>
      <c r="V1738">
        <v>-7.2697330000000004E-2</v>
      </c>
      <c r="W1738">
        <v>-1.6051599999999999E-2</v>
      </c>
      <c r="X1738">
        <v>0.99722489999999997</v>
      </c>
      <c r="Y1738">
        <v>-6.8530160000000007E-2</v>
      </c>
      <c r="Z1738">
        <v>-6.3778119999999998E-4</v>
      </c>
      <c r="AA1738">
        <v>0.9976488</v>
      </c>
      <c r="AB1738">
        <v>38</v>
      </c>
      <c r="AC1738">
        <v>-94.3095</v>
      </c>
      <c r="AD1738">
        <v>-1.03123472</v>
      </c>
      <c r="AE1738">
        <v>-4.20160000000004</v>
      </c>
      <c r="AF1738">
        <v>-6.4933966159238103</v>
      </c>
      <c r="AG1738">
        <v>-1.03123472</v>
      </c>
      <c r="AH1738">
        <v>94.168171500455401</v>
      </c>
      <c r="AI1738">
        <v>90.625934213808193</v>
      </c>
      <c r="AJ1738">
        <v>93.944604866439406</v>
      </c>
      <c r="AK1738">
        <v>94.397416110816295</v>
      </c>
      <c r="AL1738">
        <v>90.919728406442502</v>
      </c>
      <c r="AM1738">
        <v>94.169465772093105</v>
      </c>
      <c r="AN1738">
        <v>1.0000000284158399</v>
      </c>
    </row>
    <row r="1739" spans="1:40" x14ac:dyDescent="0.25">
      <c r="A1739" t="str">
        <f>"20190312151532431"</f>
        <v>20190312151532431</v>
      </c>
      <c r="B1739" t="str">
        <f>"1552374932419424"</f>
        <v>1552374932419424</v>
      </c>
      <c r="C1739" t="s">
        <v>40</v>
      </c>
      <c r="D1739">
        <v>4.7905730000000002</v>
      </c>
      <c r="E1739">
        <v>0.50045779999999995</v>
      </c>
      <c r="F1739" t="s">
        <v>51</v>
      </c>
      <c r="G1739">
        <v>-346.3553</v>
      </c>
      <c r="H1739">
        <v>8.0001059999999999E-2</v>
      </c>
      <c r="I1739">
        <v>277.55630000000002</v>
      </c>
      <c r="J1739">
        <v>-255.0849</v>
      </c>
      <c r="K1739">
        <v>1.111251</v>
      </c>
      <c r="L1739">
        <v>281.86349999999999</v>
      </c>
      <c r="M1739">
        <v>-0.99974989999999997</v>
      </c>
      <c r="N1739">
        <v>0</v>
      </c>
      <c r="O1739">
        <v>2.147715E-2</v>
      </c>
      <c r="P1739">
        <v>-0.99848040000000005</v>
      </c>
      <c r="Q1739">
        <v>-2.1310829999999999E-2</v>
      </c>
      <c r="R1739">
        <v>-5.0821959999999999E-2</v>
      </c>
      <c r="S1739">
        <v>-2.9966740000000001</v>
      </c>
      <c r="T1739">
        <v>-3.372145E-2</v>
      </c>
      <c r="U1739">
        <v>-0.140625</v>
      </c>
      <c r="V1739">
        <v>-7.2148610000000002E-2</v>
      </c>
      <c r="W1739">
        <v>-1.559256E-2</v>
      </c>
      <c r="X1739">
        <v>0.99727200000000005</v>
      </c>
      <c r="Y1739">
        <v>-6.8312940000000003E-2</v>
      </c>
      <c r="Z1739">
        <v>-6.2569999999999998E-4</v>
      </c>
      <c r="AA1739">
        <v>0.99766370000000004</v>
      </c>
      <c r="AB1739">
        <v>38</v>
      </c>
      <c r="AC1739">
        <v>-91.270399999999995</v>
      </c>
      <c r="AD1739">
        <v>-1.0312499399999999</v>
      </c>
      <c r="AE1739">
        <v>-4.3071999999999599</v>
      </c>
      <c r="AF1739">
        <v>-6.2656745063622497</v>
      </c>
      <c r="AG1739">
        <v>-1.0312499399999999</v>
      </c>
      <c r="AH1739">
        <v>91.145228423825102</v>
      </c>
      <c r="AI1739">
        <v>90.646711267586298</v>
      </c>
      <c r="AJ1739">
        <v>93.932545933205503</v>
      </c>
      <c r="AK1739">
        <v>91.366157946417403</v>
      </c>
      <c r="AL1739">
        <v>90.893424088670102</v>
      </c>
      <c r="AM1739">
        <v>94.137909593779895</v>
      </c>
      <c r="AN1739">
        <v>0.99999999591814204</v>
      </c>
    </row>
    <row r="1740" spans="1:40" x14ac:dyDescent="0.25">
      <c r="A1740" t="str">
        <f>"20190312151532453"</f>
        <v>20190312151532453</v>
      </c>
      <c r="B1740" t="str">
        <f>"1552374932449680"</f>
        <v>1552374932449680</v>
      </c>
      <c r="C1740" t="s">
        <v>40</v>
      </c>
      <c r="D1740">
        <v>4.774667</v>
      </c>
      <c r="E1740">
        <v>0.50034579999999995</v>
      </c>
      <c r="F1740" t="s">
        <v>51</v>
      </c>
      <c r="G1740">
        <v>-345.88929999999999</v>
      </c>
      <c r="H1740">
        <v>8.0001210000000003E-2</v>
      </c>
      <c r="I1740">
        <v>277.37889999999999</v>
      </c>
      <c r="J1740">
        <v>-255.46619999999999</v>
      </c>
      <c r="K1740">
        <v>1.111259</v>
      </c>
      <c r="L1740">
        <v>281.86939999999998</v>
      </c>
      <c r="M1740">
        <v>-0.99980780000000002</v>
      </c>
      <c r="N1740">
        <v>0</v>
      </c>
      <c r="O1740">
        <v>1.8585730000000002E-2</v>
      </c>
      <c r="P1740">
        <v>-0.99835490000000005</v>
      </c>
      <c r="Q1740">
        <v>-2.1029800000000001E-2</v>
      </c>
      <c r="R1740">
        <v>-5.3342359999999998E-2</v>
      </c>
      <c r="S1740">
        <v>-2.9963069999999998</v>
      </c>
      <c r="T1740">
        <v>-3.4028530000000001E-2</v>
      </c>
      <c r="U1740">
        <v>-0.14797969999999999</v>
      </c>
      <c r="V1740">
        <v>-7.1784689999999998E-2</v>
      </c>
      <c r="W1740">
        <v>-1.5297099999999999E-2</v>
      </c>
      <c r="X1740">
        <v>0.99730280000000004</v>
      </c>
      <c r="Y1740">
        <v>-6.7876610000000004E-2</v>
      </c>
      <c r="Z1740">
        <v>-5.9614279999999997E-4</v>
      </c>
      <c r="AA1740">
        <v>0.99769350000000001</v>
      </c>
      <c r="AB1740">
        <v>38</v>
      </c>
      <c r="AC1740">
        <v>-90.423100000000005</v>
      </c>
      <c r="AD1740">
        <v>-1.03125779</v>
      </c>
      <c r="AE1740">
        <v>-4.4904999999999902</v>
      </c>
      <c r="AF1740">
        <v>-6.1695358717634203</v>
      </c>
      <c r="AG1740">
        <v>-1.03125779</v>
      </c>
      <c r="AH1740">
        <v>90.312301817746302</v>
      </c>
      <c r="AI1740">
        <v>90.652699333723604</v>
      </c>
      <c r="AJ1740">
        <v>93.907995014135196</v>
      </c>
      <c r="AK1740">
        <v>90.528661346128999</v>
      </c>
      <c r="AL1740">
        <v>90.8764934904802</v>
      </c>
      <c r="AM1740">
        <v>94.116983080336396</v>
      </c>
      <c r="AN1740">
        <v>0.99999995893732196</v>
      </c>
    </row>
    <row r="1741" spans="1:40" x14ac:dyDescent="0.25">
      <c r="A1741" t="str">
        <f>"20190312151532476"</f>
        <v>20190312151532476</v>
      </c>
      <c r="B1741" t="str">
        <f>"1552374932469200"</f>
        <v>1552374932469200</v>
      </c>
      <c r="C1741" t="s">
        <v>40</v>
      </c>
      <c r="D1741">
        <v>4.757555</v>
      </c>
      <c r="E1741">
        <v>0.50032790000000005</v>
      </c>
      <c r="F1741" t="s">
        <v>51</v>
      </c>
      <c r="G1741">
        <v>-342.27760000000001</v>
      </c>
      <c r="H1741">
        <v>8.0000799999999997E-2</v>
      </c>
      <c r="I1741">
        <v>277.33359999999999</v>
      </c>
      <c r="J1741">
        <v>-255.84690000000001</v>
      </c>
      <c r="K1741">
        <v>1.111246</v>
      </c>
      <c r="L1741">
        <v>281.8741</v>
      </c>
      <c r="M1741">
        <v>-0.99985650000000004</v>
      </c>
      <c r="N1741">
        <v>0</v>
      </c>
      <c r="O1741">
        <v>1.5753980000000001E-2</v>
      </c>
      <c r="P1741">
        <v>-0.99820710000000001</v>
      </c>
      <c r="Q1741">
        <v>-2.0901309999999999E-2</v>
      </c>
      <c r="R1741">
        <v>-5.6089630000000001E-2</v>
      </c>
      <c r="S1741">
        <v>-2.995819</v>
      </c>
      <c r="T1741">
        <v>-3.5588259999999997E-2</v>
      </c>
      <c r="U1741">
        <v>-0.15652469999999999</v>
      </c>
      <c r="V1741">
        <v>-7.1705420000000006E-2</v>
      </c>
      <c r="W1741">
        <v>-1.51532E-2</v>
      </c>
      <c r="X1741">
        <v>0.99731080000000005</v>
      </c>
      <c r="Y1741">
        <v>-6.7896990000000004E-2</v>
      </c>
      <c r="Z1741">
        <v>-5.9002499999999999E-4</v>
      </c>
      <c r="AA1741">
        <v>0.99769220000000003</v>
      </c>
      <c r="AB1741">
        <v>38</v>
      </c>
      <c r="AC1741">
        <v>-86.430700000000002</v>
      </c>
      <c r="AD1741">
        <v>-1.0312452000000001</v>
      </c>
      <c r="AE1741">
        <v>-4.5404999999999998</v>
      </c>
      <c r="AF1741">
        <v>-5.9007527054403504</v>
      </c>
      <c r="AG1741">
        <v>-1.0312452000000001</v>
      </c>
      <c r="AH1741">
        <v>86.3361840700274</v>
      </c>
      <c r="AI1741">
        <v>90.682746037647604</v>
      </c>
      <c r="AJ1741">
        <v>93.909870159500201</v>
      </c>
      <c r="AK1741">
        <v>86.543740553126895</v>
      </c>
      <c r="AL1741">
        <v>90.868247584581795</v>
      </c>
      <c r="AM1741">
        <v>94.112419532657995</v>
      </c>
      <c r="AN1741">
        <v>1.0000000592621201</v>
      </c>
    </row>
    <row r="1742" spans="1:40" x14ac:dyDescent="0.25">
      <c r="A1742" t="str">
        <f>"20190312151532499"</f>
        <v>20190312151532499</v>
      </c>
      <c r="B1742" t="str">
        <f>"1552374932489696"</f>
        <v>1552374932489696</v>
      </c>
      <c r="C1742" t="s">
        <v>40</v>
      </c>
      <c r="D1742">
        <v>5.0757649999999996</v>
      </c>
      <c r="E1742">
        <v>0.50031859999999995</v>
      </c>
      <c r="F1742" t="s">
        <v>51</v>
      </c>
      <c r="G1742">
        <v>-337.2337</v>
      </c>
      <c r="H1742">
        <v>8.0001119999999995E-2</v>
      </c>
      <c r="I1742">
        <v>277.38729999999998</v>
      </c>
      <c r="J1742">
        <v>-256.24200000000002</v>
      </c>
      <c r="K1742">
        <v>1.111219</v>
      </c>
      <c r="L1742">
        <v>281.87790000000001</v>
      </c>
      <c r="M1742">
        <v>-0.9998977</v>
      </c>
      <c r="N1742">
        <v>0</v>
      </c>
      <c r="O1742">
        <v>1.2868070000000001E-2</v>
      </c>
      <c r="P1742">
        <v>-0.99806600000000001</v>
      </c>
      <c r="Q1742">
        <v>-2.0429530000000001E-2</v>
      </c>
      <c r="R1742">
        <v>-5.8713040000000001E-2</v>
      </c>
      <c r="S1742">
        <v>-2.9952999999999999</v>
      </c>
      <c r="T1742">
        <v>-3.7953140000000003E-2</v>
      </c>
      <c r="U1742">
        <v>-0.16513059999999999</v>
      </c>
      <c r="V1742">
        <v>-7.1452950000000001E-2</v>
      </c>
      <c r="W1742">
        <v>-1.4662959999999999E-2</v>
      </c>
      <c r="X1742">
        <v>0.99733620000000001</v>
      </c>
      <c r="Y1742">
        <v>-6.7884109999999998E-2</v>
      </c>
      <c r="Z1742">
        <v>-5.9266669999999996E-4</v>
      </c>
      <c r="AA1742">
        <v>0.9976931</v>
      </c>
      <c r="AB1742">
        <v>38</v>
      </c>
      <c r="AC1742">
        <v>-80.991699999999895</v>
      </c>
      <c r="AD1742">
        <v>-1.03121788</v>
      </c>
      <c r="AE1742">
        <v>-4.4906000000000201</v>
      </c>
      <c r="AF1742">
        <v>-5.5315613731147897</v>
      </c>
      <c r="AG1742">
        <v>-1.03121788</v>
      </c>
      <c r="AH1742">
        <v>80.914130291795004</v>
      </c>
      <c r="AI1742">
        <v>90.728471910242305</v>
      </c>
      <c r="AJ1742">
        <v>93.910846750274004</v>
      </c>
      <c r="AK1742">
        <v>81.109543596411299</v>
      </c>
      <c r="AL1742">
        <v>90.840155821558497</v>
      </c>
      <c r="AM1742">
        <v>94.097885383685394</v>
      </c>
      <c r="AN1742">
        <v>1.00000001114505</v>
      </c>
    </row>
    <row r="1743" spans="1:40" x14ac:dyDescent="0.25">
      <c r="A1743" t="str">
        <f>"20190312151532632"</f>
        <v>20190312151532632</v>
      </c>
      <c r="B1743" t="str">
        <f>"1552374932629264"</f>
        <v>1552374932629264</v>
      </c>
      <c r="C1743" t="s">
        <v>40</v>
      </c>
      <c r="D1743">
        <v>4.8229839999999999</v>
      </c>
      <c r="E1743">
        <v>0.50077729999999998</v>
      </c>
      <c r="F1743" t="s">
        <v>51</v>
      </c>
      <c r="G1743">
        <v>-337.17509999999999</v>
      </c>
      <c r="H1743">
        <v>8.0001149999999993E-2</v>
      </c>
      <c r="I1743">
        <v>277.19850000000002</v>
      </c>
      <c r="J1743">
        <v>-258.52170000000001</v>
      </c>
      <c r="K1743">
        <v>1.1108279999999999</v>
      </c>
      <c r="L1743">
        <v>281.8809</v>
      </c>
      <c r="M1743">
        <v>-0.99997840000000005</v>
      </c>
      <c r="N1743">
        <v>0</v>
      </c>
      <c r="O1743">
        <v>-1.882208E-3</v>
      </c>
      <c r="P1743">
        <v>-0.997139</v>
      </c>
      <c r="Q1743">
        <v>-2.0285319999999999E-2</v>
      </c>
      <c r="R1743">
        <v>-7.2818399999999894E-2</v>
      </c>
      <c r="S1743">
        <v>-2.9948429999999999</v>
      </c>
      <c r="T1743">
        <v>-3.8159129999999999E-2</v>
      </c>
      <c r="U1743">
        <v>-0.1731567</v>
      </c>
      <c r="V1743">
        <v>-7.0856840000000004E-2</v>
      </c>
      <c r="W1743">
        <v>-1.440699E-2</v>
      </c>
      <c r="X1743">
        <v>0.99738249999999995</v>
      </c>
      <c r="Y1743">
        <v>-5.583834E-2</v>
      </c>
      <c r="Z1743">
        <v>-3.3146260000000002E-4</v>
      </c>
      <c r="AA1743">
        <v>0.99843979999999999</v>
      </c>
      <c r="AB1743">
        <v>39</v>
      </c>
      <c r="AC1743">
        <v>-78.653399999999905</v>
      </c>
      <c r="AD1743">
        <v>-1.03082685</v>
      </c>
      <c r="AE1743">
        <v>-4.6823999999999701</v>
      </c>
      <c r="AF1743">
        <v>-4.5335707493548796</v>
      </c>
      <c r="AG1743">
        <v>-1.03082685</v>
      </c>
      <c r="AH1743">
        <v>78.648612671106605</v>
      </c>
      <c r="AI1743">
        <v>90.749673522236904</v>
      </c>
      <c r="AJ1743">
        <v>93.299070804755701</v>
      </c>
      <c r="AK1743">
        <v>78.785913352729807</v>
      </c>
      <c r="AL1743">
        <v>90.825488237634403</v>
      </c>
      <c r="AM1743">
        <v>94.063624989078704</v>
      </c>
      <c r="AN1743">
        <v>1.00000005222094</v>
      </c>
    </row>
    <row r="1744" spans="1:40" x14ac:dyDescent="0.25">
      <c r="A1744" t="str">
        <f>"20190312151532677"</f>
        <v>20190312151532677</v>
      </c>
      <c r="B1744" t="str">
        <f>"1552374932669280"</f>
        <v>1552374932669280</v>
      </c>
      <c r="C1744" t="s">
        <v>40</v>
      </c>
      <c r="D1744">
        <v>4.4470519999999896</v>
      </c>
      <c r="E1744">
        <v>0.5512996</v>
      </c>
      <c r="F1744" t="s">
        <v>51</v>
      </c>
      <c r="G1744">
        <v>-334.8888</v>
      </c>
      <c r="H1744">
        <v>8.0000390000000005E-2</v>
      </c>
      <c r="I1744">
        <v>276.47730000000001</v>
      </c>
      <c r="J1744">
        <v>-259.30619999999999</v>
      </c>
      <c r="K1744">
        <v>1.1106259999999999</v>
      </c>
      <c r="L1744">
        <v>281.87529999999998</v>
      </c>
      <c r="M1744">
        <v>-0.99996200000000002</v>
      </c>
      <c r="N1744">
        <v>0</v>
      </c>
      <c r="O1744">
        <v>-5.9885059999999898E-3</v>
      </c>
      <c r="P1744">
        <v>-0.99677919999999998</v>
      </c>
      <c r="Q1744">
        <v>-2.019607E-2</v>
      </c>
      <c r="R1744">
        <v>-7.7611760000000002E-2</v>
      </c>
      <c r="S1744">
        <v>-2.99234</v>
      </c>
      <c r="T1744">
        <v>-4.039156E-2</v>
      </c>
      <c r="U1744">
        <v>-0.211731</v>
      </c>
      <c r="V1744">
        <v>-7.1564150000000007E-2</v>
      </c>
      <c r="W1744">
        <v>-1.426938E-2</v>
      </c>
      <c r="X1744">
        <v>0.9973339</v>
      </c>
      <c r="Y1744">
        <v>-6.4600930000000001E-2</v>
      </c>
      <c r="Z1744">
        <v>-3.5471070000000002E-4</v>
      </c>
      <c r="AA1744">
        <v>0.99791110000000005</v>
      </c>
      <c r="AB1744">
        <v>39</v>
      </c>
      <c r="AC1744">
        <v>-75.582599999999999</v>
      </c>
      <c r="AD1744">
        <v>-1.03062561</v>
      </c>
      <c r="AE1744">
        <v>-5.3979999999999597</v>
      </c>
      <c r="AF1744">
        <v>-4.9443526092273702</v>
      </c>
      <c r="AG1744">
        <v>-1.03062561</v>
      </c>
      <c r="AH1744">
        <v>75.599586077424803</v>
      </c>
      <c r="AI1744">
        <v>90.779382251908004</v>
      </c>
      <c r="AJ1744">
        <v>93.741920680721293</v>
      </c>
      <c r="AK1744">
        <v>75.768108244500297</v>
      </c>
      <c r="AL1744">
        <v>90.817603018026205</v>
      </c>
      <c r="AM1744">
        <v>94.104250450977005</v>
      </c>
      <c r="AN1744">
        <v>0.99999997543000796</v>
      </c>
    </row>
    <row r="1745" spans="1:40" x14ac:dyDescent="0.25">
      <c r="A1745" t="str">
        <f>"20190312151532698"</f>
        <v>20190312151532698</v>
      </c>
      <c r="B1745" t="str">
        <f>"1552374932689780"</f>
        <v>1552374932689780</v>
      </c>
      <c r="C1745" t="s">
        <v>40</v>
      </c>
      <c r="D1745">
        <v>4.7990729999999999</v>
      </c>
      <c r="E1745">
        <v>0.53707749999999999</v>
      </c>
      <c r="F1745" t="s">
        <v>53</v>
      </c>
      <c r="G1745">
        <v>-510.9554</v>
      </c>
      <c r="H1745">
        <v>5.4987130000000004</v>
      </c>
      <c r="I1745">
        <v>296.68310000000002</v>
      </c>
      <c r="J1745">
        <v>-259.67759999999998</v>
      </c>
      <c r="K1745">
        <v>1.1105370000000001</v>
      </c>
      <c r="L1745">
        <v>281.8716</v>
      </c>
      <c r="M1745">
        <v>-0.99994970000000005</v>
      </c>
      <c r="N1745">
        <v>0</v>
      </c>
      <c r="O1745">
        <v>-7.7735549999999997E-3</v>
      </c>
      <c r="P1745">
        <v>-0.99660610000000005</v>
      </c>
      <c r="Q1745">
        <v>-2.038972E-2</v>
      </c>
      <c r="R1745">
        <v>-7.9754459999999999E-2</v>
      </c>
      <c r="S1745">
        <v>-3.0246279999999999</v>
      </c>
      <c r="T1745">
        <v>5.2742360000000002E-2</v>
      </c>
      <c r="U1745">
        <v>0.17797850000000001</v>
      </c>
      <c r="V1745">
        <v>-7.1930160000000007E-2</v>
      </c>
      <c r="W1745">
        <v>-1.4438909999999999E-2</v>
      </c>
      <c r="X1745">
        <v>0.9973052</v>
      </c>
      <c r="Y1745">
        <v>6.6488770000000003E-2</v>
      </c>
      <c r="Z1745">
        <v>-7.1459319999999998E-4</v>
      </c>
      <c r="AA1745">
        <v>0.99778690000000003</v>
      </c>
      <c r="AB1745">
        <v>39</v>
      </c>
      <c r="AC1745">
        <v>-251.27780000000001</v>
      </c>
      <c r="AD1745">
        <v>4.3881759999999996</v>
      </c>
      <c r="AE1745">
        <v>14.811500000000001</v>
      </c>
      <c r="AF1745">
        <v>16.759320066217899</v>
      </c>
      <c r="AG1745">
        <v>4.3881759999999996</v>
      </c>
      <c r="AH1745">
        <v>251.07876028923701</v>
      </c>
      <c r="AI1745">
        <v>89.000949745532097</v>
      </c>
      <c r="AJ1745">
        <v>86.181214195896402</v>
      </c>
      <c r="AK1745">
        <v>251.67573336749999</v>
      </c>
      <c r="AL1745">
        <v>90.827317314226605</v>
      </c>
      <c r="AM1745">
        <v>94.125287382856996</v>
      </c>
      <c r="AN1745">
        <v>1.00000004599332</v>
      </c>
    </row>
    <row r="1746" spans="1:40" x14ac:dyDescent="0.25">
      <c r="A1746" t="str">
        <f>"20190312151532722"</f>
        <v>20190312151532722</v>
      </c>
      <c r="B1746" t="str">
        <f>"1552374932719057"</f>
        <v>1552374932719057</v>
      </c>
      <c r="C1746" t="s">
        <v>40</v>
      </c>
      <c r="D1746">
        <v>4.8143820000000002</v>
      </c>
      <c r="E1746">
        <v>0.53241210000000005</v>
      </c>
      <c r="F1746" t="s">
        <v>51</v>
      </c>
      <c r="G1746">
        <v>-327.62619999999998</v>
      </c>
      <c r="H1746" s="1">
        <v>2.586402E-6</v>
      </c>
      <c r="I1746">
        <v>283.13080000000002</v>
      </c>
      <c r="J1746">
        <v>-260.09780000000001</v>
      </c>
      <c r="K1746">
        <v>1.1104350000000001</v>
      </c>
      <c r="L1746">
        <v>281.86689999999999</v>
      </c>
      <c r="M1746">
        <v>-0.99993299999999996</v>
      </c>
      <c r="N1746">
        <v>0</v>
      </c>
      <c r="O1746">
        <v>-9.6772330000000004E-3</v>
      </c>
      <c r="P1746">
        <v>-0.99643749999999998</v>
      </c>
      <c r="Q1746">
        <v>-2.027468E-2</v>
      </c>
      <c r="R1746">
        <v>-8.1862450000000003E-2</v>
      </c>
      <c r="S1746">
        <v>-3.0136720000000001</v>
      </c>
      <c r="T1746">
        <v>-4.9254659999999999E-2</v>
      </c>
      <c r="U1746">
        <v>5.5847170000000002E-2</v>
      </c>
      <c r="V1746">
        <v>-7.2144780000000006E-2</v>
      </c>
      <c r="W1746">
        <v>-1.429415E-2</v>
      </c>
      <c r="X1746">
        <v>0.9972917</v>
      </c>
      <c r="Y1746">
        <v>2.819793E-2</v>
      </c>
      <c r="Z1746">
        <v>3.885375E-4</v>
      </c>
      <c r="AA1746">
        <v>0.99960230000000005</v>
      </c>
      <c r="AB1746">
        <v>39</v>
      </c>
      <c r="AC1746">
        <v>-67.528399999999905</v>
      </c>
      <c r="AD1746">
        <v>-1.1104324135979999</v>
      </c>
      <c r="AE1746">
        <v>1.26390000000003</v>
      </c>
      <c r="AF1746">
        <v>1.9168239259568201</v>
      </c>
      <c r="AG1746">
        <v>-1.1104324135979999</v>
      </c>
      <c r="AH1746">
        <v>67.494762130665293</v>
      </c>
      <c r="AI1746">
        <v>90.942172615696094</v>
      </c>
      <c r="AJ1746">
        <v>88.373260300239295</v>
      </c>
      <c r="AK1746">
        <v>67.531105345487902</v>
      </c>
      <c r="AL1746">
        <v>90.819022389094599</v>
      </c>
      <c r="AM1746">
        <v>94.137609246303001</v>
      </c>
      <c r="AN1746">
        <v>0.99999996344717901</v>
      </c>
    </row>
    <row r="1747" spans="1:40" x14ac:dyDescent="0.25">
      <c r="A1747" t="str">
        <f>"20190312151532744"</f>
        <v>20190312151532744</v>
      </c>
      <c r="B1747" t="str">
        <f>"1552374932739552"</f>
        <v>1552374932739552</v>
      </c>
      <c r="C1747" t="s">
        <v>40</v>
      </c>
      <c r="D1747">
        <v>4.8065319999999998</v>
      </c>
      <c r="E1747">
        <v>0.53109869999999904</v>
      </c>
      <c r="F1747" t="s">
        <v>52</v>
      </c>
      <c r="G1747">
        <v>-296.76319999999998</v>
      </c>
      <c r="H1747" s="1">
        <v>3.633636E-6</v>
      </c>
      <c r="I1747">
        <v>282.0059</v>
      </c>
      <c r="J1747">
        <v>-260.47719999999998</v>
      </c>
      <c r="K1747">
        <v>1.1103459999999901</v>
      </c>
      <c r="L1747">
        <v>281.86189999999999</v>
      </c>
      <c r="M1747">
        <v>-0.99991609999999997</v>
      </c>
      <c r="N1747">
        <v>0</v>
      </c>
      <c r="O1747">
        <v>-1.1288360000000001E-2</v>
      </c>
      <c r="P1747">
        <v>-0.99628899999999998</v>
      </c>
      <c r="Q1747">
        <v>-2.0108009999999999E-2</v>
      </c>
      <c r="R1747">
        <v>-8.3692580000000003E-2</v>
      </c>
      <c r="S1747">
        <v>-3.0097960000000001</v>
      </c>
      <c r="T1747">
        <v>-9.1153380000000006E-2</v>
      </c>
      <c r="U1747">
        <v>1.141357E-2</v>
      </c>
      <c r="V1747">
        <v>-7.2373240000000005E-2</v>
      </c>
      <c r="W1747">
        <v>-1.40993E-2</v>
      </c>
      <c r="X1747">
        <v>0.997278</v>
      </c>
      <c r="Y1747">
        <v>1.506829E-2</v>
      </c>
      <c r="Z1747">
        <v>5.6992079999999997E-4</v>
      </c>
      <c r="AA1747">
        <v>0.99988630000000001</v>
      </c>
      <c r="AB1747">
        <v>39</v>
      </c>
      <c r="AC1747">
        <v>-36.286000000000001</v>
      </c>
      <c r="AD1747">
        <v>-1.11034236636399</v>
      </c>
      <c r="AE1747">
        <v>0.14400000000000501</v>
      </c>
      <c r="AF1747">
        <v>0.55309064773342698</v>
      </c>
      <c r="AG1747">
        <v>-1.11034236636399</v>
      </c>
      <c r="AH1747">
        <v>36.248122174350002</v>
      </c>
      <c r="AI1747">
        <v>91.754315633934795</v>
      </c>
      <c r="AJ1747">
        <v>89.125822279833699</v>
      </c>
      <c r="AK1747">
        <v>36.269341469094201</v>
      </c>
      <c r="AL1747">
        <v>90.8078571167825</v>
      </c>
      <c r="AM1747">
        <v>94.150722862372703</v>
      </c>
      <c r="AN1747">
        <v>1.0000000427062901</v>
      </c>
    </row>
    <row r="1748" spans="1:40" x14ac:dyDescent="0.25">
      <c r="A1748" t="str">
        <f>"20190312151532766"</f>
        <v>20190312151532766</v>
      </c>
      <c r="B1748" t="str">
        <f>"1552374932759072"</f>
        <v>1552374932759072</v>
      </c>
      <c r="C1748" t="s">
        <v>40</v>
      </c>
      <c r="D1748">
        <v>4.7829439999999996</v>
      </c>
      <c r="E1748">
        <v>0.53057089999999996</v>
      </c>
      <c r="F1748" t="s">
        <v>52</v>
      </c>
      <c r="G1748">
        <v>-293.44779999999997</v>
      </c>
      <c r="H1748" s="1">
        <v>3.06287E-6</v>
      </c>
      <c r="I1748">
        <v>281.80770000000001</v>
      </c>
      <c r="J1748">
        <v>-260.87450000000001</v>
      </c>
      <c r="K1748">
        <v>1.1102459999999901</v>
      </c>
      <c r="L1748">
        <v>281.8562</v>
      </c>
      <c r="M1748">
        <v>-0.99989709999999998</v>
      </c>
      <c r="N1748">
        <v>0</v>
      </c>
      <c r="O1748">
        <v>-1.2857260000000001E-2</v>
      </c>
      <c r="P1748">
        <v>-0.99616039999999995</v>
      </c>
      <c r="Q1748">
        <v>-2.0478240000000002E-2</v>
      </c>
      <c r="R1748">
        <v>-8.5119230000000004E-2</v>
      </c>
      <c r="S1748">
        <v>-3.0087280000000001</v>
      </c>
      <c r="T1748">
        <v>-0.10132430000000001</v>
      </c>
      <c r="U1748">
        <v>-4.9438479999999998E-3</v>
      </c>
      <c r="V1748">
        <v>-7.223926E-2</v>
      </c>
      <c r="W1748">
        <v>-1.4436269999999999E-2</v>
      </c>
      <c r="X1748">
        <v>0.99728289999999997</v>
      </c>
      <c r="Y1748">
        <v>1.120084E-2</v>
      </c>
      <c r="Z1748">
        <v>6.214177E-4</v>
      </c>
      <c r="AA1748">
        <v>0.99993710000000002</v>
      </c>
      <c r="AB1748">
        <v>39</v>
      </c>
      <c r="AC1748">
        <v>-32.573299999999897</v>
      </c>
      <c r="AD1748">
        <v>-1.11024293712999</v>
      </c>
      <c r="AE1748">
        <v>-4.8499999999990002E-2</v>
      </c>
      <c r="AF1748">
        <v>0.369886158995477</v>
      </c>
      <c r="AG1748">
        <v>-1.11024293712999</v>
      </c>
      <c r="AH1748">
        <v>32.533435416673299</v>
      </c>
      <c r="AI1748">
        <v>91.954403232535697</v>
      </c>
      <c r="AJ1748">
        <v>89.3486085175917</v>
      </c>
      <c r="AK1748">
        <v>32.554475501241299</v>
      </c>
      <c r="AL1748">
        <v>90.827166034621101</v>
      </c>
      <c r="AM1748">
        <v>94.143045388064095</v>
      </c>
      <c r="AN1748">
        <v>1.00000004960463</v>
      </c>
    </row>
    <row r="1749" spans="1:40" x14ac:dyDescent="0.25">
      <c r="A1749" t="str">
        <f>"20190312151532788"</f>
        <v>20190312151532788</v>
      </c>
      <c r="B1749" t="str">
        <f>"1552374932779572"</f>
        <v>1552374932779572</v>
      </c>
      <c r="C1749" t="s">
        <v>40</v>
      </c>
      <c r="D1749">
        <v>4.7523439999999999</v>
      </c>
      <c r="E1749">
        <v>0.53052929999999998</v>
      </c>
      <c r="F1749" t="s">
        <v>52</v>
      </c>
      <c r="G1749">
        <v>-294.44290000000001</v>
      </c>
      <c r="H1749" s="1">
        <v>3.2481220000000001E-6</v>
      </c>
      <c r="I1749">
        <v>281.70769999999999</v>
      </c>
      <c r="J1749">
        <v>-261.26310000000001</v>
      </c>
      <c r="K1749">
        <v>1.1101350000000001</v>
      </c>
      <c r="L1749">
        <v>281.8501</v>
      </c>
      <c r="M1749">
        <v>-0.99987780000000004</v>
      </c>
      <c r="N1749">
        <v>0</v>
      </c>
      <c r="O1749">
        <v>-1.4271010000000001E-2</v>
      </c>
      <c r="P1749">
        <v>-0.99604729999999997</v>
      </c>
      <c r="Q1749">
        <v>-1.9964800000000001E-2</v>
      </c>
      <c r="R1749">
        <v>-8.6551799999999998E-2</v>
      </c>
      <c r="S1749">
        <v>-3.0083920000000002</v>
      </c>
      <c r="T1749">
        <v>-9.9499699999999996E-2</v>
      </c>
      <c r="U1749">
        <v>-1.330566E-2</v>
      </c>
      <c r="V1749">
        <v>-7.2269310000000003E-2</v>
      </c>
      <c r="W1749">
        <v>-1.388905E-2</v>
      </c>
      <c r="X1749">
        <v>0.99728850000000002</v>
      </c>
      <c r="Y1749">
        <v>9.8356290000000002E-3</v>
      </c>
      <c r="Z1749">
        <v>6.3446960000000001E-4</v>
      </c>
      <c r="AA1749">
        <v>0.99995140000000005</v>
      </c>
      <c r="AB1749">
        <v>39</v>
      </c>
      <c r="AC1749">
        <v>-33.1798</v>
      </c>
      <c r="AD1749">
        <v>-1.1101317518780001</v>
      </c>
      <c r="AE1749">
        <v>-0.14240000000000899</v>
      </c>
      <c r="AF1749">
        <v>0.33076313811157398</v>
      </c>
      <c r="AG1749">
        <v>-1.1101317518780001</v>
      </c>
      <c r="AH1749">
        <v>33.1413540620117</v>
      </c>
      <c r="AI1749">
        <v>91.918416685116</v>
      </c>
      <c r="AJ1749">
        <v>89.428185625716296</v>
      </c>
      <c r="AK1749">
        <v>33.1615914247745</v>
      </c>
      <c r="AL1749">
        <v>90.795809489664506</v>
      </c>
      <c r="AM1749">
        <v>94.144739609454703</v>
      </c>
      <c r="AN1749">
        <v>1.0000000555550099</v>
      </c>
    </row>
    <row r="1750" spans="1:40" x14ac:dyDescent="0.25">
      <c r="A1750" t="str">
        <f>"20190312151532809"</f>
        <v>20190312151532809</v>
      </c>
      <c r="B1750" t="str">
        <f>"1552374932799088"</f>
        <v>1552374932799088</v>
      </c>
      <c r="C1750" t="s">
        <v>40</v>
      </c>
      <c r="D1750">
        <v>4.789612</v>
      </c>
      <c r="E1750">
        <v>0.53042480000000003</v>
      </c>
      <c r="F1750" t="s">
        <v>52</v>
      </c>
      <c r="G1750">
        <v>-294.68979999999999</v>
      </c>
      <c r="H1750" s="1">
        <v>3.29694E-6</v>
      </c>
      <c r="I1750">
        <v>281.65030000000002</v>
      </c>
      <c r="J1750">
        <v>-261.6447</v>
      </c>
      <c r="K1750">
        <v>1.1100129999999999</v>
      </c>
      <c r="L1750">
        <v>281.84359999999998</v>
      </c>
      <c r="M1750">
        <v>-0.99985889999999999</v>
      </c>
      <c r="N1750">
        <v>0</v>
      </c>
      <c r="O1750">
        <v>-1.5535810000000001E-2</v>
      </c>
      <c r="P1750">
        <v>-0.99595239999999996</v>
      </c>
      <c r="Q1750">
        <v>-2.0120720000000002E-2</v>
      </c>
      <c r="R1750">
        <v>-8.7602239999999998E-2</v>
      </c>
      <c r="S1750">
        <v>-3.0083310000000001</v>
      </c>
      <c r="T1750">
        <v>-9.9909419999999999E-2</v>
      </c>
      <c r="U1750">
        <v>-1.7974850000000001E-2</v>
      </c>
      <c r="V1750">
        <v>-7.2062810000000005E-2</v>
      </c>
      <c r="W1750">
        <v>-1.4008990000000001E-2</v>
      </c>
      <c r="X1750">
        <v>0.99730169999999996</v>
      </c>
      <c r="Y1750">
        <v>9.5478319999999992E-3</v>
      </c>
      <c r="Z1750">
        <v>6.7430189999999996E-4</v>
      </c>
      <c r="AA1750">
        <v>0.99995420000000002</v>
      </c>
      <c r="AB1750">
        <v>40</v>
      </c>
      <c r="AC1750">
        <v>-33.045099999999898</v>
      </c>
      <c r="AD1750">
        <v>-1.11000970306</v>
      </c>
      <c r="AE1750">
        <v>-0.193299999999965</v>
      </c>
      <c r="AF1750">
        <v>0.31975542307963101</v>
      </c>
      <c r="AG1750">
        <v>-1.11000970306</v>
      </c>
      <c r="AH1750">
        <v>33.006873172568703</v>
      </c>
      <c r="AI1750">
        <v>91.926021001465998</v>
      </c>
      <c r="AJ1750">
        <v>89.444962173959496</v>
      </c>
      <c r="AK1750">
        <v>33.027080429573402</v>
      </c>
      <c r="AL1750">
        <v>90.802682265882893</v>
      </c>
      <c r="AM1750">
        <v>94.132883148168304</v>
      </c>
      <c r="AN1750">
        <v>0.99999999060440203</v>
      </c>
    </row>
    <row r="1751" spans="1:40" x14ac:dyDescent="0.25">
      <c r="A1751" t="str">
        <f>"20190312151532834"</f>
        <v>20190312151532834</v>
      </c>
      <c r="B1751" t="str">
        <f>"1552374932829344"</f>
        <v>1552374932829344</v>
      </c>
      <c r="C1751" t="s">
        <v>40</v>
      </c>
      <c r="D1751">
        <v>4.7770950000000001</v>
      </c>
      <c r="E1751">
        <v>0.53055209999999997</v>
      </c>
      <c r="F1751" t="s">
        <v>52</v>
      </c>
      <c r="G1751">
        <v>-293.50299999999999</v>
      </c>
      <c r="H1751" s="1">
        <v>3.090058E-6</v>
      </c>
      <c r="I1751">
        <v>281.60860000000002</v>
      </c>
      <c r="J1751">
        <v>-262.06270000000001</v>
      </c>
      <c r="K1751">
        <v>1.1098749999999999</v>
      </c>
      <c r="L1751">
        <v>281.83620000000002</v>
      </c>
      <c r="M1751">
        <v>-0.99983869999999997</v>
      </c>
      <c r="N1751">
        <v>0</v>
      </c>
      <c r="O1751">
        <v>-1.6775140000000001E-2</v>
      </c>
      <c r="P1751">
        <v>-0.99583489999999997</v>
      </c>
      <c r="Q1751">
        <v>-2.0049330000000001E-2</v>
      </c>
      <c r="R1751">
        <v>-8.8943789999999995E-2</v>
      </c>
      <c r="S1751">
        <v>-3.0081180000000001</v>
      </c>
      <c r="T1751">
        <v>-0.10480929999999999</v>
      </c>
      <c r="U1751">
        <v>-2.2186279999999999E-2</v>
      </c>
      <c r="V1751">
        <v>-7.2174680000000005E-2</v>
      </c>
      <c r="W1751">
        <v>-1.3897420000000001E-2</v>
      </c>
      <c r="X1751">
        <v>0.99729520000000005</v>
      </c>
      <c r="Y1751">
        <v>9.3849299999999997E-3</v>
      </c>
      <c r="Z1751">
        <v>7.4772300000000005E-4</v>
      </c>
      <c r="AA1751">
        <v>0.9999557</v>
      </c>
      <c r="AB1751">
        <v>40</v>
      </c>
      <c r="AC1751">
        <v>-31.440299999999901</v>
      </c>
      <c r="AD1751">
        <v>-1.109871909942</v>
      </c>
      <c r="AE1751">
        <v>-0.227599999999995</v>
      </c>
      <c r="AF1751">
        <v>0.29948513287768203</v>
      </c>
      <c r="AG1751">
        <v>-1.109871909942</v>
      </c>
      <c r="AH1751">
        <v>31.400565925073099</v>
      </c>
      <c r="AI1751">
        <v>92.024219120666999</v>
      </c>
      <c r="AJ1751">
        <v>89.453553992878398</v>
      </c>
      <c r="AK1751">
        <v>31.421601604885701</v>
      </c>
      <c r="AL1751">
        <v>90.796289130450404</v>
      </c>
      <c r="AM1751">
        <v>94.1393036195863</v>
      </c>
      <c r="AN1751">
        <v>1.0000000193293901</v>
      </c>
    </row>
    <row r="1752" spans="1:40" x14ac:dyDescent="0.25">
      <c r="A1752" t="str">
        <f>"20190312151532854"</f>
        <v>20190312151532854</v>
      </c>
      <c r="B1752" t="str">
        <f>"1552374932849840"</f>
        <v>1552374932849840</v>
      </c>
      <c r="C1752" t="s">
        <v>40</v>
      </c>
      <c r="D1752">
        <v>4.7812400000000004</v>
      </c>
      <c r="E1752">
        <v>0.53070890000000004</v>
      </c>
      <c r="F1752" t="s">
        <v>52</v>
      </c>
      <c r="G1752">
        <v>-293.4008</v>
      </c>
      <c r="H1752" s="1">
        <v>3.074971E-6</v>
      </c>
      <c r="I1752">
        <v>281.57389999999998</v>
      </c>
      <c r="J1752">
        <v>-262.45080000000002</v>
      </c>
      <c r="K1752">
        <v>1.1097379999999999</v>
      </c>
      <c r="L1752">
        <v>281.82889999999998</v>
      </c>
      <c r="M1752">
        <v>-0.99982139999999997</v>
      </c>
      <c r="N1752">
        <v>0</v>
      </c>
      <c r="O1752">
        <v>-1.777318E-2</v>
      </c>
      <c r="P1752">
        <v>-0.99576790000000004</v>
      </c>
      <c r="Q1752">
        <v>-2.0133560000000002E-2</v>
      </c>
      <c r="R1752">
        <v>-8.9675009999999999E-2</v>
      </c>
      <c r="S1752">
        <v>-3.0081479999999998</v>
      </c>
      <c r="T1752">
        <v>-0.1065369</v>
      </c>
      <c r="U1752">
        <v>-2.5177000000000001E-2</v>
      </c>
      <c r="V1752">
        <v>-7.1915939999999998E-2</v>
      </c>
      <c r="W1752">
        <v>-1.3941449999999999E-2</v>
      </c>
      <c r="X1752">
        <v>0.99731329999999996</v>
      </c>
      <c r="Y1752">
        <v>9.3879170000000008E-3</v>
      </c>
      <c r="Z1752">
        <v>7.9541159999999998E-4</v>
      </c>
      <c r="AA1752">
        <v>0.99995560000000006</v>
      </c>
      <c r="AB1752">
        <v>40</v>
      </c>
      <c r="AC1752">
        <v>-30.9499999999999</v>
      </c>
      <c r="AD1752">
        <v>-1.1097349250289901</v>
      </c>
      <c r="AE1752">
        <v>-0.25499999999999501</v>
      </c>
      <c r="AF1752">
        <v>0.29475263773730997</v>
      </c>
      <c r="AG1752">
        <v>-1.1097349250289901</v>
      </c>
      <c r="AH1752">
        <v>30.9099072150429</v>
      </c>
      <c r="AI1752">
        <v>92.056070318866503</v>
      </c>
      <c r="AJ1752">
        <v>89.453651861189002</v>
      </c>
      <c r="AK1752">
        <v>30.931226208539599</v>
      </c>
      <c r="AL1752">
        <v>90.798812089565203</v>
      </c>
      <c r="AM1752">
        <v>94.124441279613606</v>
      </c>
      <c r="AN1752">
        <v>1.00000004240553</v>
      </c>
    </row>
    <row r="1753" spans="1:40" x14ac:dyDescent="0.25">
      <c r="A1753" t="str">
        <f>"20190312151532877"</f>
        <v>20190312151532877</v>
      </c>
      <c r="B1753" t="str">
        <f>"1552374932869360"</f>
        <v>1552374932869360</v>
      </c>
      <c r="C1753" t="s">
        <v>40</v>
      </c>
      <c r="D1753">
        <v>4.79793</v>
      </c>
      <c r="E1753">
        <v>0.53084709999999902</v>
      </c>
      <c r="F1753" t="s">
        <v>52</v>
      </c>
      <c r="G1753">
        <v>-295.38490000000002</v>
      </c>
      <c r="H1753" s="1">
        <v>3.4294959999999998E-6</v>
      </c>
      <c r="I1753">
        <v>281.5446</v>
      </c>
      <c r="J1753">
        <v>-262.84739999999999</v>
      </c>
      <c r="K1753">
        <v>1.1096140000000001</v>
      </c>
      <c r="L1753">
        <v>281.8211</v>
      </c>
      <c r="M1753">
        <v>-0.99980469999999999</v>
      </c>
      <c r="N1753">
        <v>0</v>
      </c>
      <c r="O1753">
        <v>-1.8671429999999999E-2</v>
      </c>
      <c r="P1753">
        <v>-0.99572919999999998</v>
      </c>
      <c r="Q1753">
        <v>-2.0988150000000001E-2</v>
      </c>
      <c r="R1753">
        <v>-8.9904800000000007E-2</v>
      </c>
      <c r="S1753">
        <v>-3.008362</v>
      </c>
      <c r="T1753">
        <v>-0.1013684</v>
      </c>
      <c r="U1753">
        <v>-2.5970460000000001E-2</v>
      </c>
      <c r="V1753">
        <v>-7.1252170000000004E-2</v>
      </c>
      <c r="W1753">
        <v>-1.475458E-2</v>
      </c>
      <c r="X1753">
        <v>0.99734920000000005</v>
      </c>
      <c r="Y1753">
        <v>1.002391E-2</v>
      </c>
      <c r="Z1753">
        <v>7.9775660000000004E-4</v>
      </c>
      <c r="AA1753">
        <v>0.99994950000000005</v>
      </c>
      <c r="AB1753">
        <v>40</v>
      </c>
      <c r="AC1753">
        <v>-32.537500000000001</v>
      </c>
      <c r="AD1753">
        <v>-1.10961057050399</v>
      </c>
      <c r="AE1753">
        <v>-0.27649999999999803</v>
      </c>
      <c r="AF1753">
        <v>0.33069802895655798</v>
      </c>
      <c r="AG1753">
        <v>-1.10961057050399</v>
      </c>
      <c r="AH1753">
        <v>32.499197141304599</v>
      </c>
      <c r="AI1753">
        <v>91.955372258312593</v>
      </c>
      <c r="AJ1753">
        <v>89.417002600060201</v>
      </c>
      <c r="AK1753">
        <v>32.5198156765058</v>
      </c>
      <c r="AL1753">
        <v>90.845405839836403</v>
      </c>
      <c r="AM1753">
        <v>94.086356465385805</v>
      </c>
      <c r="AN1753">
        <v>0.99999999805066198</v>
      </c>
    </row>
    <row r="1754" spans="1:40" x14ac:dyDescent="0.25">
      <c r="A1754" t="str">
        <f>"20190312151532901"</f>
        <v>20190312151532901</v>
      </c>
      <c r="B1754" t="str">
        <f>"1552374932889860"</f>
        <v>1552374932889860</v>
      </c>
      <c r="C1754" t="s">
        <v>40</v>
      </c>
      <c r="D1754">
        <v>4.7991020000000004</v>
      </c>
      <c r="E1754">
        <v>0.53099169999999996</v>
      </c>
      <c r="F1754" t="s">
        <v>52</v>
      </c>
      <c r="G1754">
        <v>-294.39449999999999</v>
      </c>
      <c r="H1754" s="1">
        <v>3.2531010000000001E-6</v>
      </c>
      <c r="I1754">
        <v>281.55259999999998</v>
      </c>
      <c r="J1754">
        <v>-263.267</v>
      </c>
      <c r="K1754">
        <v>1.1094790000000001</v>
      </c>
      <c r="L1754">
        <v>281.81270000000001</v>
      </c>
      <c r="M1754">
        <v>-0.99978920000000004</v>
      </c>
      <c r="N1754">
        <v>0</v>
      </c>
      <c r="O1754">
        <v>-1.948277E-2</v>
      </c>
      <c r="P1754">
        <v>-0.99567939999999999</v>
      </c>
      <c r="Q1754">
        <v>-2.1434229999999999E-2</v>
      </c>
      <c r="R1754">
        <v>-9.0350020000000003E-2</v>
      </c>
      <c r="S1754">
        <v>-3.008362</v>
      </c>
      <c r="T1754">
        <v>-0.10581359999999999</v>
      </c>
      <c r="U1754">
        <v>-2.5604249999999999E-2</v>
      </c>
      <c r="V1754">
        <v>-7.0892650000000001E-2</v>
      </c>
      <c r="W1754">
        <v>-1.515798E-2</v>
      </c>
      <c r="X1754">
        <v>0.99736880000000006</v>
      </c>
      <c r="Y1754">
        <v>1.095455E-2</v>
      </c>
      <c r="Z1754">
        <v>8.7760429999999905E-4</v>
      </c>
      <c r="AA1754">
        <v>0.99993960000000004</v>
      </c>
      <c r="AB1754">
        <v>40</v>
      </c>
      <c r="AC1754">
        <v>-31.127500000000001</v>
      </c>
      <c r="AD1754">
        <v>-1.109475746899</v>
      </c>
      <c r="AE1754">
        <v>-0.26010000000002198</v>
      </c>
      <c r="AF1754">
        <v>0.34597252349631302</v>
      </c>
      <c r="AG1754">
        <v>-1.109475746899</v>
      </c>
      <c r="AH1754">
        <v>31.087168117461701</v>
      </c>
      <c r="AI1754">
        <v>92.043845790780296</v>
      </c>
      <c r="AJ1754">
        <v>89.362375272877102</v>
      </c>
      <c r="AK1754">
        <v>31.108883859491002</v>
      </c>
      <c r="AL1754">
        <v>90.868521517266998</v>
      </c>
      <c r="AM1754">
        <v>94.065727459252102</v>
      </c>
      <c r="AN1754">
        <v>1.00000002769757</v>
      </c>
    </row>
    <row r="1755" spans="1:40" x14ac:dyDescent="0.25">
      <c r="A1755" t="str">
        <f>"20190312151532924"</f>
        <v>20190312151532924</v>
      </c>
      <c r="B1755" t="str">
        <f>"1552374932919137"</f>
        <v>1552374932919137</v>
      </c>
      <c r="C1755" t="s">
        <v>40</v>
      </c>
      <c r="D1755">
        <v>4.8068400000000002</v>
      </c>
      <c r="E1755">
        <v>0.53088299999999999</v>
      </c>
      <c r="F1755" t="s">
        <v>52</v>
      </c>
      <c r="G1755">
        <v>-294.17750000000001</v>
      </c>
      <c r="H1755" s="1">
        <v>3.2150710000000002E-6</v>
      </c>
      <c r="I1755">
        <v>281.54739999999998</v>
      </c>
      <c r="J1755">
        <v>-263.6823</v>
      </c>
      <c r="K1755">
        <v>1.1093360000000001</v>
      </c>
      <c r="L1755">
        <v>281.80399999999997</v>
      </c>
      <c r="M1755">
        <v>-0.9997762</v>
      </c>
      <c r="N1755">
        <v>0</v>
      </c>
      <c r="O1755">
        <v>-2.0135449999999999E-2</v>
      </c>
      <c r="P1755">
        <v>-0.99566370000000004</v>
      </c>
      <c r="Q1755">
        <v>-2.1525570000000001E-2</v>
      </c>
      <c r="R1755">
        <v>-9.0502769999999996E-2</v>
      </c>
      <c r="S1755">
        <v>-3.008362</v>
      </c>
      <c r="T1755">
        <v>-0.10797950000000001</v>
      </c>
      <c r="U1755">
        <v>-2.581787E-2</v>
      </c>
      <c r="V1755">
        <v>-7.0399909999999996E-2</v>
      </c>
      <c r="W1755">
        <v>-1.5205659999999999E-2</v>
      </c>
      <c r="X1755">
        <v>0.99740300000000004</v>
      </c>
      <c r="Y1755">
        <v>1.153476E-2</v>
      </c>
      <c r="Z1755">
        <v>9.2938039999999997E-4</v>
      </c>
      <c r="AA1755">
        <v>0.99993310000000002</v>
      </c>
      <c r="AB1755">
        <v>40</v>
      </c>
      <c r="AC1755">
        <v>-30.495200000000001</v>
      </c>
      <c r="AD1755">
        <v>-1.109332784929</v>
      </c>
      <c r="AE1755">
        <v>-0.25660000000004801</v>
      </c>
      <c r="AF1755">
        <v>0.35702710664415999</v>
      </c>
      <c r="AG1755">
        <v>-1.109332784929</v>
      </c>
      <c r="AH1755">
        <v>30.453887047496998</v>
      </c>
      <c r="AI1755">
        <v>92.086027134556701</v>
      </c>
      <c r="AJ1755">
        <v>89.328321890224899</v>
      </c>
      <c r="AK1755">
        <v>30.4761763330688</v>
      </c>
      <c r="AL1755">
        <v>90.871253673740995</v>
      </c>
      <c r="AM1755">
        <v>94.037424383007803</v>
      </c>
      <c r="AN1755">
        <v>1.00000005191652</v>
      </c>
    </row>
    <row r="1756" spans="1:40" x14ac:dyDescent="0.25">
      <c r="A1756" t="str">
        <f>"20190312151532946"</f>
        <v>20190312151532946</v>
      </c>
      <c r="B1756" t="str">
        <f>"1552374932939633"</f>
        <v>1552374932939633</v>
      </c>
      <c r="C1756" t="s">
        <v>40</v>
      </c>
      <c r="D1756">
        <v>4.8627129999999896</v>
      </c>
      <c r="E1756">
        <v>0.53063800000000005</v>
      </c>
      <c r="F1756" t="s">
        <v>52</v>
      </c>
      <c r="G1756">
        <v>-294.74959999999999</v>
      </c>
      <c r="H1756" s="1">
        <v>3.3187239999999999E-6</v>
      </c>
      <c r="I1756">
        <v>281.52260000000001</v>
      </c>
      <c r="J1756">
        <v>-264.07929999999999</v>
      </c>
      <c r="K1756">
        <v>1.109197</v>
      </c>
      <c r="L1756">
        <v>281.79570000000001</v>
      </c>
      <c r="M1756">
        <v>-0.9997663</v>
      </c>
      <c r="N1756">
        <v>0</v>
      </c>
      <c r="O1756">
        <v>-2.0608620000000001E-2</v>
      </c>
      <c r="P1756">
        <v>-0.99565479999999995</v>
      </c>
      <c r="Q1756">
        <v>-2.200481E-2</v>
      </c>
      <c r="R1756">
        <v>-9.0483480000000005E-2</v>
      </c>
      <c r="S1756">
        <v>-3.00827</v>
      </c>
      <c r="T1756">
        <v>-0.1074175</v>
      </c>
      <c r="U1756">
        <v>-2.7252200000000001E-2</v>
      </c>
      <c r="V1756">
        <v>-6.9912899999999903E-2</v>
      </c>
      <c r="W1756">
        <v>-1.5641490000000001E-2</v>
      </c>
      <c r="X1756">
        <v>0.99743040000000005</v>
      </c>
      <c r="Y1756">
        <v>1.153094E-2</v>
      </c>
      <c r="Z1756">
        <v>9.4138990000000003E-4</v>
      </c>
      <c r="AA1756">
        <v>0.99993310000000002</v>
      </c>
      <c r="AB1756">
        <v>40</v>
      </c>
      <c r="AC1756">
        <v>-30.670300000000001</v>
      </c>
      <c r="AD1756">
        <v>-1.1091936812759999</v>
      </c>
      <c r="AE1756">
        <v>-0.27309999999999901</v>
      </c>
      <c r="AF1756">
        <v>0.35857508689648099</v>
      </c>
      <c r="AG1756">
        <v>-1.1091936812759999</v>
      </c>
      <c r="AH1756">
        <v>30.629356947087601</v>
      </c>
      <c r="AI1756">
        <v>92.073827692218998</v>
      </c>
      <c r="AJ1756">
        <v>89.329274177648998</v>
      </c>
      <c r="AK1756">
        <v>30.6515316698469</v>
      </c>
      <c r="AL1756">
        <v>90.896227966526595</v>
      </c>
      <c r="AM1756">
        <v>94.009476058698098</v>
      </c>
      <c r="AN1756">
        <v>0.99999993631999295</v>
      </c>
    </row>
    <row r="1757" spans="1:40" x14ac:dyDescent="0.25">
      <c r="A1757" t="str">
        <f>"20190312151532967"</f>
        <v>20190312151532967</v>
      </c>
      <c r="B1757" t="str">
        <f>"1552374932959152"</f>
        <v>1552374932959152</v>
      </c>
      <c r="C1757" t="s">
        <v>40</v>
      </c>
      <c r="D1757">
        <v>4.8793709999999999</v>
      </c>
      <c r="E1757">
        <v>0.53078239999999999</v>
      </c>
      <c r="F1757" t="s">
        <v>52</v>
      </c>
      <c r="G1757">
        <v>-295.48180000000002</v>
      </c>
      <c r="H1757" s="1">
        <v>3.4512449999999999E-6</v>
      </c>
      <c r="I1757">
        <v>281.49239999999998</v>
      </c>
      <c r="J1757">
        <v>-264.46839999999997</v>
      </c>
      <c r="K1757">
        <v>1.109056</v>
      </c>
      <c r="L1757">
        <v>281.78730000000002</v>
      </c>
      <c r="M1757">
        <v>-0.99975930000000002</v>
      </c>
      <c r="N1757">
        <v>0</v>
      </c>
      <c r="O1757">
        <v>-2.0941169999999999E-2</v>
      </c>
      <c r="P1757">
        <v>-0.9956334</v>
      </c>
      <c r="Q1757">
        <v>-2.283959E-2</v>
      </c>
      <c r="R1757">
        <v>-9.0513410000000002E-2</v>
      </c>
      <c r="S1757">
        <v>-3.0081180000000001</v>
      </c>
      <c r="T1757">
        <v>-0.1062522</v>
      </c>
      <c r="U1757">
        <v>-2.9052729999999999E-2</v>
      </c>
      <c r="V1757">
        <v>-6.961523E-2</v>
      </c>
      <c r="W1757">
        <v>-1.6433759999999999E-2</v>
      </c>
      <c r="X1757">
        <v>0.99743850000000001</v>
      </c>
      <c r="Y1757">
        <v>1.1265030000000001E-2</v>
      </c>
      <c r="Z1757">
        <v>9.3827340000000002E-4</v>
      </c>
      <c r="AA1757">
        <v>0.99993609999999999</v>
      </c>
      <c r="AB1757">
        <v>40</v>
      </c>
      <c r="AC1757">
        <v>-31.013400000000001</v>
      </c>
      <c r="AD1757">
        <v>-1.109052548755</v>
      </c>
      <c r="AE1757">
        <v>-0.29490000000004102</v>
      </c>
      <c r="AF1757">
        <v>0.35418256436913798</v>
      </c>
      <c r="AG1757">
        <v>-1.109052548755</v>
      </c>
      <c r="AH1757">
        <v>30.973169284152299</v>
      </c>
      <c r="AI1757">
        <v>92.050573011746195</v>
      </c>
      <c r="AJ1757">
        <v>89.344843226386303</v>
      </c>
      <c r="AK1757">
        <v>30.9950424802025</v>
      </c>
      <c r="AL1757">
        <v>90.941627519134201</v>
      </c>
      <c r="AM1757">
        <v>93.992427813175198</v>
      </c>
      <c r="AN1757">
        <v>0.99999995499896899</v>
      </c>
    </row>
    <row r="1758" spans="1:40" x14ac:dyDescent="0.25">
      <c r="A1758" t="str">
        <f>"20190312151532992"</f>
        <v>20190312151532992</v>
      </c>
      <c r="B1758" t="str">
        <f>"1552374932979648"</f>
        <v>1552374932979648</v>
      </c>
      <c r="C1758" t="s">
        <v>40</v>
      </c>
      <c r="D1758">
        <v>4.8771339999999999</v>
      </c>
      <c r="E1758">
        <v>0.53106980000000004</v>
      </c>
      <c r="F1758" t="s">
        <v>52</v>
      </c>
      <c r="G1758">
        <v>-295.84800000000001</v>
      </c>
      <c r="H1758" s="1">
        <v>3.5157960000000002E-6</v>
      </c>
      <c r="I1758">
        <v>281.49700000000001</v>
      </c>
      <c r="J1758">
        <v>-264.90570000000002</v>
      </c>
      <c r="K1758">
        <v>1.1089</v>
      </c>
      <c r="L1758">
        <v>281.77800000000002</v>
      </c>
      <c r="M1758">
        <v>-0.99975409999999998</v>
      </c>
      <c r="N1758">
        <v>0</v>
      </c>
      <c r="O1758">
        <v>-2.11796E-2</v>
      </c>
      <c r="P1758">
        <v>-0.9957087</v>
      </c>
      <c r="Q1758">
        <v>-2.3316110000000001E-2</v>
      </c>
      <c r="R1758">
        <v>-8.9557819999999996E-2</v>
      </c>
      <c r="S1758">
        <v>-3.0081790000000002</v>
      </c>
      <c r="T1758">
        <v>-0.1063182</v>
      </c>
      <c r="U1758">
        <v>-2.7832030000000001E-2</v>
      </c>
      <c r="V1758">
        <v>-6.8425639999999996E-2</v>
      </c>
      <c r="W1758">
        <v>-1.6861520000000001E-2</v>
      </c>
      <c r="X1758">
        <v>0.99751369999999895</v>
      </c>
      <c r="Y1758">
        <v>1.190885E-2</v>
      </c>
      <c r="Z1758">
        <v>9.5863549999999995E-4</v>
      </c>
      <c r="AA1758">
        <v>0.9999287</v>
      </c>
      <c r="AB1758">
        <v>40</v>
      </c>
      <c r="AC1758">
        <v>-30.9422999999999</v>
      </c>
      <c r="AD1758">
        <v>-1.1088964842040001</v>
      </c>
      <c r="AE1758">
        <v>-0.28100000000000502</v>
      </c>
      <c r="AF1758">
        <v>0.373942489697973</v>
      </c>
      <c r="AG1758">
        <v>-1.1088964842040001</v>
      </c>
      <c r="AH1758">
        <v>30.9016259091037</v>
      </c>
      <c r="AI1758">
        <v>92.055011364763601</v>
      </c>
      <c r="AJ1758">
        <v>89.306694062496604</v>
      </c>
      <c r="AK1758">
        <v>30.9237767458063</v>
      </c>
      <c r="AL1758">
        <v>90.966139735492604</v>
      </c>
      <c r="AM1758">
        <v>93.924125014221303</v>
      </c>
      <c r="AN1758">
        <v>0.99999998037690396</v>
      </c>
    </row>
    <row r="1759" spans="1:40" x14ac:dyDescent="0.25">
      <c r="A1759" t="str">
        <f>"20190312151533011"</f>
        <v>20190312151533011</v>
      </c>
      <c r="B1759" t="str">
        <f>"1552374933008929"</f>
        <v>1552374933008929</v>
      </c>
      <c r="C1759" t="s">
        <v>40</v>
      </c>
      <c r="D1759">
        <v>4.8671749999999996</v>
      </c>
      <c r="E1759">
        <v>0.53133149999999996</v>
      </c>
      <c r="F1759" t="s">
        <v>52</v>
      </c>
      <c r="G1759">
        <v>-295.51069999999999</v>
      </c>
      <c r="H1759" s="1">
        <v>3.4515240000000001E-6</v>
      </c>
      <c r="I1759">
        <v>281.54759999999999</v>
      </c>
      <c r="J1759">
        <v>-265.27260000000001</v>
      </c>
      <c r="K1759">
        <v>1.108771</v>
      </c>
      <c r="L1759">
        <v>281.77010000000001</v>
      </c>
      <c r="M1759">
        <v>-0.99975250000000004</v>
      </c>
      <c r="N1759">
        <v>0</v>
      </c>
      <c r="O1759">
        <v>-2.125968E-2</v>
      </c>
      <c r="P1759">
        <v>-0.99578869999999997</v>
      </c>
      <c r="Q1759">
        <v>-2.3869419999999999E-2</v>
      </c>
      <c r="R1759">
        <v>-8.8518120000000006E-2</v>
      </c>
      <c r="S1759">
        <v>-3.0083310000000001</v>
      </c>
      <c r="T1759">
        <v>-0.1089996</v>
      </c>
      <c r="U1759">
        <v>-2.2644040000000001E-2</v>
      </c>
      <c r="V1759">
        <v>-6.7309599999999997E-2</v>
      </c>
      <c r="W1759">
        <v>-1.7374779999999999E-2</v>
      </c>
      <c r="X1759">
        <v>0.99758080000000005</v>
      </c>
      <c r="Y1759">
        <v>1.371139E-2</v>
      </c>
      <c r="Z1759">
        <v>1.018302E-3</v>
      </c>
      <c r="AA1759">
        <v>0.9999055</v>
      </c>
      <c r="AB1759">
        <v>40</v>
      </c>
      <c r="AC1759">
        <v>-30.2380999999999</v>
      </c>
      <c r="AD1759">
        <v>-1.108767548476</v>
      </c>
      <c r="AE1759">
        <v>-0.22250000000002401</v>
      </c>
      <c r="AF1759">
        <v>0.419851955238709</v>
      </c>
      <c r="AG1759">
        <v>-1.108767548476</v>
      </c>
      <c r="AH1759">
        <v>30.1953993329107</v>
      </c>
      <c r="AI1759">
        <v>92.102738868866197</v>
      </c>
      <c r="AJ1759">
        <v>89.203382121347005</v>
      </c>
      <c r="AK1759">
        <v>30.2186661190532</v>
      </c>
      <c r="AL1759">
        <v>90.995551699211006</v>
      </c>
      <c r="AM1759">
        <v>93.860057756637403</v>
      </c>
      <c r="AN1759">
        <v>0.99999995888042303</v>
      </c>
    </row>
    <row r="1760" spans="1:40" x14ac:dyDescent="0.25">
      <c r="A1760" t="str">
        <f>"20190312151533034"</f>
        <v>20190312151533034</v>
      </c>
      <c r="B1760" t="str">
        <f>"1552374933029424"</f>
        <v>1552374933029424</v>
      </c>
      <c r="C1760" t="s">
        <v>40</v>
      </c>
      <c r="D1760">
        <v>4.8771649999999998</v>
      </c>
      <c r="E1760">
        <v>0.53147639999999996</v>
      </c>
      <c r="F1760" t="s">
        <v>52</v>
      </c>
      <c r="G1760">
        <v>-295.18759999999997</v>
      </c>
      <c r="H1760" s="1">
        <v>3.3899719999999998E-6</v>
      </c>
      <c r="I1760">
        <v>281.59629999999999</v>
      </c>
      <c r="J1760">
        <v>-265.67899999999997</v>
      </c>
      <c r="K1760">
        <v>1.1086320000000001</v>
      </c>
      <c r="L1760">
        <v>281.76150000000001</v>
      </c>
      <c r="M1760">
        <v>-0.999753</v>
      </c>
      <c r="N1760">
        <v>0</v>
      </c>
      <c r="O1760">
        <v>-2.122346E-2</v>
      </c>
      <c r="P1760">
        <v>-0.99587650000000005</v>
      </c>
      <c r="Q1760">
        <v>-2.4262490000000001E-2</v>
      </c>
      <c r="R1760">
        <v>-8.7416599999999997E-2</v>
      </c>
      <c r="S1760">
        <v>-3.0084230000000001</v>
      </c>
      <c r="T1760">
        <v>-0.11150400000000001</v>
      </c>
      <c r="U1760">
        <v>-1.748657E-2</v>
      </c>
      <c r="V1760">
        <v>-6.6247920000000002E-2</v>
      </c>
      <c r="W1760">
        <v>-1.7724460000000001E-2</v>
      </c>
      <c r="X1760">
        <v>0.99764569999999997</v>
      </c>
      <c r="Y1760">
        <v>1.53873E-2</v>
      </c>
      <c r="Z1760">
        <v>1.071366E-3</v>
      </c>
      <c r="AA1760">
        <v>0.99988100000000002</v>
      </c>
      <c r="AB1760">
        <v>41</v>
      </c>
      <c r="AC1760">
        <v>-29.508599999999898</v>
      </c>
      <c r="AD1760">
        <v>-1.1086286100280001</v>
      </c>
      <c r="AE1760">
        <v>-0.16520000000002699</v>
      </c>
      <c r="AF1760">
        <v>0.46047549468722998</v>
      </c>
      <c r="AG1760">
        <v>-1.1086286100280001</v>
      </c>
      <c r="AH1760">
        <v>29.463872911781099</v>
      </c>
      <c r="AI1760">
        <v>92.154572301282698</v>
      </c>
      <c r="AJ1760">
        <v>89.104627053820806</v>
      </c>
      <c r="AK1760">
        <v>29.488318060509499</v>
      </c>
      <c r="AL1760">
        <v>91.015589990412096</v>
      </c>
      <c r="AM1760">
        <v>93.799106050571794</v>
      </c>
      <c r="AN1760">
        <v>0.99999994305755202</v>
      </c>
    </row>
    <row r="1761" spans="1:40" x14ac:dyDescent="0.25">
      <c r="A1761" t="str">
        <f>"20190312151533056"</f>
        <v>20190312151533056</v>
      </c>
      <c r="B1761" t="str">
        <f>"1552374933048944"</f>
        <v>1552374933048944</v>
      </c>
      <c r="C1761" t="s">
        <v>40</v>
      </c>
      <c r="D1761">
        <v>4.8909739999999999</v>
      </c>
      <c r="E1761">
        <v>0.5315763</v>
      </c>
      <c r="F1761" t="s">
        <v>52</v>
      </c>
      <c r="G1761">
        <v>-294.98099999999999</v>
      </c>
      <c r="H1761" s="1">
        <v>3.34995E-6</v>
      </c>
      <c r="I1761">
        <v>281.63490000000002</v>
      </c>
      <c r="J1761">
        <v>-266.08890000000002</v>
      </c>
      <c r="K1761">
        <v>1.108495</v>
      </c>
      <c r="L1761">
        <v>281.75290000000001</v>
      </c>
      <c r="M1761">
        <v>-0.99975630000000004</v>
      </c>
      <c r="N1761">
        <v>0</v>
      </c>
      <c r="O1761">
        <v>-2.1059890000000001E-2</v>
      </c>
      <c r="P1761">
        <v>-0.99599890000000002</v>
      </c>
      <c r="Q1761">
        <v>-2.456614E-2</v>
      </c>
      <c r="R1761">
        <v>-8.5923520000000003E-2</v>
      </c>
      <c r="S1761">
        <v>-3.0085449999999998</v>
      </c>
      <c r="T1761">
        <v>-0.11382689999999999</v>
      </c>
      <c r="U1761">
        <v>-1.300049E-2</v>
      </c>
      <c r="V1761">
        <v>-6.4921259999999995E-2</v>
      </c>
      <c r="W1761">
        <v>-1.798512E-2</v>
      </c>
      <c r="X1761">
        <v>0.99772830000000001</v>
      </c>
      <c r="Y1761">
        <v>1.6712939999999999E-2</v>
      </c>
      <c r="Z1761">
        <v>1.1125149999999999E-3</v>
      </c>
      <c r="AA1761">
        <v>0.99985970000000002</v>
      </c>
      <c r="AB1761">
        <v>41</v>
      </c>
      <c r="AC1761">
        <v>-28.8920999999999</v>
      </c>
      <c r="AD1761">
        <v>-1.1084916500499999</v>
      </c>
      <c r="AE1761">
        <v>-0.117999999999994</v>
      </c>
      <c r="AF1761">
        <v>0.489783005326479</v>
      </c>
      <c r="AG1761">
        <v>-1.1084916500499999</v>
      </c>
      <c r="AH1761">
        <v>28.845716960802399</v>
      </c>
      <c r="AI1761">
        <v>92.200379272248</v>
      </c>
      <c r="AJ1761">
        <v>89.027245438892905</v>
      </c>
      <c r="AK1761">
        <v>28.871162569478599</v>
      </c>
      <c r="AL1761">
        <v>91.030527034114002</v>
      </c>
      <c r="AM1761">
        <v>93.722935148796694</v>
      </c>
      <c r="AN1761">
        <v>0.99999999758114599</v>
      </c>
    </row>
    <row r="1762" spans="1:40" x14ac:dyDescent="0.25">
      <c r="A1762" t="str">
        <f>"20190312151533079"</f>
        <v>20190312151533079</v>
      </c>
      <c r="B1762" t="str">
        <f>"1552374933069440"</f>
        <v>1552374933069440</v>
      </c>
      <c r="C1762" t="s">
        <v>40</v>
      </c>
      <c r="D1762">
        <v>4.9264989999999997</v>
      </c>
      <c r="E1762">
        <v>0.5316727</v>
      </c>
      <c r="F1762" t="s">
        <v>52</v>
      </c>
      <c r="G1762">
        <v>-294.9982</v>
      </c>
      <c r="H1762" s="1">
        <v>3.3491350000000002E-6</v>
      </c>
      <c r="I1762">
        <v>281.67899999999997</v>
      </c>
      <c r="J1762">
        <v>-266.49419999999998</v>
      </c>
      <c r="K1762">
        <v>1.108365</v>
      </c>
      <c r="L1762">
        <v>281.74459999999999</v>
      </c>
      <c r="M1762">
        <v>-0.99976160000000003</v>
      </c>
      <c r="N1762">
        <v>0</v>
      </c>
      <c r="O1762">
        <v>-2.0801199999999999E-2</v>
      </c>
      <c r="P1762">
        <v>-0.99610929999999998</v>
      </c>
      <c r="Q1762">
        <v>-2.479671E-2</v>
      </c>
      <c r="R1762">
        <v>-8.4566310000000006E-2</v>
      </c>
      <c r="S1762">
        <v>-3.0085449999999998</v>
      </c>
      <c r="T1762">
        <v>-0.1153589</v>
      </c>
      <c r="U1762">
        <v>-7.6904299999999998E-3</v>
      </c>
      <c r="V1762">
        <v>-6.3825820000000005E-2</v>
      </c>
      <c r="W1762">
        <v>-1.8175520000000001E-2</v>
      </c>
      <c r="X1762">
        <v>0.99779549999999995</v>
      </c>
      <c r="Y1762">
        <v>1.8217279999999999E-2</v>
      </c>
      <c r="Z1762">
        <v>1.1464019999999999E-3</v>
      </c>
      <c r="AA1762">
        <v>0.99983339999999998</v>
      </c>
      <c r="AB1762">
        <v>41</v>
      </c>
      <c r="AC1762">
        <v>-28.504000000000001</v>
      </c>
      <c r="AD1762">
        <v>-1.108361650865</v>
      </c>
      <c r="AE1762">
        <v>-6.5599999999960801E-2</v>
      </c>
      <c r="AF1762">
        <v>0.52654852322401502</v>
      </c>
      <c r="AG1762">
        <v>-1.108361650865</v>
      </c>
      <c r="AH1762">
        <v>28.4561714920812</v>
      </c>
      <c r="AI1762">
        <v>92.230149183485494</v>
      </c>
      <c r="AJ1762">
        <v>88.9399288799559</v>
      </c>
      <c r="AK1762">
        <v>28.4826160119318</v>
      </c>
      <c r="AL1762">
        <v>91.041437960405105</v>
      </c>
      <c r="AM1762">
        <v>93.660043102101895</v>
      </c>
      <c r="AN1762">
        <v>0.99999997232309501</v>
      </c>
    </row>
    <row r="1763" spans="1:40" x14ac:dyDescent="0.25">
      <c r="A1763" t="str">
        <f>"20190312151533100"</f>
        <v>20190312151533100</v>
      </c>
      <c r="B1763" t="str">
        <f>"1552374933088961"</f>
        <v>1552374933088961</v>
      </c>
      <c r="C1763" t="s">
        <v>40</v>
      </c>
      <c r="D1763">
        <v>4.9624600000000001</v>
      </c>
      <c r="E1763">
        <v>0.53182569999999996</v>
      </c>
      <c r="F1763" t="s">
        <v>52</v>
      </c>
      <c r="G1763">
        <v>-295.19080000000002</v>
      </c>
      <c r="H1763" s="1">
        <v>3.3800170000000001E-6</v>
      </c>
      <c r="I1763">
        <v>281.71660000000003</v>
      </c>
      <c r="J1763">
        <v>-266.89049999999997</v>
      </c>
      <c r="K1763">
        <v>1.1082510000000001</v>
      </c>
      <c r="L1763">
        <v>281.73649999999998</v>
      </c>
      <c r="M1763">
        <v>-0.99976869999999995</v>
      </c>
      <c r="N1763">
        <v>0</v>
      </c>
      <c r="O1763">
        <v>-2.0459189999999999E-2</v>
      </c>
      <c r="P1763">
        <v>-0.99620560000000002</v>
      </c>
      <c r="Q1763">
        <v>-2.504611E-2</v>
      </c>
      <c r="R1763">
        <v>-8.3353109999999994E-2</v>
      </c>
      <c r="S1763">
        <v>-3.008575</v>
      </c>
      <c r="T1763">
        <v>-0.1162015</v>
      </c>
      <c r="U1763">
        <v>-2.9296880000000002E-3</v>
      </c>
      <c r="V1763">
        <v>-6.2957250000000006E-2</v>
      </c>
      <c r="W1763">
        <v>-1.8387199999999999E-2</v>
      </c>
      <c r="X1763">
        <v>0.99784680000000003</v>
      </c>
      <c r="Y1763">
        <v>1.9456299999999999E-2</v>
      </c>
      <c r="Z1763">
        <v>1.165478E-3</v>
      </c>
      <c r="AA1763">
        <v>0.99980999999999998</v>
      </c>
      <c r="AB1763">
        <v>41</v>
      </c>
      <c r="AC1763">
        <v>-28.3003</v>
      </c>
      <c r="AD1763">
        <v>-1.108247619983</v>
      </c>
      <c r="AE1763">
        <v>-1.9899999999949999E-2</v>
      </c>
      <c r="AF1763">
        <v>0.558261999785576</v>
      </c>
      <c r="AG1763">
        <v>-1.108247619983</v>
      </c>
      <c r="AH1763">
        <v>28.251458953915499</v>
      </c>
      <c r="AI1763">
        <v>92.246007753610698</v>
      </c>
      <c r="AJ1763">
        <v>88.867956015481596</v>
      </c>
      <c r="AK1763">
        <v>28.2786987372541</v>
      </c>
      <c r="AL1763">
        <v>91.053568360646693</v>
      </c>
      <c r="AM1763">
        <v>93.610183139851301</v>
      </c>
      <c r="AN1763">
        <v>0.99999997036082</v>
      </c>
    </row>
    <row r="1764" spans="1:40" x14ac:dyDescent="0.25">
      <c r="A1764" t="str">
        <f>"20190312151533125"</f>
        <v>20190312151533125</v>
      </c>
      <c r="B1764" t="str">
        <f>"1552374933119216"</f>
        <v>1552374933119216</v>
      </c>
      <c r="C1764" t="s">
        <v>40</v>
      </c>
      <c r="D1764">
        <v>4.9599949999999904</v>
      </c>
      <c r="E1764">
        <v>0.53189690000000001</v>
      </c>
      <c r="F1764" t="s">
        <v>52</v>
      </c>
      <c r="G1764">
        <v>-295.14620000000002</v>
      </c>
      <c r="H1764" s="1">
        <v>3.3686939999999999E-6</v>
      </c>
      <c r="I1764">
        <v>281.75569999999999</v>
      </c>
      <c r="J1764">
        <v>-267.34059999999999</v>
      </c>
      <c r="K1764">
        <v>1.1081240000000001</v>
      </c>
      <c r="L1764">
        <v>281.72770000000003</v>
      </c>
      <c r="M1764">
        <v>-0.99977839999999996</v>
      </c>
      <c r="N1764">
        <v>0</v>
      </c>
      <c r="O1764">
        <v>-1.996419E-2</v>
      </c>
      <c r="P1764">
        <v>-0.99629109999999999</v>
      </c>
      <c r="Q1764">
        <v>-2.5441800000000001E-2</v>
      </c>
      <c r="R1764">
        <v>-8.2200869999999995E-2</v>
      </c>
      <c r="S1764">
        <v>-3.008667</v>
      </c>
      <c r="T1764">
        <v>-0.118006</v>
      </c>
      <c r="U1764">
        <v>2.0446779999999999E-3</v>
      </c>
      <c r="V1764">
        <v>-6.2303049999999999E-2</v>
      </c>
      <c r="W1764">
        <v>-1.874108E-2</v>
      </c>
      <c r="X1764">
        <v>0.99788129999999997</v>
      </c>
      <c r="Y1764">
        <v>2.0612889999999998E-2</v>
      </c>
      <c r="Z1764">
        <v>1.1867990000000001E-3</v>
      </c>
      <c r="AA1764">
        <v>0.99978690000000003</v>
      </c>
      <c r="AB1764">
        <v>41</v>
      </c>
      <c r="AC1764">
        <v>-27.805599999999998</v>
      </c>
      <c r="AD1764">
        <v>-1.1081206313059999</v>
      </c>
      <c r="AE1764">
        <v>2.79999999999631E-2</v>
      </c>
      <c r="AF1764">
        <v>0.582198419359093</v>
      </c>
      <c r="AG1764">
        <v>-1.1081206313059999</v>
      </c>
      <c r="AH1764">
        <v>27.755417416836099</v>
      </c>
      <c r="AI1764">
        <v>92.285787736058595</v>
      </c>
      <c r="AJ1764">
        <v>88.798338331829996</v>
      </c>
      <c r="AK1764">
        <v>27.783629754152699</v>
      </c>
      <c r="AL1764">
        <v>91.073847661658206</v>
      </c>
      <c r="AM1764">
        <v>93.572643558817504</v>
      </c>
      <c r="AN1764">
        <v>0.99999999350427904</v>
      </c>
    </row>
    <row r="1765" spans="1:40" x14ac:dyDescent="0.25">
      <c r="A1765" t="str">
        <f>"20190312151533145"</f>
        <v>20190312151533145</v>
      </c>
      <c r="B1765" t="str">
        <f>"1552374933139713"</f>
        <v>1552374933139713</v>
      </c>
      <c r="C1765" t="s">
        <v>40</v>
      </c>
      <c r="D1765">
        <v>4.9491379999999996</v>
      </c>
      <c r="E1765">
        <v>0.53190179999999998</v>
      </c>
      <c r="F1765" t="s">
        <v>52</v>
      </c>
      <c r="G1765">
        <v>-295.03269999999998</v>
      </c>
      <c r="H1765" s="1">
        <v>3.3461259999999999E-6</v>
      </c>
      <c r="I1765">
        <v>281.78359999999998</v>
      </c>
      <c r="J1765">
        <v>-267.72890000000001</v>
      </c>
      <c r="K1765">
        <v>1.1080190000000001</v>
      </c>
      <c r="L1765">
        <v>281.72030000000001</v>
      </c>
      <c r="M1765">
        <v>-0.99978840000000002</v>
      </c>
      <c r="N1765">
        <v>0</v>
      </c>
      <c r="O1765">
        <v>-1.9449439999999998E-2</v>
      </c>
      <c r="P1765">
        <v>-0.99636849999999999</v>
      </c>
      <c r="Q1765">
        <v>-2.5854510000000001E-2</v>
      </c>
      <c r="R1765">
        <v>-8.1125589999999997E-2</v>
      </c>
      <c r="S1765">
        <v>-3.008575</v>
      </c>
      <c r="T1765">
        <v>-0.12039039999999999</v>
      </c>
      <c r="U1765">
        <v>6.0729979999999996E-3</v>
      </c>
      <c r="V1765">
        <v>-6.1744920000000002E-2</v>
      </c>
      <c r="W1765">
        <v>-1.9118079999999999E-2</v>
      </c>
      <c r="X1765">
        <v>0.99790880000000004</v>
      </c>
      <c r="Y1765">
        <v>2.1435300000000001E-2</v>
      </c>
      <c r="Z1765">
        <v>1.2066589999999999E-3</v>
      </c>
      <c r="AA1765">
        <v>0.99976949999999998</v>
      </c>
      <c r="AB1765">
        <v>41</v>
      </c>
      <c r="AC1765">
        <v>-27.303799999999899</v>
      </c>
      <c r="AD1765">
        <v>-1.108015653874</v>
      </c>
      <c r="AE1765">
        <v>6.32999999999697E-2</v>
      </c>
      <c r="AF1765">
        <v>0.59336639996617202</v>
      </c>
      <c r="AG1765">
        <v>-1.108015653874</v>
      </c>
      <c r="AH1765">
        <v>27.2525241460785</v>
      </c>
      <c r="AI1765">
        <v>92.327661719886706</v>
      </c>
      <c r="AJ1765">
        <v>88.752701969494694</v>
      </c>
      <c r="AK1765">
        <v>27.281492897318302</v>
      </c>
      <c r="AL1765">
        <v>91.095452084485601</v>
      </c>
      <c r="AM1765">
        <v>93.540623173133497</v>
      </c>
      <c r="AN1765">
        <v>0.99999995462306501</v>
      </c>
    </row>
    <row r="1766" spans="1:40" x14ac:dyDescent="0.25">
      <c r="A1766" t="str">
        <f>"20190312151533168"</f>
        <v>20190312151533168</v>
      </c>
      <c r="B1766" t="str">
        <f>"1552374933159233"</f>
        <v>1552374933159233</v>
      </c>
      <c r="C1766" t="s">
        <v>40</v>
      </c>
      <c r="D1766">
        <v>4.9671529999999997</v>
      </c>
      <c r="E1766">
        <v>0.53176990000000002</v>
      </c>
      <c r="F1766" t="s">
        <v>52</v>
      </c>
      <c r="G1766">
        <v>-295.05500000000001</v>
      </c>
      <c r="H1766" s="1">
        <v>3.3482310000000002E-6</v>
      </c>
      <c r="I1766">
        <v>281.80450000000002</v>
      </c>
      <c r="J1766">
        <v>-268.15219999999999</v>
      </c>
      <c r="K1766">
        <v>1.1079060000000001</v>
      </c>
      <c r="L1766">
        <v>281.71249999999998</v>
      </c>
      <c r="M1766">
        <v>-0.99980069999999999</v>
      </c>
      <c r="N1766">
        <v>0</v>
      </c>
      <c r="O1766">
        <v>-1.8798059999999998E-2</v>
      </c>
      <c r="P1766">
        <v>-0.99642299999999995</v>
      </c>
      <c r="Q1766">
        <v>-2.6010040000000002E-2</v>
      </c>
      <c r="R1766">
        <v>-8.0402940000000006E-2</v>
      </c>
      <c r="S1766">
        <v>-3.0085449999999998</v>
      </c>
      <c r="T1766">
        <v>-0.1219903</v>
      </c>
      <c r="U1766">
        <v>9.2773439999999999E-3</v>
      </c>
      <c r="V1766">
        <v>-6.1677219999999998E-2</v>
      </c>
      <c r="W1766">
        <v>-1.9234589999999999E-2</v>
      </c>
      <c r="X1766">
        <v>0.99791079999999999</v>
      </c>
      <c r="Y1766">
        <v>2.1848099999999999E-2</v>
      </c>
      <c r="Z1766">
        <v>1.204662E-3</v>
      </c>
      <c r="AA1766">
        <v>0.9997606</v>
      </c>
      <c r="AB1766">
        <v>41</v>
      </c>
      <c r="AC1766">
        <v>-26.902799999999999</v>
      </c>
      <c r="AD1766">
        <v>-1.107902651769</v>
      </c>
      <c r="AE1766">
        <v>9.2000000000041299E-2</v>
      </c>
      <c r="AF1766">
        <v>0.59670366292453603</v>
      </c>
      <c r="AG1766">
        <v>-1.107902651769</v>
      </c>
      <c r="AH1766">
        <v>26.8507800789179</v>
      </c>
      <c r="AI1766">
        <v>92.362185246311398</v>
      </c>
      <c r="AJ1766">
        <v>88.726928046485</v>
      </c>
      <c r="AK1766">
        <v>26.880251010612898</v>
      </c>
      <c r="AL1766">
        <v>91.102128786250006</v>
      </c>
      <c r="AM1766">
        <v>93.536743858307105</v>
      </c>
      <c r="AN1766">
        <v>1.0000000068380099</v>
      </c>
    </row>
    <row r="1767" spans="1:40" x14ac:dyDescent="0.25">
      <c r="A1767" t="str">
        <f>"20190312151533190"</f>
        <v>20190312151533190</v>
      </c>
      <c r="B1767" t="str">
        <f>"1552374933179732"</f>
        <v>1552374933179732</v>
      </c>
      <c r="C1767" t="s">
        <v>40</v>
      </c>
      <c r="D1767">
        <v>5.0687519999999999</v>
      </c>
      <c r="E1767">
        <v>0.51055030000000001</v>
      </c>
      <c r="F1767" t="s">
        <v>52</v>
      </c>
      <c r="G1767">
        <v>-295.1164</v>
      </c>
      <c r="H1767" s="1">
        <v>3.3590980000000001E-6</v>
      </c>
      <c r="I1767">
        <v>281.80489999999998</v>
      </c>
      <c r="J1767">
        <v>-268.54079999999999</v>
      </c>
      <c r="K1767">
        <v>1.1077980000000001</v>
      </c>
      <c r="L1767">
        <v>281.7056</v>
      </c>
      <c r="M1767">
        <v>-0.99981330000000002</v>
      </c>
      <c r="N1767">
        <v>0</v>
      </c>
      <c r="O1767">
        <v>-1.8113979999999998E-2</v>
      </c>
      <c r="P1767">
        <v>-0.99648550000000002</v>
      </c>
      <c r="Q1767">
        <v>-2.6163390000000002E-2</v>
      </c>
      <c r="R1767">
        <v>-7.9576690000000005E-2</v>
      </c>
      <c r="S1767">
        <v>-3.0083920000000002</v>
      </c>
      <c r="T1767">
        <v>-0.1236085</v>
      </c>
      <c r="U1767">
        <v>1.031494E-2</v>
      </c>
      <c r="V1767">
        <v>-6.1537189999999999E-2</v>
      </c>
      <c r="W1767">
        <v>-1.935187E-2</v>
      </c>
      <c r="X1767">
        <v>0.99791719999999895</v>
      </c>
      <c r="Y1767">
        <v>2.1508989999999999E-2</v>
      </c>
      <c r="Z1767">
        <v>1.185633E-3</v>
      </c>
      <c r="AA1767">
        <v>0.99976799999999999</v>
      </c>
      <c r="AB1767">
        <v>41</v>
      </c>
      <c r="AC1767">
        <v>-26.575600000000001</v>
      </c>
      <c r="AD1767">
        <v>-1.1077946409020001</v>
      </c>
      <c r="AE1767">
        <v>9.9299999999970995E-2</v>
      </c>
      <c r="AF1767">
        <v>0.57967724633909601</v>
      </c>
      <c r="AG1767">
        <v>-1.1077946409020001</v>
      </c>
      <c r="AH1767">
        <v>26.523354134834001</v>
      </c>
      <c r="AI1767">
        <v>92.391098822521698</v>
      </c>
      <c r="AJ1767">
        <v>88.747979878506996</v>
      </c>
      <c r="AK1767">
        <v>26.552806805273001</v>
      </c>
      <c r="AL1767">
        <v>91.108849661246396</v>
      </c>
      <c r="AM1767">
        <v>93.528711886122593</v>
      </c>
      <c r="AN1767">
        <v>1.0000000293407101</v>
      </c>
    </row>
    <row r="1768" spans="1:40" x14ac:dyDescent="0.25">
      <c r="A1768" t="str">
        <f>"20190312151533203"</f>
        <v>20190312151533203</v>
      </c>
      <c r="B1768" t="str">
        <f>"1552374933199249"</f>
        <v>1552374933199249</v>
      </c>
      <c r="C1768" t="s">
        <v>40</v>
      </c>
      <c r="D1768">
        <v>4.989109</v>
      </c>
      <c r="E1768">
        <v>0.51173749999999996</v>
      </c>
      <c r="F1768" t="s">
        <v>52</v>
      </c>
      <c r="G1768">
        <v>-282.05259999999998</v>
      </c>
      <c r="H1768" s="1">
        <v>8.2411109999999998E-6</v>
      </c>
      <c r="I1768">
        <v>280.99090000000001</v>
      </c>
      <c r="J1768">
        <v>-268.78539999999998</v>
      </c>
      <c r="K1768">
        <v>1.107731</v>
      </c>
      <c r="L1768">
        <v>281.70150000000001</v>
      </c>
      <c r="M1768">
        <v>-0.99982170000000004</v>
      </c>
      <c r="N1768">
        <v>0</v>
      </c>
      <c r="O1768">
        <v>-1.7634960000000002E-2</v>
      </c>
      <c r="P1768">
        <v>-0.99651650000000003</v>
      </c>
      <c r="Q1768">
        <v>-2.6145189999999999E-2</v>
      </c>
      <c r="R1768">
        <v>-7.919052E-2</v>
      </c>
      <c r="S1768">
        <v>-2.9915159999999998</v>
      </c>
      <c r="T1768">
        <v>-0.2452645</v>
      </c>
      <c r="U1768">
        <v>-0.1582336</v>
      </c>
      <c r="V1768">
        <v>-6.1632399999999997E-2</v>
      </c>
      <c r="W1768">
        <v>-1.9310620000000001E-2</v>
      </c>
      <c r="X1768">
        <v>0.99791209999999997</v>
      </c>
      <c r="Y1768">
        <v>-3.5142760000000002E-2</v>
      </c>
      <c r="Z1768" s="1">
        <v>5.009351E-6</v>
      </c>
      <c r="AA1768">
        <v>0.99938229999999995</v>
      </c>
      <c r="AB1768">
        <v>41</v>
      </c>
      <c r="AC1768">
        <v>-13.267200000000001</v>
      </c>
      <c r="AD1768">
        <v>-1.107722758889</v>
      </c>
      <c r="AE1768">
        <v>-0.71059999999999901</v>
      </c>
      <c r="AF1768">
        <v>-0.47322811660995601</v>
      </c>
      <c r="AG1768">
        <v>-1.107722758889</v>
      </c>
      <c r="AH1768">
        <v>13.186009904437901</v>
      </c>
      <c r="AI1768">
        <v>94.798920823095997</v>
      </c>
      <c r="AJ1768">
        <v>92.0553861344262</v>
      </c>
      <c r="AK1768">
        <v>13.2409158203217</v>
      </c>
      <c r="AL1768">
        <v>91.106485794453206</v>
      </c>
      <c r="AM1768">
        <v>93.534175678651593</v>
      </c>
      <c r="AN1768">
        <v>1.0000000060504699</v>
      </c>
    </row>
    <row r="1769" spans="1:40" x14ac:dyDescent="0.25">
      <c r="A1769" t="str">
        <f>"20190312151533217"</f>
        <v>20190312151533217</v>
      </c>
      <c r="B1769" t="str">
        <f>"1552374933209009"</f>
        <v>1552374933209009</v>
      </c>
      <c r="C1769" t="s">
        <v>40</v>
      </c>
      <c r="D1769">
        <v>5.1689790000000002</v>
      </c>
      <c r="E1769">
        <v>0.51201830000000004</v>
      </c>
      <c r="F1769" t="s">
        <v>41</v>
      </c>
      <c r="G1769">
        <v>-269.7</v>
      </c>
      <c r="H1769">
        <v>1.030038</v>
      </c>
      <c r="I1769">
        <v>281.6567</v>
      </c>
      <c r="J1769">
        <v>-269.05349999999999</v>
      </c>
      <c r="K1769">
        <v>1.107656</v>
      </c>
      <c r="L1769">
        <v>281.69709999999998</v>
      </c>
      <c r="M1769">
        <v>-0.99983129999999998</v>
      </c>
      <c r="N1769">
        <v>0</v>
      </c>
      <c r="O1769">
        <v>-1.707854E-2</v>
      </c>
      <c r="P1769">
        <v>-0.99654299999999996</v>
      </c>
      <c r="Q1769">
        <v>-2.6396960000000001E-2</v>
      </c>
      <c r="R1769">
        <v>-7.8774499999999997E-2</v>
      </c>
      <c r="S1769">
        <v>-2.9920650000000002</v>
      </c>
      <c r="T1769">
        <v>-0.25430989999999998</v>
      </c>
      <c r="U1769">
        <v>-0.14770510000000001</v>
      </c>
      <c r="V1769">
        <v>-6.1774879999999997E-2</v>
      </c>
      <c r="W1769">
        <v>-1.953688E-2</v>
      </c>
      <c r="X1769">
        <v>0.99789890000000003</v>
      </c>
      <c r="Y1769">
        <v>-3.2185869999999998E-2</v>
      </c>
      <c r="Z1769" s="1">
        <v>8.3397719999999903E-5</v>
      </c>
      <c r="AA1769">
        <v>0.99948190000000003</v>
      </c>
      <c r="AB1769">
        <v>41</v>
      </c>
      <c r="AC1769">
        <v>-0.64650000000000296</v>
      </c>
      <c r="AD1769">
        <v>-7.7617999999999895E-2</v>
      </c>
      <c r="AE1769">
        <v>-4.0399999999976899E-2</v>
      </c>
      <c r="AF1769">
        <v>-2.8937098984676699E-2</v>
      </c>
      <c r="AG1769">
        <v>-7.7617999999999895E-2</v>
      </c>
      <c r="AH1769">
        <v>0.637936179066662</v>
      </c>
      <c r="AI1769">
        <v>96.930050878432795</v>
      </c>
      <c r="AJ1769">
        <v>92.597184428013193</v>
      </c>
      <c r="AK1769">
        <v>0.64329190744468501</v>
      </c>
      <c r="AL1769">
        <v>91.119451967987104</v>
      </c>
      <c r="AM1769">
        <v>93.542371841772294</v>
      </c>
      <c r="AN1769">
        <v>1.00000002005017</v>
      </c>
    </row>
    <row r="1770" spans="1:40" x14ac:dyDescent="0.25">
      <c r="A1770" t="str">
        <f>"20190312151533238"</f>
        <v>20190312151533238</v>
      </c>
      <c r="B1770" t="str">
        <f>"1552374933229504"</f>
        <v>1552374933229504</v>
      </c>
      <c r="C1770" t="s">
        <v>40</v>
      </c>
      <c r="D1770">
        <v>5.015917</v>
      </c>
      <c r="E1770">
        <v>0.51213339999999996</v>
      </c>
      <c r="F1770" t="s">
        <v>41</v>
      </c>
      <c r="G1770">
        <v>-270.06540000000001</v>
      </c>
      <c r="H1770">
        <v>1.020521</v>
      </c>
      <c r="I1770">
        <v>281.64830000000001</v>
      </c>
      <c r="J1770">
        <v>-269.43</v>
      </c>
      <c r="K1770">
        <v>1.10755</v>
      </c>
      <c r="L1770">
        <v>281.69130000000001</v>
      </c>
      <c r="M1770">
        <v>-0.99984530000000005</v>
      </c>
      <c r="N1770">
        <v>0</v>
      </c>
      <c r="O1770">
        <v>-1.6221200000000002E-2</v>
      </c>
      <c r="P1770">
        <v>-0.99657459999999998</v>
      </c>
      <c r="Q1770">
        <v>-2.6677599999999999E-2</v>
      </c>
      <c r="R1770">
        <v>-7.8277150000000004E-2</v>
      </c>
      <c r="S1770">
        <v>-2.9921880000000001</v>
      </c>
      <c r="T1770">
        <v>-0.25764140000000002</v>
      </c>
      <c r="U1770">
        <v>-0.1443787</v>
      </c>
      <c r="V1770">
        <v>-6.2138119999999998E-2</v>
      </c>
      <c r="W1770">
        <v>-1.9780720000000002E-2</v>
      </c>
      <c r="X1770">
        <v>0.99787150000000002</v>
      </c>
      <c r="Y1770">
        <v>-3.192876E-2</v>
      </c>
      <c r="Z1770" s="1">
        <v>2.1909949999999998E-5</v>
      </c>
      <c r="AA1770">
        <v>0.99949010000000005</v>
      </c>
      <c r="AB1770">
        <v>42</v>
      </c>
      <c r="AC1770">
        <v>-0.63540000000000396</v>
      </c>
      <c r="AD1770">
        <v>-8.7028999999999995E-2</v>
      </c>
      <c r="AE1770">
        <v>-4.3000000000006297E-2</v>
      </c>
      <c r="AF1770">
        <v>-3.2087927083177599E-2</v>
      </c>
      <c r="AG1770">
        <v>-8.7028999999999995E-2</v>
      </c>
      <c r="AH1770">
        <v>0.62435441204195496</v>
      </c>
      <c r="AI1770">
        <v>97.925024226563295</v>
      </c>
      <c r="AJ1770">
        <v>92.942057634356402</v>
      </c>
      <c r="AK1770">
        <v>0.63120687079732496</v>
      </c>
      <c r="AL1770">
        <v>91.133425720243594</v>
      </c>
      <c r="AM1770">
        <v>93.563245280798199</v>
      </c>
      <c r="AN1770">
        <v>0.99999997667655105</v>
      </c>
    </row>
    <row r="1771" spans="1:40" x14ac:dyDescent="0.25">
      <c r="A1771" t="str">
        <f>"20190312151533258"</f>
        <v>20190312151533258</v>
      </c>
      <c r="B1771" t="str">
        <f>"1552374933249025"</f>
        <v>1552374933249025</v>
      </c>
      <c r="C1771" t="s">
        <v>40</v>
      </c>
      <c r="D1771">
        <v>5.0281880000000001</v>
      </c>
      <c r="E1771">
        <v>0.5123162</v>
      </c>
      <c r="F1771" t="s">
        <v>41</v>
      </c>
      <c r="G1771">
        <v>-270.43740000000003</v>
      </c>
      <c r="H1771">
        <v>1.0183930000000001</v>
      </c>
      <c r="I1771">
        <v>281.64370000000002</v>
      </c>
      <c r="J1771">
        <v>-269.81849999999997</v>
      </c>
      <c r="K1771">
        <v>1.1074459999999999</v>
      </c>
      <c r="L1771">
        <v>281.68560000000002</v>
      </c>
      <c r="M1771">
        <v>-0.99986059999999999</v>
      </c>
      <c r="N1771">
        <v>0</v>
      </c>
      <c r="O1771">
        <v>-1.525146E-2</v>
      </c>
      <c r="P1771">
        <v>-0.99661549999999999</v>
      </c>
      <c r="Q1771">
        <v>-2.6780439999999999E-2</v>
      </c>
      <c r="R1771">
        <v>-7.7721540000000006E-2</v>
      </c>
      <c r="S1771">
        <v>-2.9920650000000002</v>
      </c>
      <c r="T1771">
        <v>-0.2648742</v>
      </c>
      <c r="U1771">
        <v>-0.14196779999999901</v>
      </c>
      <c r="V1771">
        <v>-6.2554849999999995E-2</v>
      </c>
      <c r="W1771">
        <v>-1.9845109999999999E-2</v>
      </c>
      <c r="X1771">
        <v>0.99784419999999996</v>
      </c>
      <c r="Y1771">
        <v>-3.2088899999999997E-2</v>
      </c>
      <c r="Z1771" s="1">
        <v>-7.0153499999999998E-5</v>
      </c>
      <c r="AA1771">
        <v>0.99948499999999996</v>
      </c>
      <c r="AB1771">
        <v>42</v>
      </c>
      <c r="AC1771">
        <v>-0.61890000000005296</v>
      </c>
      <c r="AD1771">
        <v>-8.9052999999999799E-2</v>
      </c>
      <c r="AE1771">
        <v>-4.1899999999998203E-2</v>
      </c>
      <c r="AF1771">
        <v>-3.1800385739003699E-2</v>
      </c>
      <c r="AG1771">
        <v>-8.9052999999999799E-2</v>
      </c>
      <c r="AH1771">
        <v>0.60695788701598796</v>
      </c>
      <c r="AI1771">
        <v>98.3356238391586</v>
      </c>
      <c r="AJ1771">
        <v>92.999159403436195</v>
      </c>
      <c r="AK1771">
        <v>0.61427972288938704</v>
      </c>
      <c r="AL1771">
        <v>91.137115701836507</v>
      </c>
      <c r="AM1771">
        <v>93.587177920209299</v>
      </c>
      <c r="AN1771">
        <v>0.99999999256153704</v>
      </c>
    </row>
    <row r="1772" spans="1:40" x14ac:dyDescent="0.25">
      <c r="A1772" t="str">
        <f>"20190312151533290"</f>
        <v>20190312151533290</v>
      </c>
      <c r="B1772" t="str">
        <f>"1552374933279281"</f>
        <v>1552374933279281</v>
      </c>
      <c r="C1772" t="s">
        <v>40</v>
      </c>
      <c r="D1772">
        <v>5.0231890000000003</v>
      </c>
      <c r="E1772">
        <v>0.51190239999999998</v>
      </c>
      <c r="F1772" t="s">
        <v>41</v>
      </c>
      <c r="G1772">
        <v>-270.81229999999999</v>
      </c>
      <c r="H1772">
        <v>1.0189870000000001</v>
      </c>
      <c r="I1772">
        <v>281.63959999999997</v>
      </c>
      <c r="J1772">
        <v>-270.42180000000002</v>
      </c>
      <c r="K1772">
        <v>1.107291</v>
      </c>
      <c r="L1772">
        <v>281.67770000000002</v>
      </c>
      <c r="M1772">
        <v>-0.99988440000000001</v>
      </c>
      <c r="N1772">
        <v>0</v>
      </c>
      <c r="O1772">
        <v>-1.358207E-2</v>
      </c>
      <c r="P1772">
        <v>-0.99665919999999997</v>
      </c>
      <c r="Q1772">
        <v>-2.578049E-2</v>
      </c>
      <c r="R1772">
        <v>-7.7498150000000002E-2</v>
      </c>
      <c r="S1772">
        <v>-2.9921570000000002</v>
      </c>
      <c r="T1772">
        <v>-0.26635180000000003</v>
      </c>
      <c r="U1772">
        <v>-0.1388855</v>
      </c>
      <c r="V1772">
        <v>-6.4002099999999895E-2</v>
      </c>
      <c r="W1772">
        <v>-1.8783040000000001E-2</v>
      </c>
      <c r="X1772">
        <v>0.99777300000000002</v>
      </c>
      <c r="Y1772">
        <v>-3.2719039999999998E-2</v>
      </c>
      <c r="Z1772">
        <v>-2.4671349999999997E-4</v>
      </c>
      <c r="AA1772">
        <v>0.99946460000000004</v>
      </c>
      <c r="AB1772">
        <v>42</v>
      </c>
      <c r="AC1772">
        <v>-0.39049999999997398</v>
      </c>
      <c r="AD1772">
        <v>-8.8303999999999896E-2</v>
      </c>
      <c r="AE1772">
        <v>-3.81000000000426E-2</v>
      </c>
      <c r="AF1772">
        <v>-3.1211605954081501E-2</v>
      </c>
      <c r="AG1772">
        <v>-8.8303999999999896E-2</v>
      </c>
      <c r="AH1772">
        <v>0.37213191907541099</v>
      </c>
      <c r="AI1772">
        <v>103.303904965748</v>
      </c>
      <c r="AJ1772">
        <v>94.794314898828603</v>
      </c>
      <c r="AK1772">
        <v>0.38373679255054699</v>
      </c>
      <c r="AL1772">
        <v>91.076252192203697</v>
      </c>
      <c r="AM1772">
        <v>93.670206689637695</v>
      </c>
      <c r="AN1772">
        <v>1.0000000154625199</v>
      </c>
    </row>
    <row r="1773" spans="1:40" x14ac:dyDescent="0.25">
      <c r="A1773" t="str">
        <f>"20190312151533315"</f>
        <v>20190312151533315</v>
      </c>
      <c r="B1773" t="str">
        <f>"1552374933309537"</f>
        <v>1552374933309537</v>
      </c>
      <c r="C1773" t="s">
        <v>40</v>
      </c>
      <c r="D1773">
        <v>5.2868559999999896</v>
      </c>
      <c r="E1773">
        <v>0.51129840000000004</v>
      </c>
      <c r="F1773" t="s">
        <v>52</v>
      </c>
      <c r="G1773">
        <v>-282.81369999999998</v>
      </c>
      <c r="H1773" s="1">
        <v>7.8828489999999992E-6</v>
      </c>
      <c r="I1773">
        <v>281.09140000000002</v>
      </c>
      <c r="J1773">
        <v>-270.87079999999997</v>
      </c>
      <c r="K1773">
        <v>1.107162</v>
      </c>
      <c r="L1773">
        <v>281.67259999999999</v>
      </c>
      <c r="M1773">
        <v>-0.99990210000000002</v>
      </c>
      <c r="N1773">
        <v>0</v>
      </c>
      <c r="O1773">
        <v>-1.2196530000000001E-2</v>
      </c>
      <c r="P1773">
        <v>-0.99677539999999998</v>
      </c>
      <c r="Q1773">
        <v>-2.5093420000000002E-2</v>
      </c>
      <c r="R1773">
        <v>-7.6220590000000005E-2</v>
      </c>
      <c r="S1773">
        <v>-2.9921259999999998</v>
      </c>
      <c r="T1773">
        <v>-0.26736280000000001</v>
      </c>
      <c r="U1773">
        <v>-0.141571</v>
      </c>
      <c r="V1773">
        <v>-6.4109050000000001E-2</v>
      </c>
      <c r="W1773">
        <v>-1.805068E-2</v>
      </c>
      <c r="X1773">
        <v>0.99777959999999999</v>
      </c>
      <c r="Y1773">
        <v>-3.4984370000000001E-2</v>
      </c>
      <c r="Z1773">
        <v>-4.7206510000000001E-4</v>
      </c>
      <c r="AA1773">
        <v>0.99938769999999999</v>
      </c>
      <c r="AB1773">
        <v>42</v>
      </c>
      <c r="AC1773">
        <v>-11.9429</v>
      </c>
      <c r="AD1773">
        <v>-1.107154117151</v>
      </c>
      <c r="AE1773">
        <v>-0.58119999999996697</v>
      </c>
      <c r="AF1773">
        <v>-0.43178936343493302</v>
      </c>
      <c r="AG1773">
        <v>-1.107154117151</v>
      </c>
      <c r="AH1773">
        <v>11.847523093873299</v>
      </c>
      <c r="AI1773">
        <v>95.335278648657294</v>
      </c>
      <c r="AJ1773">
        <v>92.087251736760194</v>
      </c>
      <c r="AK1773">
        <v>11.906974248454601</v>
      </c>
      <c r="AL1773">
        <v>91.0342839902968</v>
      </c>
      <c r="AM1773">
        <v>93.676298691396198</v>
      </c>
      <c r="AN1773">
        <v>0.99999996375826095</v>
      </c>
    </row>
    <row r="1774" spans="1:40" x14ac:dyDescent="0.25">
      <c r="A1774" t="str">
        <f>"20190312151533337"</f>
        <v>20190312151533337</v>
      </c>
      <c r="B1774" t="str">
        <f>"1552374933329057"</f>
        <v>1552374933329057</v>
      </c>
      <c r="C1774" t="s">
        <v>40</v>
      </c>
      <c r="D1774">
        <v>5.0041520000000004</v>
      </c>
      <c r="E1774">
        <v>0.51115920000000004</v>
      </c>
      <c r="F1774" t="s">
        <v>41</v>
      </c>
      <c r="G1774">
        <v>-271.93700000000001</v>
      </c>
      <c r="H1774">
        <v>1.011763</v>
      </c>
      <c r="I1774">
        <v>281.62189999999998</v>
      </c>
      <c r="J1774">
        <v>-271.29680000000002</v>
      </c>
      <c r="K1774">
        <v>1.107037</v>
      </c>
      <c r="L1774">
        <v>281.66849999999999</v>
      </c>
      <c r="M1774">
        <v>-0.99991850000000004</v>
      </c>
      <c r="N1774">
        <v>0</v>
      </c>
      <c r="O1774">
        <v>-1.074724E-2</v>
      </c>
      <c r="P1774">
        <v>-0.99684379999999995</v>
      </c>
      <c r="Q1774">
        <v>-2.5007080000000001E-2</v>
      </c>
      <c r="R1774">
        <v>-7.5348020000000002E-2</v>
      </c>
      <c r="S1774">
        <v>-2.9920960000000001</v>
      </c>
      <c r="T1774">
        <v>-0.26779989999999998</v>
      </c>
      <c r="U1774">
        <v>-0.14251710000000001</v>
      </c>
      <c r="V1774">
        <v>-6.4686779999999999E-2</v>
      </c>
      <c r="W1774">
        <v>-1.791833E-2</v>
      </c>
      <c r="X1774">
        <v>0.99774470000000004</v>
      </c>
      <c r="Y1774">
        <v>-3.6735539999999997E-2</v>
      </c>
      <c r="Z1774">
        <v>-6.8036439999999995E-4</v>
      </c>
      <c r="AA1774">
        <v>0.99932480000000001</v>
      </c>
      <c r="AB1774">
        <v>42</v>
      </c>
      <c r="AC1774">
        <v>-0.640199999999992</v>
      </c>
      <c r="AD1774">
        <v>-9.5273999999999998E-2</v>
      </c>
      <c r="AE1774">
        <v>-4.6600000000012097E-2</v>
      </c>
      <c r="AF1774">
        <v>-3.8860646347233602E-2</v>
      </c>
      <c r="AG1774">
        <v>-9.5273999999999998E-2</v>
      </c>
      <c r="AH1774">
        <v>0.62685400990570805</v>
      </c>
      <c r="AI1774">
        <v>98.625795459933798</v>
      </c>
      <c r="AJ1774">
        <v>93.547405339036999</v>
      </c>
      <c r="AK1774">
        <v>0.63524265808066704</v>
      </c>
      <c r="AL1774">
        <v>91.026699664427497</v>
      </c>
      <c r="AM1774">
        <v>93.709465609364102</v>
      </c>
      <c r="AN1774">
        <v>0.99999996621742304</v>
      </c>
    </row>
    <row r="1775" spans="1:40" x14ac:dyDescent="0.25">
      <c r="A1775" t="str">
        <f>"20190312151533358"</f>
        <v>20190312151533358</v>
      </c>
      <c r="B1775" t="str">
        <f>"1552374933349553"</f>
        <v>1552374933349553</v>
      </c>
      <c r="C1775" t="s">
        <v>40</v>
      </c>
      <c r="D1775">
        <v>5.0863250000000004</v>
      </c>
      <c r="E1775">
        <v>0.51148400000000005</v>
      </c>
      <c r="F1775" t="s">
        <v>41</v>
      </c>
      <c r="G1775">
        <v>-272.31729999999999</v>
      </c>
      <c r="H1775">
        <v>1.0149820000000001</v>
      </c>
      <c r="I1775">
        <v>281.62060000000002</v>
      </c>
      <c r="J1775">
        <v>-271.69959999999998</v>
      </c>
      <c r="K1775">
        <v>1.106919</v>
      </c>
      <c r="L1775">
        <v>281.66520000000003</v>
      </c>
      <c r="M1775">
        <v>-0.99993290000000001</v>
      </c>
      <c r="N1775">
        <v>0</v>
      </c>
      <c r="O1775">
        <v>-9.2790670000000002E-3</v>
      </c>
      <c r="P1775">
        <v>-0.99696910000000005</v>
      </c>
      <c r="Q1775">
        <v>-2.540305E-2</v>
      </c>
      <c r="R1775">
        <v>-7.353403E-2</v>
      </c>
      <c r="S1775">
        <v>-2.9920650000000002</v>
      </c>
      <c r="T1775">
        <v>-0.26995150000000001</v>
      </c>
      <c r="U1775">
        <v>-0.14083860000000001</v>
      </c>
      <c r="V1775">
        <v>-6.4343339999999999E-2</v>
      </c>
      <c r="W1775">
        <v>-1.8273290000000001E-2</v>
      </c>
      <c r="X1775">
        <v>0.99776050000000005</v>
      </c>
      <c r="Y1775">
        <v>-3.7632699999999998E-2</v>
      </c>
      <c r="Z1775">
        <v>-8.5829509999999995E-4</v>
      </c>
      <c r="AA1775">
        <v>0.99929120000000005</v>
      </c>
      <c r="AB1775">
        <v>42</v>
      </c>
      <c r="AC1775">
        <v>-0.61770000000001302</v>
      </c>
      <c r="AD1775">
        <v>-9.1936999999999894E-2</v>
      </c>
      <c r="AE1775">
        <v>-4.4600000000002603E-2</v>
      </c>
      <c r="AF1775">
        <v>-3.80282062533095E-2</v>
      </c>
      <c r="AG1775">
        <v>-9.1936999999999894E-2</v>
      </c>
      <c r="AH1775">
        <v>0.60475971969460396</v>
      </c>
      <c r="AI1775">
        <v>98.627272276726202</v>
      </c>
      <c r="AJ1775">
        <v>93.598107894023897</v>
      </c>
      <c r="AK1775">
        <v>0.61288895813592603</v>
      </c>
      <c r="AL1775">
        <v>91.047040673635493</v>
      </c>
      <c r="AM1775">
        <v>93.689767314559205</v>
      </c>
      <c r="AN1775">
        <v>0.99999999694501396</v>
      </c>
    </row>
    <row r="1776" spans="1:40" x14ac:dyDescent="0.25">
      <c r="A1776" t="str">
        <f>"20190312151533380"</f>
        <v>20190312151533380</v>
      </c>
      <c r="B1776" t="str">
        <f>"1552374933369775"</f>
        <v>1552374933369775</v>
      </c>
      <c r="C1776" t="s">
        <v>40</v>
      </c>
      <c r="D1776">
        <v>4.8978359999999999</v>
      </c>
      <c r="E1776">
        <v>0.51150379999999995</v>
      </c>
      <c r="F1776" t="s">
        <v>41</v>
      </c>
      <c r="G1776">
        <v>-272.69959999999998</v>
      </c>
      <c r="H1776">
        <v>1.0201129999999901</v>
      </c>
      <c r="I1776">
        <v>281.62099999999998</v>
      </c>
      <c r="J1776">
        <v>-272.11349999999999</v>
      </c>
      <c r="K1776">
        <v>1.1067959999999999</v>
      </c>
      <c r="L1776">
        <v>281.66250000000002</v>
      </c>
      <c r="M1776">
        <v>-0.99994649999999996</v>
      </c>
      <c r="N1776">
        <v>0</v>
      </c>
      <c r="O1776">
        <v>-7.6673879999999998E-3</v>
      </c>
      <c r="P1776">
        <v>-0.99712820000000002</v>
      </c>
      <c r="Q1776">
        <v>-2.5606980000000001E-2</v>
      </c>
      <c r="R1776">
        <v>-7.12724E-2</v>
      </c>
      <c r="S1776">
        <v>-2.9926759999999999</v>
      </c>
      <c r="T1776">
        <v>-0.25979780000000002</v>
      </c>
      <c r="U1776">
        <v>-0.13259889999999999</v>
      </c>
      <c r="V1776">
        <v>-6.369466E-2</v>
      </c>
      <c r="W1776">
        <v>-1.8436379999999999E-2</v>
      </c>
      <c r="X1776">
        <v>0.99779910000000005</v>
      </c>
      <c r="Y1776">
        <v>-3.6494810000000003E-2</v>
      </c>
      <c r="Z1776">
        <v>-9.1631009999999997E-4</v>
      </c>
      <c r="AA1776">
        <v>0.99933340000000004</v>
      </c>
      <c r="AB1776">
        <v>42</v>
      </c>
      <c r="AC1776">
        <v>-0.58609999999998696</v>
      </c>
      <c r="AD1776">
        <v>-8.6682999999999996E-2</v>
      </c>
      <c r="AE1776">
        <v>-4.1500000000041802E-2</v>
      </c>
      <c r="AF1776">
        <v>-3.6216573164648297E-2</v>
      </c>
      <c r="AG1776">
        <v>-8.6682999999999996E-2</v>
      </c>
      <c r="AH1776">
        <v>0.57391000228840905</v>
      </c>
      <c r="AI1776">
        <v>98.5722000448975</v>
      </c>
      <c r="AJ1776">
        <v>93.610860394626201</v>
      </c>
      <c r="AK1776">
        <v>0.58154816944727095</v>
      </c>
      <c r="AL1776">
        <v>91.056386637999694</v>
      </c>
      <c r="AM1776">
        <v>93.652529070727795</v>
      </c>
      <c r="AN1776">
        <v>0.99999997689041398</v>
      </c>
    </row>
    <row r="1777" spans="1:40" x14ac:dyDescent="0.25">
      <c r="A1777" t="str">
        <f>"20190312151533401"</f>
        <v>20190312151533401</v>
      </c>
      <c r="B1777" t="str">
        <f>"1552374933399055"</f>
        <v>1552374933399055</v>
      </c>
      <c r="C1777" t="s">
        <v>40</v>
      </c>
      <c r="D1777">
        <v>4.9012359999999999</v>
      </c>
      <c r="E1777">
        <v>0.51168950000000002</v>
      </c>
      <c r="F1777" t="s">
        <v>41</v>
      </c>
      <c r="G1777">
        <v>-273.08190000000002</v>
      </c>
      <c r="H1777">
        <v>1.024044</v>
      </c>
      <c r="I1777">
        <v>281.62189999999998</v>
      </c>
      <c r="J1777">
        <v>-272.53620000000001</v>
      </c>
      <c r="K1777">
        <v>1.106665</v>
      </c>
      <c r="L1777">
        <v>281.66050000000001</v>
      </c>
      <c r="M1777">
        <v>-0.99995829999999997</v>
      </c>
      <c r="N1777">
        <v>0</v>
      </c>
      <c r="O1777">
        <v>-5.9132849999999999E-3</v>
      </c>
      <c r="P1777">
        <v>-0.99730169999999996</v>
      </c>
      <c r="Q1777">
        <v>-2.5368580000000002E-2</v>
      </c>
      <c r="R1777">
        <v>-6.8892460000000003E-2</v>
      </c>
      <c r="S1777">
        <v>-2.9930729999999999</v>
      </c>
      <c r="T1777">
        <v>-0.25579170000000001</v>
      </c>
      <c r="U1777">
        <v>-0.12570190000000001</v>
      </c>
      <c r="V1777">
        <v>-6.3068369999999999E-2</v>
      </c>
      <c r="W1777">
        <v>-1.8156220000000001E-2</v>
      </c>
      <c r="X1777">
        <v>0.99784399999999995</v>
      </c>
      <c r="Y1777">
        <v>-3.5942410000000001E-2</v>
      </c>
      <c r="Z1777">
        <v>-1.0281649999999999E-3</v>
      </c>
      <c r="AA1777">
        <v>0.9993533</v>
      </c>
      <c r="AB1777">
        <v>42</v>
      </c>
      <c r="AC1777">
        <v>-0.54570000000000995</v>
      </c>
      <c r="AD1777">
        <v>-8.2621E-2</v>
      </c>
      <c r="AE1777">
        <v>-3.8600000000030797E-2</v>
      </c>
      <c r="AF1777">
        <v>-3.4583552528870597E-2</v>
      </c>
      <c r="AG1777">
        <v>-8.2621E-2</v>
      </c>
      <c r="AH1777">
        <v>0.53374455972836499</v>
      </c>
      <c r="AI1777">
        <v>98.781138008301596</v>
      </c>
      <c r="AJ1777">
        <v>93.707252037904794</v>
      </c>
      <c r="AK1777">
        <v>0.54120745263359404</v>
      </c>
      <c r="AL1777">
        <v>91.040331984252703</v>
      </c>
      <c r="AM1777">
        <v>93.616548363812896</v>
      </c>
      <c r="AN1777">
        <v>0.99999995797757102</v>
      </c>
    </row>
    <row r="1778" spans="1:40" x14ac:dyDescent="0.25">
      <c r="A1778" t="str">
        <f>"20190312151533425"</f>
        <v>20190312151533425</v>
      </c>
      <c r="B1778" t="str">
        <f>"1552374933419551"</f>
        <v>1552374933419551</v>
      </c>
      <c r="C1778" t="s">
        <v>40</v>
      </c>
      <c r="D1778">
        <v>4.8956580000000001</v>
      </c>
      <c r="E1778">
        <v>0.51178939999999995</v>
      </c>
      <c r="F1778" t="s">
        <v>52</v>
      </c>
      <c r="G1778">
        <v>-286.13830000000002</v>
      </c>
      <c r="H1778" s="1">
        <v>6.4005239999999998E-6</v>
      </c>
      <c r="I1778">
        <v>281.1302</v>
      </c>
      <c r="J1778">
        <v>-272.97989999999999</v>
      </c>
      <c r="K1778">
        <v>1.106527</v>
      </c>
      <c r="L1778">
        <v>281.65929999999997</v>
      </c>
      <c r="M1778">
        <v>-0.99996779999999996</v>
      </c>
      <c r="N1778">
        <v>0</v>
      </c>
      <c r="O1778">
        <v>-3.956907E-3</v>
      </c>
      <c r="P1778">
        <v>-0.99744330000000003</v>
      </c>
      <c r="Q1778">
        <v>-2.5739270000000002E-2</v>
      </c>
      <c r="R1778">
        <v>-6.6668640000000001E-2</v>
      </c>
      <c r="S1778">
        <v>-2.9938660000000001</v>
      </c>
      <c r="T1778">
        <v>-0.24357860000000001</v>
      </c>
      <c r="U1778">
        <v>-0.11672970000000001</v>
      </c>
      <c r="V1778">
        <v>-6.280297E-2</v>
      </c>
      <c r="W1778">
        <v>-1.8482160000000001E-2</v>
      </c>
      <c r="X1778">
        <v>0.99785480000000004</v>
      </c>
      <c r="Y1778">
        <v>-3.4903629999999998E-2</v>
      </c>
      <c r="Z1778">
        <v>-1.095709E-3</v>
      </c>
      <c r="AA1778">
        <v>0.99939009999999995</v>
      </c>
      <c r="AB1778">
        <v>42</v>
      </c>
      <c r="AC1778">
        <v>-13.1584</v>
      </c>
      <c r="AD1778">
        <v>-1.1065205994759999</v>
      </c>
      <c r="AE1778">
        <v>-0.52909999999997104</v>
      </c>
      <c r="AF1778">
        <v>-0.47368376610516799</v>
      </c>
      <c r="AG1778">
        <v>-1.1065205994759999</v>
      </c>
      <c r="AH1778">
        <v>13.068128264078901</v>
      </c>
      <c r="AI1778">
        <v>94.836712767949905</v>
      </c>
      <c r="AJ1778">
        <v>92.075905846263794</v>
      </c>
      <c r="AK1778">
        <v>13.1234424018149</v>
      </c>
      <c r="AL1778">
        <v>91.059010058637895</v>
      </c>
      <c r="AM1778">
        <v>93.601330714241399</v>
      </c>
      <c r="AN1778">
        <v>1.00000000258106</v>
      </c>
    </row>
    <row r="1779" spans="1:40" x14ac:dyDescent="0.25">
      <c r="A1779" t="str">
        <f>"20190312151533446"</f>
        <v>20190312151533446</v>
      </c>
      <c r="B1779" t="str">
        <f>"1552374933439071"</f>
        <v>1552374933439071</v>
      </c>
      <c r="C1779" t="s">
        <v>40</v>
      </c>
      <c r="D1779">
        <v>4.9038170000000001</v>
      </c>
      <c r="E1779">
        <v>0.51182170000000005</v>
      </c>
      <c r="F1779" t="s">
        <v>52</v>
      </c>
      <c r="G1779">
        <v>-286.89460000000003</v>
      </c>
      <c r="H1779" s="1">
        <v>6.060621E-6</v>
      </c>
      <c r="I1779">
        <v>281.15199999999999</v>
      </c>
      <c r="J1779">
        <v>-273.392</v>
      </c>
      <c r="K1779">
        <v>1.1064000000000001</v>
      </c>
      <c r="L1779">
        <v>281.65899999999999</v>
      </c>
      <c r="M1779">
        <v>-0.99997329999999995</v>
      </c>
      <c r="N1779">
        <v>0</v>
      </c>
      <c r="O1779">
        <v>-2.038032E-3</v>
      </c>
      <c r="P1779">
        <v>-0.99759580000000003</v>
      </c>
      <c r="Q1779">
        <v>-2.6021030000000001E-2</v>
      </c>
      <c r="R1779">
        <v>-6.4232010000000006E-2</v>
      </c>
      <c r="S1779">
        <v>-2.9942630000000001</v>
      </c>
      <c r="T1779">
        <v>-0.23810799999999999</v>
      </c>
      <c r="U1779">
        <v>-0.10916140000000001</v>
      </c>
      <c r="V1779">
        <v>-6.228736E-2</v>
      </c>
      <c r="W1779">
        <v>-1.8723859999999998E-2</v>
      </c>
      <c r="X1779">
        <v>0.99788259999999995</v>
      </c>
      <c r="Y1779">
        <v>-3.4294150000000002E-2</v>
      </c>
      <c r="Z1779">
        <v>-1.199201E-3</v>
      </c>
      <c r="AA1779">
        <v>0.99941100000000005</v>
      </c>
      <c r="AB1779">
        <v>42</v>
      </c>
      <c r="AC1779">
        <v>-13.502599999999999</v>
      </c>
      <c r="AD1779">
        <v>-1.1063939393790001</v>
      </c>
      <c r="AE1779">
        <v>-0.507000000000005</v>
      </c>
      <c r="AF1779">
        <v>-0.47628622965359402</v>
      </c>
      <c r="AG1779">
        <v>-1.1063939393790001</v>
      </c>
      <c r="AH1779">
        <v>13.413671953364799</v>
      </c>
      <c r="AI1779">
        <v>94.712272228111701</v>
      </c>
      <c r="AJ1779">
        <v>92.033576709667301</v>
      </c>
      <c r="AK1779">
        <v>13.4676483245642</v>
      </c>
      <c r="AL1779">
        <v>91.0728608581137</v>
      </c>
      <c r="AM1779">
        <v>93.571741535534898</v>
      </c>
      <c r="AN1779">
        <v>0.99999999076591395</v>
      </c>
    </row>
    <row r="1780" spans="1:40" x14ac:dyDescent="0.25">
      <c r="A1780" t="str">
        <f>"20190312151533469"</f>
        <v>20190312151533469</v>
      </c>
      <c r="B1780" t="str">
        <f>"1552374933459566"</f>
        <v>1552374933459566</v>
      </c>
      <c r="C1780" t="s">
        <v>40</v>
      </c>
      <c r="D1780">
        <v>4.906015</v>
      </c>
      <c r="E1780">
        <v>0.51176709999999903</v>
      </c>
      <c r="F1780" t="s">
        <v>52</v>
      </c>
      <c r="G1780">
        <v>-287.5204</v>
      </c>
      <c r="H1780" s="1">
        <v>5.7772060000000001E-6</v>
      </c>
      <c r="I1780">
        <v>281.1807</v>
      </c>
      <c r="J1780">
        <v>-273.8109</v>
      </c>
      <c r="K1780">
        <v>1.1062749999999999</v>
      </c>
      <c r="L1780">
        <v>281.65949999999998</v>
      </c>
      <c r="M1780">
        <v>-0.99997510000000001</v>
      </c>
      <c r="N1780">
        <v>0</v>
      </c>
      <c r="O1780" s="1">
        <v>4.1855440000000004E-6</v>
      </c>
      <c r="P1780">
        <v>-0.99772260000000002</v>
      </c>
      <c r="Q1780">
        <v>-2.6147360000000001E-2</v>
      </c>
      <c r="R1780">
        <v>-6.2177719999999999E-2</v>
      </c>
      <c r="S1780">
        <v>-2.9946290000000002</v>
      </c>
      <c r="T1780">
        <v>-0.23450969999999999</v>
      </c>
      <c r="U1780">
        <v>-0.10137939999999999</v>
      </c>
      <c r="V1780">
        <v>-6.2276320000000003E-2</v>
      </c>
      <c r="W1780">
        <v>-1.8807910000000001E-2</v>
      </c>
      <c r="X1780">
        <v>0.99788169999999998</v>
      </c>
      <c r="Y1780">
        <v>-3.3735370000000001E-2</v>
      </c>
      <c r="Z1780">
        <v>-1.3188430000000001E-3</v>
      </c>
      <c r="AA1780">
        <v>0.99942989999999998</v>
      </c>
      <c r="AB1780">
        <v>43</v>
      </c>
      <c r="AC1780">
        <v>-13.709499999999901</v>
      </c>
      <c r="AD1780">
        <v>-1.1062692227940001</v>
      </c>
      <c r="AE1780">
        <v>-0.47879999999997802</v>
      </c>
      <c r="AF1780">
        <v>-0.47576324346988502</v>
      </c>
      <c r="AG1780">
        <v>-1.1062692227940001</v>
      </c>
      <c r="AH1780">
        <v>13.6209139975053</v>
      </c>
      <c r="AI1780">
        <v>94.640463831152402</v>
      </c>
      <c r="AJ1780">
        <v>92.000464018169794</v>
      </c>
      <c r="AK1780">
        <v>13.674044039148599</v>
      </c>
      <c r="AL1780">
        <v>91.077677425665598</v>
      </c>
      <c r="AM1780">
        <v>93.571113320153898</v>
      </c>
      <c r="AN1780">
        <v>0.99999998235309995</v>
      </c>
    </row>
    <row r="1781" spans="1:40" x14ac:dyDescent="0.25">
      <c r="A1781" t="str">
        <f>"20190312151533491"</f>
        <v>20190312151533491</v>
      </c>
      <c r="B1781" t="str">
        <f>"1552374933489606"</f>
        <v>1552374933489606</v>
      </c>
      <c r="C1781" t="s">
        <v>40</v>
      </c>
      <c r="D1781">
        <v>4.9684860000000004</v>
      </c>
      <c r="E1781">
        <v>0.51176549999999998</v>
      </c>
      <c r="F1781" t="s">
        <v>52</v>
      </c>
      <c r="G1781">
        <v>-288.1198</v>
      </c>
      <c r="H1781" s="1">
        <v>5.506901E-6</v>
      </c>
      <c r="I1781">
        <v>281.20249999999999</v>
      </c>
      <c r="J1781">
        <v>-274.24579999999997</v>
      </c>
      <c r="K1781">
        <v>1.1061529999999999</v>
      </c>
      <c r="L1781">
        <v>281.661</v>
      </c>
      <c r="M1781">
        <v>-0.99997270000000005</v>
      </c>
      <c r="N1781">
        <v>0</v>
      </c>
      <c r="O1781">
        <v>2.2112299999999998E-3</v>
      </c>
      <c r="P1781">
        <v>-0.99784280000000003</v>
      </c>
      <c r="Q1781">
        <v>-2.6306059999999999E-2</v>
      </c>
      <c r="R1781">
        <v>-6.0150049999999997E-2</v>
      </c>
      <c r="S1781">
        <v>-2.9948429999999999</v>
      </c>
      <c r="T1781">
        <v>-0.2315429</v>
      </c>
      <c r="U1781">
        <v>-9.5672610000000005E-2</v>
      </c>
      <c r="V1781">
        <v>-6.2457489999999997E-2</v>
      </c>
      <c r="W1781">
        <v>-1.892282E-2</v>
      </c>
      <c r="X1781">
        <v>0.99786819999999998</v>
      </c>
      <c r="Y1781">
        <v>-3.4031539999999999E-2</v>
      </c>
      <c r="Z1781">
        <v>-1.4839289999999999E-3</v>
      </c>
      <c r="AA1781">
        <v>0.99941959999999996</v>
      </c>
      <c r="AB1781">
        <v>43</v>
      </c>
      <c r="AC1781">
        <v>-13.874000000000001</v>
      </c>
      <c r="AD1781">
        <v>-1.1061474930990001</v>
      </c>
      <c r="AE1781">
        <v>-0.45850000000001501</v>
      </c>
      <c r="AF1781">
        <v>-0.48609174222600099</v>
      </c>
      <c r="AG1781">
        <v>-1.1061474930990001</v>
      </c>
      <c r="AH1781">
        <v>13.785419843426499</v>
      </c>
      <c r="AI1781">
        <v>94.584769647047096</v>
      </c>
      <c r="AJ1781">
        <v>92.019486622396599</v>
      </c>
      <c r="AK1781">
        <v>13.8382675114295</v>
      </c>
      <c r="AL1781">
        <v>91.084262460584895</v>
      </c>
      <c r="AM1781">
        <v>93.581523483791599</v>
      </c>
      <c r="AN1781">
        <v>0.99999997787254602</v>
      </c>
    </row>
    <row r="1782" spans="1:40" x14ac:dyDescent="0.25">
      <c r="A1782" t="str">
        <f>"20190312151533515"</f>
        <v>20190312151533515</v>
      </c>
      <c r="B1782" t="str">
        <f>"1552374933509126"</f>
        <v>1552374933509126</v>
      </c>
      <c r="C1782" t="s">
        <v>40</v>
      </c>
      <c r="D1782">
        <v>4.9361110000000004</v>
      </c>
      <c r="E1782">
        <v>0.51198129999999997</v>
      </c>
      <c r="F1782" t="s">
        <v>52</v>
      </c>
      <c r="G1782">
        <v>-288.63040000000001</v>
      </c>
      <c r="H1782" s="1">
        <v>5.274553E-6</v>
      </c>
      <c r="I1782">
        <v>281.23099999999999</v>
      </c>
      <c r="J1782">
        <v>-274.68560000000002</v>
      </c>
      <c r="K1782">
        <v>1.1060350000000001</v>
      </c>
      <c r="L1782">
        <v>281.66359999999997</v>
      </c>
      <c r="M1782">
        <v>-0.99996479999999999</v>
      </c>
      <c r="N1782">
        <v>0</v>
      </c>
      <c r="O1782">
        <v>4.523071E-3</v>
      </c>
      <c r="P1782">
        <v>-0.99798580000000003</v>
      </c>
      <c r="Q1782">
        <v>-2.6164050000000001E-2</v>
      </c>
      <c r="R1782">
        <v>-5.779285E-2</v>
      </c>
      <c r="S1782">
        <v>-2.9950559999999999</v>
      </c>
      <c r="T1782">
        <v>-0.2303144</v>
      </c>
      <c r="U1782">
        <v>-8.9538569999999998E-2</v>
      </c>
      <c r="V1782">
        <v>-6.2411540000000001E-2</v>
      </c>
      <c r="W1782">
        <v>-1.8739550000000001E-2</v>
      </c>
      <c r="X1782">
        <v>0.99787459999999994</v>
      </c>
      <c r="Y1782">
        <v>-3.4288480000000003E-2</v>
      </c>
      <c r="Z1782">
        <v>-1.663365E-3</v>
      </c>
      <c r="AA1782">
        <v>0.99941060000000004</v>
      </c>
      <c r="AB1782">
        <v>43</v>
      </c>
      <c r="AC1782">
        <v>-13.944799999999899</v>
      </c>
      <c r="AD1782">
        <v>-1.106029725447</v>
      </c>
      <c r="AE1782">
        <v>-0.432599999999979</v>
      </c>
      <c r="AF1782">
        <v>-0.49257473786883699</v>
      </c>
      <c r="AG1782">
        <v>-1.106029725447</v>
      </c>
      <c r="AH1782">
        <v>13.8556208544481</v>
      </c>
      <c r="AI1782">
        <v>94.561108630592102</v>
      </c>
      <c r="AJ1782">
        <v>92.036038176728297</v>
      </c>
      <c r="AK1782">
        <v>13.9084205029966</v>
      </c>
      <c r="AL1782">
        <v>91.073759929284293</v>
      </c>
      <c r="AM1782">
        <v>93.578872512441606</v>
      </c>
      <c r="AN1782">
        <v>1.0000000441922601</v>
      </c>
    </row>
    <row r="1783" spans="1:40" x14ac:dyDescent="0.25">
      <c r="A1783" t="str">
        <f>"20190312151533538"</f>
        <v>20190312151533538</v>
      </c>
      <c r="B1783" t="str">
        <f>"1552374933529622"</f>
        <v>1552374933529622</v>
      </c>
      <c r="C1783" t="s">
        <v>40</v>
      </c>
      <c r="D1783">
        <v>5.0508009999999999</v>
      </c>
      <c r="E1783">
        <v>0.51220759999999999</v>
      </c>
      <c r="F1783" t="s">
        <v>41</v>
      </c>
      <c r="G1783">
        <v>-275.7647</v>
      </c>
      <c r="H1783">
        <v>1.023474</v>
      </c>
      <c r="I1783">
        <v>281.63470000000001</v>
      </c>
      <c r="J1783">
        <v>-275.12920000000003</v>
      </c>
      <c r="K1783">
        <v>1.1059410000000001</v>
      </c>
      <c r="L1783">
        <v>281.66730000000001</v>
      </c>
      <c r="M1783">
        <v>-0.99995069999999997</v>
      </c>
      <c r="N1783">
        <v>0</v>
      </c>
      <c r="O1783">
        <v>6.9161659999999996E-3</v>
      </c>
      <c r="P1783">
        <v>-0.99811729999999999</v>
      </c>
      <c r="Q1783">
        <v>-2.6022759999999999E-2</v>
      </c>
      <c r="R1783">
        <v>-5.5543500000000003E-2</v>
      </c>
      <c r="S1783">
        <v>-2.9953609999999999</v>
      </c>
      <c r="T1783">
        <v>-0.2292322</v>
      </c>
      <c r="U1783">
        <v>-8.0780030000000003E-2</v>
      </c>
      <c r="V1783">
        <v>-6.2553540000000005E-2</v>
      </c>
      <c r="W1783">
        <v>-1.8558109999999999E-2</v>
      </c>
      <c r="X1783">
        <v>0.99786909999999895</v>
      </c>
      <c r="Y1783">
        <v>-3.3752919999999999E-2</v>
      </c>
      <c r="Z1783">
        <v>-1.817862E-3</v>
      </c>
      <c r="AA1783">
        <v>0.9994286</v>
      </c>
      <c r="AB1783">
        <v>43</v>
      </c>
      <c r="AC1783">
        <v>-0.63549999999997897</v>
      </c>
      <c r="AD1783">
        <v>-8.2466999999999999E-2</v>
      </c>
      <c r="AE1783">
        <v>-3.26000000000021E-2</v>
      </c>
      <c r="AF1783">
        <v>-3.6383483564303702E-2</v>
      </c>
      <c r="AG1783">
        <v>-8.2466999999999999E-2</v>
      </c>
      <c r="AH1783">
        <v>0.62476618761066005</v>
      </c>
      <c r="AI1783">
        <v>97.506804782037605</v>
      </c>
      <c r="AJ1783">
        <v>93.332876063753503</v>
      </c>
      <c r="AK1783">
        <v>0.63123478448738302</v>
      </c>
      <c r="AL1783">
        <v>91.063362374694094</v>
      </c>
      <c r="AM1783">
        <v>93.587013719134504</v>
      </c>
      <c r="AN1783">
        <v>1.00000004477405</v>
      </c>
    </row>
    <row r="1784" spans="1:40" x14ac:dyDescent="0.25">
      <c r="A1784" t="str">
        <f>"20190312151533558"</f>
        <v>20190312151533558</v>
      </c>
      <c r="B1784" t="str">
        <f>"1552374933549141"</f>
        <v>1552374933549141</v>
      </c>
      <c r="C1784" t="s">
        <v>40</v>
      </c>
      <c r="D1784">
        <v>4.9491620000000003</v>
      </c>
      <c r="E1784">
        <v>0.5122719</v>
      </c>
      <c r="F1784" t="s">
        <v>52</v>
      </c>
      <c r="G1784">
        <v>-289.66410000000002</v>
      </c>
      <c r="H1784" s="1">
        <v>4.7982430000000002E-6</v>
      </c>
      <c r="I1784">
        <v>281.3177</v>
      </c>
      <c r="J1784">
        <v>-275.52679999999998</v>
      </c>
      <c r="K1784">
        <v>1.1058619999999999</v>
      </c>
      <c r="L1784">
        <v>281.67149999999998</v>
      </c>
      <c r="M1784">
        <v>-0.99993319999999997</v>
      </c>
      <c r="N1784">
        <v>0</v>
      </c>
      <c r="O1784">
        <v>9.0967819999999994E-3</v>
      </c>
      <c r="P1784">
        <v>-0.99823090000000003</v>
      </c>
      <c r="Q1784">
        <v>-2.576181E-2</v>
      </c>
      <c r="R1784">
        <v>-5.3590319999999997E-2</v>
      </c>
      <c r="S1784">
        <v>-2.9956670000000001</v>
      </c>
      <c r="T1784">
        <v>-0.22793579999999999</v>
      </c>
      <c r="U1784">
        <v>-7.2052000000000005E-2</v>
      </c>
      <c r="V1784">
        <v>-6.277895E-2</v>
      </c>
      <c r="W1784">
        <v>-1.8262649999999998E-2</v>
      </c>
      <c r="X1784">
        <v>0.99786039999999998</v>
      </c>
      <c r="Y1784">
        <v>-3.3016839999999999E-2</v>
      </c>
      <c r="Z1784">
        <v>-1.9451990000000001E-3</v>
      </c>
      <c r="AA1784">
        <v>0.99945289999999998</v>
      </c>
      <c r="AB1784">
        <v>43</v>
      </c>
      <c r="AC1784">
        <v>-14.1373</v>
      </c>
      <c r="AD1784">
        <v>-1.1058572017569901</v>
      </c>
      <c r="AE1784">
        <v>-0.35379999999997802</v>
      </c>
      <c r="AF1784">
        <v>-0.47946068555022803</v>
      </c>
      <c r="AG1784">
        <v>-1.1058572017569901</v>
      </c>
      <c r="AH1784">
        <v>14.0475960811211</v>
      </c>
      <c r="AI1784">
        <v>94.498556311274498</v>
      </c>
      <c r="AJ1784">
        <v>91.954812315948502</v>
      </c>
      <c r="AK1784">
        <v>14.0992112672303</v>
      </c>
      <c r="AL1784">
        <v>91.046430889876603</v>
      </c>
      <c r="AM1784">
        <v>93.599936800751394</v>
      </c>
      <c r="AN1784">
        <v>1.00000004941814</v>
      </c>
    </row>
    <row r="1785" spans="1:40" x14ac:dyDescent="0.25">
      <c r="A1785" t="str">
        <f>"20190312151533580"</f>
        <v>20190312151533580</v>
      </c>
      <c r="B1785" t="str">
        <f>"1552374933569322"</f>
        <v>1552374933569322</v>
      </c>
      <c r="C1785" t="s">
        <v>40</v>
      </c>
      <c r="D1785">
        <v>4.9780259999999998</v>
      </c>
      <c r="E1785">
        <v>0.51236079999999995</v>
      </c>
      <c r="F1785" t="s">
        <v>52</v>
      </c>
      <c r="G1785">
        <v>-290.17939999999999</v>
      </c>
      <c r="H1785" s="1">
        <v>2.5230939999999999E-6</v>
      </c>
      <c r="I1785">
        <v>281.3503</v>
      </c>
      <c r="J1785">
        <v>-275.94940000000003</v>
      </c>
      <c r="K1785">
        <v>1.1057900000000001</v>
      </c>
      <c r="L1785">
        <v>281.67689999999999</v>
      </c>
      <c r="M1785">
        <v>-0.99990889999999999</v>
      </c>
      <c r="N1785">
        <v>0</v>
      </c>
      <c r="O1785">
        <v>1.144355E-2</v>
      </c>
      <c r="P1785">
        <v>-0.99835739999999995</v>
      </c>
      <c r="Q1785">
        <v>-2.563706E-2</v>
      </c>
      <c r="R1785">
        <v>-5.1236980000000001E-2</v>
      </c>
      <c r="S1785">
        <v>-2.9960019999999998</v>
      </c>
      <c r="T1785">
        <v>-0.2261147</v>
      </c>
      <c r="U1785">
        <v>-6.5673830000000002E-2</v>
      </c>
      <c r="V1785">
        <v>-6.2771519999999997E-2</v>
      </c>
      <c r="W1785">
        <v>-1.810467E-2</v>
      </c>
      <c r="X1785">
        <v>0.99786370000000002</v>
      </c>
      <c r="Y1785">
        <v>-3.3227899999999998E-2</v>
      </c>
      <c r="Z1785">
        <v>-2.1143360000000001E-3</v>
      </c>
      <c r="AA1785">
        <v>0.99944560000000005</v>
      </c>
      <c r="AB1785">
        <v>43</v>
      </c>
      <c r="AC1785">
        <v>-14.229999999999899</v>
      </c>
      <c r="AD1785">
        <v>-1.1057874769059901</v>
      </c>
      <c r="AE1785">
        <v>-0.32659999999998401</v>
      </c>
      <c r="AF1785">
        <v>-0.48648835822235797</v>
      </c>
      <c r="AG1785">
        <v>-1.1057874769059901</v>
      </c>
      <c r="AH1785">
        <v>14.1399903643551</v>
      </c>
      <c r="AI1785">
        <v>94.468958694663897</v>
      </c>
      <c r="AJ1785">
        <v>91.970492102403398</v>
      </c>
      <c r="AK1785">
        <v>14.191503245633401</v>
      </c>
      <c r="AL1785">
        <v>91.037377854122099</v>
      </c>
      <c r="AM1785">
        <v>93.599499989547098</v>
      </c>
      <c r="AN1785">
        <v>1.0000000032883001</v>
      </c>
    </row>
    <row r="1786" spans="1:40" x14ac:dyDescent="0.25">
      <c r="A1786" t="str">
        <f>"20190312151533603"</f>
        <v>20190312151533603</v>
      </c>
      <c r="B1786" t="str">
        <f>"1552374933599578"</f>
        <v>1552374933599578</v>
      </c>
      <c r="C1786" t="s">
        <v>40</v>
      </c>
      <c r="D1786">
        <v>4.9518559999999896</v>
      </c>
      <c r="E1786">
        <v>0.51254509999999998</v>
      </c>
      <c r="F1786" t="s">
        <v>52</v>
      </c>
      <c r="G1786">
        <v>-290.66460000000001</v>
      </c>
      <c r="H1786" s="1">
        <v>2.6054200000000002E-6</v>
      </c>
      <c r="I1786">
        <v>281.39319999999998</v>
      </c>
      <c r="J1786">
        <v>-276.39659999999998</v>
      </c>
      <c r="K1786">
        <v>1.1057189999999999</v>
      </c>
      <c r="L1786">
        <v>281.68369999999999</v>
      </c>
      <c r="M1786">
        <v>-0.99987700000000002</v>
      </c>
      <c r="N1786">
        <v>0</v>
      </c>
      <c r="O1786">
        <v>1.394862E-2</v>
      </c>
      <c r="P1786">
        <v>-0.99845830000000002</v>
      </c>
      <c r="Q1786">
        <v>-2.6045180000000001E-2</v>
      </c>
      <c r="R1786">
        <v>-4.9019220000000002E-2</v>
      </c>
      <c r="S1786">
        <v>-2.9961850000000001</v>
      </c>
      <c r="T1786">
        <v>-0.22515109999999999</v>
      </c>
      <c r="U1786">
        <v>-5.776978E-2</v>
      </c>
      <c r="V1786">
        <v>-6.3059450000000003E-2</v>
      </c>
      <c r="W1786">
        <v>-1.8477899999999998E-2</v>
      </c>
      <c r="X1786">
        <v>0.99783869999999997</v>
      </c>
      <c r="Y1786">
        <v>-3.3089449999999999E-2</v>
      </c>
      <c r="Z1786">
        <v>-2.2880489999999999E-3</v>
      </c>
      <c r="AA1786">
        <v>0.99944980000000005</v>
      </c>
      <c r="AB1786">
        <v>43</v>
      </c>
      <c r="AC1786">
        <v>-14.268000000000001</v>
      </c>
      <c r="AD1786">
        <v>-1.1057163945799999</v>
      </c>
      <c r="AE1786">
        <v>-0.29050000000000797</v>
      </c>
      <c r="AF1786">
        <v>-0.48657476848185499</v>
      </c>
      <c r="AG1786">
        <v>-1.1057163945799999</v>
      </c>
      <c r="AH1786">
        <v>14.177449892094</v>
      </c>
      <c r="AI1786">
        <v>94.456926054227793</v>
      </c>
      <c r="AJ1786">
        <v>91.965638576202906</v>
      </c>
      <c r="AK1786">
        <v>14.228824589311699</v>
      </c>
      <c r="AL1786">
        <v>91.058765940593702</v>
      </c>
      <c r="AM1786">
        <v>93.616057374399205</v>
      </c>
      <c r="AN1786">
        <v>0.99999999912020099</v>
      </c>
    </row>
    <row r="1787" spans="1:40" x14ac:dyDescent="0.25">
      <c r="A1787" t="str">
        <f>"20190312151533624"</f>
        <v>20190312151533624</v>
      </c>
      <c r="B1787" t="str">
        <f>"1552374933619097"</f>
        <v>1552374933619097</v>
      </c>
      <c r="C1787" t="s">
        <v>40</v>
      </c>
      <c r="D1787">
        <v>4.9611869999999998</v>
      </c>
      <c r="E1787">
        <v>0.51263449999999999</v>
      </c>
      <c r="F1787" t="s">
        <v>52</v>
      </c>
      <c r="G1787">
        <v>-291.09010000000001</v>
      </c>
      <c r="H1787" s="1">
        <v>2.6766540000000001E-6</v>
      </c>
      <c r="I1787">
        <v>281.44170000000003</v>
      </c>
      <c r="J1787">
        <v>-276.82709999999997</v>
      </c>
      <c r="K1787">
        <v>1.1056569999999999</v>
      </c>
      <c r="L1787">
        <v>281.69130000000001</v>
      </c>
      <c r="M1787">
        <v>-0.99984010000000001</v>
      </c>
      <c r="N1787">
        <v>0</v>
      </c>
      <c r="O1787">
        <v>1.6373260000000001E-2</v>
      </c>
      <c r="P1787">
        <v>-0.99859790000000004</v>
      </c>
      <c r="Q1787">
        <v>-2.629225E-2</v>
      </c>
      <c r="R1787">
        <v>-4.5947620000000002E-2</v>
      </c>
      <c r="S1787">
        <v>-2.9963380000000002</v>
      </c>
      <c r="T1787">
        <v>-0.22548029999999999</v>
      </c>
      <c r="U1787">
        <v>-4.9346920000000002E-2</v>
      </c>
      <c r="V1787">
        <v>-6.2413959999999997E-2</v>
      </c>
      <c r="W1787">
        <v>-1.869813E-2</v>
      </c>
      <c r="X1787">
        <v>0.99787519999999996</v>
      </c>
      <c r="Y1787">
        <v>-3.269739E-2</v>
      </c>
      <c r="Z1787">
        <v>-2.4587810000000002E-3</v>
      </c>
      <c r="AA1787">
        <v>0.99946219999999997</v>
      </c>
      <c r="AB1787">
        <v>43</v>
      </c>
      <c r="AC1787">
        <v>-14.263</v>
      </c>
      <c r="AD1787">
        <v>-1.1056543233459999</v>
      </c>
      <c r="AE1787">
        <v>-0.249599999999986</v>
      </c>
      <c r="AF1787">
        <v>-0.48021952871575302</v>
      </c>
      <c r="AG1787">
        <v>-1.1056543233459999</v>
      </c>
      <c r="AH1787">
        <v>14.1718654997124</v>
      </c>
      <c r="AI1787">
        <v>94.458491714207796</v>
      </c>
      <c r="AJ1787">
        <v>91.940748629984498</v>
      </c>
      <c r="AK1787">
        <v>14.223039549281699</v>
      </c>
      <c r="AL1787">
        <v>91.071386349714302</v>
      </c>
      <c r="AM1787">
        <v>93.579008775715806</v>
      </c>
      <c r="AN1787">
        <v>1.0000000186217</v>
      </c>
    </row>
    <row r="1788" spans="1:40" x14ac:dyDescent="0.25">
      <c r="A1788" t="str">
        <f>"20190312151533647"</f>
        <v>20190312151533647</v>
      </c>
      <c r="B1788" t="str">
        <f>"1552374933639594"</f>
        <v>1552374933639594</v>
      </c>
      <c r="C1788" t="s">
        <v>40</v>
      </c>
      <c r="D1788">
        <v>4.9804849999999998</v>
      </c>
      <c r="E1788">
        <v>0.51266299999999998</v>
      </c>
      <c r="F1788" t="s">
        <v>52</v>
      </c>
      <c r="G1788">
        <v>-291.5136</v>
      </c>
      <c r="H1788" s="1">
        <v>2.7468570000000002E-6</v>
      </c>
      <c r="I1788">
        <v>281.49790000000002</v>
      </c>
      <c r="J1788">
        <v>-277.25290000000001</v>
      </c>
      <c r="K1788">
        <v>1.105613</v>
      </c>
      <c r="L1788">
        <v>281.69990000000001</v>
      </c>
      <c r="M1788">
        <v>-0.99979759999999995</v>
      </c>
      <c r="N1788">
        <v>0</v>
      </c>
      <c r="O1788">
        <v>1.877852E-2</v>
      </c>
      <c r="P1788">
        <v>-0.99871019999999999</v>
      </c>
      <c r="Q1788">
        <v>-2.702624E-2</v>
      </c>
      <c r="R1788">
        <v>-4.298606E-2</v>
      </c>
      <c r="S1788">
        <v>-2.9964599999999999</v>
      </c>
      <c r="T1788">
        <v>-0.2255858</v>
      </c>
      <c r="U1788">
        <v>-3.9459229999999998E-2</v>
      </c>
      <c r="V1788">
        <v>-6.1861640000000002E-2</v>
      </c>
      <c r="W1788">
        <v>-1.9406320000000001E-2</v>
      </c>
      <c r="X1788">
        <v>0.99789609999999995</v>
      </c>
      <c r="Y1788">
        <v>-3.1799420000000002E-2</v>
      </c>
      <c r="Z1788">
        <v>-2.6069370000000001E-3</v>
      </c>
      <c r="AA1788">
        <v>0.99949089999999996</v>
      </c>
      <c r="AB1788">
        <v>43</v>
      </c>
      <c r="AC1788">
        <v>-14.2606999999999</v>
      </c>
      <c r="AD1788">
        <v>-1.1056102531430001</v>
      </c>
      <c r="AE1788">
        <v>-0.20199999999999799</v>
      </c>
      <c r="AF1788">
        <v>-0.46696002248450702</v>
      </c>
      <c r="AG1788">
        <v>-1.1056102531430001</v>
      </c>
      <c r="AH1788">
        <v>14.169242425737201</v>
      </c>
      <c r="AI1788">
        <v>94.459274548459305</v>
      </c>
      <c r="AJ1788">
        <v>91.8875503666127</v>
      </c>
      <c r="AK1788">
        <v>14.2199808935795</v>
      </c>
      <c r="AL1788">
        <v>91.111969982600698</v>
      </c>
      <c r="AM1788">
        <v>93.547344174424495</v>
      </c>
      <c r="AN1788">
        <v>1.0000000470773101</v>
      </c>
    </row>
    <row r="1789" spans="1:40" x14ac:dyDescent="0.25">
      <c r="A1789" t="str">
        <f>"20190312151533668"</f>
        <v>20190312151533668</v>
      </c>
      <c r="B1789" t="str">
        <f>"1552374933659113"</f>
        <v>1552374933659113</v>
      </c>
      <c r="C1789" t="s">
        <v>40</v>
      </c>
      <c r="D1789">
        <v>4.9669980000000002</v>
      </c>
      <c r="E1789">
        <v>0.51278729999999995</v>
      </c>
      <c r="F1789" t="s">
        <v>52</v>
      </c>
      <c r="G1789">
        <v>-291.85359999999997</v>
      </c>
      <c r="H1789" s="1">
        <v>2.8024929999999999E-6</v>
      </c>
      <c r="I1789">
        <v>281.55149999999998</v>
      </c>
      <c r="J1789">
        <v>-277.67669999999998</v>
      </c>
      <c r="K1789">
        <v>1.105572</v>
      </c>
      <c r="L1789">
        <v>281.70940000000002</v>
      </c>
      <c r="M1789">
        <v>-0.99974949999999996</v>
      </c>
      <c r="N1789">
        <v>0</v>
      </c>
      <c r="O1789">
        <v>2.1176980000000001E-2</v>
      </c>
      <c r="P1789">
        <v>-0.99880869999999999</v>
      </c>
      <c r="Q1789">
        <v>-2.7036879999999999E-2</v>
      </c>
      <c r="R1789">
        <v>-4.0624239999999999E-2</v>
      </c>
      <c r="S1789">
        <v>-2.996429</v>
      </c>
      <c r="T1789">
        <v>-0.22689799999999999</v>
      </c>
      <c r="U1789">
        <v>-3.0456540000000001E-2</v>
      </c>
      <c r="V1789">
        <v>-6.1897830000000001E-2</v>
      </c>
      <c r="W1789">
        <v>-1.9388599999999999E-2</v>
      </c>
      <c r="X1789">
        <v>0.99789419999999995</v>
      </c>
      <c r="Y1789">
        <v>-3.1188009999999999E-2</v>
      </c>
      <c r="Z1789">
        <v>-2.7803440000000001E-3</v>
      </c>
      <c r="AA1789">
        <v>0.99950969999999995</v>
      </c>
      <c r="AB1789">
        <v>43</v>
      </c>
      <c r="AC1789">
        <v>-14.1768999999999</v>
      </c>
      <c r="AD1789">
        <v>-1.1055691975069999</v>
      </c>
      <c r="AE1789">
        <v>-0.15790000000004001</v>
      </c>
      <c r="AF1789">
        <v>-0.45532766994455498</v>
      </c>
      <c r="AG1789">
        <v>-1.1055691975069999</v>
      </c>
      <c r="AH1789">
        <v>14.084731233789499</v>
      </c>
      <c r="AI1789">
        <v>94.485847799428498</v>
      </c>
      <c r="AJ1789">
        <v>91.851598789944404</v>
      </c>
      <c r="AK1789">
        <v>14.135390354198901</v>
      </c>
      <c r="AL1789">
        <v>91.110954510705099</v>
      </c>
      <c r="AM1789">
        <v>93.549420861740103</v>
      </c>
      <c r="AN1789">
        <v>1.0000000467811501</v>
      </c>
    </row>
    <row r="1790" spans="1:40" x14ac:dyDescent="0.25">
      <c r="A1790" t="str">
        <f>"20190312151533692"</f>
        <v>20190312151533692</v>
      </c>
      <c r="B1790" t="str">
        <f>"1552374933689370"</f>
        <v>1552374933689370</v>
      </c>
      <c r="C1790" t="s">
        <v>40</v>
      </c>
      <c r="D1790">
        <v>4.995825</v>
      </c>
      <c r="E1790">
        <v>0.5129688</v>
      </c>
      <c r="F1790" t="s">
        <v>52</v>
      </c>
      <c r="G1790">
        <v>-292.42340000000002</v>
      </c>
      <c r="H1790" s="1">
        <v>2.8992769999999999E-6</v>
      </c>
      <c r="I1790">
        <v>281.60050000000001</v>
      </c>
      <c r="J1790">
        <v>-278.13249999999999</v>
      </c>
      <c r="K1790">
        <v>1.105532</v>
      </c>
      <c r="L1790">
        <v>281.72059999999999</v>
      </c>
      <c r="M1790">
        <v>-0.99969129999999995</v>
      </c>
      <c r="N1790">
        <v>0</v>
      </c>
      <c r="O1790">
        <v>2.3758049999999999E-2</v>
      </c>
      <c r="P1790">
        <v>-0.99890230000000002</v>
      </c>
      <c r="Q1790">
        <v>-2.6689060000000001E-2</v>
      </c>
      <c r="R1790">
        <v>-3.8496540000000003E-2</v>
      </c>
      <c r="S1790">
        <v>-2.996613</v>
      </c>
      <c r="T1790">
        <v>-0.22465789999999999</v>
      </c>
      <c r="U1790">
        <v>-2.2125240000000001E-2</v>
      </c>
      <c r="V1790">
        <v>-6.234841E-2</v>
      </c>
      <c r="W1790">
        <v>-1.9008239999999999E-2</v>
      </c>
      <c r="X1790">
        <v>0.99787340000000002</v>
      </c>
      <c r="Y1790">
        <v>-3.0985539999999999E-2</v>
      </c>
      <c r="Z1790">
        <v>-2.938455E-3</v>
      </c>
      <c r="AA1790">
        <v>0.9995155</v>
      </c>
      <c r="AB1790">
        <v>43</v>
      </c>
      <c r="AC1790">
        <v>-14.290900000000001</v>
      </c>
      <c r="AD1790">
        <v>-1.1055291007229999</v>
      </c>
      <c r="AE1790">
        <v>-0.120099999999979</v>
      </c>
      <c r="AF1790">
        <v>-0.45686511500129301</v>
      </c>
      <c r="AG1790">
        <v>-1.1055291007229999</v>
      </c>
      <c r="AH1790">
        <v>14.199045704826201</v>
      </c>
      <c r="AI1790">
        <v>94.449739483383993</v>
      </c>
      <c r="AJ1790">
        <v>91.842899567647294</v>
      </c>
      <c r="AK1790">
        <v>14.2493445201382</v>
      </c>
      <c r="AL1790">
        <v>91.089157544386893</v>
      </c>
      <c r="AM1790">
        <v>93.575266124067298</v>
      </c>
      <c r="AN1790">
        <v>0.99999997992249201</v>
      </c>
    </row>
    <row r="1791" spans="1:40" x14ac:dyDescent="0.25">
      <c r="A1791" t="str">
        <f>"20190312151533715"</f>
        <v>20190312151533715</v>
      </c>
      <c r="B1791" t="str">
        <f>"1552374933709866"</f>
        <v>1552374933709866</v>
      </c>
      <c r="C1791" t="s">
        <v>40</v>
      </c>
      <c r="D1791">
        <v>4.9808669999999999</v>
      </c>
      <c r="E1791">
        <v>0.51307429999999998</v>
      </c>
      <c r="F1791" t="s">
        <v>52</v>
      </c>
      <c r="G1791">
        <v>-293.04629999999997</v>
      </c>
      <c r="H1791" s="1">
        <v>3.0053989999999998E-6</v>
      </c>
      <c r="I1791">
        <v>281.65050000000002</v>
      </c>
      <c r="J1791">
        <v>-278.57850000000002</v>
      </c>
      <c r="K1791">
        <v>1.1054949999999999</v>
      </c>
      <c r="L1791">
        <v>281.73289999999997</v>
      </c>
      <c r="M1791">
        <v>-0.99962799999999996</v>
      </c>
      <c r="N1791">
        <v>0</v>
      </c>
      <c r="O1791">
        <v>2.6284709999999999E-2</v>
      </c>
      <c r="P1791">
        <v>-0.99895800000000001</v>
      </c>
      <c r="Q1791">
        <v>-2.712171E-2</v>
      </c>
      <c r="R1791">
        <v>-3.6707160000000003E-2</v>
      </c>
      <c r="S1791">
        <v>-2.996826</v>
      </c>
      <c r="T1791">
        <v>-0.22214790000000001</v>
      </c>
      <c r="U1791">
        <v>-1.409912E-2</v>
      </c>
      <c r="V1791">
        <v>-6.3087340000000006E-2</v>
      </c>
      <c r="W1791">
        <v>-1.9407939999999999E-2</v>
      </c>
      <c r="X1791">
        <v>0.99781929999999996</v>
      </c>
      <c r="Y1791">
        <v>-3.0831419999999998E-2</v>
      </c>
      <c r="Z1791">
        <v>-3.0868190000000002E-3</v>
      </c>
      <c r="AA1791">
        <v>0.99951979999999996</v>
      </c>
      <c r="AB1791">
        <v>44</v>
      </c>
      <c r="AC1791">
        <v>-14.467799999999899</v>
      </c>
      <c r="AD1791">
        <v>-1.105491994601</v>
      </c>
      <c r="AE1791">
        <v>-8.2399999999949999E-2</v>
      </c>
      <c r="AF1791">
        <v>-0.45997800471546402</v>
      </c>
      <c r="AG1791">
        <v>-1.105491994601</v>
      </c>
      <c r="AH1791">
        <v>14.376698569995501</v>
      </c>
      <c r="AI1791">
        <v>94.394849295652307</v>
      </c>
      <c r="AJ1791">
        <v>91.832535539678503</v>
      </c>
      <c r="AK1791">
        <v>14.4264740698294</v>
      </c>
      <c r="AL1791">
        <v>91.112062851552494</v>
      </c>
      <c r="AM1791">
        <v>93.617722590828507</v>
      </c>
      <c r="AN1791">
        <v>1.0000000180279001</v>
      </c>
    </row>
    <row r="1792" spans="1:40" x14ac:dyDescent="0.25">
      <c r="A1792" t="str">
        <f>"20190312151533738"</f>
        <v>20190312151533738</v>
      </c>
      <c r="B1792" t="str">
        <f>"1552374933729387"</f>
        <v>1552374933729387</v>
      </c>
      <c r="C1792" t="s">
        <v>40</v>
      </c>
      <c r="D1792">
        <v>5.0047430000000004</v>
      </c>
      <c r="E1792">
        <v>0.51320270000000001</v>
      </c>
      <c r="F1792" t="s">
        <v>41</v>
      </c>
      <c r="G1792">
        <v>-279.66120000000001</v>
      </c>
      <c r="H1792">
        <v>1.024724</v>
      </c>
      <c r="I1792">
        <v>281.73020000000002</v>
      </c>
      <c r="J1792">
        <v>-279.02870000000001</v>
      </c>
      <c r="K1792">
        <v>1.1054569999999999</v>
      </c>
      <c r="L1792">
        <v>281.74650000000003</v>
      </c>
      <c r="M1792">
        <v>-0.99955740000000004</v>
      </c>
      <c r="N1792">
        <v>0</v>
      </c>
      <c r="O1792">
        <v>2.8835079999999999E-2</v>
      </c>
      <c r="P1792">
        <v>-0.99900469999999997</v>
      </c>
      <c r="Q1792">
        <v>-2.747287E-2</v>
      </c>
      <c r="R1792">
        <v>-3.5144340000000003E-2</v>
      </c>
      <c r="S1792">
        <v>-2.9967350000000001</v>
      </c>
      <c r="T1792">
        <v>-0.22363720000000001</v>
      </c>
      <c r="U1792">
        <v>-7.9345700000000002E-3</v>
      </c>
      <c r="V1792">
        <v>-6.407467E-2</v>
      </c>
      <c r="W1792">
        <v>-1.9724760000000001E-2</v>
      </c>
      <c r="X1792">
        <v>0.99775020000000003</v>
      </c>
      <c r="Y1792">
        <v>-3.1315139999999998E-2</v>
      </c>
      <c r="Z1792">
        <v>-3.3155900000000002E-3</v>
      </c>
      <c r="AA1792">
        <v>0.99950410000000001</v>
      </c>
      <c r="AB1792">
        <v>44</v>
      </c>
      <c r="AC1792">
        <v>-0.63249999999999296</v>
      </c>
      <c r="AD1792">
        <v>-8.0732999999999902E-2</v>
      </c>
      <c r="AE1792">
        <v>-1.6300000000001001E-2</v>
      </c>
      <c r="AF1792">
        <v>-3.39786764390725E-2</v>
      </c>
      <c r="AG1792">
        <v>-8.0732999999999902E-2</v>
      </c>
      <c r="AH1792">
        <v>0.62164567090335399</v>
      </c>
      <c r="AI1792">
        <v>97.388669225544604</v>
      </c>
      <c r="AJ1792">
        <v>93.128630189124195</v>
      </c>
      <c r="AK1792">
        <v>0.62778635529488303</v>
      </c>
      <c r="AL1792">
        <v>91.130218744818904</v>
      </c>
      <c r="AM1792">
        <v>93.674440563572205</v>
      </c>
      <c r="AN1792">
        <v>1.00000004554635</v>
      </c>
    </row>
    <row r="1793" spans="1:40" x14ac:dyDescent="0.25">
      <c r="A1793" t="str">
        <f>"20190312151533758"</f>
        <v>20190312151533758</v>
      </c>
      <c r="B1793" t="str">
        <f>"1552374933748907"</f>
        <v>1552374933748907</v>
      </c>
      <c r="C1793" t="s">
        <v>40</v>
      </c>
      <c r="D1793">
        <v>4.9992400000000004</v>
      </c>
      <c r="E1793">
        <v>0.513181</v>
      </c>
      <c r="F1793" t="s">
        <v>52</v>
      </c>
      <c r="G1793">
        <v>-293.81139999999999</v>
      </c>
      <c r="H1793" s="1">
        <v>3.1337090000000002E-6</v>
      </c>
      <c r="I1793">
        <v>281.73520000000002</v>
      </c>
      <c r="J1793">
        <v>-279.43130000000002</v>
      </c>
      <c r="K1793">
        <v>1.1054299999999999</v>
      </c>
      <c r="L1793">
        <v>281.75959999999998</v>
      </c>
      <c r="M1793">
        <v>-0.99948879999999996</v>
      </c>
      <c r="N1793">
        <v>0</v>
      </c>
      <c r="O1793">
        <v>3.1116339999999999E-2</v>
      </c>
      <c r="P1793">
        <v>-0.99905149999999998</v>
      </c>
      <c r="Q1793">
        <v>-2.7375440000000001E-2</v>
      </c>
      <c r="R1793">
        <v>-3.3860849999999998E-2</v>
      </c>
      <c r="S1793">
        <v>-2.9967350000000001</v>
      </c>
      <c r="T1793">
        <v>-0.22409689999999999</v>
      </c>
      <c r="U1793">
        <v>-2.2888180000000002E-3</v>
      </c>
      <c r="V1793">
        <v>-6.507011E-2</v>
      </c>
      <c r="W1793">
        <v>-1.9595499999999998E-2</v>
      </c>
      <c r="X1793">
        <v>0.99768829999999997</v>
      </c>
      <c r="Y1793">
        <v>-3.1705179999999999E-2</v>
      </c>
      <c r="Z1793">
        <v>-3.5072440000000001E-3</v>
      </c>
      <c r="AA1793">
        <v>0.99949109999999997</v>
      </c>
      <c r="AB1793">
        <v>44</v>
      </c>
      <c r="AC1793">
        <v>-14.380099999999899</v>
      </c>
      <c r="AD1793">
        <v>-1.1054268662909901</v>
      </c>
      <c r="AE1793">
        <v>-2.43999999999573E-2</v>
      </c>
      <c r="AF1793">
        <v>-0.46908437364098299</v>
      </c>
      <c r="AG1793">
        <v>-1.1054268662909901</v>
      </c>
      <c r="AH1793">
        <v>14.2879455331746</v>
      </c>
      <c r="AI1793">
        <v>94.421662307013193</v>
      </c>
      <c r="AJ1793">
        <v>91.880389635796405</v>
      </c>
      <c r="AK1793">
        <v>14.338319157602699</v>
      </c>
      <c r="AL1793">
        <v>91.122811285853601</v>
      </c>
      <c r="AM1793">
        <v>93.731596103447899</v>
      </c>
      <c r="AN1793">
        <v>1.00000002339627</v>
      </c>
    </row>
    <row r="1794" spans="1:40" x14ac:dyDescent="0.25">
      <c r="A1794" t="str">
        <f>"20190312151533781"</f>
        <v>20190312151533781</v>
      </c>
      <c r="B1794" t="str">
        <f>"1552374933768942"</f>
        <v>1552374933768942</v>
      </c>
      <c r="C1794" t="s">
        <v>40</v>
      </c>
      <c r="D1794">
        <v>8.021604</v>
      </c>
      <c r="E1794">
        <v>0.51316839999999997</v>
      </c>
      <c r="F1794" t="s">
        <v>52</v>
      </c>
      <c r="G1794">
        <v>-294.26600000000002</v>
      </c>
      <c r="H1794" s="1">
        <v>3.2115399999999999E-6</v>
      </c>
      <c r="I1794">
        <v>281.76729999999998</v>
      </c>
      <c r="J1794">
        <v>-279.8802</v>
      </c>
      <c r="K1794">
        <v>1.1054090000000001</v>
      </c>
      <c r="L1794">
        <v>281.77519999999998</v>
      </c>
      <c r="M1794">
        <v>-0.99940620000000002</v>
      </c>
      <c r="N1794">
        <v>0</v>
      </c>
      <c r="O1794">
        <v>3.3660089999999997E-2</v>
      </c>
      <c r="P1794">
        <v>-0.99911240000000001</v>
      </c>
      <c r="Q1794">
        <v>-2.7509809999999999E-2</v>
      </c>
      <c r="R1794">
        <v>-3.1896550000000003E-2</v>
      </c>
      <c r="S1794">
        <v>-2.996826</v>
      </c>
      <c r="T1794">
        <v>-0.22331210000000001</v>
      </c>
      <c r="U1794">
        <v>1.556396E-3</v>
      </c>
      <c r="V1794">
        <v>-6.5649890000000002E-2</v>
      </c>
      <c r="W1794">
        <v>-1.9694119999999999E-2</v>
      </c>
      <c r="X1794">
        <v>0.99764839999999999</v>
      </c>
      <c r="Y1794">
        <v>-3.2957269999999997E-2</v>
      </c>
      <c r="Z1794">
        <v>-3.7306829999999998E-3</v>
      </c>
      <c r="AA1794">
        <v>0.99944980000000005</v>
      </c>
      <c r="AB1794">
        <v>44</v>
      </c>
      <c r="AC1794">
        <v>-14.3857999999999</v>
      </c>
      <c r="AD1794">
        <v>-1.1054057884599999</v>
      </c>
      <c r="AE1794">
        <v>-7.9000000000064505E-3</v>
      </c>
      <c r="AF1794">
        <v>-0.48924727156013098</v>
      </c>
      <c r="AG1794">
        <v>-1.1054057884599999</v>
      </c>
      <c r="AH1794">
        <v>14.2929903177175</v>
      </c>
      <c r="AI1794">
        <v>94.419817603070697</v>
      </c>
      <c r="AJ1794">
        <v>91.9604619274334</v>
      </c>
      <c r="AK1794">
        <v>14.3440181634107</v>
      </c>
      <c r="AL1794">
        <v>91.128462858115697</v>
      </c>
      <c r="AM1794">
        <v>93.764899867248005</v>
      </c>
      <c r="AN1794">
        <v>1.00000004822107</v>
      </c>
    </row>
    <row r="1795" spans="1:40" x14ac:dyDescent="0.25">
      <c r="A1795" t="str">
        <f>"20190312151533804"</f>
        <v>20190312151533804</v>
      </c>
      <c r="B1795" t="str">
        <f>"1552374933799188"</f>
        <v>1552374933799188</v>
      </c>
      <c r="C1795" t="s">
        <v>40</v>
      </c>
      <c r="D1795">
        <v>4.9807560000000004</v>
      </c>
      <c r="E1795">
        <v>0.51320739999999998</v>
      </c>
      <c r="F1795" t="s">
        <v>52</v>
      </c>
      <c r="G1795">
        <v>-294.6549</v>
      </c>
      <c r="H1795" s="1">
        <v>3.276688E-6</v>
      </c>
      <c r="I1795">
        <v>281.81119999999999</v>
      </c>
      <c r="J1795">
        <v>-280.32420000000002</v>
      </c>
      <c r="K1795">
        <v>1.105389</v>
      </c>
      <c r="L1795">
        <v>281.79180000000002</v>
      </c>
      <c r="M1795">
        <v>-0.99931809999999999</v>
      </c>
      <c r="N1795">
        <v>0</v>
      </c>
      <c r="O1795">
        <v>3.6174989999999997E-2</v>
      </c>
      <c r="P1795">
        <v>-0.99917350000000005</v>
      </c>
      <c r="Q1795">
        <v>-2.7714389999999998E-2</v>
      </c>
      <c r="R1795">
        <v>-2.9742680000000001E-2</v>
      </c>
      <c r="S1795">
        <v>-2.9967350000000001</v>
      </c>
      <c r="T1795">
        <v>-0.22420850000000001</v>
      </c>
      <c r="U1795">
        <v>7.2937009999999997E-3</v>
      </c>
      <c r="V1795">
        <v>-6.6011680000000003E-2</v>
      </c>
      <c r="W1795">
        <v>-1.985932E-2</v>
      </c>
      <c r="X1795">
        <v>0.99762119999999999</v>
      </c>
      <c r="Y1795">
        <v>-3.3548750000000002E-2</v>
      </c>
      <c r="Z1795">
        <v>-3.9556110000000004E-3</v>
      </c>
      <c r="AA1795">
        <v>0.99942920000000002</v>
      </c>
      <c r="AB1795">
        <v>44</v>
      </c>
      <c r="AC1795">
        <v>-14.330699999999901</v>
      </c>
      <c r="AD1795">
        <v>-1.1053857233119999</v>
      </c>
      <c r="AE1795">
        <v>1.9399999999961798E-2</v>
      </c>
      <c r="AF1795">
        <v>-0.49608825216945202</v>
      </c>
      <c r="AG1795">
        <v>-1.1053857233119999</v>
      </c>
      <c r="AH1795">
        <v>14.23731427043</v>
      </c>
      <c r="AI1795">
        <v>94.436858860103001</v>
      </c>
      <c r="AJ1795">
        <v>91.995619936343701</v>
      </c>
      <c r="AK1795">
        <v>14.2887752724378</v>
      </c>
      <c r="AL1795">
        <v>91.137930030771003</v>
      </c>
      <c r="AM1795">
        <v>93.785690603974899</v>
      </c>
      <c r="AN1795">
        <v>0.99999999658836203</v>
      </c>
    </row>
    <row r="1796" spans="1:40" x14ac:dyDescent="0.25">
      <c r="A1796" t="str">
        <f>"20190312151533815"</f>
        <v>20190312151533815</v>
      </c>
      <c r="B1796" t="str">
        <f>"1552374933809924"</f>
        <v>1552374933809924</v>
      </c>
      <c r="C1796" t="s">
        <v>40</v>
      </c>
      <c r="D1796">
        <v>5.0348160000000002</v>
      </c>
      <c r="E1796">
        <v>0.51318850000000005</v>
      </c>
      <c r="F1796" t="s">
        <v>52</v>
      </c>
      <c r="G1796">
        <v>-295.04020000000003</v>
      </c>
      <c r="H1796" s="1">
        <v>3.340684E-6</v>
      </c>
      <c r="I1796">
        <v>281.86090000000002</v>
      </c>
      <c r="J1796">
        <v>-280.56889999999999</v>
      </c>
      <c r="K1796">
        <v>1.1053789999999999</v>
      </c>
      <c r="L1796">
        <v>281.8014</v>
      </c>
      <c r="M1796">
        <v>-0.99926669999999995</v>
      </c>
      <c r="N1796">
        <v>0</v>
      </c>
      <c r="O1796">
        <v>3.7561509999999999E-2</v>
      </c>
      <c r="P1796">
        <v>-0.99920010000000004</v>
      </c>
      <c r="Q1796">
        <v>-2.8009409999999998E-2</v>
      </c>
      <c r="R1796">
        <v>-2.854013E-2</v>
      </c>
      <c r="S1796">
        <v>-2.9966430000000002</v>
      </c>
      <c r="T1796">
        <v>-0.22509109999999999</v>
      </c>
      <c r="U1796">
        <v>1.4068600000000001E-2</v>
      </c>
      <c r="V1796">
        <v>-6.6196840000000007E-2</v>
      </c>
      <c r="W1796">
        <v>-2.0131349999999999E-2</v>
      </c>
      <c r="X1796">
        <v>0.99760349999999998</v>
      </c>
      <c r="Y1796">
        <v>-3.2672890000000003E-2</v>
      </c>
      <c r="Z1796">
        <v>-4.042314E-3</v>
      </c>
      <c r="AA1796">
        <v>0.99945790000000001</v>
      </c>
      <c r="AB1796">
        <v>44</v>
      </c>
      <c r="AC1796">
        <v>-14.471299999999999</v>
      </c>
      <c r="AD1796">
        <v>-1.105375659316</v>
      </c>
      <c r="AE1796">
        <v>5.9500000000014097E-2</v>
      </c>
      <c r="AF1796">
        <v>-0.48131269351295097</v>
      </c>
      <c r="AG1796">
        <v>-1.105375659316</v>
      </c>
      <c r="AH1796">
        <v>14.3794267133744</v>
      </c>
      <c r="AI1796">
        <v>94.393346714150596</v>
      </c>
      <c r="AJ1796">
        <v>91.917106593350894</v>
      </c>
      <c r="AK1796">
        <v>14.429879759112699</v>
      </c>
      <c r="AL1796">
        <v>91.153519293733495</v>
      </c>
      <c r="AM1796">
        <v>93.796345458921706</v>
      </c>
      <c r="AN1796">
        <v>1.00000001804552</v>
      </c>
    </row>
    <row r="1797" spans="1:40" x14ac:dyDescent="0.25">
      <c r="A1797" t="str">
        <f>"20190312151533837"</f>
        <v>20190312151533837</v>
      </c>
      <c r="B1797" t="str">
        <f>"1552374933829447"</f>
        <v>1552374933829447</v>
      </c>
      <c r="C1797" t="s">
        <v>40</v>
      </c>
      <c r="D1797">
        <v>5.0226470000000001</v>
      </c>
      <c r="E1797">
        <v>0.51307809999999998</v>
      </c>
      <c r="F1797" t="s">
        <v>52</v>
      </c>
      <c r="G1797">
        <v>-295.19630000000001</v>
      </c>
      <c r="H1797" s="1">
        <v>3.3661100000000001E-6</v>
      </c>
      <c r="I1797">
        <v>281.88690000000003</v>
      </c>
      <c r="J1797">
        <v>-280.98880000000003</v>
      </c>
      <c r="K1797">
        <v>1.105362</v>
      </c>
      <c r="L1797">
        <v>281.81869999999998</v>
      </c>
      <c r="M1797">
        <v>-0.99917429999999996</v>
      </c>
      <c r="N1797">
        <v>0</v>
      </c>
      <c r="O1797">
        <v>3.9939130000000003E-2</v>
      </c>
      <c r="P1797">
        <v>-0.99926250000000005</v>
      </c>
      <c r="Q1797">
        <v>-2.8182180000000001E-2</v>
      </c>
      <c r="R1797">
        <v>-2.6082299999999999E-2</v>
      </c>
      <c r="S1797">
        <v>-2.9965820000000001</v>
      </c>
      <c r="T1797">
        <v>-0.22644810000000001</v>
      </c>
      <c r="U1797">
        <v>1.7517089999999999E-2</v>
      </c>
      <c r="V1797">
        <v>-6.6118659999999996E-2</v>
      </c>
      <c r="W1797">
        <v>-2.0266019999999999E-2</v>
      </c>
      <c r="X1797">
        <v>0.99760590000000005</v>
      </c>
      <c r="Y1797">
        <v>-3.3888189999999999E-2</v>
      </c>
      <c r="Z1797">
        <v>-4.2918339999999996E-3</v>
      </c>
      <c r="AA1797">
        <v>0.99941639999999998</v>
      </c>
      <c r="AB1797">
        <v>44</v>
      </c>
      <c r="AC1797">
        <v>-14.2074999999999</v>
      </c>
      <c r="AD1797">
        <v>-1.1053586338899899</v>
      </c>
      <c r="AE1797">
        <v>6.8200000000047098E-2</v>
      </c>
      <c r="AF1797">
        <v>-0.49630133352870998</v>
      </c>
      <c r="AG1797">
        <v>-1.1053586338899899</v>
      </c>
      <c r="AH1797">
        <v>14.1134604489484</v>
      </c>
      <c r="AI1797">
        <v>94.475478122455996</v>
      </c>
      <c r="AJ1797">
        <v>92.013982283592696</v>
      </c>
      <c r="AK1797">
        <v>14.1653767534509</v>
      </c>
      <c r="AL1797">
        <v>91.161236957860993</v>
      </c>
      <c r="AM1797">
        <v>93.791865879272507</v>
      </c>
      <c r="AN1797">
        <v>0.99999996024082205</v>
      </c>
    </row>
    <row r="1798" spans="1:40" x14ac:dyDescent="0.25">
      <c r="A1798" t="str">
        <f>"20190312151533848"</f>
        <v>20190312151533848</v>
      </c>
      <c r="B1798" t="str">
        <f>"1552374933839204"</f>
        <v>1552374933839204</v>
      </c>
      <c r="C1798" t="s">
        <v>40</v>
      </c>
      <c r="D1798">
        <v>5.0410500000000003</v>
      </c>
      <c r="E1798">
        <v>0.51304640000000001</v>
      </c>
      <c r="F1798" t="s">
        <v>52</v>
      </c>
      <c r="G1798">
        <v>-295.51280000000003</v>
      </c>
      <c r="H1798" s="1">
        <v>3.4179450000000001E-6</v>
      </c>
      <c r="I1798">
        <v>281.93599999999998</v>
      </c>
      <c r="J1798">
        <v>-281.22230000000002</v>
      </c>
      <c r="K1798">
        <v>1.105353</v>
      </c>
      <c r="L1798">
        <v>281.82870000000003</v>
      </c>
      <c r="M1798">
        <v>-0.99912040000000002</v>
      </c>
      <c r="N1798">
        <v>0</v>
      </c>
      <c r="O1798">
        <v>4.1261699999999998E-2</v>
      </c>
      <c r="P1798">
        <v>-0.99928779999999995</v>
      </c>
      <c r="Q1798">
        <v>-2.8411780000000001E-2</v>
      </c>
      <c r="R1798">
        <v>-2.4834419999999999E-2</v>
      </c>
      <c r="S1798">
        <v>-2.996429</v>
      </c>
      <c r="T1798">
        <v>-0.22804559999999999</v>
      </c>
      <c r="U1798">
        <v>2.420044E-2</v>
      </c>
      <c r="V1798">
        <v>-6.6194959999999997E-2</v>
      </c>
      <c r="W1798">
        <v>-2.0473760000000001E-2</v>
      </c>
      <c r="X1798">
        <v>0.99759659999999994</v>
      </c>
      <c r="Y1798">
        <v>-3.2977609999999997E-2</v>
      </c>
      <c r="Z1798">
        <v>-4.3880189999999999E-3</v>
      </c>
      <c r="AA1798">
        <v>0.99944650000000002</v>
      </c>
      <c r="AB1798">
        <v>44</v>
      </c>
      <c r="AC1798">
        <v>-14.2905</v>
      </c>
      <c r="AD1798">
        <v>-1.1053495820549999</v>
      </c>
      <c r="AE1798">
        <v>0.107299999999952</v>
      </c>
      <c r="AF1798">
        <v>-0.47958906593634398</v>
      </c>
      <c r="AG1798">
        <v>-1.1053495820549999</v>
      </c>
      <c r="AH1798">
        <v>14.197818738580001</v>
      </c>
      <c r="AI1798">
        <v>94.449168714848099</v>
      </c>
      <c r="AJ1798">
        <v>91.934662347713896</v>
      </c>
      <c r="AK1798">
        <v>14.2488547014941</v>
      </c>
      <c r="AL1798">
        <v>91.173142051742303</v>
      </c>
      <c r="AM1798">
        <v>93.796264137790601</v>
      </c>
      <c r="AN1798">
        <v>0.99999996195474805</v>
      </c>
    </row>
    <row r="1799" spans="1:40" x14ac:dyDescent="0.25">
      <c r="A1799" t="str">
        <f>"20190312151533870"</f>
        <v>20190312151533870</v>
      </c>
      <c r="B1799" t="str">
        <f>"1552374933859700"</f>
        <v>1552374933859700</v>
      </c>
      <c r="C1799" t="s">
        <v>40</v>
      </c>
      <c r="D1799">
        <v>5.0087289999999998</v>
      </c>
      <c r="E1799">
        <v>0.51298699999999997</v>
      </c>
      <c r="F1799" t="s">
        <v>52</v>
      </c>
      <c r="G1799">
        <v>-295.70060000000001</v>
      </c>
      <c r="H1799" s="1">
        <v>3.4489199999999998E-6</v>
      </c>
      <c r="I1799">
        <v>281.96269999999998</v>
      </c>
      <c r="J1799">
        <v>-281.64339999999999</v>
      </c>
      <c r="K1799">
        <v>1.1053360000000001</v>
      </c>
      <c r="L1799">
        <v>281.84750000000003</v>
      </c>
      <c r="M1799">
        <v>-0.99901879999999998</v>
      </c>
      <c r="N1799">
        <v>0</v>
      </c>
      <c r="O1799">
        <v>4.3645820000000002E-2</v>
      </c>
      <c r="P1799">
        <v>-0.99934389999999995</v>
      </c>
      <c r="Q1799">
        <v>-2.8535830000000002E-2</v>
      </c>
      <c r="R1799">
        <v>-2.2309309999999999E-2</v>
      </c>
      <c r="S1799">
        <v>-2.9963069999999998</v>
      </c>
      <c r="T1799">
        <v>-0.22875480000000001</v>
      </c>
      <c r="U1799">
        <v>2.7740480000000001E-2</v>
      </c>
      <c r="V1799">
        <v>-6.6056420000000005E-2</v>
      </c>
      <c r="W1799">
        <v>-2.0560769999999999E-2</v>
      </c>
      <c r="X1799">
        <v>0.99760400000000005</v>
      </c>
      <c r="Y1799">
        <v>-3.4169819999999997E-2</v>
      </c>
      <c r="Z1799">
        <v>-4.6288179999999998E-3</v>
      </c>
      <c r="AA1799">
        <v>0.99940530000000005</v>
      </c>
      <c r="AB1799">
        <v>44</v>
      </c>
      <c r="AC1799">
        <v>-14.0572</v>
      </c>
      <c r="AD1799">
        <v>-1.1053325510800001</v>
      </c>
      <c r="AE1799">
        <v>0.115199999999958</v>
      </c>
      <c r="AF1799">
        <v>-0.49540234232441099</v>
      </c>
      <c r="AG1799">
        <v>-1.1053325510800001</v>
      </c>
      <c r="AH1799">
        <v>13.962509597965701</v>
      </c>
      <c r="AI1799">
        <v>94.523506965549203</v>
      </c>
      <c r="AJ1799">
        <v>92.032053131718996</v>
      </c>
      <c r="AK1799">
        <v>14.0149512236947</v>
      </c>
      <c r="AL1799">
        <v>91.178128399806297</v>
      </c>
      <c r="AM1799">
        <v>93.788314044932093</v>
      </c>
      <c r="AN1799">
        <v>0.99999996835110405</v>
      </c>
    </row>
    <row r="1800" spans="1:40" x14ac:dyDescent="0.25">
      <c r="A1800" t="str">
        <f>"20190312151533883"</f>
        <v>20190312151533883</v>
      </c>
      <c r="B1800" t="str">
        <f>"1552374933879220"</f>
        <v>1552374933879220</v>
      </c>
      <c r="C1800" t="s">
        <v>40</v>
      </c>
      <c r="D1800">
        <v>5.0026929999999998</v>
      </c>
      <c r="E1800">
        <v>0.51292729999999997</v>
      </c>
      <c r="F1800" t="s">
        <v>52</v>
      </c>
      <c r="G1800">
        <v>-296.06139999999999</v>
      </c>
      <c r="H1800" s="1">
        <v>3.5083610000000001E-6</v>
      </c>
      <c r="I1800">
        <v>282.01499999999999</v>
      </c>
      <c r="J1800">
        <v>-281.88650000000001</v>
      </c>
      <c r="K1800">
        <v>1.105329</v>
      </c>
      <c r="L1800">
        <v>281.85899999999998</v>
      </c>
      <c r="M1800">
        <v>-0.9989576</v>
      </c>
      <c r="N1800">
        <v>0</v>
      </c>
      <c r="O1800">
        <v>4.5021129999999999E-2</v>
      </c>
      <c r="P1800">
        <v>-0.99936579999999997</v>
      </c>
      <c r="Q1800">
        <v>-2.881359E-2</v>
      </c>
      <c r="R1800">
        <v>-2.0920169999999998E-2</v>
      </c>
      <c r="S1800">
        <v>-2.9961850000000001</v>
      </c>
      <c r="T1800">
        <v>-0.22969790000000001</v>
      </c>
      <c r="U1800">
        <v>3.4790040000000001E-2</v>
      </c>
      <c r="V1800">
        <v>-6.6045129999999994E-2</v>
      </c>
      <c r="W1800">
        <v>-2.0817370000000002E-2</v>
      </c>
      <c r="X1800">
        <v>0.99759949999999997</v>
      </c>
      <c r="Y1800">
        <v>-3.3191110000000003E-2</v>
      </c>
      <c r="Z1800">
        <v>-4.7156669999999998E-3</v>
      </c>
      <c r="AA1800">
        <v>0.99943789999999999</v>
      </c>
      <c r="AB1800">
        <v>44</v>
      </c>
      <c r="AC1800">
        <v>-14.1748999999999</v>
      </c>
      <c r="AD1800">
        <v>-1.1053254916390001</v>
      </c>
      <c r="AE1800">
        <v>0.15599999999994901</v>
      </c>
      <c r="AF1800">
        <v>-0.479431494226292</v>
      </c>
      <c r="AG1800">
        <v>-1.1053254916390001</v>
      </c>
      <c r="AH1800">
        <v>14.0819347781738</v>
      </c>
      <c r="AI1800">
        <v>94.485495548826194</v>
      </c>
      <c r="AJ1800">
        <v>91.949930570405897</v>
      </c>
      <c r="AK1800">
        <v>14.133381976613499</v>
      </c>
      <c r="AL1800">
        <v>91.192833556714902</v>
      </c>
      <c r="AM1800">
        <v>93.787685487823893</v>
      </c>
      <c r="AN1800">
        <v>1.0000000422453399</v>
      </c>
    </row>
    <row r="1801" spans="1:40" x14ac:dyDescent="0.25">
      <c r="A1801" t="str">
        <f>"20190312151533894"</f>
        <v>20190312151533894</v>
      </c>
      <c r="B1801" t="str">
        <f>"1552374933888981"</f>
        <v>1552374933888981</v>
      </c>
      <c r="C1801" t="s">
        <v>40</v>
      </c>
      <c r="D1801">
        <v>5.013153</v>
      </c>
      <c r="E1801">
        <v>0.51288869999999998</v>
      </c>
      <c r="F1801" t="s">
        <v>52</v>
      </c>
      <c r="G1801">
        <v>-296.21730000000002</v>
      </c>
      <c r="H1801" s="1">
        <v>3.5335440000000001E-6</v>
      </c>
      <c r="I1801">
        <v>282.04329999999999</v>
      </c>
      <c r="J1801">
        <v>-282.13799999999998</v>
      </c>
      <c r="K1801">
        <v>1.1053219999999999</v>
      </c>
      <c r="L1801">
        <v>281.87099999999998</v>
      </c>
      <c r="M1801">
        <v>-0.99889240000000001</v>
      </c>
      <c r="N1801">
        <v>0</v>
      </c>
      <c r="O1801">
        <v>4.6443709999999999E-2</v>
      </c>
      <c r="P1801">
        <v>-0.99937609999999999</v>
      </c>
      <c r="Q1801">
        <v>-2.9386470000000001E-2</v>
      </c>
      <c r="R1801">
        <v>-1.9600550000000001E-2</v>
      </c>
      <c r="S1801">
        <v>-2.9960629999999999</v>
      </c>
      <c r="T1801">
        <v>-0.23108319999999999</v>
      </c>
      <c r="U1801">
        <v>3.8543699999999903E-2</v>
      </c>
      <c r="V1801">
        <v>-6.6151860000000007E-2</v>
      </c>
      <c r="W1801">
        <v>-2.136768E-2</v>
      </c>
      <c r="X1801">
        <v>0.99758080000000005</v>
      </c>
      <c r="Y1801">
        <v>-3.3354490000000001E-2</v>
      </c>
      <c r="Z1801">
        <v>-4.8599009999999998E-3</v>
      </c>
      <c r="AA1801">
        <v>0.99943179999999998</v>
      </c>
      <c r="AB1801">
        <v>44</v>
      </c>
      <c r="AC1801">
        <v>-14.0793</v>
      </c>
      <c r="AD1801">
        <v>-1.1053184664559901</v>
      </c>
      <c r="AE1801">
        <v>0.172300000000007</v>
      </c>
      <c r="AF1801">
        <v>-0.478848644364192</v>
      </c>
      <c r="AG1801">
        <v>-1.1053184664559901</v>
      </c>
      <c r="AH1801">
        <v>13.9859223508202</v>
      </c>
      <c r="AI1801">
        <v>94.516103186850202</v>
      </c>
      <c r="AJ1801">
        <v>91.960921326512306</v>
      </c>
      <c r="AK1801">
        <v>14.037700984836199</v>
      </c>
      <c r="AL1801">
        <v>91.224371003610003</v>
      </c>
      <c r="AM1801">
        <v>93.793859496386901</v>
      </c>
      <c r="AN1801">
        <v>1.00000004942933</v>
      </c>
    </row>
    <row r="1802" spans="1:40" x14ac:dyDescent="0.25">
      <c r="A1802" t="str">
        <f>"20190312151533915"</f>
        <v>20190312151533915</v>
      </c>
      <c r="B1802" t="str">
        <f>"1552374933909476"</f>
        <v>1552374933909476</v>
      </c>
      <c r="C1802" t="s">
        <v>40</v>
      </c>
      <c r="D1802">
        <v>5.05152</v>
      </c>
      <c r="E1802">
        <v>0.51289449999999903</v>
      </c>
      <c r="F1802" t="s">
        <v>41</v>
      </c>
      <c r="G1802">
        <v>-283.21690000000001</v>
      </c>
      <c r="H1802">
        <v>1.02118</v>
      </c>
      <c r="I1802">
        <v>281.88630000000001</v>
      </c>
      <c r="J1802">
        <v>-282.54059999999998</v>
      </c>
      <c r="K1802">
        <v>1.1053109999999999</v>
      </c>
      <c r="L1802">
        <v>281.89109999999999</v>
      </c>
      <c r="M1802">
        <v>-0.99878359999999999</v>
      </c>
      <c r="N1802">
        <v>0</v>
      </c>
      <c r="O1802">
        <v>4.8719110000000003E-2</v>
      </c>
      <c r="P1802">
        <v>-0.99940850000000003</v>
      </c>
      <c r="Q1802">
        <v>-2.9419549999999999E-2</v>
      </c>
      <c r="R1802">
        <v>-1.7803940000000001E-2</v>
      </c>
      <c r="S1802">
        <v>-2.9957889999999998</v>
      </c>
      <c r="T1802">
        <v>-0.23366770000000001</v>
      </c>
      <c r="U1802">
        <v>4.2083740000000001E-2</v>
      </c>
      <c r="V1802">
        <v>-6.6631819999999994E-2</v>
      </c>
      <c r="W1802">
        <v>-2.1361379999999999E-2</v>
      </c>
      <c r="X1802">
        <v>0.99754889999999996</v>
      </c>
      <c r="Y1802">
        <v>-3.4433770000000002E-2</v>
      </c>
      <c r="Z1802">
        <v>-5.1335309999999898E-3</v>
      </c>
      <c r="AA1802">
        <v>0.9993938</v>
      </c>
      <c r="AB1802">
        <v>44</v>
      </c>
      <c r="AC1802">
        <v>-0.67630000000002599</v>
      </c>
      <c r="AD1802">
        <v>-8.4131000000000095E-2</v>
      </c>
      <c r="AE1802">
        <v>-4.7999999999888097E-3</v>
      </c>
      <c r="AF1802">
        <v>-3.7168823492883599E-2</v>
      </c>
      <c r="AG1802">
        <v>-8.4131000000000095E-2</v>
      </c>
      <c r="AH1802">
        <v>0.66497299968375601</v>
      </c>
      <c r="AI1802">
        <v>97.199512951476507</v>
      </c>
      <c r="AJ1802">
        <v>93.199232189824599</v>
      </c>
      <c r="AK1802">
        <v>0.67130368456404099</v>
      </c>
      <c r="AL1802">
        <v>91.224010069808003</v>
      </c>
      <c r="AM1802">
        <v>93.821426143051497</v>
      </c>
      <c r="AN1802">
        <v>0.99999995794161201</v>
      </c>
    </row>
    <row r="1803" spans="1:40" x14ac:dyDescent="0.25">
      <c r="A1803" t="str">
        <f>"20190312151533929"</f>
        <v>20190312151533929</v>
      </c>
      <c r="B1803" t="str">
        <f>"1552374933919236"</f>
        <v>1552374933919236</v>
      </c>
      <c r="C1803" t="s">
        <v>40</v>
      </c>
      <c r="D1803">
        <v>5.0586270000000004</v>
      </c>
      <c r="E1803">
        <v>0.51289449999999903</v>
      </c>
      <c r="F1803" t="s">
        <v>41</v>
      </c>
      <c r="G1803">
        <v>-283.61750000000001</v>
      </c>
      <c r="H1803">
        <v>1.021196</v>
      </c>
      <c r="I1803">
        <v>281.9085</v>
      </c>
      <c r="J1803">
        <v>-282.8365</v>
      </c>
      <c r="K1803">
        <v>1.105302</v>
      </c>
      <c r="L1803">
        <v>281.90660000000003</v>
      </c>
      <c r="M1803">
        <v>-0.9987007</v>
      </c>
      <c r="N1803">
        <v>0</v>
      </c>
      <c r="O1803">
        <v>5.0389759999999999E-2</v>
      </c>
      <c r="P1803">
        <v>-0.99942140000000002</v>
      </c>
      <c r="Q1803">
        <v>-2.9637670000000001E-2</v>
      </c>
      <c r="R1803">
        <v>-1.6688109999999999E-2</v>
      </c>
      <c r="S1803">
        <v>-2.9957280000000002</v>
      </c>
      <c r="T1803">
        <v>-0.23404559999999999</v>
      </c>
      <c r="U1803">
        <v>4.7576899999999998E-2</v>
      </c>
      <c r="V1803">
        <v>-6.7187609999999995E-2</v>
      </c>
      <c r="W1803">
        <v>-2.1548299999999999E-2</v>
      </c>
      <c r="X1803">
        <v>0.99750760000000005</v>
      </c>
      <c r="Y1803">
        <v>-3.4267690000000003E-2</v>
      </c>
      <c r="Z1803">
        <v>-5.2654959999999997E-3</v>
      </c>
      <c r="AA1803">
        <v>0.99939880000000003</v>
      </c>
      <c r="AB1803">
        <v>45</v>
      </c>
      <c r="AC1803">
        <v>-0.78100000000000502</v>
      </c>
      <c r="AD1803">
        <v>-8.4106E-2</v>
      </c>
      <c r="AE1803">
        <v>1.8999999999778001E-3</v>
      </c>
      <c r="AF1803">
        <v>-3.7028529995396603E-2</v>
      </c>
      <c r="AG1803">
        <v>-8.4106E-2</v>
      </c>
      <c r="AH1803">
        <v>0.771160304810806</v>
      </c>
      <c r="AI1803">
        <v>96.2172112053847</v>
      </c>
      <c r="AJ1803">
        <v>92.749039630911298</v>
      </c>
      <c r="AK1803">
        <v>0.77661647354760299</v>
      </c>
      <c r="AL1803">
        <v>91.234722262917302</v>
      </c>
      <c r="AM1803">
        <v>93.853364888750207</v>
      </c>
      <c r="AN1803">
        <v>0.99999995811408005</v>
      </c>
    </row>
    <row r="1804" spans="1:40" x14ac:dyDescent="0.25">
      <c r="A1804" t="str">
        <f>"20190312151533951"</f>
        <v>20190312151533951</v>
      </c>
      <c r="B1804" t="str">
        <f>"1552374933939732"</f>
        <v>1552374933939732</v>
      </c>
      <c r="C1804" t="s">
        <v>40</v>
      </c>
      <c r="D1804">
        <v>4.9549500000000002</v>
      </c>
      <c r="E1804">
        <v>0.53322119999999995</v>
      </c>
      <c r="F1804" t="s">
        <v>52</v>
      </c>
      <c r="G1804">
        <v>-296.94569999999999</v>
      </c>
      <c r="H1804" s="1">
        <v>3.653704E-6</v>
      </c>
      <c r="I1804">
        <v>282.14670000000001</v>
      </c>
      <c r="J1804">
        <v>-283.25049999999999</v>
      </c>
      <c r="K1804">
        <v>1.1052919999999999</v>
      </c>
      <c r="L1804">
        <v>281.9289</v>
      </c>
      <c r="M1804">
        <v>-0.99857969999999896</v>
      </c>
      <c r="N1804">
        <v>0</v>
      </c>
      <c r="O1804">
        <v>5.2725950000000001E-2</v>
      </c>
      <c r="P1804">
        <v>-0.99943800000000005</v>
      </c>
      <c r="Q1804">
        <v>-3.0052929999999999E-2</v>
      </c>
      <c r="R1804">
        <v>-1.485218E-2</v>
      </c>
      <c r="S1804">
        <v>-2.9956360000000002</v>
      </c>
      <c r="T1804">
        <v>-0.23467370000000001</v>
      </c>
      <c r="U1804">
        <v>5.0994869999999998E-2</v>
      </c>
      <c r="V1804">
        <v>-6.7691710000000002E-2</v>
      </c>
      <c r="W1804">
        <v>-2.1921659999999999E-2</v>
      </c>
      <c r="X1804">
        <v>0.99746539999999995</v>
      </c>
      <c r="Y1804">
        <v>-3.5453030000000003E-2</v>
      </c>
      <c r="Z1804">
        <v>-5.5085259999999997E-3</v>
      </c>
      <c r="AA1804">
        <v>0.99935620000000003</v>
      </c>
      <c r="AB1804">
        <v>45</v>
      </c>
      <c r="AC1804">
        <v>-13.6952</v>
      </c>
      <c r="AD1804">
        <v>-1.1052883462959999</v>
      </c>
      <c r="AE1804">
        <v>0.21780000000001101</v>
      </c>
      <c r="AF1804">
        <v>-0.50135181699471298</v>
      </c>
      <c r="AG1804">
        <v>-1.1052883462959999</v>
      </c>
      <c r="AH1804">
        <v>13.5990779795795</v>
      </c>
      <c r="AI1804">
        <v>94.643458188143995</v>
      </c>
      <c r="AJ1804">
        <v>92.111344594667003</v>
      </c>
      <c r="AK1804">
        <v>13.653129233532701</v>
      </c>
      <c r="AL1804">
        <v>91.256119249019804</v>
      </c>
      <c r="AM1804">
        <v>93.882351853296697</v>
      </c>
      <c r="AN1804">
        <v>0.99999997548851904</v>
      </c>
    </row>
    <row r="1805" spans="1:40" x14ac:dyDescent="0.25">
      <c r="A1805" t="str">
        <f>"20190312151533972"</f>
        <v>20190312151533972</v>
      </c>
      <c r="B1805" t="str">
        <f>"1552374933969012"</f>
        <v>1552374933969012</v>
      </c>
      <c r="C1805" t="s">
        <v>40</v>
      </c>
      <c r="D1805">
        <v>4.9972469999999998</v>
      </c>
      <c r="E1805">
        <v>0.53421759999999996</v>
      </c>
      <c r="F1805" t="s">
        <v>52</v>
      </c>
      <c r="G1805">
        <v>-303.75490000000002</v>
      </c>
      <c r="H1805" s="1">
        <v>3.4023769999999998E-6</v>
      </c>
      <c r="I1805">
        <v>283.42869999999999</v>
      </c>
      <c r="J1805">
        <v>-283.6798</v>
      </c>
      <c r="K1805">
        <v>1.1052839999999999</v>
      </c>
      <c r="L1805">
        <v>281.95299999999997</v>
      </c>
      <c r="M1805">
        <v>-0.99844889999999997</v>
      </c>
      <c r="N1805">
        <v>0</v>
      </c>
      <c r="O1805">
        <v>5.5142129999999998E-2</v>
      </c>
      <c r="P1805">
        <v>-0.99945589999999995</v>
      </c>
      <c r="Q1805">
        <v>-3.0189540000000001E-2</v>
      </c>
      <c r="R1805">
        <v>-1.329645E-2</v>
      </c>
      <c r="S1805">
        <v>-3.000092</v>
      </c>
      <c r="T1805">
        <v>-0.16172020000000001</v>
      </c>
      <c r="U1805">
        <v>0.21945190000000001</v>
      </c>
      <c r="V1805">
        <v>-6.8553379999999997E-2</v>
      </c>
      <c r="W1805">
        <v>-2.2013410000000001E-2</v>
      </c>
      <c r="X1805">
        <v>0.99740459999999997</v>
      </c>
      <c r="Y1805">
        <v>1.7899330000000001E-2</v>
      </c>
      <c r="Z1805">
        <v>-2.4823559999999998E-3</v>
      </c>
      <c r="AA1805">
        <v>0.99983670000000002</v>
      </c>
      <c r="AB1805">
        <v>45</v>
      </c>
      <c r="AC1805">
        <v>-20.075099999999999</v>
      </c>
      <c r="AD1805">
        <v>-1.105280597623</v>
      </c>
      <c r="AE1805">
        <v>1.47570000000001</v>
      </c>
      <c r="AF1805">
        <v>0.36533660868412399</v>
      </c>
      <c r="AG1805">
        <v>-1.105280597623</v>
      </c>
      <c r="AH1805">
        <v>20.065432336217899</v>
      </c>
      <c r="AI1805">
        <v>93.152362525951105</v>
      </c>
      <c r="AJ1805">
        <v>88.956915911684405</v>
      </c>
      <c r="AK1805">
        <v>20.099171397758301</v>
      </c>
      <c r="AL1805">
        <v>91.261377316693896</v>
      </c>
      <c r="AM1805">
        <v>93.931856478773696</v>
      </c>
      <c r="AN1805">
        <v>1.0000000461152001</v>
      </c>
    </row>
    <row r="1806" spans="1:40" x14ac:dyDescent="0.25">
      <c r="A1806" t="str">
        <f>"20190312151533996"</f>
        <v>20190312151533996</v>
      </c>
      <c r="B1806" t="str">
        <f>"1552374933989509"</f>
        <v>1552374933989509</v>
      </c>
      <c r="C1806" t="s">
        <v>40</v>
      </c>
      <c r="D1806">
        <v>5.0459709999999998</v>
      </c>
      <c r="E1806">
        <v>0.53426439999999997</v>
      </c>
      <c r="F1806" t="s">
        <v>52</v>
      </c>
      <c r="G1806">
        <v>-303.04320000000001</v>
      </c>
      <c r="H1806" s="1">
        <v>3.5267620000000001E-6</v>
      </c>
      <c r="I1806">
        <v>283.44990000000001</v>
      </c>
      <c r="J1806">
        <v>-284.14760000000001</v>
      </c>
      <c r="K1806">
        <v>1.1052839999999999</v>
      </c>
      <c r="L1806">
        <v>281.98059999999998</v>
      </c>
      <c r="M1806">
        <v>-0.99830059999999998</v>
      </c>
      <c r="N1806">
        <v>0</v>
      </c>
      <c r="O1806">
        <v>5.7761140000000002E-2</v>
      </c>
      <c r="P1806">
        <v>-0.99947350000000001</v>
      </c>
      <c r="Q1806">
        <v>-3.0546279999999999E-2</v>
      </c>
      <c r="R1806">
        <v>-1.09506E-2</v>
      </c>
      <c r="S1806">
        <v>-2.9995419999999999</v>
      </c>
      <c r="T1806">
        <v>-0.17121649999999999</v>
      </c>
      <c r="U1806">
        <v>0.23187260000000001</v>
      </c>
      <c r="V1806">
        <v>-6.8830180000000005E-2</v>
      </c>
      <c r="W1806">
        <v>-2.232804E-2</v>
      </c>
      <c r="X1806">
        <v>0.99737849999999995</v>
      </c>
      <c r="Y1806">
        <v>1.9414879999999999E-2</v>
      </c>
      <c r="Z1806">
        <v>-2.7335369999999999E-3</v>
      </c>
      <c r="AA1806">
        <v>0.99980780000000002</v>
      </c>
      <c r="AB1806">
        <v>45</v>
      </c>
      <c r="AC1806">
        <v>-18.895600000000002</v>
      </c>
      <c r="AD1806">
        <v>-1.1052804732379999</v>
      </c>
      <c r="AE1806">
        <v>1.46930000000003</v>
      </c>
      <c r="AF1806">
        <v>0.37411050738511298</v>
      </c>
      <c r="AG1806">
        <v>-1.1052804732379999</v>
      </c>
      <c r="AH1806">
        <v>18.884694899840898</v>
      </c>
      <c r="AI1806">
        <v>93.348921677548603</v>
      </c>
      <c r="AJ1806">
        <v>88.865104789983306</v>
      </c>
      <c r="AK1806">
        <v>18.920711008213502</v>
      </c>
      <c r="AL1806">
        <v>91.279408773508905</v>
      </c>
      <c r="AM1806">
        <v>93.9477851343498</v>
      </c>
      <c r="AN1806">
        <v>1.00000000365566</v>
      </c>
    </row>
    <row r="1807" spans="1:40" x14ac:dyDescent="0.25">
      <c r="A1807" t="str">
        <f>"20190312151534016"</f>
        <v>20190312151534016</v>
      </c>
      <c r="B1807" t="str">
        <f>"1552374934010004"</f>
        <v>1552374934010004</v>
      </c>
      <c r="C1807" t="s">
        <v>40</v>
      </c>
      <c r="D1807">
        <v>5.1206699999999996</v>
      </c>
      <c r="E1807">
        <v>0.53376420000000002</v>
      </c>
      <c r="F1807" t="s">
        <v>41</v>
      </c>
      <c r="G1807">
        <v>-285.22160000000002</v>
      </c>
      <c r="H1807">
        <v>1.0418889999999901</v>
      </c>
      <c r="I1807">
        <v>282.06650000000002</v>
      </c>
      <c r="J1807">
        <v>-284.56169999999997</v>
      </c>
      <c r="K1807">
        <v>1.1052869999999999</v>
      </c>
      <c r="L1807">
        <v>282.00599999999997</v>
      </c>
      <c r="M1807">
        <v>-0.99816439999999995</v>
      </c>
      <c r="N1807">
        <v>0</v>
      </c>
      <c r="O1807">
        <v>6.006334E-2</v>
      </c>
      <c r="P1807">
        <v>-0.99950130000000004</v>
      </c>
      <c r="Q1807">
        <v>-3.0336620000000002E-2</v>
      </c>
      <c r="R1807">
        <v>-8.7746790000000005E-3</v>
      </c>
      <c r="S1807">
        <v>-2.9987789999999999</v>
      </c>
      <c r="T1807">
        <v>-0.17711779999999999</v>
      </c>
      <c r="U1807">
        <v>0.2393188</v>
      </c>
      <c r="V1807">
        <v>-6.895801E-2</v>
      </c>
      <c r="W1807">
        <v>-2.2081489999999999E-2</v>
      </c>
      <c r="X1807">
        <v>0.99737509999999996</v>
      </c>
      <c r="Y1807">
        <v>1.960396E-2</v>
      </c>
      <c r="Z1807">
        <v>-2.9577169999999999E-3</v>
      </c>
      <c r="AA1807">
        <v>0.99980340000000001</v>
      </c>
      <c r="AB1807">
        <v>45</v>
      </c>
      <c r="AC1807">
        <v>-0.65990000000005</v>
      </c>
      <c r="AD1807">
        <v>-6.3398000000000204E-2</v>
      </c>
      <c r="AE1807">
        <v>6.0500000000047301E-2</v>
      </c>
      <c r="AF1807">
        <v>2.0565538345390599E-2</v>
      </c>
      <c r="AG1807">
        <v>-6.3398000000000204E-2</v>
      </c>
      <c r="AH1807">
        <v>0.65633508162181997</v>
      </c>
      <c r="AI1807">
        <v>95.514618964712</v>
      </c>
      <c r="AJ1807">
        <v>88.205286931971699</v>
      </c>
      <c r="AK1807">
        <v>0.65971053283918202</v>
      </c>
      <c r="AL1807">
        <v>91.265279089886207</v>
      </c>
      <c r="AM1807">
        <v>93.9551070727763</v>
      </c>
      <c r="AN1807">
        <v>0.99999994472189302</v>
      </c>
    </row>
    <row r="1808" spans="1:40" x14ac:dyDescent="0.25">
      <c r="A1808" t="str">
        <f>"20190312151534027"</f>
        <v>20190312151534027</v>
      </c>
      <c r="B1808" t="str">
        <f>"1552374934019764"</f>
        <v>1552374934019764</v>
      </c>
      <c r="C1808" t="s">
        <v>40</v>
      </c>
      <c r="D1808">
        <v>4.9962030000000004</v>
      </c>
      <c r="E1808">
        <v>0.53373879999999996</v>
      </c>
      <c r="F1808" t="s">
        <v>41</v>
      </c>
      <c r="G1808">
        <v>-285.62759999999997</v>
      </c>
      <c r="H1808">
        <v>1.046003</v>
      </c>
      <c r="I1808">
        <v>282.09210000000002</v>
      </c>
      <c r="J1808">
        <v>-284.80579999999998</v>
      </c>
      <c r="K1808">
        <v>1.1052879999999901</v>
      </c>
      <c r="L1808">
        <v>282.02140000000003</v>
      </c>
      <c r="M1808">
        <v>-0.99808200000000002</v>
      </c>
      <c r="N1808">
        <v>0</v>
      </c>
      <c r="O1808">
        <v>6.1413910000000002E-2</v>
      </c>
      <c r="P1808">
        <v>-0.99951299999999998</v>
      </c>
      <c r="Q1808">
        <v>-3.025299E-2</v>
      </c>
      <c r="R1808">
        <v>-7.6399869999999896E-3</v>
      </c>
      <c r="S1808">
        <v>-2.998596</v>
      </c>
      <c r="T1808">
        <v>-0.16676579999999999</v>
      </c>
      <c r="U1808">
        <v>0.24212649999999999</v>
      </c>
      <c r="V1808">
        <v>-6.9174570000000005E-2</v>
      </c>
      <c r="W1808">
        <v>-2.197489E-2</v>
      </c>
      <c r="X1808">
        <v>0.99736250000000004</v>
      </c>
      <c r="Y1808">
        <v>1.9180860000000001E-2</v>
      </c>
      <c r="Z1808">
        <v>-2.8716380000000001E-3</v>
      </c>
      <c r="AA1808">
        <v>0.99981189999999998</v>
      </c>
      <c r="AB1808">
        <v>45</v>
      </c>
      <c r="AC1808">
        <v>-0.82179999999999598</v>
      </c>
      <c r="AD1808">
        <v>-5.9284999999999803E-2</v>
      </c>
      <c r="AE1808">
        <v>7.0699999999987995E-2</v>
      </c>
      <c r="AF1808">
        <v>1.99917779451089E-2</v>
      </c>
      <c r="AG1808">
        <v>-5.9284999999999803E-2</v>
      </c>
      <c r="AH1808">
        <v>0.82035281106959201</v>
      </c>
      <c r="AI1808">
        <v>94.132225038223496</v>
      </c>
      <c r="AJ1808">
        <v>88.603993534397503</v>
      </c>
      <c r="AK1808">
        <v>0.822735143919468</v>
      </c>
      <c r="AL1808">
        <v>91.259169824225907</v>
      </c>
      <c r="AM1808">
        <v>93.967538292859004</v>
      </c>
      <c r="AN1808">
        <v>0.99999998666572298</v>
      </c>
    </row>
    <row r="1809" spans="1:40" x14ac:dyDescent="0.25">
      <c r="A1809" t="str">
        <f>"20190312151534041"</f>
        <v>20190312151534041</v>
      </c>
      <c r="B1809" t="str">
        <f>"1552374934029524"</f>
        <v>1552374934029524</v>
      </c>
      <c r="C1809" t="s">
        <v>40</v>
      </c>
      <c r="D1809">
        <v>4.987412</v>
      </c>
      <c r="E1809">
        <v>0.53362739999999997</v>
      </c>
      <c r="F1809" t="s">
        <v>52</v>
      </c>
      <c r="G1809">
        <v>-304.68310000000002</v>
      </c>
      <c r="H1809" s="1">
        <v>3.2185950000000001E-6</v>
      </c>
      <c r="I1809">
        <v>283.64749999999998</v>
      </c>
      <c r="J1809">
        <v>-285.06380000000001</v>
      </c>
      <c r="K1809">
        <v>1.105289</v>
      </c>
      <c r="L1809">
        <v>282.03809999999999</v>
      </c>
      <c r="M1809">
        <v>-0.99799360000000004</v>
      </c>
      <c r="N1809">
        <v>0</v>
      </c>
      <c r="O1809">
        <v>6.2833020000000003E-2</v>
      </c>
      <c r="P1809">
        <v>-0.99953460000000005</v>
      </c>
      <c r="Q1809">
        <v>-2.98677E-2</v>
      </c>
      <c r="R1809">
        <v>-6.2497849999999999E-3</v>
      </c>
      <c r="S1809">
        <v>-2.998291</v>
      </c>
      <c r="T1809">
        <v>-0.16672129999999999</v>
      </c>
      <c r="U1809">
        <v>0.24526980000000001</v>
      </c>
      <c r="V1809">
        <v>-6.9202760000000002E-2</v>
      </c>
      <c r="W1809">
        <v>-2.1566709999999999E-2</v>
      </c>
      <c r="X1809">
        <v>0.99736950000000002</v>
      </c>
      <c r="Y1809">
        <v>1.8811379999999999E-2</v>
      </c>
      <c r="Z1809">
        <v>-2.95977E-3</v>
      </c>
      <c r="AA1809">
        <v>0.99981869999999995</v>
      </c>
      <c r="AB1809">
        <v>45</v>
      </c>
      <c r="AC1809">
        <v>-19.619299999999999</v>
      </c>
      <c r="AD1809">
        <v>-1.1052857814049999</v>
      </c>
      <c r="AE1809">
        <v>1.6093999999999899</v>
      </c>
      <c r="AF1809">
        <v>0.37226876454284002</v>
      </c>
      <c r="AG1809">
        <v>-1.1052857814049999</v>
      </c>
      <c r="AH1809">
        <v>19.619804008292299</v>
      </c>
      <c r="AI1809">
        <v>93.223782622296298</v>
      </c>
      <c r="AJ1809">
        <v>88.912992711894404</v>
      </c>
      <c r="AK1809">
        <v>19.654438430426701</v>
      </c>
      <c r="AL1809">
        <v>91.235777231816897</v>
      </c>
      <c r="AM1809">
        <v>93.969122207762297</v>
      </c>
      <c r="AN1809">
        <v>1.0000000322510401</v>
      </c>
    </row>
    <row r="1810" spans="1:40" x14ac:dyDescent="0.25">
      <c r="A1810" t="str">
        <f>"20190312151534053"</f>
        <v>20190312151534053</v>
      </c>
      <c r="B1810" t="str">
        <f>"1552374934049044"</f>
        <v>1552374934049044</v>
      </c>
      <c r="C1810" t="s">
        <v>40</v>
      </c>
      <c r="D1810">
        <v>5.0323859999999998</v>
      </c>
      <c r="E1810">
        <v>0.5333405</v>
      </c>
      <c r="F1810" t="s">
        <v>52</v>
      </c>
      <c r="G1810">
        <v>-304.99430000000001</v>
      </c>
      <c r="H1810" s="1">
        <v>3.1597270000000001E-6</v>
      </c>
      <c r="I1810">
        <v>283.68950000000001</v>
      </c>
      <c r="J1810">
        <v>-285.31639999999999</v>
      </c>
      <c r="K1810">
        <v>1.105294</v>
      </c>
      <c r="L1810">
        <v>282.05459999999999</v>
      </c>
      <c r="M1810">
        <v>-0.99790520000000005</v>
      </c>
      <c r="N1810">
        <v>0</v>
      </c>
      <c r="O1810">
        <v>6.4217250000000003E-2</v>
      </c>
      <c r="P1810">
        <v>-0.9995368</v>
      </c>
      <c r="Q1810">
        <v>-3.0046070000000001E-2</v>
      </c>
      <c r="R1810">
        <v>-4.839487E-3</v>
      </c>
      <c r="S1810">
        <v>-2.997986</v>
      </c>
      <c r="T1810">
        <v>-0.16625989999999999</v>
      </c>
      <c r="U1810">
        <v>0.2484131</v>
      </c>
      <c r="V1810">
        <v>-6.9180169999999999E-2</v>
      </c>
      <c r="W1810">
        <v>-2.172321E-2</v>
      </c>
      <c r="X1810">
        <v>0.99736760000000002</v>
      </c>
      <c r="Y1810">
        <v>1.8476260000000001E-2</v>
      </c>
      <c r="Z1810">
        <v>-3.0373660000000001E-3</v>
      </c>
      <c r="AA1810">
        <v>0.99982470000000001</v>
      </c>
      <c r="AB1810">
        <v>45</v>
      </c>
      <c r="AC1810">
        <v>-19.677900000000001</v>
      </c>
      <c r="AD1810">
        <v>-1.105290840273</v>
      </c>
      <c r="AE1810">
        <v>1.63490000000001</v>
      </c>
      <c r="AF1810">
        <v>0.36667694708742499</v>
      </c>
      <c r="AG1810">
        <v>-1.105290840273</v>
      </c>
      <c r="AH1810">
        <v>19.680607070953201</v>
      </c>
      <c r="AI1810">
        <v>93.213879024912998</v>
      </c>
      <c r="AJ1810">
        <v>88.932623826194302</v>
      </c>
      <c r="AK1810">
        <v>19.7150301675237</v>
      </c>
      <c r="AL1810">
        <v>91.244746210150495</v>
      </c>
      <c r="AM1810">
        <v>93.967838232775904</v>
      </c>
      <c r="AN1810">
        <v>0.99999996165184502</v>
      </c>
    </row>
    <row r="1811" spans="1:40" x14ac:dyDescent="0.25">
      <c r="A1811" t="str">
        <f>"20190312151534071"</f>
        <v>20190312151534071</v>
      </c>
      <c r="B1811" t="str">
        <f>"1552374934059780"</f>
        <v>1552374934059780</v>
      </c>
      <c r="C1811" t="s">
        <v>40</v>
      </c>
      <c r="D1811">
        <v>5.0302619999999996</v>
      </c>
      <c r="E1811">
        <v>0.53321090000000004</v>
      </c>
      <c r="F1811" t="s">
        <v>41</v>
      </c>
      <c r="G1811">
        <v>-286.43209999999999</v>
      </c>
      <c r="H1811">
        <v>1.0440739999999999</v>
      </c>
      <c r="I1811">
        <v>282.14789999999999</v>
      </c>
      <c r="J1811">
        <v>-285.69069999999999</v>
      </c>
      <c r="K1811">
        <v>1.1053029999999999</v>
      </c>
      <c r="L1811">
        <v>282.07990000000001</v>
      </c>
      <c r="M1811">
        <v>-0.99777249999999995</v>
      </c>
      <c r="N1811">
        <v>0</v>
      </c>
      <c r="O1811">
        <v>6.6242759999999998E-2</v>
      </c>
      <c r="P1811">
        <v>-0.9995425</v>
      </c>
      <c r="Q1811">
        <v>-3.0060750000000001E-2</v>
      </c>
      <c r="R1811">
        <v>-3.3492579999999999E-3</v>
      </c>
      <c r="S1811">
        <v>-2.9976500000000001</v>
      </c>
      <c r="T1811">
        <v>-0.16450799999999999</v>
      </c>
      <c r="U1811">
        <v>0.25057980000000002</v>
      </c>
      <c r="V1811">
        <v>-6.9716650000000005E-2</v>
      </c>
      <c r="W1811">
        <v>-2.1701399999999999E-2</v>
      </c>
      <c r="X1811">
        <v>0.99733079999999996</v>
      </c>
      <c r="Y1811">
        <v>1.7177109999999999E-2</v>
      </c>
      <c r="Z1811">
        <v>-3.1517509999999999E-3</v>
      </c>
      <c r="AA1811">
        <v>0.9998475</v>
      </c>
      <c r="AB1811">
        <v>45</v>
      </c>
      <c r="AC1811">
        <v>-0.74139999999999795</v>
      </c>
      <c r="AD1811">
        <v>-6.12290000000002E-2</v>
      </c>
      <c r="AE1811">
        <v>6.7999999999983601E-2</v>
      </c>
      <c r="AF1811">
        <v>1.8610853594197899E-2</v>
      </c>
      <c r="AG1811">
        <v>-6.12290000000002E-2</v>
      </c>
      <c r="AH1811">
        <v>0.73927599976242098</v>
      </c>
      <c r="AI1811">
        <v>94.733105101075793</v>
      </c>
      <c r="AJ1811">
        <v>88.557915868353305</v>
      </c>
      <c r="AK1811">
        <v>0.742040671484544</v>
      </c>
      <c r="AL1811">
        <v>91.243496192902796</v>
      </c>
      <c r="AM1811">
        <v>93.998655752541495</v>
      </c>
      <c r="AN1811">
        <v>1.00000004333891</v>
      </c>
    </row>
    <row r="1812" spans="1:40" x14ac:dyDescent="0.25">
      <c r="A1812" t="str">
        <f>"20190312151534085"</f>
        <v>20190312151534085</v>
      </c>
      <c r="B1812" t="str">
        <f>"1552374934079300"</f>
        <v>1552374934079300</v>
      </c>
      <c r="C1812" t="s">
        <v>40</v>
      </c>
      <c r="D1812">
        <v>5.021458</v>
      </c>
      <c r="E1812">
        <v>0.53289299999999995</v>
      </c>
      <c r="F1812" t="s">
        <v>52</v>
      </c>
      <c r="G1812">
        <v>-305.97899999999998</v>
      </c>
      <c r="H1812" s="1">
        <v>2.9755799999999998E-6</v>
      </c>
      <c r="I1812">
        <v>283.79790000000003</v>
      </c>
      <c r="J1812">
        <v>-285.95080000000002</v>
      </c>
      <c r="K1812">
        <v>1.105315</v>
      </c>
      <c r="L1812">
        <v>282.09789999999998</v>
      </c>
      <c r="M1812">
        <v>-0.99767939999999999</v>
      </c>
      <c r="N1812">
        <v>0</v>
      </c>
      <c r="O1812">
        <v>6.7627580000000007E-2</v>
      </c>
      <c r="P1812">
        <v>-0.99954370000000003</v>
      </c>
      <c r="Q1812">
        <v>-3.0144339999999999E-2</v>
      </c>
      <c r="R1812">
        <v>-1.9997370000000001E-3</v>
      </c>
      <c r="S1812">
        <v>-2.9972840000000001</v>
      </c>
      <c r="T1812">
        <v>-0.16329160000000001</v>
      </c>
      <c r="U1812">
        <v>0.2538147</v>
      </c>
      <c r="V1812">
        <v>-6.975365E-2</v>
      </c>
      <c r="W1812">
        <v>-2.1761989999999998E-2</v>
      </c>
      <c r="X1812">
        <v>0.99732690000000002</v>
      </c>
      <c r="Y1812">
        <v>1.6872390000000001E-2</v>
      </c>
      <c r="Z1812">
        <v>-3.211991E-3</v>
      </c>
      <c r="AA1812">
        <v>0.99985250000000003</v>
      </c>
      <c r="AB1812">
        <v>45</v>
      </c>
      <c r="AC1812">
        <v>-20.028199999999998</v>
      </c>
      <c r="AD1812">
        <v>-1.1053120244200001</v>
      </c>
      <c r="AE1812">
        <v>1.7000000000000399</v>
      </c>
      <c r="AF1812">
        <v>0.34057705493497797</v>
      </c>
      <c r="AG1812">
        <v>-1.1053120244200001</v>
      </c>
      <c r="AH1812">
        <v>20.0367265714514</v>
      </c>
      <c r="AI1812">
        <v>93.157026295074701</v>
      </c>
      <c r="AJ1812">
        <v>89.026200771264399</v>
      </c>
      <c r="AK1812">
        <v>20.0700801966704</v>
      </c>
      <c r="AL1812">
        <v>91.246968554916805</v>
      </c>
      <c r="AM1812">
        <v>94.000786622402302</v>
      </c>
      <c r="AN1812">
        <v>1.0000000506803399</v>
      </c>
    </row>
    <row r="1813" spans="1:40" x14ac:dyDescent="0.25">
      <c r="A1813" t="str">
        <f>"20190312151534097"</f>
        <v>20190312151534097</v>
      </c>
      <c r="B1813" t="str">
        <f>"1552374934089060"</f>
        <v>1552374934089060</v>
      </c>
      <c r="C1813" t="s">
        <v>40</v>
      </c>
      <c r="D1813">
        <v>5.1352500000000001</v>
      </c>
      <c r="E1813">
        <v>0.53295319999999902</v>
      </c>
      <c r="F1813" t="s">
        <v>52</v>
      </c>
      <c r="G1813">
        <v>-305.77289999999999</v>
      </c>
      <c r="H1813" s="1">
        <v>3.0130300000000002E-6</v>
      </c>
      <c r="I1813">
        <v>283.7876</v>
      </c>
      <c r="J1813">
        <v>-286.20420000000001</v>
      </c>
      <c r="K1813">
        <v>1.105332</v>
      </c>
      <c r="L1813">
        <v>282.11579999999998</v>
      </c>
      <c r="M1813">
        <v>-0.99758789999999997</v>
      </c>
      <c r="N1813">
        <v>0</v>
      </c>
      <c r="O1813">
        <v>6.8962919999999997E-2</v>
      </c>
      <c r="P1813">
        <v>-0.99953420000000004</v>
      </c>
      <c r="Q1813">
        <v>-3.0505899999999999E-2</v>
      </c>
      <c r="R1813">
        <v>-1.0089389999999999E-3</v>
      </c>
      <c r="S1813">
        <v>-2.9968569999999999</v>
      </c>
      <c r="T1813">
        <v>-0.16710929999999999</v>
      </c>
      <c r="U1813">
        <v>0.25546259999999998</v>
      </c>
      <c r="V1813">
        <v>-7.0100770000000007E-2</v>
      </c>
      <c r="W1813">
        <v>-2.209918E-2</v>
      </c>
      <c r="X1813">
        <v>0.99729509999999999</v>
      </c>
      <c r="Y1813">
        <v>1.6098689999999999E-2</v>
      </c>
      <c r="Z1813">
        <v>-3.3828930000000001E-3</v>
      </c>
      <c r="AA1813">
        <v>0.99986470000000005</v>
      </c>
      <c r="AB1813">
        <v>45</v>
      </c>
      <c r="AC1813">
        <v>-19.5686999999999</v>
      </c>
      <c r="AD1813">
        <v>-1.10532898697</v>
      </c>
      <c r="AE1813">
        <v>1.6718000000000099</v>
      </c>
      <c r="AF1813">
        <v>0.31725782628885502</v>
      </c>
      <c r="AG1813">
        <v>-1.10532898697</v>
      </c>
      <c r="AH1813">
        <v>19.575401362622699</v>
      </c>
      <c r="AI1813">
        <v>93.231362552430397</v>
      </c>
      <c r="AJ1813">
        <v>89.071490650957699</v>
      </c>
      <c r="AK1813">
        <v>19.6091494768526</v>
      </c>
      <c r="AL1813">
        <v>91.266292824473695</v>
      </c>
      <c r="AM1813">
        <v>94.020758666406394</v>
      </c>
      <c r="AN1813">
        <v>1.00000000409763</v>
      </c>
    </row>
    <row r="1814" spans="1:40" x14ac:dyDescent="0.25">
      <c r="A1814" t="str">
        <f>"20190312151534116"</f>
        <v>20190312151534116</v>
      </c>
      <c r="B1814" t="str">
        <f>"1552374934109556"</f>
        <v>1552374934109556</v>
      </c>
      <c r="C1814" t="s">
        <v>40</v>
      </c>
      <c r="D1814">
        <v>5.02494</v>
      </c>
      <c r="E1814">
        <v>0.53255010000000003</v>
      </c>
      <c r="F1814" t="s">
        <v>41</v>
      </c>
      <c r="G1814">
        <v>-287.24299999999999</v>
      </c>
      <c r="H1814">
        <v>1.0465679999999999</v>
      </c>
      <c r="I1814">
        <v>282.2056</v>
      </c>
      <c r="J1814">
        <v>-286.58460000000002</v>
      </c>
      <c r="K1814">
        <v>1.105361</v>
      </c>
      <c r="L1814">
        <v>282.14319999999998</v>
      </c>
      <c r="M1814">
        <v>-0.99744980000000005</v>
      </c>
      <c r="N1814">
        <v>0</v>
      </c>
      <c r="O1814">
        <v>7.0926509999999998E-2</v>
      </c>
      <c r="P1814">
        <v>-0.99953040000000004</v>
      </c>
      <c r="Q1814">
        <v>-3.0634600000000001E-2</v>
      </c>
      <c r="R1814">
        <v>9.6666359999999997E-4</v>
      </c>
      <c r="S1814">
        <v>-2.9964599999999999</v>
      </c>
      <c r="T1814">
        <v>-0.16952439999999999</v>
      </c>
      <c r="U1814">
        <v>0.2587585</v>
      </c>
      <c r="V1814">
        <v>-7.0091580000000001E-2</v>
      </c>
      <c r="W1814">
        <v>-2.2194990000000001E-2</v>
      </c>
      <c r="X1814">
        <v>0.9972936</v>
      </c>
      <c r="Y1814">
        <v>1.524023E-2</v>
      </c>
      <c r="Z1814">
        <v>-3.5666109999999999E-3</v>
      </c>
      <c r="AA1814">
        <v>0.99987749999999997</v>
      </c>
      <c r="AB1814">
        <v>45</v>
      </c>
      <c r="AC1814">
        <v>-0.65839999999997101</v>
      </c>
      <c r="AD1814">
        <v>-5.8793000000000102E-2</v>
      </c>
      <c r="AE1814">
        <v>6.2400000000025102E-2</v>
      </c>
      <c r="AF1814">
        <v>1.54214707230069E-2</v>
      </c>
      <c r="AG1814">
        <v>-5.8793000000000102E-2</v>
      </c>
      <c r="AH1814">
        <v>0.65598350713054598</v>
      </c>
      <c r="AI1814">
        <v>95.120084857634694</v>
      </c>
      <c r="AJ1814">
        <v>88.653285557164693</v>
      </c>
      <c r="AK1814">
        <v>0.65879344276909102</v>
      </c>
      <c r="AL1814">
        <v>91.2717837030347</v>
      </c>
      <c r="AM1814">
        <v>94.020239312424295</v>
      </c>
      <c r="AN1814">
        <v>0.99999998588447803</v>
      </c>
    </row>
    <row r="1815" spans="1:40" x14ac:dyDescent="0.25">
      <c r="A1815" t="str">
        <f>"20190312151534139"</f>
        <v>20190312151534139</v>
      </c>
      <c r="B1815" t="str">
        <f>"1552374934129076"</f>
        <v>1552374934129076</v>
      </c>
      <c r="C1815" t="s">
        <v>40</v>
      </c>
      <c r="D1815">
        <v>5.4222089999999996</v>
      </c>
      <c r="E1815">
        <v>0.53236749999999999</v>
      </c>
      <c r="F1815" t="s">
        <v>41</v>
      </c>
      <c r="G1815">
        <v>-287.64600000000002</v>
      </c>
      <c r="H1815">
        <v>1.044176</v>
      </c>
      <c r="I1815">
        <v>282.23610000000002</v>
      </c>
      <c r="J1815">
        <v>-287.04180000000002</v>
      </c>
      <c r="K1815">
        <v>1.105413</v>
      </c>
      <c r="L1815">
        <v>282.17720000000003</v>
      </c>
      <c r="M1815">
        <v>-0.99728419999999895</v>
      </c>
      <c r="N1815">
        <v>0</v>
      </c>
      <c r="O1815">
        <v>7.3214420000000002E-2</v>
      </c>
      <c r="P1815">
        <v>-0.99953119999999995</v>
      </c>
      <c r="Q1815">
        <v>-3.0437780000000001E-2</v>
      </c>
      <c r="R1815">
        <v>3.3371170000000001E-3</v>
      </c>
      <c r="S1815">
        <v>-2.9958800000000001</v>
      </c>
      <c r="T1815">
        <v>-0.17279530000000001</v>
      </c>
      <c r="U1815">
        <v>0.26156620000000003</v>
      </c>
      <c r="V1815">
        <v>-7.0010610000000001E-2</v>
      </c>
      <c r="W1815">
        <v>-2.196035E-2</v>
      </c>
      <c r="X1815">
        <v>0.99730450000000004</v>
      </c>
      <c r="Y1815">
        <v>1.390253E-2</v>
      </c>
      <c r="Z1815">
        <v>-3.8054500000000002E-3</v>
      </c>
      <c r="AA1815">
        <v>0.99989609999999995</v>
      </c>
      <c r="AB1815">
        <v>45</v>
      </c>
      <c r="AC1815">
        <v>-0.60419999999993401</v>
      </c>
      <c r="AD1815">
        <v>-6.1236999999999903E-2</v>
      </c>
      <c r="AE1815">
        <v>5.8899999999994103E-2</v>
      </c>
      <c r="AF1815">
        <v>1.4358246720948899E-2</v>
      </c>
      <c r="AG1815">
        <v>-6.1236999999999903E-2</v>
      </c>
      <c r="AH1815">
        <v>0.600777572020463</v>
      </c>
      <c r="AI1815">
        <v>95.818383696299904</v>
      </c>
      <c r="AJ1815">
        <v>88.630923657752803</v>
      </c>
      <c r="AK1815">
        <v>0.60406110656182999</v>
      </c>
      <c r="AL1815">
        <v>91.2583365205506</v>
      </c>
      <c r="AM1815">
        <v>94.015566577203202</v>
      </c>
      <c r="AN1815">
        <v>1.0000000041024699</v>
      </c>
    </row>
    <row r="1816" spans="1:40" x14ac:dyDescent="0.25">
      <c r="A1816" t="str">
        <f>"20190312151534162"</f>
        <v>20190312151534162</v>
      </c>
      <c r="B1816" t="str">
        <f>"1552374934149572"</f>
        <v>1552374934149572</v>
      </c>
      <c r="C1816" t="s">
        <v>40</v>
      </c>
      <c r="D1816">
        <v>5.0069339999999896</v>
      </c>
      <c r="E1816">
        <v>0.5320473</v>
      </c>
      <c r="F1816" t="s">
        <v>52</v>
      </c>
      <c r="G1816">
        <v>-306.53030000000001</v>
      </c>
      <c r="H1816" s="1">
        <v>2.8674580000000002E-6</v>
      </c>
      <c r="I1816">
        <v>283.916</v>
      </c>
      <c r="J1816">
        <v>-287.50599999999997</v>
      </c>
      <c r="K1816">
        <v>1.105475</v>
      </c>
      <c r="L1816">
        <v>282.21260000000001</v>
      </c>
      <c r="M1816">
        <v>-0.99711689999999997</v>
      </c>
      <c r="N1816">
        <v>0</v>
      </c>
      <c r="O1816">
        <v>7.5453240000000005E-2</v>
      </c>
      <c r="P1816">
        <v>-0.99951420000000002</v>
      </c>
      <c r="Q1816">
        <v>-3.0708019999999999E-2</v>
      </c>
      <c r="R1816">
        <v>5.3649630000000004E-3</v>
      </c>
      <c r="S1816">
        <v>-2.9953310000000002</v>
      </c>
      <c r="T1816">
        <v>-0.1698982</v>
      </c>
      <c r="U1816">
        <v>0.26724239999999999</v>
      </c>
      <c r="V1816">
        <v>-7.0223789999999994E-2</v>
      </c>
      <c r="W1816">
        <v>-2.2193230000000001E-2</v>
      </c>
      <c r="X1816">
        <v>0.99728439999999996</v>
      </c>
      <c r="Y1816">
        <v>1.355457E-2</v>
      </c>
      <c r="Z1816">
        <v>-3.8780580000000002E-3</v>
      </c>
      <c r="AA1816">
        <v>0.99990060000000003</v>
      </c>
      <c r="AB1816">
        <v>45</v>
      </c>
      <c r="AC1816">
        <v>-19.0243</v>
      </c>
      <c r="AD1816">
        <v>-1.1054721325420001</v>
      </c>
      <c r="AE1816">
        <v>1.70339999999998</v>
      </c>
      <c r="AF1816">
        <v>0.26217414942823702</v>
      </c>
      <c r="AG1816">
        <v>-1.1054721325420001</v>
      </c>
      <c r="AH1816">
        <v>19.0348342700313</v>
      </c>
      <c r="AI1816">
        <v>93.323476982760397</v>
      </c>
      <c r="AJ1816">
        <v>89.210892920533894</v>
      </c>
      <c r="AK1816">
        <v>19.068710486239301</v>
      </c>
      <c r="AL1816">
        <v>91.271682759487604</v>
      </c>
      <c r="AM1816">
        <v>94.027834574039304</v>
      </c>
      <c r="AN1816">
        <v>1.00000004731157</v>
      </c>
    </row>
    <row r="1817" spans="1:40" x14ac:dyDescent="0.25">
      <c r="A1817" t="str">
        <f>"20190312151534184"</f>
        <v>20190312151534184</v>
      </c>
      <c r="B1817" t="str">
        <f>"1552374934178852"</f>
        <v>1552374934178852</v>
      </c>
      <c r="C1817" t="s">
        <v>40</v>
      </c>
      <c r="D1817">
        <v>4.9903149999999998</v>
      </c>
      <c r="E1817">
        <v>0.53171199999999996</v>
      </c>
      <c r="F1817" t="s">
        <v>52</v>
      </c>
      <c r="G1817">
        <v>-306.82089999999999</v>
      </c>
      <c r="H1817" s="1">
        <v>2.8121889999999999E-6</v>
      </c>
      <c r="I1817">
        <v>283.95850000000002</v>
      </c>
      <c r="J1817">
        <v>-287.9658</v>
      </c>
      <c r="K1817">
        <v>1.105548</v>
      </c>
      <c r="L1817">
        <v>282.24869999999999</v>
      </c>
      <c r="M1817">
        <v>-0.99695400000000001</v>
      </c>
      <c r="N1817">
        <v>0</v>
      </c>
      <c r="O1817">
        <v>7.7571790000000002E-2</v>
      </c>
      <c r="P1817">
        <v>-0.99949339999999998</v>
      </c>
      <c r="Q1817">
        <v>-3.0911460000000002E-2</v>
      </c>
      <c r="R1817">
        <v>7.5969359999999899E-3</v>
      </c>
      <c r="S1817">
        <v>-2.99472</v>
      </c>
      <c r="T1817">
        <v>-0.17139960000000001</v>
      </c>
      <c r="U1817">
        <v>0.27069090000000001</v>
      </c>
      <c r="V1817">
        <v>-7.0112720000000003E-2</v>
      </c>
      <c r="W1817">
        <v>-2.2364700000000001E-2</v>
      </c>
      <c r="X1817">
        <v>0.99728830000000002</v>
      </c>
      <c r="Y1817">
        <v>1.259685E-2</v>
      </c>
      <c r="Z1817">
        <v>-4.0605870000000001E-3</v>
      </c>
      <c r="AA1817">
        <v>0.99991240000000003</v>
      </c>
      <c r="AB1817">
        <v>45</v>
      </c>
      <c r="AC1817">
        <v>-18.8551</v>
      </c>
      <c r="AD1817">
        <v>-1.1055451878110001</v>
      </c>
      <c r="AE1817">
        <v>1.70980000000002</v>
      </c>
      <c r="AF1817">
        <v>0.241153692574712</v>
      </c>
      <c r="AG1817">
        <v>-1.1055451878110001</v>
      </c>
      <c r="AH1817">
        <v>18.866585355637099</v>
      </c>
      <c r="AI1817">
        <v>93.353312955344194</v>
      </c>
      <c r="AJ1817">
        <v>89.267682194252501</v>
      </c>
      <c r="AK1817">
        <v>18.9004875134816</v>
      </c>
      <c r="AL1817">
        <v>91.281509813125098</v>
      </c>
      <c r="AM1817">
        <v>94.021469162225301</v>
      </c>
      <c r="AN1817">
        <v>0.99999996331438801</v>
      </c>
    </row>
    <row r="1818" spans="1:40" x14ac:dyDescent="0.25">
      <c r="A1818" t="str">
        <f>"20190312151534205"</f>
        <v>20190312151534205</v>
      </c>
      <c r="B1818" t="str">
        <f>"1552374934199348"</f>
        <v>1552374934199348</v>
      </c>
      <c r="C1818" t="s">
        <v>40</v>
      </c>
      <c r="D1818">
        <v>4.9915599999999998</v>
      </c>
      <c r="E1818">
        <v>0.53162100000000001</v>
      </c>
      <c r="F1818" t="s">
        <v>52</v>
      </c>
      <c r="G1818">
        <v>-306.77879999999999</v>
      </c>
      <c r="H1818" s="1">
        <v>2.8183190000000001E-6</v>
      </c>
      <c r="I1818">
        <v>283.97379999999998</v>
      </c>
      <c r="J1818">
        <v>-288.38929999999999</v>
      </c>
      <c r="K1818">
        <v>1.105631</v>
      </c>
      <c r="L1818">
        <v>282.28280000000001</v>
      </c>
      <c r="M1818">
        <v>-0.99680849999999999</v>
      </c>
      <c r="N1818">
        <v>0</v>
      </c>
      <c r="O1818">
        <v>7.9414970000000001E-2</v>
      </c>
      <c r="P1818">
        <v>-0.99945070000000003</v>
      </c>
      <c r="Q1818">
        <v>-3.1716439999999999E-2</v>
      </c>
      <c r="R1818">
        <v>9.6258560000000003E-3</v>
      </c>
      <c r="S1818">
        <v>-2.9939879999999999</v>
      </c>
      <c r="T1818">
        <v>-0.17594079999999901</v>
      </c>
      <c r="U1818">
        <v>0.27453610000000001</v>
      </c>
      <c r="V1818">
        <v>-6.9930290000000006E-2</v>
      </c>
      <c r="W1818">
        <v>-2.3141390000000001E-2</v>
      </c>
      <c r="X1818">
        <v>0.99728340000000004</v>
      </c>
      <c r="Y1818">
        <v>1.2053319999999999E-2</v>
      </c>
      <c r="Z1818">
        <v>-4.2921829999999998E-3</v>
      </c>
      <c r="AA1818">
        <v>0.99991819999999998</v>
      </c>
      <c r="AB1818">
        <v>45</v>
      </c>
      <c r="AC1818">
        <v>-18.389500000000002</v>
      </c>
      <c r="AD1818">
        <v>-1.1056281816810001</v>
      </c>
      <c r="AE1818">
        <v>1.6909999999999701</v>
      </c>
      <c r="AF1818">
        <v>0.224404657892393</v>
      </c>
      <c r="AG1818">
        <v>-1.1056281816810001</v>
      </c>
      <c r="AH1818">
        <v>18.3997578494047</v>
      </c>
      <c r="AI1818">
        <v>93.438472189172202</v>
      </c>
      <c r="AJ1818">
        <v>89.301251545084099</v>
      </c>
      <c r="AK1818">
        <v>18.434312030649298</v>
      </c>
      <c r="AL1818">
        <v>91.326022383429205</v>
      </c>
      <c r="AM1818">
        <v>94.011059329771697</v>
      </c>
      <c r="AN1818">
        <v>0.99999997465308699</v>
      </c>
    </row>
    <row r="1819" spans="1:40" x14ac:dyDescent="0.25">
      <c r="A1819" t="str">
        <f>"20190312151534216"</f>
        <v>20190312151534216</v>
      </c>
      <c r="B1819" t="str">
        <f>"1552374934209108"</f>
        <v>1552374934209108</v>
      </c>
      <c r="C1819" t="s">
        <v>40</v>
      </c>
      <c r="D1819">
        <v>4.9807750000000004</v>
      </c>
      <c r="E1819">
        <v>0.53146769999999999</v>
      </c>
      <c r="F1819" t="s">
        <v>52</v>
      </c>
      <c r="G1819">
        <v>-306.7611</v>
      </c>
      <c r="H1819" s="1">
        <v>2.8191299999999998E-6</v>
      </c>
      <c r="I1819">
        <v>284.00060000000002</v>
      </c>
      <c r="J1819">
        <v>-288.62150000000003</v>
      </c>
      <c r="K1819">
        <v>1.105685</v>
      </c>
      <c r="L1819">
        <v>282.30169999999998</v>
      </c>
      <c r="M1819">
        <v>-0.99673100000000003</v>
      </c>
      <c r="N1819">
        <v>0</v>
      </c>
      <c r="O1819">
        <v>8.03783E-2</v>
      </c>
      <c r="P1819">
        <v>-0.99942770000000003</v>
      </c>
      <c r="Q1819">
        <v>-3.2098429999999997E-2</v>
      </c>
      <c r="R1819">
        <v>1.0679839999999999E-2</v>
      </c>
      <c r="S1819">
        <v>-2.9932560000000001</v>
      </c>
      <c r="T1819">
        <v>-0.1801364</v>
      </c>
      <c r="U1819">
        <v>0.27987669999999998</v>
      </c>
      <c r="V1819">
        <v>-6.9840769999999996E-2</v>
      </c>
      <c r="W1819">
        <v>-2.3507449999999999E-2</v>
      </c>
      <c r="X1819">
        <v>0.99728110000000003</v>
      </c>
      <c r="Y1819">
        <v>1.2883850000000001E-2</v>
      </c>
      <c r="Z1819">
        <v>-4.4276209999999996E-3</v>
      </c>
      <c r="AA1819">
        <v>0.9999072</v>
      </c>
      <c r="AB1819">
        <v>46</v>
      </c>
      <c r="AC1819">
        <v>-18.139599999999898</v>
      </c>
      <c r="AD1819">
        <v>-1.1056821808699999</v>
      </c>
      <c r="AE1819">
        <v>1.6989000000000301</v>
      </c>
      <c r="AF1819">
        <v>0.23446038789492399</v>
      </c>
      <c r="AG1819">
        <v>-1.1056821808699999</v>
      </c>
      <c r="AH1819">
        <v>18.150613036305199</v>
      </c>
      <c r="AI1819">
        <v>93.485693202696297</v>
      </c>
      <c r="AJ1819">
        <v>89.259923422206199</v>
      </c>
      <c r="AK1819">
        <v>18.1857707659663</v>
      </c>
      <c r="AL1819">
        <v>91.347001800450101</v>
      </c>
      <c r="AM1819">
        <v>94.005950580983693</v>
      </c>
      <c r="AN1819">
        <v>0.99999996288845205</v>
      </c>
    </row>
    <row r="1820" spans="1:40" x14ac:dyDescent="0.25">
      <c r="A1820" t="str">
        <f>"20190312151534229"</f>
        <v>20190312151534229</v>
      </c>
      <c r="B1820" t="str">
        <f>"1552374934218868"</f>
        <v>1552374934218868</v>
      </c>
      <c r="C1820" t="s">
        <v>40</v>
      </c>
      <c r="D1820">
        <v>5.3279079999999999</v>
      </c>
      <c r="E1820">
        <v>0.53132579999999996</v>
      </c>
      <c r="F1820" t="s">
        <v>41</v>
      </c>
      <c r="G1820">
        <v>-289.67649999999998</v>
      </c>
      <c r="H1820">
        <v>1.041428</v>
      </c>
      <c r="I1820">
        <v>282.40100000000001</v>
      </c>
      <c r="J1820">
        <v>-288.88060000000002</v>
      </c>
      <c r="K1820">
        <v>1.1057539999999999</v>
      </c>
      <c r="L1820">
        <v>282.32310000000001</v>
      </c>
      <c r="M1820">
        <v>-0.99664750000000002</v>
      </c>
      <c r="N1820">
        <v>0</v>
      </c>
      <c r="O1820">
        <v>8.1403909999999996E-2</v>
      </c>
      <c r="P1820">
        <v>-0.99940989999999996</v>
      </c>
      <c r="Q1820">
        <v>-3.2296060000000001E-2</v>
      </c>
      <c r="R1820">
        <v>1.170879E-2</v>
      </c>
      <c r="S1820">
        <v>-2.9928590000000002</v>
      </c>
      <c r="T1820">
        <v>-0.18228169999999999</v>
      </c>
      <c r="U1820">
        <v>0.28182980000000002</v>
      </c>
      <c r="V1820">
        <v>-6.9836679999999998E-2</v>
      </c>
      <c r="W1820">
        <v>-2.3686209999999999E-2</v>
      </c>
      <c r="X1820">
        <v>0.99727719999999997</v>
      </c>
      <c r="Y1820">
        <v>1.251945E-2</v>
      </c>
      <c r="Z1820">
        <v>-4.5537399999999997E-3</v>
      </c>
      <c r="AA1820">
        <v>0.9999112</v>
      </c>
      <c r="AB1820">
        <v>46</v>
      </c>
      <c r="AC1820">
        <v>-0.79589999999995997</v>
      </c>
      <c r="AD1820">
        <v>-6.4326000000000105E-2</v>
      </c>
      <c r="AE1820">
        <v>7.7899999999999595E-2</v>
      </c>
      <c r="AF1820">
        <v>1.2767293308834599E-2</v>
      </c>
      <c r="AG1820">
        <v>-6.4326000000000105E-2</v>
      </c>
      <c r="AH1820">
        <v>0.79445967661273198</v>
      </c>
      <c r="AI1820">
        <v>94.628445119520293</v>
      </c>
      <c r="AJ1820">
        <v>89.079312543201596</v>
      </c>
      <c r="AK1820">
        <v>0.79716185045324395</v>
      </c>
      <c r="AL1820">
        <v>91.357246788498202</v>
      </c>
      <c r="AM1820">
        <v>94.005732363044601</v>
      </c>
      <c r="AN1820">
        <v>1.00000000602871</v>
      </c>
    </row>
    <row r="1821" spans="1:40" x14ac:dyDescent="0.25">
      <c r="A1821" t="str">
        <f>"20190312151534244"</f>
        <v>20190312151534244</v>
      </c>
      <c r="B1821" t="str">
        <f>"1552374934239364"</f>
        <v>1552374934239364</v>
      </c>
      <c r="C1821" t="s">
        <v>40</v>
      </c>
      <c r="D1821">
        <v>5.0010620000000001</v>
      </c>
      <c r="E1821">
        <v>0.53104779999999996</v>
      </c>
      <c r="F1821" t="s">
        <v>52</v>
      </c>
      <c r="G1821">
        <v>-306.97859999999997</v>
      </c>
      <c r="H1821" s="1">
        <v>2.77716E-6</v>
      </c>
      <c r="I1821">
        <v>284.03930000000003</v>
      </c>
      <c r="J1821">
        <v>-289.16419999999999</v>
      </c>
      <c r="K1821">
        <v>1.105836</v>
      </c>
      <c r="L1821">
        <v>282.34679999999997</v>
      </c>
      <c r="M1821">
        <v>-0.99656060000000002</v>
      </c>
      <c r="N1821">
        <v>0</v>
      </c>
      <c r="O1821">
        <v>8.2457230000000006E-2</v>
      </c>
      <c r="P1821">
        <v>-0.99939129999999998</v>
      </c>
      <c r="Q1821">
        <v>-3.2556269999999998E-2</v>
      </c>
      <c r="R1821">
        <v>1.2531799999999999E-2</v>
      </c>
      <c r="S1821">
        <v>-2.9925540000000002</v>
      </c>
      <c r="T1821">
        <v>-0.18283940000000001</v>
      </c>
      <c r="U1821">
        <v>0.28378300000000001</v>
      </c>
      <c r="V1821">
        <v>-7.0065970000000005E-2</v>
      </c>
      <c r="W1821">
        <v>-2.3922189999999999E-2</v>
      </c>
      <c r="X1821">
        <v>0.99725549999999996</v>
      </c>
      <c r="Y1821">
        <v>1.21223999999999E-2</v>
      </c>
      <c r="Z1821">
        <v>-4.6438970000000001E-3</v>
      </c>
      <c r="AA1821">
        <v>0.99991569999999996</v>
      </c>
      <c r="AB1821">
        <v>46</v>
      </c>
      <c r="AC1821">
        <v>-17.8143999999999</v>
      </c>
      <c r="AD1821">
        <v>-1.1058332228399901</v>
      </c>
      <c r="AE1821">
        <v>1.6925000000000501</v>
      </c>
      <c r="AF1821">
        <v>0.216931684069507</v>
      </c>
      <c r="AG1821">
        <v>-1.1058332228399901</v>
      </c>
      <c r="AH1821">
        <v>17.825222268412599</v>
      </c>
      <c r="AI1821">
        <v>93.549678434715304</v>
      </c>
      <c r="AJ1821">
        <v>89.302748869780601</v>
      </c>
      <c r="AK1821">
        <v>17.860808363302102</v>
      </c>
      <c r="AL1821">
        <v>91.370771257171199</v>
      </c>
      <c r="AM1821">
        <v>94.018928248433795</v>
      </c>
      <c r="AN1821">
        <v>1.00000002180334</v>
      </c>
    </row>
    <row r="1822" spans="1:40" x14ac:dyDescent="0.25">
      <c r="A1822" t="str">
        <f>"20190312151534262"</f>
        <v>20190312151534262</v>
      </c>
      <c r="B1822" t="str">
        <f>"1552374934258884"</f>
        <v>1552374934258884</v>
      </c>
      <c r="C1822" t="s">
        <v>40</v>
      </c>
      <c r="D1822">
        <v>4.9969919999999997</v>
      </c>
      <c r="E1822">
        <v>0.53083239999999998</v>
      </c>
      <c r="F1822" t="s">
        <v>52</v>
      </c>
      <c r="G1822">
        <v>-307.2636</v>
      </c>
      <c r="H1822" s="1">
        <v>2.7243750000000001E-6</v>
      </c>
      <c r="I1822">
        <v>284.06479999999999</v>
      </c>
      <c r="J1822">
        <v>-289.54849999999999</v>
      </c>
      <c r="K1822">
        <v>1.1059639999999999</v>
      </c>
      <c r="L1822">
        <v>282.3793</v>
      </c>
      <c r="M1822">
        <v>-0.99644920000000003</v>
      </c>
      <c r="N1822">
        <v>0</v>
      </c>
      <c r="O1822">
        <v>8.3787379999999995E-2</v>
      </c>
      <c r="P1822">
        <v>-0.99938079999999996</v>
      </c>
      <c r="Q1822">
        <v>-3.2515420000000003E-2</v>
      </c>
      <c r="R1822">
        <v>1.343837E-2</v>
      </c>
      <c r="S1822">
        <v>-2.9923099999999998</v>
      </c>
      <c r="T1822">
        <v>-0.18282370000000001</v>
      </c>
      <c r="U1822">
        <v>0.28402709999999998</v>
      </c>
      <c r="V1822">
        <v>-7.0484560000000002E-2</v>
      </c>
      <c r="W1822">
        <v>-2.3844870000000001E-2</v>
      </c>
      <c r="X1822">
        <v>0.9972278</v>
      </c>
      <c r="Y1822">
        <v>1.0880880000000001E-2</v>
      </c>
      <c r="Z1822">
        <v>-4.7623049999999997E-3</v>
      </c>
      <c r="AA1822">
        <v>0.99992950000000003</v>
      </c>
      <c r="AB1822">
        <v>46</v>
      </c>
      <c r="AC1822">
        <v>-17.7151</v>
      </c>
      <c r="AD1822">
        <v>-1.1059612756249999</v>
      </c>
      <c r="AE1822">
        <v>1.68549999999999</v>
      </c>
      <c r="AF1822">
        <v>0.19446885996143101</v>
      </c>
      <c r="AG1822">
        <v>-1.1059612756249999</v>
      </c>
      <c r="AH1822">
        <v>17.725565164014501</v>
      </c>
      <c r="AI1822">
        <v>93.570045731544496</v>
      </c>
      <c r="AJ1822">
        <v>89.371427776404502</v>
      </c>
      <c r="AK1822">
        <v>17.761098751608799</v>
      </c>
      <c r="AL1822">
        <v>91.366339956983694</v>
      </c>
      <c r="AM1822">
        <v>94.042970782844705</v>
      </c>
      <c r="AN1822">
        <v>0.99999996805827396</v>
      </c>
    </row>
    <row r="1823" spans="1:40" x14ac:dyDescent="0.25">
      <c r="A1823" t="str">
        <f>"20190312151534275"</f>
        <v>20190312151534275</v>
      </c>
      <c r="B1823" t="str">
        <f>"1552374934269621"</f>
        <v>1552374934269621</v>
      </c>
      <c r="C1823" t="s">
        <v>40</v>
      </c>
      <c r="D1823">
        <v>5.013522</v>
      </c>
      <c r="E1823">
        <v>0.53072269999999999</v>
      </c>
      <c r="F1823" t="s">
        <v>52</v>
      </c>
      <c r="G1823">
        <v>-307.76780000000002</v>
      </c>
      <c r="H1823" s="1">
        <v>2.630629E-6</v>
      </c>
      <c r="I1823">
        <v>284.11399999999998</v>
      </c>
      <c r="J1823">
        <v>-289.80970000000002</v>
      </c>
      <c r="K1823">
        <v>1.106061</v>
      </c>
      <c r="L1823">
        <v>282.40170000000001</v>
      </c>
      <c r="M1823">
        <v>-0.99637779999999998</v>
      </c>
      <c r="N1823">
        <v>0</v>
      </c>
      <c r="O1823">
        <v>8.4629480000000007E-2</v>
      </c>
      <c r="P1823">
        <v>-0.99936409999999998</v>
      </c>
      <c r="Q1823">
        <v>-3.2675290000000003E-2</v>
      </c>
      <c r="R1823">
        <v>1.427789E-2</v>
      </c>
      <c r="S1823">
        <v>-2.9920650000000002</v>
      </c>
      <c r="T1823">
        <v>-0.1816258</v>
      </c>
      <c r="U1823">
        <v>0.28488160000000001</v>
      </c>
      <c r="V1823">
        <v>-7.04848E-2</v>
      </c>
      <c r="W1823">
        <v>-2.397958E-2</v>
      </c>
      <c r="X1823">
        <v>0.99722460000000002</v>
      </c>
      <c r="Y1823">
        <v>1.032726E-2</v>
      </c>
      <c r="Z1823">
        <v>-4.7989369999999996E-3</v>
      </c>
      <c r="AA1823">
        <v>0.99993520000000002</v>
      </c>
      <c r="AB1823">
        <v>46</v>
      </c>
      <c r="AC1823">
        <v>-17.958100000000002</v>
      </c>
      <c r="AD1823">
        <v>-1.106058369371</v>
      </c>
      <c r="AE1823">
        <v>1.7123000000000199</v>
      </c>
      <c r="AF1823">
        <v>0.185621678495174</v>
      </c>
      <c r="AG1823">
        <v>-1.106058369371</v>
      </c>
      <c r="AH1823">
        <v>17.971028611239301</v>
      </c>
      <c r="AI1823">
        <v>93.521738981140899</v>
      </c>
      <c r="AJ1823">
        <v>89.408216368650699</v>
      </c>
      <c r="AK1823">
        <v>18.005990388478001</v>
      </c>
      <c r="AL1823">
        <v>91.374060414681495</v>
      </c>
      <c r="AM1823">
        <v>94.042997434047905</v>
      </c>
      <c r="AN1823">
        <v>1.00000001506658</v>
      </c>
    </row>
    <row r="1824" spans="1:40" x14ac:dyDescent="0.25">
      <c r="A1824" t="str">
        <f>"20190312151534288"</f>
        <v>20190312151534288</v>
      </c>
      <c r="B1824" t="str">
        <f>"1552374934279381"</f>
        <v>1552374934279381</v>
      </c>
      <c r="C1824" t="s">
        <v>40</v>
      </c>
      <c r="D1824">
        <v>5.0307629999999897</v>
      </c>
      <c r="E1824">
        <v>0.5305898</v>
      </c>
      <c r="F1824" t="s">
        <v>41</v>
      </c>
      <c r="G1824">
        <v>-290.90050000000002</v>
      </c>
      <c r="H1824">
        <v>1.039706</v>
      </c>
      <c r="I1824">
        <v>282.50630000000001</v>
      </c>
      <c r="J1824">
        <v>-290.07549999999998</v>
      </c>
      <c r="K1824">
        <v>1.1061639999999999</v>
      </c>
      <c r="L1824">
        <v>282.42469999999997</v>
      </c>
      <c r="M1824">
        <v>-0.99631080000000005</v>
      </c>
      <c r="N1824">
        <v>0</v>
      </c>
      <c r="O1824">
        <v>8.540934E-2</v>
      </c>
      <c r="P1824">
        <v>-0.99935079999999998</v>
      </c>
      <c r="Q1824">
        <v>-3.2793660000000002E-2</v>
      </c>
      <c r="R1824">
        <v>1.491689E-2</v>
      </c>
      <c r="S1824">
        <v>-2.9918209999999998</v>
      </c>
      <c r="T1824">
        <v>-0.18209349999999999</v>
      </c>
      <c r="U1824">
        <v>0.28659059999999997</v>
      </c>
      <c r="V1824">
        <v>-7.0622069999999995E-2</v>
      </c>
      <c r="W1824">
        <v>-2.4069360000000001E-2</v>
      </c>
      <c r="X1824">
        <v>0.99721269999999995</v>
      </c>
      <c r="Y1824">
        <v>1.0120759999999999E-2</v>
      </c>
      <c r="Z1824">
        <v>-4.8648559999999999E-3</v>
      </c>
      <c r="AA1824">
        <v>0.99993690000000002</v>
      </c>
      <c r="AB1824">
        <v>46</v>
      </c>
      <c r="AC1824">
        <v>-0.82500000000004503</v>
      </c>
      <c r="AD1824">
        <v>-6.6457999999999906E-2</v>
      </c>
      <c r="AE1824">
        <v>8.1600000000037198E-2</v>
      </c>
      <c r="AF1824">
        <v>1.0767440835548399E-2</v>
      </c>
      <c r="AG1824">
        <v>-6.6457999999999906E-2</v>
      </c>
      <c r="AH1824">
        <v>0.82366177215620395</v>
      </c>
      <c r="AI1824">
        <v>94.612583477584494</v>
      </c>
      <c r="AJ1824">
        <v>89.251035076153599</v>
      </c>
      <c r="AK1824">
        <v>0.826408687307705</v>
      </c>
      <c r="AL1824">
        <v>91.379205949477594</v>
      </c>
      <c r="AM1824">
        <v>94.050893212382803</v>
      </c>
      <c r="AN1824">
        <v>0.99999998995159201</v>
      </c>
    </row>
    <row r="1825" spans="1:40" x14ac:dyDescent="0.25">
      <c r="A1825" t="str">
        <f>"20190312151534306"</f>
        <v>20190312151534306</v>
      </c>
      <c r="B1825" t="str">
        <f>"1552374934298900"</f>
        <v>1552374934298900</v>
      </c>
      <c r="C1825" t="s">
        <v>40</v>
      </c>
      <c r="D1825">
        <v>4.9950010000000002</v>
      </c>
      <c r="E1825">
        <v>0.53030959999999905</v>
      </c>
      <c r="F1825" t="s">
        <v>52</v>
      </c>
      <c r="G1825">
        <v>-308.22879999999998</v>
      </c>
      <c r="H1825" s="1">
        <v>2.5440379999999999E-6</v>
      </c>
      <c r="I1825">
        <v>284.16919999999999</v>
      </c>
      <c r="J1825">
        <v>-290.44900000000001</v>
      </c>
      <c r="K1825">
        <v>1.106312</v>
      </c>
      <c r="L1825">
        <v>282.4572</v>
      </c>
      <c r="M1825">
        <v>-0.99622440000000001</v>
      </c>
      <c r="N1825">
        <v>0</v>
      </c>
      <c r="O1825">
        <v>8.6404129999999996E-2</v>
      </c>
      <c r="P1825">
        <v>-0.99934440000000002</v>
      </c>
      <c r="Q1825">
        <v>-3.27408E-2</v>
      </c>
      <c r="R1825">
        <v>1.546197E-2</v>
      </c>
      <c r="S1825">
        <v>-2.9916990000000001</v>
      </c>
      <c r="T1825">
        <v>-0.18229790000000001</v>
      </c>
      <c r="U1825">
        <v>0.28750609999999999</v>
      </c>
      <c r="V1825">
        <v>-7.1065409999999996E-2</v>
      </c>
      <c r="W1825">
        <v>-2.3973029999999999E-2</v>
      </c>
      <c r="X1825">
        <v>0.99718359999999995</v>
      </c>
      <c r="Y1825">
        <v>9.4327089999999992E-3</v>
      </c>
      <c r="Z1825">
        <v>-4.9514479999999998E-3</v>
      </c>
      <c r="AA1825">
        <v>0.99994329999999998</v>
      </c>
      <c r="AB1825">
        <v>46</v>
      </c>
      <c r="AC1825">
        <v>-17.779799999999899</v>
      </c>
      <c r="AD1825">
        <v>-1.1063094559619999</v>
      </c>
      <c r="AE1825">
        <v>1.71199999999998</v>
      </c>
      <c r="AF1825">
        <v>0.16864710576648401</v>
      </c>
      <c r="AG1825">
        <v>-1.1063094559619999</v>
      </c>
      <c r="AH1825">
        <v>17.792975090320098</v>
      </c>
      <c r="AI1825">
        <v>93.557726108756995</v>
      </c>
      <c r="AJ1825">
        <v>89.456949835963101</v>
      </c>
      <c r="AK1825">
        <v>17.8281329651589</v>
      </c>
      <c r="AL1825">
        <v>91.373684950277195</v>
      </c>
      <c r="AM1825">
        <v>94.076356362504299</v>
      </c>
      <c r="AN1825">
        <v>1.0000000653873999</v>
      </c>
    </row>
    <row r="1826" spans="1:40" x14ac:dyDescent="0.25">
      <c r="A1826" t="str">
        <f>"20190312151534320"</f>
        <v>20190312151534320</v>
      </c>
      <c r="B1826" t="str">
        <f>"1552374934309636"</f>
        <v>1552374934309636</v>
      </c>
      <c r="C1826" t="s">
        <v>40</v>
      </c>
      <c r="D1826">
        <v>5.0178330000000004</v>
      </c>
      <c r="E1826">
        <v>0.53025580000000005</v>
      </c>
      <c r="F1826" t="s">
        <v>52</v>
      </c>
      <c r="G1826">
        <v>-308.54669999999999</v>
      </c>
      <c r="H1826" s="1">
        <v>2.485625E-6</v>
      </c>
      <c r="I1826">
        <v>284.19240000000002</v>
      </c>
      <c r="J1826">
        <v>-290.7208</v>
      </c>
      <c r="K1826">
        <v>1.1064290000000001</v>
      </c>
      <c r="L1826">
        <v>282.48110000000003</v>
      </c>
      <c r="M1826">
        <v>-0.99616800000000005</v>
      </c>
      <c r="N1826">
        <v>0</v>
      </c>
      <c r="O1826">
        <v>8.7046849999999995E-2</v>
      </c>
      <c r="P1826">
        <v>-0.99933729999999998</v>
      </c>
      <c r="Q1826">
        <v>-3.2807799999999998E-2</v>
      </c>
      <c r="R1826">
        <v>1.5769459999999999E-2</v>
      </c>
      <c r="S1826">
        <v>-2.9915159999999998</v>
      </c>
      <c r="T1826">
        <v>-0.18287110000000001</v>
      </c>
      <c r="U1826">
        <v>0.2868347</v>
      </c>
      <c r="V1826">
        <v>-7.1395319999999998E-2</v>
      </c>
      <c r="W1826">
        <v>-2.4007500000000001E-2</v>
      </c>
      <c r="X1826">
        <v>0.99715909999999996</v>
      </c>
      <c r="Y1826">
        <v>8.5746559999999999E-3</v>
      </c>
      <c r="Z1826">
        <v>-5.0324710000000002E-3</v>
      </c>
      <c r="AA1826">
        <v>0.99995060000000002</v>
      </c>
      <c r="AB1826">
        <v>46</v>
      </c>
      <c r="AC1826">
        <v>-17.825899999999901</v>
      </c>
      <c r="AD1826">
        <v>-1.1064265143750001</v>
      </c>
      <c r="AE1826">
        <v>1.7112999999999901</v>
      </c>
      <c r="AF1826">
        <v>0.15247732358298499</v>
      </c>
      <c r="AG1826">
        <v>-1.1064265143750001</v>
      </c>
      <c r="AH1826">
        <v>17.839103063930999</v>
      </c>
      <c r="AI1826">
        <v>93.548954363650793</v>
      </c>
      <c r="AJ1826">
        <v>89.510283990175395</v>
      </c>
      <c r="AK1826">
        <v>17.874032200135201</v>
      </c>
      <c r="AL1826">
        <v>91.375660647542006</v>
      </c>
      <c r="AM1826">
        <v>94.095316245970693</v>
      </c>
      <c r="AN1826">
        <v>0.99999996124348001</v>
      </c>
    </row>
    <row r="1827" spans="1:40" x14ac:dyDescent="0.25">
      <c r="A1827" t="str">
        <f>"20190312151534334"</f>
        <v>20190312151534334</v>
      </c>
      <c r="B1827" t="str">
        <f>"1552374934329156"</f>
        <v>1552374934329156</v>
      </c>
      <c r="C1827" t="s">
        <v>40</v>
      </c>
      <c r="D1827">
        <v>4.9937110000000002</v>
      </c>
      <c r="E1827">
        <v>0.53002609999999994</v>
      </c>
      <c r="F1827" t="s">
        <v>41</v>
      </c>
      <c r="G1827">
        <v>-291.72859999999997</v>
      </c>
      <c r="H1827">
        <v>1.0443739999999999</v>
      </c>
      <c r="I1827">
        <v>282.5779</v>
      </c>
      <c r="J1827">
        <v>-291.00229999999999</v>
      </c>
      <c r="K1827">
        <v>1.1065529999999999</v>
      </c>
      <c r="L1827">
        <v>282.5059</v>
      </c>
      <c r="M1827">
        <v>-0.99611450000000001</v>
      </c>
      <c r="N1827">
        <v>0</v>
      </c>
      <c r="O1827">
        <v>8.7652450000000007E-2</v>
      </c>
      <c r="P1827">
        <v>-0.99933700000000003</v>
      </c>
      <c r="Q1827">
        <v>-3.2658E-2</v>
      </c>
      <c r="R1827">
        <v>1.6100239999999998E-2</v>
      </c>
      <c r="S1827">
        <v>-2.9913639999999999</v>
      </c>
      <c r="T1827">
        <v>-0.18425259999999999</v>
      </c>
      <c r="U1827">
        <v>0.28720089999999998</v>
      </c>
      <c r="V1827">
        <v>-7.1664290000000005E-2</v>
      </c>
      <c r="W1827">
        <v>-2.3823850000000001E-2</v>
      </c>
      <c r="X1827">
        <v>0.99714420000000004</v>
      </c>
      <c r="Y1827">
        <v>8.0970539999999994E-3</v>
      </c>
      <c r="Z1827">
        <v>-5.1222999999999998E-3</v>
      </c>
      <c r="AA1827">
        <v>0.99995409999999996</v>
      </c>
      <c r="AB1827">
        <v>46</v>
      </c>
      <c r="AC1827">
        <v>-0.72629999999997996</v>
      </c>
      <c r="AD1827">
        <v>-6.2179000000000199E-2</v>
      </c>
      <c r="AE1827">
        <v>7.2000000000002701E-2</v>
      </c>
      <c r="AF1827">
        <v>8.0004970630222494E-3</v>
      </c>
      <c r="AG1827">
        <v>-6.2179000000000199E-2</v>
      </c>
      <c r="AH1827">
        <v>0.72455683022210304</v>
      </c>
      <c r="AI1827">
        <v>94.9046140090488</v>
      </c>
      <c r="AJ1827">
        <v>89.367370414305299</v>
      </c>
      <c r="AK1827">
        <v>0.72726393848159199</v>
      </c>
      <c r="AL1827">
        <v>91.365135280800999</v>
      </c>
      <c r="AM1827">
        <v>94.110753092731002</v>
      </c>
      <c r="AN1827">
        <v>0.99999995094183203</v>
      </c>
    </row>
    <row r="1828" spans="1:40" x14ac:dyDescent="0.25">
      <c r="A1828" t="str">
        <f>"20190312151534352"</f>
        <v>20190312151534352</v>
      </c>
      <c r="B1828" t="str">
        <f>"1552374934338917"</f>
        <v>1552374934338917</v>
      </c>
      <c r="C1828" t="s">
        <v>40</v>
      </c>
      <c r="D1828">
        <v>5.0087539999999997</v>
      </c>
      <c r="E1828">
        <v>0.52989180000000002</v>
      </c>
      <c r="F1828" t="s">
        <v>41</v>
      </c>
      <c r="G1828">
        <v>-292.12689999999998</v>
      </c>
      <c r="H1828">
        <v>1.03657</v>
      </c>
      <c r="I1828">
        <v>282.61369999999999</v>
      </c>
      <c r="J1828">
        <v>-291.39440000000002</v>
      </c>
      <c r="K1828">
        <v>1.106741</v>
      </c>
      <c r="L1828">
        <v>282.54079999999999</v>
      </c>
      <c r="M1828">
        <v>-0.99605319999999997</v>
      </c>
      <c r="N1828">
        <v>0</v>
      </c>
      <c r="O1828">
        <v>8.8338840000000002E-2</v>
      </c>
      <c r="P1828">
        <v>-0.99934339999999999</v>
      </c>
      <c r="Q1828">
        <v>-3.2332609999999998E-2</v>
      </c>
      <c r="R1828">
        <v>1.6358009999999999E-2</v>
      </c>
      <c r="S1828">
        <v>-2.991333</v>
      </c>
      <c r="T1828">
        <v>-0.18623110000000001</v>
      </c>
      <c r="U1828">
        <v>0.28628540000000002</v>
      </c>
      <c r="V1828">
        <v>-7.2083350000000004E-2</v>
      </c>
      <c r="W1828">
        <v>-2.34504E-2</v>
      </c>
      <c r="X1828">
        <v>0.99712290000000003</v>
      </c>
      <c r="Y1828">
        <v>7.1120430000000002E-3</v>
      </c>
      <c r="Z1828">
        <v>-5.2502929999999996E-3</v>
      </c>
      <c r="AA1828">
        <v>0.99996090000000004</v>
      </c>
      <c r="AB1828">
        <v>46</v>
      </c>
      <c r="AC1828">
        <v>-0.73249999999995896</v>
      </c>
      <c r="AD1828">
        <v>-7.01709999999999E-2</v>
      </c>
      <c r="AE1828">
        <v>7.29000000000041E-2</v>
      </c>
      <c r="AF1828">
        <v>7.8331914485256001E-3</v>
      </c>
      <c r="AG1828">
        <v>-7.01709999999999E-2</v>
      </c>
      <c r="AH1828">
        <v>0.72944772713264905</v>
      </c>
      <c r="AI1828">
        <v>95.494484247514904</v>
      </c>
      <c r="AJ1828">
        <v>89.384751582568697</v>
      </c>
      <c r="AK1828">
        <v>0.73285695381039795</v>
      </c>
      <c r="AL1828">
        <v>91.343732119313501</v>
      </c>
      <c r="AM1828">
        <v>94.134795787994506</v>
      </c>
      <c r="AN1828">
        <v>1.0000000041558901</v>
      </c>
    </row>
    <row r="1829" spans="1:40" x14ac:dyDescent="0.25">
      <c r="A1829" t="str">
        <f>"20190312151534376"</f>
        <v>20190312151534376</v>
      </c>
      <c r="B1829" t="str">
        <f>"1552374934369175"</f>
        <v>1552374934369175</v>
      </c>
      <c r="C1829" t="s">
        <v>40</v>
      </c>
      <c r="D1829">
        <v>5.009468</v>
      </c>
      <c r="E1829">
        <v>0.52952509999999997</v>
      </c>
      <c r="F1829" t="s">
        <v>52</v>
      </c>
      <c r="G1829">
        <v>-309.18520000000001</v>
      </c>
      <c r="H1829" s="1">
        <v>2.368074E-6</v>
      </c>
      <c r="I1829">
        <v>284.24130000000002</v>
      </c>
      <c r="J1829">
        <v>-291.85419999999999</v>
      </c>
      <c r="K1829">
        <v>1.106967</v>
      </c>
      <c r="L1829">
        <v>282.58190000000002</v>
      </c>
      <c r="M1829">
        <v>-0.99599800000000005</v>
      </c>
      <c r="N1829">
        <v>0</v>
      </c>
      <c r="O1829">
        <v>8.8951569999999994E-2</v>
      </c>
      <c r="P1829">
        <v>-0.9993436</v>
      </c>
      <c r="Q1829">
        <v>-3.1973429999999997E-2</v>
      </c>
      <c r="R1829">
        <v>1.704257E-2</v>
      </c>
      <c r="S1829">
        <v>-2.9913020000000001</v>
      </c>
      <c r="T1829">
        <v>-0.18608440000000001</v>
      </c>
      <c r="U1829">
        <v>0.28591919999999998</v>
      </c>
      <c r="V1829">
        <v>-7.2001300000000004E-2</v>
      </c>
      <c r="W1829">
        <v>-2.3037470000000001E-2</v>
      </c>
      <c r="X1829">
        <v>0.99713839999999998</v>
      </c>
      <c r="Y1829">
        <v>6.3788069999999898E-3</v>
      </c>
      <c r="Z1829">
        <v>-5.3067940000000001E-3</v>
      </c>
      <c r="AA1829">
        <v>0.99996549999999995</v>
      </c>
      <c r="AB1829">
        <v>46</v>
      </c>
      <c r="AC1829">
        <v>-17.331</v>
      </c>
      <c r="AD1829">
        <v>-1.106964631926</v>
      </c>
      <c r="AE1829">
        <v>1.6594</v>
      </c>
      <c r="AF1829">
        <v>0.11069612673221001</v>
      </c>
      <c r="AG1829">
        <v>-1.106964631926</v>
      </c>
      <c r="AH1829">
        <v>17.339808405980701</v>
      </c>
      <c r="AI1829">
        <v>93.6527025726094</v>
      </c>
      <c r="AJ1829">
        <v>89.634232711057393</v>
      </c>
      <c r="AK1829">
        <v>17.3754591273131</v>
      </c>
      <c r="AL1829">
        <v>91.320066649985094</v>
      </c>
      <c r="AM1829">
        <v>94.130041609748503</v>
      </c>
      <c r="AN1829">
        <v>0.99999995049012402</v>
      </c>
    </row>
    <row r="1830" spans="1:40" x14ac:dyDescent="0.25">
      <c r="A1830" t="str">
        <f>"20190312151534396"</f>
        <v>20190312151534396</v>
      </c>
      <c r="B1830" t="str">
        <f>"1552374934389668"</f>
        <v>1552374934389668</v>
      </c>
      <c r="C1830" t="s">
        <v>40</v>
      </c>
      <c r="D1830">
        <v>4.9951829999999999</v>
      </c>
      <c r="E1830">
        <v>0.52923739999999997</v>
      </c>
      <c r="F1830" t="s">
        <v>41</v>
      </c>
      <c r="G1830">
        <v>-292.94970000000001</v>
      </c>
      <c r="H1830">
        <v>1.0383150000000001</v>
      </c>
      <c r="I1830">
        <v>282.68639999999999</v>
      </c>
      <c r="J1830">
        <v>-292.28969999999998</v>
      </c>
      <c r="K1830">
        <v>1.1071820000000001</v>
      </c>
      <c r="L1830">
        <v>282.62110000000001</v>
      </c>
      <c r="M1830">
        <v>-0.99596070000000003</v>
      </c>
      <c r="N1830">
        <v>0</v>
      </c>
      <c r="O1830">
        <v>8.9358499999999993E-2</v>
      </c>
      <c r="P1830">
        <v>-0.99933760000000005</v>
      </c>
      <c r="Q1830">
        <v>-3.2072009999999998E-2</v>
      </c>
      <c r="R1830">
        <v>1.7206679999999999E-2</v>
      </c>
      <c r="S1830">
        <v>-2.9911500000000002</v>
      </c>
      <c r="T1830">
        <v>-0.18755830000000001</v>
      </c>
      <c r="U1830">
        <v>0.28482059999999998</v>
      </c>
      <c r="V1830">
        <v>-7.2233249999999999E-2</v>
      </c>
      <c r="W1830">
        <v>-2.3082350000000001E-2</v>
      </c>
      <c r="X1830">
        <v>0.99712060000000002</v>
      </c>
      <c r="Y1830">
        <v>5.6158170000000004E-3</v>
      </c>
      <c r="Z1830">
        <v>-5.3982860000000004E-3</v>
      </c>
      <c r="AA1830">
        <v>0.99996969999999996</v>
      </c>
      <c r="AB1830">
        <v>46</v>
      </c>
      <c r="AC1830">
        <v>-0.66000000000002501</v>
      </c>
      <c r="AD1830">
        <v>-6.8866999999999998E-2</v>
      </c>
      <c r="AE1830">
        <v>6.5299999999979194E-2</v>
      </c>
      <c r="AF1830">
        <v>5.9952169588270597E-3</v>
      </c>
      <c r="AG1830">
        <v>-6.8866999999999998E-2</v>
      </c>
      <c r="AH1830">
        <v>0.65612045518592199</v>
      </c>
      <c r="AI1830">
        <v>95.991629367012294</v>
      </c>
      <c r="AJ1830">
        <v>89.476481693312294</v>
      </c>
      <c r="AK1830">
        <v>0.65975196705183503</v>
      </c>
      <c r="AL1830">
        <v>91.322638750637495</v>
      </c>
      <c r="AM1830">
        <v>94.143373858252104</v>
      </c>
      <c r="AN1830">
        <v>0.99999996411572101</v>
      </c>
    </row>
    <row r="1831" spans="1:40" x14ac:dyDescent="0.25">
      <c r="A1831" t="str">
        <f>"20190312151534418"</f>
        <v>20190312151534418</v>
      </c>
      <c r="B1831" t="str">
        <f>"1552374934409188"</f>
        <v>1552374934409188</v>
      </c>
      <c r="C1831" t="s">
        <v>40</v>
      </c>
      <c r="D1831">
        <v>5.1618950000000003</v>
      </c>
      <c r="E1831">
        <v>0.52901229999999999</v>
      </c>
      <c r="F1831" t="s">
        <v>41</v>
      </c>
      <c r="G1831">
        <v>-293.36200000000002</v>
      </c>
      <c r="H1831">
        <v>1.039439</v>
      </c>
      <c r="I1831">
        <v>282.72280000000001</v>
      </c>
      <c r="J1831">
        <v>-292.74709999999999</v>
      </c>
      <c r="K1831">
        <v>1.107399</v>
      </c>
      <c r="L1831">
        <v>282.66230000000002</v>
      </c>
      <c r="M1831">
        <v>-0.99593569999999998</v>
      </c>
      <c r="N1831">
        <v>0</v>
      </c>
      <c r="O1831">
        <v>8.9627520000000002E-2</v>
      </c>
      <c r="P1831">
        <v>-0.99935030000000002</v>
      </c>
      <c r="Q1831">
        <v>-3.1858989999999997E-2</v>
      </c>
      <c r="R1831">
        <v>1.686665E-2</v>
      </c>
      <c r="S1831">
        <v>-2.9910580000000002</v>
      </c>
      <c r="T1831">
        <v>-0.1891882</v>
      </c>
      <c r="U1831">
        <v>0.28292850000000003</v>
      </c>
      <c r="V1831">
        <v>-7.2829930000000001E-2</v>
      </c>
      <c r="W1831">
        <v>-2.2809929999999999E-2</v>
      </c>
      <c r="X1831">
        <v>0.99708350000000001</v>
      </c>
      <c r="Y1831">
        <v>4.7267300000000002E-3</v>
      </c>
      <c r="Z1831">
        <v>-5.4903799999999996E-3</v>
      </c>
      <c r="AA1831">
        <v>0.99997380000000002</v>
      </c>
      <c r="AB1831">
        <v>46</v>
      </c>
      <c r="AC1831">
        <v>-0.61490000000003397</v>
      </c>
      <c r="AD1831">
        <v>-6.7960000000000007E-2</v>
      </c>
      <c r="AE1831">
        <v>6.0499999999990402E-2</v>
      </c>
      <c r="AF1831">
        <v>5.0808823624043098E-3</v>
      </c>
      <c r="AG1831">
        <v>-6.7960000000000007E-2</v>
      </c>
      <c r="AH1831">
        <v>0.61046235261154502</v>
      </c>
      <c r="AI1831">
        <v>96.352104559008595</v>
      </c>
      <c r="AJ1831">
        <v>89.523137843696105</v>
      </c>
      <c r="AK1831">
        <v>0.61425455710283705</v>
      </c>
      <c r="AL1831">
        <v>91.307026077680703</v>
      </c>
      <c r="AM1831">
        <v>94.177634252429598</v>
      </c>
      <c r="AN1831">
        <v>0.99999999879132995</v>
      </c>
    </row>
    <row r="1832" spans="1:40" x14ac:dyDescent="0.25">
      <c r="A1832" t="str">
        <f>"20190312151534431"</f>
        <v>20190312151534431</v>
      </c>
      <c r="B1832" t="str">
        <f>"1552374934418949"</f>
        <v>1552374934418949</v>
      </c>
      <c r="C1832" t="s">
        <v>40</v>
      </c>
      <c r="D1832">
        <v>5.0088239999999997</v>
      </c>
      <c r="E1832">
        <v>0.52890139999999997</v>
      </c>
      <c r="F1832" t="s">
        <v>41</v>
      </c>
      <c r="G1832">
        <v>-293.77620000000002</v>
      </c>
      <c r="H1832">
        <v>1.042394</v>
      </c>
      <c r="I1832">
        <v>282.75880000000001</v>
      </c>
      <c r="J1832">
        <v>-293.0179</v>
      </c>
      <c r="K1832">
        <v>1.1075189999999999</v>
      </c>
      <c r="L1832">
        <v>282.6866</v>
      </c>
      <c r="M1832">
        <v>-0.9959266</v>
      </c>
      <c r="N1832">
        <v>0</v>
      </c>
      <c r="O1832">
        <v>8.9721709999999996E-2</v>
      </c>
      <c r="P1832">
        <v>-0.99934710000000004</v>
      </c>
      <c r="Q1832">
        <v>-3.174519E-2</v>
      </c>
      <c r="R1832">
        <v>1.7251570000000001E-2</v>
      </c>
      <c r="S1832">
        <v>-2.9912109999999998</v>
      </c>
      <c r="T1832">
        <v>-0.18912580000000001</v>
      </c>
      <c r="U1832">
        <v>0.2801208</v>
      </c>
      <c r="V1832">
        <v>-7.2534440000000006E-2</v>
      </c>
      <c r="W1832">
        <v>-2.2662020000000001E-2</v>
      </c>
      <c r="X1832">
        <v>0.99710840000000001</v>
      </c>
      <c r="Y1832">
        <v>3.6990759999999999E-3</v>
      </c>
      <c r="Z1832">
        <v>-5.5268849999999996E-3</v>
      </c>
      <c r="AA1832">
        <v>0.99997789999999998</v>
      </c>
      <c r="AB1832">
        <v>46</v>
      </c>
      <c r="AC1832">
        <v>-0.75830000000001896</v>
      </c>
      <c r="AD1832">
        <v>-6.5125000000000099E-2</v>
      </c>
      <c r="AE1832">
        <v>7.2200000000009298E-2</v>
      </c>
      <c r="AF1832">
        <v>3.8419995584017901E-3</v>
      </c>
      <c r="AG1832">
        <v>-6.5125000000000099E-2</v>
      </c>
      <c r="AH1832">
        <v>0.75619213530608997</v>
      </c>
      <c r="AI1832">
        <v>94.922234978674894</v>
      </c>
      <c r="AJ1832">
        <v>89.708898763670405</v>
      </c>
      <c r="AK1832">
        <v>0.75900103562800902</v>
      </c>
      <c r="AL1832">
        <v>91.298549283343405</v>
      </c>
      <c r="AM1832">
        <v>94.160640610924403</v>
      </c>
      <c r="AN1832">
        <v>0.99999998674357604</v>
      </c>
    </row>
    <row r="1833" spans="1:40" x14ac:dyDescent="0.25">
      <c r="A1833" t="str">
        <f>"20190312151534452"</f>
        <v>20190312151534452</v>
      </c>
      <c r="B1833" t="str">
        <f>"1552374934439444"</f>
        <v>1552374934439444</v>
      </c>
      <c r="C1833" t="s">
        <v>40</v>
      </c>
      <c r="D1833">
        <v>5.0352129999999997</v>
      </c>
      <c r="E1833">
        <v>0.52856979999999998</v>
      </c>
      <c r="F1833" t="s">
        <v>52</v>
      </c>
      <c r="G1833">
        <v>-310.4785</v>
      </c>
      <c r="H1833" s="1">
        <v>2.4547200000000001E-6</v>
      </c>
      <c r="I1833">
        <v>284.32400000000001</v>
      </c>
      <c r="J1833">
        <v>-293.43299999999999</v>
      </c>
      <c r="K1833">
        <v>1.1077079999999999</v>
      </c>
      <c r="L1833">
        <v>282.72399999999999</v>
      </c>
      <c r="M1833">
        <v>-0.99592460000000005</v>
      </c>
      <c r="N1833">
        <v>0</v>
      </c>
      <c r="O1833">
        <v>8.9735690000000007E-2</v>
      </c>
      <c r="P1833">
        <v>-0.99936670000000005</v>
      </c>
      <c r="Q1833">
        <v>-3.1247279999999999E-2</v>
      </c>
      <c r="R1833">
        <v>1.703031E-2</v>
      </c>
      <c r="S1833">
        <v>-2.9910890000000001</v>
      </c>
      <c r="T1833">
        <v>-0.18972349999999999</v>
      </c>
      <c r="U1833">
        <v>0.28048709999999999</v>
      </c>
      <c r="V1833">
        <v>-7.2759749999999998E-2</v>
      </c>
      <c r="W1833">
        <v>-2.2107979999999999E-2</v>
      </c>
      <c r="X1833">
        <v>0.9971044</v>
      </c>
      <c r="Y1833">
        <v>3.8110119999999999E-3</v>
      </c>
      <c r="Z1833">
        <v>-5.5418489999999997E-3</v>
      </c>
      <c r="AA1833">
        <v>0.99997740000000002</v>
      </c>
      <c r="AB1833">
        <v>46</v>
      </c>
      <c r="AC1833">
        <v>-17.045500000000001</v>
      </c>
      <c r="AD1833">
        <v>-1.10770554528</v>
      </c>
      <c r="AE1833">
        <v>1.6000000000000201</v>
      </c>
      <c r="AF1833">
        <v>6.3625915605946604E-2</v>
      </c>
      <c r="AG1833">
        <v>-1.10770554528</v>
      </c>
      <c r="AH1833">
        <v>17.048939052274601</v>
      </c>
      <c r="AI1833">
        <v>93.7173769058315</v>
      </c>
      <c r="AJ1833">
        <v>89.786175579804905</v>
      </c>
      <c r="AK1833">
        <v>17.0850046134133</v>
      </c>
      <c r="AL1833">
        <v>91.266797201032901</v>
      </c>
      <c r="AM1833">
        <v>94.173535681408097</v>
      </c>
      <c r="AN1833">
        <v>0.99999996424954996</v>
      </c>
    </row>
    <row r="1834" spans="1:40" x14ac:dyDescent="0.25">
      <c r="A1834" t="str">
        <f>"20190312151534474"</f>
        <v>20190312151534474</v>
      </c>
      <c r="B1834" t="str">
        <f>"1552374934469701"</f>
        <v>1552374934469701</v>
      </c>
      <c r="C1834" t="s">
        <v>40</v>
      </c>
      <c r="D1834">
        <v>4.9765160000000002</v>
      </c>
      <c r="E1834">
        <v>0.52825809999999995</v>
      </c>
      <c r="F1834" t="s">
        <v>52</v>
      </c>
      <c r="G1834">
        <v>-310.86520000000002</v>
      </c>
      <c r="H1834" s="1">
        <v>2.6249629999999999E-6</v>
      </c>
      <c r="I1834">
        <v>284.33839999999998</v>
      </c>
      <c r="J1834">
        <v>-293.90039999999999</v>
      </c>
      <c r="K1834">
        <v>1.107945</v>
      </c>
      <c r="L1834">
        <v>282.76609999999999</v>
      </c>
      <c r="M1834">
        <v>-0.99593940000000003</v>
      </c>
      <c r="N1834">
        <v>0</v>
      </c>
      <c r="O1834">
        <v>8.9560459999999995E-2</v>
      </c>
      <c r="P1834">
        <v>-0.99939829999999996</v>
      </c>
      <c r="Q1834">
        <v>-3.0627459999999999E-2</v>
      </c>
      <c r="R1834">
        <v>1.6283949999999998E-2</v>
      </c>
      <c r="S1834">
        <v>-2.991241</v>
      </c>
      <c r="T1834">
        <v>-0.19007399999999999</v>
      </c>
      <c r="U1834">
        <v>0.27700809999999998</v>
      </c>
      <c r="V1834">
        <v>-7.3317610000000005E-2</v>
      </c>
      <c r="W1834">
        <v>-2.1423250000000001E-2</v>
      </c>
      <c r="X1834">
        <v>0.99707849999999998</v>
      </c>
      <c r="Y1834">
        <v>2.8313589999999999E-3</v>
      </c>
      <c r="Z1834">
        <v>-5.5721440000000002E-3</v>
      </c>
      <c r="AA1834">
        <v>0.99998039999999999</v>
      </c>
      <c r="AB1834">
        <v>46</v>
      </c>
      <c r="AC1834">
        <v>-16.9648</v>
      </c>
      <c r="AD1834">
        <v>-1.1079423750370001</v>
      </c>
      <c r="AE1834">
        <v>1.57229999999998</v>
      </c>
      <c r="AF1834">
        <v>4.6346182050688502E-2</v>
      </c>
      <c r="AG1834">
        <v>-1.1079423750370001</v>
      </c>
      <c r="AH1834">
        <v>16.965695730069498</v>
      </c>
      <c r="AI1834">
        <v>93.736373398852393</v>
      </c>
      <c r="AJ1834">
        <v>89.843482161597393</v>
      </c>
      <c r="AK1834">
        <v>17.001897420002699</v>
      </c>
      <c r="AL1834">
        <v>91.227555742477307</v>
      </c>
      <c r="AM1834">
        <v>94.205529289316004</v>
      </c>
      <c r="AN1834">
        <v>0.999999981369462</v>
      </c>
    </row>
    <row r="1835" spans="1:40" x14ac:dyDescent="0.25">
      <c r="A1835" t="str">
        <f>"20190312151534487"</f>
        <v>20190312151534487</v>
      </c>
      <c r="B1835" t="str">
        <f>"1552374934479460"</f>
        <v>1552374934479460</v>
      </c>
      <c r="C1835" t="s">
        <v>40</v>
      </c>
      <c r="D1835">
        <v>4.988035</v>
      </c>
      <c r="E1835">
        <v>0.52815419999999902</v>
      </c>
      <c r="F1835" t="s">
        <v>41</v>
      </c>
      <c r="G1835">
        <v>-295.00850000000003</v>
      </c>
      <c r="H1835">
        <v>1.0374429999999999</v>
      </c>
      <c r="I1835">
        <v>282.86689999999999</v>
      </c>
      <c r="J1835">
        <v>-294.1755</v>
      </c>
      <c r="K1835">
        <v>1.1080909999999999</v>
      </c>
      <c r="L1835">
        <v>282.79059999999998</v>
      </c>
      <c r="M1835">
        <v>-0.99595750000000005</v>
      </c>
      <c r="N1835">
        <v>0</v>
      </c>
      <c r="O1835">
        <v>8.9352390000000004E-2</v>
      </c>
      <c r="P1835">
        <v>-0.99940090000000004</v>
      </c>
      <c r="Q1835">
        <v>-3.0618679999999999E-2</v>
      </c>
      <c r="R1835">
        <v>1.6146290000000001E-2</v>
      </c>
      <c r="S1835">
        <v>-2.9915470000000002</v>
      </c>
      <c r="T1835">
        <v>-0.19045010000000001</v>
      </c>
      <c r="U1835">
        <v>0.27191159999999998</v>
      </c>
      <c r="V1835">
        <v>-7.3239230000000002E-2</v>
      </c>
      <c r="W1835">
        <v>-2.137615E-2</v>
      </c>
      <c r="X1835">
        <v>0.99708529999999995</v>
      </c>
      <c r="Y1835">
        <v>1.344727E-3</v>
      </c>
      <c r="Z1835">
        <v>-5.617164E-3</v>
      </c>
      <c r="AA1835">
        <v>0.99998330000000002</v>
      </c>
      <c r="AB1835">
        <v>46</v>
      </c>
      <c r="AC1835">
        <v>-0.83300000000002605</v>
      </c>
      <c r="AD1835">
        <v>-7.0647999999999794E-2</v>
      </c>
      <c r="AE1835">
        <v>7.6300000000003296E-2</v>
      </c>
      <c r="AF1835">
        <v>1.5500260130705101E-3</v>
      </c>
      <c r="AG1835">
        <v>-7.0647999999999794E-2</v>
      </c>
      <c r="AH1835">
        <v>0.83056114066223297</v>
      </c>
      <c r="AI1835">
        <v>94.861899709912393</v>
      </c>
      <c r="AJ1835">
        <v>89.8930724768679</v>
      </c>
      <c r="AK1835">
        <v>0.83356184585355797</v>
      </c>
      <c r="AL1835">
        <v>91.224856457963995</v>
      </c>
      <c r="AM1835">
        <v>94.201020936113295</v>
      </c>
      <c r="AN1835">
        <v>1.00000001003795</v>
      </c>
    </row>
    <row r="1836" spans="1:40" x14ac:dyDescent="0.25">
      <c r="A1836" t="str">
        <f>"20190312151534507"</f>
        <v>20190312151534507</v>
      </c>
      <c r="B1836" t="str">
        <f>"1552374934498980"</f>
        <v>1552374934498980</v>
      </c>
      <c r="C1836" t="s">
        <v>40</v>
      </c>
      <c r="D1836">
        <v>5.0454420000000004</v>
      </c>
      <c r="E1836">
        <v>0.51172629999999997</v>
      </c>
      <c r="F1836" t="s">
        <v>52</v>
      </c>
      <c r="G1836">
        <v>-311.5025</v>
      </c>
      <c r="H1836" s="1">
        <v>2.9057800000000001E-6</v>
      </c>
      <c r="I1836">
        <v>284.35879999999997</v>
      </c>
      <c r="J1836">
        <v>-294.58949999999999</v>
      </c>
      <c r="K1836">
        <v>1.1083130000000001</v>
      </c>
      <c r="L1836">
        <v>282.82760000000002</v>
      </c>
      <c r="M1836">
        <v>-0.99599340000000003</v>
      </c>
      <c r="N1836">
        <v>0</v>
      </c>
      <c r="O1836">
        <v>8.8941610000000004E-2</v>
      </c>
      <c r="P1836">
        <v>-0.99941420000000003</v>
      </c>
      <c r="Q1836">
        <v>-3.070463E-2</v>
      </c>
      <c r="R1836">
        <v>1.5118799999999899E-2</v>
      </c>
      <c r="S1836">
        <v>-2.9916079999999998</v>
      </c>
      <c r="T1836">
        <v>-0.19131880000000001</v>
      </c>
      <c r="U1836">
        <v>0.27075199999999999</v>
      </c>
      <c r="V1836">
        <v>-7.3842519999999995E-2</v>
      </c>
      <c r="W1836">
        <v>-2.1404670000000001E-2</v>
      </c>
      <c r="X1836">
        <v>0.99704020000000004</v>
      </c>
      <c r="Y1836">
        <v>1.37151E-3</v>
      </c>
      <c r="Z1836">
        <v>-5.6158319999999899E-3</v>
      </c>
      <c r="AA1836">
        <v>0.99998330000000002</v>
      </c>
      <c r="AB1836">
        <v>46</v>
      </c>
      <c r="AC1836">
        <v>-16.913</v>
      </c>
      <c r="AD1836">
        <v>-1.1083100942199999</v>
      </c>
      <c r="AE1836">
        <v>1.5311999999999499</v>
      </c>
      <c r="AF1836">
        <v>2.0708341392013399E-2</v>
      </c>
      <c r="AG1836">
        <v>-1.1083100942199999</v>
      </c>
      <c r="AH1836">
        <v>16.9101335915677</v>
      </c>
      <c r="AI1836">
        <v>93.749866908309798</v>
      </c>
      <c r="AJ1836">
        <v>89.929834973630804</v>
      </c>
      <c r="AK1836">
        <v>16.946427298549299</v>
      </c>
      <c r="AL1836">
        <v>91.226490896504203</v>
      </c>
      <c r="AM1836">
        <v>94.235691275090304</v>
      </c>
      <c r="AN1836">
        <v>1.0000000190368901</v>
      </c>
    </row>
    <row r="1837" spans="1:40" x14ac:dyDescent="0.25">
      <c r="A1837" t="str">
        <f>"20190312151534529"</f>
        <v>20190312151534529</v>
      </c>
      <c r="B1837" t="str">
        <f>"1552374934519476"</f>
        <v>1552374934519476</v>
      </c>
      <c r="C1837" t="s">
        <v>40</v>
      </c>
      <c r="D1837">
        <v>5.026904</v>
      </c>
      <c r="E1837">
        <v>0.49968980000000002</v>
      </c>
      <c r="F1837" t="s">
        <v>52</v>
      </c>
      <c r="G1837">
        <v>-308.07940000000002</v>
      </c>
      <c r="H1837" s="1">
        <v>2.634417E-6</v>
      </c>
      <c r="I1837">
        <v>283.4384</v>
      </c>
      <c r="J1837">
        <v>-295.02699999999999</v>
      </c>
      <c r="K1837">
        <v>1.108544</v>
      </c>
      <c r="L1837">
        <v>282.86630000000002</v>
      </c>
      <c r="M1837">
        <v>-0.99604409999999999</v>
      </c>
      <c r="N1837">
        <v>0</v>
      </c>
      <c r="O1837">
        <v>8.8362380000000004E-2</v>
      </c>
      <c r="P1837">
        <v>-0.99942520000000001</v>
      </c>
      <c r="Q1837">
        <v>-3.0696279999999999E-2</v>
      </c>
      <c r="R1837">
        <v>1.4388089999999999E-2</v>
      </c>
      <c r="S1837">
        <v>-2.9921570000000002</v>
      </c>
      <c r="T1837">
        <v>-0.24583140000000001</v>
      </c>
      <c r="U1837">
        <v>0.13549800000000001</v>
      </c>
      <c r="V1837">
        <v>-7.3980019999999994E-2</v>
      </c>
      <c r="W1837">
        <v>-2.1337390000000001E-2</v>
      </c>
      <c r="X1837">
        <v>0.99703149999999996</v>
      </c>
      <c r="Y1837">
        <v>-4.2774810000000003E-2</v>
      </c>
      <c r="Z1837">
        <v>-8.9867330000000002E-3</v>
      </c>
      <c r="AA1837">
        <v>0.9990443</v>
      </c>
      <c r="AB1837">
        <v>46</v>
      </c>
      <c r="AC1837">
        <v>-13.0524</v>
      </c>
      <c r="AD1837">
        <v>-1.1085413655830001</v>
      </c>
      <c r="AE1837">
        <v>0.57209999999997696</v>
      </c>
      <c r="AF1837">
        <v>-0.579359072745947</v>
      </c>
      <c r="AG1837">
        <v>-1.1085413655830001</v>
      </c>
      <c r="AH1837">
        <v>12.958601300180099</v>
      </c>
      <c r="AI1837">
        <v>94.884598418166902</v>
      </c>
      <c r="AJ1837">
        <v>92.559901203126202</v>
      </c>
      <c r="AK1837">
        <v>13.0188274645381</v>
      </c>
      <c r="AL1837">
        <v>91.2226350938802</v>
      </c>
      <c r="AM1837">
        <v>94.2435865407557</v>
      </c>
      <c r="AN1837">
        <v>1.00000006978172</v>
      </c>
    </row>
    <row r="1838" spans="1:40" x14ac:dyDescent="0.25">
      <c r="A1838" t="str">
        <f>"20190312151534541"</f>
        <v>20190312151534541</v>
      </c>
      <c r="B1838" t="str">
        <f>"1552374934529239"</f>
        <v>1552374934529239</v>
      </c>
      <c r="C1838" t="s">
        <v>40</v>
      </c>
      <c r="D1838">
        <v>4.9260989999999998</v>
      </c>
      <c r="E1838">
        <v>0.49896940000000001</v>
      </c>
      <c r="F1838" t="s">
        <v>51</v>
      </c>
      <c r="G1838">
        <v>-331.0444</v>
      </c>
      <c r="H1838" s="1">
        <v>-9.2593170000000001E-7</v>
      </c>
      <c r="I1838">
        <v>283.35610000000003</v>
      </c>
      <c r="J1838">
        <v>-295.28190000000001</v>
      </c>
      <c r="K1838">
        <v>1.1086720000000001</v>
      </c>
      <c r="L1838">
        <v>282.8886</v>
      </c>
      <c r="M1838">
        <v>-0.99608030000000003</v>
      </c>
      <c r="N1838">
        <v>0</v>
      </c>
      <c r="O1838">
        <v>8.7947869999999997E-2</v>
      </c>
      <c r="P1838">
        <v>-0.99942980000000003</v>
      </c>
      <c r="Q1838">
        <v>-3.082683E-2</v>
      </c>
      <c r="R1838">
        <v>1.3781079999999999E-2</v>
      </c>
      <c r="S1838">
        <v>-2.998291</v>
      </c>
      <c r="T1838">
        <v>-9.2281580000000002E-2</v>
      </c>
      <c r="U1838">
        <v>4.0771479999999999E-2</v>
      </c>
      <c r="V1838">
        <v>-7.4164330000000001E-2</v>
      </c>
      <c r="W1838">
        <v>-2.1435249999999999E-2</v>
      </c>
      <c r="X1838">
        <v>0.99701569999999995</v>
      </c>
      <c r="Y1838">
        <v>-7.4322639999999995E-2</v>
      </c>
      <c r="Z1838">
        <v>-3.846618E-3</v>
      </c>
      <c r="AA1838">
        <v>0.99722679999999997</v>
      </c>
      <c r="AB1838">
        <v>46</v>
      </c>
      <c r="AC1838">
        <v>-35.762499999999903</v>
      </c>
      <c r="AD1838">
        <v>-1.1086729259317001</v>
      </c>
      <c r="AE1838">
        <v>0.467500000000029</v>
      </c>
      <c r="AF1838">
        <v>-2.6771152556449902</v>
      </c>
      <c r="AG1838">
        <v>-1.1086729259317001</v>
      </c>
      <c r="AH1838">
        <v>35.630790670951299</v>
      </c>
      <c r="AI1838">
        <v>91.777210612168204</v>
      </c>
      <c r="AJ1838">
        <v>94.296838197825906</v>
      </c>
      <c r="AK1838">
        <v>35.748417385750798</v>
      </c>
      <c r="AL1838">
        <v>91.228243350817607</v>
      </c>
      <c r="AM1838">
        <v>94.254187197267896</v>
      </c>
      <c r="AN1838">
        <v>1.00000006191669</v>
      </c>
    </row>
    <row r="1839" spans="1:40" x14ac:dyDescent="0.25">
      <c r="A1839" t="str">
        <f>"20190312151534564"</f>
        <v>20190312151534564</v>
      </c>
      <c r="B1839" t="str">
        <f>"1552374934559492"</f>
        <v>1552374934559492</v>
      </c>
      <c r="C1839" t="s">
        <v>40</v>
      </c>
      <c r="D1839">
        <v>5.2585670000000002</v>
      </c>
      <c r="E1839">
        <v>0.49883929999999999</v>
      </c>
      <c r="F1839" t="s">
        <v>51</v>
      </c>
      <c r="G1839">
        <v>-337.27530000000002</v>
      </c>
      <c r="H1839" s="1">
        <v>2.389779E-6</v>
      </c>
      <c r="I1839">
        <v>283.35750000000002</v>
      </c>
      <c r="J1839">
        <v>-295.7629</v>
      </c>
      <c r="K1839">
        <v>1.10891299999999</v>
      </c>
      <c r="L1839">
        <v>282.93049999999999</v>
      </c>
      <c r="M1839">
        <v>-0.99615900000000002</v>
      </c>
      <c r="N1839">
        <v>0</v>
      </c>
      <c r="O1839">
        <v>8.7040400000000004E-2</v>
      </c>
      <c r="P1839">
        <v>-0.99943669999999996</v>
      </c>
      <c r="Q1839">
        <v>-3.104469E-2</v>
      </c>
      <c r="R1839">
        <v>1.2762910000000001E-2</v>
      </c>
      <c r="S1839">
        <v>-2.9987789999999999</v>
      </c>
      <c r="T1839">
        <v>-7.9170939999999995E-2</v>
      </c>
      <c r="U1839">
        <v>3.3477779999999999E-2</v>
      </c>
      <c r="V1839">
        <v>-7.4258679999999994E-2</v>
      </c>
      <c r="W1839">
        <v>-2.1593310000000001E-2</v>
      </c>
      <c r="X1839">
        <v>0.99700520000000004</v>
      </c>
      <c r="Y1839">
        <v>-7.5861520000000002E-2</v>
      </c>
      <c r="Z1839">
        <v>-3.2963340000000002E-3</v>
      </c>
      <c r="AA1839">
        <v>0.99711289999999997</v>
      </c>
      <c r="AB1839">
        <v>46</v>
      </c>
      <c r="AC1839">
        <v>-41.5124</v>
      </c>
      <c r="AD1839">
        <v>-1.10891061022099</v>
      </c>
      <c r="AE1839">
        <v>0.42700000000001997</v>
      </c>
      <c r="AF1839">
        <v>-3.1857683781646799</v>
      </c>
      <c r="AG1839">
        <v>-1.10891061022099</v>
      </c>
      <c r="AH1839">
        <v>41.362492994699302</v>
      </c>
      <c r="AI1839">
        <v>91.5311745691764</v>
      </c>
      <c r="AJ1839">
        <v>94.404266096105403</v>
      </c>
      <c r="AK1839">
        <v>41.4998148144943</v>
      </c>
      <c r="AL1839">
        <v>91.237301699723503</v>
      </c>
      <c r="AM1839">
        <v>94.259624055305096</v>
      </c>
      <c r="AN1839">
        <v>0.99999999570956899</v>
      </c>
    </row>
    <row r="1840" spans="1:40" x14ac:dyDescent="0.25">
      <c r="A1840" t="str">
        <f>"20190312151534585"</f>
        <v>20190312151534585</v>
      </c>
      <c r="B1840" t="str">
        <f>"1552374934579012"</f>
        <v>1552374934579012</v>
      </c>
      <c r="C1840" t="s">
        <v>40</v>
      </c>
      <c r="D1840">
        <v>5.0694220000000003</v>
      </c>
      <c r="E1840">
        <v>0.49861119999999998</v>
      </c>
      <c r="F1840" t="s">
        <v>51</v>
      </c>
      <c r="G1840">
        <v>-340.57029999999997</v>
      </c>
      <c r="H1840" s="1">
        <v>-1.2333210000000001E-6</v>
      </c>
      <c r="I1840">
        <v>283.3723</v>
      </c>
      <c r="J1840">
        <v>-296.1986</v>
      </c>
      <c r="K1840">
        <v>1.109118</v>
      </c>
      <c r="L1840">
        <v>282.96789999999999</v>
      </c>
      <c r="M1840">
        <v>-0.99624170000000001</v>
      </c>
      <c r="N1840">
        <v>0</v>
      </c>
      <c r="O1840">
        <v>8.6078169999999996E-2</v>
      </c>
      <c r="P1840">
        <v>-0.99944040000000001</v>
      </c>
      <c r="Q1840">
        <v>-3.133507E-2</v>
      </c>
      <c r="R1840">
        <v>1.171139E-2</v>
      </c>
      <c r="S1840">
        <v>-2.9990230000000002</v>
      </c>
      <c r="T1840">
        <v>-7.4221250000000003E-2</v>
      </c>
      <c r="U1840">
        <v>2.9571529999999999E-2</v>
      </c>
      <c r="V1840">
        <v>-7.4333410000000003E-2</v>
      </c>
      <c r="W1840">
        <v>-2.1831239999999998E-2</v>
      </c>
      <c r="X1840">
        <v>0.99699439999999995</v>
      </c>
      <c r="Y1840">
        <v>-7.6205049999999996E-2</v>
      </c>
      <c r="Z1840">
        <v>-3.07063E-3</v>
      </c>
      <c r="AA1840">
        <v>0.99708739999999996</v>
      </c>
      <c r="AB1840">
        <v>46</v>
      </c>
      <c r="AC1840">
        <v>-44.371699999999898</v>
      </c>
      <c r="AD1840">
        <v>-1.109119233321</v>
      </c>
      <c r="AE1840">
        <v>0.40440000000000897</v>
      </c>
      <c r="AF1840">
        <v>-3.41458024506424</v>
      </c>
      <c r="AG1840">
        <v>-1.109119233321</v>
      </c>
      <c r="AH1840">
        <v>44.2141827329676</v>
      </c>
      <c r="AI1840">
        <v>91.432707307038001</v>
      </c>
      <c r="AJ1840">
        <v>94.416082441955595</v>
      </c>
      <c r="AK1840">
        <v>44.359705346947003</v>
      </c>
      <c r="AL1840">
        <v>91.250937360951596</v>
      </c>
      <c r="AM1840">
        <v>94.263940932279397</v>
      </c>
      <c r="AN1840">
        <v>0.99999994625676103</v>
      </c>
    </row>
    <row r="1841" spans="1:40" x14ac:dyDescent="0.25">
      <c r="A1841" t="str">
        <f>"20190312151534597"</f>
        <v>20190312151534597</v>
      </c>
      <c r="B1841" t="str">
        <f>"1552374934589749"</f>
        <v>1552374934589749</v>
      </c>
      <c r="C1841" t="s">
        <v>40</v>
      </c>
      <c r="D1841">
        <v>4.9313560000000001</v>
      </c>
      <c r="E1841">
        <v>0.49837999999999999</v>
      </c>
      <c r="F1841" t="s">
        <v>51</v>
      </c>
      <c r="G1841">
        <v>-344.16340000000002</v>
      </c>
      <c r="H1841" s="1">
        <v>6.7877669999999898E-7</v>
      </c>
      <c r="I1841">
        <v>283.36369999999999</v>
      </c>
      <c r="J1841">
        <v>-296.4375</v>
      </c>
      <c r="K1841">
        <v>1.109224</v>
      </c>
      <c r="L1841">
        <v>282.98829999999998</v>
      </c>
      <c r="M1841">
        <v>-0.99629089999999998</v>
      </c>
      <c r="N1841">
        <v>0</v>
      </c>
      <c r="O1841">
        <v>8.5502159999999994E-2</v>
      </c>
      <c r="P1841">
        <v>-0.99944429999999995</v>
      </c>
      <c r="Q1841">
        <v>-3.1478510000000001E-2</v>
      </c>
      <c r="R1841">
        <v>1.0975540000000001E-2</v>
      </c>
      <c r="S1841">
        <v>-2.9992070000000002</v>
      </c>
      <c r="T1841">
        <v>-6.9352269999999994E-2</v>
      </c>
      <c r="U1841">
        <v>2.4749759999999999E-2</v>
      </c>
      <c r="V1841">
        <v>-7.4484880000000003E-2</v>
      </c>
      <c r="W1841">
        <v>-2.194714E-2</v>
      </c>
      <c r="X1841">
        <v>0.99698059999999999</v>
      </c>
      <c r="Y1841">
        <v>-7.7238219999999996E-2</v>
      </c>
      <c r="Z1841">
        <v>-2.8677949999999998E-3</v>
      </c>
      <c r="AA1841">
        <v>0.99700860000000002</v>
      </c>
      <c r="AB1841">
        <v>46</v>
      </c>
      <c r="AC1841">
        <v>-47.725900000000003</v>
      </c>
      <c r="AD1841">
        <v>-1.1092233212233</v>
      </c>
      <c r="AE1841">
        <v>0.375400000000013</v>
      </c>
      <c r="AF1841">
        <v>-3.7048327193775199</v>
      </c>
      <c r="AG1841">
        <v>-1.1092233212233</v>
      </c>
      <c r="AH1841">
        <v>47.557522118108601</v>
      </c>
      <c r="AI1841">
        <v>91.332080033615298</v>
      </c>
      <c r="AJ1841">
        <v>94.454467335157801</v>
      </c>
      <c r="AK1841">
        <v>47.714505885205398</v>
      </c>
      <c r="AL1841">
        <v>91.257579471615699</v>
      </c>
      <c r="AM1841">
        <v>94.272656390163505</v>
      </c>
      <c r="AN1841">
        <v>0.99999999553957697</v>
      </c>
    </row>
    <row r="1842" spans="1:40" x14ac:dyDescent="0.25">
      <c r="A1842" t="str">
        <f>"20190312151534608"</f>
        <v>20190312151534608</v>
      </c>
      <c r="B1842" t="str">
        <f>"1552374934599508"</f>
        <v>1552374934599508</v>
      </c>
      <c r="C1842" t="s">
        <v>40</v>
      </c>
      <c r="D1842">
        <v>4.9248599999999998</v>
      </c>
      <c r="E1842">
        <v>0.4981199</v>
      </c>
      <c r="F1842" t="s">
        <v>51</v>
      </c>
      <c r="G1842">
        <v>-344.0299</v>
      </c>
      <c r="H1842" s="1">
        <v>6.0774779999999999E-7</v>
      </c>
      <c r="I1842">
        <v>283.3141</v>
      </c>
      <c r="J1842">
        <v>-296.67919999999998</v>
      </c>
      <c r="K1842">
        <v>1.1093200000000001</v>
      </c>
      <c r="L1842">
        <v>283.00869999999998</v>
      </c>
      <c r="M1842">
        <v>-0.99634339999999999</v>
      </c>
      <c r="N1842">
        <v>0</v>
      </c>
      <c r="O1842">
        <v>8.4881700000000004E-2</v>
      </c>
      <c r="P1842">
        <v>-0.9994442</v>
      </c>
      <c r="Q1842">
        <v>-3.1736729999999998E-2</v>
      </c>
      <c r="R1842">
        <v>1.0209879999999999E-2</v>
      </c>
      <c r="S1842">
        <v>-2.9992369999999999</v>
      </c>
      <c r="T1842">
        <v>-6.9902420000000007E-2</v>
      </c>
      <c r="U1842">
        <v>2.053833E-2</v>
      </c>
      <c r="V1842">
        <v>-7.4621399999999893E-2</v>
      </c>
      <c r="W1842">
        <v>-2.2178699999999999E-2</v>
      </c>
      <c r="X1842">
        <v>0.99696530000000005</v>
      </c>
      <c r="Y1842">
        <v>-7.8016580000000002E-2</v>
      </c>
      <c r="Z1842">
        <v>-2.8852069999999999E-3</v>
      </c>
      <c r="AA1842">
        <v>0.9969479</v>
      </c>
      <c r="AB1842">
        <v>47</v>
      </c>
      <c r="AC1842">
        <v>-47.350700000000003</v>
      </c>
      <c r="AD1842">
        <v>-1.1093193922522</v>
      </c>
      <c r="AE1842">
        <v>0.30540000000001999</v>
      </c>
      <c r="AF1842">
        <v>-3.71306311086015</v>
      </c>
      <c r="AG1842">
        <v>-1.1093193922522</v>
      </c>
      <c r="AH1842">
        <v>47.179826914151697</v>
      </c>
      <c r="AI1842">
        <v>91.342772911213501</v>
      </c>
      <c r="AJ1842">
        <v>94.499915761857494</v>
      </c>
      <c r="AK1842">
        <v>47.338710320715002</v>
      </c>
      <c r="AL1842">
        <v>91.270850070495996</v>
      </c>
      <c r="AM1842">
        <v>94.280523917150305</v>
      </c>
      <c r="AN1842">
        <v>1.0000000287378601</v>
      </c>
    </row>
    <row r="1843" spans="1:40" x14ac:dyDescent="0.25">
      <c r="A1843" t="str">
        <f>"20190312151534620"</f>
        <v>20190312151534620</v>
      </c>
      <c r="B1843" t="str">
        <f>"1552374934609269"</f>
        <v>1552374934609269</v>
      </c>
      <c r="C1843" t="s">
        <v>40</v>
      </c>
      <c r="D1843">
        <v>4.9069129999999896</v>
      </c>
      <c r="E1843">
        <v>0.49794729999999998</v>
      </c>
      <c r="F1843" t="s">
        <v>51</v>
      </c>
      <c r="G1843">
        <v>-344.40649999999999</v>
      </c>
      <c r="H1843" s="1">
        <v>8.0811649999999997E-7</v>
      </c>
      <c r="I1843">
        <v>283.26799999999997</v>
      </c>
      <c r="J1843">
        <v>-296.90910000000002</v>
      </c>
      <c r="K1843">
        <v>1.1094120000000001</v>
      </c>
      <c r="L1843">
        <v>283.02789999999999</v>
      </c>
      <c r="M1843">
        <v>-0.99639610000000001</v>
      </c>
      <c r="N1843">
        <v>0</v>
      </c>
      <c r="O1843">
        <v>8.425916E-2</v>
      </c>
      <c r="P1843">
        <v>-0.99944250000000001</v>
      </c>
      <c r="Q1843">
        <v>-3.196396E-2</v>
      </c>
      <c r="R1843">
        <v>9.6597369999999998E-3</v>
      </c>
      <c r="S1843">
        <v>-2.9993289999999999</v>
      </c>
      <c r="T1843">
        <v>-6.9712999999999997E-2</v>
      </c>
      <c r="U1843">
        <v>1.6296390000000001E-2</v>
      </c>
      <c r="V1843">
        <v>-7.4541199999999905E-2</v>
      </c>
      <c r="W1843">
        <v>-2.2381169999999999E-2</v>
      </c>
      <c r="X1843">
        <v>0.99696669999999998</v>
      </c>
      <c r="Y1843">
        <v>-7.8803999999999999E-2</v>
      </c>
      <c r="Z1843">
        <v>-2.8720680000000002E-3</v>
      </c>
      <c r="AA1843">
        <v>0.99688600000000005</v>
      </c>
      <c r="AB1843">
        <v>47</v>
      </c>
      <c r="AC1843">
        <v>-47.497399999999899</v>
      </c>
      <c r="AD1843">
        <v>-1.1094111918834999</v>
      </c>
      <c r="AE1843">
        <v>0.24009999999998399</v>
      </c>
      <c r="AF1843">
        <v>-3.7609836548828901</v>
      </c>
      <c r="AG1843">
        <v>-1.1094111918834999</v>
      </c>
      <c r="AH1843">
        <v>47.3228917464331</v>
      </c>
      <c r="AI1843">
        <v>91.338744224105497</v>
      </c>
      <c r="AJ1843">
        <v>94.544027210579898</v>
      </c>
      <c r="AK1843">
        <v>47.485070016686201</v>
      </c>
      <c r="AL1843">
        <v>91.282453722744904</v>
      </c>
      <c r="AM1843">
        <v>94.275934476452207</v>
      </c>
      <c r="AN1843">
        <v>0.999999954088448</v>
      </c>
    </row>
    <row r="1844" spans="1:40" x14ac:dyDescent="0.25">
      <c r="A1844" t="str">
        <f>"20190312151534631"</f>
        <v>20190312151534631</v>
      </c>
      <c r="B1844" t="str">
        <f>"1552374934619029"</f>
        <v>1552374934619029</v>
      </c>
      <c r="C1844" t="s">
        <v>40</v>
      </c>
      <c r="D1844">
        <v>4.9196220000000004</v>
      </c>
      <c r="E1844">
        <v>0.49784079999999997</v>
      </c>
      <c r="F1844" t="s">
        <v>51</v>
      </c>
      <c r="G1844">
        <v>-343.46809999999999</v>
      </c>
      <c r="H1844" s="1">
        <v>3.0878770000000002E-7</v>
      </c>
      <c r="I1844">
        <v>283.23110000000003</v>
      </c>
      <c r="J1844">
        <v>-297.15649999999999</v>
      </c>
      <c r="K1844">
        <v>1.109507</v>
      </c>
      <c r="L1844">
        <v>283.04849999999999</v>
      </c>
      <c r="M1844">
        <v>-0.99645360000000005</v>
      </c>
      <c r="N1844">
        <v>0</v>
      </c>
      <c r="O1844">
        <v>8.3569519999999994E-2</v>
      </c>
      <c r="P1844">
        <v>-0.99944250000000001</v>
      </c>
      <c r="Q1844">
        <v>-3.222386E-2</v>
      </c>
      <c r="R1844">
        <v>8.7576530000000007E-3</v>
      </c>
      <c r="S1844">
        <v>-2.9992679999999998</v>
      </c>
      <c r="T1844">
        <v>-7.1466680000000005E-2</v>
      </c>
      <c r="U1844">
        <v>1.3092039999999999E-2</v>
      </c>
      <c r="V1844">
        <v>-7.4744759999999993E-2</v>
      </c>
      <c r="W1844">
        <v>-2.26161E-2</v>
      </c>
      <c r="X1844">
        <v>0.9969462</v>
      </c>
      <c r="Y1844">
        <v>-7.9176839999999998E-2</v>
      </c>
      <c r="Z1844">
        <v>-2.9324440000000002E-3</v>
      </c>
      <c r="AA1844">
        <v>0.99685630000000003</v>
      </c>
      <c r="AB1844">
        <v>47</v>
      </c>
      <c r="AC1844">
        <v>-46.311599999999999</v>
      </c>
      <c r="AD1844">
        <v>-1.1095066912122999</v>
      </c>
      <c r="AE1844">
        <v>0.18260000000003601</v>
      </c>
      <c r="AF1844">
        <v>-3.6863476898561598</v>
      </c>
      <c r="AG1844">
        <v>-1.1095066912122999</v>
      </c>
      <c r="AH1844">
        <v>46.138363493046</v>
      </c>
      <c r="AI1844">
        <v>91.373173538964295</v>
      </c>
      <c r="AJ1844">
        <v>94.568095357735203</v>
      </c>
      <c r="AK1844">
        <v>46.2986905884474</v>
      </c>
      <c r="AL1844">
        <v>91.295917574089003</v>
      </c>
      <c r="AM1844">
        <v>94.2876557149132</v>
      </c>
      <c r="AN1844">
        <v>0.99999999641055304</v>
      </c>
    </row>
    <row r="1845" spans="1:40" x14ac:dyDescent="0.25">
      <c r="A1845" t="str">
        <f>"20190312151534643"</f>
        <v>20190312151534643</v>
      </c>
      <c r="B1845" t="str">
        <f>"1552374934639524"</f>
        <v>1552374934639524</v>
      </c>
      <c r="C1845" t="s">
        <v>40</v>
      </c>
      <c r="D1845">
        <v>4.9049069999999997</v>
      </c>
      <c r="E1845">
        <v>0.49758869999999999</v>
      </c>
      <c r="F1845" t="s">
        <v>51</v>
      </c>
      <c r="G1845">
        <v>-343.8698</v>
      </c>
      <c r="H1845" s="1">
        <v>5.2253790000000002E-7</v>
      </c>
      <c r="I1845">
        <v>283.19869999999997</v>
      </c>
      <c r="J1845">
        <v>-297.39960000000002</v>
      </c>
      <c r="K1845">
        <v>1.109599</v>
      </c>
      <c r="L1845">
        <v>283.0684</v>
      </c>
      <c r="M1845">
        <v>-0.99651339999999999</v>
      </c>
      <c r="N1845">
        <v>0</v>
      </c>
      <c r="O1845">
        <v>8.2850370000000007E-2</v>
      </c>
      <c r="P1845">
        <v>-0.99943669999999996</v>
      </c>
      <c r="Q1845">
        <v>-3.2619799999999997E-2</v>
      </c>
      <c r="R1845">
        <v>7.9339019999999996E-3</v>
      </c>
      <c r="S1845">
        <v>-2.999298</v>
      </c>
      <c r="T1845">
        <v>-7.1237560000000005E-2</v>
      </c>
      <c r="U1845">
        <v>9.6435549999999998E-3</v>
      </c>
      <c r="V1845">
        <v>-7.4840139999999999E-2</v>
      </c>
      <c r="W1845">
        <v>-2.2987819999999999E-2</v>
      </c>
      <c r="X1845">
        <v>0.99693050000000005</v>
      </c>
      <c r="Y1845">
        <v>-7.9603980000000005E-2</v>
      </c>
      <c r="Z1845">
        <v>-2.911084E-3</v>
      </c>
      <c r="AA1845">
        <v>0.99682230000000005</v>
      </c>
      <c r="AB1845">
        <v>47</v>
      </c>
      <c r="AC1845">
        <v>-46.470199999999899</v>
      </c>
      <c r="AD1845">
        <v>-1.1095984774620999</v>
      </c>
      <c r="AE1845">
        <v>0.13029999999997699</v>
      </c>
      <c r="AF1845">
        <v>-3.71828781794758</v>
      </c>
      <c r="AG1845">
        <v>-1.1095984774620999</v>
      </c>
      <c r="AH1845">
        <v>46.294821400927397</v>
      </c>
      <c r="AI1845">
        <v>91.368601976963603</v>
      </c>
      <c r="AJ1845">
        <v>94.592000832493397</v>
      </c>
      <c r="AK1845">
        <v>46.457156193874503</v>
      </c>
      <c r="AL1845">
        <v>91.317221156040304</v>
      </c>
      <c r="AM1845">
        <v>94.293174003512306</v>
      </c>
      <c r="AN1845">
        <v>0.99999995412691001</v>
      </c>
    </row>
    <row r="1846" spans="1:40" x14ac:dyDescent="0.25">
      <c r="A1846" t="str">
        <f>"20190312151534655"</f>
        <v>20190312151534655</v>
      </c>
      <c r="B1846" t="str">
        <f>"1552374934649285"</f>
        <v>1552374934649285</v>
      </c>
      <c r="C1846" t="s">
        <v>40</v>
      </c>
      <c r="D1846">
        <v>4.9738089999999904</v>
      </c>
      <c r="E1846">
        <v>0.49753229999999998</v>
      </c>
      <c r="F1846" t="s">
        <v>51</v>
      </c>
      <c r="G1846">
        <v>-344.69</v>
      </c>
      <c r="H1846" s="1">
        <v>9.5898339999999997E-7</v>
      </c>
      <c r="I1846">
        <v>283.15069999999997</v>
      </c>
      <c r="J1846">
        <v>-297.64479999999998</v>
      </c>
      <c r="K1846">
        <v>1.1096809999999999</v>
      </c>
      <c r="L1846">
        <v>283.08839999999998</v>
      </c>
      <c r="M1846">
        <v>-0.99657399999999996</v>
      </c>
      <c r="N1846">
        <v>0</v>
      </c>
      <c r="O1846">
        <v>8.2113179999999994E-2</v>
      </c>
      <c r="P1846">
        <v>-0.9994516</v>
      </c>
      <c r="Q1846">
        <v>-3.2356070000000001E-2</v>
      </c>
      <c r="R1846">
        <v>7.0602800000000004E-3</v>
      </c>
      <c r="S1846">
        <v>-2.9993590000000001</v>
      </c>
      <c r="T1846">
        <v>-7.0375439999999997E-2</v>
      </c>
      <c r="U1846">
        <v>5.2185060000000004E-3</v>
      </c>
      <c r="V1846">
        <v>-7.4971360000000001E-2</v>
      </c>
      <c r="W1846">
        <v>-2.2699879999999999E-2</v>
      </c>
      <c r="X1846">
        <v>0.99692729999999996</v>
      </c>
      <c r="Y1846">
        <v>-8.0338399999999893E-2</v>
      </c>
      <c r="Z1846">
        <v>-2.8672049999999998E-3</v>
      </c>
      <c r="AA1846">
        <v>0.99676350000000002</v>
      </c>
      <c r="AB1846">
        <v>47</v>
      </c>
      <c r="AC1846">
        <v>-47.045200000000001</v>
      </c>
      <c r="AD1846">
        <v>-1.1096800410165999</v>
      </c>
      <c r="AE1846">
        <v>6.2299999999993298E-2</v>
      </c>
      <c r="AF1846">
        <v>-3.79901642190387</v>
      </c>
      <c r="AG1846">
        <v>-1.1096800410165999</v>
      </c>
      <c r="AH1846">
        <v>46.865354717240002</v>
      </c>
      <c r="AI1846">
        <v>91.351965644356795</v>
      </c>
      <c r="AJ1846">
        <v>94.634397993955503</v>
      </c>
      <c r="AK1846">
        <v>47.0321739699543</v>
      </c>
      <c r="AL1846">
        <v>91.300719022432801</v>
      </c>
      <c r="AM1846">
        <v>94.300686920753193</v>
      </c>
      <c r="AN1846">
        <v>1.00000001542877</v>
      </c>
    </row>
    <row r="1847" spans="1:40" x14ac:dyDescent="0.25">
      <c r="A1847" t="str">
        <f>"20190312151534666"</f>
        <v>20190312151534666</v>
      </c>
      <c r="B1847" t="str">
        <f>"1552374934659045"</f>
        <v>1552374934659045</v>
      </c>
      <c r="C1847" t="s">
        <v>40</v>
      </c>
      <c r="D1847">
        <v>5.1290639999999996</v>
      </c>
      <c r="E1847">
        <v>0.4974789</v>
      </c>
      <c r="F1847" t="s">
        <v>51</v>
      </c>
      <c r="G1847">
        <v>-346.33730000000003</v>
      </c>
      <c r="H1847" s="1">
        <v>1.8355930000000001E-6</v>
      </c>
      <c r="I1847">
        <v>283.12360000000001</v>
      </c>
      <c r="J1847">
        <v>-297.89940000000001</v>
      </c>
      <c r="K1847">
        <v>1.109766</v>
      </c>
      <c r="L1847">
        <v>283.10890000000001</v>
      </c>
      <c r="M1847">
        <v>-0.99663860000000004</v>
      </c>
      <c r="N1847">
        <v>0</v>
      </c>
      <c r="O1847">
        <v>8.1318499999999905E-2</v>
      </c>
      <c r="P1847">
        <v>-0.9994478</v>
      </c>
      <c r="Q1847">
        <v>-3.2656640000000001E-2</v>
      </c>
      <c r="R1847">
        <v>6.1566879999999996E-3</v>
      </c>
      <c r="S1847">
        <v>-2.9994510000000001</v>
      </c>
      <c r="T1847">
        <v>-6.8356159999999999E-2</v>
      </c>
      <c r="U1847">
        <v>2.166748E-3</v>
      </c>
      <c r="V1847">
        <v>-7.5071669999999993E-2</v>
      </c>
      <c r="W1847">
        <v>-2.2975679999999998E-2</v>
      </c>
      <c r="X1847">
        <v>0.99691339999999995</v>
      </c>
      <c r="Y1847">
        <v>-8.0560510000000002E-2</v>
      </c>
      <c r="Z1847">
        <v>-2.7693629999999999E-3</v>
      </c>
      <c r="AA1847">
        <v>0.99674589999999996</v>
      </c>
      <c r="AB1847">
        <v>47</v>
      </c>
      <c r="AC1847">
        <v>-48.437899999999999</v>
      </c>
      <c r="AD1847">
        <v>-1.109764164407</v>
      </c>
      <c r="AE1847">
        <v>1.47000000000048E-2</v>
      </c>
      <c r="AF1847">
        <v>-3.9223817355450699</v>
      </c>
      <c r="AG1847">
        <v>-1.109764164407</v>
      </c>
      <c r="AH1847">
        <v>48.253332310730102</v>
      </c>
      <c r="AI1847">
        <v>91.313166695848494</v>
      </c>
      <c r="AJ1847">
        <v>94.6471999272147</v>
      </c>
      <c r="AK1847">
        <v>48.425207630630602</v>
      </c>
      <c r="AL1847">
        <v>91.316525364383594</v>
      </c>
      <c r="AM1847">
        <v>94.306479329832996</v>
      </c>
      <c r="AN1847">
        <v>0.99999998230380505</v>
      </c>
    </row>
    <row r="1848" spans="1:40" x14ac:dyDescent="0.25">
      <c r="A1848" t="str">
        <f>"20190312151534685"</f>
        <v>20190312151534685</v>
      </c>
      <c r="B1848" t="str">
        <f>"1552374934679541"</f>
        <v>1552374934679541</v>
      </c>
      <c r="C1848" t="s">
        <v>40</v>
      </c>
      <c r="D1848">
        <v>4.9513030000000002</v>
      </c>
      <c r="E1848">
        <v>0.49745929999999999</v>
      </c>
      <c r="F1848" t="s">
        <v>51</v>
      </c>
      <c r="G1848">
        <v>-347.30220000000003</v>
      </c>
      <c r="H1848" s="1">
        <v>2.3490969999999998E-6</v>
      </c>
      <c r="I1848">
        <v>283.09339999999997</v>
      </c>
      <c r="J1848">
        <v>-298.27600000000001</v>
      </c>
      <c r="K1848">
        <v>1.109874</v>
      </c>
      <c r="L1848">
        <v>283.13889999999998</v>
      </c>
      <c r="M1848">
        <v>-0.99673560000000005</v>
      </c>
      <c r="N1848">
        <v>0</v>
      </c>
      <c r="O1848">
        <v>8.0113889999999993E-2</v>
      </c>
      <c r="P1848">
        <v>-0.99944820000000001</v>
      </c>
      <c r="Q1848">
        <v>-3.2826199999999903E-2</v>
      </c>
      <c r="R1848">
        <v>5.0895250000000001E-3</v>
      </c>
      <c r="S1848">
        <v>-2.9994510000000001</v>
      </c>
      <c r="T1848">
        <v>-6.7378400000000005E-2</v>
      </c>
      <c r="U1848">
        <v>-9.4604490000000003E-4</v>
      </c>
      <c r="V1848">
        <v>-7.4924550000000006E-2</v>
      </c>
      <c r="W1848">
        <v>-2.310831E-2</v>
      </c>
      <c r="X1848">
        <v>0.99692139999999996</v>
      </c>
      <c r="Y1848">
        <v>-8.0391809999999994E-2</v>
      </c>
      <c r="Z1848">
        <v>-2.700895E-3</v>
      </c>
      <c r="AA1848">
        <v>0.99675970000000003</v>
      </c>
      <c r="AB1848">
        <v>47</v>
      </c>
      <c r="AC1848">
        <v>-49.026200000000003</v>
      </c>
      <c r="AD1848">
        <v>-1.109871650903</v>
      </c>
      <c r="AE1848">
        <v>-4.5500000000004003E-2</v>
      </c>
      <c r="AF1848">
        <v>-3.9711943352577399</v>
      </c>
      <c r="AG1848">
        <v>-1.109871650903</v>
      </c>
      <c r="AH1848">
        <v>48.8399245973864</v>
      </c>
      <c r="AI1848">
        <v>91.297523513785407</v>
      </c>
      <c r="AJ1848">
        <v>94.648516996238101</v>
      </c>
      <c r="AK1848">
        <v>49.013675991586801</v>
      </c>
      <c r="AL1848">
        <v>91.324126524959496</v>
      </c>
      <c r="AM1848">
        <v>94.298037099830594</v>
      </c>
      <c r="AN1848">
        <v>0.99999997998085899</v>
      </c>
    </row>
    <row r="1849" spans="1:40" x14ac:dyDescent="0.25">
      <c r="A1849" t="str">
        <f>"20190312151534697"</f>
        <v>20190312151534697</v>
      </c>
      <c r="B1849" t="str">
        <f>"1552374934689301"</f>
        <v>1552374934689301</v>
      </c>
      <c r="C1849" t="s">
        <v>40</v>
      </c>
      <c r="D1849">
        <v>4.9696030000000002</v>
      </c>
      <c r="E1849">
        <v>0.49749490000000002</v>
      </c>
      <c r="F1849" t="s">
        <v>51</v>
      </c>
      <c r="G1849">
        <v>-348.91030000000001</v>
      </c>
      <c r="H1849" s="1">
        <v>3.2048490000000001E-6</v>
      </c>
      <c r="I1849">
        <v>283.0668</v>
      </c>
      <c r="J1849">
        <v>-298.51729999999998</v>
      </c>
      <c r="K1849">
        <v>1.1099380000000001</v>
      </c>
      <c r="L1849">
        <v>283.15789999999998</v>
      </c>
      <c r="M1849">
        <v>-0.99679819999999997</v>
      </c>
      <c r="N1849">
        <v>0</v>
      </c>
      <c r="O1849">
        <v>7.9327019999999998E-2</v>
      </c>
      <c r="P1849">
        <v>-0.99945320000000004</v>
      </c>
      <c r="Q1849">
        <v>-3.2805769999999998E-2</v>
      </c>
      <c r="R1849">
        <v>4.1330589999999997E-3</v>
      </c>
      <c r="S1849">
        <v>-2.9995419999999999</v>
      </c>
      <c r="T1849">
        <v>-6.5747979999999998E-2</v>
      </c>
      <c r="U1849">
        <v>-4.272461E-3</v>
      </c>
      <c r="V1849">
        <v>-7.5088139999999998E-2</v>
      </c>
      <c r="W1849">
        <v>-2.3065950000000002E-2</v>
      </c>
      <c r="X1849">
        <v>0.99691010000000002</v>
      </c>
      <c r="Y1849">
        <v>-8.0712389999999995E-2</v>
      </c>
      <c r="Z1849">
        <v>-2.6218000000000001E-3</v>
      </c>
      <c r="AA1849">
        <v>0.99673400000000001</v>
      </c>
      <c r="AB1849">
        <v>47</v>
      </c>
      <c r="AC1849">
        <v>-50.393000000000001</v>
      </c>
      <c r="AD1849">
        <v>-1.1099347951509999</v>
      </c>
      <c r="AE1849">
        <v>-9.1099999999983E-2</v>
      </c>
      <c r="AF1849">
        <v>-4.0865579483361598</v>
      </c>
      <c r="AG1849">
        <v>-1.1099347951509999</v>
      </c>
      <c r="AH1849">
        <v>50.2025962838716</v>
      </c>
      <c r="AI1849">
        <v>91.262378324212605</v>
      </c>
      <c r="AJ1849">
        <v>94.653691847160303</v>
      </c>
      <c r="AK1849">
        <v>50.380875188468004</v>
      </c>
      <c r="AL1849">
        <v>91.321698792688494</v>
      </c>
      <c r="AM1849">
        <v>94.307434779232594</v>
      </c>
      <c r="AN1849">
        <v>1.0000000071500299</v>
      </c>
    </row>
    <row r="1850" spans="1:40" x14ac:dyDescent="0.25">
      <c r="A1850" t="str">
        <f>"20190312151534718"</f>
        <v>20190312151534718</v>
      </c>
      <c r="B1850" t="str">
        <f>"1552374934709800"</f>
        <v>1552374934709800</v>
      </c>
      <c r="C1850" t="s">
        <v>40</v>
      </c>
      <c r="D1850">
        <v>4.9110129999999996</v>
      </c>
      <c r="E1850">
        <v>0.4973881</v>
      </c>
      <c r="F1850" t="s">
        <v>51</v>
      </c>
      <c r="G1850">
        <v>-349.88459999999998</v>
      </c>
      <c r="H1850" s="1">
        <v>3.7232720000000001E-6</v>
      </c>
      <c r="I1850">
        <v>283.04239999999999</v>
      </c>
      <c r="J1850">
        <v>-298.96080000000001</v>
      </c>
      <c r="K1850">
        <v>1.110042</v>
      </c>
      <c r="L1850">
        <v>283.19220000000001</v>
      </c>
      <c r="M1850">
        <v>-0.99691399999999997</v>
      </c>
      <c r="N1850">
        <v>0</v>
      </c>
      <c r="O1850">
        <v>7.7851580000000004E-2</v>
      </c>
      <c r="P1850">
        <v>-0.9994381</v>
      </c>
      <c r="Q1850">
        <v>-3.3448100000000001E-2</v>
      </c>
      <c r="R1850">
        <v>2.2830490000000001E-3</v>
      </c>
      <c r="S1850">
        <v>-2.9995120000000002</v>
      </c>
      <c r="T1850">
        <v>-6.4812900000000007E-2</v>
      </c>
      <c r="U1850">
        <v>-6.7443850000000003E-3</v>
      </c>
      <c r="V1850">
        <v>-7.5448360000000006E-2</v>
      </c>
      <c r="W1850">
        <v>-2.3670630000000002E-2</v>
      </c>
      <c r="X1850">
        <v>0.99686870000000005</v>
      </c>
      <c r="Y1850">
        <v>-8.0060179999999995E-2</v>
      </c>
      <c r="Z1850">
        <v>-2.5457090000000002E-3</v>
      </c>
      <c r="AA1850">
        <v>0.99678679999999997</v>
      </c>
      <c r="AB1850">
        <v>47</v>
      </c>
      <c r="AC1850">
        <v>-50.9237999999999</v>
      </c>
      <c r="AD1850">
        <v>-1.1100382767279999</v>
      </c>
      <c r="AE1850">
        <v>-0.14980000000002699</v>
      </c>
      <c r="AF1850">
        <v>-4.11209116299296</v>
      </c>
      <c r="AG1850">
        <v>-1.1100382767279999</v>
      </c>
      <c r="AH1850">
        <v>50.733459748974703</v>
      </c>
      <c r="AI1850">
        <v>91.249324836637399</v>
      </c>
      <c r="AJ1850">
        <v>94.633856084320598</v>
      </c>
      <c r="AK1850">
        <v>50.911937861462398</v>
      </c>
      <c r="AL1850">
        <v>91.356353906039303</v>
      </c>
      <c r="AM1850">
        <v>94.328199546480604</v>
      </c>
      <c r="AN1850">
        <v>0.99999997939548801</v>
      </c>
    </row>
    <row r="1851" spans="1:40" x14ac:dyDescent="0.25">
      <c r="A1851" t="str">
        <f>"20190312151534730"</f>
        <v>20190312151534730</v>
      </c>
      <c r="B1851" t="str">
        <f>"1552374934719556"</f>
        <v>1552374934719556</v>
      </c>
      <c r="C1851" t="s">
        <v>40</v>
      </c>
      <c r="D1851">
        <v>4.9315610000000003</v>
      </c>
      <c r="E1851">
        <v>0.4972953</v>
      </c>
      <c r="F1851" t="s">
        <v>51</v>
      </c>
      <c r="G1851">
        <v>-349.9443</v>
      </c>
      <c r="H1851" s="1">
        <v>3.755058E-6</v>
      </c>
      <c r="I1851">
        <v>282.9676</v>
      </c>
      <c r="J1851">
        <v>-299.2158</v>
      </c>
      <c r="K1851">
        <v>1.110096</v>
      </c>
      <c r="L1851">
        <v>283.21179999999998</v>
      </c>
      <c r="M1851">
        <v>-0.99698019999999998</v>
      </c>
      <c r="N1851">
        <v>0</v>
      </c>
      <c r="O1851">
        <v>7.69928E-2</v>
      </c>
      <c r="P1851">
        <v>-0.99943300000000002</v>
      </c>
      <c r="Q1851">
        <v>-3.3651769999999998E-2</v>
      </c>
      <c r="R1851">
        <v>1.0729120000000001E-3</v>
      </c>
      <c r="S1851">
        <v>-2.9995419999999999</v>
      </c>
      <c r="T1851">
        <v>-6.5307619999999997E-2</v>
      </c>
      <c r="U1851">
        <v>-1.3214109999999999E-2</v>
      </c>
      <c r="V1851">
        <v>-7.5792639999999994E-2</v>
      </c>
      <c r="W1851">
        <v>-2.3854429999999999E-2</v>
      </c>
      <c r="X1851">
        <v>0.99683820000000001</v>
      </c>
      <c r="Y1851">
        <v>-8.1350779999999998E-2</v>
      </c>
      <c r="Z1851">
        <v>-2.5605290000000002E-3</v>
      </c>
      <c r="AA1851">
        <v>0.99668219999999996</v>
      </c>
      <c r="AB1851">
        <v>47</v>
      </c>
      <c r="AC1851">
        <v>-50.728499999999997</v>
      </c>
      <c r="AD1851">
        <v>-1.1100922449420001</v>
      </c>
      <c r="AE1851">
        <v>-0.24419999999997799</v>
      </c>
      <c r="AF1851">
        <v>-4.1474186557053603</v>
      </c>
      <c r="AG1851">
        <v>-1.1100922449420001</v>
      </c>
      <c r="AH1851">
        <v>50.534903027077199</v>
      </c>
      <c r="AI1851">
        <v>91.254189583065795</v>
      </c>
      <c r="AJ1851">
        <v>94.691771324435294</v>
      </c>
      <c r="AK1851">
        <v>50.716957817420997</v>
      </c>
      <c r="AL1851">
        <v>91.366887847532496</v>
      </c>
      <c r="AM1851">
        <v>94.348006603320798</v>
      </c>
      <c r="AN1851">
        <v>0.99999997754401604</v>
      </c>
    </row>
    <row r="1852" spans="1:40" x14ac:dyDescent="0.25">
      <c r="A1852" t="str">
        <f>"20190312151534743"</f>
        <v>20190312151534743</v>
      </c>
      <c r="B1852" t="str">
        <f>"1552374934739077"</f>
        <v>1552374934739077</v>
      </c>
      <c r="C1852" t="s">
        <v>40</v>
      </c>
      <c r="D1852">
        <v>5.0065670000000004</v>
      </c>
      <c r="E1852">
        <v>0.49709199999999998</v>
      </c>
      <c r="F1852" t="s">
        <v>51</v>
      </c>
      <c r="G1852">
        <v>-349.29500000000002</v>
      </c>
      <c r="H1852" s="1">
        <v>3.4095429999999998E-6</v>
      </c>
      <c r="I1852">
        <v>282.91669999999999</v>
      </c>
      <c r="J1852">
        <v>-299.47789999999998</v>
      </c>
      <c r="K1852">
        <v>1.110139</v>
      </c>
      <c r="L1852">
        <v>283.23149999999998</v>
      </c>
      <c r="M1852">
        <v>-0.9970485</v>
      </c>
      <c r="N1852">
        <v>0</v>
      </c>
      <c r="O1852">
        <v>7.6101150000000006E-2</v>
      </c>
      <c r="P1852">
        <v>-0.99943150000000003</v>
      </c>
      <c r="Q1852">
        <v>-3.3714309999999997E-2</v>
      </c>
      <c r="R1852">
        <v>-1.8192560000000001E-4</v>
      </c>
      <c r="S1852">
        <v>-2.9994809999999998</v>
      </c>
      <c r="T1852">
        <v>-6.6488740000000005E-2</v>
      </c>
      <c r="U1852">
        <v>-1.766968E-2</v>
      </c>
      <c r="V1852">
        <v>-7.6149519999999998E-2</v>
      </c>
      <c r="W1852">
        <v>-2.3897930000000001E-2</v>
      </c>
      <c r="X1852">
        <v>0.99680999999999997</v>
      </c>
      <c r="Y1852">
        <v>-8.193868E-2</v>
      </c>
      <c r="Z1852">
        <v>-2.5936869999999999E-3</v>
      </c>
      <c r="AA1852">
        <v>0.99663400000000002</v>
      </c>
      <c r="AB1852">
        <v>47</v>
      </c>
      <c r="AC1852">
        <v>-49.817100000000003</v>
      </c>
      <c r="AD1852">
        <v>-1.1101355904570001</v>
      </c>
      <c r="AE1852">
        <v>-0.31479999999999098</v>
      </c>
      <c r="AF1852">
        <v>-4.1031831886944703</v>
      </c>
      <c r="AG1852">
        <v>-1.1101355904570001</v>
      </c>
      <c r="AH1852">
        <v>49.6240211168518</v>
      </c>
      <c r="AI1852">
        <v>91.277189109951806</v>
      </c>
      <c r="AJ1852">
        <v>94.726773222150996</v>
      </c>
      <c r="AK1852">
        <v>49.805742491352802</v>
      </c>
      <c r="AL1852">
        <v>91.369380868925603</v>
      </c>
      <c r="AM1852">
        <v>94.368523827622099</v>
      </c>
      <c r="AN1852">
        <v>1.0000000182772499</v>
      </c>
    </row>
    <row r="1853" spans="1:40" x14ac:dyDescent="0.25">
      <c r="A1853" t="str">
        <f>"20190312151534757"</f>
        <v>20190312151534757</v>
      </c>
      <c r="B1853" t="str">
        <f>"1552374934749813"</f>
        <v>1552374934749813</v>
      </c>
      <c r="C1853" t="s">
        <v>40</v>
      </c>
      <c r="D1853">
        <v>5.1190670000000003</v>
      </c>
      <c r="E1853">
        <v>0.49688500000000002</v>
      </c>
      <c r="F1853" t="s">
        <v>51</v>
      </c>
      <c r="G1853">
        <v>-349.9828</v>
      </c>
      <c r="H1853" s="1">
        <v>-1.5459089999999999E-6</v>
      </c>
      <c r="I1853">
        <v>282.8451</v>
      </c>
      <c r="J1853">
        <v>-299.76479999999998</v>
      </c>
      <c r="K1853">
        <v>1.110188</v>
      </c>
      <c r="L1853">
        <v>283.25290000000001</v>
      </c>
      <c r="M1853">
        <v>-0.99712259999999997</v>
      </c>
      <c r="N1853">
        <v>0</v>
      </c>
      <c r="O1853">
        <v>7.5121110000000005E-2</v>
      </c>
      <c r="P1853">
        <v>-0.99942980000000003</v>
      </c>
      <c r="Q1853">
        <v>-3.3744099999999999E-2</v>
      </c>
      <c r="R1853">
        <v>-1.333451E-3</v>
      </c>
      <c r="S1853">
        <v>-2.9994510000000001</v>
      </c>
      <c r="T1853">
        <v>-6.5930370000000002E-2</v>
      </c>
      <c r="U1853">
        <v>-2.2949219999999999E-2</v>
      </c>
      <c r="V1853">
        <v>-7.6315389999999997E-2</v>
      </c>
      <c r="W1853">
        <v>-2.3906170000000001E-2</v>
      </c>
      <c r="X1853">
        <v>0.99679709999999999</v>
      </c>
      <c r="Y1853">
        <v>-8.2713990000000001E-2</v>
      </c>
      <c r="Z1853">
        <v>-2.558973E-3</v>
      </c>
      <c r="AA1853">
        <v>0.99657010000000001</v>
      </c>
      <c r="AB1853">
        <v>47</v>
      </c>
      <c r="AC1853">
        <v>-50.218000000000004</v>
      </c>
      <c r="AD1853">
        <v>-1.1101895459090001</v>
      </c>
      <c r="AE1853">
        <v>-0.40780000000000799</v>
      </c>
      <c r="AF1853">
        <v>-4.1772330109387097</v>
      </c>
      <c r="AG1853">
        <v>-1.1101895459090001</v>
      </c>
      <c r="AH1853">
        <v>50.021008720309197</v>
      </c>
      <c r="AI1853">
        <v>91.267031531830199</v>
      </c>
      <c r="AJ1853">
        <v>94.773669615801694</v>
      </c>
      <c r="AK1853">
        <v>50.207400946999499</v>
      </c>
      <c r="AL1853">
        <v>91.369853144537799</v>
      </c>
      <c r="AM1853">
        <v>94.378058892536004</v>
      </c>
      <c r="AN1853">
        <v>1.0000000011416601</v>
      </c>
    </row>
    <row r="1854" spans="1:40" x14ac:dyDescent="0.25">
      <c r="A1854" t="str">
        <f>"20190312151534776"</f>
        <v>20190312151534776</v>
      </c>
      <c r="B1854" t="str">
        <f>"1552374934769333"</f>
        <v>1552374934769333</v>
      </c>
      <c r="C1854" t="s">
        <v>40</v>
      </c>
      <c r="D1854">
        <v>4.9471759999999998</v>
      </c>
      <c r="E1854">
        <v>0.49690620000000002</v>
      </c>
      <c r="F1854" t="s">
        <v>51</v>
      </c>
      <c r="G1854">
        <v>-349.79950000000002</v>
      </c>
      <c r="H1854" s="1">
        <v>3.6780280000000001E-6</v>
      </c>
      <c r="I1854">
        <v>282.78559999999999</v>
      </c>
      <c r="J1854">
        <v>-300.15190000000001</v>
      </c>
      <c r="K1854">
        <v>1.110247</v>
      </c>
      <c r="L1854">
        <v>283.28129999999999</v>
      </c>
      <c r="M1854">
        <v>-0.99722140000000004</v>
      </c>
      <c r="N1854">
        <v>0</v>
      </c>
      <c r="O1854">
        <v>7.3790899999999895E-2</v>
      </c>
      <c r="P1854">
        <v>-0.99941440000000004</v>
      </c>
      <c r="Q1854">
        <v>-3.4052359999999997E-2</v>
      </c>
      <c r="R1854">
        <v>-3.417135E-3</v>
      </c>
      <c r="S1854">
        <v>-2.9994510000000001</v>
      </c>
      <c r="T1854">
        <v>-6.6552639999999996E-2</v>
      </c>
      <c r="U1854">
        <v>-2.8015140000000001E-2</v>
      </c>
      <c r="V1854">
        <v>-7.7058730000000006E-2</v>
      </c>
      <c r="W1854">
        <v>-2.4188029999999999E-2</v>
      </c>
      <c r="X1854">
        <v>0.99673310000000004</v>
      </c>
      <c r="Y1854">
        <v>-8.3067169999999996E-2</v>
      </c>
      <c r="Z1854">
        <v>-2.5575900000000002E-3</v>
      </c>
      <c r="AA1854">
        <v>0.99654069999999995</v>
      </c>
      <c r="AB1854">
        <v>47</v>
      </c>
      <c r="AC1854">
        <v>-49.647599999999997</v>
      </c>
      <c r="AD1854">
        <v>-1.110243321972</v>
      </c>
      <c r="AE1854">
        <v>-0.49569999999999897</v>
      </c>
      <c r="AF1854">
        <v>-4.1560026275982196</v>
      </c>
      <c r="AG1854">
        <v>-1.110243321972</v>
      </c>
      <c r="AH1854">
        <v>49.450926318752501</v>
      </c>
      <c r="AI1854">
        <v>91.281638543251901</v>
      </c>
      <c r="AJ1854">
        <v>94.804017987654206</v>
      </c>
      <c r="AK1854">
        <v>49.637678348783297</v>
      </c>
      <c r="AL1854">
        <v>91.386007218853905</v>
      </c>
      <c r="AM1854">
        <v>94.420817298941898</v>
      </c>
      <c r="AN1854">
        <v>0.99999999065005096</v>
      </c>
    </row>
    <row r="1855" spans="1:40" x14ac:dyDescent="0.25">
      <c r="A1855" t="str">
        <f>"20190312151534797"</f>
        <v>20190312151534797</v>
      </c>
      <c r="B1855" t="str">
        <f>"1552374934789833"</f>
        <v>1552374934789833</v>
      </c>
      <c r="C1855" t="s">
        <v>40</v>
      </c>
      <c r="D1855">
        <v>4.9573199999999904</v>
      </c>
      <c r="E1855">
        <v>0.49693080000000001</v>
      </c>
      <c r="F1855" t="s">
        <v>51</v>
      </c>
      <c r="G1855">
        <v>-347.78</v>
      </c>
      <c r="H1855" s="1">
        <v>2.6033469999999999E-6</v>
      </c>
      <c r="I1855">
        <v>282.73700000000002</v>
      </c>
      <c r="J1855">
        <v>-300.61180000000002</v>
      </c>
      <c r="K1855">
        <v>1.110309</v>
      </c>
      <c r="L1855">
        <v>283.3143</v>
      </c>
      <c r="M1855">
        <v>-0.99733720000000003</v>
      </c>
      <c r="N1855">
        <v>0</v>
      </c>
      <c r="O1855">
        <v>7.2202820000000001E-2</v>
      </c>
      <c r="P1855">
        <v>-0.99940119999999999</v>
      </c>
      <c r="Q1855">
        <v>-3.4162199999999997E-2</v>
      </c>
      <c r="R1855">
        <v>-5.502776E-3</v>
      </c>
      <c r="S1855">
        <v>-2.9992369999999999</v>
      </c>
      <c r="T1855">
        <v>-6.9914340000000005E-2</v>
      </c>
      <c r="U1855">
        <v>-3.4271240000000001E-2</v>
      </c>
      <c r="V1855">
        <v>-7.7547630000000006E-2</v>
      </c>
      <c r="W1855">
        <v>-2.4264339999999999E-2</v>
      </c>
      <c r="X1855">
        <v>0.9966933</v>
      </c>
      <c r="Y1855">
        <v>-8.3555679999999993E-2</v>
      </c>
      <c r="Z1855">
        <v>-2.6556840000000002E-3</v>
      </c>
      <c r="AA1855">
        <v>0.99649960000000004</v>
      </c>
      <c r="AB1855">
        <v>47</v>
      </c>
      <c r="AC1855">
        <v>-47.168199999999899</v>
      </c>
      <c r="AD1855">
        <v>-1.110306396653</v>
      </c>
      <c r="AE1855">
        <v>-0.57729999999997905</v>
      </c>
      <c r="AF1855">
        <v>-3.97944470953487</v>
      </c>
      <c r="AG1855">
        <v>-1.110306396653</v>
      </c>
      <c r="AH1855">
        <v>46.977365540982198</v>
      </c>
      <c r="AI1855">
        <v>91.349099287771196</v>
      </c>
      <c r="AJ1855">
        <v>94.841956330178505</v>
      </c>
      <c r="AK1855">
        <v>47.158685665121702</v>
      </c>
      <c r="AL1855">
        <v>91.390380780939907</v>
      </c>
      <c r="AM1855">
        <v>94.448929917994406</v>
      </c>
      <c r="AN1855">
        <v>0.99999996368957</v>
      </c>
    </row>
    <row r="1856" spans="1:40" x14ac:dyDescent="0.25">
      <c r="A1856" t="str">
        <f>"20190312151534809"</f>
        <v>20190312151534809</v>
      </c>
      <c r="B1856" t="str">
        <f>"1552374934799589"</f>
        <v>1552374934799589</v>
      </c>
      <c r="C1856" t="s">
        <v>40</v>
      </c>
      <c r="D1856">
        <v>4.9340260000000002</v>
      </c>
      <c r="E1856">
        <v>0.49698249999999999</v>
      </c>
      <c r="F1856" t="s">
        <v>51</v>
      </c>
      <c r="G1856">
        <v>-346.7038</v>
      </c>
      <c r="H1856" s="1">
        <v>2.0306589999999998E-6</v>
      </c>
      <c r="I1856">
        <v>282.6934</v>
      </c>
      <c r="J1856">
        <v>-300.84800000000001</v>
      </c>
      <c r="K1856">
        <v>1.110336</v>
      </c>
      <c r="L1856">
        <v>283.33100000000002</v>
      </c>
      <c r="M1856">
        <v>-0.9973959</v>
      </c>
      <c r="N1856">
        <v>0</v>
      </c>
      <c r="O1856">
        <v>7.1384879999999998E-2</v>
      </c>
      <c r="P1856">
        <v>-0.99938780000000005</v>
      </c>
      <c r="Q1856">
        <v>-3.4337619999999999E-2</v>
      </c>
      <c r="R1856">
        <v>-6.7130760000000001E-3</v>
      </c>
      <c r="S1856">
        <v>-2.9991150000000002</v>
      </c>
      <c r="T1856">
        <v>-7.2245359999999995E-2</v>
      </c>
      <c r="U1856">
        <v>-4.040527E-2</v>
      </c>
      <c r="V1856">
        <v>-7.7934180000000006E-2</v>
      </c>
      <c r="W1856">
        <v>-2.4423650000000002E-2</v>
      </c>
      <c r="X1856">
        <v>0.99665930000000003</v>
      </c>
      <c r="Y1856">
        <v>-8.4773699999999994E-2</v>
      </c>
      <c r="Z1856">
        <v>-2.7393130000000002E-3</v>
      </c>
      <c r="AA1856">
        <v>0.99639650000000002</v>
      </c>
      <c r="AB1856">
        <v>47</v>
      </c>
      <c r="AC1856">
        <v>-45.855799999999903</v>
      </c>
      <c r="AD1856">
        <v>-1.1103339693409999</v>
      </c>
      <c r="AE1856">
        <v>-0.63759999999996297</v>
      </c>
      <c r="AF1856">
        <v>-3.9072664892867399</v>
      </c>
      <c r="AG1856">
        <v>-1.1103339693409999</v>
      </c>
      <c r="AH1856">
        <v>45.666515952734699</v>
      </c>
      <c r="AI1856">
        <v>91.387744683429503</v>
      </c>
      <c r="AJ1856">
        <v>94.890365945796205</v>
      </c>
      <c r="AK1856">
        <v>45.846812890354201</v>
      </c>
      <c r="AL1856">
        <v>91.399511219036597</v>
      </c>
      <c r="AM1856">
        <v>94.471168613685506</v>
      </c>
      <c r="AN1856">
        <v>1.0000000056840399</v>
      </c>
    </row>
    <row r="1857" spans="1:40" x14ac:dyDescent="0.25">
      <c r="A1857" t="str">
        <f>"20190312151534821"</f>
        <v>20190312151534821</v>
      </c>
      <c r="B1857" t="str">
        <f>"1552374934809349"</f>
        <v>1552374934809349</v>
      </c>
      <c r="C1857" t="s">
        <v>40</v>
      </c>
      <c r="D1857">
        <v>4.9411490000000002</v>
      </c>
      <c r="E1857">
        <v>0.49701529999999999</v>
      </c>
      <c r="F1857" t="s">
        <v>51</v>
      </c>
      <c r="G1857">
        <v>-345.90800000000002</v>
      </c>
      <c r="H1857" s="1">
        <v>1.607153E-6</v>
      </c>
      <c r="I1857">
        <v>282.67809999999997</v>
      </c>
      <c r="J1857">
        <v>-301.08920000000001</v>
      </c>
      <c r="K1857">
        <v>1.1103639999999999</v>
      </c>
      <c r="L1857">
        <v>283.34780000000001</v>
      </c>
      <c r="M1857">
        <v>-0.99745499999999998</v>
      </c>
      <c r="N1857">
        <v>0</v>
      </c>
      <c r="O1857">
        <v>7.0548260000000002E-2</v>
      </c>
      <c r="P1857">
        <v>-0.99937189999999998</v>
      </c>
      <c r="Q1857">
        <v>-3.4579329999999998E-2</v>
      </c>
      <c r="R1857">
        <v>-7.7426909999999899E-3</v>
      </c>
      <c r="S1857">
        <v>-2.9990230000000002</v>
      </c>
      <c r="T1857">
        <v>-7.3899629999999994E-2</v>
      </c>
      <c r="U1857">
        <v>-4.3457030000000001E-2</v>
      </c>
      <c r="V1857">
        <v>-7.8121460000000004E-2</v>
      </c>
      <c r="W1857">
        <v>-2.4648570000000002E-2</v>
      </c>
      <c r="X1857">
        <v>0.9966391</v>
      </c>
      <c r="Y1857">
        <v>-8.4950220000000007E-2</v>
      </c>
      <c r="Z1857">
        <v>-2.7836969999999999E-3</v>
      </c>
      <c r="AA1857">
        <v>0.99638130000000003</v>
      </c>
      <c r="AB1857">
        <v>47</v>
      </c>
      <c r="AC1857">
        <v>-44.818800000000003</v>
      </c>
      <c r="AD1857">
        <v>-1.1103623928469999</v>
      </c>
      <c r="AE1857">
        <v>-0.66970000000003405</v>
      </c>
      <c r="AF1857">
        <v>-3.8277390160199798</v>
      </c>
      <c r="AG1857">
        <v>-1.1103623928469999</v>
      </c>
      <c r="AH1857">
        <v>44.632479250914599</v>
      </c>
      <c r="AI1857">
        <v>91.419894814907195</v>
      </c>
      <c r="AJ1857">
        <v>94.901765973135596</v>
      </c>
      <c r="AK1857">
        <v>44.810073585093903</v>
      </c>
      <c r="AL1857">
        <v>91.412402067431501</v>
      </c>
      <c r="AM1857">
        <v>94.481959816043698</v>
      </c>
      <c r="AN1857">
        <v>1.00000000508219</v>
      </c>
    </row>
    <row r="1858" spans="1:40" x14ac:dyDescent="0.25">
      <c r="A1858" t="str">
        <f>"20190312151534833"</f>
        <v>20190312151534833</v>
      </c>
      <c r="B1858" t="str">
        <f>"1552374934829845"</f>
        <v>1552374934829845</v>
      </c>
      <c r="C1858" t="s">
        <v>40</v>
      </c>
      <c r="D1858">
        <v>4.9399389999999999</v>
      </c>
      <c r="E1858">
        <v>0.49713220000000002</v>
      </c>
      <c r="F1858" t="s">
        <v>51</v>
      </c>
      <c r="G1858">
        <v>-345.26310000000001</v>
      </c>
      <c r="H1858" s="1">
        <v>1.263949E-6</v>
      </c>
      <c r="I1858">
        <v>282.66320000000002</v>
      </c>
      <c r="J1858">
        <v>-301.34379999999999</v>
      </c>
      <c r="K1858">
        <v>1.1103909999999999</v>
      </c>
      <c r="L1858">
        <v>283.36540000000002</v>
      </c>
      <c r="M1858">
        <v>-0.99751699999999999</v>
      </c>
      <c r="N1858">
        <v>0</v>
      </c>
      <c r="O1858">
        <v>6.9664249999999997E-2</v>
      </c>
      <c r="P1858">
        <v>-0.99936020000000003</v>
      </c>
      <c r="Q1858">
        <v>-3.4607230000000003E-2</v>
      </c>
      <c r="R1858">
        <v>-9.0311720000000005E-3</v>
      </c>
      <c r="S1858">
        <v>-2.9988709999999998</v>
      </c>
      <c r="T1858">
        <v>-7.5380210000000003E-2</v>
      </c>
      <c r="U1858">
        <v>-4.6478270000000002E-2</v>
      </c>
      <c r="V1858">
        <v>-7.8521590000000002E-2</v>
      </c>
      <c r="W1858">
        <v>-2.4660149999999999E-2</v>
      </c>
      <c r="X1858">
        <v>0.99660740000000003</v>
      </c>
      <c r="Y1858">
        <v>-8.5069829999999999E-2</v>
      </c>
      <c r="Z1858">
        <v>-2.81891E-3</v>
      </c>
      <c r="AA1858">
        <v>0.99637100000000001</v>
      </c>
      <c r="AB1858">
        <v>47</v>
      </c>
      <c r="AC1858">
        <v>-43.9193</v>
      </c>
      <c r="AD1858">
        <v>-1.110389736051</v>
      </c>
      <c r="AE1858">
        <v>-0.70220000000000404</v>
      </c>
      <c r="AF1858">
        <v>-3.7578607695635302</v>
      </c>
      <c r="AG1858">
        <v>-1.110389736051</v>
      </c>
      <c r="AH1858">
        <v>43.735716648642502</v>
      </c>
      <c r="AI1858">
        <v>91.449012058507506</v>
      </c>
      <c r="AJ1858">
        <v>94.910907278420694</v>
      </c>
      <c r="AK1858">
        <v>43.910902902350998</v>
      </c>
      <c r="AL1858">
        <v>91.413065710008894</v>
      </c>
      <c r="AM1858">
        <v>94.5049643979726</v>
      </c>
      <c r="AN1858">
        <v>1.0000000364144499</v>
      </c>
    </row>
    <row r="1859" spans="1:40" x14ac:dyDescent="0.25">
      <c r="A1859" t="str">
        <f>"20190312151534853"</f>
        <v>20190312151534853</v>
      </c>
      <c r="B1859" t="str">
        <f>"1552374934849365"</f>
        <v>1552374934849365</v>
      </c>
      <c r="C1859" t="s">
        <v>40</v>
      </c>
      <c r="D1859">
        <v>5.0359259999999999</v>
      </c>
      <c r="E1859">
        <v>0.49722050000000001</v>
      </c>
      <c r="F1859" t="s">
        <v>51</v>
      </c>
      <c r="G1859">
        <v>-344.59750000000003</v>
      </c>
      <c r="H1859" s="1">
        <v>9.0975469999999995E-7</v>
      </c>
      <c r="I1859">
        <v>282.65410000000003</v>
      </c>
      <c r="J1859">
        <v>-301.77100000000002</v>
      </c>
      <c r="K1859">
        <v>1.1104270000000001</v>
      </c>
      <c r="L1859">
        <v>283.39429999999999</v>
      </c>
      <c r="M1859">
        <v>-0.99761929999999999</v>
      </c>
      <c r="N1859">
        <v>0</v>
      </c>
      <c r="O1859">
        <v>6.8177349999999998E-2</v>
      </c>
      <c r="P1859">
        <v>-0.99933550000000004</v>
      </c>
      <c r="Q1859">
        <v>-3.4700660000000001E-2</v>
      </c>
      <c r="R1859">
        <v>-1.116809E-2</v>
      </c>
      <c r="S1859">
        <v>-2.9987490000000001</v>
      </c>
      <c r="T1859">
        <v>-7.6982620000000002E-2</v>
      </c>
      <c r="U1859">
        <v>-4.9316409999999998E-2</v>
      </c>
      <c r="V1859">
        <v>-7.9163949999999997E-2</v>
      </c>
      <c r="W1859">
        <v>-2.4725469999999999E-2</v>
      </c>
      <c r="X1859">
        <v>0.99655490000000002</v>
      </c>
      <c r="Y1859">
        <v>-8.4526699999999996E-2</v>
      </c>
      <c r="Z1859">
        <v>-2.8338489999999998E-3</v>
      </c>
      <c r="AA1859">
        <v>0.9964172</v>
      </c>
      <c r="AB1859">
        <v>47</v>
      </c>
      <c r="AC1859">
        <v>-42.826500000000003</v>
      </c>
      <c r="AD1859">
        <v>-1.1104260902453</v>
      </c>
      <c r="AE1859">
        <v>-0.740199999999958</v>
      </c>
      <c r="AF1859">
        <v>-3.6559747531067499</v>
      </c>
      <c r="AG1859">
        <v>-1.1104260902453</v>
      </c>
      <c r="AH1859">
        <v>42.647710824867801</v>
      </c>
      <c r="AI1859">
        <v>91.486035679677897</v>
      </c>
      <c r="AJ1859">
        <v>94.899701516089195</v>
      </c>
      <c r="AK1859">
        <v>42.818529121150299</v>
      </c>
      <c r="AL1859">
        <v>91.416809499748197</v>
      </c>
      <c r="AM1859">
        <v>94.541902771887294</v>
      </c>
      <c r="AN1859">
        <v>0.99999997428016596</v>
      </c>
    </row>
    <row r="1860" spans="1:40" x14ac:dyDescent="0.25">
      <c r="A1860" t="str">
        <f>"20190312151534864"</f>
        <v>20190312151534864</v>
      </c>
      <c r="B1860" t="str">
        <f>"1552374934859125"</f>
        <v>1552374934859125</v>
      </c>
      <c r="C1860" t="s">
        <v>40</v>
      </c>
      <c r="D1860">
        <v>5.0301879999999999</v>
      </c>
      <c r="E1860">
        <v>0.497618</v>
      </c>
      <c r="F1860" t="s">
        <v>51</v>
      </c>
      <c r="G1860">
        <v>-344.21910000000003</v>
      </c>
      <c r="H1860" s="1">
        <v>7.0838689999999998E-7</v>
      </c>
      <c r="I1860">
        <v>282.61630000000002</v>
      </c>
      <c r="J1860">
        <v>-302.02050000000003</v>
      </c>
      <c r="K1860">
        <v>1.1104480000000001</v>
      </c>
      <c r="L1860">
        <v>283.41090000000003</v>
      </c>
      <c r="M1860">
        <v>-0.99767830000000002</v>
      </c>
      <c r="N1860">
        <v>0</v>
      </c>
      <c r="O1860">
        <v>6.7304329999999996E-2</v>
      </c>
      <c r="P1860">
        <v>-0.99931519999999996</v>
      </c>
      <c r="Q1860">
        <v>-3.4831359999999999E-2</v>
      </c>
      <c r="R1860">
        <v>-1.248017E-2</v>
      </c>
      <c r="S1860">
        <v>-2.9986570000000001</v>
      </c>
      <c r="T1860">
        <v>-7.8443769999999996E-2</v>
      </c>
      <c r="U1860">
        <v>-5.4962160000000003E-2</v>
      </c>
      <c r="V1860">
        <v>-7.9598520000000006E-2</v>
      </c>
      <c r="W1860">
        <v>-2.4838530000000001E-2</v>
      </c>
      <c r="X1860">
        <v>0.99651749999999995</v>
      </c>
      <c r="Y1860">
        <v>-8.5528690000000004E-2</v>
      </c>
      <c r="Z1860">
        <v>-2.8779890000000001E-3</v>
      </c>
      <c r="AA1860">
        <v>0.99633159999999998</v>
      </c>
      <c r="AB1860">
        <v>47</v>
      </c>
      <c r="AC1860">
        <v>-42.198599999999999</v>
      </c>
      <c r="AD1860">
        <v>-1.1104472916131001</v>
      </c>
      <c r="AE1860">
        <v>-0.79460000000000197</v>
      </c>
      <c r="AF1860">
        <v>-3.6305869436839502</v>
      </c>
      <c r="AG1860">
        <v>-1.1104472916131001</v>
      </c>
      <c r="AH1860">
        <v>42.020333667801999</v>
      </c>
      <c r="AI1860">
        <v>91.508154259491207</v>
      </c>
      <c r="AJ1860">
        <v>94.938132919557304</v>
      </c>
      <c r="AK1860">
        <v>42.191500284968697</v>
      </c>
      <c r="AL1860">
        <v>91.423289310841994</v>
      </c>
      <c r="AM1860">
        <v>94.566901010647499</v>
      </c>
      <c r="AN1860">
        <v>1.0000000023825</v>
      </c>
    </row>
    <row r="1861" spans="1:40" x14ac:dyDescent="0.25">
      <c r="A1861" t="str">
        <f>"20190312151534876"</f>
        <v>20190312151534876</v>
      </c>
      <c r="B1861" t="str">
        <f>"1552374934869861"</f>
        <v>1552374934869861</v>
      </c>
      <c r="C1861" t="s">
        <v>40</v>
      </c>
      <c r="D1861">
        <v>5.0074040000000002</v>
      </c>
      <c r="E1861">
        <v>0.49728020000000001</v>
      </c>
      <c r="F1861" t="s">
        <v>52</v>
      </c>
      <c r="G1861">
        <v>-319.49209999999999</v>
      </c>
      <c r="H1861" s="1">
        <v>6.5614579999999999E-6</v>
      </c>
      <c r="I1861">
        <v>283.07100000000003</v>
      </c>
      <c r="J1861">
        <v>-302.24970000000002</v>
      </c>
      <c r="K1861">
        <v>1.1104689999999999</v>
      </c>
      <c r="L1861">
        <v>283.42599999999999</v>
      </c>
      <c r="M1861">
        <v>-0.99773199999999995</v>
      </c>
      <c r="N1861">
        <v>0</v>
      </c>
      <c r="O1861">
        <v>6.6500660000000003E-2</v>
      </c>
      <c r="P1861">
        <v>-0.99929129999999999</v>
      </c>
      <c r="Q1861">
        <v>-3.5125419999999997E-2</v>
      </c>
      <c r="R1861">
        <v>-1.3540490000000001E-2</v>
      </c>
      <c r="S1861">
        <v>-2.9946899999999999</v>
      </c>
      <c r="T1861">
        <v>-0.190333</v>
      </c>
      <c r="U1861">
        <v>-5.825806E-2</v>
      </c>
      <c r="V1861">
        <v>-7.9849799999999999E-2</v>
      </c>
      <c r="W1861">
        <v>-2.5115370000000001E-2</v>
      </c>
      <c r="X1861">
        <v>0.99649049999999995</v>
      </c>
      <c r="Y1861">
        <v>-8.5592039999999994E-2</v>
      </c>
      <c r="Z1861">
        <v>-6.9374669999999897E-3</v>
      </c>
      <c r="AA1861">
        <v>0.99630609999999997</v>
      </c>
      <c r="AB1861">
        <v>47</v>
      </c>
      <c r="AC1861">
        <v>-17.2423999999999</v>
      </c>
      <c r="AD1861">
        <v>-1.1104624385420001</v>
      </c>
      <c r="AE1861">
        <v>-0.35500000000001802</v>
      </c>
      <c r="AF1861">
        <v>-1.4947102264723899</v>
      </c>
      <c r="AG1861">
        <v>-1.1104624385420001</v>
      </c>
      <c r="AH1861">
        <v>17.109682162155298</v>
      </c>
      <c r="AI1861">
        <v>93.699385006021998</v>
      </c>
      <c r="AJ1861">
        <v>94.992711931330803</v>
      </c>
      <c r="AK1861">
        <v>17.210709142232101</v>
      </c>
      <c r="AL1861">
        <v>91.439155963838502</v>
      </c>
      <c r="AM1861">
        <v>94.581380326029304</v>
      </c>
      <c r="AN1861">
        <v>1.0000000444802599</v>
      </c>
    </row>
    <row r="1862" spans="1:40" x14ac:dyDescent="0.25">
      <c r="A1862" t="str">
        <f>"20190312151534887"</f>
        <v>20190312151534887</v>
      </c>
      <c r="B1862" t="str">
        <f>"1552374934879620"</f>
        <v>1552374934879620</v>
      </c>
      <c r="C1862" t="s">
        <v>40</v>
      </c>
      <c r="D1862">
        <v>5.0143170000000001</v>
      </c>
      <c r="E1862">
        <v>0.4974169</v>
      </c>
      <c r="F1862" t="s">
        <v>52</v>
      </c>
      <c r="G1862">
        <v>-319.54480000000001</v>
      </c>
      <c r="H1862" s="1">
        <v>6.5861609999999997E-6</v>
      </c>
      <c r="I1862">
        <v>283.05529999999999</v>
      </c>
      <c r="J1862">
        <v>-302.49799999999999</v>
      </c>
      <c r="K1862">
        <v>1.11049</v>
      </c>
      <c r="L1862">
        <v>283.44200000000001</v>
      </c>
      <c r="M1862">
        <v>-0.9977895</v>
      </c>
      <c r="N1862">
        <v>0</v>
      </c>
      <c r="O1862">
        <v>6.5626760000000006E-2</v>
      </c>
      <c r="P1862">
        <v>-0.9992877</v>
      </c>
      <c r="Q1862">
        <v>-3.4893529999999999E-2</v>
      </c>
      <c r="R1862">
        <v>-1.4366739999999999E-2</v>
      </c>
      <c r="S1862">
        <v>-2.994507</v>
      </c>
      <c r="T1862">
        <v>-0.19226789999999999</v>
      </c>
      <c r="U1862">
        <v>-6.4178470000000001E-2</v>
      </c>
      <c r="V1862">
        <v>-7.9802300000000007E-2</v>
      </c>
      <c r="W1862">
        <v>-2.486215E-2</v>
      </c>
      <c r="X1862">
        <v>0.99650059999999996</v>
      </c>
      <c r="Y1862">
        <v>-8.6682770000000006E-2</v>
      </c>
      <c r="Z1862">
        <v>-6.987203E-3</v>
      </c>
      <c r="AA1862">
        <v>0.99621150000000003</v>
      </c>
      <c r="AB1862">
        <v>47</v>
      </c>
      <c r="AC1862">
        <v>-17.046800000000001</v>
      </c>
      <c r="AD1862">
        <v>-1.1104834138390001</v>
      </c>
      <c r="AE1862">
        <v>-0.38670000000001797</v>
      </c>
      <c r="AF1862">
        <v>-1.4982986716940701</v>
      </c>
      <c r="AG1862">
        <v>-1.1104834138390001</v>
      </c>
      <c r="AH1862">
        <v>16.9129324624109</v>
      </c>
      <c r="AI1862">
        <v>93.741969010502402</v>
      </c>
      <c r="AJ1862">
        <v>95.062556034716593</v>
      </c>
      <c r="AK1862">
        <v>17.015444654785998</v>
      </c>
      <c r="AL1862">
        <v>91.424643073290795</v>
      </c>
      <c r="AM1862">
        <v>94.578620396353102</v>
      </c>
      <c r="AN1862">
        <v>0.99999998969413595</v>
      </c>
    </row>
    <row r="1863" spans="1:40" x14ac:dyDescent="0.25">
      <c r="A1863" t="str">
        <f>"20190312151534900"</f>
        <v>20190312151534900</v>
      </c>
      <c r="B1863" t="str">
        <f>"1552374934889381"</f>
        <v>1552374934889381</v>
      </c>
      <c r="C1863" t="s">
        <v>40</v>
      </c>
      <c r="D1863">
        <v>5.0223750000000003</v>
      </c>
      <c r="E1863">
        <v>0.4974169</v>
      </c>
      <c r="F1863" t="s">
        <v>52</v>
      </c>
      <c r="G1863">
        <v>-319.6678</v>
      </c>
      <c r="H1863" s="1">
        <v>6.6398450000000001E-6</v>
      </c>
      <c r="I1863">
        <v>283.06529999999998</v>
      </c>
      <c r="J1863">
        <v>-302.73500000000001</v>
      </c>
      <c r="K1863">
        <v>1.110514</v>
      </c>
      <c r="L1863">
        <v>283.4572</v>
      </c>
      <c r="M1863">
        <v>-0.99784439999999996</v>
      </c>
      <c r="N1863">
        <v>0</v>
      </c>
      <c r="O1863">
        <v>6.4785519999999999E-2</v>
      </c>
      <c r="P1863">
        <v>-0.99927100000000002</v>
      </c>
      <c r="Q1863">
        <v>-3.496908E-2</v>
      </c>
      <c r="R1863">
        <v>-1.533088E-2</v>
      </c>
      <c r="S1863">
        <v>-2.9944459999999999</v>
      </c>
      <c r="T1863">
        <v>-0.19367110000000001</v>
      </c>
      <c r="U1863">
        <v>-6.5704349999999995E-2</v>
      </c>
      <c r="V1863">
        <v>-7.9921469999999994E-2</v>
      </c>
      <c r="W1863">
        <v>-2.4917910000000001E-2</v>
      </c>
      <c r="X1863">
        <v>0.99648959999999998</v>
      </c>
      <c r="Y1863">
        <v>-8.6348569999999999E-2</v>
      </c>
      <c r="Z1863">
        <v>-6.9731369999999999E-3</v>
      </c>
      <c r="AA1863">
        <v>0.99624060000000003</v>
      </c>
      <c r="AB1863">
        <v>47</v>
      </c>
      <c r="AC1863">
        <v>-16.932799999999901</v>
      </c>
      <c r="AD1863">
        <v>-1.110507360155</v>
      </c>
      <c r="AE1863">
        <v>-0.39190000000002101</v>
      </c>
      <c r="AF1863">
        <v>-1.48176696845651</v>
      </c>
      <c r="AG1863">
        <v>-1.110507360155</v>
      </c>
      <c r="AH1863">
        <v>16.7996139425602</v>
      </c>
      <c r="AI1863">
        <v>93.767345636647704</v>
      </c>
      <c r="AJ1863">
        <v>95.040583297304593</v>
      </c>
      <c r="AK1863">
        <v>16.901357595318501</v>
      </c>
      <c r="AL1863">
        <v>91.427838956664701</v>
      </c>
      <c r="AM1863">
        <v>94.585478985935794</v>
      </c>
      <c r="AN1863">
        <v>0.99999993325694203</v>
      </c>
    </row>
    <row r="1864" spans="1:40" x14ac:dyDescent="0.25">
      <c r="A1864" t="str">
        <f>"20190312151534911"</f>
        <v>20190312151534911</v>
      </c>
      <c r="B1864" t="str">
        <f>"1552374934899141"</f>
        <v>1552374934899141</v>
      </c>
      <c r="C1864" t="s">
        <v>40</v>
      </c>
      <c r="D1864">
        <v>5.0924550000000002</v>
      </c>
      <c r="E1864">
        <v>0.49661850000000002</v>
      </c>
      <c r="F1864" t="s">
        <v>52</v>
      </c>
      <c r="G1864">
        <v>-319.88589999999999</v>
      </c>
      <c r="H1864" s="1">
        <v>6.7367070000000002E-6</v>
      </c>
      <c r="I1864">
        <v>283.06389999999999</v>
      </c>
      <c r="J1864">
        <v>-303.00909999999999</v>
      </c>
      <c r="K1864">
        <v>1.1105370000000001</v>
      </c>
      <c r="L1864">
        <v>283.47449999999998</v>
      </c>
      <c r="M1864">
        <v>-0.99790719999999999</v>
      </c>
      <c r="N1864">
        <v>0</v>
      </c>
      <c r="O1864">
        <v>6.3806680000000005E-2</v>
      </c>
      <c r="P1864">
        <v>-0.99926470000000001</v>
      </c>
      <c r="Q1864">
        <v>-3.4501030000000002E-2</v>
      </c>
      <c r="R1864">
        <v>-1.6748840000000001E-2</v>
      </c>
      <c r="S1864">
        <v>-2.9943849999999999</v>
      </c>
      <c r="T1864">
        <v>-0.1938838</v>
      </c>
      <c r="U1864">
        <v>-6.8664550000000005E-2</v>
      </c>
      <c r="V1864">
        <v>-8.0360059999999997E-2</v>
      </c>
      <c r="W1864">
        <v>-2.4428149999999999E-2</v>
      </c>
      <c r="X1864">
        <v>0.99646650000000003</v>
      </c>
      <c r="Y1864">
        <v>-8.6357500000000004E-2</v>
      </c>
      <c r="Z1864">
        <v>-6.9179339999999997E-3</v>
      </c>
      <c r="AA1864">
        <v>0.99624020000000002</v>
      </c>
      <c r="AB1864">
        <v>47</v>
      </c>
      <c r="AC1864">
        <v>-16.876799999999999</v>
      </c>
      <c r="AD1864">
        <v>-1.1105302632930001</v>
      </c>
      <c r="AE1864">
        <v>-0.41059999999998797</v>
      </c>
      <c r="AF1864">
        <v>-1.48026932230765</v>
      </c>
      <c r="AG1864">
        <v>-1.1105302632930001</v>
      </c>
      <c r="AH1864">
        <v>16.7437491933307</v>
      </c>
      <c r="AI1864">
        <v>93.779888917795603</v>
      </c>
      <c r="AJ1864">
        <v>95.052228858233704</v>
      </c>
      <c r="AK1864">
        <v>16.845700097693101</v>
      </c>
      <c r="AL1864">
        <v>91.399769163385898</v>
      </c>
      <c r="AM1864">
        <v>94.610641228681303</v>
      </c>
      <c r="AN1864">
        <v>0.99999997968893795</v>
      </c>
    </row>
    <row r="1865" spans="1:40" x14ac:dyDescent="0.25">
      <c r="A1865" t="str">
        <f>"20190312151534932"</f>
        <v>20190312151534932</v>
      </c>
      <c r="B1865" t="str">
        <f>"1552374934919637"</f>
        <v>1552374934919637</v>
      </c>
      <c r="C1865" t="s">
        <v>40</v>
      </c>
      <c r="D1865">
        <v>4.8995660000000001</v>
      </c>
      <c r="E1865">
        <v>0.49414920000000001</v>
      </c>
      <c r="F1865" t="s">
        <v>51</v>
      </c>
      <c r="G1865">
        <v>-320.44</v>
      </c>
      <c r="H1865" s="1">
        <v>-1.2326160000000001E-6</v>
      </c>
      <c r="I1865">
        <v>283.01400000000001</v>
      </c>
      <c r="J1865">
        <v>-303.42579999999998</v>
      </c>
      <c r="K1865">
        <v>1.1105860000000001</v>
      </c>
      <c r="L1865">
        <v>283.50020000000001</v>
      </c>
      <c r="M1865">
        <v>-0.99800279999999997</v>
      </c>
      <c r="N1865">
        <v>0</v>
      </c>
      <c r="O1865">
        <v>6.2283860000000003E-2</v>
      </c>
      <c r="P1865">
        <v>-0.99924239999999998</v>
      </c>
      <c r="Q1865">
        <v>-3.4324399999999998E-2</v>
      </c>
      <c r="R1865">
        <v>-1.8343109999999999E-2</v>
      </c>
      <c r="S1865">
        <v>-2.9942929999999999</v>
      </c>
      <c r="T1865">
        <v>-0.19076969999999999</v>
      </c>
      <c r="U1865">
        <v>-7.9101560000000001E-2</v>
      </c>
      <c r="V1865">
        <v>-8.0428910000000006E-2</v>
      </c>
      <c r="W1865">
        <v>-2.4213620000000002E-2</v>
      </c>
      <c r="X1865">
        <v>0.99646619999999997</v>
      </c>
      <c r="Y1865">
        <v>-8.8317419999999994E-2</v>
      </c>
      <c r="Z1865">
        <v>-6.7726349999999999E-3</v>
      </c>
      <c r="AA1865">
        <v>0.99606939999999999</v>
      </c>
      <c r="AB1865">
        <v>47</v>
      </c>
      <c r="AC1865">
        <v>-17.014199999999999</v>
      </c>
      <c r="AD1865">
        <v>-1.110587232616</v>
      </c>
      <c r="AE1865">
        <v>-0.48619999999999602</v>
      </c>
      <c r="AF1865">
        <v>-1.5384752123995</v>
      </c>
      <c r="AG1865">
        <v>-1.110587232616</v>
      </c>
      <c r="AH1865">
        <v>16.879020760475701</v>
      </c>
      <c r="AI1865">
        <v>93.748962470130095</v>
      </c>
      <c r="AJ1865">
        <v>95.207958533553494</v>
      </c>
      <c r="AK1865">
        <v>16.985336376209599</v>
      </c>
      <c r="AL1865">
        <v>91.387473836730393</v>
      </c>
      <c r="AM1865">
        <v>94.614575812849495</v>
      </c>
      <c r="AN1865">
        <v>0.99999999834986597</v>
      </c>
    </row>
    <row r="1866" spans="1:40" x14ac:dyDescent="0.25">
      <c r="A1866" t="str">
        <f>"20190312151534955"</f>
        <v>20190312151534955</v>
      </c>
      <c r="B1866" t="str">
        <f>"1552374934949893"</f>
        <v>1552374934949893</v>
      </c>
      <c r="C1866" t="s">
        <v>40</v>
      </c>
      <c r="D1866">
        <v>4.9512499999999999</v>
      </c>
      <c r="E1866">
        <v>0.49214140000000001</v>
      </c>
      <c r="F1866" t="s">
        <v>51</v>
      </c>
      <c r="G1866">
        <v>-322.94170000000003</v>
      </c>
      <c r="H1866" s="1">
        <v>1.067739E-7</v>
      </c>
      <c r="I1866">
        <v>282.82900000000001</v>
      </c>
      <c r="J1866">
        <v>-303.90649999999999</v>
      </c>
      <c r="K1866">
        <v>1.11066</v>
      </c>
      <c r="L1866">
        <v>283.52910000000003</v>
      </c>
      <c r="M1866">
        <v>-0.9981141</v>
      </c>
      <c r="N1866">
        <v>0</v>
      </c>
      <c r="O1866">
        <v>6.0462990000000001E-2</v>
      </c>
      <c r="P1866">
        <v>-0.99922279999999997</v>
      </c>
      <c r="Q1866">
        <v>-3.3982970000000001E-2</v>
      </c>
      <c r="R1866">
        <v>-1.9975380000000001E-2</v>
      </c>
      <c r="S1866">
        <v>-2.9945369999999998</v>
      </c>
      <c r="T1866">
        <v>-0.17040959999999999</v>
      </c>
      <c r="U1866">
        <v>-0.1029968</v>
      </c>
      <c r="V1866">
        <v>-8.0237219999999998E-2</v>
      </c>
      <c r="W1866">
        <v>-2.3821180000000001E-2</v>
      </c>
      <c r="X1866">
        <v>0.99649109999999996</v>
      </c>
      <c r="Y1866">
        <v>-9.4491889999999995E-2</v>
      </c>
      <c r="Z1866">
        <v>-6.1221230000000001E-3</v>
      </c>
      <c r="AA1866">
        <v>0.99550680000000003</v>
      </c>
      <c r="AB1866">
        <v>47</v>
      </c>
      <c r="AC1866">
        <v>-19.0352</v>
      </c>
      <c r="AD1866">
        <v>-1.1106598932261</v>
      </c>
      <c r="AE1866">
        <v>-0.70010000000002004</v>
      </c>
      <c r="AF1866">
        <v>-1.84354104618596</v>
      </c>
      <c r="AG1866">
        <v>-1.1106598932261</v>
      </c>
      <c r="AH1866">
        <v>18.893801356413</v>
      </c>
      <c r="AI1866">
        <v>93.348358678192497</v>
      </c>
      <c r="AJ1866">
        <v>95.572928816969196</v>
      </c>
      <c r="AK1866">
        <v>19.015991656576499</v>
      </c>
      <c r="AL1866">
        <v>91.364982209451696</v>
      </c>
      <c r="AM1866">
        <v>94.603510468045599</v>
      </c>
      <c r="AN1866">
        <v>0.99999998623456499</v>
      </c>
    </row>
    <row r="1867" spans="1:40" x14ac:dyDescent="0.25">
      <c r="A1867" t="str">
        <f>"20190312151534978"</f>
        <v>20190312151534978</v>
      </c>
      <c r="B1867" t="str">
        <f>"1552374934969414"</f>
        <v>1552374934969414</v>
      </c>
      <c r="C1867" t="s">
        <v>40</v>
      </c>
      <c r="D1867">
        <v>5.1340589999999997</v>
      </c>
      <c r="E1867">
        <v>0.49151919999999999</v>
      </c>
      <c r="F1867" t="s">
        <v>51</v>
      </c>
      <c r="G1867">
        <v>-326.41820000000001</v>
      </c>
      <c r="H1867" s="1">
        <v>1.9667729999999998E-6</v>
      </c>
      <c r="I1867">
        <v>282.60090000000002</v>
      </c>
      <c r="J1867">
        <v>-304.37380000000002</v>
      </c>
      <c r="K1867">
        <v>1.110744</v>
      </c>
      <c r="L1867">
        <v>283.55610000000001</v>
      </c>
      <c r="M1867">
        <v>-0.99822339999999998</v>
      </c>
      <c r="N1867">
        <v>0</v>
      </c>
      <c r="O1867">
        <v>5.8618410000000003E-2</v>
      </c>
      <c r="P1867">
        <v>-0.99920299999999995</v>
      </c>
      <c r="Q1867">
        <v>-3.4044310000000001E-2</v>
      </c>
      <c r="R1867">
        <v>-2.0846750000000001E-2</v>
      </c>
      <c r="S1867">
        <v>-2.9948429999999999</v>
      </c>
      <c r="T1867">
        <v>-0.1477562</v>
      </c>
      <c r="U1867">
        <v>-0.1234741</v>
      </c>
      <c r="V1867">
        <v>-7.9261209999999999E-2</v>
      </c>
      <c r="W1867">
        <v>-2.3822349999999999E-2</v>
      </c>
      <c r="X1867">
        <v>0.99656920000000004</v>
      </c>
      <c r="Y1867">
        <v>-9.9503030000000006E-2</v>
      </c>
      <c r="Z1867">
        <v>-5.3409140000000004E-3</v>
      </c>
      <c r="AA1867">
        <v>0.99502299999999999</v>
      </c>
      <c r="AB1867">
        <v>47</v>
      </c>
      <c r="AC1867">
        <v>-22.0444</v>
      </c>
      <c r="AD1867">
        <v>-1.1107420332269999</v>
      </c>
      <c r="AE1867">
        <v>-0.95519999999998995</v>
      </c>
      <c r="AF1867">
        <v>-2.2401619194916802</v>
      </c>
      <c r="AG1867">
        <v>-1.1107420332269999</v>
      </c>
      <c r="AH1867">
        <v>21.895010956676501</v>
      </c>
      <c r="AI1867">
        <v>92.889089985593799</v>
      </c>
      <c r="AJ1867">
        <v>95.841821617698997</v>
      </c>
      <c r="AK1867">
        <v>22.0373223891403</v>
      </c>
      <c r="AL1867">
        <v>91.365049236083806</v>
      </c>
      <c r="AM1867">
        <v>94.547394537014895</v>
      </c>
      <c r="AN1867">
        <v>1.0000000070794099</v>
      </c>
    </row>
    <row r="1868" spans="1:40" x14ac:dyDescent="0.25">
      <c r="A1868" t="str">
        <f>"20190312151534999"</f>
        <v>20190312151534999</v>
      </c>
      <c r="B1868" t="str">
        <f>"1552374934989908"</f>
        <v>1552374934989908</v>
      </c>
      <c r="C1868" t="s">
        <v>40</v>
      </c>
      <c r="D1868">
        <v>4.9282979999999998</v>
      </c>
      <c r="E1868">
        <v>0.49114540000000001</v>
      </c>
      <c r="F1868" t="s">
        <v>51</v>
      </c>
      <c r="G1868">
        <v>-328.51889999999997</v>
      </c>
      <c r="H1868" s="1">
        <v>3.0890489999999999E-6</v>
      </c>
      <c r="I1868">
        <v>282.49959999999999</v>
      </c>
      <c r="J1868">
        <v>-304.82639999999998</v>
      </c>
      <c r="K1868">
        <v>1.1108290000000001</v>
      </c>
      <c r="L1868">
        <v>283.58150000000001</v>
      </c>
      <c r="M1868">
        <v>-0.99832960000000004</v>
      </c>
      <c r="N1868">
        <v>0</v>
      </c>
      <c r="O1868">
        <v>5.6766900000000002E-2</v>
      </c>
      <c r="P1868">
        <v>-0.99919849999999999</v>
      </c>
      <c r="Q1868">
        <v>-3.3713750000000001E-2</v>
      </c>
      <c r="R1868">
        <v>-2.1586190000000002E-2</v>
      </c>
      <c r="S1868">
        <v>-2.9949650000000001</v>
      </c>
      <c r="T1868">
        <v>-0.1377766</v>
      </c>
      <c r="U1868">
        <v>-0.13104250000000001</v>
      </c>
      <c r="V1868">
        <v>-7.8148949999999995E-2</v>
      </c>
      <c r="W1868">
        <v>-2.342816E-2</v>
      </c>
      <c r="X1868">
        <v>0.99666639999999995</v>
      </c>
      <c r="Y1868">
        <v>-0.10019210000000001</v>
      </c>
      <c r="Z1868">
        <v>-4.910953E-3</v>
      </c>
      <c r="AA1868">
        <v>0.99495599999999995</v>
      </c>
      <c r="AB1868">
        <v>47</v>
      </c>
      <c r="AC1868">
        <v>-23.6924999999999</v>
      </c>
      <c r="AD1868">
        <v>-1.1108259109509999</v>
      </c>
      <c r="AE1868">
        <v>-1.0819000000000101</v>
      </c>
      <c r="AF1868">
        <v>-2.4198743301020298</v>
      </c>
      <c r="AG1868">
        <v>-1.1108259109509999</v>
      </c>
      <c r="AH1868">
        <v>23.541229798328899</v>
      </c>
      <c r="AI1868">
        <v>92.687437703047905</v>
      </c>
      <c r="AJ1868">
        <v>95.8689932914087</v>
      </c>
      <c r="AK1868">
        <v>23.691332305205101</v>
      </c>
      <c r="AL1868">
        <v>91.3424574830415</v>
      </c>
      <c r="AM1868">
        <v>94.483408225232097</v>
      </c>
      <c r="AN1868">
        <v>1.0000000249780201</v>
      </c>
    </row>
    <row r="1869" spans="1:40" x14ac:dyDescent="0.25">
      <c r="A1869" t="str">
        <f>"20190312151535012"</f>
        <v>20190312151535012</v>
      </c>
      <c r="B1869" t="str">
        <f>"1552374934999669"</f>
        <v>1552374934999669</v>
      </c>
      <c r="C1869" t="s">
        <v>40</v>
      </c>
      <c r="D1869">
        <v>5.0568809999999997</v>
      </c>
      <c r="E1869">
        <v>0.49060429999999999</v>
      </c>
      <c r="F1869" t="s">
        <v>51</v>
      </c>
      <c r="G1869">
        <v>-330.77710000000002</v>
      </c>
      <c r="H1869" s="1">
        <v>-1.0264889999999999E-6</v>
      </c>
      <c r="I1869">
        <v>282.40300000000002</v>
      </c>
      <c r="J1869">
        <v>-305.0994</v>
      </c>
      <c r="K1869">
        <v>1.1108819999999999</v>
      </c>
      <c r="L1869">
        <v>283.59640000000002</v>
      </c>
      <c r="M1869">
        <v>-0.99839339999999999</v>
      </c>
      <c r="N1869">
        <v>0</v>
      </c>
      <c r="O1869">
        <v>5.5623800000000001E-2</v>
      </c>
      <c r="P1869">
        <v>-0.99919550000000001</v>
      </c>
      <c r="Q1869">
        <v>-3.3543509999999999E-2</v>
      </c>
      <c r="R1869">
        <v>-2.1985589999999999E-2</v>
      </c>
      <c r="S1869">
        <v>-2.995117</v>
      </c>
      <c r="T1869">
        <v>-0.12820719999999999</v>
      </c>
      <c r="U1869">
        <v>-0.13601679999999999</v>
      </c>
      <c r="V1869">
        <v>-7.7405550000000004E-2</v>
      </c>
      <c r="W1869">
        <v>-2.3216239999999999E-2</v>
      </c>
      <c r="X1869">
        <v>0.99672939999999999</v>
      </c>
      <c r="Y1869">
        <v>-0.1007227</v>
      </c>
      <c r="Z1869">
        <v>-4.5322950000000004E-3</v>
      </c>
      <c r="AA1869">
        <v>0.99490420000000002</v>
      </c>
      <c r="AB1869">
        <v>47</v>
      </c>
      <c r="AC1869">
        <v>-25.677700000000002</v>
      </c>
      <c r="AD1869">
        <v>-1.1108830264889999</v>
      </c>
      <c r="AE1869">
        <v>-1.19339999999999</v>
      </c>
      <c r="AF1869">
        <v>-2.6150428012883</v>
      </c>
      <c r="AG1869">
        <v>-1.1108830264889999</v>
      </c>
      <c r="AH1869">
        <v>25.5238869860333</v>
      </c>
      <c r="AI1869">
        <v>92.479165313774004</v>
      </c>
      <c r="AJ1869">
        <v>95.849811835061999</v>
      </c>
      <c r="AK1869">
        <v>25.681536496613901</v>
      </c>
      <c r="AL1869">
        <v>91.330312018369</v>
      </c>
      <c r="AM1869">
        <v>94.440651186271893</v>
      </c>
      <c r="AN1869">
        <v>1.0000000548974399</v>
      </c>
    </row>
    <row r="1870" spans="1:40" x14ac:dyDescent="0.25">
      <c r="A1870" t="str">
        <f>"20190312151535025"</f>
        <v>20190312151535025</v>
      </c>
      <c r="B1870" t="str">
        <f>"1552374935019189"</f>
        <v>1552374935019189</v>
      </c>
      <c r="C1870" t="s">
        <v>40</v>
      </c>
      <c r="D1870">
        <v>4.8546079999999998</v>
      </c>
      <c r="E1870">
        <v>0.49013129999999999</v>
      </c>
      <c r="F1870" t="s">
        <v>51</v>
      </c>
      <c r="G1870">
        <v>-331.76350000000002</v>
      </c>
      <c r="H1870" s="1">
        <v>-4.9870889999999998E-7</v>
      </c>
      <c r="I1870">
        <v>282.3374</v>
      </c>
      <c r="J1870">
        <v>-305.36900000000003</v>
      </c>
      <c r="K1870">
        <v>1.110935</v>
      </c>
      <c r="L1870">
        <v>283.61070000000001</v>
      </c>
      <c r="M1870">
        <v>-0.99845729999999999</v>
      </c>
      <c r="N1870">
        <v>0</v>
      </c>
      <c r="O1870">
        <v>5.4456949999999997E-2</v>
      </c>
      <c r="P1870">
        <v>-0.99917630000000002</v>
      </c>
      <c r="Q1870">
        <v>-3.366454E-2</v>
      </c>
      <c r="R1870">
        <v>-2.266319E-2</v>
      </c>
      <c r="S1870">
        <v>-2.995117</v>
      </c>
      <c r="T1870">
        <v>-0.12478259999999999</v>
      </c>
      <c r="U1870">
        <v>-0.1414185</v>
      </c>
      <c r="V1870">
        <v>-7.6913019999999999E-2</v>
      </c>
      <c r="W1870">
        <v>-2.329061E-2</v>
      </c>
      <c r="X1870">
        <v>0.99676569999999998</v>
      </c>
      <c r="Y1870">
        <v>-0.1013584</v>
      </c>
      <c r="Z1870">
        <v>-4.3758690000000001E-3</v>
      </c>
      <c r="AA1870">
        <v>0.99484030000000001</v>
      </c>
      <c r="AB1870">
        <v>47</v>
      </c>
      <c r="AC1870">
        <v>-26.394499999999901</v>
      </c>
      <c r="AD1870">
        <v>-1.1109354987089</v>
      </c>
      <c r="AE1870">
        <v>-1.2733000000000001</v>
      </c>
      <c r="AF1870">
        <v>-2.7040794827616002</v>
      </c>
      <c r="AG1870">
        <v>-1.1109354987089</v>
      </c>
      <c r="AH1870">
        <v>26.239608428728701</v>
      </c>
      <c r="AI1870">
        <v>92.411590781473095</v>
      </c>
      <c r="AJ1870">
        <v>95.883752062970402</v>
      </c>
      <c r="AK1870">
        <v>26.401955874980001</v>
      </c>
      <c r="AL1870">
        <v>91.334574380519101</v>
      </c>
      <c r="AM1870">
        <v>94.412347295835303</v>
      </c>
      <c r="AN1870">
        <v>0.99999996292809001</v>
      </c>
    </row>
    <row r="1871" spans="1:40" x14ac:dyDescent="0.25">
      <c r="A1871" t="str">
        <f>"20190312151535044"</f>
        <v>20190312151535044</v>
      </c>
      <c r="B1871" t="str">
        <f>"1552374935039685"</f>
        <v>1552374935039685</v>
      </c>
      <c r="C1871" t="s">
        <v>40</v>
      </c>
      <c r="D1871">
        <v>4.8476100000000004</v>
      </c>
      <c r="E1871">
        <v>0.49000500000000002</v>
      </c>
      <c r="F1871" t="s">
        <v>51</v>
      </c>
      <c r="G1871">
        <v>-333.07319999999999</v>
      </c>
      <c r="H1871" s="1">
        <v>2.021029E-7</v>
      </c>
      <c r="I1871">
        <v>282.24950000000001</v>
      </c>
      <c r="J1871">
        <v>-305.76749999999998</v>
      </c>
      <c r="K1871">
        <v>1.111013</v>
      </c>
      <c r="L1871">
        <v>283.63130000000001</v>
      </c>
      <c r="M1871">
        <v>-0.99855070000000001</v>
      </c>
      <c r="N1871">
        <v>0</v>
      </c>
      <c r="O1871">
        <v>5.2697790000000001E-2</v>
      </c>
      <c r="P1871">
        <v>-0.99915120000000002</v>
      </c>
      <c r="Q1871">
        <v>-3.3740779999999998E-2</v>
      </c>
      <c r="R1871">
        <v>-2.3638889999999999E-2</v>
      </c>
      <c r="S1871">
        <v>-2.9950559999999999</v>
      </c>
      <c r="T1871">
        <v>-0.12010120000000001</v>
      </c>
      <c r="U1871">
        <v>-0.1471558</v>
      </c>
      <c r="V1871">
        <v>-7.6126879999999994E-2</v>
      </c>
      <c r="W1871">
        <v>-2.328533E-2</v>
      </c>
      <c r="X1871">
        <v>0.9968262</v>
      </c>
      <c r="Y1871">
        <v>-0.1015192</v>
      </c>
      <c r="Z1871">
        <v>-4.1445350000000004E-3</v>
      </c>
      <c r="AA1871">
        <v>0.99482490000000001</v>
      </c>
      <c r="AB1871">
        <v>47</v>
      </c>
      <c r="AC1871">
        <v>-27.305700000000002</v>
      </c>
      <c r="AD1871">
        <v>-1.1110127978971001</v>
      </c>
      <c r="AE1871">
        <v>-1.3817999999999899</v>
      </c>
      <c r="AF1871">
        <v>-2.8142686099791101</v>
      </c>
      <c r="AG1871">
        <v>-1.1110127978971001</v>
      </c>
      <c r="AH1871">
        <v>27.150099785849498</v>
      </c>
      <c r="AI1871">
        <v>92.330826217335698</v>
      </c>
      <c r="AJ1871">
        <v>95.917912107102794</v>
      </c>
      <c r="AK1871">
        <v>27.3181693315601</v>
      </c>
      <c r="AL1871">
        <v>91.334271739624597</v>
      </c>
      <c r="AM1871">
        <v>94.367159348282399</v>
      </c>
      <c r="AN1871">
        <v>0.99999999072909096</v>
      </c>
    </row>
    <row r="1872" spans="1:40" x14ac:dyDescent="0.25">
      <c r="A1872" t="str">
        <f>"20190312151535056"</f>
        <v>20190312151535056</v>
      </c>
      <c r="B1872" t="str">
        <f>"1552374935049445"</f>
        <v>1552374935049445</v>
      </c>
      <c r="C1872" t="s">
        <v>40</v>
      </c>
      <c r="D1872">
        <v>4.8708229999999997</v>
      </c>
      <c r="E1872">
        <v>0.48998920000000001</v>
      </c>
      <c r="F1872" t="s">
        <v>51</v>
      </c>
      <c r="G1872">
        <v>-334.3372</v>
      </c>
      <c r="H1872" s="1">
        <v>8.772513E-7</v>
      </c>
      <c r="I1872">
        <v>282.1909</v>
      </c>
      <c r="J1872">
        <v>-306.03429999999997</v>
      </c>
      <c r="K1872">
        <v>1.111067</v>
      </c>
      <c r="L1872">
        <v>283.64479999999998</v>
      </c>
      <c r="M1872">
        <v>-0.99861259999999996</v>
      </c>
      <c r="N1872">
        <v>0</v>
      </c>
      <c r="O1872">
        <v>5.1496359999999998E-2</v>
      </c>
      <c r="P1872">
        <v>-0.99911559999999999</v>
      </c>
      <c r="Q1872">
        <v>-3.3946209999999997E-2</v>
      </c>
      <c r="R1872">
        <v>-2.481945E-2</v>
      </c>
      <c r="S1872">
        <v>-2.9950260000000002</v>
      </c>
      <c r="T1872">
        <v>-0.1164702</v>
      </c>
      <c r="U1872">
        <v>-0.151001</v>
      </c>
      <c r="V1872">
        <v>-7.6101899999999903E-2</v>
      </c>
      <c r="W1872">
        <v>-2.3430820000000002E-2</v>
      </c>
      <c r="X1872">
        <v>0.99682470000000001</v>
      </c>
      <c r="Y1872">
        <v>-0.10160520000000001</v>
      </c>
      <c r="Z1872">
        <v>-3.9742730000000004E-3</v>
      </c>
      <c r="AA1872">
        <v>0.99481679999999995</v>
      </c>
      <c r="AB1872">
        <v>47</v>
      </c>
      <c r="AC1872">
        <v>-28.302900000000001</v>
      </c>
      <c r="AD1872">
        <v>-1.1110661227487</v>
      </c>
      <c r="AE1872">
        <v>-1.45389999999997</v>
      </c>
      <c r="AF1872">
        <v>-2.9050901010633798</v>
      </c>
      <c r="AG1872">
        <v>-1.1110661227487</v>
      </c>
      <c r="AH1872">
        <v>28.147205363049</v>
      </c>
      <c r="AI1872">
        <v>92.248553915947397</v>
      </c>
      <c r="AJ1872">
        <v>95.892667447692503</v>
      </c>
      <c r="AK1872">
        <v>28.3185307912341</v>
      </c>
      <c r="AL1872">
        <v>91.342609975246305</v>
      </c>
      <c r="AM1872">
        <v>94.365738409535098</v>
      </c>
      <c r="AN1872">
        <v>0.999999992519786</v>
      </c>
    </row>
    <row r="1873" spans="1:40" x14ac:dyDescent="0.25">
      <c r="A1873" t="str">
        <f>"20190312151535067"</f>
        <v>20190312151535067</v>
      </c>
      <c r="B1873" t="str">
        <f>"1552374935059205"</f>
        <v>1552374935059205</v>
      </c>
      <c r="C1873" t="s">
        <v>40</v>
      </c>
      <c r="D1873">
        <v>5.0281010000000004</v>
      </c>
      <c r="E1873">
        <v>0.48993769999999998</v>
      </c>
      <c r="F1873" t="s">
        <v>51</v>
      </c>
      <c r="G1873">
        <v>-334.57459999999998</v>
      </c>
      <c r="H1873" s="1">
        <v>1.0045169999999999E-6</v>
      </c>
      <c r="I1873">
        <v>282.17059999999998</v>
      </c>
      <c r="J1873">
        <v>-306.28190000000001</v>
      </c>
      <c r="K1873">
        <v>1.1111150000000001</v>
      </c>
      <c r="L1873">
        <v>283.65690000000001</v>
      </c>
      <c r="M1873">
        <v>-0.99866960000000005</v>
      </c>
      <c r="N1873">
        <v>0</v>
      </c>
      <c r="O1873">
        <v>5.0361120000000002E-2</v>
      </c>
      <c r="P1873">
        <v>-0.99908240000000004</v>
      </c>
      <c r="Q1873">
        <v>-3.3994410000000003E-2</v>
      </c>
      <c r="R1873">
        <v>-2.6050569999999999E-2</v>
      </c>
      <c r="S1873">
        <v>-2.9948429999999999</v>
      </c>
      <c r="T1873">
        <v>-0.1165881</v>
      </c>
      <c r="U1873">
        <v>-0.15469359999999999</v>
      </c>
      <c r="V1873">
        <v>-7.6194609999999996E-2</v>
      </c>
      <c r="W1873">
        <v>-2.3416670000000001E-2</v>
      </c>
      <c r="X1873">
        <v>0.99681790000000003</v>
      </c>
      <c r="Y1873">
        <v>-0.10170129999999999</v>
      </c>
      <c r="Z1873">
        <v>-3.9361600000000002E-3</v>
      </c>
      <c r="AA1873">
        <v>0.9948072</v>
      </c>
      <c r="AB1873">
        <v>47</v>
      </c>
      <c r="AC1873">
        <v>-28.2926999999999</v>
      </c>
      <c r="AD1873">
        <v>-1.1111139954829901</v>
      </c>
      <c r="AE1873">
        <v>-1.4863000000000199</v>
      </c>
      <c r="AF1873">
        <v>-2.9048854375689102</v>
      </c>
      <c r="AG1873">
        <v>-1.1111139954829901</v>
      </c>
      <c r="AH1873">
        <v>28.138659133275901</v>
      </c>
      <c r="AI1873">
        <v>92.249327430856098</v>
      </c>
      <c r="AJ1873">
        <v>95.894032220264705</v>
      </c>
      <c r="AK1873">
        <v>28.3100171588618</v>
      </c>
      <c r="AL1873">
        <v>91.341799084726205</v>
      </c>
      <c r="AM1873">
        <v>94.371066008022098</v>
      </c>
      <c r="AN1873">
        <v>0.99999994239367296</v>
      </c>
    </row>
    <row r="1874" spans="1:40" x14ac:dyDescent="0.25">
      <c r="A1874" t="str">
        <f>"20190312151535087"</f>
        <v>20190312151535087</v>
      </c>
      <c r="B1874" t="str">
        <f>"1552374935079705"</f>
        <v>1552374935079705</v>
      </c>
      <c r="C1874" t="s">
        <v>40</v>
      </c>
      <c r="D1874">
        <v>4.8568049999999996</v>
      </c>
      <c r="E1874">
        <v>0.48984460000000002</v>
      </c>
      <c r="F1874" t="s">
        <v>51</v>
      </c>
      <c r="G1874">
        <v>-335.11930000000001</v>
      </c>
      <c r="H1874" s="1">
        <v>1.2962110000000001E-6</v>
      </c>
      <c r="I1874">
        <v>282.12790000000001</v>
      </c>
      <c r="J1874">
        <v>-306.69139999999999</v>
      </c>
      <c r="K1874">
        <v>1.111192</v>
      </c>
      <c r="L1874">
        <v>283.67630000000003</v>
      </c>
      <c r="M1874">
        <v>-0.9987627</v>
      </c>
      <c r="N1874">
        <v>0</v>
      </c>
      <c r="O1874">
        <v>4.8455320000000003E-2</v>
      </c>
      <c r="P1874">
        <v>-0.9989941</v>
      </c>
      <c r="Q1874">
        <v>-3.4343499999999999E-2</v>
      </c>
      <c r="R1874">
        <v>-2.88372E-2</v>
      </c>
      <c r="S1874">
        <v>-2.99472</v>
      </c>
      <c r="T1874">
        <v>-0.1153877</v>
      </c>
      <c r="U1874">
        <v>-0.15878299999999901</v>
      </c>
      <c r="V1874">
        <v>-7.7067759999999999E-2</v>
      </c>
      <c r="W1874">
        <v>-2.3660770000000001E-2</v>
      </c>
      <c r="X1874">
        <v>0.99674499999999999</v>
      </c>
      <c r="Y1874">
        <v>-0.101164</v>
      </c>
      <c r="Z1874">
        <v>-3.8120229999999999E-3</v>
      </c>
      <c r="AA1874">
        <v>0.99486240000000004</v>
      </c>
      <c r="AB1874">
        <v>47</v>
      </c>
      <c r="AC1874">
        <v>-28.427900000000001</v>
      </c>
      <c r="AD1874">
        <v>-1.1111907037890001</v>
      </c>
      <c r="AE1874">
        <v>-1.54840000000001</v>
      </c>
      <c r="AF1874">
        <v>-2.9197023988698101</v>
      </c>
      <c r="AG1874">
        <v>-1.1111907037890001</v>
      </c>
      <c r="AH1874">
        <v>28.276395115640799</v>
      </c>
      <c r="AI1874">
        <v>92.238531541562196</v>
      </c>
      <c r="AJ1874">
        <v>95.895230815139399</v>
      </c>
      <c r="AK1874">
        <v>28.448443324969301</v>
      </c>
      <c r="AL1874">
        <v>91.355788873818597</v>
      </c>
      <c r="AM1874">
        <v>94.421280714749201</v>
      </c>
      <c r="AN1874">
        <v>0.99999993334670301</v>
      </c>
    </row>
    <row r="1875" spans="1:40" x14ac:dyDescent="0.25">
      <c r="A1875" t="str">
        <f>"20190312151535100"</f>
        <v>20190312151535100</v>
      </c>
      <c r="B1875" t="str">
        <f>"1552374935089465"</f>
        <v>1552374935089465</v>
      </c>
      <c r="C1875" t="s">
        <v>40</v>
      </c>
      <c r="D1875">
        <v>4.8915280000000001</v>
      </c>
      <c r="E1875">
        <v>0.48984840000000002</v>
      </c>
      <c r="F1875" t="s">
        <v>51</v>
      </c>
      <c r="G1875">
        <v>-336.0025</v>
      </c>
      <c r="H1875" s="1">
        <v>1.7703579999999999E-6</v>
      </c>
      <c r="I1875">
        <v>282.0335</v>
      </c>
      <c r="J1875">
        <v>-306.94600000000003</v>
      </c>
      <c r="K1875">
        <v>1.111237</v>
      </c>
      <c r="L1875">
        <v>283.68799999999999</v>
      </c>
      <c r="M1875">
        <v>-0.99881920000000002</v>
      </c>
      <c r="N1875">
        <v>0</v>
      </c>
      <c r="O1875">
        <v>4.7255569999999997E-2</v>
      </c>
      <c r="P1875">
        <v>-0.99893770000000004</v>
      </c>
      <c r="Q1875">
        <v>-3.4491590000000003E-2</v>
      </c>
      <c r="R1875">
        <v>-3.056014E-2</v>
      </c>
      <c r="S1875">
        <v>-2.9942319999999998</v>
      </c>
      <c r="T1875">
        <v>-0.1135118</v>
      </c>
      <c r="U1875">
        <v>-0.1678162</v>
      </c>
      <c r="V1875">
        <v>-7.7586639999999998E-2</v>
      </c>
      <c r="W1875">
        <v>-2.3738410000000001E-2</v>
      </c>
      <c r="X1875">
        <v>0.99670300000000001</v>
      </c>
      <c r="Y1875">
        <v>-0.102973</v>
      </c>
      <c r="Z1875">
        <v>-3.739259E-3</v>
      </c>
      <c r="AA1875">
        <v>0.99467709999999998</v>
      </c>
      <c r="AB1875">
        <v>47</v>
      </c>
      <c r="AC1875">
        <v>-29.0565</v>
      </c>
      <c r="AD1875">
        <v>-1.1112352296420001</v>
      </c>
      <c r="AE1875">
        <v>-1.6544999999999801</v>
      </c>
      <c r="AF1875">
        <v>-3.0214153197793299</v>
      </c>
      <c r="AG1875">
        <v>-1.1112352296420001</v>
      </c>
      <c r="AH1875">
        <v>28.903707629816399</v>
      </c>
      <c r="AI1875">
        <v>92.189795609410098</v>
      </c>
      <c r="AJ1875">
        <v>95.967673477970607</v>
      </c>
      <c r="AK1875">
        <v>29.082436435417598</v>
      </c>
      <c r="AL1875">
        <v>91.360238430609101</v>
      </c>
      <c r="AM1875">
        <v>94.451115796312806</v>
      </c>
      <c r="AN1875">
        <v>1.0000000345124</v>
      </c>
    </row>
    <row r="1876" spans="1:40" x14ac:dyDescent="0.25">
      <c r="A1876" t="str">
        <f>"20190312151535113"</f>
        <v>20190312151535113</v>
      </c>
      <c r="B1876" t="str">
        <f>"1552374935109961"</f>
        <v>1552374935109961</v>
      </c>
      <c r="C1876" t="s">
        <v>40</v>
      </c>
      <c r="D1876">
        <v>4.8693920000000004</v>
      </c>
      <c r="E1876">
        <v>0.48989700000000003</v>
      </c>
      <c r="F1876" t="s">
        <v>51</v>
      </c>
      <c r="G1876">
        <v>-336.18699999999899</v>
      </c>
      <c r="H1876" s="1">
        <v>1.8700479999999999E-6</v>
      </c>
      <c r="I1876">
        <v>281.99919999999997</v>
      </c>
      <c r="J1876">
        <v>-307.23259999999999</v>
      </c>
      <c r="K1876">
        <v>1.1112850000000001</v>
      </c>
      <c r="L1876">
        <v>283.70080000000002</v>
      </c>
      <c r="M1876">
        <v>-0.99888149999999998</v>
      </c>
      <c r="N1876">
        <v>0</v>
      </c>
      <c r="O1876">
        <v>4.5897170000000001E-2</v>
      </c>
      <c r="P1876">
        <v>-0.99888540000000003</v>
      </c>
      <c r="Q1876">
        <v>-3.4307770000000001E-2</v>
      </c>
      <c r="R1876">
        <v>-3.2423239999999999E-2</v>
      </c>
      <c r="S1876">
        <v>-2.9939580000000001</v>
      </c>
      <c r="T1876">
        <v>-0.1137782</v>
      </c>
      <c r="U1876">
        <v>-0.1729126</v>
      </c>
      <c r="V1876">
        <v>-7.8089939999999997E-2</v>
      </c>
      <c r="W1876">
        <v>-2.3471100000000002E-2</v>
      </c>
      <c r="X1876">
        <v>0.99666999999999994</v>
      </c>
      <c r="Y1876">
        <v>-0.1033134</v>
      </c>
      <c r="Z1876">
        <v>-3.703114E-3</v>
      </c>
      <c r="AA1876">
        <v>0.99464200000000003</v>
      </c>
      <c r="AB1876">
        <v>47</v>
      </c>
      <c r="AC1876">
        <v>-28.9543999999999</v>
      </c>
      <c r="AD1876">
        <v>-1.1112831299519901</v>
      </c>
      <c r="AE1876">
        <v>-1.70160000000004</v>
      </c>
      <c r="AF1876">
        <v>-3.0243776906626598</v>
      </c>
      <c r="AG1876">
        <v>-1.1112831299519901</v>
      </c>
      <c r="AH1876">
        <v>28.8034961275632</v>
      </c>
      <c r="AI1876">
        <v>92.197395259085198</v>
      </c>
      <c r="AJ1876">
        <v>95.994113799271503</v>
      </c>
      <c r="AK1876">
        <v>28.9831537238659</v>
      </c>
      <c r="AL1876">
        <v>91.3449184605048</v>
      </c>
      <c r="AM1876">
        <v>94.480020490136496</v>
      </c>
      <c r="AN1876">
        <v>1.0000000100822</v>
      </c>
    </row>
    <row r="1877" spans="1:40" x14ac:dyDescent="0.25">
      <c r="A1877" t="str">
        <f>"20190312151535124"</f>
        <v>20190312151535124</v>
      </c>
      <c r="B1877" t="str">
        <f>"1552374935119720"</f>
        <v>1552374935119720</v>
      </c>
      <c r="C1877" t="s">
        <v>40</v>
      </c>
      <c r="D1877">
        <v>4.8634979999999999</v>
      </c>
      <c r="E1877">
        <v>0.48993829999999999</v>
      </c>
      <c r="F1877" t="s">
        <v>51</v>
      </c>
      <c r="G1877">
        <v>-336.5016</v>
      </c>
      <c r="H1877" s="1">
        <v>2.0391659999999998E-6</v>
      </c>
      <c r="I1877">
        <v>281.95949999999999</v>
      </c>
      <c r="J1877">
        <v>-307.48649999999998</v>
      </c>
      <c r="K1877">
        <v>1.1113280000000001</v>
      </c>
      <c r="L1877">
        <v>283.71170000000001</v>
      </c>
      <c r="M1877">
        <v>-0.99893549999999998</v>
      </c>
      <c r="N1877">
        <v>0</v>
      </c>
      <c r="O1877">
        <v>4.4683430000000003E-2</v>
      </c>
      <c r="P1877">
        <v>-0.99882689999999996</v>
      </c>
      <c r="Q1877">
        <v>-3.4505519999999998E-2</v>
      </c>
      <c r="R1877">
        <v>-3.3974509999999999E-2</v>
      </c>
      <c r="S1877">
        <v>-2.993652</v>
      </c>
      <c r="T1877">
        <v>-0.113663</v>
      </c>
      <c r="U1877">
        <v>-0.1781006</v>
      </c>
      <c r="V1877">
        <v>-7.8424779999999999E-2</v>
      </c>
      <c r="W1877">
        <v>-2.3584999999999998E-2</v>
      </c>
      <c r="X1877">
        <v>0.996641</v>
      </c>
      <c r="Y1877">
        <v>-0.1038292</v>
      </c>
      <c r="Z1877">
        <v>-3.663328E-3</v>
      </c>
      <c r="AA1877">
        <v>0.99458840000000004</v>
      </c>
      <c r="AB1877">
        <v>47</v>
      </c>
      <c r="AC1877">
        <v>-29.0151</v>
      </c>
      <c r="AD1877">
        <v>-1.111325960834</v>
      </c>
      <c r="AE1877">
        <v>-1.75220000000001</v>
      </c>
      <c r="AF1877">
        <v>-3.0425816562685002</v>
      </c>
      <c r="AG1877">
        <v>-1.111325960834</v>
      </c>
      <c r="AH1877">
        <v>28.865623917379299</v>
      </c>
      <c r="AI1877">
        <v>92.192662597498398</v>
      </c>
      <c r="AJ1877">
        <v>96.017044843810794</v>
      </c>
      <c r="AK1877">
        <v>29.046800041757901</v>
      </c>
      <c r="AL1877">
        <v>91.351446283090297</v>
      </c>
      <c r="AM1877">
        <v>94.499281938619703</v>
      </c>
      <c r="AN1877">
        <v>0.99999999061202405</v>
      </c>
    </row>
    <row r="1878" spans="1:40" x14ac:dyDescent="0.25">
      <c r="A1878" t="str">
        <f>"20190312151535145"</f>
        <v>20190312151535145</v>
      </c>
      <c r="B1878" t="str">
        <f>"1552374935139240"</f>
        <v>1552374935139240</v>
      </c>
      <c r="C1878" t="s">
        <v>40</v>
      </c>
      <c r="D1878">
        <v>4.8567220000000004</v>
      </c>
      <c r="E1878">
        <v>0.48982969999999998</v>
      </c>
      <c r="F1878" t="s">
        <v>51</v>
      </c>
      <c r="G1878">
        <v>-336.06330000000003</v>
      </c>
      <c r="H1878" s="1">
        <v>1.8054900000000001E-6</v>
      </c>
      <c r="I1878">
        <v>281.96940000000001</v>
      </c>
      <c r="J1878">
        <v>-307.87990000000002</v>
      </c>
      <c r="K1878">
        <v>1.1113919999999999</v>
      </c>
      <c r="L1878">
        <v>283.72809999999998</v>
      </c>
      <c r="M1878">
        <v>-0.99901620000000002</v>
      </c>
      <c r="N1878">
        <v>0</v>
      </c>
      <c r="O1878">
        <v>4.2795859999999998E-2</v>
      </c>
      <c r="P1878">
        <v>-0.99873210000000001</v>
      </c>
      <c r="Q1878">
        <v>-3.430793E-2</v>
      </c>
      <c r="R1878">
        <v>-3.6838379999999997E-2</v>
      </c>
      <c r="S1878">
        <v>-2.9933169999999998</v>
      </c>
      <c r="T1878">
        <v>-0.1164075</v>
      </c>
      <c r="U1878">
        <v>-0.18249509999999999</v>
      </c>
      <c r="V1878">
        <v>-7.9399120000000004E-2</v>
      </c>
      <c r="W1878">
        <v>-2.325143E-2</v>
      </c>
      <c r="X1878">
        <v>0.99657169999999895</v>
      </c>
      <c r="Y1878">
        <v>-0.1034081</v>
      </c>
      <c r="Z1878">
        <v>-3.6705010000000001E-3</v>
      </c>
      <c r="AA1878">
        <v>0.99463219999999997</v>
      </c>
      <c r="AB1878">
        <v>47</v>
      </c>
      <c r="AC1878">
        <v>-28.183399999999999</v>
      </c>
      <c r="AD1878">
        <v>-1.11139019451</v>
      </c>
      <c r="AE1878">
        <v>-1.75869999999997</v>
      </c>
      <c r="AF1878">
        <v>-2.9587197469126698</v>
      </c>
      <c r="AG1878">
        <v>-1.11139019451</v>
      </c>
      <c r="AH1878">
        <v>28.0388728475466</v>
      </c>
      <c r="AI1878">
        <v>92.257352083626699</v>
      </c>
      <c r="AJ1878">
        <v>96.023677245824004</v>
      </c>
      <c r="AK1878">
        <v>28.216442037686299</v>
      </c>
      <c r="AL1878">
        <v>91.332328872646201</v>
      </c>
      <c r="AM1878">
        <v>94.555262094728505</v>
      </c>
      <c r="AN1878">
        <v>1.00000000124735</v>
      </c>
    </row>
    <row r="1879" spans="1:40" x14ac:dyDescent="0.25">
      <c r="A1879" t="str">
        <f>"20190312151535158"</f>
        <v>20190312151535158</v>
      </c>
      <c r="B1879" t="str">
        <f>"1552374935149977"</f>
        <v>1552374935149977</v>
      </c>
      <c r="C1879" t="s">
        <v>40</v>
      </c>
      <c r="D1879">
        <v>4.9563769999999998</v>
      </c>
      <c r="E1879">
        <v>0.49826189999999998</v>
      </c>
      <c r="F1879" t="s">
        <v>51</v>
      </c>
      <c r="G1879">
        <v>-336.94639999999998</v>
      </c>
      <c r="H1879" s="1">
        <v>2.2800249999999998E-6</v>
      </c>
      <c r="I1879">
        <v>281.86470000000003</v>
      </c>
      <c r="J1879">
        <v>-308.16750000000002</v>
      </c>
      <c r="K1879">
        <v>1.111435</v>
      </c>
      <c r="L1879">
        <v>283.7396</v>
      </c>
      <c r="M1879">
        <v>-0.99907330000000005</v>
      </c>
      <c r="N1879">
        <v>0</v>
      </c>
      <c r="O1879">
        <v>4.1411480000000001E-2</v>
      </c>
      <c r="P1879">
        <v>-0.99868299999999999</v>
      </c>
      <c r="Q1879">
        <v>-3.4031289999999999E-2</v>
      </c>
      <c r="R1879">
        <v>-3.8395909999999998E-2</v>
      </c>
      <c r="S1879">
        <v>-2.9927670000000002</v>
      </c>
      <c r="T1879">
        <v>-0.1144319</v>
      </c>
      <c r="U1879">
        <v>-0.19186400000000001</v>
      </c>
      <c r="V1879">
        <v>-7.9574229999999996E-2</v>
      </c>
      <c r="W1879">
        <v>-2.286202E-2</v>
      </c>
      <c r="X1879">
        <v>0.99656670000000003</v>
      </c>
      <c r="Y1879">
        <v>-0.1051458</v>
      </c>
      <c r="Z1879">
        <v>-3.5889009999999998E-3</v>
      </c>
      <c r="AA1879">
        <v>0.99445030000000001</v>
      </c>
      <c r="AB1879">
        <v>47</v>
      </c>
      <c r="AC1879">
        <v>-28.778899999999901</v>
      </c>
      <c r="AD1879">
        <v>-1.111432719975</v>
      </c>
      <c r="AE1879">
        <v>-1.87489999999996</v>
      </c>
      <c r="AF1879">
        <v>-3.0606047646045198</v>
      </c>
      <c r="AG1879">
        <v>-1.111432719975</v>
      </c>
      <c r="AH1879">
        <v>28.634035015680301</v>
      </c>
      <c r="AI1879">
        <v>92.210247731567506</v>
      </c>
      <c r="AJ1879">
        <v>96.101007371566297</v>
      </c>
      <c r="AK1879">
        <v>28.818579866040501</v>
      </c>
      <c r="AL1879">
        <v>91.310011445741296</v>
      </c>
      <c r="AM1879">
        <v>94.565288839674295</v>
      </c>
      <c r="AN1879">
        <v>0.99999995879373005</v>
      </c>
    </row>
    <row r="1880" spans="1:40" x14ac:dyDescent="0.25">
      <c r="A1880" t="str">
        <f>"20190312151535188"</f>
        <v>20190312151535188</v>
      </c>
      <c r="B1880" t="str">
        <f>"1552374935179066"</f>
        <v>1552374935179066</v>
      </c>
      <c r="C1880" t="s">
        <v>40</v>
      </c>
      <c r="D1880">
        <v>5.282241</v>
      </c>
      <c r="E1880">
        <v>0.49826189999999998</v>
      </c>
      <c r="F1880" t="s">
        <v>55</v>
      </c>
      <c r="G1880">
        <v>-512.82619999999997</v>
      </c>
      <c r="H1880">
        <v>3.0271789999999998</v>
      </c>
      <c r="I1880">
        <v>275.1354</v>
      </c>
      <c r="J1880">
        <v>-308.81450000000001</v>
      </c>
      <c r="K1880">
        <v>1.111531</v>
      </c>
      <c r="L1880">
        <v>283.76400000000001</v>
      </c>
      <c r="M1880">
        <v>-0.99919429999999998</v>
      </c>
      <c r="N1880">
        <v>0</v>
      </c>
      <c r="O1880">
        <v>3.8289749999999997E-2</v>
      </c>
      <c r="P1880">
        <v>-0.99852920000000001</v>
      </c>
      <c r="Q1880">
        <v>-3.3660179999999998E-2</v>
      </c>
      <c r="R1880">
        <v>-4.2507179999999999E-2</v>
      </c>
      <c r="S1880">
        <v>-3.000092</v>
      </c>
      <c r="T1880">
        <v>2.8084040000000001E-2</v>
      </c>
      <c r="U1880">
        <v>-0.1261292</v>
      </c>
      <c r="V1880">
        <v>-8.0565230000000002E-2</v>
      </c>
      <c r="W1880">
        <v>-2.2204809999999998E-2</v>
      </c>
      <c r="X1880">
        <v>0.996502</v>
      </c>
      <c r="Y1880">
        <v>-8.0227399999999893E-2</v>
      </c>
      <c r="Z1880">
        <v>7.3363170000000002E-4</v>
      </c>
      <c r="AA1880">
        <v>0.99677629999999995</v>
      </c>
      <c r="AB1880">
        <v>47</v>
      </c>
      <c r="AC1880">
        <v>-204.01169999999999</v>
      </c>
      <c r="AD1880">
        <v>1.915648</v>
      </c>
      <c r="AE1880">
        <v>-8.6286000000000005</v>
      </c>
      <c r="AF1880">
        <v>-16.432947246610901</v>
      </c>
      <c r="AG1880">
        <v>1.915648</v>
      </c>
      <c r="AH1880">
        <v>203.51374959434199</v>
      </c>
      <c r="AI1880">
        <v>89.462447788104598</v>
      </c>
      <c r="AJ1880">
        <v>94.616396850435606</v>
      </c>
      <c r="AK1880">
        <v>204.18510654898</v>
      </c>
      <c r="AL1880">
        <v>91.2723464391416</v>
      </c>
      <c r="AM1880">
        <v>94.622197911001095</v>
      </c>
      <c r="AN1880">
        <v>1.0000000229380399</v>
      </c>
    </row>
    <row r="1881" spans="1:40" x14ac:dyDescent="0.25">
      <c r="A1881" t="str">
        <f>"20190312151535234"</f>
        <v>20190312151535234</v>
      </c>
      <c r="B1881" t="str">
        <f>"1552374935229818"</f>
        <v>1552374935229818</v>
      </c>
      <c r="C1881" t="s">
        <v>40</v>
      </c>
      <c r="D1881">
        <v>5.7689309999999896</v>
      </c>
      <c r="E1881">
        <v>0.54538830000000005</v>
      </c>
      <c r="F1881" t="s">
        <v>48</v>
      </c>
      <c r="G1881">
        <v>-455.29300000000001</v>
      </c>
      <c r="H1881">
        <v>2.5375939999999999</v>
      </c>
      <c r="I1881">
        <v>277.00400000000002</v>
      </c>
      <c r="J1881">
        <v>-309.75740000000002</v>
      </c>
      <c r="K1881">
        <v>1.1116649999999999</v>
      </c>
      <c r="L1881">
        <v>283.79610000000002</v>
      </c>
      <c r="M1881">
        <v>-0.99935059999999998</v>
      </c>
      <c r="N1881">
        <v>0</v>
      </c>
      <c r="O1881">
        <v>3.3762609999999998E-2</v>
      </c>
      <c r="P1881">
        <v>-0.99827469999999996</v>
      </c>
      <c r="Q1881">
        <v>-3.3915819999999999E-2</v>
      </c>
      <c r="R1881">
        <v>-4.7930710000000001E-2</v>
      </c>
      <c r="S1881">
        <v>-2.9995120000000002</v>
      </c>
      <c r="T1881">
        <v>2.9203529999999998E-2</v>
      </c>
      <c r="U1881">
        <v>-0.13842769999999999</v>
      </c>
      <c r="V1881">
        <v>-8.1463279999999999E-2</v>
      </c>
      <c r="W1881">
        <v>-2.1921039999999999E-2</v>
      </c>
      <c r="X1881">
        <v>0.99643519999999997</v>
      </c>
      <c r="Y1881">
        <v>-7.9798750000000002E-2</v>
      </c>
      <c r="Z1881">
        <v>7.1682500000000004E-4</v>
      </c>
      <c r="AA1881">
        <v>0.99681070000000005</v>
      </c>
      <c r="AB1881">
        <v>47</v>
      </c>
      <c r="AC1881">
        <v>-145.53559999999999</v>
      </c>
      <c r="AD1881">
        <v>1.425929</v>
      </c>
      <c r="AE1881">
        <v>-6.7920999999999996</v>
      </c>
      <c r="AF1881">
        <v>-11.7011573145417</v>
      </c>
      <c r="AG1881">
        <v>1.425929</v>
      </c>
      <c r="AH1881">
        <v>145.20936761952001</v>
      </c>
      <c r="AI1881">
        <v>89.439201843119207</v>
      </c>
      <c r="AJ1881">
        <v>94.607013058772907</v>
      </c>
      <c r="AK1881">
        <v>145.68703030974899</v>
      </c>
      <c r="AL1881">
        <v>91.256083745486094</v>
      </c>
      <c r="AM1881">
        <v>94.673805880634305</v>
      </c>
      <c r="AN1881">
        <v>0.99999995289103805</v>
      </c>
    </row>
    <row r="1882" spans="1:40" x14ac:dyDescent="0.25">
      <c r="A1882" t="str">
        <f>"20190312151535255"</f>
        <v>20190312151535255</v>
      </c>
      <c r="B1882" t="str">
        <f>"1552374935249338"</f>
        <v>1552374935249338</v>
      </c>
      <c r="C1882" t="s">
        <v>40</v>
      </c>
      <c r="D1882">
        <v>4.8488490000000004</v>
      </c>
      <c r="E1882">
        <v>0.54413009999999995</v>
      </c>
      <c r="F1882" t="s">
        <v>41</v>
      </c>
      <c r="G1882">
        <v>-310.839</v>
      </c>
      <c r="H1882">
        <v>0.94861609999999996</v>
      </c>
      <c r="I1882">
        <v>283.8716</v>
      </c>
      <c r="J1882">
        <v>-310.21190000000001</v>
      </c>
      <c r="K1882">
        <v>1.1117250000000001</v>
      </c>
      <c r="L1882">
        <v>283.80990000000003</v>
      </c>
      <c r="M1882">
        <v>-0.99941720000000001</v>
      </c>
      <c r="N1882">
        <v>0</v>
      </c>
      <c r="O1882">
        <v>3.1602819999999997E-2</v>
      </c>
      <c r="P1882">
        <v>-0.99813870000000005</v>
      </c>
      <c r="Q1882">
        <v>-3.4327530000000002E-2</v>
      </c>
      <c r="R1882">
        <v>-5.0406329999999999E-2</v>
      </c>
      <c r="S1882">
        <v>-2.9998779999999998</v>
      </c>
      <c r="T1882">
        <v>-0.45212750000000002</v>
      </c>
      <c r="U1882">
        <v>0.2098083</v>
      </c>
      <c r="V1882">
        <v>-8.1779539999999998E-2</v>
      </c>
      <c r="W1882">
        <v>-2.2031289999999999E-2</v>
      </c>
      <c r="X1882">
        <v>0.99640689999999998</v>
      </c>
      <c r="Y1882">
        <v>3.8131850000000002E-2</v>
      </c>
      <c r="Z1882">
        <v>-1.87514E-3</v>
      </c>
      <c r="AA1882">
        <v>0.99927100000000002</v>
      </c>
      <c r="AB1882">
        <v>47</v>
      </c>
      <c r="AC1882">
        <v>-0.627099999999984</v>
      </c>
      <c r="AD1882">
        <v>-0.1631089</v>
      </c>
      <c r="AE1882">
        <v>6.1699999999973401E-2</v>
      </c>
      <c r="AF1882">
        <v>3.9221423138421502E-2</v>
      </c>
      <c r="AG1882">
        <v>-0.1631089</v>
      </c>
      <c r="AH1882">
        <v>0.58925462491601899</v>
      </c>
      <c r="AI1882">
        <v>105.439850047867</v>
      </c>
      <c r="AJ1882">
        <v>86.191948215428994</v>
      </c>
      <c r="AK1882">
        <v>0.61266944291120995</v>
      </c>
      <c r="AL1882">
        <v>91.2624020837453</v>
      </c>
      <c r="AM1882">
        <v>94.692002528195502</v>
      </c>
      <c r="AN1882">
        <v>0.99999999063464196</v>
      </c>
    </row>
    <row r="1883" spans="1:40" x14ac:dyDescent="0.25">
      <c r="A1883" t="str">
        <f>"20190312151535268"</f>
        <v>20190312151535268</v>
      </c>
      <c r="B1883" t="str">
        <f>"1552374935260073"</f>
        <v>1552374935260073</v>
      </c>
      <c r="C1883" t="s">
        <v>40</v>
      </c>
      <c r="D1883">
        <v>4.8944700000000001</v>
      </c>
      <c r="E1883">
        <v>0.54729419999999995</v>
      </c>
      <c r="F1883" t="s">
        <v>41</v>
      </c>
      <c r="G1883">
        <v>-311.25970000000001</v>
      </c>
      <c r="H1883">
        <v>0.95237139999999998</v>
      </c>
      <c r="I1883">
        <v>283.87729999999999</v>
      </c>
      <c r="J1883">
        <v>-310.50279999999998</v>
      </c>
      <c r="K1883">
        <v>1.1117549999999901</v>
      </c>
      <c r="L1883">
        <v>283.81819999999999</v>
      </c>
      <c r="M1883">
        <v>-0.99945720000000005</v>
      </c>
      <c r="N1883">
        <v>0</v>
      </c>
      <c r="O1883">
        <v>3.022855E-2</v>
      </c>
      <c r="P1883">
        <v>-0.99805480000000002</v>
      </c>
      <c r="Q1883">
        <v>-3.4569570000000001E-2</v>
      </c>
      <c r="R1883">
        <v>-5.1883159999999998E-2</v>
      </c>
      <c r="S1883">
        <v>-2.9996339999999999</v>
      </c>
      <c r="T1883">
        <v>-0.45628350000000001</v>
      </c>
      <c r="U1883">
        <v>0.19262699999999999</v>
      </c>
      <c r="V1883">
        <v>-8.1883029999999996E-2</v>
      </c>
      <c r="W1883">
        <v>-2.2077570000000001E-2</v>
      </c>
      <c r="X1883">
        <v>0.99639739999999999</v>
      </c>
      <c r="Y1883">
        <v>3.3845069999999998E-2</v>
      </c>
      <c r="Z1883">
        <v>-2.0091750000000002E-3</v>
      </c>
      <c r="AA1883">
        <v>0.99942509999999996</v>
      </c>
      <c r="AB1883">
        <v>47</v>
      </c>
      <c r="AC1883">
        <v>-0.75690000000002999</v>
      </c>
      <c r="AD1883">
        <v>-0.15938359999999899</v>
      </c>
      <c r="AE1883">
        <v>5.9100000000000798E-2</v>
      </c>
      <c r="AF1883">
        <v>3.4663325902107099E-2</v>
      </c>
      <c r="AG1883">
        <v>-0.15938359999999899</v>
      </c>
      <c r="AH1883">
        <v>0.72632934933099402</v>
      </c>
      <c r="AI1883">
        <v>102.363014123672</v>
      </c>
      <c r="AJ1883">
        <v>87.267690568920102</v>
      </c>
      <c r="AK1883">
        <v>0.74441856627245695</v>
      </c>
      <c r="AL1883">
        <v>91.265054347727101</v>
      </c>
      <c r="AM1883">
        <v>94.697958173198202</v>
      </c>
      <c r="AN1883">
        <v>1.00000001421292</v>
      </c>
    </row>
    <row r="1884" spans="1:40" x14ac:dyDescent="0.25">
      <c r="A1884" t="str">
        <f>"20190312151535289"</f>
        <v>20190312151535289</v>
      </c>
      <c r="B1884" t="str">
        <f>"1552374935279308"</f>
        <v>1552374935279308</v>
      </c>
      <c r="C1884" t="s">
        <v>40</v>
      </c>
      <c r="D1884">
        <v>4.8810320000000003</v>
      </c>
      <c r="E1884">
        <v>0.54611690000000002</v>
      </c>
      <c r="F1884" t="s">
        <v>41</v>
      </c>
      <c r="G1884">
        <v>-311.24919999999997</v>
      </c>
      <c r="H1884">
        <v>0.92946240000000002</v>
      </c>
      <c r="I1884">
        <v>283.87009999999998</v>
      </c>
      <c r="J1884">
        <v>-310.90839999999997</v>
      </c>
      <c r="K1884">
        <v>1.111788</v>
      </c>
      <c r="L1884">
        <v>283.82920000000001</v>
      </c>
      <c r="M1884">
        <v>-0.99950939999999999</v>
      </c>
      <c r="N1884">
        <v>0</v>
      </c>
      <c r="O1884">
        <v>2.8325880000000001E-2</v>
      </c>
      <c r="P1884">
        <v>-0.99789360000000005</v>
      </c>
      <c r="Q1884">
        <v>-3.4793539999999998E-2</v>
      </c>
      <c r="R1884">
        <v>-5.4753080000000003E-2</v>
      </c>
      <c r="S1884">
        <v>-2.9913020000000001</v>
      </c>
      <c r="T1884">
        <v>-0.73064370000000001</v>
      </c>
      <c r="U1884">
        <v>0.2076721</v>
      </c>
      <c r="V1884">
        <v>-8.2851830000000001E-2</v>
      </c>
      <c r="W1884">
        <v>-2.204277E-2</v>
      </c>
      <c r="X1884">
        <v>0.99631800000000004</v>
      </c>
      <c r="Y1884">
        <v>4.0611059999999997E-2</v>
      </c>
      <c r="Z1884">
        <v>-1.9266870000000001E-3</v>
      </c>
      <c r="AA1884">
        <v>0.99917319999999998</v>
      </c>
      <c r="AB1884">
        <v>47</v>
      </c>
      <c r="AC1884">
        <v>-0.34080000000000099</v>
      </c>
      <c r="AD1884">
        <v>-0.1823256</v>
      </c>
      <c r="AE1884">
        <v>4.0899999999964999E-2</v>
      </c>
      <c r="AF1884">
        <v>2.43568805774124E-2</v>
      </c>
      <c r="AG1884">
        <v>-0.1823256</v>
      </c>
      <c r="AH1884">
        <v>0.26659976108704603</v>
      </c>
      <c r="AI1884">
        <v>124.257060921579</v>
      </c>
      <c r="AJ1884">
        <v>84.779879143717693</v>
      </c>
      <c r="AK1884">
        <v>0.32390016155984303</v>
      </c>
      <c r="AL1884">
        <v>91.263060071520897</v>
      </c>
      <c r="AM1884">
        <v>94.753665981937303</v>
      </c>
      <c r="AN1884">
        <v>0.99999993328380798</v>
      </c>
    </row>
    <row r="1885" spans="1:40" x14ac:dyDescent="0.25">
      <c r="A1885" t="str">
        <f>"20190312151535303"</f>
        <v>20190312151535303</v>
      </c>
      <c r="B1885" t="str">
        <f>"1552374935299804"</f>
        <v>1552374935299804</v>
      </c>
      <c r="C1885" t="s">
        <v>40</v>
      </c>
      <c r="D1885">
        <v>4.8807320000000001</v>
      </c>
      <c r="E1885">
        <v>0.54487089999999905</v>
      </c>
      <c r="F1885" t="s">
        <v>41</v>
      </c>
      <c r="G1885">
        <v>-311.66550000000001</v>
      </c>
      <c r="H1885">
        <v>0.925145</v>
      </c>
      <c r="I1885">
        <v>283.87759999999997</v>
      </c>
      <c r="J1885">
        <v>-311.20569999999998</v>
      </c>
      <c r="K1885">
        <v>1.1117999999999999</v>
      </c>
      <c r="L1885">
        <v>283.83670000000001</v>
      </c>
      <c r="M1885">
        <v>-0.99954500000000002</v>
      </c>
      <c r="N1885">
        <v>0</v>
      </c>
      <c r="O1885">
        <v>2.694831E-2</v>
      </c>
      <c r="P1885">
        <v>-0.99779280000000004</v>
      </c>
      <c r="Q1885">
        <v>-3.4896589999999998E-2</v>
      </c>
      <c r="R1885">
        <v>-5.6494839999999998E-2</v>
      </c>
      <c r="S1885">
        <v>-2.9911189999999999</v>
      </c>
      <c r="T1885">
        <v>-0.73754489999999995</v>
      </c>
      <c r="U1885">
        <v>0.19018550000000001</v>
      </c>
      <c r="V1885">
        <v>-8.3218249999999994E-2</v>
      </c>
      <c r="W1885">
        <v>-2.196302E-2</v>
      </c>
      <c r="X1885">
        <v>0.99628930000000004</v>
      </c>
      <c r="Y1885">
        <v>3.625805E-2</v>
      </c>
      <c r="Z1885">
        <v>-2.1391100000000001E-3</v>
      </c>
      <c r="AA1885">
        <v>0.99934020000000001</v>
      </c>
      <c r="AB1885">
        <v>47</v>
      </c>
      <c r="AC1885">
        <v>-0.45980000000002902</v>
      </c>
      <c r="AD1885">
        <v>-0.18665499999999899</v>
      </c>
      <c r="AE1885">
        <v>4.0899999999964999E-2</v>
      </c>
      <c r="AF1885">
        <v>2.4489184324501499E-2</v>
      </c>
      <c r="AG1885">
        <v>-0.18665499999999899</v>
      </c>
      <c r="AH1885">
        <v>0.39599067878038402</v>
      </c>
      <c r="AI1885">
        <v>115.195263473217</v>
      </c>
      <c r="AJ1885">
        <v>86.461173697949505</v>
      </c>
      <c r="AK1885">
        <v>0.43846143143363098</v>
      </c>
      <c r="AL1885">
        <v>91.258489529338902</v>
      </c>
      <c r="AM1885">
        <v>94.774729440101595</v>
      </c>
      <c r="AN1885">
        <v>1.0000000103375299</v>
      </c>
    </row>
    <row r="1886" spans="1:40" x14ac:dyDescent="0.25">
      <c r="A1886" t="str">
        <f>"20190312151535316"</f>
        <v>20190312151535316</v>
      </c>
      <c r="B1886" t="str">
        <f>"1552374935309565"</f>
        <v>1552374935309565</v>
      </c>
      <c r="C1886" t="s">
        <v>40</v>
      </c>
      <c r="D1886">
        <v>4.8933070000000001</v>
      </c>
      <c r="E1886">
        <v>0.54482600000000003</v>
      </c>
      <c r="F1886" t="s">
        <v>41</v>
      </c>
      <c r="G1886">
        <v>-312.07060000000001</v>
      </c>
      <c r="H1886">
        <v>0.89692780000000005</v>
      </c>
      <c r="I1886">
        <v>283.88749999999999</v>
      </c>
      <c r="J1886">
        <v>-311.47669999999999</v>
      </c>
      <c r="K1886">
        <v>1.111802</v>
      </c>
      <c r="L1886">
        <v>283.84320000000002</v>
      </c>
      <c r="M1886">
        <v>-0.99957560000000001</v>
      </c>
      <c r="N1886">
        <v>0</v>
      </c>
      <c r="O1886">
        <v>2.5704020000000001E-2</v>
      </c>
      <c r="P1886">
        <v>-0.99770769999999998</v>
      </c>
      <c r="Q1886">
        <v>-3.5026649999999999E-2</v>
      </c>
      <c r="R1886">
        <v>-5.7905789999999999E-2</v>
      </c>
      <c r="S1886">
        <v>-2.99057</v>
      </c>
      <c r="T1886">
        <v>-0.74305310000000002</v>
      </c>
      <c r="U1886">
        <v>0.17526249999999999</v>
      </c>
      <c r="V1886">
        <v>-8.3387429999999998E-2</v>
      </c>
      <c r="W1886">
        <v>-2.1931320000000001E-2</v>
      </c>
      <c r="X1886">
        <v>0.99627580000000004</v>
      </c>
      <c r="Y1886">
        <v>3.2613549999999998E-2</v>
      </c>
      <c r="Z1886">
        <v>-2.296939E-3</v>
      </c>
      <c r="AA1886">
        <v>0.99946539999999995</v>
      </c>
      <c r="AB1886">
        <v>47</v>
      </c>
      <c r="AC1886">
        <v>-0.59390000000001897</v>
      </c>
      <c r="AD1886">
        <v>-0.21487419999999899</v>
      </c>
      <c r="AE1886">
        <v>4.4299999999964201E-2</v>
      </c>
      <c r="AF1886">
        <v>2.56759110132374E-2</v>
      </c>
      <c r="AG1886">
        <v>-0.21487419999999899</v>
      </c>
      <c r="AH1886">
        <v>0.52632716349003394</v>
      </c>
      <c r="AI1886">
        <v>112.184025801331</v>
      </c>
      <c r="AJ1886">
        <v>87.207143938267706</v>
      </c>
      <c r="AK1886">
        <v>0.56907860376178698</v>
      </c>
      <c r="AL1886">
        <v>91.256672881375096</v>
      </c>
      <c r="AM1886">
        <v>94.784455825232897</v>
      </c>
      <c r="AN1886">
        <v>0.99999995797229202</v>
      </c>
    </row>
    <row r="1887" spans="1:40" x14ac:dyDescent="0.25">
      <c r="A1887" t="str">
        <f>"20190312151535333"</f>
        <v>20190312151535333</v>
      </c>
      <c r="B1887" t="str">
        <f>"1552374935329084"</f>
        <v>1552374935329084</v>
      </c>
      <c r="C1887" t="s">
        <v>40</v>
      </c>
      <c r="D1887">
        <v>4.9096539999999997</v>
      </c>
      <c r="E1887">
        <v>0.544853699999999</v>
      </c>
      <c r="F1887" t="s">
        <v>41</v>
      </c>
      <c r="G1887">
        <v>-312.4735</v>
      </c>
      <c r="H1887">
        <v>0.86444089999999996</v>
      </c>
      <c r="I1887">
        <v>283.90039999999999</v>
      </c>
      <c r="J1887">
        <v>-311.85109999999997</v>
      </c>
      <c r="K1887">
        <v>1.1117980000000001</v>
      </c>
      <c r="L1887">
        <v>283.85169999999999</v>
      </c>
      <c r="M1887">
        <v>-0.99961480000000003</v>
      </c>
      <c r="N1887">
        <v>0</v>
      </c>
      <c r="O1887">
        <v>2.401207E-2</v>
      </c>
      <c r="P1887">
        <v>-0.99752750000000001</v>
      </c>
      <c r="Q1887">
        <v>-3.5633169999999999E-2</v>
      </c>
      <c r="R1887">
        <v>-6.0574059999999999E-2</v>
      </c>
      <c r="S1887">
        <v>-2.9907530000000002</v>
      </c>
      <c r="T1887">
        <v>-0.74219749999999995</v>
      </c>
      <c r="U1887">
        <v>0.17099</v>
      </c>
      <c r="V1887">
        <v>-8.4363369999999993E-2</v>
      </c>
      <c r="W1887">
        <v>-2.2334759999999999E-2</v>
      </c>
      <c r="X1887">
        <v>0.99618470000000003</v>
      </c>
      <c r="Y1887">
        <v>3.2821669999999997E-2</v>
      </c>
      <c r="Z1887">
        <v>-1.8558719999999999E-3</v>
      </c>
      <c r="AA1887">
        <v>0.99945949999999995</v>
      </c>
      <c r="AB1887">
        <v>47</v>
      </c>
      <c r="AC1887">
        <v>-0.62240000000002704</v>
      </c>
      <c r="AD1887">
        <v>-0.2473571</v>
      </c>
      <c r="AE1887">
        <v>4.86999999999966E-2</v>
      </c>
      <c r="AF1887">
        <v>2.9161474901105999E-2</v>
      </c>
      <c r="AG1887">
        <v>-0.2473571</v>
      </c>
      <c r="AH1887">
        <v>0.53880550314485698</v>
      </c>
      <c r="AI1887">
        <v>114.62735112224701</v>
      </c>
      <c r="AJ1887">
        <v>86.902034467448203</v>
      </c>
      <c r="AK1887">
        <v>0.59358849109294598</v>
      </c>
      <c r="AL1887">
        <v>91.279793917087801</v>
      </c>
      <c r="AM1887">
        <v>94.840627605381698</v>
      </c>
      <c r="AN1887">
        <v>0.99999998810805202</v>
      </c>
    </row>
    <row r="1888" spans="1:40" x14ac:dyDescent="0.25">
      <c r="A1888" t="str">
        <f>"20190312151535346"</f>
        <v>20190312151535346</v>
      </c>
      <c r="B1888" t="str">
        <f>"1552374935339821"</f>
        <v>1552374935339821</v>
      </c>
      <c r="C1888" t="s">
        <v>40</v>
      </c>
      <c r="D1888">
        <v>4.8771690000000003</v>
      </c>
      <c r="E1888">
        <v>0.54499399999999998</v>
      </c>
      <c r="F1888" t="s">
        <v>41</v>
      </c>
      <c r="G1888">
        <v>-312.8854</v>
      </c>
      <c r="H1888">
        <v>0.85227180000000002</v>
      </c>
      <c r="I1888">
        <v>283.9085</v>
      </c>
      <c r="J1888">
        <v>-312.12279999999998</v>
      </c>
      <c r="K1888">
        <v>1.1117859999999999</v>
      </c>
      <c r="L1888">
        <v>283.85739999999998</v>
      </c>
      <c r="M1888">
        <v>-0.99964109999999995</v>
      </c>
      <c r="N1888">
        <v>0</v>
      </c>
      <c r="O1888">
        <v>2.28078E-2</v>
      </c>
      <c r="P1888">
        <v>-0.99742039999999998</v>
      </c>
      <c r="Q1888">
        <v>-3.6087939999999999E-2</v>
      </c>
      <c r="R1888">
        <v>-6.2052780000000002E-2</v>
      </c>
      <c r="S1888">
        <v>-2.9905400000000002</v>
      </c>
      <c r="T1888">
        <v>-0.75051499999999904</v>
      </c>
      <c r="U1888">
        <v>0.16345209999999999</v>
      </c>
      <c r="V1888">
        <v>-8.4638759999999993E-2</v>
      </c>
      <c r="W1888">
        <v>-2.2651109999999999E-2</v>
      </c>
      <c r="X1888">
        <v>0.99615419999999999</v>
      </c>
      <c r="Y1888">
        <v>3.1515519999999998E-2</v>
      </c>
      <c r="Z1888">
        <v>-1.7403659999999999E-3</v>
      </c>
      <c r="AA1888">
        <v>0.9995018</v>
      </c>
      <c r="AB1888">
        <v>47</v>
      </c>
      <c r="AC1888">
        <v>-0.76260000000002004</v>
      </c>
      <c r="AD1888">
        <v>-0.25951419999999997</v>
      </c>
      <c r="AE1888">
        <v>5.1100000000019401E-2</v>
      </c>
      <c r="AF1888">
        <v>3.0209028881998199E-2</v>
      </c>
      <c r="AG1888">
        <v>-0.25951419999999997</v>
      </c>
      <c r="AH1888">
        <v>0.68463694969838396</v>
      </c>
      <c r="AI1888">
        <v>110.740939517133</v>
      </c>
      <c r="AJ1888">
        <v>87.473510768656595</v>
      </c>
      <c r="AK1888">
        <v>0.73279462219638403</v>
      </c>
      <c r="AL1888">
        <v>91.297924019930093</v>
      </c>
      <c r="AM1888">
        <v>94.856501548534595</v>
      </c>
      <c r="AN1888">
        <v>0.99999999132810402</v>
      </c>
    </row>
    <row r="1889" spans="1:40" x14ac:dyDescent="0.25">
      <c r="A1889" t="str">
        <f>"20190312151535368"</f>
        <v>20190312151535368</v>
      </c>
      <c r="B1889" t="str">
        <f>"1552374935359348"</f>
        <v>1552374935359348</v>
      </c>
      <c r="C1889" t="s">
        <v>40</v>
      </c>
      <c r="D1889">
        <v>5.1201860000000003</v>
      </c>
      <c r="E1889">
        <v>0.56827220000000001</v>
      </c>
      <c r="F1889" t="s">
        <v>41</v>
      </c>
      <c r="G1889">
        <v>-312.91180000000003</v>
      </c>
      <c r="H1889">
        <v>0.91271500000000005</v>
      </c>
      <c r="I1889">
        <v>283.8999</v>
      </c>
      <c r="J1889">
        <v>-312.5566</v>
      </c>
      <c r="K1889">
        <v>1.111753</v>
      </c>
      <c r="L1889">
        <v>283.86590000000001</v>
      </c>
      <c r="M1889">
        <v>-0.99967969999999895</v>
      </c>
      <c r="N1889">
        <v>0</v>
      </c>
      <c r="O1889">
        <v>2.0912679999999999E-2</v>
      </c>
      <c r="P1889">
        <v>-0.99720390000000003</v>
      </c>
      <c r="Q1889">
        <v>-3.6872450000000001E-2</v>
      </c>
      <c r="R1889">
        <v>-6.5000429999999998E-2</v>
      </c>
      <c r="S1889">
        <v>-2.9904169999999999</v>
      </c>
      <c r="T1889">
        <v>-0.75458930000000002</v>
      </c>
      <c r="U1889">
        <v>0.16012570000000001</v>
      </c>
      <c r="V1889">
        <v>-8.5692530000000003E-2</v>
      </c>
      <c r="W1889">
        <v>-2.3234109999999999E-2</v>
      </c>
      <c r="X1889">
        <v>0.99605069999999996</v>
      </c>
      <c r="Y1889">
        <v>3.2219780000000003E-2</v>
      </c>
      <c r="Z1889">
        <v>-1.191924E-3</v>
      </c>
      <c r="AA1889">
        <v>0.99948009999999998</v>
      </c>
      <c r="AB1889">
        <v>47</v>
      </c>
      <c r="AC1889">
        <v>-0.355200000000024</v>
      </c>
      <c r="AD1889">
        <v>-0.19903799999999999</v>
      </c>
      <c r="AE1889">
        <v>3.3999999999991801E-2</v>
      </c>
      <c r="AF1889">
        <v>2.02598436977472E-2</v>
      </c>
      <c r="AG1889">
        <v>-0.19903799999999999</v>
      </c>
      <c r="AH1889">
        <v>0.27139102469335102</v>
      </c>
      <c r="AI1889">
        <v>126.180403760407</v>
      </c>
      <c r="AJ1889">
        <v>85.730682791448501</v>
      </c>
      <c r="AK1889">
        <v>0.33716416623770101</v>
      </c>
      <c r="AL1889">
        <v>91.331336222917898</v>
      </c>
      <c r="AM1889">
        <v>94.917179798216097</v>
      </c>
      <c r="AN1889">
        <v>1.0000000152678901</v>
      </c>
    </row>
    <row r="1890" spans="1:40" x14ac:dyDescent="0.25">
      <c r="A1890" t="str">
        <f>"20190312151535390"</f>
        <v>20190312151535390</v>
      </c>
      <c r="B1890" t="str">
        <f>"1552374935379367"</f>
        <v>1552374935379367</v>
      </c>
      <c r="C1890" t="s">
        <v>40</v>
      </c>
      <c r="D1890">
        <v>5.2098139999999997</v>
      </c>
      <c r="E1890">
        <v>0.57007229999999998</v>
      </c>
      <c r="F1890" t="s">
        <v>41</v>
      </c>
      <c r="G1890">
        <v>-313.3254</v>
      </c>
      <c r="H1890">
        <v>0.91277920000000001</v>
      </c>
      <c r="I1890">
        <v>283.95260000000002</v>
      </c>
      <c r="J1890">
        <v>-313.01589999999999</v>
      </c>
      <c r="K1890">
        <v>1.1117090000000001</v>
      </c>
      <c r="L1890">
        <v>283.8741</v>
      </c>
      <c r="M1890">
        <v>-0.99971600000000005</v>
      </c>
      <c r="N1890">
        <v>0</v>
      </c>
      <c r="O1890">
        <v>1.895587E-2</v>
      </c>
      <c r="P1890">
        <v>-0.99700549999999999</v>
      </c>
      <c r="Q1890">
        <v>-3.74653E-2</v>
      </c>
      <c r="R1890">
        <v>-6.7650920000000003E-2</v>
      </c>
      <c r="S1890">
        <v>-3.0016479999999999</v>
      </c>
      <c r="T1890">
        <v>-0.77694799999999997</v>
      </c>
      <c r="U1890">
        <v>0.3370667</v>
      </c>
      <c r="V1890">
        <v>-8.6390369999999994E-2</v>
      </c>
      <c r="W1890">
        <v>-2.3631679999999999E-2</v>
      </c>
      <c r="X1890">
        <v>0.99598100000000001</v>
      </c>
      <c r="Y1890">
        <v>9.0408329999999995E-2</v>
      </c>
      <c r="Z1890">
        <v>6.665008E-3</v>
      </c>
      <c r="AA1890">
        <v>0.9958825</v>
      </c>
      <c r="AB1890">
        <v>47</v>
      </c>
      <c r="AC1890">
        <v>-0.30950000000001399</v>
      </c>
      <c r="AD1890">
        <v>-0.19892979999999999</v>
      </c>
      <c r="AE1890">
        <v>7.8500000000019499E-2</v>
      </c>
      <c r="AF1890">
        <v>5.2313031478218003E-2</v>
      </c>
      <c r="AG1890">
        <v>-0.19892979999999999</v>
      </c>
      <c r="AH1890">
        <v>0.22399029217461</v>
      </c>
      <c r="AI1890">
        <v>130.85470200747099</v>
      </c>
      <c r="AJ1890">
        <v>76.854181201761406</v>
      </c>
      <c r="AK1890">
        <v>0.304107496749008</v>
      </c>
      <c r="AL1890">
        <v>91.354121647583298</v>
      </c>
      <c r="AM1890">
        <v>94.957369467828102</v>
      </c>
      <c r="AN1890">
        <v>0.99999995234467798</v>
      </c>
    </row>
    <row r="1891" spans="1:40" x14ac:dyDescent="0.25">
      <c r="A1891" t="str">
        <f>"20190312151535412"</f>
        <v>20190312151535412</v>
      </c>
      <c r="B1891" t="str">
        <f>"1552374935399863"</f>
        <v>1552374935399863</v>
      </c>
      <c r="C1891" t="s">
        <v>40</v>
      </c>
      <c r="D1891">
        <v>5.1450129999999996</v>
      </c>
      <c r="E1891">
        <v>0.57250400000000001</v>
      </c>
      <c r="F1891" t="s">
        <v>41</v>
      </c>
      <c r="G1891">
        <v>-313.72699999999998</v>
      </c>
      <c r="H1891">
        <v>0.87802860000000005</v>
      </c>
      <c r="I1891">
        <v>283.95499999999998</v>
      </c>
      <c r="J1891">
        <v>-313.47899999999998</v>
      </c>
      <c r="K1891">
        <v>1.111653</v>
      </c>
      <c r="L1891">
        <v>283.88139999999999</v>
      </c>
      <c r="M1891">
        <v>-0.99974799999999997</v>
      </c>
      <c r="N1891">
        <v>0</v>
      </c>
      <c r="O1891">
        <v>1.7042359999999999E-2</v>
      </c>
      <c r="P1891">
        <v>-0.99682090000000001</v>
      </c>
      <c r="Q1891">
        <v>-3.8010969999999998E-2</v>
      </c>
      <c r="R1891">
        <v>-7.0022890000000004E-2</v>
      </c>
      <c r="S1891">
        <v>-2.995117</v>
      </c>
      <c r="T1891">
        <v>-0.98441699999999999</v>
      </c>
      <c r="U1891">
        <v>0.34069820000000001</v>
      </c>
      <c r="V1891">
        <v>-8.6854550000000003E-2</v>
      </c>
      <c r="W1891">
        <v>-2.3999510000000002E-2</v>
      </c>
      <c r="X1891">
        <v>0.99593189999999998</v>
      </c>
      <c r="Y1891">
        <v>9.2168429999999996E-2</v>
      </c>
      <c r="Z1891">
        <v>9.2737789999999994E-3</v>
      </c>
      <c r="AA1891">
        <v>0.99570020000000004</v>
      </c>
      <c r="AB1891">
        <v>47</v>
      </c>
      <c r="AC1891">
        <v>-0.24799999999999001</v>
      </c>
      <c r="AD1891">
        <v>-0.23362439999999901</v>
      </c>
      <c r="AE1891">
        <v>7.3599999999999E-2</v>
      </c>
      <c r="AF1891">
        <v>3.8203660532251098E-2</v>
      </c>
      <c r="AG1891">
        <v>-0.23362439999999901</v>
      </c>
      <c r="AH1891">
        <v>0.137265474258223</v>
      </c>
      <c r="AI1891">
        <v>148.62184032372201</v>
      </c>
      <c r="AJ1891">
        <v>74.4470770964965</v>
      </c>
      <c r="AK1891">
        <v>0.27364519066988602</v>
      </c>
      <c r="AL1891">
        <v>91.3752026423318</v>
      </c>
      <c r="AM1891">
        <v>94.984116343577895</v>
      </c>
      <c r="AN1891">
        <v>1.00000001938677</v>
      </c>
    </row>
    <row r="1892" spans="1:40" x14ac:dyDescent="0.25">
      <c r="A1892" t="str">
        <f>"20190312151535425"</f>
        <v>20190312151535425</v>
      </c>
      <c r="B1892" t="str">
        <f>"1552374935419384"</f>
        <v>1552374935419384</v>
      </c>
      <c r="C1892" t="s">
        <v>40</v>
      </c>
      <c r="D1892">
        <v>5.0708609999999998</v>
      </c>
      <c r="E1892">
        <v>0.57292119999999902</v>
      </c>
      <c r="F1892" t="s">
        <v>41</v>
      </c>
      <c r="G1892">
        <v>-314.14389999999997</v>
      </c>
      <c r="H1892">
        <v>0.88132049999999995</v>
      </c>
      <c r="I1892">
        <v>283.95999999999998</v>
      </c>
      <c r="J1892">
        <v>-313.74009999999998</v>
      </c>
      <c r="K1892">
        <v>1.1116159999999999</v>
      </c>
      <c r="L1892">
        <v>283.8852</v>
      </c>
      <c r="M1892">
        <v>-0.99976390000000004</v>
      </c>
      <c r="N1892">
        <v>0</v>
      </c>
      <c r="O1892">
        <v>1.5999159999999998E-2</v>
      </c>
      <c r="P1892">
        <v>-0.99674180000000001</v>
      </c>
      <c r="Q1892">
        <v>-3.825812E-2</v>
      </c>
      <c r="R1892">
        <v>-7.1007689999999998E-2</v>
      </c>
      <c r="S1892">
        <v>-2.9947509999999999</v>
      </c>
      <c r="T1892">
        <v>-1.0376639999999999</v>
      </c>
      <c r="U1892">
        <v>0.35226439999999998</v>
      </c>
      <c r="V1892">
        <v>-8.6800550000000004E-2</v>
      </c>
      <c r="W1892">
        <v>-2.4154849999999999E-2</v>
      </c>
      <c r="X1892">
        <v>0.99593279999999995</v>
      </c>
      <c r="Y1892">
        <v>9.6296450000000006E-2</v>
      </c>
      <c r="Z1892">
        <v>1.079045E-2</v>
      </c>
      <c r="AA1892">
        <v>0.99529420000000002</v>
      </c>
      <c r="AB1892">
        <v>47</v>
      </c>
      <c r="AC1892">
        <v>-0.403799999999989</v>
      </c>
      <c r="AD1892">
        <v>-0.23029549999999999</v>
      </c>
      <c r="AE1892">
        <v>7.4799999999981895E-2</v>
      </c>
      <c r="AF1892">
        <v>5.1982177918104201E-2</v>
      </c>
      <c r="AG1892">
        <v>-0.23029549999999999</v>
      </c>
      <c r="AH1892">
        <v>0.30806612681979101</v>
      </c>
      <c r="AI1892">
        <v>126.395112808505</v>
      </c>
      <c r="AJ1892">
        <v>80.422296986052899</v>
      </c>
      <c r="AK1892">
        <v>0.388127430923282</v>
      </c>
      <c r="AL1892">
        <v>91.384105621750194</v>
      </c>
      <c r="AM1892">
        <v>94.981028689305305</v>
      </c>
      <c r="AN1892">
        <v>0.99999996718733197</v>
      </c>
    </row>
    <row r="1893" spans="1:40" x14ac:dyDescent="0.25">
      <c r="A1893" t="str">
        <f>"20190312151535444"</f>
        <v>20190312151535444</v>
      </c>
      <c r="B1893" t="str">
        <f>"1552374935439880"</f>
        <v>1552374935439880</v>
      </c>
      <c r="C1893" t="s">
        <v>40</v>
      </c>
      <c r="D1893">
        <v>5.0876950000000001</v>
      </c>
      <c r="E1893">
        <v>0.57352539999999996</v>
      </c>
      <c r="F1893" t="s">
        <v>41</v>
      </c>
      <c r="G1893">
        <v>-314.5385</v>
      </c>
      <c r="H1893">
        <v>0.83070849999999996</v>
      </c>
      <c r="I1893">
        <v>283.97930000000002</v>
      </c>
      <c r="J1893">
        <v>-314.16109999999998</v>
      </c>
      <c r="K1893">
        <v>1.1115569999999999</v>
      </c>
      <c r="L1893">
        <v>283.89069999999998</v>
      </c>
      <c r="M1893">
        <v>-0.99978719999999999</v>
      </c>
      <c r="N1893">
        <v>0</v>
      </c>
      <c r="O1893">
        <v>1.4352820000000001E-2</v>
      </c>
      <c r="P1893">
        <v>-0.99661339999999998</v>
      </c>
      <c r="Q1893">
        <v>-3.8458590000000001E-2</v>
      </c>
      <c r="R1893">
        <v>-7.2684879999999993E-2</v>
      </c>
      <c r="S1893">
        <v>-2.994507</v>
      </c>
      <c r="T1893">
        <v>-1.053504</v>
      </c>
      <c r="U1893">
        <v>0.352356</v>
      </c>
      <c r="V1893">
        <v>-8.6839369999999999E-2</v>
      </c>
      <c r="W1893">
        <v>-2.4217849999999999E-2</v>
      </c>
      <c r="X1893">
        <v>0.99592789999999998</v>
      </c>
      <c r="Y1893">
        <v>9.7656800000000002E-2</v>
      </c>
      <c r="Z1893">
        <v>1.173869E-2</v>
      </c>
      <c r="AA1893">
        <v>0.99515089999999995</v>
      </c>
      <c r="AB1893">
        <v>47</v>
      </c>
      <c r="AC1893">
        <v>-0.377400000000022</v>
      </c>
      <c r="AD1893">
        <v>-0.280848499999999</v>
      </c>
      <c r="AE1893">
        <v>8.8600000000042201E-2</v>
      </c>
      <c r="AF1893">
        <v>5.4545131411512501E-2</v>
      </c>
      <c r="AG1893">
        <v>-0.280848499999999</v>
      </c>
      <c r="AH1893">
        <v>0.24830717184908299</v>
      </c>
      <c r="AI1893">
        <v>137.84822006419</v>
      </c>
      <c r="AJ1893">
        <v>77.610728616162305</v>
      </c>
      <c r="AK1893">
        <v>0.378823841520883</v>
      </c>
      <c r="AL1893">
        <v>91.387716292746603</v>
      </c>
      <c r="AM1893">
        <v>94.983269545278304</v>
      </c>
      <c r="AN1893">
        <v>0.99999998121951394</v>
      </c>
    </row>
    <row r="1894" spans="1:40" x14ac:dyDescent="0.25">
      <c r="A1894" t="str">
        <f>"20190312151535458"</f>
        <v>20190312151535458</v>
      </c>
      <c r="B1894" t="str">
        <f>"1552374935449639"</f>
        <v>1552374935449639</v>
      </c>
      <c r="C1894" t="s">
        <v>40</v>
      </c>
      <c r="D1894">
        <v>5.106757</v>
      </c>
      <c r="E1894">
        <v>0.57390929999999996</v>
      </c>
      <c r="F1894" t="s">
        <v>41</v>
      </c>
      <c r="G1894">
        <v>-314.95359999999999</v>
      </c>
      <c r="H1894">
        <v>0.83171949999999994</v>
      </c>
      <c r="I1894">
        <v>283.98410000000001</v>
      </c>
      <c r="J1894">
        <v>-314.42540000000002</v>
      </c>
      <c r="K1894">
        <v>1.111518</v>
      </c>
      <c r="L1894">
        <v>283.89389999999997</v>
      </c>
      <c r="M1894">
        <v>-0.99980000000000002</v>
      </c>
      <c r="N1894">
        <v>0</v>
      </c>
      <c r="O1894">
        <v>1.3346749999999999E-2</v>
      </c>
      <c r="P1894">
        <v>-0.99652220000000002</v>
      </c>
      <c r="Q1894">
        <v>-3.8899940000000001E-2</v>
      </c>
      <c r="R1894">
        <v>-7.369125E-2</v>
      </c>
      <c r="S1894">
        <v>-2.9950559999999999</v>
      </c>
      <c r="T1894">
        <v>-1.0576920000000001</v>
      </c>
      <c r="U1894">
        <v>0.35195920000000003</v>
      </c>
      <c r="V1894">
        <v>-8.6843340000000005E-2</v>
      </c>
      <c r="W1894">
        <v>-2.4580040000000001E-2</v>
      </c>
      <c r="X1894">
        <v>0.99591870000000005</v>
      </c>
      <c r="Y1894">
        <v>9.8367309999999999E-2</v>
      </c>
      <c r="Z1894">
        <v>1.2245809999999999E-2</v>
      </c>
      <c r="AA1894">
        <v>0.99507480000000004</v>
      </c>
      <c r="AB1894">
        <v>46</v>
      </c>
      <c r="AC1894">
        <v>-0.52819999999996903</v>
      </c>
      <c r="AD1894">
        <v>-0.27979850000000001</v>
      </c>
      <c r="AE1894">
        <v>9.0200000000038402E-2</v>
      </c>
      <c r="AF1894">
        <v>6.5329221342511998E-2</v>
      </c>
      <c r="AG1894">
        <v>-0.27979850000000001</v>
      </c>
      <c r="AH1894">
        <v>0.41594759798616299</v>
      </c>
      <c r="AI1894">
        <v>123.60526290929501</v>
      </c>
      <c r="AJ1894">
        <v>81.073976830440898</v>
      </c>
      <c r="AK1894">
        <v>0.505536855267673</v>
      </c>
      <c r="AL1894">
        <v>91.408474404083506</v>
      </c>
      <c r="AM1894">
        <v>94.983542020356893</v>
      </c>
      <c r="AN1894">
        <v>1.00000000053922</v>
      </c>
    </row>
    <row r="1895" spans="1:40" x14ac:dyDescent="0.25">
      <c r="A1895" t="str">
        <f>"20190312151535470"</f>
        <v>20190312151535470</v>
      </c>
      <c r="B1895" t="str">
        <f>"1552374935459399"</f>
        <v>1552374935459399</v>
      </c>
      <c r="C1895" t="s">
        <v>40</v>
      </c>
      <c r="D1895">
        <v>5.0806879999999897</v>
      </c>
      <c r="E1895">
        <v>0.57405139999999999</v>
      </c>
      <c r="F1895" t="s">
        <v>41</v>
      </c>
      <c r="G1895">
        <v>-315.3492</v>
      </c>
      <c r="H1895">
        <v>0.78518840000000001</v>
      </c>
      <c r="I1895">
        <v>284.00259999999997</v>
      </c>
      <c r="J1895">
        <v>-314.68520000000001</v>
      </c>
      <c r="K1895">
        <v>1.1114759999999999</v>
      </c>
      <c r="L1895">
        <v>283.89670000000001</v>
      </c>
      <c r="M1895">
        <v>-0.99981149999999996</v>
      </c>
      <c r="N1895">
        <v>0</v>
      </c>
      <c r="O1895">
        <v>1.2378109999999999E-2</v>
      </c>
      <c r="P1895">
        <v>-0.99645430000000002</v>
      </c>
      <c r="Q1895">
        <v>-3.9110770000000003E-2</v>
      </c>
      <c r="R1895">
        <v>-7.4495359999999997E-2</v>
      </c>
      <c r="S1895">
        <v>-2.9951780000000001</v>
      </c>
      <c r="T1895">
        <v>-1.058049</v>
      </c>
      <c r="U1895">
        <v>0.35223389999999999</v>
      </c>
      <c r="V1895">
        <v>-8.6683960000000004E-2</v>
      </c>
      <c r="W1895">
        <v>-2.4717059999999999E-2</v>
      </c>
      <c r="X1895">
        <v>0.99592919999999996</v>
      </c>
      <c r="Y1895">
        <v>9.9299589999999993E-2</v>
      </c>
      <c r="Z1895">
        <v>1.2739469999999999E-2</v>
      </c>
      <c r="AA1895">
        <v>0.99497599999999997</v>
      </c>
      <c r="AB1895">
        <v>46</v>
      </c>
      <c r="AC1895">
        <v>-0.66399999999998705</v>
      </c>
      <c r="AD1895">
        <v>-0.32628760000000001</v>
      </c>
      <c r="AE1895">
        <v>0.105899999999962</v>
      </c>
      <c r="AF1895">
        <v>7.9055755757098306E-2</v>
      </c>
      <c r="AG1895">
        <v>-0.32628760000000001</v>
      </c>
      <c r="AH1895">
        <v>0.53846234548039096</v>
      </c>
      <c r="AI1895">
        <v>120.944146406391</v>
      </c>
      <c r="AJ1895">
        <v>81.647642186484404</v>
      </c>
      <c r="AK1895">
        <v>0.634551107423453</v>
      </c>
      <c r="AL1895">
        <v>91.416327449002495</v>
      </c>
      <c r="AM1895">
        <v>94.974389682664096</v>
      </c>
      <c r="AN1895">
        <v>1.0000000066944801</v>
      </c>
    </row>
    <row r="1896" spans="1:40" x14ac:dyDescent="0.25">
      <c r="A1896" t="str">
        <f>"20190312151535483"</f>
        <v>20190312151535483</v>
      </c>
      <c r="B1896" t="str">
        <f>"1552374935479427"</f>
        <v>1552374935479427</v>
      </c>
      <c r="C1896" t="s">
        <v>40</v>
      </c>
      <c r="D1896">
        <v>5.1493500000000001</v>
      </c>
      <c r="E1896">
        <v>0.57464680000000001</v>
      </c>
      <c r="F1896" t="s">
        <v>41</v>
      </c>
      <c r="G1896">
        <v>-315.38119999999998</v>
      </c>
      <c r="H1896">
        <v>0.86498980000000003</v>
      </c>
      <c r="I1896">
        <v>283.97840000000002</v>
      </c>
      <c r="J1896">
        <v>-314.95179999999999</v>
      </c>
      <c r="K1896">
        <v>1.111434</v>
      </c>
      <c r="L1896">
        <v>283.89929999999998</v>
      </c>
      <c r="M1896">
        <v>-0.99982210000000005</v>
      </c>
      <c r="N1896">
        <v>0</v>
      </c>
      <c r="O1896">
        <v>1.1410440000000001E-2</v>
      </c>
      <c r="P1896">
        <v>-0.99636590000000003</v>
      </c>
      <c r="Q1896">
        <v>-3.9217429999999998E-2</v>
      </c>
      <c r="R1896">
        <v>-7.560994E-2</v>
      </c>
      <c r="S1896">
        <v>-2.9952700000000001</v>
      </c>
      <c r="T1896">
        <v>-1.060692</v>
      </c>
      <c r="U1896">
        <v>0.3510742</v>
      </c>
      <c r="V1896">
        <v>-8.6836319999999995E-2</v>
      </c>
      <c r="W1896">
        <v>-2.475668E-2</v>
      </c>
      <c r="X1896">
        <v>0.99591490000000005</v>
      </c>
      <c r="Y1896">
        <v>9.9767090000000003E-2</v>
      </c>
      <c r="Z1896">
        <v>1.3180880000000001E-2</v>
      </c>
      <c r="AA1896">
        <v>0.99492349999999996</v>
      </c>
      <c r="AB1896">
        <v>46</v>
      </c>
      <c r="AC1896">
        <v>-0.42939999999998602</v>
      </c>
      <c r="AD1896">
        <v>-0.246444199999999</v>
      </c>
      <c r="AE1896">
        <v>7.9100000000039403E-2</v>
      </c>
      <c r="AF1896">
        <v>5.6268539732927302E-2</v>
      </c>
      <c r="AG1896">
        <v>-0.246444199999999</v>
      </c>
      <c r="AH1896">
        <v>0.32631636152086901</v>
      </c>
      <c r="AI1896">
        <v>126.65836412276801</v>
      </c>
      <c r="AJ1896">
        <v>80.216382643505597</v>
      </c>
      <c r="AK1896">
        <v>0.41277507201081598</v>
      </c>
      <c r="AL1896">
        <v>91.418598263408498</v>
      </c>
      <c r="AM1896">
        <v>94.983160121013498</v>
      </c>
      <c r="AN1896">
        <v>0.99999996385888601</v>
      </c>
    </row>
    <row r="1897" spans="1:40" x14ac:dyDescent="0.25">
      <c r="A1897" t="str">
        <f>"20190312151535500"</f>
        <v>20190312151535500</v>
      </c>
      <c r="B1897" t="str">
        <f>"1552374935489187"</f>
        <v>1552374935489187</v>
      </c>
      <c r="C1897" t="s">
        <v>40</v>
      </c>
      <c r="D1897">
        <v>5.1532619999999998</v>
      </c>
      <c r="E1897">
        <v>0.57486250000000005</v>
      </c>
      <c r="F1897" t="s">
        <v>41</v>
      </c>
      <c r="G1897">
        <v>-315.77640000000002</v>
      </c>
      <c r="H1897">
        <v>0.81894449999999996</v>
      </c>
      <c r="I1897">
        <v>283.9966</v>
      </c>
      <c r="J1897">
        <v>-315.31049999999999</v>
      </c>
      <c r="K1897">
        <v>1.111375</v>
      </c>
      <c r="L1897">
        <v>283.90249999999997</v>
      </c>
      <c r="M1897">
        <v>-0.99983480000000002</v>
      </c>
      <c r="N1897">
        <v>0</v>
      </c>
      <c r="O1897">
        <v>1.013678E-2</v>
      </c>
      <c r="P1897">
        <v>-0.99627929999999998</v>
      </c>
      <c r="Q1897">
        <v>-3.9338119999999997E-2</v>
      </c>
      <c r="R1897">
        <v>-7.668316E-2</v>
      </c>
      <c r="S1897">
        <v>-2.9958800000000001</v>
      </c>
      <c r="T1897">
        <v>-1.062635</v>
      </c>
      <c r="U1897">
        <v>0.35263060000000002</v>
      </c>
      <c r="V1897">
        <v>-8.6644369999999998E-2</v>
      </c>
      <c r="W1897">
        <v>-2.479087E-2</v>
      </c>
      <c r="X1897">
        <v>0.9959308</v>
      </c>
      <c r="Y1897">
        <v>0.10133259999999999</v>
      </c>
      <c r="Z1897">
        <v>1.390623E-2</v>
      </c>
      <c r="AA1897">
        <v>0.99475539999999996</v>
      </c>
      <c r="AB1897">
        <v>46</v>
      </c>
      <c r="AC1897">
        <v>-0.46590000000003301</v>
      </c>
      <c r="AD1897">
        <v>-0.29243049999999998</v>
      </c>
      <c r="AE1897">
        <v>9.4100000000025802E-2</v>
      </c>
      <c r="AF1897">
        <v>6.4831514431953396E-2</v>
      </c>
      <c r="AG1897">
        <v>-0.29243049999999998</v>
      </c>
      <c r="AH1897">
        <v>0.33864445091592899</v>
      </c>
      <c r="AI1897">
        <v>130.30227819533201</v>
      </c>
      <c r="AJ1897">
        <v>79.162190870136598</v>
      </c>
      <c r="AK1897">
        <v>0.45210484041861598</v>
      </c>
      <c r="AL1897">
        <v>91.420557761592207</v>
      </c>
      <c r="AM1897">
        <v>94.972121240106105</v>
      </c>
      <c r="AN1897">
        <v>0.99999999623834601</v>
      </c>
    </row>
    <row r="1898" spans="1:40" x14ac:dyDescent="0.25">
      <c r="A1898" t="str">
        <f>"20190312151535514"</f>
        <v>20190312151535514</v>
      </c>
      <c r="B1898" t="str">
        <f>"1552374935509683"</f>
        <v>1552374935509683</v>
      </c>
      <c r="C1898" t="s">
        <v>40</v>
      </c>
      <c r="D1898">
        <v>5.2030529999999997</v>
      </c>
      <c r="E1898">
        <v>0.575179</v>
      </c>
      <c r="F1898" t="s">
        <v>41</v>
      </c>
      <c r="G1898">
        <v>-316.18279999999999</v>
      </c>
      <c r="H1898">
        <v>0.8014038</v>
      </c>
      <c r="I1898">
        <v>284.005</v>
      </c>
      <c r="J1898">
        <v>-315.58370000000002</v>
      </c>
      <c r="K1898">
        <v>1.111332</v>
      </c>
      <c r="L1898">
        <v>283.90469999999999</v>
      </c>
      <c r="M1898">
        <v>-0.99984320000000004</v>
      </c>
      <c r="N1898">
        <v>0</v>
      </c>
      <c r="O1898">
        <v>9.1879300000000004E-3</v>
      </c>
      <c r="P1898">
        <v>-0.99619999999999997</v>
      </c>
      <c r="Q1898">
        <v>-3.9408159999999998E-2</v>
      </c>
      <c r="R1898">
        <v>-7.7669569999999993E-2</v>
      </c>
      <c r="S1898">
        <v>-2.996216</v>
      </c>
      <c r="T1898">
        <v>-1.064659</v>
      </c>
      <c r="U1898">
        <v>0.35150150000000002</v>
      </c>
      <c r="V1898">
        <v>-8.668758E-2</v>
      </c>
      <c r="W1898">
        <v>-2.4800989999999998E-2</v>
      </c>
      <c r="X1898">
        <v>0.9959268</v>
      </c>
      <c r="Y1898">
        <v>0.1017889</v>
      </c>
      <c r="Z1898">
        <v>1.433449E-2</v>
      </c>
      <c r="AA1898">
        <v>0.9947028</v>
      </c>
      <c r="AB1898">
        <v>46</v>
      </c>
      <c r="AC1898">
        <v>-0.59909999999996399</v>
      </c>
      <c r="AD1898">
        <v>-0.30992819999999999</v>
      </c>
      <c r="AE1898">
        <v>0.100300000000004</v>
      </c>
      <c r="AF1898">
        <v>7.5211184715626905E-2</v>
      </c>
      <c r="AG1898">
        <v>-0.30992819999999999</v>
      </c>
      <c r="AH1898">
        <v>0.476064244702877</v>
      </c>
      <c r="AI1898">
        <v>122.74289187064301</v>
      </c>
      <c r="AJ1898">
        <v>81.022307004544302</v>
      </c>
      <c r="AK1898">
        <v>0.57301778030536599</v>
      </c>
      <c r="AL1898">
        <v>91.421137756079801</v>
      </c>
      <c r="AM1898">
        <v>94.974608302971902</v>
      </c>
      <c r="AN1898">
        <v>1.00000000829473</v>
      </c>
    </row>
    <row r="1899" spans="1:40" x14ac:dyDescent="0.25">
      <c r="A1899" t="str">
        <f>"20190312151535527"</f>
        <v>20190312151535527</v>
      </c>
      <c r="B1899" t="str">
        <f>"1552374935519444"</f>
        <v>1552374935519444</v>
      </c>
      <c r="C1899" t="s">
        <v>40</v>
      </c>
      <c r="D1899">
        <v>5.2027979999999996</v>
      </c>
      <c r="E1899">
        <v>0.59039560000000002</v>
      </c>
      <c r="F1899" t="s">
        <v>41</v>
      </c>
      <c r="G1899">
        <v>-316.57819999999998</v>
      </c>
      <c r="H1899">
        <v>0.75754309999999903</v>
      </c>
      <c r="I1899">
        <v>284.02159999999998</v>
      </c>
      <c r="J1899">
        <v>-315.8578</v>
      </c>
      <c r="K1899">
        <v>1.111289</v>
      </c>
      <c r="L1899">
        <v>283.90660000000003</v>
      </c>
      <c r="M1899">
        <v>-0.99985060000000003</v>
      </c>
      <c r="N1899">
        <v>0</v>
      </c>
      <c r="O1899">
        <v>8.2636830000000008E-3</v>
      </c>
      <c r="P1899">
        <v>-0.99609360000000002</v>
      </c>
      <c r="Q1899">
        <v>-3.9699959999999999E-2</v>
      </c>
      <c r="R1899">
        <v>-7.8878920000000005E-2</v>
      </c>
      <c r="S1899">
        <v>-2.9966430000000002</v>
      </c>
      <c r="T1899">
        <v>-1.066127</v>
      </c>
      <c r="U1899">
        <v>0.35122680000000001</v>
      </c>
      <c r="V1899">
        <v>-8.6977209999999999E-2</v>
      </c>
      <c r="W1899">
        <v>-2.5040590000000001E-2</v>
      </c>
      <c r="X1899">
        <v>0.99589559999999999</v>
      </c>
      <c r="Y1899">
        <v>0.10248939999999999</v>
      </c>
      <c r="Z1899">
        <v>1.4789780000000001E-2</v>
      </c>
      <c r="AA1899">
        <v>0.99462410000000001</v>
      </c>
      <c r="AB1899">
        <v>46</v>
      </c>
      <c r="AC1899">
        <v>-0.72039999999998305</v>
      </c>
      <c r="AD1899">
        <v>-0.3537459</v>
      </c>
      <c r="AE1899">
        <v>0.114999999999952</v>
      </c>
      <c r="AF1899">
        <v>8.8284049683332103E-2</v>
      </c>
      <c r="AG1899">
        <v>-0.3537459</v>
      </c>
      <c r="AH1899">
        <v>0.58400828688839101</v>
      </c>
      <c r="AI1899">
        <v>120.918070386377</v>
      </c>
      <c r="AJ1899">
        <v>81.403731060380807</v>
      </c>
      <c r="AK1899">
        <v>0.68847361194864498</v>
      </c>
      <c r="AL1899">
        <v>91.434870020951294</v>
      </c>
      <c r="AM1899">
        <v>94.991300617827505</v>
      </c>
      <c r="AN1899">
        <v>1.0000000561531399</v>
      </c>
    </row>
    <row r="1900" spans="1:40" x14ac:dyDescent="0.25">
      <c r="A1900" t="str">
        <f>"20190312151535538"</f>
        <v>20190312151535538</v>
      </c>
      <c r="B1900" t="str">
        <f>"1552374935529204"</f>
        <v>1552374935529204</v>
      </c>
      <c r="C1900" t="s">
        <v>40</v>
      </c>
      <c r="D1900">
        <v>5.185549</v>
      </c>
      <c r="E1900">
        <v>0.59063889999999997</v>
      </c>
      <c r="F1900" t="s">
        <v>41</v>
      </c>
      <c r="G1900">
        <v>-316.60969999999998</v>
      </c>
      <c r="H1900">
        <v>0.83617079999999999</v>
      </c>
      <c r="I1900">
        <v>284.02420000000001</v>
      </c>
      <c r="J1900">
        <v>-316.1026</v>
      </c>
      <c r="K1900">
        <v>1.1112580000000001</v>
      </c>
      <c r="L1900">
        <v>283.90809999999999</v>
      </c>
      <c r="M1900">
        <v>-0.99985650000000004</v>
      </c>
      <c r="N1900">
        <v>0</v>
      </c>
      <c r="O1900">
        <v>7.4512449999999996E-3</v>
      </c>
      <c r="P1900">
        <v>-0.99601229999999996</v>
      </c>
      <c r="Q1900">
        <v>-4.0045459999999998E-2</v>
      </c>
      <c r="R1900">
        <v>-7.9726270000000002E-2</v>
      </c>
      <c r="S1900">
        <v>-3.0050349999999999</v>
      </c>
      <c r="T1900">
        <v>-1.0995629999999901</v>
      </c>
      <c r="U1900">
        <v>0.46838380000000002</v>
      </c>
      <c r="V1900">
        <v>-8.7015980000000007E-2</v>
      </c>
      <c r="W1900">
        <v>-2.534082E-2</v>
      </c>
      <c r="X1900">
        <v>0.99588449999999995</v>
      </c>
      <c r="Y1900">
        <v>0.13834949999999999</v>
      </c>
      <c r="Z1900">
        <v>2.1756339999999999E-2</v>
      </c>
      <c r="AA1900">
        <v>0.99014449999999998</v>
      </c>
      <c r="AB1900">
        <v>46</v>
      </c>
      <c r="AC1900">
        <v>-0.50709999999997901</v>
      </c>
      <c r="AD1900">
        <v>-0.27508719999999998</v>
      </c>
      <c r="AE1900">
        <v>0.116100000000017</v>
      </c>
      <c r="AF1900">
        <v>8.7774472403931297E-2</v>
      </c>
      <c r="AG1900">
        <v>-0.27508719999999998</v>
      </c>
      <c r="AH1900">
        <v>0.39695520764283498</v>
      </c>
      <c r="AI1900">
        <v>124.08418832621901</v>
      </c>
      <c r="AJ1900">
        <v>77.531423315952694</v>
      </c>
      <c r="AK1900">
        <v>0.49086735732211301</v>
      </c>
      <c r="AL1900">
        <v>91.452077564585494</v>
      </c>
      <c r="AM1900">
        <v>94.993569613806599</v>
      </c>
      <c r="AN1900">
        <v>0.99999993763693895</v>
      </c>
    </row>
    <row r="1901" spans="1:40" x14ac:dyDescent="0.25">
      <c r="A1901" t="str">
        <f>"20190312151535556"</f>
        <v>20190312151535556</v>
      </c>
      <c r="B1901" t="str">
        <f>"1552374935549703"</f>
        <v>1552374935549703</v>
      </c>
      <c r="C1901" t="s">
        <v>40</v>
      </c>
      <c r="D1901">
        <v>5.1807169999999996</v>
      </c>
      <c r="E1901">
        <v>0.59144569999999996</v>
      </c>
      <c r="F1901" t="s">
        <v>41</v>
      </c>
      <c r="G1901">
        <v>-317.00139999999999</v>
      </c>
      <c r="H1901">
        <v>0.78451009999999999</v>
      </c>
      <c r="I1901">
        <v>284.04820000000001</v>
      </c>
      <c r="J1901">
        <v>-316.46839999999997</v>
      </c>
      <c r="K1901">
        <v>1.1112070000000001</v>
      </c>
      <c r="L1901">
        <v>283.91000000000003</v>
      </c>
      <c r="M1901">
        <v>-0.99986370000000002</v>
      </c>
      <c r="N1901">
        <v>0</v>
      </c>
      <c r="O1901">
        <v>6.2630869999999996E-3</v>
      </c>
      <c r="P1901">
        <v>-0.99589300000000003</v>
      </c>
      <c r="Q1901">
        <v>-4.0387109999999997E-2</v>
      </c>
      <c r="R1901">
        <v>-8.1032209999999993E-2</v>
      </c>
      <c r="S1901">
        <v>-3.0055239999999999</v>
      </c>
      <c r="T1901">
        <v>-1.092597</v>
      </c>
      <c r="U1901">
        <v>0.46786499999999998</v>
      </c>
      <c r="V1901">
        <v>-8.7139789999999995E-2</v>
      </c>
      <c r="W1901">
        <v>-2.5620799999999999E-2</v>
      </c>
      <c r="X1901">
        <v>0.99586660000000005</v>
      </c>
      <c r="Y1901">
        <v>0.13930310000000001</v>
      </c>
      <c r="Z1901">
        <v>2.220691E-2</v>
      </c>
      <c r="AA1901">
        <v>0.99000080000000001</v>
      </c>
      <c r="AB1901">
        <v>46</v>
      </c>
      <c r="AC1901">
        <v>-0.53300000000001502</v>
      </c>
      <c r="AD1901">
        <v>-0.32669690000000001</v>
      </c>
      <c r="AE1901">
        <v>0.138199999999983</v>
      </c>
      <c r="AF1901">
        <v>9.9745446196235099E-2</v>
      </c>
      <c r="AG1901">
        <v>-0.32669690000000001</v>
      </c>
      <c r="AH1901">
        <v>0.394855028067849</v>
      </c>
      <c r="AI1901">
        <v>128.73607003004099</v>
      </c>
      <c r="AJ1901">
        <v>75.822945362061901</v>
      </c>
      <c r="AK1901">
        <v>0.52210201273023005</v>
      </c>
      <c r="AL1901">
        <v>91.468124317450005</v>
      </c>
      <c r="AM1901">
        <v>95.000728101097394</v>
      </c>
      <c r="AN1901">
        <v>1.00000002669472</v>
      </c>
    </row>
    <row r="1902" spans="1:40" x14ac:dyDescent="0.25">
      <c r="A1902" t="str">
        <f>"20190312151535570"</f>
        <v>20190312151535570</v>
      </c>
      <c r="B1902" t="str">
        <f>"1552374935559460"</f>
        <v>1552374935559460</v>
      </c>
      <c r="C1902" t="s">
        <v>40</v>
      </c>
      <c r="D1902">
        <v>5.1786899999999996</v>
      </c>
      <c r="E1902">
        <v>0.59165829999999997</v>
      </c>
      <c r="F1902" t="s">
        <v>41</v>
      </c>
      <c r="G1902">
        <v>-317.40879999999999</v>
      </c>
      <c r="H1902">
        <v>0.77287359999999905</v>
      </c>
      <c r="I1902">
        <v>284.05739999999997</v>
      </c>
      <c r="J1902">
        <v>-316.74990000000003</v>
      </c>
      <c r="K1902">
        <v>1.1111679999999999</v>
      </c>
      <c r="L1902">
        <v>283.91109999999998</v>
      </c>
      <c r="M1902">
        <v>-0.99986850000000005</v>
      </c>
      <c r="N1902">
        <v>0</v>
      </c>
      <c r="O1902">
        <v>5.369469E-3</v>
      </c>
      <c r="P1902">
        <v>-0.99579439999999997</v>
      </c>
      <c r="Q1902">
        <v>-4.0647389999999999E-2</v>
      </c>
      <c r="R1902">
        <v>-8.2108070000000005E-2</v>
      </c>
      <c r="S1902">
        <v>-3.0068049999999999</v>
      </c>
      <c r="T1902">
        <v>-1.0817030000000001</v>
      </c>
      <c r="U1902">
        <v>0.4706726</v>
      </c>
      <c r="V1902">
        <v>-8.7327329999999995E-2</v>
      </c>
      <c r="W1902">
        <v>-2.5838670000000001E-2</v>
      </c>
      <c r="X1902">
        <v>0.99584450000000002</v>
      </c>
      <c r="Y1902">
        <v>0.14103250000000001</v>
      </c>
      <c r="Z1902">
        <v>2.2598150000000001E-2</v>
      </c>
      <c r="AA1902">
        <v>0.98974700000000004</v>
      </c>
      <c r="AB1902">
        <v>46</v>
      </c>
      <c r="AC1902">
        <v>-0.65889999999995996</v>
      </c>
      <c r="AD1902">
        <v>-0.3382944</v>
      </c>
      <c r="AE1902">
        <v>0.14629999999999599</v>
      </c>
      <c r="AF1902">
        <v>0.11409644835589999</v>
      </c>
      <c r="AG1902">
        <v>-0.3382944</v>
      </c>
      <c r="AH1902">
        <v>0.52722717379485595</v>
      </c>
      <c r="AI1902">
        <v>122.093106855779</v>
      </c>
      <c r="AJ1902">
        <v>77.789006003553297</v>
      </c>
      <c r="AK1902">
        <v>0.63673353405211996</v>
      </c>
      <c r="AL1902">
        <v>91.480611546195405</v>
      </c>
      <c r="AM1902">
        <v>95.011546438798504</v>
      </c>
      <c r="AN1902">
        <v>0.99999998380627297</v>
      </c>
    </row>
    <row r="1903" spans="1:40" x14ac:dyDescent="0.25">
      <c r="A1903" t="str">
        <f>"20190312151535591"</f>
        <v>20190312151535591</v>
      </c>
      <c r="B1903" t="str">
        <f>"1552374935579488"</f>
        <v>1552374935579488</v>
      </c>
      <c r="C1903" t="s">
        <v>40</v>
      </c>
      <c r="D1903">
        <v>5.2428220000000003</v>
      </c>
      <c r="E1903">
        <v>0.59187419999999902</v>
      </c>
      <c r="F1903" t="s">
        <v>41</v>
      </c>
      <c r="G1903">
        <v>-317.44400000000002</v>
      </c>
      <c r="H1903">
        <v>0.86022559999999904</v>
      </c>
      <c r="I1903">
        <v>284.0197</v>
      </c>
      <c r="J1903">
        <v>-317.17340000000002</v>
      </c>
      <c r="K1903">
        <v>1.1111139999999999</v>
      </c>
      <c r="L1903">
        <v>283.91239999999999</v>
      </c>
      <c r="M1903">
        <v>-0.99987400000000004</v>
      </c>
      <c r="N1903">
        <v>0</v>
      </c>
      <c r="O1903">
        <v>4.0562419999999998E-3</v>
      </c>
      <c r="P1903">
        <v>-0.99565179999999998</v>
      </c>
      <c r="Q1903">
        <v>-4.1049090000000003E-2</v>
      </c>
      <c r="R1903">
        <v>-8.3620860000000005E-2</v>
      </c>
      <c r="S1903">
        <v>-3.0069889999999999</v>
      </c>
      <c r="T1903">
        <v>-1.0872219999999999</v>
      </c>
      <c r="U1903">
        <v>0.4692383</v>
      </c>
      <c r="V1903">
        <v>-8.7534529999999999E-2</v>
      </c>
      <c r="W1903">
        <v>-2.6182839999999999E-2</v>
      </c>
      <c r="X1903">
        <v>0.99581739999999996</v>
      </c>
      <c r="Y1903">
        <v>0.14165829999999999</v>
      </c>
      <c r="Z1903">
        <v>2.3272910000000001E-2</v>
      </c>
      <c r="AA1903">
        <v>0.98964200000000002</v>
      </c>
      <c r="AB1903">
        <v>46</v>
      </c>
      <c r="AC1903">
        <v>-0.27060000000000101</v>
      </c>
      <c r="AD1903">
        <v>-0.25088840000000001</v>
      </c>
      <c r="AE1903">
        <v>0.107300000000009</v>
      </c>
      <c r="AF1903">
        <v>6.09364408483518E-2</v>
      </c>
      <c r="AG1903">
        <v>-0.25088840000000001</v>
      </c>
      <c r="AH1903">
        <v>0.15551390902297299</v>
      </c>
      <c r="AI1903">
        <v>146.34670899529999</v>
      </c>
      <c r="AJ1903">
        <v>68.602808556454207</v>
      </c>
      <c r="AK1903">
        <v>0.30140141834011003</v>
      </c>
      <c r="AL1903">
        <v>91.500337587894606</v>
      </c>
      <c r="AM1903">
        <v>95.023512481635294</v>
      </c>
      <c r="AN1903">
        <v>1.00000006459777</v>
      </c>
    </row>
    <row r="1904" spans="1:40" x14ac:dyDescent="0.25">
      <c r="A1904" t="str">
        <f>"20190312151535614"</f>
        <v>20190312151535614</v>
      </c>
      <c r="B1904" t="str">
        <f>"1552374935609744"</f>
        <v>1552374935609744</v>
      </c>
      <c r="C1904" t="s">
        <v>40</v>
      </c>
      <c r="D1904">
        <v>5.2969499999999998</v>
      </c>
      <c r="E1904">
        <v>0.59238590000000002</v>
      </c>
      <c r="F1904" t="s">
        <v>41</v>
      </c>
      <c r="G1904">
        <v>-317.8569</v>
      </c>
      <c r="H1904">
        <v>0.863703</v>
      </c>
      <c r="I1904">
        <v>284.01839999999999</v>
      </c>
      <c r="J1904">
        <v>-317.64210000000003</v>
      </c>
      <c r="K1904">
        <v>1.111057</v>
      </c>
      <c r="L1904">
        <v>283.91320000000002</v>
      </c>
      <c r="M1904">
        <v>-0.99987800000000004</v>
      </c>
      <c r="N1904">
        <v>0</v>
      </c>
      <c r="O1904">
        <v>2.6423919999999999E-3</v>
      </c>
      <c r="P1904">
        <v>-0.99550309999999997</v>
      </c>
      <c r="Q1904">
        <v>-4.1067609999999997E-2</v>
      </c>
      <c r="R1904">
        <v>-8.5365380000000005E-2</v>
      </c>
      <c r="S1904">
        <v>-3.0074160000000001</v>
      </c>
      <c r="T1904">
        <v>-1.088624</v>
      </c>
      <c r="U1904">
        <v>0.46630859999999902</v>
      </c>
      <c r="V1904">
        <v>-8.787507E-2</v>
      </c>
      <c r="W1904">
        <v>-2.6146019999999999E-2</v>
      </c>
      <c r="X1904">
        <v>0.99578829999999996</v>
      </c>
      <c r="Y1904">
        <v>0.1419657</v>
      </c>
      <c r="Z1904">
        <v>2.3846630000000001E-2</v>
      </c>
      <c r="AA1904">
        <v>0.98958429999999997</v>
      </c>
      <c r="AB1904">
        <v>46</v>
      </c>
      <c r="AC1904">
        <v>-0.21479999999996799</v>
      </c>
      <c r="AD1904">
        <v>-0.24735399999999899</v>
      </c>
      <c r="AE1904">
        <v>0.105199999999968</v>
      </c>
      <c r="AF1904">
        <v>5.0558166085348598E-2</v>
      </c>
      <c r="AG1904">
        <v>-0.24735399999999899</v>
      </c>
      <c r="AH1904">
        <v>0.10392531999971</v>
      </c>
      <c r="AI1904">
        <v>154.956693390033</v>
      </c>
      <c r="AJ1904">
        <v>64.057748064815101</v>
      </c>
      <c r="AK1904">
        <v>0.27302124754486701</v>
      </c>
      <c r="AL1904">
        <v>91.498227346216296</v>
      </c>
      <c r="AM1904">
        <v>95.043101734192703</v>
      </c>
      <c r="AN1904">
        <v>0.99999999035311704</v>
      </c>
    </row>
    <row r="1905" spans="1:40" x14ac:dyDescent="0.25">
      <c r="A1905" t="str">
        <f>"20190312151535635"</f>
        <v>20190312151535635</v>
      </c>
      <c r="B1905" t="str">
        <f>"1552374935629263"</f>
        <v>1552374935629263</v>
      </c>
      <c r="C1905" t="s">
        <v>40</v>
      </c>
      <c r="D1905">
        <v>5.2894639999999997</v>
      </c>
      <c r="E1905">
        <v>0.59254300000000004</v>
      </c>
      <c r="F1905" t="s">
        <v>41</v>
      </c>
      <c r="G1905">
        <v>-318.63569999999999</v>
      </c>
      <c r="H1905">
        <v>0.75085449999999998</v>
      </c>
      <c r="I1905">
        <v>284.06709999999998</v>
      </c>
      <c r="J1905">
        <v>-318.07549999999998</v>
      </c>
      <c r="K1905">
        <v>1.1110120000000001</v>
      </c>
      <c r="L1905">
        <v>283.91340000000002</v>
      </c>
      <c r="M1905">
        <v>-0.99987999999999999</v>
      </c>
      <c r="N1905">
        <v>0</v>
      </c>
      <c r="O1905">
        <v>1.3723989999999901E-3</v>
      </c>
      <c r="P1905">
        <v>-0.99541559999999996</v>
      </c>
      <c r="Q1905">
        <v>-4.0826729999999999E-2</v>
      </c>
      <c r="R1905">
        <v>-8.6493150000000005E-2</v>
      </c>
      <c r="S1905">
        <v>-3.0084529999999998</v>
      </c>
      <c r="T1905">
        <v>-1.0905609999999999</v>
      </c>
      <c r="U1905">
        <v>0.46542359999999999</v>
      </c>
      <c r="V1905">
        <v>-8.7743730000000006E-2</v>
      </c>
      <c r="W1905">
        <v>-2.5858099999999998E-2</v>
      </c>
      <c r="X1905">
        <v>0.99580740000000001</v>
      </c>
      <c r="Y1905">
        <v>0.14273350000000001</v>
      </c>
      <c r="Z1905">
        <v>2.4457309999999999E-2</v>
      </c>
      <c r="AA1905">
        <v>0.98945890000000003</v>
      </c>
      <c r="AB1905">
        <v>46</v>
      </c>
      <c r="AC1905">
        <v>-0.56020000000000802</v>
      </c>
      <c r="AD1905">
        <v>-0.36015750000000002</v>
      </c>
      <c r="AE1905">
        <v>0.15369999999995701</v>
      </c>
      <c r="AF1905">
        <v>0.110467661878454</v>
      </c>
      <c r="AG1905">
        <v>-0.36015750000000002</v>
      </c>
      <c r="AH1905">
        <v>0.40480512402561902</v>
      </c>
      <c r="AI1905">
        <v>130.64016451095401</v>
      </c>
      <c r="AJ1905">
        <v>74.736151965553802</v>
      </c>
      <c r="AK1905">
        <v>0.55297714018261102</v>
      </c>
      <c r="AL1905">
        <v>91.481725165095497</v>
      </c>
      <c r="AM1905">
        <v>95.035506899237902</v>
      </c>
      <c r="AN1905">
        <v>0.99999999069234102</v>
      </c>
    </row>
    <row r="1906" spans="1:40" x14ac:dyDescent="0.25">
      <c r="A1906" t="str">
        <f>"20190312151535647"</f>
        <v>20190312151535647</v>
      </c>
      <c r="B1906" t="str">
        <f>"1552374935639024"</f>
        <v>1552374935639024</v>
      </c>
      <c r="C1906" t="s">
        <v>40</v>
      </c>
      <c r="D1906">
        <v>5.2243789999999999</v>
      </c>
      <c r="E1906">
        <v>0.59252289999999996</v>
      </c>
      <c r="F1906" t="s">
        <v>41</v>
      </c>
      <c r="G1906">
        <v>-319.04730000000001</v>
      </c>
      <c r="H1906">
        <v>0.75908819999999999</v>
      </c>
      <c r="I1906">
        <v>284.06299999999999</v>
      </c>
      <c r="J1906">
        <v>-318.3408</v>
      </c>
      <c r="K1906">
        <v>1.110984</v>
      </c>
      <c r="L1906">
        <v>283.91320000000002</v>
      </c>
      <c r="M1906">
        <v>-0.99988060000000001</v>
      </c>
      <c r="N1906">
        <v>0</v>
      </c>
      <c r="O1906">
        <v>6.0995730000000005E-4</v>
      </c>
      <c r="P1906">
        <v>-0.9953803</v>
      </c>
      <c r="Q1906">
        <v>-4.052915E-2</v>
      </c>
      <c r="R1906">
        <v>-8.7038669999999999E-2</v>
      </c>
      <c r="S1906">
        <v>-3.0093079999999999</v>
      </c>
      <c r="T1906">
        <v>-1.08978</v>
      </c>
      <c r="U1906">
        <v>0.46279910000000002</v>
      </c>
      <c r="V1906">
        <v>-8.7533620000000006E-2</v>
      </c>
      <c r="W1906">
        <v>-2.5534069999999999E-2</v>
      </c>
      <c r="X1906">
        <v>0.99583429999999995</v>
      </c>
      <c r="Y1906">
        <v>0.1425794</v>
      </c>
      <c r="Z1906">
        <v>2.4675140000000002E-2</v>
      </c>
      <c r="AA1906">
        <v>0.98947569999999996</v>
      </c>
      <c r="AB1906">
        <v>46</v>
      </c>
      <c r="AC1906">
        <v>-0.70650000000000501</v>
      </c>
      <c r="AD1906">
        <v>-0.35189579999999998</v>
      </c>
      <c r="AE1906">
        <v>0.14979999999997001</v>
      </c>
      <c r="AF1906">
        <v>0.120710652684896</v>
      </c>
      <c r="AG1906">
        <v>-0.35189579999999998</v>
      </c>
      <c r="AH1906">
        <v>0.57102276334059698</v>
      </c>
      <c r="AI1906">
        <v>121.087071025546</v>
      </c>
      <c r="AJ1906">
        <v>78.063758366565196</v>
      </c>
      <c r="AK1906">
        <v>0.68151941423732398</v>
      </c>
      <c r="AL1906">
        <v>91.463153411516799</v>
      </c>
      <c r="AM1906">
        <v>95.023375709529503</v>
      </c>
      <c r="AN1906">
        <v>1.0000000382087699</v>
      </c>
    </row>
    <row r="1907" spans="1:40" x14ac:dyDescent="0.25">
      <c r="A1907" t="str">
        <f>"20190312151535659"</f>
        <v>20190312151535659</v>
      </c>
      <c r="B1907" t="str">
        <f>"1552374935649760"</f>
        <v>1552374935649760</v>
      </c>
      <c r="C1907" t="s">
        <v>40</v>
      </c>
      <c r="D1907">
        <v>5.2620170000000002</v>
      </c>
      <c r="E1907">
        <v>0.59257530000000003</v>
      </c>
      <c r="F1907" t="s">
        <v>41</v>
      </c>
      <c r="G1907">
        <v>-319.08080000000001</v>
      </c>
      <c r="H1907">
        <v>0.8429681</v>
      </c>
      <c r="I1907">
        <v>284.02670000000001</v>
      </c>
      <c r="J1907">
        <v>-318.57319999999999</v>
      </c>
      <c r="K1907">
        <v>1.1109610000000001</v>
      </c>
      <c r="L1907">
        <v>283.91289999999998</v>
      </c>
      <c r="M1907">
        <v>-0.99988049999999995</v>
      </c>
      <c r="N1907">
        <v>0</v>
      </c>
      <c r="O1907" s="1">
        <v>-4.9877080000000003E-5</v>
      </c>
      <c r="P1907">
        <v>-0.99532719999999997</v>
      </c>
      <c r="Q1907">
        <v>-4.0409880000000002E-2</v>
      </c>
      <c r="R1907">
        <v>-8.7698520000000002E-2</v>
      </c>
      <c r="S1907">
        <v>-3.009827</v>
      </c>
      <c r="T1907">
        <v>-1.0900719999999999</v>
      </c>
      <c r="U1907">
        <v>0.46087650000000002</v>
      </c>
      <c r="V1907">
        <v>-8.7538679999999994E-2</v>
      </c>
      <c r="W1907">
        <v>-2.539429E-2</v>
      </c>
      <c r="X1907">
        <v>0.99583739999999998</v>
      </c>
      <c r="Y1907">
        <v>0.1425467</v>
      </c>
      <c r="Z1907">
        <v>2.4903189999999999E-2</v>
      </c>
      <c r="AA1907">
        <v>0.98947479999999999</v>
      </c>
      <c r="AB1907">
        <v>46</v>
      </c>
      <c r="AC1907">
        <v>-0.50760000000002403</v>
      </c>
      <c r="AD1907">
        <v>-0.26799289999999998</v>
      </c>
      <c r="AE1907">
        <v>0.11380000000002601</v>
      </c>
      <c r="AF1907">
        <v>8.9951842754361105E-2</v>
      </c>
      <c r="AG1907">
        <v>-0.26799289999999998</v>
      </c>
      <c r="AH1907">
        <v>0.40113258192472701</v>
      </c>
      <c r="AI1907">
        <v>123.100368875138</v>
      </c>
      <c r="AJ1907">
        <v>77.360815143429093</v>
      </c>
      <c r="AK1907">
        <v>0.49073299944767601</v>
      </c>
      <c r="AL1907">
        <v>91.455142052671306</v>
      </c>
      <c r="AM1907">
        <v>95.023649048244394</v>
      </c>
      <c r="AN1907">
        <v>1.00000000884975</v>
      </c>
    </row>
    <row r="1908" spans="1:40" x14ac:dyDescent="0.25">
      <c r="A1908" t="str">
        <f>"20190312151535672"</f>
        <v>20190312151535672</v>
      </c>
      <c r="B1908" t="str">
        <f>"1552374935659520"</f>
        <v>1552374935659520</v>
      </c>
      <c r="C1908" t="s">
        <v>40</v>
      </c>
      <c r="D1908">
        <v>5.2697799999999999</v>
      </c>
      <c r="E1908">
        <v>0.59264819999999996</v>
      </c>
      <c r="F1908" t="s">
        <v>41</v>
      </c>
      <c r="G1908">
        <v>-319.46839999999997</v>
      </c>
      <c r="H1908">
        <v>0.78721739999999996</v>
      </c>
      <c r="I1908">
        <v>284.0498</v>
      </c>
      <c r="J1908">
        <v>-318.83139999999997</v>
      </c>
      <c r="K1908">
        <v>1.110932</v>
      </c>
      <c r="L1908">
        <v>283.91239999999999</v>
      </c>
      <c r="M1908">
        <v>-0.99987999999999999</v>
      </c>
      <c r="N1908">
        <v>0</v>
      </c>
      <c r="O1908">
        <v>-7.7593399999999896E-4</v>
      </c>
      <c r="P1908">
        <v>-0.9952493</v>
      </c>
      <c r="Q1908">
        <v>-4.0265259999999997E-2</v>
      </c>
      <c r="R1908">
        <v>-8.8644089999999995E-2</v>
      </c>
      <c r="S1908">
        <v>-3.0104060000000001</v>
      </c>
      <c r="T1908">
        <v>-1.0888599999999999</v>
      </c>
      <c r="U1908">
        <v>0.45993040000000002</v>
      </c>
      <c r="V1908">
        <v>-8.7764590000000003E-2</v>
      </c>
      <c r="W1908">
        <v>-2.5229410000000001E-2</v>
      </c>
      <c r="X1908">
        <v>0.99582170000000003</v>
      </c>
      <c r="Y1908">
        <v>0.1428875</v>
      </c>
      <c r="Z1908">
        <v>2.5185880000000001E-2</v>
      </c>
      <c r="AA1908">
        <v>0.98941840000000003</v>
      </c>
      <c r="AB1908">
        <v>46</v>
      </c>
      <c r="AC1908">
        <v>-0.63700000000000001</v>
      </c>
      <c r="AD1908">
        <v>-0.32371460000000002</v>
      </c>
      <c r="AE1908">
        <v>0.13740000000001301</v>
      </c>
      <c r="AF1908">
        <v>0.110601053612254</v>
      </c>
      <c r="AG1908">
        <v>-0.32371460000000002</v>
      </c>
      <c r="AH1908">
        <v>0.51083375624008798</v>
      </c>
      <c r="AI1908">
        <v>121.77192910941</v>
      </c>
      <c r="AJ1908">
        <v>77.783404621670002</v>
      </c>
      <c r="AK1908">
        <v>0.61479660199748798</v>
      </c>
      <c r="AL1908">
        <v>91.445692106375205</v>
      </c>
      <c r="AM1908">
        <v>95.036625917465301</v>
      </c>
      <c r="AN1908">
        <v>1.00000000228885</v>
      </c>
    </row>
    <row r="1909" spans="1:40" x14ac:dyDescent="0.25">
      <c r="A1909" t="str">
        <f>"20190312151535688"</f>
        <v>20190312151535688</v>
      </c>
      <c r="B1909" t="str">
        <f>"1552374935679548"</f>
        <v>1552374935679548</v>
      </c>
      <c r="C1909" t="s">
        <v>40</v>
      </c>
      <c r="D1909">
        <v>5.2724399999999996</v>
      </c>
      <c r="E1909">
        <v>0.59253909999999999</v>
      </c>
      <c r="F1909" t="s">
        <v>41</v>
      </c>
      <c r="G1909">
        <v>-319.5009</v>
      </c>
      <c r="H1909">
        <v>0.86876139999999902</v>
      </c>
      <c r="I1909">
        <v>284.01429999999999</v>
      </c>
      <c r="J1909">
        <v>-319.16300000000001</v>
      </c>
      <c r="K1909">
        <v>1.110897</v>
      </c>
      <c r="L1909">
        <v>283.91149999999999</v>
      </c>
      <c r="M1909">
        <v>-0.99987859999999995</v>
      </c>
      <c r="N1909">
        <v>0</v>
      </c>
      <c r="O1909">
        <v>-1.6831939999999901E-3</v>
      </c>
      <c r="P1909">
        <v>-0.99518309999999999</v>
      </c>
      <c r="Q1909">
        <v>-4.0111170000000002E-2</v>
      </c>
      <c r="R1909">
        <v>-8.9454710000000007E-2</v>
      </c>
      <c r="S1909">
        <v>-3.011047</v>
      </c>
      <c r="T1909">
        <v>-1.0892309999999901</v>
      </c>
      <c r="U1909">
        <v>0.4575806</v>
      </c>
      <c r="V1909">
        <v>-8.7675249999999996E-2</v>
      </c>
      <c r="W1909">
        <v>-2.5050030000000001E-2</v>
      </c>
      <c r="X1909">
        <v>0.99583410000000006</v>
      </c>
      <c r="Y1909">
        <v>0.14293520000000001</v>
      </c>
      <c r="Z1909">
        <v>2.5515119999999999E-2</v>
      </c>
      <c r="AA1909">
        <v>0.98940309999999998</v>
      </c>
      <c r="AB1909">
        <v>46</v>
      </c>
      <c r="AC1909">
        <v>-0.33789999999998999</v>
      </c>
      <c r="AD1909">
        <v>-0.24213560000000001</v>
      </c>
      <c r="AE1909">
        <v>0.102800000000001</v>
      </c>
      <c r="AF1909">
        <v>7.0318882770633903E-2</v>
      </c>
      <c r="AG1909">
        <v>-0.24213560000000001</v>
      </c>
      <c r="AH1909">
        <v>0.229746082998836</v>
      </c>
      <c r="AI1909">
        <v>135.22199111933699</v>
      </c>
      <c r="AJ1909">
        <v>72.982108233076005</v>
      </c>
      <c r="AK1909">
        <v>0.34111238135661098</v>
      </c>
      <c r="AL1909">
        <v>91.435411137536803</v>
      </c>
      <c r="AM1909">
        <v>95.031462883441193</v>
      </c>
      <c r="AN1909">
        <v>1.0000000040941801</v>
      </c>
    </row>
    <row r="1910" spans="1:40" x14ac:dyDescent="0.25">
      <c r="A1910" t="str">
        <f>"20190312151535702"</f>
        <v>20190312151535702</v>
      </c>
      <c r="B1910" t="str">
        <f>"1552374935699068"</f>
        <v>1552374935699068</v>
      </c>
      <c r="C1910" t="s">
        <v>40</v>
      </c>
      <c r="D1910">
        <v>5.2577910000000001</v>
      </c>
      <c r="E1910">
        <v>0.59252499999999997</v>
      </c>
      <c r="F1910" t="s">
        <v>41</v>
      </c>
      <c r="G1910">
        <v>-319.90039999999999</v>
      </c>
      <c r="H1910">
        <v>0.84386459999999996</v>
      </c>
      <c r="I1910">
        <v>284.02289999999999</v>
      </c>
      <c r="J1910">
        <v>-319.46050000000002</v>
      </c>
      <c r="K1910">
        <v>1.110862</v>
      </c>
      <c r="L1910">
        <v>283.91039999999998</v>
      </c>
      <c r="M1910">
        <v>-0.9998766</v>
      </c>
      <c r="N1910">
        <v>0</v>
      </c>
      <c r="O1910">
        <v>-2.4772349999999999E-3</v>
      </c>
      <c r="P1910">
        <v>-0.99511859999999996</v>
      </c>
      <c r="Q1910">
        <v>-3.9943720000000002E-2</v>
      </c>
      <c r="R1910">
        <v>-9.0239849999999996E-2</v>
      </c>
      <c r="S1910">
        <v>-3.0114139999999998</v>
      </c>
      <c r="T1910">
        <v>-1.0905469999999999</v>
      </c>
      <c r="U1910">
        <v>0.45452880000000001</v>
      </c>
      <c r="V1910">
        <v>-8.7673290000000001E-2</v>
      </c>
      <c r="W1910">
        <v>-2.4861540000000001E-2</v>
      </c>
      <c r="X1910">
        <v>0.99583900000000003</v>
      </c>
      <c r="Y1910">
        <v>0.1426684</v>
      </c>
      <c r="Z1910">
        <v>2.577374E-2</v>
      </c>
      <c r="AA1910">
        <v>0.98943490000000001</v>
      </c>
      <c r="AB1910">
        <v>46</v>
      </c>
      <c r="AC1910">
        <v>-0.43989999999996598</v>
      </c>
      <c r="AD1910">
        <v>-0.266997399999999</v>
      </c>
      <c r="AE1910">
        <v>0.11250000000001099</v>
      </c>
      <c r="AF1910">
        <v>8.4404607753889402E-2</v>
      </c>
      <c r="AG1910">
        <v>-0.266997399999999</v>
      </c>
      <c r="AH1910">
        <v>0.32666699383528203</v>
      </c>
      <c r="AI1910">
        <v>128.35630694977201</v>
      </c>
      <c r="AJ1910">
        <v>75.512695836282006</v>
      </c>
      <c r="AK1910">
        <v>0.43025931050731198</v>
      </c>
      <c r="AL1910">
        <v>91.424608086065703</v>
      </c>
      <c r="AM1910">
        <v>95.031326351745705</v>
      </c>
      <c r="AN1910">
        <v>1.00000000793579</v>
      </c>
    </row>
    <row r="1911" spans="1:40" x14ac:dyDescent="0.25">
      <c r="A1911" t="str">
        <f>"20190312151535725"</f>
        <v>20190312151535725</v>
      </c>
      <c r="B1911" t="str">
        <f>"1552374935719564"</f>
        <v>1552374935719564</v>
      </c>
      <c r="C1911" t="s">
        <v>40</v>
      </c>
      <c r="D1911">
        <v>5.2953109999999999</v>
      </c>
      <c r="E1911">
        <v>0.59257249999999995</v>
      </c>
      <c r="F1911" t="s">
        <v>41</v>
      </c>
      <c r="G1911">
        <v>-320.2953</v>
      </c>
      <c r="H1911">
        <v>0.80867239999999996</v>
      </c>
      <c r="I1911">
        <v>284.03539999999998</v>
      </c>
      <c r="J1911">
        <v>-319.91930000000002</v>
      </c>
      <c r="K1911">
        <v>1.110803</v>
      </c>
      <c r="L1911">
        <v>283.9083</v>
      </c>
      <c r="M1911">
        <v>-0.99987289999999995</v>
      </c>
      <c r="N1911">
        <v>0</v>
      </c>
      <c r="O1911">
        <v>-3.6612319999999999E-3</v>
      </c>
      <c r="P1911">
        <v>-0.99503339999999996</v>
      </c>
      <c r="Q1911">
        <v>-4.0051440000000001E-2</v>
      </c>
      <c r="R1911">
        <v>-9.1130489999999995E-2</v>
      </c>
      <c r="S1911">
        <v>-3.0118710000000002</v>
      </c>
      <c r="T1911">
        <v>-1.09034599999999</v>
      </c>
      <c r="U1911">
        <v>0.45135500000000001</v>
      </c>
      <c r="V1911">
        <v>-8.7389149999999999E-2</v>
      </c>
      <c r="W1911">
        <v>-2.4937250000000001E-2</v>
      </c>
      <c r="X1911">
        <v>0.99586209999999997</v>
      </c>
      <c r="Y1911">
        <v>0.14272379999999901</v>
      </c>
      <c r="Z1911">
        <v>2.6190560000000002E-2</v>
      </c>
      <c r="AA1911">
        <v>0.98941590000000001</v>
      </c>
      <c r="AB1911">
        <v>46</v>
      </c>
      <c r="AC1911">
        <v>-0.37599999999997602</v>
      </c>
      <c r="AD1911">
        <v>-0.30213059999999903</v>
      </c>
      <c r="AE1911">
        <v>0.127099999999984</v>
      </c>
      <c r="AF1911">
        <v>8.1341577195329307E-2</v>
      </c>
      <c r="AG1911">
        <v>-0.30213059999999903</v>
      </c>
      <c r="AH1911">
        <v>0.23775947825902899</v>
      </c>
      <c r="AI1911">
        <v>140.24895142143299</v>
      </c>
      <c r="AJ1911">
        <v>71.113306784333403</v>
      </c>
      <c r="AK1911">
        <v>0.39297445354499799</v>
      </c>
      <c r="AL1911">
        <v>91.428947268863695</v>
      </c>
      <c r="AM1911">
        <v>95.014987902482005</v>
      </c>
      <c r="AN1911">
        <v>1.0000000260958399</v>
      </c>
    </row>
    <row r="1912" spans="1:40" x14ac:dyDescent="0.25">
      <c r="A1912" t="str">
        <f>"20190312151535740"</f>
        <v>20190312151535740</v>
      </c>
      <c r="B1912" t="str">
        <f>"1552374935729324"</f>
        <v>1552374935729324</v>
      </c>
      <c r="C1912" t="s">
        <v>40</v>
      </c>
      <c r="D1912">
        <v>5.2721859999999996</v>
      </c>
      <c r="E1912">
        <v>0.59250389999999997</v>
      </c>
      <c r="F1912" t="s">
        <v>41</v>
      </c>
      <c r="G1912">
        <v>-320.70999999999998</v>
      </c>
      <c r="H1912">
        <v>0.82430949999999903</v>
      </c>
      <c r="I1912">
        <v>284.02629999999999</v>
      </c>
      <c r="J1912">
        <v>-320.21800000000002</v>
      </c>
      <c r="K1912">
        <v>1.1107590000000001</v>
      </c>
      <c r="L1912">
        <v>283.9067</v>
      </c>
      <c r="M1912">
        <v>-0.99986969999999997</v>
      </c>
      <c r="N1912">
        <v>0</v>
      </c>
      <c r="O1912">
        <v>-4.4030349999999996E-3</v>
      </c>
      <c r="P1912">
        <v>-0.99495359999999999</v>
      </c>
      <c r="Q1912">
        <v>-4.032409E-2</v>
      </c>
      <c r="R1912">
        <v>-9.1877070000000005E-2</v>
      </c>
      <c r="S1912">
        <v>-3.0120849999999999</v>
      </c>
      <c r="T1912">
        <v>-1.0914029999999999</v>
      </c>
      <c r="U1912">
        <v>0.44824219999999998</v>
      </c>
      <c r="V1912">
        <v>-8.7399039999999997E-2</v>
      </c>
      <c r="W1912">
        <v>-2.519132E-2</v>
      </c>
      <c r="X1912">
        <v>0.99585480000000004</v>
      </c>
      <c r="Y1912">
        <v>0.14240259999999999</v>
      </c>
      <c r="Z1912">
        <v>2.6417690000000001E-2</v>
      </c>
      <c r="AA1912">
        <v>0.98945620000000001</v>
      </c>
      <c r="AB1912">
        <v>46</v>
      </c>
      <c r="AC1912">
        <v>-0.49199999999996102</v>
      </c>
      <c r="AD1912">
        <v>-0.28644950000000002</v>
      </c>
      <c r="AE1912">
        <v>0.11959999999999101</v>
      </c>
      <c r="AF1912">
        <v>9.2242285000258398E-2</v>
      </c>
      <c r="AG1912">
        <v>-0.28644950000000002</v>
      </c>
      <c r="AH1912">
        <v>0.37230761095046999</v>
      </c>
      <c r="AI1912">
        <v>126.752726258433</v>
      </c>
      <c r="AJ1912">
        <v>76.084707091520002</v>
      </c>
      <c r="AK1912">
        <v>0.478722166150644</v>
      </c>
      <c r="AL1912">
        <v>91.443509035845594</v>
      </c>
      <c r="AM1912">
        <v>95.015589142004302</v>
      </c>
      <c r="AN1912">
        <v>0.99999998873965101</v>
      </c>
    </row>
    <row r="1913" spans="1:40" x14ac:dyDescent="0.25">
      <c r="A1913" t="str">
        <f>"20190312151535757"</f>
        <v>20190312151535757</v>
      </c>
      <c r="B1913" t="str">
        <f>"1552374935749819"</f>
        <v>1552374935749819</v>
      </c>
      <c r="C1913" t="s">
        <v>40</v>
      </c>
      <c r="D1913">
        <v>5.2660650000000002</v>
      </c>
      <c r="E1913">
        <v>0.59244600000000003</v>
      </c>
      <c r="F1913" t="s">
        <v>41</v>
      </c>
      <c r="G1913">
        <v>-321.10390000000001</v>
      </c>
      <c r="H1913">
        <v>0.78889229999999999</v>
      </c>
      <c r="I1913">
        <v>284.03769999999997</v>
      </c>
      <c r="J1913">
        <v>-320.58600000000001</v>
      </c>
      <c r="K1913">
        <v>1.110706</v>
      </c>
      <c r="L1913">
        <v>283.90440000000001</v>
      </c>
      <c r="M1913">
        <v>-0.99986540000000002</v>
      </c>
      <c r="N1913">
        <v>0</v>
      </c>
      <c r="O1913">
        <v>-5.2846289999999999E-3</v>
      </c>
      <c r="P1913">
        <v>-0.99488430000000005</v>
      </c>
      <c r="Q1913">
        <v>-4.059186E-2</v>
      </c>
      <c r="R1913">
        <v>-9.2510419999999996E-2</v>
      </c>
      <c r="S1913">
        <v>-3.0119929999999999</v>
      </c>
      <c r="T1913">
        <v>-1.0942350000000001</v>
      </c>
      <c r="U1913">
        <v>0.44525150000000002</v>
      </c>
      <c r="V1913">
        <v>-8.7157280000000004E-2</v>
      </c>
      <c r="W1913">
        <v>-2.543606E-2</v>
      </c>
      <c r="X1913">
        <v>0.99586980000000003</v>
      </c>
      <c r="Y1913">
        <v>0.14222460000000001</v>
      </c>
      <c r="Z1913">
        <v>2.6762419999999999E-2</v>
      </c>
      <c r="AA1913">
        <v>0.98947260000000004</v>
      </c>
      <c r="AB1913">
        <v>46</v>
      </c>
      <c r="AC1913">
        <v>-0.51789999999999703</v>
      </c>
      <c r="AD1913">
        <v>-0.32181369999999898</v>
      </c>
      <c r="AE1913">
        <v>0.133299999999962</v>
      </c>
      <c r="AF1913">
        <v>9.9869919505348195E-2</v>
      </c>
      <c r="AG1913">
        <v>-0.32181369999999898</v>
      </c>
      <c r="AH1913">
        <v>0.37969202418017101</v>
      </c>
      <c r="AI1913">
        <v>129.34094725442199</v>
      </c>
      <c r="AJ1913">
        <v>75.263357451766197</v>
      </c>
      <c r="AK1913">
        <v>0.50764563580880895</v>
      </c>
      <c r="AL1913">
        <v>91.457536052113994</v>
      </c>
      <c r="AM1913">
        <v>95.001710725750996</v>
      </c>
      <c r="AN1913">
        <v>1.00000002157868</v>
      </c>
    </row>
    <row r="1914" spans="1:40" x14ac:dyDescent="0.25">
      <c r="A1914" t="str">
        <f>"20190312151535772"</f>
        <v>20190312151535772</v>
      </c>
      <c r="B1914" t="str">
        <f>"1552374935759580"</f>
        <v>1552374935759580</v>
      </c>
      <c r="C1914" t="s">
        <v>40</v>
      </c>
      <c r="D1914">
        <v>5.37364</v>
      </c>
      <c r="E1914">
        <v>0.59247340000000004</v>
      </c>
      <c r="F1914" t="s">
        <v>41</v>
      </c>
      <c r="G1914">
        <v>-321.50630000000001</v>
      </c>
      <c r="H1914">
        <v>0.77554889999999999</v>
      </c>
      <c r="I1914">
        <v>284.04020000000003</v>
      </c>
      <c r="J1914">
        <v>-320.87950000000001</v>
      </c>
      <c r="K1914">
        <v>1.110668</v>
      </c>
      <c r="L1914">
        <v>283.9024</v>
      </c>
      <c r="M1914">
        <v>-0.99986140000000001</v>
      </c>
      <c r="N1914">
        <v>0</v>
      </c>
      <c r="O1914">
        <v>-5.9634349999999996E-3</v>
      </c>
      <c r="P1914">
        <v>-0.99483900000000003</v>
      </c>
      <c r="Q1914">
        <v>-4.0521910000000001E-2</v>
      </c>
      <c r="R1914">
        <v>-9.3024809999999999E-2</v>
      </c>
      <c r="S1914">
        <v>-3.0119020000000001</v>
      </c>
      <c r="T1914">
        <v>-1.0968789999999999</v>
      </c>
      <c r="U1914">
        <v>0.4432373</v>
      </c>
      <c r="V1914">
        <v>-8.6999800000000002E-2</v>
      </c>
      <c r="W1914">
        <v>-2.5348659999999999E-2</v>
      </c>
      <c r="X1914">
        <v>0.99588580000000004</v>
      </c>
      <c r="Y1914">
        <v>0.14216799999999999</v>
      </c>
      <c r="Z1914">
        <v>2.705366E-2</v>
      </c>
      <c r="AA1914">
        <v>0.98947269999999998</v>
      </c>
      <c r="AB1914">
        <v>46</v>
      </c>
      <c r="AC1914">
        <v>-0.62680000000000202</v>
      </c>
      <c r="AD1914">
        <v>-0.335119099999999</v>
      </c>
      <c r="AE1914">
        <v>0.13780000000002601</v>
      </c>
      <c r="AF1914">
        <v>0.111211553590155</v>
      </c>
      <c r="AG1914">
        <v>-0.335119099999999</v>
      </c>
      <c r="AH1914">
        <v>0.49185238889063898</v>
      </c>
      <c r="AI1914">
        <v>123.606610519437</v>
      </c>
      <c r="AJ1914">
        <v>77.2592290123536</v>
      </c>
      <c r="AK1914">
        <v>0.60546807784900902</v>
      </c>
      <c r="AL1914">
        <v>91.452526783554006</v>
      </c>
      <c r="AM1914">
        <v>94.992639304381598</v>
      </c>
      <c r="AN1914">
        <v>1.00000002320273</v>
      </c>
    </row>
    <row r="1915" spans="1:40" x14ac:dyDescent="0.25">
      <c r="A1915" t="str">
        <f>"20190312151535787"</f>
        <v>20190312151535787</v>
      </c>
      <c r="B1915" t="str">
        <f>"1552374935779607"</f>
        <v>1552374935779607</v>
      </c>
      <c r="C1915" t="s">
        <v>40</v>
      </c>
      <c r="D1915">
        <v>5.3218399999999999</v>
      </c>
      <c r="E1915">
        <v>0.592481699999999</v>
      </c>
      <c r="F1915" t="s">
        <v>41</v>
      </c>
      <c r="G1915">
        <v>-321.54329999999999</v>
      </c>
      <c r="H1915">
        <v>0.86874229999999997</v>
      </c>
      <c r="I1915">
        <v>283.99990000000003</v>
      </c>
      <c r="J1915">
        <v>-321.17790000000002</v>
      </c>
      <c r="K1915">
        <v>1.110625</v>
      </c>
      <c r="L1915">
        <v>283.90010000000001</v>
      </c>
      <c r="M1915">
        <v>-0.99985710000000005</v>
      </c>
      <c r="N1915">
        <v>0</v>
      </c>
      <c r="O1915">
        <v>-6.6199140000000002E-3</v>
      </c>
      <c r="P1915">
        <v>-0.99481019999999998</v>
      </c>
      <c r="Q1915">
        <v>-4.0479840000000003E-2</v>
      </c>
      <c r="R1915">
        <v>-9.3349340000000003E-2</v>
      </c>
      <c r="S1915">
        <v>-3.012054</v>
      </c>
      <c r="T1915">
        <v>-1.097909</v>
      </c>
      <c r="U1915">
        <v>0.44122309999999998</v>
      </c>
      <c r="V1915">
        <v>-8.6673230000000004E-2</v>
      </c>
      <c r="W1915">
        <v>-2.5289300000000001E-2</v>
      </c>
      <c r="X1915">
        <v>0.99591580000000002</v>
      </c>
      <c r="Y1915">
        <v>0.14210719999999999</v>
      </c>
      <c r="Z1915">
        <v>2.729757E-2</v>
      </c>
      <c r="AA1915">
        <v>0.98947479999999999</v>
      </c>
      <c r="AB1915">
        <v>46</v>
      </c>
      <c r="AC1915">
        <v>-0.36539999999996498</v>
      </c>
      <c r="AD1915">
        <v>-0.24188269999999901</v>
      </c>
      <c r="AE1915">
        <v>9.9800000000016098E-2</v>
      </c>
      <c r="AF1915">
        <v>7.2608623012586096E-2</v>
      </c>
      <c r="AG1915">
        <v>-0.24188269999999901</v>
      </c>
      <c r="AH1915">
        <v>0.25908241997269699</v>
      </c>
      <c r="AI1915">
        <v>131.954799959139</v>
      </c>
      <c r="AJ1915">
        <v>74.3443129437415</v>
      </c>
      <c r="AK1915">
        <v>0.36180513129858</v>
      </c>
      <c r="AL1915">
        <v>91.449124592475002</v>
      </c>
      <c r="AM1915">
        <v>94.973843612987096</v>
      </c>
      <c r="AN1915">
        <v>1.0000000390913799</v>
      </c>
    </row>
    <row r="1916" spans="1:40" x14ac:dyDescent="0.25">
      <c r="A1916" t="str">
        <f>"20190312151535804"</f>
        <v>20190312151535804</v>
      </c>
      <c r="B1916" t="str">
        <f>"1552374935799129"</f>
        <v>1552374935799129</v>
      </c>
      <c r="C1916" t="s">
        <v>40</v>
      </c>
      <c r="D1916">
        <v>5.3086719999999996</v>
      </c>
      <c r="E1916">
        <v>0.59242919999999999</v>
      </c>
      <c r="F1916" t="s">
        <v>41</v>
      </c>
      <c r="G1916">
        <v>-321.93700000000001</v>
      </c>
      <c r="H1916">
        <v>0.83461980000000002</v>
      </c>
      <c r="I1916">
        <v>284.01089999999999</v>
      </c>
      <c r="J1916">
        <v>-321.50990000000002</v>
      </c>
      <c r="K1916">
        <v>1.110579</v>
      </c>
      <c r="L1916">
        <v>283.8974</v>
      </c>
      <c r="M1916">
        <v>-0.99985219999999997</v>
      </c>
      <c r="N1916">
        <v>0</v>
      </c>
      <c r="O1916">
        <v>-7.3190169999999997E-3</v>
      </c>
      <c r="P1916">
        <v>-0.99479139999999999</v>
      </c>
      <c r="Q1916">
        <v>-4.043248E-2</v>
      </c>
      <c r="R1916">
        <v>-9.3570719999999996E-2</v>
      </c>
      <c r="S1916">
        <v>-3.0124209999999998</v>
      </c>
      <c r="T1916">
        <v>-1.0954759999999999</v>
      </c>
      <c r="U1916">
        <v>0.44042969999999998</v>
      </c>
      <c r="V1916">
        <v>-8.620274E-2</v>
      </c>
      <c r="W1916">
        <v>-2.5222870000000001E-2</v>
      </c>
      <c r="X1916">
        <v>0.99595829999999996</v>
      </c>
      <c r="Y1916">
        <v>0.14249919999999999</v>
      </c>
      <c r="Z1916">
        <v>2.755202E-2</v>
      </c>
      <c r="AA1916">
        <v>0.98941140000000005</v>
      </c>
      <c r="AB1916">
        <v>46</v>
      </c>
      <c r="AC1916">
        <v>-0.42709999999999498</v>
      </c>
      <c r="AD1916">
        <v>-0.27595920000000002</v>
      </c>
      <c r="AE1916">
        <v>0.113499999999987</v>
      </c>
      <c r="AF1916">
        <v>8.39054235003691E-2</v>
      </c>
      <c r="AG1916">
        <v>-0.27595920000000002</v>
      </c>
      <c r="AH1916">
        <v>0.30667405289555999</v>
      </c>
      <c r="AI1916">
        <v>130.956217226229</v>
      </c>
      <c r="AJ1916">
        <v>74.698453647327895</v>
      </c>
      <c r="AK1916">
        <v>0.42100187039585102</v>
      </c>
      <c r="AL1916">
        <v>91.445317246445398</v>
      </c>
      <c r="AM1916">
        <v>94.946768294445803</v>
      </c>
      <c r="AN1916">
        <v>1.0000000204467101</v>
      </c>
    </row>
    <row r="1917" spans="1:40" x14ac:dyDescent="0.25">
      <c r="A1917" t="str">
        <f>"20190312151535824"</f>
        <v>20190312151535824</v>
      </c>
      <c r="B1917" t="str">
        <f>"1552374935819625"</f>
        <v>1552374935819625</v>
      </c>
      <c r="C1917" t="s">
        <v>40</v>
      </c>
      <c r="D1917">
        <v>5.3892559999999996</v>
      </c>
      <c r="E1917">
        <v>0.59238199999999996</v>
      </c>
      <c r="F1917" t="s">
        <v>41</v>
      </c>
      <c r="G1917">
        <v>-322.33429999999998</v>
      </c>
      <c r="H1917">
        <v>0.81068909999999905</v>
      </c>
      <c r="I1917">
        <v>284.01769999999999</v>
      </c>
      <c r="J1917">
        <v>-321.94600000000003</v>
      </c>
      <c r="K1917">
        <v>1.110509</v>
      </c>
      <c r="L1917">
        <v>283.89359999999999</v>
      </c>
      <c r="M1917">
        <v>-0.9998454</v>
      </c>
      <c r="N1917">
        <v>0</v>
      </c>
      <c r="O1917">
        <v>-8.1792919999999995E-3</v>
      </c>
      <c r="P1917">
        <v>-0.99476310000000001</v>
      </c>
      <c r="Q1917">
        <v>-4.0474389999999999E-2</v>
      </c>
      <c r="R1917">
        <v>-9.3852740000000004E-2</v>
      </c>
      <c r="S1917">
        <v>-3.0124209999999998</v>
      </c>
      <c r="T1917">
        <v>-1.09592</v>
      </c>
      <c r="U1917">
        <v>0.43859860000000001</v>
      </c>
      <c r="V1917">
        <v>-8.5633269999999997E-2</v>
      </c>
      <c r="W1917">
        <v>-2.5241059999999999E-2</v>
      </c>
      <c r="X1917">
        <v>0.99600699999999998</v>
      </c>
      <c r="Y1917">
        <v>0.14268620000000001</v>
      </c>
      <c r="Z1917">
        <v>2.7898340000000001E-2</v>
      </c>
      <c r="AA1917">
        <v>0.98937470000000005</v>
      </c>
      <c r="AB1917">
        <v>46</v>
      </c>
      <c r="AC1917">
        <v>-0.38830000000001502</v>
      </c>
      <c r="AD1917">
        <v>-0.29981989999999997</v>
      </c>
      <c r="AE1917">
        <v>0.124099999999998</v>
      </c>
      <c r="AF1917">
        <v>8.2593966893732093E-2</v>
      </c>
      <c r="AG1917">
        <v>-0.29981989999999997</v>
      </c>
      <c r="AH1917">
        <v>0.25132200215858902</v>
      </c>
      <c r="AI1917">
        <v>138.57645368639899</v>
      </c>
      <c r="AJ1917">
        <v>71.807510378358003</v>
      </c>
      <c r="AK1917">
        <v>0.39984557590681802</v>
      </c>
      <c r="AL1917">
        <v>91.446359737075895</v>
      </c>
      <c r="AM1917">
        <v>94.9140105539404</v>
      </c>
      <c r="AN1917">
        <v>1.0000000560449001</v>
      </c>
    </row>
    <row r="1918" spans="1:40" x14ac:dyDescent="0.25">
      <c r="A1918" t="str">
        <f>"20190312151535837"</f>
        <v>20190312151535837</v>
      </c>
      <c r="B1918" t="str">
        <f>"1552374935829384"</f>
        <v>1552374935829384</v>
      </c>
      <c r="C1918" t="s">
        <v>40</v>
      </c>
      <c r="D1918">
        <v>5.3825149999999997</v>
      </c>
      <c r="E1918">
        <v>0.59238169999999901</v>
      </c>
      <c r="F1918" t="s">
        <v>41</v>
      </c>
      <c r="G1918">
        <v>-322.74419999999998</v>
      </c>
      <c r="H1918">
        <v>0.81986170000000003</v>
      </c>
      <c r="I1918">
        <v>284.00940000000003</v>
      </c>
      <c r="J1918">
        <v>-322.20030000000003</v>
      </c>
      <c r="K1918">
        <v>1.1104670000000001</v>
      </c>
      <c r="L1918">
        <v>283.89120000000003</v>
      </c>
      <c r="M1918">
        <v>-0.99984130000000004</v>
      </c>
      <c r="N1918">
        <v>0</v>
      </c>
      <c r="O1918">
        <v>-8.6515189999999999E-3</v>
      </c>
      <c r="P1918">
        <v>-0.99472450000000001</v>
      </c>
      <c r="Q1918">
        <v>-4.0429949999999999E-2</v>
      </c>
      <c r="R1918">
        <v>-9.4279169999999995E-2</v>
      </c>
      <c r="S1918">
        <v>-3.0124209999999998</v>
      </c>
      <c r="T1918">
        <v>-1.096957</v>
      </c>
      <c r="U1918">
        <v>0.43719479999999999</v>
      </c>
      <c r="V1918">
        <v>-8.5592539999999995E-2</v>
      </c>
      <c r="W1918">
        <v>-2.518453E-2</v>
      </c>
      <c r="X1918">
        <v>0.99601189999999995</v>
      </c>
      <c r="Y1918">
        <v>0.14265539999999999</v>
      </c>
      <c r="Z1918">
        <v>2.8084459999999999E-2</v>
      </c>
      <c r="AA1918">
        <v>0.98937390000000003</v>
      </c>
      <c r="AB1918">
        <v>46</v>
      </c>
      <c r="AC1918">
        <v>-0.54389999999995098</v>
      </c>
      <c r="AD1918">
        <v>-0.29060530000000001</v>
      </c>
      <c r="AE1918">
        <v>0.118200000000001</v>
      </c>
      <c r="AF1918">
        <v>9.6575190798684499E-2</v>
      </c>
      <c r="AG1918">
        <v>-0.29060530000000001</v>
      </c>
      <c r="AH1918">
        <v>0.42657266912476999</v>
      </c>
      <c r="AI1918">
        <v>123.601682365488</v>
      </c>
      <c r="AJ1918">
        <v>77.243400581328899</v>
      </c>
      <c r="AK1918">
        <v>0.52511184514360598</v>
      </c>
      <c r="AL1918">
        <v>91.443119822848601</v>
      </c>
      <c r="AM1918">
        <v>94.911660680057693</v>
      </c>
      <c r="AN1918">
        <v>1.00000002419829</v>
      </c>
    </row>
    <row r="1919" spans="1:40" x14ac:dyDescent="0.25">
      <c r="A1919" t="str">
        <f>"20190312151535849"</f>
        <v>20190312151535849</v>
      </c>
      <c r="B1919" t="str">
        <f>"1552374935839143"</f>
        <v>1552374935839143</v>
      </c>
      <c r="C1919" t="s">
        <v>40</v>
      </c>
      <c r="D1919">
        <v>5.3840750000000002</v>
      </c>
      <c r="E1919">
        <v>0.59237569999999995</v>
      </c>
      <c r="F1919" t="s">
        <v>41</v>
      </c>
      <c r="G1919">
        <v>-323.1309</v>
      </c>
      <c r="H1919">
        <v>0.77128890000000006</v>
      </c>
      <c r="I1919">
        <v>284.02609999999999</v>
      </c>
      <c r="J1919">
        <v>-322.45740000000001</v>
      </c>
      <c r="K1919">
        <v>1.1104240000000001</v>
      </c>
      <c r="L1919">
        <v>283.8886</v>
      </c>
      <c r="M1919">
        <v>-0.99983730000000004</v>
      </c>
      <c r="N1919">
        <v>0</v>
      </c>
      <c r="O1919">
        <v>-9.1047699999999999E-3</v>
      </c>
      <c r="P1919">
        <v>-0.99469560000000001</v>
      </c>
      <c r="Q1919">
        <v>-4.0124489999999999E-2</v>
      </c>
      <c r="R1919">
        <v>-9.4715930000000004E-2</v>
      </c>
      <c r="S1919">
        <v>-3.0125730000000002</v>
      </c>
      <c r="T1919">
        <v>-1.0979239999999999</v>
      </c>
      <c r="U1919">
        <v>0.4355774</v>
      </c>
      <c r="V1919">
        <v>-8.5581820000000003E-2</v>
      </c>
      <c r="W1919">
        <v>-2.4867170000000001E-2</v>
      </c>
      <c r="X1919">
        <v>0.99602080000000004</v>
      </c>
      <c r="Y1919">
        <v>0.14253840000000001</v>
      </c>
      <c r="Z1919">
        <v>2.8246199999999999E-2</v>
      </c>
      <c r="AA1919">
        <v>0.98938610000000005</v>
      </c>
      <c r="AB1919">
        <v>45</v>
      </c>
      <c r="AC1919">
        <v>-0.67349999999999</v>
      </c>
      <c r="AD1919">
        <v>-0.33913509999999902</v>
      </c>
      <c r="AE1919">
        <v>0.13749999999998799</v>
      </c>
      <c r="AF1919">
        <v>0.115510789878517</v>
      </c>
      <c r="AG1919">
        <v>-0.33913509999999902</v>
      </c>
      <c r="AH1919">
        <v>0.540626820698904</v>
      </c>
      <c r="AI1919">
        <v>121.52718789361001</v>
      </c>
      <c r="AJ1919">
        <v>77.939477200387302</v>
      </c>
      <c r="AK1919">
        <v>0.64856203858179495</v>
      </c>
      <c r="AL1919">
        <v>91.424930730975902</v>
      </c>
      <c r="AM1919">
        <v>94.911004861706502</v>
      </c>
      <c r="AN1919">
        <v>1.00000002904548</v>
      </c>
    </row>
    <row r="1920" spans="1:40" x14ac:dyDescent="0.25">
      <c r="A1920" t="str">
        <f>"20190312151535862"</f>
        <v>20190312151535862</v>
      </c>
      <c r="B1920" t="str">
        <f>"1552374935859640"</f>
        <v>1552374935859640</v>
      </c>
      <c r="C1920" t="s">
        <v>40</v>
      </c>
      <c r="D1920">
        <v>5.3435259999999998</v>
      </c>
      <c r="E1920">
        <v>0.59216859999999905</v>
      </c>
      <c r="F1920" t="s">
        <v>41</v>
      </c>
      <c r="G1920">
        <v>-323.16329999999999</v>
      </c>
      <c r="H1920">
        <v>0.85329080000000002</v>
      </c>
      <c r="I1920">
        <v>283.9907</v>
      </c>
      <c r="J1920">
        <v>-322.70749999999998</v>
      </c>
      <c r="K1920">
        <v>1.110382</v>
      </c>
      <c r="L1920">
        <v>283.88600000000002</v>
      </c>
      <c r="M1920">
        <v>-0.99983359999999999</v>
      </c>
      <c r="N1920">
        <v>0</v>
      </c>
      <c r="O1920">
        <v>-9.5179640000000003E-3</v>
      </c>
      <c r="P1920">
        <v>-0.99467090000000002</v>
      </c>
      <c r="Q1920">
        <v>-4.0065389999999999E-2</v>
      </c>
      <c r="R1920">
        <v>-9.4999849999999997E-2</v>
      </c>
      <c r="S1920">
        <v>-3.0130620000000001</v>
      </c>
      <c r="T1920">
        <v>-1.097407</v>
      </c>
      <c r="U1920">
        <v>0.43423460000000003</v>
      </c>
      <c r="V1920">
        <v>-8.5457560000000002E-2</v>
      </c>
      <c r="W1920">
        <v>-2.4796309999999998E-2</v>
      </c>
      <c r="X1920">
        <v>0.99603319999999995</v>
      </c>
      <c r="Y1920">
        <v>0.14248069999999999</v>
      </c>
      <c r="Z1920">
        <v>2.83653E-2</v>
      </c>
      <c r="AA1920">
        <v>0.98939109999999997</v>
      </c>
      <c r="AB1920">
        <v>45</v>
      </c>
      <c r="AC1920">
        <v>-0.45580000000000997</v>
      </c>
      <c r="AD1920">
        <v>-0.25709119999999902</v>
      </c>
      <c r="AE1920">
        <v>0.104700000000036</v>
      </c>
      <c r="AF1920">
        <v>8.3730665744530794E-2</v>
      </c>
      <c r="AG1920">
        <v>-0.25709119999999902</v>
      </c>
      <c r="AH1920">
        <v>0.34924182977109097</v>
      </c>
      <c r="AI1920">
        <v>125.597159499146</v>
      </c>
      <c r="AJ1920">
        <v>76.5178210731669</v>
      </c>
      <c r="AK1920">
        <v>0.44167472778654798</v>
      </c>
      <c r="AL1920">
        <v>91.420869550333194</v>
      </c>
      <c r="AM1920">
        <v>94.903848402587101</v>
      </c>
      <c r="AN1920">
        <v>0.99999999352650404</v>
      </c>
    </row>
    <row r="1921" spans="1:40" x14ac:dyDescent="0.25">
      <c r="A1921" t="str">
        <f>"20190312151535880"</f>
        <v>20190312151535880</v>
      </c>
      <c r="B1921" t="str">
        <f>"1552374935869400"</f>
        <v>1552374935869400</v>
      </c>
      <c r="C1921" t="s">
        <v>40</v>
      </c>
      <c r="D1921">
        <v>5.3312860000000004</v>
      </c>
      <c r="E1921">
        <v>0.59213609999999905</v>
      </c>
      <c r="F1921" t="s">
        <v>41</v>
      </c>
      <c r="G1921">
        <v>-323.54910000000001</v>
      </c>
      <c r="H1921">
        <v>0.80358419999999997</v>
      </c>
      <c r="I1921">
        <v>284.00670000000002</v>
      </c>
      <c r="J1921">
        <v>-323.07900000000001</v>
      </c>
      <c r="K1921">
        <v>1.110317</v>
      </c>
      <c r="L1921">
        <v>283.88200000000001</v>
      </c>
      <c r="M1921">
        <v>-0.99982780000000004</v>
      </c>
      <c r="N1921">
        <v>0</v>
      </c>
      <c r="O1921">
        <v>-1.0092729999999999E-2</v>
      </c>
      <c r="P1921">
        <v>-0.99461350000000004</v>
      </c>
      <c r="Q1921">
        <v>-3.9657100000000001E-2</v>
      </c>
      <c r="R1921">
        <v>-9.5768329999999999E-2</v>
      </c>
      <c r="S1921">
        <v>-3.0130620000000001</v>
      </c>
      <c r="T1921">
        <v>-1.0983889999999901</v>
      </c>
      <c r="U1921">
        <v>0.43167109999999898</v>
      </c>
      <c r="V1921">
        <v>-8.5659819999999998E-2</v>
      </c>
      <c r="W1921">
        <v>-2.4372149999999999E-2</v>
      </c>
      <c r="X1921">
        <v>0.99602630000000003</v>
      </c>
      <c r="Y1921">
        <v>0.14218810000000001</v>
      </c>
      <c r="Z1921">
        <v>2.8541440000000001E-2</v>
      </c>
      <c r="AA1921">
        <v>0.98942810000000003</v>
      </c>
      <c r="AB1921">
        <v>45</v>
      </c>
      <c r="AC1921">
        <v>-0.47010000000000202</v>
      </c>
      <c r="AD1921">
        <v>-0.30673279999999897</v>
      </c>
      <c r="AE1921">
        <v>0.124700000000018</v>
      </c>
      <c r="AF1921">
        <v>9.2605239512222007E-2</v>
      </c>
      <c r="AG1921">
        <v>-0.30673279999999897</v>
      </c>
      <c r="AH1921">
        <v>0.33540898522570001</v>
      </c>
      <c r="AI1921">
        <v>131.396884055047</v>
      </c>
      <c r="AJ1921">
        <v>74.565358574465506</v>
      </c>
      <c r="AK1921">
        <v>0.46385334789250998</v>
      </c>
      <c r="AL1921">
        <v>91.396559618002698</v>
      </c>
      <c r="AM1921">
        <v>94.915431863540803</v>
      </c>
      <c r="AN1921">
        <v>0.99999999837487197</v>
      </c>
    </row>
    <row r="1922" spans="1:40" x14ac:dyDescent="0.25">
      <c r="A1922" t="str">
        <f>"20190312151535894"</f>
        <v>20190312151535894</v>
      </c>
      <c r="B1922" t="str">
        <f>"1552374935889426"</f>
        <v>1552374935889426</v>
      </c>
      <c r="C1922" t="s">
        <v>40</v>
      </c>
      <c r="D1922">
        <v>5.3818419999999998</v>
      </c>
      <c r="E1922">
        <v>0.59205259999999904</v>
      </c>
      <c r="F1922" t="s">
        <v>41</v>
      </c>
      <c r="G1922">
        <v>-323.95</v>
      </c>
      <c r="H1922">
        <v>0.79327440000000005</v>
      </c>
      <c r="I1922">
        <v>284.00650000000002</v>
      </c>
      <c r="J1922">
        <v>-323.34359999999998</v>
      </c>
      <c r="K1922">
        <v>1.1102669999999999</v>
      </c>
      <c r="L1922">
        <v>283.87909999999999</v>
      </c>
      <c r="M1922">
        <v>-0.99982400000000005</v>
      </c>
      <c r="N1922">
        <v>0</v>
      </c>
      <c r="O1922">
        <v>-1.0474580000000001E-2</v>
      </c>
      <c r="P1922">
        <v>-0.99457180000000001</v>
      </c>
      <c r="Q1922">
        <v>-3.9580490000000003E-2</v>
      </c>
      <c r="R1922">
        <v>-9.6232410000000004E-2</v>
      </c>
      <c r="S1922">
        <v>-3.0138240000000001</v>
      </c>
      <c r="T1922">
        <v>-1.096992</v>
      </c>
      <c r="U1922">
        <v>0.4290466</v>
      </c>
      <c r="V1922">
        <v>-8.5747859999999995E-2</v>
      </c>
      <c r="W1922">
        <v>-2.4284139999999999E-2</v>
      </c>
      <c r="X1922">
        <v>0.99602089999999999</v>
      </c>
      <c r="Y1922">
        <v>0.14171839999999999</v>
      </c>
      <c r="Z1922">
        <v>2.8553829999999999E-2</v>
      </c>
      <c r="AA1922">
        <v>0.98949509999999996</v>
      </c>
      <c r="AB1922">
        <v>45</v>
      </c>
      <c r="AC1922">
        <v>-0.60640000000000704</v>
      </c>
      <c r="AD1922">
        <v>-0.31699260000000001</v>
      </c>
      <c r="AE1922">
        <v>0.127400000000022</v>
      </c>
      <c r="AF1922">
        <v>0.106003344741094</v>
      </c>
      <c r="AG1922">
        <v>-0.31699260000000001</v>
      </c>
      <c r="AH1922">
        <v>0.47953311163409801</v>
      </c>
      <c r="AI1922">
        <v>122.84070297878699</v>
      </c>
      <c r="AJ1922">
        <v>77.5349203789402</v>
      </c>
      <c r="AK1922">
        <v>0.58452803414766996</v>
      </c>
      <c r="AL1922">
        <v>91.391515487726707</v>
      </c>
      <c r="AM1922">
        <v>94.920485633282397</v>
      </c>
      <c r="AN1922">
        <v>1.0000000240934599</v>
      </c>
    </row>
    <row r="1923" spans="1:40" x14ac:dyDescent="0.25">
      <c r="A1923" t="str">
        <f>"20190312151535905"</f>
        <v>20190312151535905</v>
      </c>
      <c r="B1923" t="str">
        <f>"1552374935899186"</f>
        <v>1552374935899186</v>
      </c>
      <c r="C1923" t="s">
        <v>40</v>
      </c>
      <c r="D1923">
        <v>5.4057009999999996</v>
      </c>
      <c r="E1923">
        <v>0.59205739999999996</v>
      </c>
      <c r="F1923" t="s">
        <v>41</v>
      </c>
      <c r="G1923">
        <v>-324.33969999999999</v>
      </c>
      <c r="H1923">
        <v>0.74756979999999995</v>
      </c>
      <c r="I1923">
        <v>284.0206</v>
      </c>
      <c r="J1923">
        <v>-323.58699999999999</v>
      </c>
      <c r="K1923">
        <v>1.110225</v>
      </c>
      <c r="L1923">
        <v>283.87630000000001</v>
      </c>
      <c r="M1923">
        <v>-0.9998205</v>
      </c>
      <c r="N1923">
        <v>0</v>
      </c>
      <c r="O1923">
        <v>-1.078806E-2</v>
      </c>
      <c r="P1923">
        <v>-0.9945484</v>
      </c>
      <c r="Q1923">
        <v>-3.9355199999999903E-2</v>
      </c>
      <c r="R1923">
        <v>-9.6564469999999999E-2</v>
      </c>
      <c r="S1923">
        <v>-3.0140989999999999</v>
      </c>
      <c r="T1923">
        <v>-1.0974980000000001</v>
      </c>
      <c r="U1923">
        <v>0.42733759999999998</v>
      </c>
      <c r="V1923">
        <v>-8.5771159999999999E-2</v>
      </c>
      <c r="W1923">
        <v>-2.404821E-2</v>
      </c>
      <c r="X1923">
        <v>0.99602460000000004</v>
      </c>
      <c r="Y1923">
        <v>0.14145479999999899</v>
      </c>
      <c r="Z1923">
        <v>2.8628669999999998E-2</v>
      </c>
      <c r="AA1923">
        <v>0.98953069999999999</v>
      </c>
      <c r="AB1923">
        <v>45</v>
      </c>
      <c r="AC1923">
        <v>-0.75270000000000403</v>
      </c>
      <c r="AD1923">
        <v>-0.36265520000000001</v>
      </c>
      <c r="AE1923">
        <v>0.14429999999998699</v>
      </c>
      <c r="AF1923">
        <v>0.124529628854504</v>
      </c>
      <c r="AG1923">
        <v>-0.36265520000000001</v>
      </c>
      <c r="AH1923">
        <v>0.61368953391145198</v>
      </c>
      <c r="AI1923">
        <v>120.076818724386</v>
      </c>
      <c r="AJ1923">
        <v>78.529311852156198</v>
      </c>
      <c r="AK1923">
        <v>0.72363061473526402</v>
      </c>
      <c r="AL1923">
        <v>91.377993770678799</v>
      </c>
      <c r="AM1923">
        <v>94.921797901163401</v>
      </c>
      <c r="AN1923">
        <v>1.0000000060485501</v>
      </c>
    </row>
    <row r="1924" spans="1:40" x14ac:dyDescent="0.25">
      <c r="A1924" t="str">
        <f>"20190312151535926"</f>
        <v>20190312151535926</v>
      </c>
      <c r="B1924" t="str">
        <f>"1552374935919683"</f>
        <v>1552374935919683</v>
      </c>
      <c r="C1924" t="s">
        <v>40</v>
      </c>
      <c r="D1924">
        <v>5.2988869999999997</v>
      </c>
      <c r="E1924">
        <v>0.59199409999999997</v>
      </c>
      <c r="F1924" t="s">
        <v>41</v>
      </c>
      <c r="G1924">
        <v>-324.36770000000001</v>
      </c>
      <c r="H1924">
        <v>0.82626630000000001</v>
      </c>
      <c r="I1924">
        <v>283.98700000000002</v>
      </c>
      <c r="J1924">
        <v>-324.00619999999998</v>
      </c>
      <c r="K1924">
        <v>1.110142</v>
      </c>
      <c r="L1924">
        <v>283.87139999999999</v>
      </c>
      <c r="M1924">
        <v>-0.99981500000000001</v>
      </c>
      <c r="N1924">
        <v>0</v>
      </c>
      <c r="O1924">
        <v>-1.1284789999999999E-2</v>
      </c>
      <c r="P1924">
        <v>-0.99450170000000004</v>
      </c>
      <c r="Q1924">
        <v>-3.9522300000000003E-2</v>
      </c>
      <c r="R1924">
        <v>-9.6979010000000004E-2</v>
      </c>
      <c r="S1924">
        <v>-3.0144350000000002</v>
      </c>
      <c r="T1924">
        <v>-1.096374</v>
      </c>
      <c r="U1924">
        <v>0.42599490000000001</v>
      </c>
      <c r="V1924">
        <v>-8.5695800000000003E-2</v>
      </c>
      <c r="W1924">
        <v>-2.419702E-2</v>
      </c>
      <c r="X1924">
        <v>0.99602749999999995</v>
      </c>
      <c r="Y1924">
        <v>0.14148549999999999</v>
      </c>
      <c r="Z1924">
        <v>2.8778660000000001E-2</v>
      </c>
      <c r="AA1924">
        <v>0.98952189999999995</v>
      </c>
      <c r="AB1924">
        <v>45</v>
      </c>
      <c r="AC1924">
        <v>-0.36150000000003402</v>
      </c>
      <c r="AD1924">
        <v>-0.28387569999999901</v>
      </c>
      <c r="AE1924">
        <v>0.115600000000029</v>
      </c>
      <c r="AF1924">
        <v>7.6740559316703399E-2</v>
      </c>
      <c r="AG1924">
        <v>-0.28387569999999901</v>
      </c>
      <c r="AH1924">
        <v>0.23096203431314999</v>
      </c>
      <c r="AI1924">
        <v>139.39225963159899</v>
      </c>
      <c r="AJ1924">
        <v>71.620167877074806</v>
      </c>
      <c r="AK1924">
        <v>0.37392243552480098</v>
      </c>
      <c r="AL1924">
        <v>91.386522413390196</v>
      </c>
      <c r="AM1924">
        <v>94.917480492493496</v>
      </c>
      <c r="AN1924">
        <v>1.0000000233353801</v>
      </c>
    </row>
    <row r="1925" spans="1:40" x14ac:dyDescent="0.25">
      <c r="A1925" t="str">
        <f>"20190312151535947"</f>
        <v>20190312151535947</v>
      </c>
      <c r="B1925" t="str">
        <f>"1552374935939203"</f>
        <v>1552374935939203</v>
      </c>
      <c r="C1925" t="s">
        <v>40</v>
      </c>
      <c r="D1925">
        <v>5.2815529999999997</v>
      </c>
      <c r="E1925">
        <v>0.59185529999999997</v>
      </c>
      <c r="F1925" t="s">
        <v>41</v>
      </c>
      <c r="G1925">
        <v>-324.77370000000002</v>
      </c>
      <c r="H1925">
        <v>0.83091680000000001</v>
      </c>
      <c r="I1925">
        <v>283.97989999999999</v>
      </c>
      <c r="J1925">
        <v>-324.43889999999999</v>
      </c>
      <c r="K1925">
        <v>1.110055</v>
      </c>
      <c r="L1925">
        <v>283.86619999999999</v>
      </c>
      <c r="M1925">
        <v>-0.99980999999999998</v>
      </c>
      <c r="N1925">
        <v>0</v>
      </c>
      <c r="O1925">
        <v>-1.1723870000000001E-2</v>
      </c>
      <c r="P1925">
        <v>-0.99447969999999997</v>
      </c>
      <c r="Q1925">
        <v>-3.916029E-2</v>
      </c>
      <c r="R1925">
        <v>-9.7352010000000003E-2</v>
      </c>
      <c r="S1925">
        <v>-3.0144039999999999</v>
      </c>
      <c r="T1925">
        <v>-1.0966480000000001</v>
      </c>
      <c r="U1925">
        <v>0.42437740000000002</v>
      </c>
      <c r="V1925">
        <v>-8.563817E-2</v>
      </c>
      <c r="W1925">
        <v>-2.381631E-2</v>
      </c>
      <c r="X1925">
        <v>0.99604159999999997</v>
      </c>
      <c r="Y1925">
        <v>0.1413739</v>
      </c>
      <c r="Z1925">
        <v>2.8921249999999999E-2</v>
      </c>
      <c r="AA1925">
        <v>0.98953369999999996</v>
      </c>
      <c r="AB1925">
        <v>45</v>
      </c>
      <c r="AC1925">
        <v>-0.33480000000002902</v>
      </c>
      <c r="AD1925">
        <v>-0.2791382</v>
      </c>
      <c r="AE1925">
        <v>0.113699999999994</v>
      </c>
      <c r="AF1925">
        <v>7.2458148249956306E-2</v>
      </c>
      <c r="AG1925">
        <v>-0.2791382</v>
      </c>
      <c r="AH1925">
        <v>0.20541720122826199</v>
      </c>
      <c r="AI1925">
        <v>142.033753102709</v>
      </c>
      <c r="AJ1925">
        <v>70.570393032788303</v>
      </c>
      <c r="AK1925">
        <v>0.354068559049663</v>
      </c>
      <c r="AL1925">
        <v>91.364703093507302</v>
      </c>
      <c r="AM1925">
        <v>94.914120486116502</v>
      </c>
      <c r="AN1925">
        <v>0.99999999085676206</v>
      </c>
    </row>
    <row r="1926" spans="1:40" x14ac:dyDescent="0.25">
      <c r="A1926" t="str">
        <f>"20190312151535970"</f>
        <v>20190312151535970</v>
      </c>
      <c r="B1926" t="str">
        <f>"1552374935959699"</f>
        <v>1552374935959699</v>
      </c>
      <c r="C1926" t="s">
        <v>40</v>
      </c>
      <c r="D1926">
        <v>5.3078430000000001</v>
      </c>
      <c r="E1926">
        <v>0.59178090000000005</v>
      </c>
      <c r="F1926" t="s">
        <v>41</v>
      </c>
      <c r="G1926">
        <v>-325.18119999999999</v>
      </c>
      <c r="H1926">
        <v>0.84059039999999996</v>
      </c>
      <c r="I1926">
        <v>283.97030000000001</v>
      </c>
      <c r="J1926">
        <v>-324.88119999999998</v>
      </c>
      <c r="K1926">
        <v>1.1099699999999999</v>
      </c>
      <c r="L1926">
        <v>283.86070000000001</v>
      </c>
      <c r="M1926">
        <v>-0.99980559999999996</v>
      </c>
      <c r="N1926">
        <v>0</v>
      </c>
      <c r="O1926">
        <v>-1.20947E-2</v>
      </c>
      <c r="P1926">
        <v>-0.99448919999999996</v>
      </c>
      <c r="Q1926">
        <v>-3.8841689999999998E-2</v>
      </c>
      <c r="R1926">
        <v>-9.7380079999999994E-2</v>
      </c>
      <c r="S1926">
        <v>-3.0149539999999999</v>
      </c>
      <c r="T1926">
        <v>-1.0943940000000001</v>
      </c>
      <c r="U1926">
        <v>0.4226685</v>
      </c>
      <c r="V1926">
        <v>-8.5303050000000005E-2</v>
      </c>
      <c r="W1926">
        <v>-2.347817E-2</v>
      </c>
      <c r="X1926">
        <v>0.99607840000000003</v>
      </c>
      <c r="Y1926">
        <v>0.1411944</v>
      </c>
      <c r="Z1926">
        <v>2.8959950000000002E-2</v>
      </c>
      <c r="AA1926">
        <v>0.98955820000000005</v>
      </c>
      <c r="AB1926">
        <v>45</v>
      </c>
      <c r="AC1926">
        <v>-0.30000000000001098</v>
      </c>
      <c r="AD1926">
        <v>-0.2693796</v>
      </c>
      <c r="AE1926">
        <v>0.1096</v>
      </c>
      <c r="AF1926">
        <v>6.61591537721965E-2</v>
      </c>
      <c r="AG1926">
        <v>-0.2693796</v>
      </c>
      <c r="AH1926">
        <v>0.17451368227613701</v>
      </c>
      <c r="AI1926">
        <v>145.28473352015999</v>
      </c>
      <c r="AJ1926">
        <v>69.2379901543502</v>
      </c>
      <c r="AK1926">
        <v>0.32771546778507299</v>
      </c>
      <c r="AL1926">
        <v>91.345323657633699</v>
      </c>
      <c r="AM1926">
        <v>94.894804160306293</v>
      </c>
      <c r="AN1926">
        <v>1.0000000068762001</v>
      </c>
    </row>
    <row r="1927" spans="1:40" x14ac:dyDescent="0.25">
      <c r="A1927" t="str">
        <f>"20190312151535994"</f>
        <v>20190312151535994</v>
      </c>
      <c r="B1927" t="str">
        <f>"1552374935989487"</f>
        <v>1552374935989487</v>
      </c>
      <c r="C1927" t="s">
        <v>40</v>
      </c>
      <c r="D1927">
        <v>5.3013629999999896</v>
      </c>
      <c r="E1927">
        <v>0.59160360000000001</v>
      </c>
      <c r="F1927" t="s">
        <v>41</v>
      </c>
      <c r="G1927">
        <v>-325.58949999999999</v>
      </c>
      <c r="H1927">
        <v>0.85325209999999996</v>
      </c>
      <c r="I1927">
        <v>283.96019999999999</v>
      </c>
      <c r="J1927">
        <v>-325.3614</v>
      </c>
      <c r="K1927">
        <v>1.1098779999999999</v>
      </c>
      <c r="L1927">
        <v>283.8546</v>
      </c>
      <c r="M1927">
        <v>-0.99980159999999996</v>
      </c>
      <c r="N1927">
        <v>0</v>
      </c>
      <c r="O1927">
        <v>-1.241537E-2</v>
      </c>
      <c r="P1927">
        <v>-0.99453619999999998</v>
      </c>
      <c r="Q1927">
        <v>-3.8476259999999998E-2</v>
      </c>
      <c r="R1927">
        <v>-9.7041989999999995E-2</v>
      </c>
      <c r="S1927">
        <v>-3.01532</v>
      </c>
      <c r="T1927">
        <v>-1.09274</v>
      </c>
      <c r="U1927">
        <v>0.42245480000000002</v>
      </c>
      <c r="V1927">
        <v>-8.4651190000000001E-2</v>
      </c>
      <c r="W1927">
        <v>-2.3091819999999999E-2</v>
      </c>
      <c r="X1927">
        <v>0.996143</v>
      </c>
      <c r="Y1927">
        <v>0.1414221</v>
      </c>
      <c r="Z1927">
        <v>2.9067619999999999E-2</v>
      </c>
      <c r="AA1927">
        <v>0.98952249999999997</v>
      </c>
      <c r="AB1927">
        <v>45</v>
      </c>
      <c r="AC1927">
        <v>-0.22809999999998301</v>
      </c>
      <c r="AD1927">
        <v>-0.25662590000000002</v>
      </c>
      <c r="AE1927">
        <v>0.105599999999981</v>
      </c>
      <c r="AF1927">
        <v>5.3087867891467203E-2</v>
      </c>
      <c r="AG1927">
        <v>-0.25662590000000002</v>
      </c>
      <c r="AH1927">
        <v>0.111034297260846</v>
      </c>
      <c r="AI1927">
        <v>154.378511242244</v>
      </c>
      <c r="AJ1927">
        <v>64.446541060487903</v>
      </c>
      <c r="AK1927">
        <v>0.28461164669823602</v>
      </c>
      <c r="AL1927">
        <v>91.323181483481207</v>
      </c>
      <c r="AM1927">
        <v>94.857265709722</v>
      </c>
      <c r="AN1927">
        <v>0.99999996628416299</v>
      </c>
    </row>
    <row r="1928" spans="1:40" x14ac:dyDescent="0.25">
      <c r="A1928" t="str">
        <f>"20190312151536015"</f>
        <v>20190312151536015</v>
      </c>
      <c r="B1928" t="str">
        <f>"1552374936009982"</f>
        <v>1552374936009982</v>
      </c>
      <c r="C1928" t="s">
        <v>40</v>
      </c>
      <c r="D1928">
        <v>4.993989</v>
      </c>
      <c r="E1928">
        <v>0.55044179999999998</v>
      </c>
      <c r="F1928" t="s">
        <v>41</v>
      </c>
      <c r="G1928">
        <v>-326.35649999999998</v>
      </c>
      <c r="H1928">
        <v>0.74977240000000001</v>
      </c>
      <c r="I1928">
        <v>283.99400000000003</v>
      </c>
      <c r="J1928">
        <v>-325.80759999999998</v>
      </c>
      <c r="K1928">
        <v>1.1097980000000001</v>
      </c>
      <c r="L1928">
        <v>283.84890000000001</v>
      </c>
      <c r="M1928">
        <v>-0.99979899999999999</v>
      </c>
      <c r="N1928">
        <v>0</v>
      </c>
      <c r="O1928">
        <v>-1.2641929999999999E-2</v>
      </c>
      <c r="P1928">
        <v>-0.99459549999999997</v>
      </c>
      <c r="Q1928">
        <v>-3.8093189999999999E-2</v>
      </c>
      <c r="R1928">
        <v>-9.6588080000000007E-2</v>
      </c>
      <c r="S1928">
        <v>-3.0153810000000001</v>
      </c>
      <c r="T1928">
        <v>-1.0911839999999999</v>
      </c>
      <c r="U1928">
        <v>0.42156979999999999</v>
      </c>
      <c r="V1928">
        <v>-8.3976510000000004E-2</v>
      </c>
      <c r="W1928">
        <v>-2.2691220000000002E-2</v>
      </c>
      <c r="X1928">
        <v>0.99620929999999996</v>
      </c>
      <c r="Y1928">
        <v>0.14137379999999999</v>
      </c>
      <c r="Z1928">
        <v>2.9099360000000001E-2</v>
      </c>
      <c r="AA1928">
        <v>0.98952850000000003</v>
      </c>
      <c r="AB1928">
        <v>45</v>
      </c>
      <c r="AC1928">
        <v>-0.54890000000000305</v>
      </c>
      <c r="AD1928">
        <v>-0.3600256</v>
      </c>
      <c r="AE1928">
        <v>0.145100000000013</v>
      </c>
      <c r="AF1928">
        <v>0.108428248533148</v>
      </c>
      <c r="AG1928">
        <v>-0.3600256</v>
      </c>
      <c r="AH1928">
        <v>0.39014151655816698</v>
      </c>
      <c r="AI1928">
        <v>131.64058583581999</v>
      </c>
      <c r="AJ1928">
        <v>74.468308146706207</v>
      </c>
      <c r="AK1928">
        <v>0.54183532616250896</v>
      </c>
      <c r="AL1928">
        <v>91.300222788417997</v>
      </c>
      <c r="AM1928">
        <v>94.8184165599842</v>
      </c>
      <c r="AN1928">
        <v>0.99999995755167803</v>
      </c>
    </row>
    <row r="1929" spans="1:40" x14ac:dyDescent="0.25">
      <c r="A1929" t="str">
        <f>"20190312151536038"</f>
        <v>20190312151536038</v>
      </c>
      <c r="B1929" t="str">
        <f>"1552374936029503"</f>
        <v>1552374936029503</v>
      </c>
      <c r="C1929" t="s">
        <v>40</v>
      </c>
      <c r="D1929">
        <v>5.4281639999999998</v>
      </c>
      <c r="E1929">
        <v>0.54589449999999995</v>
      </c>
      <c r="F1929" t="s">
        <v>41</v>
      </c>
      <c r="G1929">
        <v>-326.82760000000002</v>
      </c>
      <c r="H1929">
        <v>0.92673059999999996</v>
      </c>
      <c r="I1929">
        <v>283.88440000000003</v>
      </c>
      <c r="J1929">
        <v>-326.24930000000001</v>
      </c>
      <c r="K1929">
        <v>1.1097239999999999</v>
      </c>
      <c r="L1929">
        <v>283.84309999999999</v>
      </c>
      <c r="M1929">
        <v>-0.99979669999999998</v>
      </c>
      <c r="N1929">
        <v>0</v>
      </c>
      <c r="O1929">
        <v>-1.2817449999999999E-2</v>
      </c>
      <c r="P1929">
        <v>-0.99462059999999997</v>
      </c>
      <c r="Q1929">
        <v>-3.7842639999999997E-2</v>
      </c>
      <c r="R1929">
        <v>-9.6424640000000006E-2</v>
      </c>
      <c r="S1929">
        <v>-3.005798</v>
      </c>
      <c r="T1929">
        <v>-0.53948609999999997</v>
      </c>
      <c r="U1929">
        <v>0.1044006</v>
      </c>
      <c r="V1929">
        <v>-8.3643049999999997E-2</v>
      </c>
      <c r="W1929">
        <v>-2.2426729999999999E-2</v>
      </c>
      <c r="X1929">
        <v>0.9962434</v>
      </c>
      <c r="Y1929">
        <v>4.6572580000000002E-2</v>
      </c>
      <c r="Z1929">
        <v>6.427065E-3</v>
      </c>
      <c r="AA1929">
        <v>0.99889419999999995</v>
      </c>
      <c r="AB1929">
        <v>45</v>
      </c>
      <c r="AC1929">
        <v>-0.57830000000001203</v>
      </c>
      <c r="AD1929">
        <v>-0.182993399999999</v>
      </c>
      <c r="AE1929">
        <v>4.1300000000035197E-2</v>
      </c>
      <c r="AF1929">
        <v>4.4296892699592201E-2</v>
      </c>
      <c r="AG1929">
        <v>-0.182993399999999</v>
      </c>
      <c r="AH1929">
        <v>0.525383340723791</v>
      </c>
      <c r="AI1929">
        <v>109.140511761371</v>
      </c>
      <c r="AJ1929">
        <v>85.180592432768293</v>
      </c>
      <c r="AK1929">
        <v>0.55810075600781095</v>
      </c>
      <c r="AL1929">
        <v>91.285064695616597</v>
      </c>
      <c r="AM1929">
        <v>94.799209285814001</v>
      </c>
      <c r="AN1929">
        <v>1.00000001503767</v>
      </c>
    </row>
    <row r="1930" spans="1:40" x14ac:dyDescent="0.25">
      <c r="A1930" t="str">
        <f>"20190312151536051"</f>
        <v>20190312151536051</v>
      </c>
      <c r="B1930" t="str">
        <f>"1552374936039263"</f>
        <v>1552374936039263</v>
      </c>
      <c r="C1930" t="s">
        <v>40</v>
      </c>
      <c r="D1930">
        <v>5.1163210000000001</v>
      </c>
      <c r="E1930">
        <v>0.51580950000000003</v>
      </c>
      <c r="F1930" t="s">
        <v>41</v>
      </c>
      <c r="G1930">
        <v>-327.24180000000001</v>
      </c>
      <c r="H1930">
        <v>0.95240570000000002</v>
      </c>
      <c r="I1930">
        <v>283.86660000000001</v>
      </c>
      <c r="J1930">
        <v>-326.53149999999999</v>
      </c>
      <c r="K1930">
        <v>1.10968</v>
      </c>
      <c r="L1930">
        <v>283.83940000000001</v>
      </c>
      <c r="M1930">
        <v>-0.99979560000000001</v>
      </c>
      <c r="N1930">
        <v>0</v>
      </c>
      <c r="O1930">
        <v>-1.291117E-2</v>
      </c>
      <c r="P1930">
        <v>-0.99467019999999995</v>
      </c>
      <c r="Q1930">
        <v>-3.7568530000000003E-2</v>
      </c>
      <c r="R1930">
        <v>-9.6021419999999996E-2</v>
      </c>
      <c r="S1930">
        <v>-3.0049130000000002</v>
      </c>
      <c r="T1930">
        <v>-0.47638979999999997</v>
      </c>
      <c r="U1930">
        <v>6.9854739999999999E-2</v>
      </c>
      <c r="V1930">
        <v>-8.3148089999999994E-2</v>
      </c>
      <c r="W1930">
        <v>-2.2144250000000001E-2</v>
      </c>
      <c r="X1930">
        <v>0.99629120000000004</v>
      </c>
      <c r="Y1930">
        <v>3.5542989999999997E-2</v>
      </c>
      <c r="Z1930">
        <v>4.8337880000000003E-3</v>
      </c>
      <c r="AA1930">
        <v>0.99935640000000003</v>
      </c>
      <c r="AB1930">
        <v>45</v>
      </c>
      <c r="AC1930">
        <v>-0.71030000000001703</v>
      </c>
      <c r="AD1930">
        <v>-0.15727430000000001</v>
      </c>
      <c r="AE1930">
        <v>2.71999999999934E-2</v>
      </c>
      <c r="AF1930">
        <v>3.4672271454882199E-2</v>
      </c>
      <c r="AG1930">
        <v>-0.15727430000000001</v>
      </c>
      <c r="AH1930">
        <v>0.67675893822209998</v>
      </c>
      <c r="AI1930">
        <v>103.06638932421799</v>
      </c>
      <c r="AJ1930">
        <v>87.067139688004403</v>
      </c>
      <c r="AK1930">
        <v>0.695657985156381</v>
      </c>
      <c r="AL1930">
        <v>91.268875701390996</v>
      </c>
      <c r="AM1930">
        <v>94.770713472490698</v>
      </c>
      <c r="AN1930">
        <v>1.0000000639380699</v>
      </c>
    </row>
    <row r="1931" spans="1:40" x14ac:dyDescent="0.25">
      <c r="A1931" t="str">
        <f>"20190312151536064"</f>
        <v>20190312151536064</v>
      </c>
      <c r="B1931" t="str">
        <f>"1552374936059759"</f>
        <v>1552374936059759</v>
      </c>
      <c r="C1931" t="s">
        <v>40</v>
      </c>
      <c r="D1931">
        <v>5.1553180000000003</v>
      </c>
      <c r="E1931">
        <v>0.51435090000000006</v>
      </c>
      <c r="F1931" t="s">
        <v>51</v>
      </c>
      <c r="G1931">
        <v>-351.18009999999998</v>
      </c>
      <c r="H1931" s="1">
        <v>-9.087836E-7</v>
      </c>
      <c r="I1931">
        <v>282.49979999999999</v>
      </c>
      <c r="J1931">
        <v>-326.79180000000002</v>
      </c>
      <c r="K1931">
        <v>1.109645</v>
      </c>
      <c r="L1931">
        <v>283.83600000000001</v>
      </c>
      <c r="M1931">
        <v>-0.99979470000000004</v>
      </c>
      <c r="N1931">
        <v>0</v>
      </c>
      <c r="O1931">
        <v>-1.29829E-2</v>
      </c>
      <c r="P1931">
        <v>-0.99469189999999996</v>
      </c>
      <c r="Q1931">
        <v>-3.7715930000000002E-2</v>
      </c>
      <c r="R1931">
        <v>-9.5736859999999993E-2</v>
      </c>
      <c r="S1931">
        <v>-2.9952390000000002</v>
      </c>
      <c r="T1931">
        <v>-0.1348454</v>
      </c>
      <c r="U1931">
        <v>-0.1627808</v>
      </c>
      <c r="V1931">
        <v>-8.2793899999999906E-2</v>
      </c>
      <c r="W1931">
        <v>-2.2285679999999999E-2</v>
      </c>
      <c r="X1931">
        <v>0.99631749999999997</v>
      </c>
      <c r="Y1931">
        <v>-4.1267949999999998E-2</v>
      </c>
      <c r="Z1931">
        <v>-3.4401560000000002E-4</v>
      </c>
      <c r="AA1931">
        <v>0.99914809999999998</v>
      </c>
      <c r="AB1931">
        <v>45</v>
      </c>
      <c r="AC1931">
        <v>-24.388299999999902</v>
      </c>
      <c r="AD1931">
        <v>-1.1096459087835999</v>
      </c>
      <c r="AE1931">
        <v>-1.33620000000001</v>
      </c>
      <c r="AF1931">
        <v>-1.0173184581294401</v>
      </c>
      <c r="AG1931">
        <v>-1.1096459087835999</v>
      </c>
      <c r="AH1931">
        <v>24.353329252266001</v>
      </c>
      <c r="AI1931">
        <v>92.606575799549702</v>
      </c>
      <c r="AJ1931">
        <v>92.392041949100999</v>
      </c>
      <c r="AK1931">
        <v>24.399813453332101</v>
      </c>
      <c r="AL1931">
        <v>91.276981097936698</v>
      </c>
      <c r="AM1931">
        <v>94.750359807681306</v>
      </c>
      <c r="AN1931">
        <v>1.00000002110826</v>
      </c>
    </row>
    <row r="1932" spans="1:40" x14ac:dyDescent="0.25">
      <c r="A1932" t="str">
        <f>"20190312151536081"</f>
        <v>20190312151536081</v>
      </c>
      <c r="B1932" t="str">
        <f>"1552374936079788"</f>
        <v>1552374936079788</v>
      </c>
      <c r="C1932" t="s">
        <v>40</v>
      </c>
      <c r="D1932">
        <v>5.0843089999999904</v>
      </c>
      <c r="E1932">
        <v>0.51308719999999997</v>
      </c>
      <c r="F1932" t="s">
        <v>51</v>
      </c>
      <c r="G1932">
        <v>-351.90980000000002</v>
      </c>
      <c r="H1932" s="1">
        <v>-5.2049309999999999E-7</v>
      </c>
      <c r="I1932">
        <v>282.37990000000002</v>
      </c>
      <c r="J1932">
        <v>-327.13909999999998</v>
      </c>
      <c r="K1932">
        <v>1.109599</v>
      </c>
      <c r="L1932">
        <v>283.83139999999997</v>
      </c>
      <c r="M1932">
        <v>-0.99979359999999995</v>
      </c>
      <c r="N1932">
        <v>0</v>
      </c>
      <c r="O1932">
        <v>-1.306831E-2</v>
      </c>
      <c r="P1932">
        <v>-0.99474019999999996</v>
      </c>
      <c r="Q1932">
        <v>-3.8038660000000002E-2</v>
      </c>
      <c r="R1932">
        <v>-9.5106590000000005E-2</v>
      </c>
      <c r="S1932">
        <v>-2.9942630000000001</v>
      </c>
      <c r="T1932">
        <v>-0.13227829999999999</v>
      </c>
      <c r="U1932">
        <v>-0.17358399999999999</v>
      </c>
      <c r="V1932">
        <v>-8.207971E-2</v>
      </c>
      <c r="W1932">
        <v>-2.2601159999999999E-2</v>
      </c>
      <c r="X1932">
        <v>0.99636950000000002</v>
      </c>
      <c r="Y1932">
        <v>-4.4791270000000001E-2</v>
      </c>
      <c r="Z1932">
        <v>-4.1150669999999998E-4</v>
      </c>
      <c r="AA1932">
        <v>0.99899629999999995</v>
      </c>
      <c r="AB1932">
        <v>45</v>
      </c>
      <c r="AC1932">
        <v>-24.770700000000001</v>
      </c>
      <c r="AD1932">
        <v>-1.1095995204931</v>
      </c>
      <c r="AE1932">
        <v>-1.4514999999999501</v>
      </c>
      <c r="AF1932">
        <v>-1.12537523614029</v>
      </c>
      <c r="AG1932">
        <v>-1.1095995204931</v>
      </c>
      <c r="AH1932">
        <v>24.7380861361925</v>
      </c>
      <c r="AI1932">
        <v>92.565567718138894</v>
      </c>
      <c r="AJ1932">
        <v>92.604681160658401</v>
      </c>
      <c r="AK1932">
        <v>24.788517224708599</v>
      </c>
      <c r="AL1932">
        <v>91.295061305161795</v>
      </c>
      <c r="AM1932">
        <v>94.709323075861207</v>
      </c>
      <c r="AN1932">
        <v>1.0000000358786301</v>
      </c>
    </row>
    <row r="1933" spans="1:40" x14ac:dyDescent="0.25">
      <c r="A1933" t="str">
        <f>"20190312151536094"</f>
        <v>20190312151536094</v>
      </c>
      <c r="B1933" t="str">
        <f>"1552374936089548"</f>
        <v>1552374936089548</v>
      </c>
      <c r="C1933" t="s">
        <v>40</v>
      </c>
      <c r="D1933">
        <v>5.0710410000000001</v>
      </c>
      <c r="E1933">
        <v>0.51315749999999904</v>
      </c>
      <c r="F1933" t="s">
        <v>51</v>
      </c>
      <c r="G1933">
        <v>-351.6712</v>
      </c>
      <c r="H1933" s="1">
        <v>-6.4745569999999997E-7</v>
      </c>
      <c r="I1933">
        <v>282.34300000000002</v>
      </c>
      <c r="J1933">
        <v>-327.38659999999999</v>
      </c>
      <c r="K1933">
        <v>1.1095729999999999</v>
      </c>
      <c r="L1933">
        <v>283.82819999999998</v>
      </c>
      <c r="M1933">
        <v>-0.99979289999999998</v>
      </c>
      <c r="N1933">
        <v>0</v>
      </c>
      <c r="O1933">
        <v>-1.3123289999999999E-2</v>
      </c>
      <c r="P1933">
        <v>-0.99474600000000002</v>
      </c>
      <c r="Q1933">
        <v>-3.8205240000000001E-2</v>
      </c>
      <c r="R1933">
        <v>-9.4978090000000001E-2</v>
      </c>
      <c r="S1933">
        <v>-2.9933169999999998</v>
      </c>
      <c r="T1933">
        <v>-0.13538939999999999</v>
      </c>
      <c r="U1933">
        <v>-0.1816101</v>
      </c>
      <c r="V1933">
        <v>-8.1897910000000004E-2</v>
      </c>
      <c r="W1933">
        <v>-2.276398E-2</v>
      </c>
      <c r="X1933">
        <v>0.99638070000000001</v>
      </c>
      <c r="Y1933">
        <v>-4.7419570000000001E-2</v>
      </c>
      <c r="Z1933">
        <v>-4.781497E-4</v>
      </c>
      <c r="AA1933">
        <v>0.99887499999999996</v>
      </c>
      <c r="AB1933">
        <v>45</v>
      </c>
      <c r="AC1933">
        <v>-24.284600000000001</v>
      </c>
      <c r="AD1933">
        <v>-1.1095736474557001</v>
      </c>
      <c r="AE1933">
        <v>-1.4851999999999601</v>
      </c>
      <c r="AF1933">
        <v>-1.1639189053888599</v>
      </c>
      <c r="AG1933">
        <v>-1.1095736474557001</v>
      </c>
      <c r="AH1933">
        <v>24.251562056239699</v>
      </c>
      <c r="AI1933">
        <v>92.616600280654396</v>
      </c>
      <c r="AJ1933">
        <v>92.7477202949283</v>
      </c>
      <c r="AK1933">
        <v>24.304816869606199</v>
      </c>
      <c r="AL1933">
        <v>91.304392673568103</v>
      </c>
      <c r="AM1933">
        <v>94.698886478642393</v>
      </c>
      <c r="AN1933">
        <v>0.99999998289014902</v>
      </c>
    </row>
    <row r="1934" spans="1:40" x14ac:dyDescent="0.25">
      <c r="A1934" t="str">
        <f>"20190312151536108"</f>
        <v>20190312151536108</v>
      </c>
      <c r="B1934" t="str">
        <f>"1552374936099307"</f>
        <v>1552374936099307</v>
      </c>
      <c r="C1934" t="s">
        <v>40</v>
      </c>
      <c r="D1934">
        <v>5.1165180000000001</v>
      </c>
      <c r="E1934">
        <v>0.51312789999999997</v>
      </c>
      <c r="F1934" t="s">
        <v>51</v>
      </c>
      <c r="G1934">
        <v>-352.48970000000003</v>
      </c>
      <c r="H1934" s="1">
        <v>-2.1192159999999999E-7</v>
      </c>
      <c r="I1934">
        <v>282.31360000000001</v>
      </c>
      <c r="J1934">
        <v>-327.66309999999999</v>
      </c>
      <c r="K1934">
        <v>1.1095410000000001</v>
      </c>
      <c r="L1934">
        <v>283.8245</v>
      </c>
      <c r="M1934">
        <v>-0.99979220000000002</v>
      </c>
      <c r="N1934">
        <v>0</v>
      </c>
      <c r="O1934">
        <v>-1.317697E-2</v>
      </c>
      <c r="P1934">
        <v>-0.9947743</v>
      </c>
      <c r="Q1934">
        <v>-3.8199150000000001E-2</v>
      </c>
      <c r="R1934">
        <v>-9.4684879999999999E-2</v>
      </c>
      <c r="S1934">
        <v>-2.9935</v>
      </c>
      <c r="T1934">
        <v>-0.13231470000000001</v>
      </c>
      <c r="U1934">
        <v>-0.18060300000000001</v>
      </c>
      <c r="V1934">
        <v>-8.1552529999999998E-2</v>
      </c>
      <c r="W1934">
        <v>-2.275433E-2</v>
      </c>
      <c r="X1934">
        <v>0.99640919999999999</v>
      </c>
      <c r="Y1934">
        <v>-4.7029429999999997E-2</v>
      </c>
      <c r="Z1934">
        <v>-4.5629770000000001E-4</v>
      </c>
      <c r="AA1934">
        <v>0.99889340000000004</v>
      </c>
      <c r="AB1934">
        <v>45</v>
      </c>
      <c r="AC1934">
        <v>-24.826599999999999</v>
      </c>
      <c r="AD1934">
        <v>-1.1095412119215999</v>
      </c>
      <c r="AE1934">
        <v>-1.5108999999999899</v>
      </c>
      <c r="AF1934">
        <v>-1.18123921744441</v>
      </c>
      <c r="AG1934">
        <v>-1.1095412119215999</v>
      </c>
      <c r="AH1934">
        <v>24.7950141536523</v>
      </c>
      <c r="AI1934">
        <v>92.559295647339994</v>
      </c>
      <c r="AJ1934">
        <v>92.727519695270203</v>
      </c>
      <c r="AK1934">
        <v>24.8479201276404</v>
      </c>
      <c r="AL1934">
        <v>91.303839689446093</v>
      </c>
      <c r="AM1934">
        <v>94.679025260706197</v>
      </c>
      <c r="AN1934">
        <v>0.999999934263892</v>
      </c>
    </row>
    <row r="1935" spans="1:40" x14ac:dyDescent="0.25">
      <c r="A1935" t="str">
        <f>"20190312151536119"</f>
        <v>20190312151536119</v>
      </c>
      <c r="B1935" t="str">
        <f>"1552374936110045"</f>
        <v>1552374936110045</v>
      </c>
      <c r="C1935" t="s">
        <v>40</v>
      </c>
      <c r="D1935">
        <v>5.0890250000000004</v>
      </c>
      <c r="E1935">
        <v>0.51311499999999999</v>
      </c>
      <c r="F1935" t="s">
        <v>51</v>
      </c>
      <c r="G1935">
        <v>-352.80220000000003</v>
      </c>
      <c r="H1935" s="1">
        <v>-4.5611669999999999E-8</v>
      </c>
      <c r="I1935">
        <v>282.31220000000002</v>
      </c>
      <c r="J1935">
        <v>-327.89139999999998</v>
      </c>
      <c r="K1935">
        <v>1.1095219999999999</v>
      </c>
      <c r="L1935">
        <v>283.82139999999998</v>
      </c>
      <c r="M1935">
        <v>-0.99979169999999995</v>
      </c>
      <c r="N1935">
        <v>0</v>
      </c>
      <c r="O1935">
        <v>-1.3218880000000001E-2</v>
      </c>
      <c r="P1935">
        <v>-0.99478500000000003</v>
      </c>
      <c r="Q1935">
        <v>-3.8097840000000001E-2</v>
      </c>
      <c r="R1935">
        <v>-9.4613039999999995E-2</v>
      </c>
      <c r="S1935">
        <v>-2.9935610000000001</v>
      </c>
      <c r="T1935">
        <v>-0.1321242</v>
      </c>
      <c r="U1935">
        <v>-0.1800842</v>
      </c>
      <c r="V1935">
        <v>-8.1440120000000005E-2</v>
      </c>
      <c r="W1935">
        <v>-2.2650859999999998E-2</v>
      </c>
      <c r="X1935">
        <v>0.9964208</v>
      </c>
      <c r="Y1935">
        <v>-4.68142E-2</v>
      </c>
      <c r="Z1935">
        <v>-4.4904469999999997E-4</v>
      </c>
      <c r="AA1935">
        <v>0.99890350000000006</v>
      </c>
      <c r="AB1935">
        <v>45</v>
      </c>
      <c r="AC1935">
        <v>-24.910799999999998</v>
      </c>
      <c r="AD1935">
        <v>-1.1095220456116699</v>
      </c>
      <c r="AE1935">
        <v>-1.5091999999999599</v>
      </c>
      <c r="AF1935">
        <v>-1.1774082136317201</v>
      </c>
      <c r="AG1935">
        <v>-1.1095220456116699</v>
      </c>
      <c r="AH1935">
        <v>24.8794001784618</v>
      </c>
      <c r="AI1935">
        <v>92.550620584363799</v>
      </c>
      <c r="AJ1935">
        <v>92.709479590099306</v>
      </c>
      <c r="AK1935">
        <v>24.931945020621001</v>
      </c>
      <c r="AL1935">
        <v>91.297909703589397</v>
      </c>
      <c r="AM1935">
        <v>94.672550228910097</v>
      </c>
      <c r="AN1935">
        <v>0.99999998263849599</v>
      </c>
    </row>
    <row r="1936" spans="1:40" x14ac:dyDescent="0.25">
      <c r="A1936" t="str">
        <f>"20190312151536137"</f>
        <v>20190312151536137</v>
      </c>
      <c r="B1936" t="str">
        <f>"1552374936129564"</f>
        <v>1552374936129564</v>
      </c>
      <c r="C1936" t="s">
        <v>40</v>
      </c>
      <c r="D1936">
        <v>5.0829940000000002</v>
      </c>
      <c r="E1936">
        <v>0.51319199999999998</v>
      </c>
      <c r="F1936" t="s">
        <v>51</v>
      </c>
      <c r="G1936">
        <v>-352.58819999999997</v>
      </c>
      <c r="H1936" s="1">
        <v>-1.5949130000000001E-7</v>
      </c>
      <c r="I1936">
        <v>282.33510000000001</v>
      </c>
      <c r="J1936">
        <v>-328.23570000000001</v>
      </c>
      <c r="K1936">
        <v>1.109497</v>
      </c>
      <c r="L1936">
        <v>283.8168</v>
      </c>
      <c r="M1936">
        <v>-0.99979099999999999</v>
      </c>
      <c r="N1936">
        <v>0</v>
      </c>
      <c r="O1936">
        <v>-1.3278399999999999E-2</v>
      </c>
      <c r="P1936">
        <v>-0.99483279999999996</v>
      </c>
      <c r="Q1936">
        <v>-3.783367E-2</v>
      </c>
      <c r="R1936">
        <v>-9.4216499999999995E-2</v>
      </c>
      <c r="S1936">
        <v>-2.993439</v>
      </c>
      <c r="T1936">
        <v>-0.134482399999999</v>
      </c>
      <c r="U1936">
        <v>-0.18014530000000001</v>
      </c>
      <c r="V1936">
        <v>-8.0985429999999997E-2</v>
      </c>
      <c r="W1936">
        <v>-2.2383610000000002E-2</v>
      </c>
      <c r="X1936">
        <v>0.99646389999999996</v>
      </c>
      <c r="Y1936">
        <v>-4.6776379999999999E-2</v>
      </c>
      <c r="Z1936">
        <v>-4.535516E-4</v>
      </c>
      <c r="AA1936">
        <v>0.9989053</v>
      </c>
      <c r="AB1936">
        <v>45</v>
      </c>
      <c r="AC1936">
        <v>-24.3524999999999</v>
      </c>
      <c r="AD1936">
        <v>-1.1094971594912999</v>
      </c>
      <c r="AE1936">
        <v>-1.48169999999998</v>
      </c>
      <c r="AF1936">
        <v>-1.1557778238309699</v>
      </c>
      <c r="AG1936">
        <v>-1.1094971594912999</v>
      </c>
      <c r="AH1936">
        <v>24.3197351355516</v>
      </c>
      <c r="AI1936">
        <v>92.6091542213927</v>
      </c>
      <c r="AJ1936">
        <v>92.720893285504701</v>
      </c>
      <c r="AK1936">
        <v>24.3724500899758</v>
      </c>
      <c r="AL1936">
        <v>91.282593519913206</v>
      </c>
      <c r="AM1936">
        <v>94.646377270847793</v>
      </c>
      <c r="AN1936">
        <v>0.99999998493606301</v>
      </c>
    </row>
    <row r="1937" spans="1:40" x14ac:dyDescent="0.25">
      <c r="A1937" t="str">
        <f>"20190312151536148"</f>
        <v>20190312151536148</v>
      </c>
      <c r="B1937" t="str">
        <f>"1552374936139324"</f>
        <v>1552374936139324</v>
      </c>
      <c r="C1937" t="s">
        <v>40</v>
      </c>
      <c r="D1937">
        <v>5.0287689999999996</v>
      </c>
      <c r="E1937">
        <v>0.51345529999999995</v>
      </c>
      <c r="F1937" t="s">
        <v>51</v>
      </c>
      <c r="G1937">
        <v>-352.48840000000001</v>
      </c>
      <c r="H1937" s="1">
        <v>-2.1256369999999999E-7</v>
      </c>
      <c r="I1937">
        <v>282.37209999999999</v>
      </c>
      <c r="J1937">
        <v>-328.46550000000002</v>
      </c>
      <c r="K1937">
        <v>1.1094820000000001</v>
      </c>
      <c r="L1937">
        <v>283.81369999999998</v>
      </c>
      <c r="M1937">
        <v>-0.99979039999999997</v>
      </c>
      <c r="N1937">
        <v>0</v>
      </c>
      <c r="O1937">
        <v>-1.3316100000000001E-2</v>
      </c>
      <c r="P1937">
        <v>-0.99483120000000003</v>
      </c>
      <c r="Q1937">
        <v>-3.7777329999999998E-2</v>
      </c>
      <c r="R1937">
        <v>-9.4254199999999996E-2</v>
      </c>
      <c r="S1937">
        <v>-2.9935</v>
      </c>
      <c r="T1937">
        <v>-0.1369445</v>
      </c>
      <c r="U1937">
        <v>-0.17831420000000001</v>
      </c>
      <c r="V1937">
        <v>-8.098648E-2</v>
      </c>
      <c r="W1937">
        <v>-2.232632E-2</v>
      </c>
      <c r="X1937">
        <v>0.99646509999999999</v>
      </c>
      <c r="Y1937">
        <v>-4.6128139999999998E-2</v>
      </c>
      <c r="Z1937">
        <v>-4.4531639999999999E-4</v>
      </c>
      <c r="AA1937">
        <v>0.99893549999999998</v>
      </c>
      <c r="AB1937">
        <v>45</v>
      </c>
      <c r="AC1937">
        <v>-24.0229</v>
      </c>
      <c r="AD1937">
        <v>-1.1094822125636901</v>
      </c>
      <c r="AE1937">
        <v>-1.44159999999999</v>
      </c>
      <c r="AF1937">
        <v>-1.1191635212064499</v>
      </c>
      <c r="AG1937">
        <v>-1.1094822125636901</v>
      </c>
      <c r="AH1937">
        <v>23.9889835718838</v>
      </c>
      <c r="AI1937">
        <v>92.645150082007206</v>
      </c>
      <c r="AJ1937">
        <v>92.671096289823296</v>
      </c>
      <c r="AK1937">
        <v>24.040690725919401</v>
      </c>
      <c r="AL1937">
        <v>91.279310224049894</v>
      </c>
      <c r="AM1937">
        <v>94.646431677725701</v>
      </c>
      <c r="AN1937">
        <v>0.99999998501277099</v>
      </c>
    </row>
    <row r="1938" spans="1:40" x14ac:dyDescent="0.25">
      <c r="A1938" t="str">
        <f>"20190312151536159"</f>
        <v>20190312151536159</v>
      </c>
      <c r="B1938" t="str">
        <f>"1552374936149084"</f>
        <v>1552374936149084</v>
      </c>
      <c r="C1938" t="s">
        <v>40</v>
      </c>
      <c r="D1938">
        <v>5.0692019999999998</v>
      </c>
      <c r="E1938">
        <v>0.51350260000000003</v>
      </c>
      <c r="F1938" t="s">
        <v>51</v>
      </c>
      <c r="G1938">
        <v>-353.45139999999998</v>
      </c>
      <c r="H1938" s="1">
        <v>2.9984340000000002E-7</v>
      </c>
      <c r="I1938">
        <v>282.34280000000001</v>
      </c>
      <c r="J1938">
        <v>-328.69450000000001</v>
      </c>
      <c r="K1938">
        <v>1.109469</v>
      </c>
      <c r="L1938">
        <v>283.81060000000002</v>
      </c>
      <c r="M1938">
        <v>-0.99978999999999996</v>
      </c>
      <c r="N1938">
        <v>0</v>
      </c>
      <c r="O1938">
        <v>-1.3353220000000001E-2</v>
      </c>
      <c r="P1938">
        <v>-0.99483560000000004</v>
      </c>
      <c r="Q1938">
        <v>-3.7763209999999998E-2</v>
      </c>
      <c r="R1938">
        <v>-9.4213080000000005E-2</v>
      </c>
      <c r="S1938">
        <v>-2.9937740000000002</v>
      </c>
      <c r="T1938">
        <v>-0.13293679999999999</v>
      </c>
      <c r="U1938">
        <v>-0.17623900000000001</v>
      </c>
      <c r="V1938">
        <v>-8.0909049999999996E-2</v>
      </c>
      <c r="W1938">
        <v>-2.2311549999999999E-2</v>
      </c>
      <c r="X1938">
        <v>0.99647180000000002</v>
      </c>
      <c r="Y1938">
        <v>-4.5398319999999999E-2</v>
      </c>
      <c r="Z1938">
        <v>-4.1443799999999999E-4</v>
      </c>
      <c r="AA1938">
        <v>0.99896890000000005</v>
      </c>
      <c r="AB1938">
        <v>45</v>
      </c>
      <c r="AC1938">
        <v>-24.756899999999899</v>
      </c>
      <c r="AD1938">
        <v>-1.1094687001565999</v>
      </c>
      <c r="AE1938">
        <v>-1.46780000000001</v>
      </c>
      <c r="AF1938">
        <v>-1.1347737896087799</v>
      </c>
      <c r="AG1938">
        <v>-1.1094687001565999</v>
      </c>
      <c r="AH1938">
        <v>24.724812476178499</v>
      </c>
      <c r="AI1938">
        <v>92.566593699025901</v>
      </c>
      <c r="AJ1938">
        <v>92.627811804814002</v>
      </c>
      <c r="AK1938">
        <v>24.775693417791601</v>
      </c>
      <c r="AL1938">
        <v>91.278463653628805</v>
      </c>
      <c r="AM1938">
        <v>94.6419776400638</v>
      </c>
      <c r="AN1938">
        <v>1.00000006391527</v>
      </c>
    </row>
    <row r="1939" spans="1:40" x14ac:dyDescent="0.25">
      <c r="A1939" t="str">
        <f>"20190312151536173"</f>
        <v>20190312151536173</v>
      </c>
      <c r="B1939" t="str">
        <f>"1552374936169580"</f>
        <v>1552374936169580</v>
      </c>
      <c r="C1939" t="s">
        <v>40</v>
      </c>
      <c r="D1939">
        <v>5.0541600000000004</v>
      </c>
      <c r="E1939">
        <v>0.5134763</v>
      </c>
      <c r="F1939" t="s">
        <v>51</v>
      </c>
      <c r="G1939">
        <v>-353.52229999999997</v>
      </c>
      <c r="H1939" s="1">
        <v>3.3761249999999998E-7</v>
      </c>
      <c r="I1939">
        <v>282.35340000000002</v>
      </c>
      <c r="J1939">
        <v>-328.95949999999999</v>
      </c>
      <c r="K1939">
        <v>1.109461</v>
      </c>
      <c r="L1939">
        <v>283.80700000000002</v>
      </c>
      <c r="M1939">
        <v>-0.99978959999999995</v>
      </c>
      <c r="N1939">
        <v>0</v>
      </c>
      <c r="O1939">
        <v>-1.3395809999999999E-2</v>
      </c>
      <c r="P1939">
        <v>-0.99484099999999998</v>
      </c>
      <c r="Q1939">
        <v>-3.7614630000000003E-2</v>
      </c>
      <c r="R1939">
        <v>-9.4217120000000001E-2</v>
      </c>
      <c r="S1939">
        <v>-2.9938660000000001</v>
      </c>
      <c r="T1939">
        <v>-0.1337855</v>
      </c>
      <c r="U1939">
        <v>-0.17572019999999999</v>
      </c>
      <c r="V1939">
        <v>-8.0870839999999999E-2</v>
      </c>
      <c r="W1939">
        <v>-2.216255E-2</v>
      </c>
      <c r="X1939">
        <v>0.99647810000000003</v>
      </c>
      <c r="Y1939">
        <v>-4.5181319999999997E-2</v>
      </c>
      <c r="Z1939">
        <v>-4.1032850000000001E-4</v>
      </c>
      <c r="AA1939">
        <v>0.9989787</v>
      </c>
      <c r="AB1939">
        <v>45</v>
      </c>
      <c r="AC1939">
        <v>-24.5627999999999</v>
      </c>
      <c r="AD1939">
        <v>-1.1094606623874901</v>
      </c>
      <c r="AE1939">
        <v>-1.45359999999999</v>
      </c>
      <c r="AF1939">
        <v>-1.12210991664318</v>
      </c>
      <c r="AG1939">
        <v>-1.1094606623874901</v>
      </c>
      <c r="AH1939">
        <v>24.5301986825264</v>
      </c>
      <c r="AI1939">
        <v>92.586927833398804</v>
      </c>
      <c r="AJ1939">
        <v>92.619113497985097</v>
      </c>
      <c r="AK1939">
        <v>24.580900736763802</v>
      </c>
      <c r="AL1939">
        <v>91.269924631963406</v>
      </c>
      <c r="AM1939">
        <v>94.639765793573005</v>
      </c>
      <c r="AN1939">
        <v>0.99999993758220695</v>
      </c>
    </row>
    <row r="1940" spans="1:40" x14ac:dyDescent="0.25">
      <c r="A1940" t="str">
        <f>"20190312151536185"</f>
        <v>20190312151536185</v>
      </c>
      <c r="B1940" t="str">
        <f>"1552374936180316"</f>
        <v>1552374936180316</v>
      </c>
      <c r="C1940" t="s">
        <v>40</v>
      </c>
      <c r="D1940">
        <v>5.0220129999999896</v>
      </c>
      <c r="E1940">
        <v>0.51351800000000003</v>
      </c>
      <c r="F1940" t="s">
        <v>51</v>
      </c>
      <c r="G1940">
        <v>-353.77839999999998</v>
      </c>
      <c r="H1940" s="1">
        <v>4.7388169999999998E-7</v>
      </c>
      <c r="I1940">
        <v>282.34949999999998</v>
      </c>
      <c r="J1940">
        <v>-329.20639999999997</v>
      </c>
      <c r="K1940">
        <v>1.10945</v>
      </c>
      <c r="L1940">
        <v>283.80360000000002</v>
      </c>
      <c r="M1940">
        <v>-0.99978900000000004</v>
      </c>
      <c r="N1940">
        <v>0</v>
      </c>
      <c r="O1940">
        <v>-1.3435000000000001E-2</v>
      </c>
      <c r="P1940">
        <v>-0.99485480000000004</v>
      </c>
      <c r="Q1940">
        <v>-3.7458829999999999E-2</v>
      </c>
      <c r="R1940">
        <v>-9.4132060000000004E-2</v>
      </c>
      <c r="S1940">
        <v>-2.9938349999999998</v>
      </c>
      <c r="T1940">
        <v>-0.13383129999999999</v>
      </c>
      <c r="U1940">
        <v>-0.17581179999999999</v>
      </c>
      <c r="V1940">
        <v>-8.0748039999999993E-2</v>
      </c>
      <c r="W1940">
        <v>-2.2006629999999999E-2</v>
      </c>
      <c r="X1940">
        <v>0.99649160000000003</v>
      </c>
      <c r="Y1940">
        <v>-4.5173230000000002E-2</v>
      </c>
      <c r="Z1940">
        <v>-4.0854269999999999E-4</v>
      </c>
      <c r="AA1940">
        <v>0.99897910000000001</v>
      </c>
      <c r="AB1940">
        <v>45</v>
      </c>
      <c r="AC1940">
        <v>-24.571999999999999</v>
      </c>
      <c r="AD1940">
        <v>-1.1094495261182999</v>
      </c>
      <c r="AE1940">
        <v>-1.4541000000000299</v>
      </c>
      <c r="AF1940">
        <v>-1.12152567344959</v>
      </c>
      <c r="AG1940">
        <v>-1.1094495261182999</v>
      </c>
      <c r="AH1940">
        <v>24.5394681233123</v>
      </c>
      <c r="AI1940">
        <v>92.585930904304604</v>
      </c>
      <c r="AJ1940">
        <v>92.616764270686204</v>
      </c>
      <c r="AK1940">
        <v>24.590123909046799</v>
      </c>
      <c r="AL1940">
        <v>91.260988785973595</v>
      </c>
      <c r="AM1940">
        <v>94.6326886465624</v>
      </c>
      <c r="AN1940">
        <v>1.0000000232991699</v>
      </c>
    </row>
    <row r="1941" spans="1:40" x14ac:dyDescent="0.25">
      <c r="A1941" t="str">
        <f>"20190312151536198"</f>
        <v>20190312151536198</v>
      </c>
      <c r="B1941" t="str">
        <f>"1552374936189101"</f>
        <v>1552374936189101</v>
      </c>
      <c r="C1941" t="s">
        <v>40</v>
      </c>
      <c r="D1941">
        <v>5.0368250000000003</v>
      </c>
      <c r="E1941">
        <v>0.51367850000000004</v>
      </c>
      <c r="F1941" t="s">
        <v>51</v>
      </c>
      <c r="G1941">
        <v>-353.95600000000002</v>
      </c>
      <c r="H1941" s="1">
        <v>5.6837980000000003E-7</v>
      </c>
      <c r="I1941">
        <v>282.35399999999998</v>
      </c>
      <c r="J1941">
        <v>-329.46179999999998</v>
      </c>
      <c r="K1941">
        <v>1.109437</v>
      </c>
      <c r="L1941">
        <v>283.80020000000002</v>
      </c>
      <c r="M1941">
        <v>-0.99978849999999997</v>
      </c>
      <c r="N1941">
        <v>0</v>
      </c>
      <c r="O1941">
        <v>-1.3475269999999999E-2</v>
      </c>
      <c r="P1941">
        <v>-0.99484159999999999</v>
      </c>
      <c r="Q1941">
        <v>-3.7410440000000003E-2</v>
      </c>
      <c r="R1941">
        <v>-9.4290170000000006E-2</v>
      </c>
      <c r="S1941">
        <v>-2.9938660000000001</v>
      </c>
      <c r="T1941">
        <v>-0.13420579999999999</v>
      </c>
      <c r="U1941">
        <v>-0.17535400000000001</v>
      </c>
      <c r="V1941">
        <v>-8.0866450000000006E-2</v>
      </c>
      <c r="W1941">
        <v>-2.1958700000000001E-2</v>
      </c>
      <c r="X1941">
        <v>0.99648300000000001</v>
      </c>
      <c r="Y1941">
        <v>-4.4980220000000001E-2</v>
      </c>
      <c r="Z1941">
        <v>-4.035598E-4</v>
      </c>
      <c r="AA1941">
        <v>0.99898779999999998</v>
      </c>
      <c r="AB1941">
        <v>45</v>
      </c>
      <c r="AC1941">
        <v>-24.4941999999999</v>
      </c>
      <c r="AD1941">
        <v>-1.1094364316201999</v>
      </c>
      <c r="AE1941">
        <v>-1.44619999999997</v>
      </c>
      <c r="AF1941">
        <v>-1.1136860340552399</v>
      </c>
      <c r="AG1941">
        <v>-1.1094364316201999</v>
      </c>
      <c r="AH1941">
        <v>24.461456654183099</v>
      </c>
      <c r="AI1941">
        <v>92.594156629891899</v>
      </c>
      <c r="AJ1941">
        <v>92.606773449054302</v>
      </c>
      <c r="AK1941">
        <v>24.511915621238799</v>
      </c>
      <c r="AL1941">
        <v>91.258242004811706</v>
      </c>
      <c r="AM1941">
        <v>94.639492313402201</v>
      </c>
      <c r="AN1941">
        <v>0.99999996826514503</v>
      </c>
    </row>
    <row r="1942" spans="1:40" x14ac:dyDescent="0.25">
      <c r="A1942" t="str">
        <f>"20190312151536216"</f>
        <v>20190312151536216</v>
      </c>
      <c r="B1942" t="str">
        <f>"1552374936209595"</f>
        <v>1552374936209595</v>
      </c>
      <c r="C1942" t="s">
        <v>40</v>
      </c>
      <c r="D1942">
        <v>5.0914900000000003</v>
      </c>
      <c r="E1942">
        <v>0.51387950000000004</v>
      </c>
      <c r="F1942" t="s">
        <v>51</v>
      </c>
      <c r="G1942">
        <v>-354.35660000000001</v>
      </c>
      <c r="H1942" s="1">
        <v>7.8155340000000001E-7</v>
      </c>
      <c r="I1942">
        <v>282.34870000000001</v>
      </c>
      <c r="J1942">
        <v>-329.81259999999997</v>
      </c>
      <c r="K1942">
        <v>1.109426</v>
      </c>
      <c r="L1942">
        <v>283.79539999999997</v>
      </c>
      <c r="M1942">
        <v>-0.99978800000000001</v>
      </c>
      <c r="N1942">
        <v>0</v>
      </c>
      <c r="O1942">
        <v>-1.3529920000000001E-2</v>
      </c>
      <c r="P1942">
        <v>-0.99483840000000001</v>
      </c>
      <c r="Q1942">
        <v>-3.7136189999999999E-2</v>
      </c>
      <c r="R1942">
        <v>-9.4435359999999996E-2</v>
      </c>
      <c r="S1942">
        <v>-2.9939879999999999</v>
      </c>
      <c r="T1942">
        <v>-0.1334274</v>
      </c>
      <c r="U1942">
        <v>-0.17456050000000001</v>
      </c>
      <c r="V1942">
        <v>-8.0957680000000004E-2</v>
      </c>
      <c r="W1942">
        <v>-2.1685200000000002E-2</v>
      </c>
      <c r="X1942">
        <v>0.99648159999999997</v>
      </c>
      <c r="Y1942">
        <v>-4.4660119999999998E-2</v>
      </c>
      <c r="Z1942">
        <v>-3.9165320000000001E-4</v>
      </c>
      <c r="AA1942">
        <v>0.99900219999999995</v>
      </c>
      <c r="AB1942">
        <v>45</v>
      </c>
      <c r="AC1942">
        <v>-24.544</v>
      </c>
      <c r="AD1942">
        <v>-1.1094252184466</v>
      </c>
      <c r="AE1942">
        <v>-1.4466999999999599</v>
      </c>
      <c r="AF1942">
        <v>-1.11218466521532</v>
      </c>
      <c r="AG1942">
        <v>-1.1094252184466</v>
      </c>
      <c r="AH1942">
        <v>24.511421244304699</v>
      </c>
      <c r="AI1942">
        <v>92.588867783979097</v>
      </c>
      <c r="AJ1942">
        <v>92.597964805471804</v>
      </c>
      <c r="AK1942">
        <v>24.561709029719701</v>
      </c>
      <c r="AL1942">
        <v>91.242567853479102</v>
      </c>
      <c r="AM1942">
        <v>94.644709995294505</v>
      </c>
      <c r="AN1942">
        <v>0.999999986494291</v>
      </c>
    </row>
    <row r="1943" spans="1:40" x14ac:dyDescent="0.25">
      <c r="A1943" t="str">
        <f>"20190312151536237"</f>
        <v>20190312151536237</v>
      </c>
      <c r="B1943" t="str">
        <f>"1552374936229117"</f>
        <v>1552374936229117</v>
      </c>
      <c r="C1943" t="s">
        <v>40</v>
      </c>
      <c r="D1943">
        <v>5.0879669999999999</v>
      </c>
      <c r="E1943">
        <v>0.51372209999999996</v>
      </c>
      <c r="F1943" t="s">
        <v>51</v>
      </c>
      <c r="G1943">
        <v>-354.79599999999999</v>
      </c>
      <c r="H1943" s="1">
        <v>1.015413E-6</v>
      </c>
      <c r="I1943">
        <v>282.34820000000002</v>
      </c>
      <c r="J1943">
        <v>-330.2432</v>
      </c>
      <c r="K1943">
        <v>1.109415</v>
      </c>
      <c r="L1943">
        <v>283.78949999999998</v>
      </c>
      <c r="M1943">
        <v>-0.99978699999999998</v>
      </c>
      <c r="N1943">
        <v>0</v>
      </c>
      <c r="O1943">
        <v>-1.359613E-2</v>
      </c>
      <c r="P1943">
        <v>-0.99482130000000002</v>
      </c>
      <c r="Q1943">
        <v>-3.7044639999999997E-2</v>
      </c>
      <c r="R1943">
        <v>-9.4648609999999994E-2</v>
      </c>
      <c r="S1943">
        <v>-2.9941409999999999</v>
      </c>
      <c r="T1943">
        <v>-0.13295889999999999</v>
      </c>
      <c r="U1943">
        <v>-0.17343140000000001</v>
      </c>
      <c r="V1943">
        <v>-8.1106559999999994E-2</v>
      </c>
      <c r="W1943">
        <v>-2.1595300000000001E-2</v>
      </c>
      <c r="X1943">
        <v>0.99647149999999995</v>
      </c>
      <c r="Y1943">
        <v>-4.4216249999999999E-2</v>
      </c>
      <c r="Z1943">
        <v>-3.7748529999999999E-4</v>
      </c>
      <c r="AA1943">
        <v>0.99902190000000002</v>
      </c>
      <c r="AB1943">
        <v>45</v>
      </c>
      <c r="AC1943">
        <v>-24.552799999999898</v>
      </c>
      <c r="AD1943">
        <v>-1.1094139845869999</v>
      </c>
      <c r="AE1943">
        <v>-1.4412999999999501</v>
      </c>
      <c r="AF1943">
        <v>-1.1050550277114599</v>
      </c>
      <c r="AG1943">
        <v>-1.1094139845869999</v>
      </c>
      <c r="AH1943">
        <v>24.520238183432099</v>
      </c>
      <c r="AI1943">
        <v>92.587947795291598</v>
      </c>
      <c r="AJ1943">
        <v>92.580406267535196</v>
      </c>
      <c r="AK1943">
        <v>24.570185725299499</v>
      </c>
      <c r="AL1943">
        <v>91.237415689257105</v>
      </c>
      <c r="AM1943">
        <v>94.653261031765794</v>
      </c>
      <c r="AN1943">
        <v>1.0000000406846801</v>
      </c>
    </row>
    <row r="1944" spans="1:40" x14ac:dyDescent="0.25">
      <c r="A1944" t="str">
        <f>"20190312151536248"</f>
        <v>20190312151536248</v>
      </c>
      <c r="B1944" t="str">
        <f>"1552374936239852"</f>
        <v>1552374936239852</v>
      </c>
      <c r="C1944" t="s">
        <v>40</v>
      </c>
      <c r="D1944">
        <v>5.038386</v>
      </c>
      <c r="E1944">
        <v>0.51368259999999999</v>
      </c>
      <c r="F1944" t="s">
        <v>51</v>
      </c>
      <c r="G1944">
        <v>-355.42700000000002</v>
      </c>
      <c r="H1944" s="1">
        <v>1.3511930000000001E-6</v>
      </c>
      <c r="I1944">
        <v>282.31299999999999</v>
      </c>
      <c r="J1944">
        <v>-330.46800000000002</v>
      </c>
      <c r="K1944">
        <v>1.1094090000000001</v>
      </c>
      <c r="L1944">
        <v>283.78640000000001</v>
      </c>
      <c r="M1944">
        <v>-0.99978659999999997</v>
      </c>
      <c r="N1944">
        <v>0</v>
      </c>
      <c r="O1944">
        <v>-1.362996E-2</v>
      </c>
      <c r="P1944">
        <v>-0.99482389999999998</v>
      </c>
      <c r="Q1944">
        <v>-3.6864760000000003E-2</v>
      </c>
      <c r="R1944">
        <v>-9.4691049999999999E-2</v>
      </c>
      <c r="S1944">
        <v>-2.994049</v>
      </c>
      <c r="T1944">
        <v>-0.13189589999999901</v>
      </c>
      <c r="U1944">
        <v>-0.1755371</v>
      </c>
      <c r="V1944">
        <v>-8.1115430000000002E-2</v>
      </c>
      <c r="W1944">
        <v>-2.1416330000000001E-2</v>
      </c>
      <c r="X1944">
        <v>0.99647459999999999</v>
      </c>
      <c r="Y1944">
        <v>-4.4884300000000002E-2</v>
      </c>
      <c r="Z1944">
        <v>-3.8768150000000003E-4</v>
      </c>
      <c r="AA1944">
        <v>0.99899210000000005</v>
      </c>
      <c r="AB1944">
        <v>44</v>
      </c>
      <c r="AC1944">
        <v>-24.9589999999999</v>
      </c>
      <c r="AD1944">
        <v>-1.1094076488069999</v>
      </c>
      <c r="AE1944">
        <v>-1.47340000000002</v>
      </c>
      <c r="AF1944">
        <v>-1.13080552181236</v>
      </c>
      <c r="AG1944">
        <v>-1.1094076488069999</v>
      </c>
      <c r="AH1944">
        <v>24.927686364806501</v>
      </c>
      <c r="AI1944">
        <v>92.545654845228</v>
      </c>
      <c r="AJ1944">
        <v>92.597352795514396</v>
      </c>
      <c r="AK1944">
        <v>24.977971374023799</v>
      </c>
      <c r="AL1944">
        <v>91.2271591414423</v>
      </c>
      <c r="AM1944">
        <v>94.653753273847201</v>
      </c>
      <c r="AN1944">
        <v>1.0000000003099501</v>
      </c>
    </row>
    <row r="1945" spans="1:40" x14ac:dyDescent="0.25">
      <c r="A1945" t="str">
        <f>"20190312151536261"</f>
        <v>20190312151536261</v>
      </c>
      <c r="B1945" t="str">
        <f>"1552374936249613"</f>
        <v>1552374936249613</v>
      </c>
      <c r="C1945" t="s">
        <v>40</v>
      </c>
      <c r="D1945">
        <v>4.9935260000000001</v>
      </c>
      <c r="E1945">
        <v>0.513795</v>
      </c>
      <c r="F1945" t="s">
        <v>51</v>
      </c>
      <c r="G1945">
        <v>-355.83539999999999</v>
      </c>
      <c r="H1945" s="1">
        <v>1.5685389999999999E-6</v>
      </c>
      <c r="I1945">
        <v>282.29680000000002</v>
      </c>
      <c r="J1945">
        <v>-330.69819999999999</v>
      </c>
      <c r="K1945">
        <v>1.109405</v>
      </c>
      <c r="L1945">
        <v>283.7833</v>
      </c>
      <c r="M1945">
        <v>-0.99978630000000002</v>
      </c>
      <c r="N1945">
        <v>0</v>
      </c>
      <c r="O1945">
        <v>-1.366464E-2</v>
      </c>
      <c r="P1945">
        <v>-0.99484249999999996</v>
      </c>
      <c r="Q1945">
        <v>-3.6800439999999997E-2</v>
      </c>
      <c r="R1945">
        <v>-9.4520380000000001E-2</v>
      </c>
      <c r="S1945">
        <v>-2.9940190000000002</v>
      </c>
      <c r="T1945">
        <v>-0.1309389</v>
      </c>
      <c r="U1945">
        <v>-0.17581179999999999</v>
      </c>
      <c r="V1945">
        <v>-8.0910759999999998E-2</v>
      </c>
      <c r="W1945">
        <v>-2.1352889999999999E-2</v>
      </c>
      <c r="X1945">
        <v>0.99649259999999995</v>
      </c>
      <c r="Y1945">
        <v>-4.4941979999999999E-2</v>
      </c>
      <c r="Z1945">
        <v>-3.8461959999999999E-4</v>
      </c>
      <c r="AA1945">
        <v>0.99898949999999997</v>
      </c>
      <c r="AB1945">
        <v>44</v>
      </c>
      <c r="AC1945">
        <v>-25.1372</v>
      </c>
      <c r="AD1945">
        <v>-1.109403431461</v>
      </c>
      <c r="AE1945">
        <v>-1.48649999999997</v>
      </c>
      <c r="AF1945">
        <v>-1.1406151029714</v>
      </c>
      <c r="AG1945">
        <v>-1.109403431461</v>
      </c>
      <c r="AH1945">
        <v>25.1064354238924</v>
      </c>
      <c r="AI1945">
        <v>92.527536916323299</v>
      </c>
      <c r="AJ1945">
        <v>92.6012264837847</v>
      </c>
      <c r="AK1945">
        <v>25.156805808388</v>
      </c>
      <c r="AL1945">
        <v>91.223523466878405</v>
      </c>
      <c r="AM1945">
        <v>94.641978847204697</v>
      </c>
      <c r="AN1945">
        <v>0.999999999424944</v>
      </c>
    </row>
    <row r="1946" spans="1:40" x14ac:dyDescent="0.25">
      <c r="A1946" t="str">
        <f>"20190312151536282"</f>
        <v>20190312151536282</v>
      </c>
      <c r="B1946" t="str">
        <f>"1552374936279868"</f>
        <v>1552374936279868</v>
      </c>
      <c r="C1946" t="s">
        <v>40</v>
      </c>
      <c r="D1946">
        <v>4.9851299999999998</v>
      </c>
      <c r="E1946">
        <v>0.51412340000000001</v>
      </c>
      <c r="F1946" t="s">
        <v>51</v>
      </c>
      <c r="G1946">
        <v>-356.22640000000001</v>
      </c>
      <c r="H1946" s="1">
        <v>1.7766169999999999E-6</v>
      </c>
      <c r="I1946">
        <v>282.29570000000001</v>
      </c>
      <c r="J1946">
        <v>-331.14400000000001</v>
      </c>
      <c r="K1946">
        <v>1.109407</v>
      </c>
      <c r="L1946">
        <v>283.77710000000002</v>
      </c>
      <c r="M1946">
        <v>-0.99978520000000004</v>
      </c>
      <c r="N1946">
        <v>0</v>
      </c>
      <c r="O1946">
        <v>-1.3730819999999999E-2</v>
      </c>
      <c r="P1946">
        <v>-0.99485029999999997</v>
      </c>
      <c r="Q1946">
        <v>-3.6458270000000001E-2</v>
      </c>
      <c r="R1946">
        <v>-9.4568810000000003E-2</v>
      </c>
      <c r="S1946">
        <v>-2.994202</v>
      </c>
      <c r="T1946">
        <v>-0.13012169999999901</v>
      </c>
      <c r="U1946">
        <v>-0.17446900000000001</v>
      </c>
      <c r="V1946">
        <v>-8.0893279999999998E-2</v>
      </c>
      <c r="W1946">
        <v>-2.1013380000000002E-2</v>
      </c>
      <c r="X1946">
        <v>0.99650130000000003</v>
      </c>
      <c r="Y1946">
        <v>-4.4426720000000003E-2</v>
      </c>
      <c r="Z1946">
        <v>-3.6814950000000002E-4</v>
      </c>
      <c r="AA1946">
        <v>0.99901260000000003</v>
      </c>
      <c r="AB1946">
        <v>44</v>
      </c>
      <c r="AC1946">
        <v>-25.0824</v>
      </c>
      <c r="AD1946">
        <v>-1.1094052233830001</v>
      </c>
      <c r="AE1946">
        <v>-1.4814000000000001</v>
      </c>
      <c r="AF1946">
        <v>-1.13460493440858</v>
      </c>
      <c r="AG1946">
        <v>-1.1094052233830001</v>
      </c>
      <c r="AH1946">
        <v>25.051539416281699</v>
      </c>
      <c r="AI1946">
        <v>92.533088518595306</v>
      </c>
      <c r="AJ1946">
        <v>92.593201089862404</v>
      </c>
      <c r="AK1946">
        <v>25.1017476569336</v>
      </c>
      <c r="AL1946">
        <v>91.204066534356997</v>
      </c>
      <c r="AM1946">
        <v>94.640940031785902</v>
      </c>
      <c r="AN1946">
        <v>1.0000000628949299</v>
      </c>
    </row>
    <row r="1947" spans="1:40" x14ac:dyDescent="0.25">
      <c r="A1947" t="str">
        <f>"20190312151536304"</f>
        <v>20190312151536304</v>
      </c>
      <c r="B1947" t="str">
        <f>"1552374936299388"</f>
        <v>1552374936299388</v>
      </c>
      <c r="C1947" t="s">
        <v>40</v>
      </c>
      <c r="D1947">
        <v>4.9858529999999996</v>
      </c>
      <c r="E1947">
        <v>0.51423469999999905</v>
      </c>
      <c r="F1947" t="s">
        <v>51</v>
      </c>
      <c r="G1947">
        <v>-357.41390000000001</v>
      </c>
      <c r="H1947" s="1">
        <v>2.4085490000000002E-6</v>
      </c>
      <c r="I1947">
        <v>282.26949999999999</v>
      </c>
      <c r="J1947">
        <v>-331.56819999999999</v>
      </c>
      <c r="K1947">
        <v>1.109407</v>
      </c>
      <c r="L1947">
        <v>283.77120000000002</v>
      </c>
      <c r="M1947">
        <v>-0.99978460000000002</v>
      </c>
      <c r="N1947">
        <v>0</v>
      </c>
      <c r="O1947">
        <v>-1.3793100000000001E-2</v>
      </c>
      <c r="P1947">
        <v>-0.99490540000000005</v>
      </c>
      <c r="Q1947">
        <v>-3.6071249999999999E-2</v>
      </c>
      <c r="R1947">
        <v>-9.4140840000000003E-2</v>
      </c>
      <c r="S1947">
        <v>-2.9945369999999998</v>
      </c>
      <c r="T1947">
        <v>-0.12646199999999999</v>
      </c>
      <c r="U1947">
        <v>-0.17184449999999901</v>
      </c>
      <c r="V1947">
        <v>-8.0403059999999998E-2</v>
      </c>
      <c r="W1947">
        <v>-2.06287E-2</v>
      </c>
      <c r="X1947">
        <v>0.99654900000000002</v>
      </c>
      <c r="Y1947">
        <v>-4.3487810000000002E-2</v>
      </c>
      <c r="Z1947">
        <v>-3.3534560000000001E-4</v>
      </c>
      <c r="AA1947">
        <v>0.99905390000000005</v>
      </c>
      <c r="AB1947">
        <v>44</v>
      </c>
      <c r="AC1947">
        <v>-25.845700000000001</v>
      </c>
      <c r="AD1947">
        <v>-1.109404591451</v>
      </c>
      <c r="AE1947">
        <v>-1.50170000000002</v>
      </c>
      <c r="AF1947">
        <v>-1.1429231780058999</v>
      </c>
      <c r="AG1947">
        <v>-1.109404591451</v>
      </c>
      <c r="AH1947">
        <v>25.8165498180044</v>
      </c>
      <c r="AI1947">
        <v>92.458230608995095</v>
      </c>
      <c r="AJ1947">
        <v>92.534883382899395</v>
      </c>
      <c r="AK1947">
        <v>25.865639300892202</v>
      </c>
      <c r="AL1947">
        <v>91.182021228583906</v>
      </c>
      <c r="AM1947">
        <v>94.612717448716197</v>
      </c>
      <c r="AN1947">
        <v>1.00000005236102</v>
      </c>
    </row>
    <row r="1948" spans="1:40" x14ac:dyDescent="0.25">
      <c r="A1948" t="str">
        <f>"20190312151536317"</f>
        <v>20190312151536317</v>
      </c>
      <c r="B1948" t="str">
        <f>"1552374936310124"</f>
        <v>1552374936310124</v>
      </c>
      <c r="C1948" t="s">
        <v>40</v>
      </c>
      <c r="D1948">
        <v>5.0281180000000001</v>
      </c>
      <c r="E1948">
        <v>0.51423719999999995</v>
      </c>
      <c r="F1948" t="s">
        <v>51</v>
      </c>
      <c r="G1948">
        <v>-358.2201</v>
      </c>
      <c r="H1948" s="1">
        <v>2.8375279999999999E-6</v>
      </c>
      <c r="I1948">
        <v>282.26119999999997</v>
      </c>
      <c r="J1948">
        <v>-331.82679999999999</v>
      </c>
      <c r="K1948">
        <v>1.109405</v>
      </c>
      <c r="L1948">
        <v>283.76760000000002</v>
      </c>
      <c r="M1948">
        <v>-0.99978409999999995</v>
      </c>
      <c r="N1948">
        <v>0</v>
      </c>
      <c r="O1948">
        <v>-1.383068E-2</v>
      </c>
      <c r="P1948">
        <v>-0.9949422</v>
      </c>
      <c r="Q1948">
        <v>-3.5597219999999999E-2</v>
      </c>
      <c r="R1948">
        <v>-9.3932959999999996E-2</v>
      </c>
      <c r="S1948">
        <v>-2.994812</v>
      </c>
      <c r="T1948">
        <v>-0.1246613</v>
      </c>
      <c r="U1948">
        <v>-0.16967769999999999</v>
      </c>
      <c r="V1948">
        <v>-8.0157199999999998E-2</v>
      </c>
      <c r="W1948">
        <v>-2.015627E-2</v>
      </c>
      <c r="X1948">
        <v>0.99657839999999998</v>
      </c>
      <c r="Y1948">
        <v>-4.2725970000000002E-2</v>
      </c>
      <c r="Z1948">
        <v>-3.1315230000000002E-4</v>
      </c>
      <c r="AA1948">
        <v>0.99908680000000005</v>
      </c>
      <c r="AB1948">
        <v>44</v>
      </c>
      <c r="AC1948">
        <v>-26.3933</v>
      </c>
      <c r="AD1948">
        <v>-1.1094021624720001</v>
      </c>
      <c r="AE1948">
        <v>-1.5064000000000399</v>
      </c>
      <c r="AF1948">
        <v>-1.1391685339585</v>
      </c>
      <c r="AG1948">
        <v>-1.1094021624720001</v>
      </c>
      <c r="AH1948">
        <v>26.365180860495599</v>
      </c>
      <c r="AI1948">
        <v>92.407244663477201</v>
      </c>
      <c r="AJ1948">
        <v>92.474057671265598</v>
      </c>
      <c r="AK1948">
        <v>26.413088420582401</v>
      </c>
      <c r="AL1948">
        <v>91.154947438668103</v>
      </c>
      <c r="AM1948">
        <v>94.598537986018599</v>
      </c>
      <c r="AN1948">
        <v>0.99999997963935605</v>
      </c>
    </row>
    <row r="1949" spans="1:40" x14ac:dyDescent="0.25">
      <c r="A1949" t="str">
        <f>"20190312151536328"</f>
        <v>20190312151536328</v>
      </c>
      <c r="B1949" t="str">
        <f>"1552374936319884"</f>
        <v>1552374936319884</v>
      </c>
      <c r="C1949" t="s">
        <v>40</v>
      </c>
      <c r="D1949">
        <v>4.9852059999999998</v>
      </c>
      <c r="E1949">
        <v>0.51429389999999997</v>
      </c>
      <c r="F1949" t="s">
        <v>51</v>
      </c>
      <c r="G1949">
        <v>-358.8014</v>
      </c>
      <c r="H1949" s="1">
        <v>3.146858E-6</v>
      </c>
      <c r="I1949">
        <v>282.2457</v>
      </c>
      <c r="J1949">
        <v>-332.06199999999899</v>
      </c>
      <c r="K1949">
        <v>1.1094040000000001</v>
      </c>
      <c r="L1949">
        <v>283.76429999999999</v>
      </c>
      <c r="M1949">
        <v>-0.99978370000000005</v>
      </c>
      <c r="N1949">
        <v>0</v>
      </c>
      <c r="O1949">
        <v>-1.3864339999999999E-2</v>
      </c>
      <c r="P1949">
        <v>-0.99497329999999995</v>
      </c>
      <c r="Q1949">
        <v>-3.5576299999999998E-2</v>
      </c>
      <c r="R1949">
        <v>-9.3609449999999997E-2</v>
      </c>
      <c r="S1949">
        <v>-2.9949340000000002</v>
      </c>
      <c r="T1949">
        <v>-0.12317450000000001</v>
      </c>
      <c r="U1949">
        <v>-0.16897579999999901</v>
      </c>
      <c r="V1949">
        <v>-7.9799869999999995E-2</v>
      </c>
      <c r="W1949">
        <v>-2.0136890000000001E-2</v>
      </c>
      <c r="X1949">
        <v>0.99660749999999998</v>
      </c>
      <c r="Y1949">
        <v>-4.2457469999999997E-2</v>
      </c>
      <c r="Z1949">
        <v>-3.0251289999999999E-4</v>
      </c>
      <c r="AA1949">
        <v>0.99909820000000005</v>
      </c>
      <c r="AB1949">
        <v>44</v>
      </c>
      <c r="AC1949">
        <v>-26.7394</v>
      </c>
      <c r="AD1949">
        <v>-1.1094008531420001</v>
      </c>
      <c r="AE1949">
        <v>-1.51859999999999</v>
      </c>
      <c r="AF1949">
        <v>-1.1457194517279901</v>
      </c>
      <c r="AG1949">
        <v>-1.1094008531420001</v>
      </c>
      <c r="AH1949">
        <v>26.712052816655099</v>
      </c>
      <c r="AI1949">
        <v>92.376050622833901</v>
      </c>
      <c r="AJ1949">
        <v>92.455995379391197</v>
      </c>
      <c r="AK1949">
        <v>26.759618999432501</v>
      </c>
      <c r="AL1949">
        <v>91.153836784461006</v>
      </c>
      <c r="AM1949">
        <v>94.577992550875294</v>
      </c>
      <c r="AN1949">
        <v>1.0000000113235601</v>
      </c>
    </row>
    <row r="1950" spans="1:40" x14ac:dyDescent="0.25">
      <c r="A1950" t="str">
        <f>"20190312151536340"</f>
        <v>20190312151536340</v>
      </c>
      <c r="B1950" t="str">
        <f>"1552374936329645"</f>
        <v>1552374936329645</v>
      </c>
      <c r="C1950" t="s">
        <v>40</v>
      </c>
      <c r="D1950">
        <v>4.974958</v>
      </c>
      <c r="E1950">
        <v>0.51434469999999999</v>
      </c>
      <c r="F1950" t="s">
        <v>51</v>
      </c>
      <c r="G1950">
        <v>-359.334</v>
      </c>
      <c r="H1950" s="1">
        <v>3.4303329999999999E-6</v>
      </c>
      <c r="I1950">
        <v>282.2373</v>
      </c>
      <c r="J1950">
        <v>-332.28160000000003</v>
      </c>
      <c r="K1950">
        <v>1.109402</v>
      </c>
      <c r="L1950">
        <v>283.76119999999997</v>
      </c>
      <c r="M1950">
        <v>-0.99978330000000004</v>
      </c>
      <c r="N1950">
        <v>0</v>
      </c>
      <c r="O1950">
        <v>-1.3895859999999999E-2</v>
      </c>
      <c r="P1950">
        <v>-0.99500169999999999</v>
      </c>
      <c r="Q1950">
        <v>-3.5136819999999999E-2</v>
      </c>
      <c r="R1950">
        <v>-9.3474310000000005E-2</v>
      </c>
      <c r="S1950">
        <v>-2.9949949999999999</v>
      </c>
      <c r="T1950">
        <v>-0.12183330000000001</v>
      </c>
      <c r="U1950">
        <v>-0.16769410000000001</v>
      </c>
      <c r="V1950">
        <v>-7.9633759999999998E-2</v>
      </c>
      <c r="W1950">
        <v>-1.9699029999999999E-2</v>
      </c>
      <c r="X1950">
        <v>0.99662949999999995</v>
      </c>
      <c r="Y1950">
        <v>-4.1999519999999999E-2</v>
      </c>
      <c r="Z1950">
        <v>-2.886349E-4</v>
      </c>
      <c r="AA1950">
        <v>0.99911760000000005</v>
      </c>
      <c r="AB1950">
        <v>44</v>
      </c>
      <c r="AC1950">
        <v>-27.052399999999899</v>
      </c>
      <c r="AD1950">
        <v>-1.1093985696669999</v>
      </c>
      <c r="AE1950">
        <v>-1.5238999999999601</v>
      </c>
      <c r="AF1950">
        <v>-1.14587031786979</v>
      </c>
      <c r="AG1950">
        <v>-1.1093985696669999</v>
      </c>
      <c r="AH1950">
        <v>27.025658991259402</v>
      </c>
      <c r="AI1950">
        <v>92.348554262635403</v>
      </c>
      <c r="AJ1950">
        <v>92.427849533538904</v>
      </c>
      <c r="AK1950">
        <v>27.072680470976501</v>
      </c>
      <c r="AL1950">
        <v>91.128744318874396</v>
      </c>
      <c r="AM1950">
        <v>94.568403043374602</v>
      </c>
      <c r="AN1950">
        <v>0.99999997389246298</v>
      </c>
    </row>
    <row r="1951" spans="1:40" x14ac:dyDescent="0.25">
      <c r="A1951" t="str">
        <f>"20190312151536352"</f>
        <v>20190312151536352</v>
      </c>
      <c r="B1951" t="str">
        <f>"1552374936339404"</f>
        <v>1552374936339404</v>
      </c>
      <c r="C1951" t="s">
        <v>40</v>
      </c>
      <c r="D1951">
        <v>4.9932100000000004</v>
      </c>
      <c r="E1951">
        <v>0.51433180000000001</v>
      </c>
      <c r="F1951" t="s">
        <v>51</v>
      </c>
      <c r="G1951">
        <v>-360.09550000000002</v>
      </c>
      <c r="H1951" s="1">
        <v>-1.485953E-6</v>
      </c>
      <c r="I1951">
        <v>282.21390000000002</v>
      </c>
      <c r="J1951">
        <v>-332.5204</v>
      </c>
      <c r="K1951">
        <v>1.1094029999999999</v>
      </c>
      <c r="L1951">
        <v>283.75790000000001</v>
      </c>
      <c r="M1951">
        <v>-0.99978279999999997</v>
      </c>
      <c r="N1951">
        <v>0</v>
      </c>
      <c r="O1951">
        <v>-1.3929769999999999E-2</v>
      </c>
      <c r="P1951">
        <v>-0.99500549999999999</v>
      </c>
      <c r="Q1951">
        <v>-3.5052300000000002E-2</v>
      </c>
      <c r="R1951">
        <v>-9.3466069999999998E-2</v>
      </c>
      <c r="S1951">
        <v>-2.995209</v>
      </c>
      <c r="T1951">
        <v>-0.1194688</v>
      </c>
      <c r="U1951">
        <v>-0.166626</v>
      </c>
      <c r="V1951">
        <v>-7.9591120000000001E-2</v>
      </c>
      <c r="W1951">
        <v>-1.9616720000000001E-2</v>
      </c>
      <c r="X1951">
        <v>0.99663449999999998</v>
      </c>
      <c r="Y1951">
        <v>-4.1607699999999997E-2</v>
      </c>
      <c r="Z1951">
        <v>-2.7386389999999999E-4</v>
      </c>
      <c r="AA1951">
        <v>0.99913399999999997</v>
      </c>
      <c r="AB1951">
        <v>44</v>
      </c>
      <c r="AC1951">
        <v>-27.575099999999999</v>
      </c>
      <c r="AD1951">
        <v>-1.1094044859529999</v>
      </c>
      <c r="AE1951">
        <v>-1.5439999999999801</v>
      </c>
      <c r="AF1951">
        <v>-1.1578209775974899</v>
      </c>
      <c r="AG1951">
        <v>-1.1094044859529999</v>
      </c>
      <c r="AH1951">
        <v>27.5494812109702</v>
      </c>
      <c r="AI1951">
        <v>92.303996134905901</v>
      </c>
      <c r="AJ1951">
        <v>92.406551299071296</v>
      </c>
      <c r="AK1951">
        <v>27.596109195377899</v>
      </c>
      <c r="AL1951">
        <v>91.124027424888098</v>
      </c>
      <c r="AM1951">
        <v>94.565944422090098</v>
      </c>
      <c r="AN1951">
        <v>0.99999994433832995</v>
      </c>
    </row>
    <row r="1952" spans="1:40" x14ac:dyDescent="0.25">
      <c r="A1952" t="str">
        <f>"20190312151536365"</f>
        <v>20190312151536365</v>
      </c>
      <c r="B1952" t="str">
        <f>"1552374936359901"</f>
        <v>1552374936359901</v>
      </c>
      <c r="C1952" t="s">
        <v>40</v>
      </c>
      <c r="D1952">
        <v>4.9478589999999896</v>
      </c>
      <c r="E1952">
        <v>0.5145497</v>
      </c>
      <c r="F1952" t="s">
        <v>51</v>
      </c>
      <c r="G1952">
        <v>-360.5831</v>
      </c>
      <c r="H1952" s="1">
        <v>-1.226469E-6</v>
      </c>
      <c r="I1952">
        <v>282.19560000000001</v>
      </c>
      <c r="J1952">
        <v>-332.77319999999997</v>
      </c>
      <c r="K1952">
        <v>1.1094029999999999</v>
      </c>
      <c r="L1952">
        <v>283.7543</v>
      </c>
      <c r="M1952">
        <v>-0.99978239999999996</v>
      </c>
      <c r="N1952">
        <v>0</v>
      </c>
      <c r="O1952">
        <v>-1.3965709999999999E-2</v>
      </c>
      <c r="P1952">
        <v>-0.99506249999999996</v>
      </c>
      <c r="Q1952">
        <v>-3.4727870000000001E-2</v>
      </c>
      <c r="R1952">
        <v>-9.2976550000000005E-2</v>
      </c>
      <c r="S1952">
        <v>-2.995209</v>
      </c>
      <c r="T1952">
        <v>-0.1184096</v>
      </c>
      <c r="U1952">
        <v>-0.16674800000000001</v>
      </c>
      <c r="V1952">
        <v>-7.906552E-2</v>
      </c>
      <c r="W1952">
        <v>-1.9293810000000002E-2</v>
      </c>
      <c r="X1952">
        <v>0.99668270000000003</v>
      </c>
      <c r="Y1952">
        <v>-4.1612789999999997E-2</v>
      </c>
      <c r="Z1952">
        <v>-2.7011929999999997E-4</v>
      </c>
      <c r="AA1952">
        <v>0.99913379999999996</v>
      </c>
      <c r="AB1952">
        <v>44</v>
      </c>
      <c r="AC1952">
        <v>-27.809899999999999</v>
      </c>
      <c r="AD1952">
        <v>-1.1094042264690001</v>
      </c>
      <c r="AE1952">
        <v>-1.55869999999998</v>
      </c>
      <c r="AF1952">
        <v>-1.16826295844126</v>
      </c>
      <c r="AG1952">
        <v>-1.1094042264690001</v>
      </c>
      <c r="AH1952">
        <v>27.784879613128499</v>
      </c>
      <c r="AI1952">
        <v>92.284494617343498</v>
      </c>
      <c r="AJ1952">
        <v>92.407681203303696</v>
      </c>
      <c r="AK1952">
        <v>27.831549565085599</v>
      </c>
      <c r="AL1952">
        <v>91.105522472969298</v>
      </c>
      <c r="AM1952">
        <v>94.535699856447906</v>
      </c>
      <c r="AN1952">
        <v>1.0000000060182299</v>
      </c>
    </row>
    <row r="1953" spans="1:40" x14ac:dyDescent="0.25">
      <c r="A1953" t="str">
        <f>"20190312151536383"</f>
        <v>20190312151536383</v>
      </c>
      <c r="B1953" t="str">
        <f>"1552374936379420"</f>
        <v>1552374936379420</v>
      </c>
      <c r="C1953" t="s">
        <v>40</v>
      </c>
      <c r="D1953">
        <v>4.9432869999999998</v>
      </c>
      <c r="E1953">
        <v>0.514737</v>
      </c>
      <c r="F1953" t="s">
        <v>51</v>
      </c>
      <c r="G1953">
        <v>-361.29539999999997</v>
      </c>
      <c r="H1953" s="1">
        <v>-8.4744900000000001E-7</v>
      </c>
      <c r="I1953">
        <v>282.19630000000001</v>
      </c>
      <c r="J1953">
        <v>-333.12009999999998</v>
      </c>
      <c r="K1953">
        <v>1.109407</v>
      </c>
      <c r="L1953">
        <v>283.74950000000001</v>
      </c>
      <c r="M1953">
        <v>-0.99978180000000005</v>
      </c>
      <c r="N1953">
        <v>0</v>
      </c>
      <c r="O1953">
        <v>-1.401462E-2</v>
      </c>
      <c r="P1953">
        <v>-0.99514340000000001</v>
      </c>
      <c r="Q1953">
        <v>-3.376146E-2</v>
      </c>
      <c r="R1953">
        <v>-9.2467670000000002E-2</v>
      </c>
      <c r="S1953">
        <v>-2.9955750000000001</v>
      </c>
      <c r="T1953">
        <v>-0.1165165</v>
      </c>
      <c r="U1953">
        <v>-0.16363529999999901</v>
      </c>
      <c r="V1953">
        <v>-7.8507080000000007E-2</v>
      </c>
      <c r="W1953">
        <v>-1.832957E-2</v>
      </c>
      <c r="X1953">
        <v>0.99674499999999999</v>
      </c>
      <c r="Y1953">
        <v>-4.0523570000000002E-2</v>
      </c>
      <c r="Z1953">
        <v>-2.427184E-4</v>
      </c>
      <c r="AA1953">
        <v>0.99917849999999997</v>
      </c>
      <c r="AB1953">
        <v>44</v>
      </c>
      <c r="AC1953">
        <v>-28.1753</v>
      </c>
      <c r="AD1953">
        <v>-1.1094078474489999</v>
      </c>
      <c r="AE1953">
        <v>-1.5531999999999999</v>
      </c>
      <c r="AF1953">
        <v>-1.1563465455063</v>
      </c>
      <c r="AG1953">
        <v>-1.1094078474489999</v>
      </c>
      <c r="AH1953">
        <v>28.150789456442901</v>
      </c>
      <c r="AI1953">
        <v>92.254929122377007</v>
      </c>
      <c r="AJ1953">
        <v>92.352209373837894</v>
      </c>
      <c r="AK1953">
        <v>28.196362710928899</v>
      </c>
      <c r="AL1953">
        <v>91.050265853955693</v>
      </c>
      <c r="AM1953">
        <v>94.503516116714394</v>
      </c>
      <c r="AN1953">
        <v>0.99999996488575504</v>
      </c>
    </row>
    <row r="1954" spans="1:40" x14ac:dyDescent="0.25">
      <c r="A1954" t="str">
        <f>"20190312151536396"</f>
        <v>20190312151536396</v>
      </c>
      <c r="B1954" t="str">
        <f>"1552374936389180"</f>
        <v>1552374936389180</v>
      </c>
      <c r="C1954" t="s">
        <v>40</v>
      </c>
      <c r="D1954">
        <v>4.9336129999999896</v>
      </c>
      <c r="E1954">
        <v>0.51480599999999999</v>
      </c>
      <c r="F1954" t="s">
        <v>51</v>
      </c>
      <c r="G1954">
        <v>-362.61470000000003</v>
      </c>
      <c r="H1954" s="1">
        <v>-1.453921E-7</v>
      </c>
      <c r="I1954">
        <v>282.16759999999999</v>
      </c>
      <c r="J1954">
        <v>-333.36320000000001</v>
      </c>
      <c r="K1954">
        <v>1.1094090000000001</v>
      </c>
      <c r="L1954">
        <v>283.74599999999998</v>
      </c>
      <c r="M1954">
        <v>-0.99978129999999998</v>
      </c>
      <c r="N1954">
        <v>0</v>
      </c>
      <c r="O1954">
        <v>-1.40489E-2</v>
      </c>
      <c r="P1954">
        <v>-0.99516919999999998</v>
      </c>
      <c r="Q1954">
        <v>-3.336691E-2</v>
      </c>
      <c r="R1954">
        <v>-9.2331979999999994E-2</v>
      </c>
      <c r="S1954">
        <v>-2.9958499999999999</v>
      </c>
      <c r="T1954">
        <v>-0.1126858</v>
      </c>
      <c r="U1954">
        <v>-0.16067500000000001</v>
      </c>
      <c r="V1954">
        <v>-7.8337009999999999E-2</v>
      </c>
      <c r="W1954">
        <v>-1.7937040000000001E-2</v>
      </c>
      <c r="X1954">
        <v>0.99676560000000003</v>
      </c>
      <c r="Y1954">
        <v>-3.9501929999999998E-2</v>
      </c>
      <c r="Z1954">
        <v>-2.1424700000000001E-4</v>
      </c>
      <c r="AA1954">
        <v>0.99921950000000004</v>
      </c>
      <c r="AB1954">
        <v>44</v>
      </c>
      <c r="AC1954">
        <v>-29.2515</v>
      </c>
      <c r="AD1954">
        <v>-1.1094091453921</v>
      </c>
      <c r="AE1954">
        <v>-1.57839999999998</v>
      </c>
      <c r="AF1954">
        <v>-1.16557175184248</v>
      </c>
      <c r="AG1954">
        <v>-1.1094091453921</v>
      </c>
      <c r="AH1954">
        <v>29.228868429349799</v>
      </c>
      <c r="AI1954">
        <v>92.171947090720394</v>
      </c>
      <c r="AJ1954">
        <v>92.283597694513304</v>
      </c>
      <c r="AK1954">
        <v>29.273129245449901</v>
      </c>
      <c r="AL1954">
        <v>91.027771761948699</v>
      </c>
      <c r="AM1954">
        <v>94.4937076542695</v>
      </c>
      <c r="AN1954">
        <v>1.0000000429415199</v>
      </c>
    </row>
    <row r="1955" spans="1:40" x14ac:dyDescent="0.25">
      <c r="A1955" t="str">
        <f>"20190312151536408"</f>
        <v>20190312151536408</v>
      </c>
      <c r="B1955" t="str">
        <f>"1552374936399916"</f>
        <v>1552374936399916</v>
      </c>
      <c r="C1955" t="s">
        <v>40</v>
      </c>
      <c r="D1955">
        <v>4.9447640000000002</v>
      </c>
      <c r="E1955">
        <v>0.5148587</v>
      </c>
      <c r="F1955" t="s">
        <v>51</v>
      </c>
      <c r="G1955">
        <v>-363.19159999999999</v>
      </c>
      <c r="H1955" s="1">
        <v>1.616286E-7</v>
      </c>
      <c r="I1955">
        <v>282.15820000000002</v>
      </c>
      <c r="J1955">
        <v>-333.6266</v>
      </c>
      <c r="K1955">
        <v>1.1094109999999999</v>
      </c>
      <c r="L1955">
        <v>283.7423</v>
      </c>
      <c r="M1955">
        <v>-0.99978080000000003</v>
      </c>
      <c r="N1955">
        <v>0</v>
      </c>
      <c r="O1955">
        <v>-1.4085800000000001E-2</v>
      </c>
      <c r="P1955">
        <v>-0.99517509999999998</v>
      </c>
      <c r="Q1955">
        <v>-3.2942979999999997E-2</v>
      </c>
      <c r="R1955">
        <v>-9.2420340000000004E-2</v>
      </c>
      <c r="S1955">
        <v>-2.9960629999999999</v>
      </c>
      <c r="T1955">
        <v>-0.1114327</v>
      </c>
      <c r="U1955">
        <v>-0.15948490000000001</v>
      </c>
      <c r="V1955">
        <v>-7.8388920000000001E-2</v>
      </c>
      <c r="W1955">
        <v>-1.7515699999999999E-2</v>
      </c>
      <c r="X1955">
        <v>0.99676900000000002</v>
      </c>
      <c r="Y1955">
        <v>-3.9066150000000001E-2</v>
      </c>
      <c r="Z1955">
        <v>-2.0238649999999999E-4</v>
      </c>
      <c r="AA1955">
        <v>0.99923660000000003</v>
      </c>
      <c r="AB1955">
        <v>44</v>
      </c>
      <c r="AC1955">
        <v>-29.565000000000001</v>
      </c>
      <c r="AD1955">
        <v>-1.1094108383713901</v>
      </c>
      <c r="AE1955">
        <v>-1.5840999999999701</v>
      </c>
      <c r="AF1955">
        <v>-1.16580929641824</v>
      </c>
      <c r="AG1955">
        <v>-1.1094108383713901</v>
      </c>
      <c r="AH1955">
        <v>29.542902299691502</v>
      </c>
      <c r="AI1955">
        <v>92.148920217733703</v>
      </c>
      <c r="AJ1955">
        <v>92.259808876820003</v>
      </c>
      <c r="AK1955">
        <v>29.5867027566951</v>
      </c>
      <c r="AL1955">
        <v>91.003626977372306</v>
      </c>
      <c r="AM1955">
        <v>94.496657924822799</v>
      </c>
      <c r="AN1955">
        <v>1.0000000309431201</v>
      </c>
    </row>
    <row r="1956" spans="1:40" x14ac:dyDescent="0.25">
      <c r="A1956" t="str">
        <f>"20190312151536429"</f>
        <v>20190312151536429</v>
      </c>
      <c r="B1956" t="str">
        <f>"1552374936419436"</f>
        <v>1552374936419436</v>
      </c>
      <c r="C1956" t="s">
        <v>40</v>
      </c>
      <c r="D1956">
        <v>4.9415420000000001</v>
      </c>
      <c r="E1956">
        <v>0.51509450000000001</v>
      </c>
      <c r="F1956" t="s">
        <v>51</v>
      </c>
      <c r="G1956">
        <v>-363.98820000000001</v>
      </c>
      <c r="H1956" s="1">
        <v>5.8550930000000001E-7</v>
      </c>
      <c r="I1956">
        <v>282.1268</v>
      </c>
      <c r="J1956">
        <v>-334.01859999999999</v>
      </c>
      <c r="K1956">
        <v>1.109415</v>
      </c>
      <c r="L1956">
        <v>283.73680000000002</v>
      </c>
      <c r="M1956">
        <v>-0.99978020000000001</v>
      </c>
      <c r="N1956">
        <v>0</v>
      </c>
      <c r="O1956">
        <v>-1.414116E-2</v>
      </c>
      <c r="P1956">
        <v>-0.99524869999999999</v>
      </c>
      <c r="Q1956">
        <v>-3.1757100000000003E-2</v>
      </c>
      <c r="R1956">
        <v>-9.2042330000000006E-2</v>
      </c>
      <c r="S1956">
        <v>-2.9961549999999999</v>
      </c>
      <c r="T1956">
        <v>-0.1094793</v>
      </c>
      <c r="U1956">
        <v>-0.15942379999999901</v>
      </c>
      <c r="V1956">
        <v>-7.7955109999999994E-2</v>
      </c>
      <c r="W1956">
        <v>-1.6332860000000001E-2</v>
      </c>
      <c r="X1956">
        <v>0.99682309999999996</v>
      </c>
      <c r="Y1956">
        <v>-3.8989589999999998E-2</v>
      </c>
      <c r="Z1956">
        <v>-1.954178E-4</v>
      </c>
      <c r="AA1956">
        <v>0.99923960000000001</v>
      </c>
      <c r="AB1956">
        <v>44</v>
      </c>
      <c r="AC1956">
        <v>-29.9696</v>
      </c>
      <c r="AD1956">
        <v>-1.1094144144906899</v>
      </c>
      <c r="AE1956">
        <v>-1.6100000000000101</v>
      </c>
      <c r="AF1956">
        <v>-1.1843649877095199</v>
      </c>
      <c r="AG1956">
        <v>-1.1094144144906899</v>
      </c>
      <c r="AH1956">
        <v>29.9484513644299</v>
      </c>
      <c r="AI1956">
        <v>92.119846902143607</v>
      </c>
      <c r="AJ1956">
        <v>92.264683788951601</v>
      </c>
      <c r="AK1956">
        <v>29.992386698874299</v>
      </c>
      <c r="AL1956">
        <v>90.935845531221503</v>
      </c>
      <c r="AM1956">
        <v>94.471632592369801</v>
      </c>
      <c r="AN1956">
        <v>1.00000002709225</v>
      </c>
    </row>
    <row r="1957" spans="1:40" x14ac:dyDescent="0.25">
      <c r="A1957" t="str">
        <f>"20190312151536443"</f>
        <v>20190312151536443</v>
      </c>
      <c r="B1957" t="str">
        <f>"1552374936438957"</f>
        <v>1552374936438957</v>
      </c>
      <c r="C1957" t="s">
        <v>40</v>
      </c>
      <c r="D1957">
        <v>4.9725760000000001</v>
      </c>
      <c r="E1957">
        <v>0.51509229999999995</v>
      </c>
      <c r="F1957" t="s">
        <v>51</v>
      </c>
      <c r="G1957">
        <v>-365.9787</v>
      </c>
      <c r="H1957" s="1">
        <v>1.6447849999999999E-6</v>
      </c>
      <c r="I1957">
        <v>282.06950000000001</v>
      </c>
      <c r="J1957">
        <v>-334.32240000000002</v>
      </c>
      <c r="K1957">
        <v>1.1094189999999999</v>
      </c>
      <c r="L1957">
        <v>283.73239999999998</v>
      </c>
      <c r="M1957">
        <v>-0.99977950000000004</v>
      </c>
      <c r="N1957">
        <v>0</v>
      </c>
      <c r="O1957">
        <v>-1.4183670000000001E-2</v>
      </c>
      <c r="P1957">
        <v>-0.99528110000000003</v>
      </c>
      <c r="Q1957">
        <v>-3.1257569999999998E-2</v>
      </c>
      <c r="R1957">
        <v>-9.1863609999999998E-2</v>
      </c>
      <c r="S1957">
        <v>-2.9964900000000001</v>
      </c>
      <c r="T1957">
        <v>-0.10401539999999999</v>
      </c>
      <c r="U1957">
        <v>-0.15631099999999901</v>
      </c>
      <c r="V1957">
        <v>-7.7733289999999997E-2</v>
      </c>
      <c r="W1957">
        <v>-1.5836070000000001E-2</v>
      </c>
      <c r="X1957">
        <v>0.99684839999999997</v>
      </c>
      <c r="Y1957">
        <v>-3.7908280000000003E-2</v>
      </c>
      <c r="Z1957">
        <v>-1.6543109999999999E-4</v>
      </c>
      <c r="AA1957">
        <v>0.99928119999999998</v>
      </c>
      <c r="AB1957">
        <v>44</v>
      </c>
      <c r="AC1957">
        <v>-31.656299999999899</v>
      </c>
      <c r="AD1957">
        <v>-1.109417355215</v>
      </c>
      <c r="AE1957">
        <v>-1.6628999999999701</v>
      </c>
      <c r="AF1957">
        <v>-1.2121916126168299</v>
      </c>
      <c r="AG1957">
        <v>-1.109417355215</v>
      </c>
      <c r="AH1957">
        <v>31.637952826322099</v>
      </c>
      <c r="AI1957">
        <v>92.006841273477093</v>
      </c>
      <c r="AJ1957">
        <v>92.194184553398401</v>
      </c>
      <c r="AK1957">
        <v>31.680597759738301</v>
      </c>
      <c r="AL1957">
        <v>90.907377913259197</v>
      </c>
      <c r="AM1957">
        <v>94.458847308101895</v>
      </c>
      <c r="AN1957">
        <v>0.99999998903491405</v>
      </c>
    </row>
    <row r="1958" spans="1:40" x14ac:dyDescent="0.25">
      <c r="A1958" t="str">
        <f>"20190312151536461"</f>
        <v>20190312151536461</v>
      </c>
      <c r="B1958" t="str">
        <f>"1552374936449692"</f>
        <v>1552374936449692</v>
      </c>
      <c r="C1958" t="s">
        <v>40</v>
      </c>
      <c r="D1958">
        <v>4.9360920000000004</v>
      </c>
      <c r="E1958">
        <v>0.51512309999999994</v>
      </c>
      <c r="F1958" t="s">
        <v>51</v>
      </c>
      <c r="G1958">
        <v>-366.35700000000003</v>
      </c>
      <c r="H1958" s="1">
        <v>1.846069E-6</v>
      </c>
      <c r="I1958">
        <v>282.06819999999999</v>
      </c>
      <c r="J1958">
        <v>-334.65199999999999</v>
      </c>
      <c r="K1958">
        <v>1.109426</v>
      </c>
      <c r="L1958">
        <v>283.72770000000003</v>
      </c>
      <c r="M1958">
        <v>-0.99977899999999997</v>
      </c>
      <c r="N1958">
        <v>0</v>
      </c>
      <c r="O1958">
        <v>-1.422998E-2</v>
      </c>
      <c r="P1958">
        <v>-0.9953687</v>
      </c>
      <c r="Q1958">
        <v>-2.9754550000000001E-2</v>
      </c>
      <c r="R1958">
        <v>-9.1411880000000001E-2</v>
      </c>
      <c r="S1958">
        <v>-2.9965820000000001</v>
      </c>
      <c r="T1958">
        <v>-0.1037772</v>
      </c>
      <c r="U1958">
        <v>-0.15567020000000001</v>
      </c>
      <c r="V1958">
        <v>-7.7234510000000006E-2</v>
      </c>
      <c r="W1958">
        <v>-1.433534E-2</v>
      </c>
      <c r="X1958">
        <v>0.99690990000000002</v>
      </c>
      <c r="Y1958">
        <v>-3.7647510000000002E-2</v>
      </c>
      <c r="Z1958">
        <v>-1.58935E-4</v>
      </c>
      <c r="AA1958">
        <v>0.99929109999999999</v>
      </c>
      <c r="AB1958">
        <v>44</v>
      </c>
      <c r="AC1958">
        <v>-31.704999999999899</v>
      </c>
      <c r="AD1958">
        <v>-1.1094241539309999</v>
      </c>
      <c r="AE1958">
        <v>-1.65950000000003</v>
      </c>
      <c r="AF1958">
        <v>-1.2066429576323101</v>
      </c>
      <c r="AG1958">
        <v>-1.1094241539309999</v>
      </c>
      <c r="AH1958">
        <v>31.6867138665299</v>
      </c>
      <c r="AI1958">
        <v>92.003785713113004</v>
      </c>
      <c r="AJ1958">
        <v>92.180792870101499</v>
      </c>
      <c r="AK1958">
        <v>31.729082004367399</v>
      </c>
      <c r="AL1958">
        <v>90.821382605840697</v>
      </c>
      <c r="AM1958">
        <v>94.430078913028893</v>
      </c>
      <c r="AN1958">
        <v>1.00000001011293</v>
      </c>
    </row>
    <row r="1959" spans="1:40" x14ac:dyDescent="0.25">
      <c r="A1959" t="str">
        <f>"20190312151536596"</f>
        <v>20190312151536596</v>
      </c>
      <c r="B1959" t="str">
        <f>"1552374936589261"</f>
        <v>1552374936589261</v>
      </c>
      <c r="C1959" t="s">
        <v>40</v>
      </c>
      <c r="D1959">
        <v>4.0789269999999904</v>
      </c>
      <c r="E1959">
        <v>0.51512309999999994</v>
      </c>
      <c r="F1959" t="s">
        <v>51</v>
      </c>
      <c r="G1959">
        <v>-367.01499999999999</v>
      </c>
      <c r="H1959" s="1">
        <v>2.196266E-6</v>
      </c>
      <c r="I1959">
        <v>282.06200000000001</v>
      </c>
      <c r="J1959">
        <v>-337.27839999999998</v>
      </c>
      <c r="K1959">
        <v>1.1094550000000001</v>
      </c>
      <c r="L1959">
        <v>283.68970000000002</v>
      </c>
      <c r="M1959">
        <v>-0.99977550000000004</v>
      </c>
      <c r="N1959">
        <v>0</v>
      </c>
      <c r="O1959">
        <v>-1.4506349999999999E-2</v>
      </c>
      <c r="P1959">
        <v>-0.99601110000000004</v>
      </c>
      <c r="Q1959">
        <v>-1.7094689999999999E-2</v>
      </c>
      <c r="R1959">
        <v>-8.7577569999999993E-2</v>
      </c>
      <c r="S1959">
        <v>-2.9967039999999998</v>
      </c>
      <c r="T1959">
        <v>-0.10272870000000001</v>
      </c>
      <c r="U1959">
        <v>-0.15423580000000001</v>
      </c>
      <c r="V1959">
        <v>-7.3118429999999998E-2</v>
      </c>
      <c r="W1959">
        <v>-1.6911719999999999E-3</v>
      </c>
      <c r="X1959">
        <v>0.99732180000000004</v>
      </c>
      <c r="Y1959">
        <v>-3.689303E-2</v>
      </c>
      <c r="Z1959">
        <v>-1.349423E-4</v>
      </c>
      <c r="AA1959">
        <v>0.99931919999999996</v>
      </c>
      <c r="AB1959">
        <v>44</v>
      </c>
      <c r="AC1959">
        <v>-29.736599999999999</v>
      </c>
      <c r="AD1959">
        <v>-1.1094528037339999</v>
      </c>
      <c r="AE1959">
        <v>-1.6276999999999999</v>
      </c>
      <c r="AF1959">
        <v>-1.1944500158600599</v>
      </c>
      <c r="AG1959">
        <v>-1.1094528037339999</v>
      </c>
      <c r="AH1959">
        <v>29.715844599626799</v>
      </c>
      <c r="AI1959">
        <v>92.136443832357401</v>
      </c>
      <c r="AJ1959">
        <v>92.301806446360601</v>
      </c>
      <c r="AK1959">
        <v>29.760527828539399</v>
      </c>
      <c r="AL1959">
        <v>90.0968970672414</v>
      </c>
      <c r="AM1959">
        <v>94.193125539342603</v>
      </c>
      <c r="AN1959">
        <v>0.99999996881181796</v>
      </c>
    </row>
    <row r="1960" spans="1:40" x14ac:dyDescent="0.25">
      <c r="A1960" t="str">
        <f>"20190312151536608"</f>
        <v>20190312151536608</v>
      </c>
      <c r="B1960" t="str">
        <f>"1552374936599020"</f>
        <v>1552374936599020</v>
      </c>
      <c r="C1960" t="s">
        <v>40</v>
      </c>
      <c r="D1960">
        <v>4.030214</v>
      </c>
      <c r="E1960">
        <v>0.44124209999999903</v>
      </c>
      <c r="F1960" t="s">
        <v>51</v>
      </c>
      <c r="G1960">
        <v>-388.46850000000001</v>
      </c>
      <c r="H1960" s="1">
        <v>2.9697180000000002E-6</v>
      </c>
      <c r="I1960">
        <v>281.25240000000002</v>
      </c>
      <c r="J1960">
        <v>-337.54860000000002</v>
      </c>
      <c r="K1960">
        <v>1.1094580000000001</v>
      </c>
      <c r="L1960">
        <v>283.68579999999997</v>
      </c>
      <c r="M1960">
        <v>-0.99977539999999998</v>
      </c>
      <c r="N1960">
        <v>0</v>
      </c>
      <c r="O1960">
        <v>-1.451706E-2</v>
      </c>
      <c r="P1960">
        <v>-0.99606519999999998</v>
      </c>
      <c r="Q1960">
        <v>-1.5671299999999999E-2</v>
      </c>
      <c r="R1960">
        <v>-8.7229699999999993E-2</v>
      </c>
      <c r="S1960">
        <v>-2.9983520000000001</v>
      </c>
      <c r="T1960">
        <v>-6.4983840000000001E-2</v>
      </c>
      <c r="U1960">
        <v>-0.1427612</v>
      </c>
      <c r="V1960">
        <v>-7.2759000000000004E-2</v>
      </c>
      <c r="W1960">
        <v>-2.6926899999999999E-4</v>
      </c>
      <c r="X1960">
        <v>0.9973495</v>
      </c>
      <c r="Y1960">
        <v>-3.3047640000000003E-2</v>
      </c>
      <c r="Z1960" s="1">
        <v>-4.3461039999999999E-5</v>
      </c>
      <c r="AA1960">
        <v>0.99945379999999995</v>
      </c>
      <c r="AB1960">
        <v>44</v>
      </c>
      <c r="AC1960">
        <v>-50.919899999999899</v>
      </c>
      <c r="AD1960">
        <v>-1.1094550302820001</v>
      </c>
      <c r="AE1960">
        <v>-2.4333999999999398</v>
      </c>
      <c r="AF1960">
        <v>-1.6930462333121601</v>
      </c>
      <c r="AG1960">
        <v>-1.1094550302820001</v>
      </c>
      <c r="AH1960">
        <v>50.925742144887401</v>
      </c>
      <c r="AI1960">
        <v>91.247344683753894</v>
      </c>
      <c r="AJ1960">
        <v>91.904119312780196</v>
      </c>
      <c r="AK1960">
        <v>50.965954410958602</v>
      </c>
      <c r="AL1960">
        <v>90.015427977673596</v>
      </c>
      <c r="AM1960">
        <v>94.172470794241406</v>
      </c>
      <c r="AN1960">
        <v>0.99999998486852204</v>
      </c>
    </row>
    <row r="1961" spans="1:40" x14ac:dyDescent="0.25">
      <c r="A1961" t="str">
        <f>"20190312151536623"</f>
        <v>20190312151536623</v>
      </c>
      <c r="B1961" t="str">
        <f>"1552374936619517"</f>
        <v>1552374936619517</v>
      </c>
      <c r="C1961" t="s">
        <v>40</v>
      </c>
      <c r="D1961">
        <v>5.0142680000000004</v>
      </c>
      <c r="E1961">
        <v>0.51548079999999996</v>
      </c>
      <c r="F1961" t="s">
        <v>56</v>
      </c>
      <c r="G1961">
        <v>-472.62060000000002</v>
      </c>
      <c r="H1961">
        <v>19.15146</v>
      </c>
      <c r="I1961">
        <v>250.77670000000001</v>
      </c>
      <c r="J1961">
        <v>-337.81470000000002</v>
      </c>
      <c r="K1961">
        <v>1.1094580000000001</v>
      </c>
      <c r="L1961">
        <v>283.68189999999998</v>
      </c>
      <c r="M1961">
        <v>-0.99977519999999998</v>
      </c>
      <c r="N1961">
        <v>0</v>
      </c>
      <c r="O1961">
        <v>-1.452325E-2</v>
      </c>
      <c r="P1961">
        <v>-0.99611570000000005</v>
      </c>
      <c r="Q1961">
        <v>-1.448666E-2</v>
      </c>
      <c r="R1961">
        <v>-8.6854230000000004E-2</v>
      </c>
      <c r="S1961">
        <v>-2.9550480000000001</v>
      </c>
      <c r="T1961">
        <v>0.39471519999999999</v>
      </c>
      <c r="U1961">
        <v>-0.71997069999999996</v>
      </c>
      <c r="V1961">
        <v>-7.2376140000000005E-2</v>
      </c>
      <c r="W1961">
        <v>9.1392190000000003E-4</v>
      </c>
      <c r="X1961">
        <v>0.99737699999999996</v>
      </c>
      <c r="Y1961">
        <v>-0.22085060000000001</v>
      </c>
      <c r="Z1961">
        <v>1.2572460000000001E-2</v>
      </c>
      <c r="AA1961">
        <v>0.97522660000000005</v>
      </c>
      <c r="AB1961">
        <v>44</v>
      </c>
      <c r="AC1961">
        <v>-134.80590000000001</v>
      </c>
      <c r="AD1961">
        <v>18.042002</v>
      </c>
      <c r="AE1961">
        <v>-32.905199999999901</v>
      </c>
      <c r="AF1961">
        <v>-30.429266052819798</v>
      </c>
      <c r="AG1961">
        <v>18.042002</v>
      </c>
      <c r="AH1961">
        <v>133.02089713527801</v>
      </c>
      <c r="AI1961">
        <v>82.468179474344893</v>
      </c>
      <c r="AJ1961">
        <v>102.885025757368</v>
      </c>
      <c r="AK1961">
        <v>137.6445173022</v>
      </c>
      <c r="AL1961">
        <v>89.9476361255863</v>
      </c>
      <c r="AM1961">
        <v>94.150478021986501</v>
      </c>
      <c r="AN1961">
        <v>1.0000000105117599</v>
      </c>
    </row>
    <row r="1962" spans="1:40" x14ac:dyDescent="0.25">
      <c r="A1962" t="str">
        <f>"20190312151536638"</f>
        <v>20190312151536638</v>
      </c>
      <c r="B1962" t="str">
        <f>"1552374936629277"</f>
        <v>1552374936629277</v>
      </c>
      <c r="C1962" t="s">
        <v>40</v>
      </c>
      <c r="D1962">
        <v>4.8906400000000003</v>
      </c>
      <c r="E1962">
        <v>0.51415480000000002</v>
      </c>
      <c r="F1962" t="s">
        <v>55</v>
      </c>
      <c r="G1962">
        <v>-511.07569999999998</v>
      </c>
      <c r="H1962">
        <v>5.8584459999999998</v>
      </c>
      <c r="I1962">
        <v>275.88049999999998</v>
      </c>
      <c r="J1962">
        <v>-338.09339999999997</v>
      </c>
      <c r="K1962">
        <v>1.1094580000000001</v>
      </c>
      <c r="L1962">
        <v>283.67790000000002</v>
      </c>
      <c r="M1962">
        <v>-0.99977539999999998</v>
      </c>
      <c r="N1962">
        <v>0</v>
      </c>
      <c r="O1962">
        <v>-1.4524779999999999E-2</v>
      </c>
      <c r="P1962">
        <v>-0.9961622</v>
      </c>
      <c r="Q1962">
        <v>-1.3421840000000001E-2</v>
      </c>
      <c r="R1962">
        <v>-8.6493410000000007E-2</v>
      </c>
      <c r="S1962">
        <v>-3.0011290000000002</v>
      </c>
      <c r="T1962">
        <v>8.2260609999999998E-2</v>
      </c>
      <c r="U1962">
        <v>-0.1351318</v>
      </c>
      <c r="V1962">
        <v>-7.201362E-2</v>
      </c>
      <c r="W1962">
        <v>1.9772679999999999E-3</v>
      </c>
      <c r="X1962">
        <v>0.99740169999999995</v>
      </c>
      <c r="Y1962">
        <v>-3.0458900000000001E-2</v>
      </c>
      <c r="Z1962" s="1">
        <v>1.929712E-5</v>
      </c>
      <c r="AA1962">
        <v>0.99953599999999998</v>
      </c>
      <c r="AB1962">
        <v>44</v>
      </c>
      <c r="AC1962">
        <v>-172.98230000000001</v>
      </c>
      <c r="AD1962">
        <v>4.7489879999999998</v>
      </c>
      <c r="AE1962">
        <v>-7.7974000000000396</v>
      </c>
      <c r="AF1962">
        <v>-5.2797768311295403</v>
      </c>
      <c r="AG1962">
        <v>4.7489879999999998</v>
      </c>
      <c r="AH1962">
        <v>172.94723063000501</v>
      </c>
      <c r="AI1962">
        <v>88.427832570758</v>
      </c>
      <c r="AJ1962">
        <v>91.748596978197199</v>
      </c>
      <c r="AK1962">
        <v>173.092962055073</v>
      </c>
      <c r="AL1962">
        <v>89.886710816073105</v>
      </c>
      <c r="AM1962">
        <v>94.129659161449993</v>
      </c>
      <c r="AN1962">
        <v>1.0000000111085601</v>
      </c>
    </row>
    <row r="1963" spans="1:40" x14ac:dyDescent="0.25">
      <c r="A1963" t="str">
        <f>"20190312151536650"</f>
        <v>20190312151536650</v>
      </c>
      <c r="B1963" t="str">
        <f>"1552374936639037"</f>
        <v>1552374936639037</v>
      </c>
      <c r="C1963" t="s">
        <v>40</v>
      </c>
      <c r="D1963">
        <v>4.947012</v>
      </c>
      <c r="E1963">
        <v>0.51328459999999998</v>
      </c>
      <c r="F1963" t="s">
        <v>55</v>
      </c>
      <c r="G1963">
        <v>-512.82569999999998</v>
      </c>
      <c r="H1963">
        <v>1.8011429999999999</v>
      </c>
      <c r="I1963">
        <v>275.17169999999999</v>
      </c>
      <c r="J1963">
        <v>-338.35289999999998</v>
      </c>
      <c r="K1963">
        <v>1.109459</v>
      </c>
      <c r="L1963">
        <v>283.67410000000001</v>
      </c>
      <c r="M1963">
        <v>-0.99977539999999998</v>
      </c>
      <c r="N1963">
        <v>0</v>
      </c>
      <c r="O1963">
        <v>-1.45183E-2</v>
      </c>
      <c r="P1963">
        <v>-0.99624049999999997</v>
      </c>
      <c r="Q1963">
        <v>-1.158435E-2</v>
      </c>
      <c r="R1963">
        <v>-8.5852059999999994E-2</v>
      </c>
      <c r="S1963">
        <v>-2.9990540000000001</v>
      </c>
      <c r="T1963">
        <v>1.187325E-2</v>
      </c>
      <c r="U1963">
        <v>-0.14599609999999999</v>
      </c>
      <c r="V1963">
        <v>-7.1377339999999997E-2</v>
      </c>
      <c r="W1963">
        <v>3.8135589999999998E-3</v>
      </c>
      <c r="X1963">
        <v>0.9974421</v>
      </c>
      <c r="Y1963">
        <v>-3.4114999999999999E-2</v>
      </c>
      <c r="Z1963" s="1">
        <v>1.0046449999999999E-5</v>
      </c>
      <c r="AA1963">
        <v>0.99941789999999997</v>
      </c>
      <c r="AB1963">
        <v>44</v>
      </c>
      <c r="AC1963">
        <v>-174.47280000000001</v>
      </c>
      <c r="AD1963">
        <v>0.69168399999999997</v>
      </c>
      <c r="AE1963">
        <v>-8.5024000000000193</v>
      </c>
      <c r="AF1963">
        <v>-5.9680596853585</v>
      </c>
      <c r="AG1963">
        <v>0.69168399999999997</v>
      </c>
      <c r="AH1963">
        <v>174.575124740566</v>
      </c>
      <c r="AI1963">
        <v>89.773122148793206</v>
      </c>
      <c r="AJ1963">
        <v>91.957962315116902</v>
      </c>
      <c r="AK1963">
        <v>174.67847704095601</v>
      </c>
      <c r="AL1963">
        <v>89.781498635928799</v>
      </c>
      <c r="AM1963">
        <v>94.093130694508403</v>
      </c>
      <c r="AN1963">
        <v>1.00000000537506</v>
      </c>
    </row>
    <row r="1964" spans="1:40" x14ac:dyDescent="0.25">
      <c r="A1964" t="str">
        <f>"20190312151536663"</f>
        <v>20190312151536663</v>
      </c>
      <c r="B1964" t="str">
        <f>"1552374936659533"</f>
        <v>1552374936659533</v>
      </c>
      <c r="C1964" t="s">
        <v>40</v>
      </c>
      <c r="D1964">
        <v>4.8882909999999997</v>
      </c>
      <c r="E1964">
        <v>0.51168469999999999</v>
      </c>
      <c r="F1964" t="s">
        <v>55</v>
      </c>
      <c r="G1964">
        <v>-512.82560000000001</v>
      </c>
      <c r="H1964">
        <v>1.4907090000000001</v>
      </c>
      <c r="I1964">
        <v>274.87509999999997</v>
      </c>
      <c r="J1964">
        <v>-338.59280000000001</v>
      </c>
      <c r="K1964">
        <v>1.1094539999999999</v>
      </c>
      <c r="L1964">
        <v>283.67059999999998</v>
      </c>
      <c r="M1964">
        <v>-0.99977579999999999</v>
      </c>
      <c r="N1964">
        <v>0</v>
      </c>
      <c r="O1964">
        <v>-1.450164E-2</v>
      </c>
      <c r="P1964">
        <v>-0.99627619999999895</v>
      </c>
      <c r="Q1964">
        <v>-1.060054E-2</v>
      </c>
      <c r="R1964">
        <v>-8.5568130000000006E-2</v>
      </c>
      <c r="S1964">
        <v>-2.998383</v>
      </c>
      <c r="T1964">
        <v>6.5532919999999996E-3</v>
      </c>
      <c r="U1964">
        <v>-0.1512146</v>
      </c>
      <c r="V1964">
        <v>-7.1109279999999997E-2</v>
      </c>
      <c r="W1964">
        <v>4.7963119999999996E-3</v>
      </c>
      <c r="X1964">
        <v>0.99745700000000004</v>
      </c>
      <c r="Y1964">
        <v>-3.5877729999999997E-2</v>
      </c>
      <c r="Z1964" s="1">
        <v>7.5075989999999997E-6</v>
      </c>
      <c r="AA1964">
        <v>0.99935620000000003</v>
      </c>
      <c r="AB1964">
        <v>44</v>
      </c>
      <c r="AC1964">
        <v>-174.2328</v>
      </c>
      <c r="AD1964">
        <v>0.38125499999999901</v>
      </c>
      <c r="AE1964">
        <v>-8.7955000000000005</v>
      </c>
      <c r="AF1964">
        <v>-6.2675828268382201</v>
      </c>
      <c r="AG1964">
        <v>0.38125499999999901</v>
      </c>
      <c r="AH1964">
        <v>174.341206009742</v>
      </c>
      <c r="AI1964">
        <v>89.874784820284006</v>
      </c>
      <c r="AJ1964">
        <v>92.058902010602907</v>
      </c>
      <c r="AK1964">
        <v>174.45424633065701</v>
      </c>
      <c r="AL1964">
        <v>89.725190511676999</v>
      </c>
      <c r="AM1964">
        <v>94.077750049696604</v>
      </c>
      <c r="AN1964">
        <v>1.0000000005799501</v>
      </c>
    </row>
    <row r="1965" spans="1:40" x14ac:dyDescent="0.25">
      <c r="A1965" t="str">
        <f>"20190312151536676"</f>
        <v>20190312151536676</v>
      </c>
      <c r="B1965" t="str">
        <f>"1552374936669292"</f>
        <v>1552374936669292</v>
      </c>
      <c r="C1965" t="s">
        <v>40</v>
      </c>
      <c r="D1965">
        <v>5.0801959999999999</v>
      </c>
      <c r="E1965">
        <v>0.51060669999999997</v>
      </c>
      <c r="F1965" t="s">
        <v>55</v>
      </c>
      <c r="G1965">
        <v>-512.82560000000001</v>
      </c>
      <c r="H1965">
        <v>1.258616</v>
      </c>
      <c r="I1965">
        <v>274.19009999999997</v>
      </c>
      <c r="J1965">
        <v>-338.84280000000001</v>
      </c>
      <c r="K1965">
        <v>1.1094489999999999</v>
      </c>
      <c r="L1965">
        <v>283.6671</v>
      </c>
      <c r="M1965">
        <v>-0.99977609999999995</v>
      </c>
      <c r="N1965">
        <v>0</v>
      </c>
      <c r="O1965">
        <v>-1.4477439999999999E-2</v>
      </c>
      <c r="P1965">
        <v>-0.99631789999999998</v>
      </c>
      <c r="Q1965">
        <v>-9.8574579999999995E-3</v>
      </c>
      <c r="R1965">
        <v>-8.5168960000000002E-2</v>
      </c>
      <c r="S1965">
        <v>-2.9971920000000001</v>
      </c>
      <c r="T1965">
        <v>2.5672910000000002E-3</v>
      </c>
      <c r="U1965">
        <v>-0.16308590000000001</v>
      </c>
      <c r="V1965">
        <v>-7.0734210000000006E-2</v>
      </c>
      <c r="W1965">
        <v>5.5392139999999998E-3</v>
      </c>
      <c r="X1965">
        <v>0.99747980000000003</v>
      </c>
      <c r="Y1965">
        <v>-3.9869040000000001E-2</v>
      </c>
      <c r="Z1965" s="1">
        <v>4.67095899999999E-6</v>
      </c>
      <c r="AA1965">
        <v>0.99920489999999995</v>
      </c>
      <c r="AB1965">
        <v>43</v>
      </c>
      <c r="AC1965">
        <v>-173.9828</v>
      </c>
      <c r="AD1965">
        <v>0.14916699999999999</v>
      </c>
      <c r="AE1965">
        <v>-9.4770000000000305</v>
      </c>
      <c r="AF1965">
        <v>-6.95687590541137</v>
      </c>
      <c r="AG1965">
        <v>0.14916699999999999</v>
      </c>
      <c r="AH1965">
        <v>174.101653067792</v>
      </c>
      <c r="AI1965">
        <v>89.950949216933196</v>
      </c>
      <c r="AJ1965">
        <v>92.288247562567904</v>
      </c>
      <c r="AK1965">
        <v>174.24065534224499</v>
      </c>
      <c r="AL1965">
        <v>89.682624787058899</v>
      </c>
      <c r="AM1965">
        <v>94.056221298588994</v>
      </c>
      <c r="AN1965">
        <v>0.99999998138205004</v>
      </c>
    </row>
    <row r="1966" spans="1:40" x14ac:dyDescent="0.25">
      <c r="A1966" t="str">
        <f>"20190312151536687"</f>
        <v>20190312151536687</v>
      </c>
      <c r="B1966" t="str">
        <f>"1552374936679053"</f>
        <v>1552374936679053</v>
      </c>
      <c r="C1966" t="s">
        <v>40</v>
      </c>
      <c r="D1966">
        <v>4.8679119999999996</v>
      </c>
      <c r="E1966">
        <v>0.51020029999999905</v>
      </c>
      <c r="F1966" t="s">
        <v>48</v>
      </c>
      <c r="G1966">
        <v>-455.30840000000001</v>
      </c>
      <c r="H1966">
        <v>1.105097</v>
      </c>
      <c r="I1966">
        <v>277.03530000000001</v>
      </c>
      <c r="J1966">
        <v>-339.08589999999998</v>
      </c>
      <c r="K1966">
        <v>1.1094379999999999</v>
      </c>
      <c r="L1966">
        <v>283.6635</v>
      </c>
      <c r="M1966">
        <v>-0.99977669999999996</v>
      </c>
      <c r="N1966">
        <v>0</v>
      </c>
      <c r="O1966">
        <v>-1.4440430000000001E-2</v>
      </c>
      <c r="P1966">
        <v>-0.99632940000000003</v>
      </c>
      <c r="Q1966">
        <v>-9.3372730000000001E-3</v>
      </c>
      <c r="R1966">
        <v>-8.5091979999999998E-2</v>
      </c>
      <c r="S1966">
        <v>-2.9964599999999999</v>
      </c>
      <c r="T1966">
        <v>-1.102686E-4</v>
      </c>
      <c r="U1966">
        <v>-0.17062379999999999</v>
      </c>
      <c r="V1966">
        <v>-7.0693569999999997E-2</v>
      </c>
      <c r="W1966">
        <v>6.0584819999999996E-3</v>
      </c>
      <c r="X1966">
        <v>0.99747969999999997</v>
      </c>
      <c r="Y1966">
        <v>-4.2424969999999999E-2</v>
      </c>
      <c r="Z1966" s="1">
        <v>-2.4901249999999999E-7</v>
      </c>
      <c r="AA1966">
        <v>0.99909970000000003</v>
      </c>
      <c r="AB1966">
        <v>43</v>
      </c>
      <c r="AC1966">
        <v>-116.2225</v>
      </c>
      <c r="AD1966">
        <v>-4.3409999999999196E-3</v>
      </c>
      <c r="AE1966">
        <v>-6.6281999999999899</v>
      </c>
      <c r="AF1966">
        <v>-4.94900606683996</v>
      </c>
      <c r="AG1966">
        <v>-4.3409999999999196E-3</v>
      </c>
      <c r="AH1966">
        <v>116.306104064884</v>
      </c>
      <c r="AI1966">
        <v>90.002136569826504</v>
      </c>
      <c r="AJ1966">
        <v>92.436554889802693</v>
      </c>
      <c r="AK1966">
        <v>116.411350488883</v>
      </c>
      <c r="AL1966">
        <v>89.652872434144996</v>
      </c>
      <c r="AM1966">
        <v>94.053898993425904</v>
      </c>
      <c r="AN1966">
        <v>1.00000001897778</v>
      </c>
    </row>
    <row r="1967" spans="1:40" x14ac:dyDescent="0.25">
      <c r="A1967" t="str">
        <f>"20190312151536700"</f>
        <v>20190312151536700</v>
      </c>
      <c r="B1967" t="str">
        <f>"1552374936689790"</f>
        <v>1552374936689790</v>
      </c>
      <c r="C1967" t="s">
        <v>40</v>
      </c>
      <c r="D1967">
        <v>4.8705179999999997</v>
      </c>
      <c r="E1967">
        <v>0.50992190000000004</v>
      </c>
      <c r="F1967" t="s">
        <v>48</v>
      </c>
      <c r="G1967">
        <v>-455.20749999999998</v>
      </c>
      <c r="H1967">
        <v>0.94216999999999995</v>
      </c>
      <c r="I1967">
        <v>276.93599999999998</v>
      </c>
      <c r="J1967">
        <v>-339.31659999999999</v>
      </c>
      <c r="K1967">
        <v>1.109426</v>
      </c>
      <c r="L1967">
        <v>283.66019999999997</v>
      </c>
      <c r="M1967">
        <v>-0.99977740000000004</v>
      </c>
      <c r="N1967">
        <v>0</v>
      </c>
      <c r="O1967">
        <v>-1.4395649999999999E-2</v>
      </c>
      <c r="P1967">
        <v>-0.99635220000000002</v>
      </c>
      <c r="Q1967">
        <v>-8.8202379999999993E-3</v>
      </c>
      <c r="R1967">
        <v>-8.4879070000000001E-2</v>
      </c>
      <c r="S1967">
        <v>-2.9961850000000001</v>
      </c>
      <c r="T1967">
        <v>-4.3141840000000004E-3</v>
      </c>
      <c r="U1967">
        <v>-0.17358399999999999</v>
      </c>
      <c r="V1967">
        <v>-7.0524950000000003E-2</v>
      </c>
      <c r="W1967">
        <v>6.5758400000000003E-3</v>
      </c>
      <c r="X1967">
        <v>0.99748829999999999</v>
      </c>
      <c r="Y1967">
        <v>-4.3458719999999999E-2</v>
      </c>
      <c r="Z1967" s="1">
        <v>-1.055113E-5</v>
      </c>
      <c r="AA1967">
        <v>0.99905520000000003</v>
      </c>
      <c r="AB1967">
        <v>43</v>
      </c>
      <c r="AC1967">
        <v>-115.8909</v>
      </c>
      <c r="AD1967">
        <v>-0.16725599999999899</v>
      </c>
      <c r="AE1967">
        <v>-6.72419999999999</v>
      </c>
      <c r="AF1967">
        <v>-5.0549692302322304</v>
      </c>
      <c r="AG1967">
        <v>-0.16725599999999899</v>
      </c>
      <c r="AH1967">
        <v>115.975458203736</v>
      </c>
      <c r="AI1967">
        <v>90.082551657770395</v>
      </c>
      <c r="AJ1967">
        <v>92.495745263680007</v>
      </c>
      <c r="AK1967">
        <v>116.08569073772399</v>
      </c>
      <c r="AL1967">
        <v>89.623229390566493</v>
      </c>
      <c r="AM1967">
        <v>94.044226907550197</v>
      </c>
      <c r="AN1967">
        <v>0.99999995944054798</v>
      </c>
    </row>
    <row r="1968" spans="1:40" x14ac:dyDescent="0.25">
      <c r="A1968" t="str">
        <f>"20190312151536712"</f>
        <v>20190312151536712</v>
      </c>
      <c r="B1968" t="str">
        <f>"1552374936709309"</f>
        <v>1552374936709309</v>
      </c>
      <c r="C1968" t="s">
        <v>40</v>
      </c>
      <c r="D1968">
        <v>4.8412629999999996</v>
      </c>
      <c r="E1968">
        <v>0.50957929999999996</v>
      </c>
      <c r="F1968" t="s">
        <v>48</v>
      </c>
      <c r="G1968">
        <v>-455.1814</v>
      </c>
      <c r="H1968">
        <v>0.8254378</v>
      </c>
      <c r="I1968">
        <v>276.87520000000001</v>
      </c>
      <c r="J1968">
        <v>-339.55399999999997</v>
      </c>
      <c r="K1968">
        <v>1.109413</v>
      </c>
      <c r="L1968">
        <v>283.65690000000001</v>
      </c>
      <c r="M1968">
        <v>-0.99977830000000001</v>
      </c>
      <c r="N1968">
        <v>0</v>
      </c>
      <c r="O1968">
        <v>-1.434322E-2</v>
      </c>
      <c r="P1968">
        <v>-0.99637540000000002</v>
      </c>
      <c r="Q1968">
        <v>-8.4695800000000009E-3</v>
      </c>
      <c r="R1968">
        <v>-8.4643650000000001E-2</v>
      </c>
      <c r="S1968">
        <v>-2.9959720000000001</v>
      </c>
      <c r="T1968">
        <v>-7.3415040000000004E-3</v>
      </c>
      <c r="U1968">
        <v>-0.17544560000000001</v>
      </c>
      <c r="V1968">
        <v>-7.0340719999999995E-2</v>
      </c>
      <c r="W1968">
        <v>6.9267829999999997E-3</v>
      </c>
      <c r="X1968">
        <v>0.99749900000000002</v>
      </c>
      <c r="Y1968">
        <v>-4.4133850000000002E-2</v>
      </c>
      <c r="Z1968" s="1">
        <v>-1.8910809999999999E-5</v>
      </c>
      <c r="AA1968">
        <v>0.99902559999999996</v>
      </c>
      <c r="AB1968">
        <v>43</v>
      </c>
      <c r="AC1968">
        <v>-115.627399999999</v>
      </c>
      <c r="AD1968">
        <v>-0.28397519999999898</v>
      </c>
      <c r="AE1968">
        <v>-6.7816999999999998</v>
      </c>
      <c r="AF1968">
        <v>-5.1223050989070904</v>
      </c>
      <c r="AG1968">
        <v>-0.28397519999999898</v>
      </c>
      <c r="AH1968">
        <v>115.71209009325401</v>
      </c>
      <c r="AI1968">
        <v>90.140474769076505</v>
      </c>
      <c r="AJ1968">
        <v>92.534696075433104</v>
      </c>
      <c r="AK1968">
        <v>115.825758988188</v>
      </c>
      <c r="AL1968">
        <v>89.603121405088004</v>
      </c>
      <c r="AM1968">
        <v>94.033654099778303</v>
      </c>
      <c r="AN1968">
        <v>1.00000002610692</v>
      </c>
    </row>
    <row r="1969" spans="1:40" x14ac:dyDescent="0.25">
      <c r="A1969" t="str">
        <f>"20190312151536728"</f>
        <v>20190312151536728</v>
      </c>
      <c r="B1969" t="str">
        <f>"1552374936719068"</f>
        <v>1552374936719068</v>
      </c>
      <c r="C1969" t="s">
        <v>40</v>
      </c>
      <c r="D1969">
        <v>4.8358559999999997</v>
      </c>
      <c r="E1969">
        <v>0.50944670000000003</v>
      </c>
      <c r="F1969" t="s">
        <v>48</v>
      </c>
      <c r="G1969">
        <v>-455.11509999999998</v>
      </c>
      <c r="H1969">
        <v>0.5295938</v>
      </c>
      <c r="I1969">
        <v>276.80540000000002</v>
      </c>
      <c r="J1969">
        <v>-339.86110000000002</v>
      </c>
      <c r="K1969">
        <v>1.109391</v>
      </c>
      <c r="L1969">
        <v>283.65260000000001</v>
      </c>
      <c r="M1969">
        <v>-0.99977950000000004</v>
      </c>
      <c r="N1969">
        <v>0</v>
      </c>
      <c r="O1969">
        <v>-1.425393E-2</v>
      </c>
      <c r="P1969">
        <v>-0.99636860000000005</v>
      </c>
      <c r="Q1969">
        <v>-7.9992580000000004E-3</v>
      </c>
      <c r="R1969">
        <v>-8.4767679999999998E-2</v>
      </c>
      <c r="S1969">
        <v>-2.9956969999999998</v>
      </c>
      <c r="T1969">
        <v>-1.5028949999999999E-2</v>
      </c>
      <c r="U1969">
        <v>-0.177612299999999</v>
      </c>
      <c r="V1969">
        <v>-7.0553569999999996E-2</v>
      </c>
      <c r="W1969">
        <v>7.3978869999999997E-3</v>
      </c>
      <c r="X1969">
        <v>0.99748060000000005</v>
      </c>
      <c r="Y1969">
        <v>-4.4948179999999997E-2</v>
      </c>
      <c r="Z1969" s="1">
        <v>-4.1203730000000002E-5</v>
      </c>
      <c r="AA1969">
        <v>0.99898929999999997</v>
      </c>
      <c r="AB1969">
        <v>43</v>
      </c>
      <c r="AC1969">
        <v>-115.253999999999</v>
      </c>
      <c r="AD1969">
        <v>-0.57979720000000001</v>
      </c>
      <c r="AE1969">
        <v>-6.8471999999999804</v>
      </c>
      <c r="AF1969">
        <v>-5.2033551972490999</v>
      </c>
      <c r="AG1969">
        <v>-0.57979720000000001</v>
      </c>
      <c r="AH1969">
        <v>115.33699083284699</v>
      </c>
      <c r="AI1969">
        <v>90.287729881581498</v>
      </c>
      <c r="AJ1969">
        <v>92.583111233219398</v>
      </c>
      <c r="AK1969">
        <v>115.45576003161599</v>
      </c>
      <c r="AL1969">
        <v>89.576128448652597</v>
      </c>
      <c r="AM1969">
        <v>94.045893789734194</v>
      </c>
      <c r="AN1969">
        <v>1.0000000411740799</v>
      </c>
    </row>
    <row r="1970" spans="1:40" x14ac:dyDescent="0.25">
      <c r="A1970" t="str">
        <f>"20190312151536740"</f>
        <v>20190312151536740</v>
      </c>
      <c r="B1970" t="str">
        <f>"1552374936729805"</f>
        <v>1552374936729805</v>
      </c>
      <c r="C1970" t="s">
        <v>40</v>
      </c>
      <c r="D1970">
        <v>4.8391970000000004</v>
      </c>
      <c r="E1970">
        <v>0.50946099999999905</v>
      </c>
      <c r="F1970" t="s">
        <v>48</v>
      </c>
      <c r="G1970">
        <v>-455.09589999999997</v>
      </c>
      <c r="H1970">
        <v>0.44370660000000001</v>
      </c>
      <c r="I1970">
        <v>276.76740000000001</v>
      </c>
      <c r="J1970">
        <v>-340.10109999999997</v>
      </c>
      <c r="K1970">
        <v>1.109372</v>
      </c>
      <c r="L1970">
        <v>283.64909999999998</v>
      </c>
      <c r="M1970">
        <v>-0.99978080000000003</v>
      </c>
      <c r="N1970">
        <v>0</v>
      </c>
      <c r="O1970">
        <v>-1.4173079999999999E-2</v>
      </c>
      <c r="P1970">
        <v>-0.99638709999999997</v>
      </c>
      <c r="Q1970">
        <v>-7.8066619999999998E-3</v>
      </c>
      <c r="R1970">
        <v>-8.4568660000000004E-2</v>
      </c>
      <c r="S1970">
        <v>-2.9956360000000002</v>
      </c>
      <c r="T1970">
        <v>-1.7303349999999999E-2</v>
      </c>
      <c r="U1970">
        <v>-0.17898559999999999</v>
      </c>
      <c r="V1970">
        <v>-7.0434549999999999E-2</v>
      </c>
      <c r="W1970">
        <v>7.5914759999999998E-3</v>
      </c>
      <c r="X1970">
        <v>0.99748749999999997</v>
      </c>
      <c r="Y1970">
        <v>-4.548638E-2</v>
      </c>
      <c r="Z1970" s="1">
        <v>-4.9459010000000003E-5</v>
      </c>
      <c r="AA1970">
        <v>0.99896499999999999</v>
      </c>
      <c r="AB1970">
        <v>43</v>
      </c>
      <c r="AC1970">
        <v>-114.9948</v>
      </c>
      <c r="AD1970">
        <v>-0.66566539999999996</v>
      </c>
      <c r="AE1970">
        <v>-6.8816999999999604</v>
      </c>
      <c r="AF1970">
        <v>-5.25080924004431</v>
      </c>
      <c r="AG1970">
        <v>-0.66566539999999996</v>
      </c>
      <c r="AH1970">
        <v>115.076950984061</v>
      </c>
      <c r="AI1970">
        <v>90.331080658546099</v>
      </c>
      <c r="AJ1970">
        <v>92.612518661304904</v>
      </c>
      <c r="AK1970">
        <v>115.19860570288201</v>
      </c>
      <c r="AL1970">
        <v>89.565036280251107</v>
      </c>
      <c r="AM1970">
        <v>94.039063350428293</v>
      </c>
      <c r="AN1970">
        <v>0.99999998449890504</v>
      </c>
    </row>
    <row r="1971" spans="1:40" x14ac:dyDescent="0.25">
      <c r="A1971" t="str">
        <f>"20190312151536751"</f>
        <v>20190312151536751</v>
      </c>
      <c r="B1971" t="str">
        <f>"1552374936739565"</f>
        <v>1552374936739565</v>
      </c>
      <c r="C1971" t="s">
        <v>40</v>
      </c>
      <c r="D1971">
        <v>4.8085420000000001</v>
      </c>
      <c r="E1971">
        <v>0.50935680000000005</v>
      </c>
      <c r="F1971" t="s">
        <v>48</v>
      </c>
      <c r="G1971">
        <v>-455.07479999999998</v>
      </c>
      <c r="H1971">
        <v>0.34930889999999998</v>
      </c>
      <c r="I1971">
        <v>276.80180000000001</v>
      </c>
      <c r="J1971">
        <v>-340.31479999999999</v>
      </c>
      <c r="K1971">
        <v>1.109354</v>
      </c>
      <c r="L1971">
        <v>283.64609999999999</v>
      </c>
      <c r="M1971">
        <v>-0.9997819</v>
      </c>
      <c r="N1971">
        <v>0</v>
      </c>
      <c r="O1971">
        <v>-1.4095369999999999E-2</v>
      </c>
      <c r="P1971">
        <v>-0.99638669999999996</v>
      </c>
      <c r="Q1971">
        <v>-8.0306809999999996E-3</v>
      </c>
      <c r="R1971">
        <v>-8.4553500000000004E-2</v>
      </c>
      <c r="S1971">
        <v>-2.9956049999999999</v>
      </c>
      <c r="T1971">
        <v>-1.98015E-2</v>
      </c>
      <c r="U1971">
        <v>-0.1784058</v>
      </c>
      <c r="V1971">
        <v>-7.0496980000000001E-2</v>
      </c>
      <c r="W1971">
        <v>7.3678459999999999E-3</v>
      </c>
      <c r="X1971">
        <v>0.99748479999999995</v>
      </c>
      <c r="Y1971">
        <v>-4.5371790000000002E-2</v>
      </c>
      <c r="Z1971" s="1">
        <v>-5.6735070000000003E-5</v>
      </c>
      <c r="AA1971">
        <v>0.99897020000000003</v>
      </c>
      <c r="AB1971">
        <v>43</v>
      </c>
      <c r="AC1971">
        <v>-114.76</v>
      </c>
      <c r="AD1971">
        <v>-0.76004510000000003</v>
      </c>
      <c r="AE1971">
        <v>-6.8442999999999703</v>
      </c>
      <c r="AF1971">
        <v>-5.2256147336972099</v>
      </c>
      <c r="AG1971">
        <v>-0.76004510000000003</v>
      </c>
      <c r="AH1971">
        <v>114.840061528099</v>
      </c>
      <c r="AI1971">
        <v>90.378802729723105</v>
      </c>
      <c r="AJ1971">
        <v>92.605356319966404</v>
      </c>
      <c r="AK1971">
        <v>114.96140417408201</v>
      </c>
      <c r="AL1971">
        <v>89.577849708132206</v>
      </c>
      <c r="AM1971">
        <v>94.042642435190899</v>
      </c>
      <c r="AN1971">
        <v>1.00000001778742</v>
      </c>
    </row>
    <row r="1972" spans="1:40" x14ac:dyDescent="0.25">
      <c r="A1972" t="str">
        <f>"20190312151536763"</f>
        <v>20190312151536763</v>
      </c>
      <c r="B1972" t="str">
        <f>"1552374936759085"</f>
        <v>1552374936759085</v>
      </c>
      <c r="C1972" t="s">
        <v>40</v>
      </c>
      <c r="D1972">
        <v>5.0292459999999997</v>
      </c>
      <c r="E1972">
        <v>0.50920670000000001</v>
      </c>
      <c r="F1972" t="s">
        <v>48</v>
      </c>
      <c r="G1972">
        <v>-455.0487</v>
      </c>
      <c r="H1972">
        <v>0.23289560000000001</v>
      </c>
      <c r="I1972">
        <v>276.7801</v>
      </c>
      <c r="J1972">
        <v>-340.54340000000002</v>
      </c>
      <c r="K1972">
        <v>1.109337</v>
      </c>
      <c r="L1972">
        <v>283.64299999999997</v>
      </c>
      <c r="M1972">
        <v>-0.99978339999999999</v>
      </c>
      <c r="N1972">
        <v>0</v>
      </c>
      <c r="O1972">
        <v>-1.399776E-2</v>
      </c>
      <c r="P1972">
        <v>-0.99637189999999998</v>
      </c>
      <c r="Q1972">
        <v>-7.9804469999999999E-3</v>
      </c>
      <c r="R1972">
        <v>-8.4734480000000001E-2</v>
      </c>
      <c r="S1972">
        <v>-2.9954830000000001</v>
      </c>
      <c r="T1972">
        <v>-2.2880910000000001E-2</v>
      </c>
      <c r="U1972">
        <v>-0.17926029999999901</v>
      </c>
      <c r="V1972">
        <v>-7.0774729999999994E-2</v>
      </c>
      <c r="W1972">
        <v>7.4183890000000001E-3</v>
      </c>
      <c r="X1972">
        <v>0.99746469999999998</v>
      </c>
      <c r="Y1972">
        <v>-4.5755459999999998E-2</v>
      </c>
      <c r="Z1972" s="1">
        <v>-6.7768930000000003E-5</v>
      </c>
      <c r="AA1972">
        <v>0.99895270000000003</v>
      </c>
      <c r="AB1972">
        <v>43</v>
      </c>
      <c r="AC1972">
        <v>-114.505299999999</v>
      </c>
      <c r="AD1972">
        <v>-0.87644140000000004</v>
      </c>
      <c r="AE1972">
        <v>-6.8628999999999598</v>
      </c>
      <c r="AF1972">
        <v>-5.2589126133417103</v>
      </c>
      <c r="AG1972">
        <v>-0.87644140000000004</v>
      </c>
      <c r="AH1972">
        <v>114.58346651277699</v>
      </c>
      <c r="AI1972">
        <v>90.437782283665996</v>
      </c>
      <c r="AJ1972">
        <v>92.627797953679007</v>
      </c>
      <c r="AK1972">
        <v>114.70743266888699</v>
      </c>
      <c r="AL1972">
        <v>89.574953704453904</v>
      </c>
      <c r="AM1972">
        <v>94.058598371481096</v>
      </c>
      <c r="AN1972">
        <v>0.99999996132400804</v>
      </c>
    </row>
    <row r="1973" spans="1:40" x14ac:dyDescent="0.25">
      <c r="A1973" t="str">
        <f>"20190312151536775"</f>
        <v>20190312151536775</v>
      </c>
      <c r="B1973" t="str">
        <f>"1552374936769821"</f>
        <v>1552374936769821</v>
      </c>
      <c r="C1973" t="s">
        <v>40</v>
      </c>
      <c r="D1973">
        <v>4.8271819999999996</v>
      </c>
      <c r="E1973">
        <v>0.50914519999999996</v>
      </c>
      <c r="F1973" t="s">
        <v>48</v>
      </c>
      <c r="G1973">
        <v>-454.8227</v>
      </c>
      <c r="H1973">
        <v>0.1501731</v>
      </c>
      <c r="I1973">
        <v>276.72919999999999</v>
      </c>
      <c r="J1973">
        <v>-340.77690000000001</v>
      </c>
      <c r="K1973">
        <v>1.1093219999999999</v>
      </c>
      <c r="L1973">
        <v>283.63979999999998</v>
      </c>
      <c r="M1973">
        <v>-0.99978480000000003</v>
      </c>
      <c r="N1973">
        <v>0</v>
      </c>
      <c r="O1973">
        <v>-1.389287E-2</v>
      </c>
      <c r="P1973">
        <v>-0.99638800000000005</v>
      </c>
      <c r="Q1973">
        <v>-8.0418590000000002E-3</v>
      </c>
      <c r="R1973">
        <v>-8.4536539999999993E-2</v>
      </c>
      <c r="S1973">
        <v>-2.9952999999999999</v>
      </c>
      <c r="T1973">
        <v>-2.5138259999999999E-2</v>
      </c>
      <c r="U1973">
        <v>-0.1812134</v>
      </c>
      <c r="V1973">
        <v>-7.0681049999999995E-2</v>
      </c>
      <c r="W1973">
        <v>7.3578330000000003E-3</v>
      </c>
      <c r="X1973">
        <v>0.99747180000000002</v>
      </c>
      <c r="Y1973">
        <v>-4.6512690000000002E-2</v>
      </c>
      <c r="Z1973" s="1">
        <v>-7.8511690000000002E-5</v>
      </c>
      <c r="AA1973">
        <v>0.99891770000000002</v>
      </c>
      <c r="AB1973">
        <v>43</v>
      </c>
      <c r="AC1973">
        <v>-114.0458</v>
      </c>
      <c r="AD1973">
        <v>-0.95914889999999997</v>
      </c>
      <c r="AE1973">
        <v>-6.9105999999999801</v>
      </c>
      <c r="AF1973">
        <v>-5.3249460996787397</v>
      </c>
      <c r="AG1973">
        <v>-0.95914889999999997</v>
      </c>
      <c r="AH1973">
        <v>114.12276766837699</v>
      </c>
      <c r="AI1973">
        <v>90.481009796323704</v>
      </c>
      <c r="AJ1973">
        <v>92.671472310047307</v>
      </c>
      <c r="AK1973">
        <v>114.250956748148</v>
      </c>
      <c r="AL1973">
        <v>89.578423406236894</v>
      </c>
      <c r="AM1973">
        <v>94.053215425631606</v>
      </c>
      <c r="AN1973">
        <v>0.99999997016539799</v>
      </c>
    </row>
    <row r="1974" spans="1:40" x14ac:dyDescent="0.25">
      <c r="A1974" t="str">
        <f>"20190312151536787"</f>
        <v>20190312151536787</v>
      </c>
      <c r="B1974" t="str">
        <f>"1552374936779581"</f>
        <v>1552374936779581</v>
      </c>
      <c r="C1974" t="s">
        <v>40</v>
      </c>
      <c r="D1974">
        <v>4.8071020000000004</v>
      </c>
      <c r="E1974">
        <v>0.50915889999999997</v>
      </c>
      <c r="F1974" t="s">
        <v>48</v>
      </c>
      <c r="G1974">
        <v>-454.8227</v>
      </c>
      <c r="H1974">
        <v>0.10588939999999999</v>
      </c>
      <c r="I1974">
        <v>276.74250000000001</v>
      </c>
      <c r="J1974">
        <v>-341.00670000000002</v>
      </c>
      <c r="K1974">
        <v>1.109305</v>
      </c>
      <c r="L1974">
        <v>283.63670000000002</v>
      </c>
      <c r="M1974">
        <v>-0.99978650000000002</v>
      </c>
      <c r="N1974">
        <v>0</v>
      </c>
      <c r="O1974">
        <v>-1.377895E-2</v>
      </c>
      <c r="P1974">
        <v>-0.99639789999999995</v>
      </c>
      <c r="Q1974">
        <v>-7.9130480000000007E-3</v>
      </c>
      <c r="R1974">
        <v>-8.4432999999999994E-2</v>
      </c>
      <c r="S1974">
        <v>-2.9952999999999999</v>
      </c>
      <c r="T1974">
        <v>-2.635241E-2</v>
      </c>
      <c r="U1974">
        <v>-0.18115229999999999</v>
      </c>
      <c r="V1974">
        <v>-7.0690500000000003E-2</v>
      </c>
      <c r="W1974">
        <v>7.4870529999999996E-3</v>
      </c>
      <c r="X1974">
        <v>0.99747019999999997</v>
      </c>
      <c r="Y1974">
        <v>-4.6606109999999999E-2</v>
      </c>
      <c r="Z1974" s="1">
        <v>-8.3715339999999896E-5</v>
      </c>
      <c r="AA1974">
        <v>0.9989133</v>
      </c>
      <c r="AB1974">
        <v>43</v>
      </c>
      <c r="AC1974">
        <v>-113.81599999999899</v>
      </c>
      <c r="AD1974">
        <v>-1.0034155999999901</v>
      </c>
      <c r="AE1974">
        <v>-6.8942000000000103</v>
      </c>
      <c r="AF1974">
        <v>-5.3246820864536399</v>
      </c>
      <c r="AG1974">
        <v>-1.0034155999999901</v>
      </c>
      <c r="AH1974">
        <v>113.89137877148799</v>
      </c>
      <c r="AI1974">
        <v>90.504228397947003</v>
      </c>
      <c r="AJ1974">
        <v>92.676759426190003</v>
      </c>
      <c r="AK1974">
        <v>114.020196634889</v>
      </c>
      <c r="AL1974">
        <v>89.571019454792406</v>
      </c>
      <c r="AM1974">
        <v>94.053762011558604</v>
      </c>
      <c r="AN1974">
        <v>1.00000000132045</v>
      </c>
    </row>
    <row r="1975" spans="1:40" x14ac:dyDescent="0.25">
      <c r="A1975" t="str">
        <f>"20190312151536801"</f>
        <v>20190312151536801</v>
      </c>
      <c r="B1975" t="str">
        <f>"1552374936789340"</f>
        <v>1552374936789340</v>
      </c>
      <c r="C1975" t="s">
        <v>40</v>
      </c>
      <c r="D1975">
        <v>4.8255350000000004</v>
      </c>
      <c r="E1975">
        <v>0.5091156</v>
      </c>
      <c r="F1975" t="s">
        <v>48</v>
      </c>
      <c r="G1975">
        <v>-454.8227</v>
      </c>
      <c r="H1975">
        <v>0.1160669</v>
      </c>
      <c r="I1975">
        <v>276.77879999999999</v>
      </c>
      <c r="J1975">
        <v>-341.2602</v>
      </c>
      <c r="K1975">
        <v>1.1092900000000001</v>
      </c>
      <c r="L1975">
        <v>283.63339999999999</v>
      </c>
      <c r="M1975">
        <v>-0.99978840000000002</v>
      </c>
      <c r="N1975">
        <v>0</v>
      </c>
      <c r="O1975">
        <v>-1.3645829999999999E-2</v>
      </c>
      <c r="P1975">
        <v>-0.99641769999999996</v>
      </c>
      <c r="Q1975">
        <v>-7.9595469999999904E-3</v>
      </c>
      <c r="R1975">
        <v>-8.4194260000000007E-2</v>
      </c>
      <c r="S1975">
        <v>-2.9953310000000002</v>
      </c>
      <c r="T1975">
        <v>-2.6137589999999999E-2</v>
      </c>
      <c r="U1975">
        <v>-0.180481</v>
      </c>
      <c r="V1975">
        <v>-7.0584450000000007E-2</v>
      </c>
      <c r="W1975">
        <v>7.44080099999999E-3</v>
      </c>
      <c r="X1975">
        <v>0.99747810000000003</v>
      </c>
      <c r="Y1975">
        <v>-4.6515439999999998E-2</v>
      </c>
      <c r="Z1975" s="1">
        <v>-8.3797729999999994E-5</v>
      </c>
      <c r="AA1975">
        <v>0.99891759999999996</v>
      </c>
      <c r="AB1975">
        <v>43</v>
      </c>
      <c r="AC1975">
        <v>-113.5625</v>
      </c>
      <c r="AD1975">
        <v>-0.99322310000000003</v>
      </c>
      <c r="AE1975">
        <v>-6.8545999999999996</v>
      </c>
      <c r="AF1975">
        <v>-5.3037192047827997</v>
      </c>
      <c r="AG1975">
        <v>-0.99322310000000003</v>
      </c>
      <c r="AH1975">
        <v>113.63681072297599</v>
      </c>
      <c r="AI1975">
        <v>90.500226701045193</v>
      </c>
      <c r="AJ1975">
        <v>92.672200686443006</v>
      </c>
      <c r="AK1975">
        <v>113.76484817736601</v>
      </c>
      <c r="AL1975">
        <v>89.573669591643096</v>
      </c>
      <c r="AM1975">
        <v>94.047668829459695</v>
      </c>
      <c r="AN1975">
        <v>1.00000004504046</v>
      </c>
    </row>
    <row r="1976" spans="1:40" x14ac:dyDescent="0.25">
      <c r="A1976" t="str">
        <f>"20190312151536814"</f>
        <v>20190312151536814</v>
      </c>
      <c r="B1976" t="str">
        <f>"1552374936809837"</f>
        <v>1552374936809837</v>
      </c>
      <c r="C1976" t="s">
        <v>40</v>
      </c>
      <c r="D1976">
        <v>4.8398729999999999</v>
      </c>
      <c r="E1976">
        <v>0.50902049999999999</v>
      </c>
      <c r="F1976" t="s">
        <v>51</v>
      </c>
      <c r="G1976">
        <v>-447.5498</v>
      </c>
      <c r="H1976">
        <v>8.0001030000000001E-2</v>
      </c>
      <c r="I1976">
        <v>277.23759999999999</v>
      </c>
      <c r="J1976">
        <v>-341.52089999999998</v>
      </c>
      <c r="K1976">
        <v>1.1092740000000001</v>
      </c>
      <c r="L1976">
        <v>283.62990000000002</v>
      </c>
      <c r="M1976">
        <v>-0.99979039999999997</v>
      </c>
      <c r="N1976">
        <v>0</v>
      </c>
      <c r="O1976">
        <v>-1.3502470000000001E-2</v>
      </c>
      <c r="P1976">
        <v>-0.99642699999999995</v>
      </c>
      <c r="Q1976">
        <v>-7.7287619999999897E-3</v>
      </c>
      <c r="R1976">
        <v>-8.4105540000000006E-2</v>
      </c>
      <c r="S1976">
        <v>-2.9953310000000002</v>
      </c>
      <c r="T1976">
        <v>-2.9006239999999999E-2</v>
      </c>
      <c r="U1976">
        <v>-0.1802368</v>
      </c>
      <c r="V1976">
        <v>-7.0638080000000006E-2</v>
      </c>
      <c r="W1976">
        <v>7.671583E-3</v>
      </c>
      <c r="X1976">
        <v>0.99747249999999998</v>
      </c>
      <c r="Y1976">
        <v>-4.6577250000000001E-2</v>
      </c>
      <c r="Z1976" s="1">
        <v>-9.4680300000000002E-5</v>
      </c>
      <c r="AA1976">
        <v>0.99891470000000004</v>
      </c>
      <c r="AB1976">
        <v>43</v>
      </c>
      <c r="AC1976">
        <v>-106.02889999999999</v>
      </c>
      <c r="AD1976">
        <v>-1.0292729699999901</v>
      </c>
      <c r="AE1976">
        <v>-6.3923000000000298</v>
      </c>
      <c r="AF1976">
        <v>-4.9594298568184998</v>
      </c>
      <c r="AG1976">
        <v>-1.0292729699999901</v>
      </c>
      <c r="AH1976">
        <v>106.09559219250499</v>
      </c>
      <c r="AI1976">
        <v>90.555224084133599</v>
      </c>
      <c r="AJ1976">
        <v>92.676338358997796</v>
      </c>
      <c r="AK1976">
        <v>106.216430132206</v>
      </c>
      <c r="AL1976">
        <v>89.560446355879506</v>
      </c>
      <c r="AM1976">
        <v>94.050756676598198</v>
      </c>
      <c r="AN1976">
        <v>0.99999998989403105</v>
      </c>
    </row>
    <row r="1977" spans="1:40" x14ac:dyDescent="0.25">
      <c r="A1977" t="str">
        <f>"20190312151536830"</f>
        <v>20190312151536830</v>
      </c>
      <c r="B1977" t="str">
        <f>"1552374936819597"</f>
        <v>1552374936819597</v>
      </c>
      <c r="C1977" t="s">
        <v>40</v>
      </c>
      <c r="D1977">
        <v>4.8185699999999896</v>
      </c>
      <c r="E1977">
        <v>0.50903209999999999</v>
      </c>
      <c r="F1977" t="s">
        <v>52</v>
      </c>
      <c r="G1977">
        <v>-435.66300000000001</v>
      </c>
      <c r="H1977">
        <v>8.0001210000000003E-2</v>
      </c>
      <c r="I1977">
        <v>277.94580000000002</v>
      </c>
      <c r="J1977">
        <v>-341.8236</v>
      </c>
      <c r="K1977">
        <v>1.1092569999999999</v>
      </c>
      <c r="L1977">
        <v>283.6259</v>
      </c>
      <c r="M1977">
        <v>-0.99979260000000003</v>
      </c>
      <c r="N1977">
        <v>0</v>
      </c>
      <c r="O1977">
        <v>-1.3324280000000001E-2</v>
      </c>
      <c r="P1977">
        <v>-0.99645019999999995</v>
      </c>
      <c r="Q1977">
        <v>-7.707078E-3</v>
      </c>
      <c r="R1977">
        <v>-8.3831050000000004E-2</v>
      </c>
      <c r="S1977">
        <v>-2.9952390000000002</v>
      </c>
      <c r="T1977">
        <v>-3.2747510000000001E-2</v>
      </c>
      <c r="U1977">
        <v>-0.18084720000000001</v>
      </c>
      <c r="V1977">
        <v>-7.0540580000000006E-2</v>
      </c>
      <c r="W1977">
        <v>7.6925630000000004E-3</v>
      </c>
      <c r="X1977">
        <v>0.99747929999999996</v>
      </c>
      <c r="Y1977">
        <v>-4.6959470000000003E-2</v>
      </c>
      <c r="Z1977">
        <v>-1.109277E-4</v>
      </c>
      <c r="AA1977">
        <v>0.99889680000000003</v>
      </c>
      <c r="AB1977">
        <v>43</v>
      </c>
      <c r="AC1977">
        <v>-93.839399999999998</v>
      </c>
      <c r="AD1977">
        <v>-1.0292557899999999</v>
      </c>
      <c r="AE1977">
        <v>-5.6800999999999799</v>
      </c>
      <c r="AF1977">
        <v>-4.4285740495920001</v>
      </c>
      <c r="AG1977">
        <v>-1.0292557899999999</v>
      </c>
      <c r="AH1977">
        <v>93.895505250108798</v>
      </c>
      <c r="AI1977">
        <v>90.627337542967595</v>
      </c>
      <c r="AJ1977">
        <v>92.700349741632806</v>
      </c>
      <c r="AK1977">
        <v>94.005518677188206</v>
      </c>
      <c r="AL1977">
        <v>89.559244282069599</v>
      </c>
      <c r="AM1977">
        <v>94.045156605909995</v>
      </c>
      <c r="AN1977">
        <v>1.00000005144036</v>
      </c>
    </row>
    <row r="1978" spans="1:40" x14ac:dyDescent="0.25">
      <c r="A1978" t="str">
        <f>"20190312151536852"</f>
        <v>20190312151536852</v>
      </c>
      <c r="B1978" t="str">
        <f>"1552374936839117"</f>
        <v>1552374936839117</v>
      </c>
      <c r="C1978" t="s">
        <v>40</v>
      </c>
      <c r="D1978">
        <v>4.7940459999999998</v>
      </c>
      <c r="E1978">
        <v>0.50896809999999904</v>
      </c>
      <c r="F1978" t="s">
        <v>52</v>
      </c>
      <c r="G1978">
        <v>-430.6225</v>
      </c>
      <c r="H1978">
        <v>6.7997840000000004E-2</v>
      </c>
      <c r="I1978">
        <v>278.29349999999999</v>
      </c>
      <c r="J1978">
        <v>-342.24509999999998</v>
      </c>
      <c r="K1978">
        <v>1.109237</v>
      </c>
      <c r="L1978">
        <v>283.62049999999999</v>
      </c>
      <c r="M1978">
        <v>-0.99979629999999997</v>
      </c>
      <c r="N1978">
        <v>0</v>
      </c>
      <c r="O1978">
        <v>-1.306305E-2</v>
      </c>
      <c r="P1978">
        <v>-0.99646500000000005</v>
      </c>
      <c r="Q1978">
        <v>-7.6907099999999999E-3</v>
      </c>
      <c r="R1978">
        <v>-8.3657229999999999E-2</v>
      </c>
      <c r="S1978">
        <v>-2.9953310000000002</v>
      </c>
      <c r="T1978">
        <v>-3.5123349999999998E-2</v>
      </c>
      <c r="U1978">
        <v>-0.17987059999999999</v>
      </c>
      <c r="V1978">
        <v>-7.0626640000000004E-2</v>
      </c>
      <c r="W1978">
        <v>7.70829999999999E-3</v>
      </c>
      <c r="X1978">
        <v>0.9974731</v>
      </c>
      <c r="Y1978">
        <v>-4.6893810000000001E-2</v>
      </c>
      <c r="Z1978">
        <v>-1.216478E-4</v>
      </c>
      <c r="AA1978">
        <v>0.99889989999999995</v>
      </c>
      <c r="AB1978">
        <v>43</v>
      </c>
      <c r="AC1978">
        <v>-88.377399999999994</v>
      </c>
      <c r="AD1978">
        <v>-1.0412391599999999</v>
      </c>
      <c r="AE1978">
        <v>-5.3269999999999902</v>
      </c>
      <c r="AF1978">
        <v>-4.1713533774199796</v>
      </c>
      <c r="AG1978">
        <v>-1.0412391599999999</v>
      </c>
      <c r="AH1978">
        <v>88.427222406615797</v>
      </c>
      <c r="AI1978">
        <v>90.673882909189203</v>
      </c>
      <c r="AJ1978">
        <v>92.7007961231227</v>
      </c>
      <c r="AK1978">
        <v>88.531678118833398</v>
      </c>
      <c r="AL1978">
        <v>89.558342596670599</v>
      </c>
      <c r="AM1978">
        <v>94.050100402432193</v>
      </c>
      <c r="AN1978">
        <v>1.00000006269509</v>
      </c>
    </row>
    <row r="1979" spans="1:40" x14ac:dyDescent="0.25">
      <c r="A1979" t="str">
        <f>"20190312151536863"</f>
        <v>20190312151536863</v>
      </c>
      <c r="B1979" t="str">
        <f>"1552374936859613"</f>
        <v>1552374936859613</v>
      </c>
      <c r="C1979" t="s">
        <v>40</v>
      </c>
      <c r="D1979">
        <v>4.8272979999999999</v>
      </c>
      <c r="E1979">
        <v>0.50862510000000005</v>
      </c>
      <c r="F1979" t="s">
        <v>52</v>
      </c>
      <c r="G1979">
        <v>-427.11649999999997</v>
      </c>
      <c r="H1979" s="1">
        <v>3.4300510000000001E-6</v>
      </c>
      <c r="I1979">
        <v>278.51859999999999</v>
      </c>
      <c r="J1979">
        <v>-342.46929999999998</v>
      </c>
      <c r="K1979">
        <v>1.109227</v>
      </c>
      <c r="L1979">
        <v>283.61770000000001</v>
      </c>
      <c r="M1979">
        <v>-0.99979819999999997</v>
      </c>
      <c r="N1979">
        <v>0</v>
      </c>
      <c r="O1979">
        <v>-1.291717E-2</v>
      </c>
      <c r="P1979">
        <v>-0.99648740000000002</v>
      </c>
      <c r="Q1979">
        <v>-7.7899550000000003E-3</v>
      </c>
      <c r="R1979">
        <v>-8.3381049999999998E-2</v>
      </c>
      <c r="S1979">
        <v>-2.9952390000000002</v>
      </c>
      <c r="T1979">
        <v>-3.9146540000000001E-2</v>
      </c>
      <c r="U1979">
        <v>-0.18005370000000001</v>
      </c>
      <c r="V1979">
        <v>-7.0496379999999997E-2</v>
      </c>
      <c r="W1979">
        <v>7.608643E-3</v>
      </c>
      <c r="X1979">
        <v>0.99748300000000001</v>
      </c>
      <c r="Y1979">
        <v>-4.710164E-2</v>
      </c>
      <c r="Z1979">
        <v>-1.3884610000000001E-4</v>
      </c>
      <c r="AA1979">
        <v>0.9988901</v>
      </c>
      <c r="AB1979">
        <v>43</v>
      </c>
      <c r="AC1979">
        <v>-84.647199999999998</v>
      </c>
      <c r="AD1979">
        <v>-1.1092235699490001</v>
      </c>
      <c r="AE1979">
        <v>-5.0991000000000204</v>
      </c>
      <c r="AF1979">
        <v>-4.00445763119491</v>
      </c>
      <c r="AG1979">
        <v>-1.1092235699490001</v>
      </c>
      <c r="AH1979">
        <v>84.691519559324206</v>
      </c>
      <c r="AI1979">
        <v>90.749535304465297</v>
      </c>
      <c r="AJ1979">
        <v>92.707092384304204</v>
      </c>
      <c r="AK1979">
        <v>84.793393275157698</v>
      </c>
      <c r="AL1979">
        <v>89.564052654599493</v>
      </c>
      <c r="AM1979">
        <v>94.042615413196799</v>
      </c>
      <c r="AN1979">
        <v>0.999999983165202</v>
      </c>
    </row>
    <row r="1980" spans="1:40" x14ac:dyDescent="0.25">
      <c r="A1980" t="str">
        <f>"20190312151536876"</f>
        <v>20190312151536876</v>
      </c>
      <c r="B1980" t="str">
        <f>"1552374936869372"</f>
        <v>1552374936869372</v>
      </c>
      <c r="C1980" t="s">
        <v>40</v>
      </c>
      <c r="D1980">
        <v>4.8337059999999896</v>
      </c>
      <c r="E1980">
        <v>0.49574400000000002</v>
      </c>
      <c r="F1980" t="s">
        <v>52</v>
      </c>
      <c r="G1980">
        <v>-420.08870000000002</v>
      </c>
      <c r="H1980" s="1">
        <v>4.6336949999999999E-6</v>
      </c>
      <c r="I1980">
        <v>278.89909999999998</v>
      </c>
      <c r="J1980">
        <v>-342.70359999999999</v>
      </c>
      <c r="K1980">
        <v>1.109219</v>
      </c>
      <c r="L1980">
        <v>283.61470000000003</v>
      </c>
      <c r="M1980">
        <v>-0.99980009999999997</v>
      </c>
      <c r="N1980">
        <v>0</v>
      </c>
      <c r="O1980">
        <v>-1.2762829999999999E-2</v>
      </c>
      <c r="P1980">
        <v>-0.99650280000000002</v>
      </c>
      <c r="Q1980">
        <v>-7.7039069999999899E-3</v>
      </c>
      <c r="R1980">
        <v>-8.3203879999999994E-2</v>
      </c>
      <c r="S1980">
        <v>-2.9949949999999999</v>
      </c>
      <c r="T1980">
        <v>-4.2800070000000003E-2</v>
      </c>
      <c r="U1980">
        <v>-0.1820679</v>
      </c>
      <c r="V1980">
        <v>-7.0472080000000006E-2</v>
      </c>
      <c r="W1980">
        <v>7.693994E-3</v>
      </c>
      <c r="X1980">
        <v>0.99748409999999998</v>
      </c>
      <c r="Y1980">
        <v>-4.7929359999999997E-2</v>
      </c>
      <c r="Z1980">
        <v>-1.5992449999999999E-4</v>
      </c>
      <c r="AA1980">
        <v>0.99885069999999998</v>
      </c>
      <c r="AB1980">
        <v>43</v>
      </c>
      <c r="AC1980">
        <v>-77.385099999999994</v>
      </c>
      <c r="AD1980">
        <v>-1.109214366305</v>
      </c>
      <c r="AE1980">
        <v>-4.71560000000005</v>
      </c>
      <c r="AF1980">
        <v>-3.7266831300390599</v>
      </c>
      <c r="AG1980">
        <v>-1.109214366305</v>
      </c>
      <c r="AH1980">
        <v>77.423139051149704</v>
      </c>
      <c r="AI1980">
        <v>90.819851468165496</v>
      </c>
      <c r="AJ1980">
        <v>92.755746459127096</v>
      </c>
      <c r="AK1980">
        <v>77.520713259075507</v>
      </c>
      <c r="AL1980">
        <v>89.559162275825301</v>
      </c>
      <c r="AM1980">
        <v>94.041222105517306</v>
      </c>
      <c r="AN1980">
        <v>1.000000020678</v>
      </c>
    </row>
    <row r="1981" spans="1:40" x14ac:dyDescent="0.25">
      <c r="A1981" t="str">
        <f>"20190312151536896"</f>
        <v>20190312151536896</v>
      </c>
      <c r="B1981" t="str">
        <f>"1552374936889873"</f>
        <v>1552374936889873</v>
      </c>
      <c r="C1981" t="s">
        <v>40</v>
      </c>
      <c r="D1981">
        <v>4.7402129999999998</v>
      </c>
      <c r="E1981">
        <v>0.49530649999999998</v>
      </c>
      <c r="F1981" t="s">
        <v>51</v>
      </c>
      <c r="G1981">
        <v>-364.79539999999997</v>
      </c>
      <c r="H1981" s="1">
        <v>1.0150969999999999E-6</v>
      </c>
      <c r="I1981">
        <v>281.49860000000001</v>
      </c>
      <c r="J1981">
        <v>-343.09789999999998</v>
      </c>
      <c r="K1981">
        <v>1.1092029999999999</v>
      </c>
      <c r="L1981">
        <v>283.61</v>
      </c>
      <c r="M1981">
        <v>-0.99980369999999996</v>
      </c>
      <c r="N1981">
        <v>0</v>
      </c>
      <c r="O1981">
        <v>-1.2496180000000001E-2</v>
      </c>
      <c r="P1981">
        <v>-0.99653760000000002</v>
      </c>
      <c r="Q1981">
        <v>-7.6373969999999998E-3</v>
      </c>
      <c r="R1981">
        <v>-8.2793210000000006E-2</v>
      </c>
      <c r="S1981">
        <v>-2.9855040000000002</v>
      </c>
      <c r="T1981">
        <v>-0.149900799999999</v>
      </c>
      <c r="U1981">
        <v>-0.28598020000000002</v>
      </c>
      <c r="V1981">
        <v>-7.0326959999999994E-2</v>
      </c>
      <c r="W1981">
        <v>7.7593189999999998E-3</v>
      </c>
      <c r="X1981">
        <v>0.99749379999999999</v>
      </c>
      <c r="Y1981">
        <v>-8.2817230000000006E-2</v>
      </c>
      <c r="Z1981">
        <v>-1.4474920000000001E-3</v>
      </c>
      <c r="AA1981">
        <v>0.99656369999999905</v>
      </c>
      <c r="AB1981">
        <v>43</v>
      </c>
      <c r="AC1981">
        <v>-21.697499999999899</v>
      </c>
      <c r="AD1981">
        <v>-1.1092019849029999</v>
      </c>
      <c r="AE1981">
        <v>-2.1114000000000002</v>
      </c>
      <c r="AF1981">
        <v>-1.8353158043371001</v>
      </c>
      <c r="AG1981">
        <v>-1.1092019849029999</v>
      </c>
      <c r="AH1981">
        <v>21.6661024782277</v>
      </c>
      <c r="AI1981">
        <v>92.920273841362601</v>
      </c>
      <c r="AJ1981">
        <v>94.841914106188597</v>
      </c>
      <c r="AK1981">
        <v>21.771970736293699</v>
      </c>
      <c r="AL1981">
        <v>89.555419301372595</v>
      </c>
      <c r="AM1981">
        <v>94.032888597392002</v>
      </c>
      <c r="AN1981">
        <v>0.99999998468631202</v>
      </c>
    </row>
    <row r="1982" spans="1:40" x14ac:dyDescent="0.25">
      <c r="A1982" t="str">
        <f>"20190312151536908"</f>
        <v>20190312151536908</v>
      </c>
      <c r="B1982" t="str">
        <f>"1552374936899629"</f>
        <v>1552374936899629</v>
      </c>
      <c r="C1982" t="s">
        <v>40</v>
      </c>
      <c r="D1982">
        <v>4.7556440000000002</v>
      </c>
      <c r="E1982">
        <v>0.50258579999999997</v>
      </c>
      <c r="F1982" t="s">
        <v>51</v>
      </c>
      <c r="G1982">
        <v>-366.48219999999998</v>
      </c>
      <c r="H1982" s="1">
        <v>1.9127419999999998E-6</v>
      </c>
      <c r="I1982">
        <v>281.35509999999999</v>
      </c>
      <c r="J1982">
        <v>-343.33859999999999</v>
      </c>
      <c r="K1982">
        <v>1.109194</v>
      </c>
      <c r="L1982">
        <v>283.6071</v>
      </c>
      <c r="M1982">
        <v>-0.99980579999999997</v>
      </c>
      <c r="N1982">
        <v>0</v>
      </c>
      <c r="O1982">
        <v>-1.2329939999999999E-2</v>
      </c>
      <c r="P1982">
        <v>-0.9965541</v>
      </c>
      <c r="Q1982">
        <v>-7.4515179999999999E-3</v>
      </c>
      <c r="R1982">
        <v>-8.2612989999999997E-2</v>
      </c>
      <c r="S1982">
        <v>-2.9854129999999999</v>
      </c>
      <c r="T1982">
        <v>-0.14160819999999999</v>
      </c>
      <c r="U1982">
        <v>-0.28787230000000003</v>
      </c>
      <c r="V1982">
        <v>-7.0311650000000003E-2</v>
      </c>
      <c r="W1982">
        <v>7.9443250000000003E-3</v>
      </c>
      <c r="X1982">
        <v>0.99749339999999997</v>
      </c>
      <c r="Y1982">
        <v>-8.3619970000000002E-2</v>
      </c>
      <c r="Z1982">
        <v>-1.394354E-3</v>
      </c>
      <c r="AA1982">
        <v>0.99649670000000001</v>
      </c>
      <c r="AB1982">
        <v>43</v>
      </c>
      <c r="AC1982">
        <v>-23.1435999999999</v>
      </c>
      <c r="AD1982">
        <v>-1.1091920872579999</v>
      </c>
      <c r="AE1982">
        <v>-2.2519999999999998</v>
      </c>
      <c r="AF1982">
        <v>-1.96197156189217</v>
      </c>
      <c r="AG1982">
        <v>-1.1091920872579999</v>
      </c>
      <c r="AH1982">
        <v>23.117009999483098</v>
      </c>
      <c r="AI1982">
        <v>92.737213199928902</v>
      </c>
      <c r="AJ1982">
        <v>94.851143911128901</v>
      </c>
      <c r="AK1982">
        <v>23.226618152720999</v>
      </c>
      <c r="AL1982">
        <v>89.544818900995196</v>
      </c>
      <c r="AM1982">
        <v>94.032015155314397</v>
      </c>
      <c r="AN1982">
        <v>0.99999996173449301</v>
      </c>
    </row>
    <row r="1983" spans="1:40" x14ac:dyDescent="0.25">
      <c r="A1983" t="str">
        <f>"20190312151536922"</f>
        <v>20190312151536922</v>
      </c>
      <c r="B1983" t="str">
        <f>"1552374936909389"</f>
        <v>1552374936909389</v>
      </c>
      <c r="C1983" t="s">
        <v>40</v>
      </c>
      <c r="D1983">
        <v>4.7397289999999996</v>
      </c>
      <c r="E1983">
        <v>0.50262879999999999</v>
      </c>
      <c r="F1983" t="s">
        <v>55</v>
      </c>
      <c r="G1983">
        <v>-512.82529999999997</v>
      </c>
      <c r="H1983">
        <v>0.27184989999999998</v>
      </c>
      <c r="I1983">
        <v>270.7414</v>
      </c>
      <c r="J1983">
        <v>-343.57589999999999</v>
      </c>
      <c r="K1983">
        <v>1.1091879999999901</v>
      </c>
      <c r="L1983">
        <v>283.60430000000002</v>
      </c>
      <c r="M1983">
        <v>-0.99980789999999997</v>
      </c>
      <c r="N1983">
        <v>0</v>
      </c>
      <c r="O1983">
        <v>-1.2163709999999999E-2</v>
      </c>
      <c r="P1983">
        <v>-0.99657260000000003</v>
      </c>
      <c r="Q1983">
        <v>-7.4347090000000003E-3</v>
      </c>
      <c r="R1983">
        <v>-8.2389950000000003E-2</v>
      </c>
      <c r="S1983">
        <v>-2.9914550000000002</v>
      </c>
      <c r="T1983">
        <v>-1.4777780000000001E-2</v>
      </c>
      <c r="U1983">
        <v>-0.22708130000000001</v>
      </c>
      <c r="V1983">
        <v>-7.0254079999999997E-2</v>
      </c>
      <c r="W1983">
        <v>7.9595840000000005E-3</v>
      </c>
      <c r="X1983">
        <v>0.99749739999999998</v>
      </c>
      <c r="Y1983">
        <v>-6.3555760000000003E-2</v>
      </c>
      <c r="Z1983" s="1">
        <v>-9.6755109999999999E-5</v>
      </c>
      <c r="AA1983">
        <v>0.99797829999999998</v>
      </c>
      <c r="AB1983">
        <v>43</v>
      </c>
      <c r="AC1983">
        <v>-169.24939999999901</v>
      </c>
      <c r="AD1983">
        <v>-0.83733809999999897</v>
      </c>
      <c r="AE1983">
        <v>-12.8629</v>
      </c>
      <c r="AF1983">
        <v>-10.802741473308</v>
      </c>
      <c r="AG1983">
        <v>-0.83733809999999897</v>
      </c>
      <c r="AH1983">
        <v>169.38923269921801</v>
      </c>
      <c r="AI1983">
        <v>90.282652459885199</v>
      </c>
      <c r="AJ1983">
        <v>93.649077280694101</v>
      </c>
      <c r="AK1983">
        <v>169.73541914657201</v>
      </c>
      <c r="AL1983">
        <v>89.543944626725207</v>
      </c>
      <c r="AM1983">
        <v>94.028708581983807</v>
      </c>
      <c r="AN1983">
        <v>1.0000000268704199</v>
      </c>
    </row>
    <row r="1984" spans="1:40" x14ac:dyDescent="0.25">
      <c r="A1984" t="str">
        <f>"20190312151536941"</f>
        <v>20190312151536941</v>
      </c>
      <c r="B1984" t="str">
        <f>"1552374936929885"</f>
        <v>1552374936929885</v>
      </c>
      <c r="C1984" t="s">
        <v>40</v>
      </c>
      <c r="D1984">
        <v>4.7580929999999997</v>
      </c>
      <c r="E1984">
        <v>0.50231780000000004</v>
      </c>
      <c r="F1984" t="s">
        <v>55</v>
      </c>
      <c r="G1984">
        <v>-512.8252</v>
      </c>
      <c r="H1984">
        <v>0.20667489999999999</v>
      </c>
      <c r="I1984">
        <v>270.81380000000001</v>
      </c>
      <c r="J1984">
        <v>-343.96170000000001</v>
      </c>
      <c r="K1984">
        <v>1.1091759999999999</v>
      </c>
      <c r="L1984">
        <v>283.59980000000002</v>
      </c>
      <c r="M1984">
        <v>-0.99981120000000001</v>
      </c>
      <c r="N1984">
        <v>0</v>
      </c>
      <c r="O1984">
        <v>-1.189108E-2</v>
      </c>
      <c r="P1984">
        <v>-0.99662919999999999</v>
      </c>
      <c r="Q1984">
        <v>-6.9668469999999904E-3</v>
      </c>
      <c r="R1984">
        <v>-8.1743750000000004E-2</v>
      </c>
      <c r="S1984">
        <v>-2.9915159999999998</v>
      </c>
      <c r="T1984">
        <v>-1.5950679999999998E-2</v>
      </c>
      <c r="U1984">
        <v>-0.2260742</v>
      </c>
      <c r="V1984">
        <v>-6.9879010000000005E-2</v>
      </c>
      <c r="W1984">
        <v>8.4254389999999998E-3</v>
      </c>
      <c r="X1984">
        <v>0.99751990000000001</v>
      </c>
      <c r="Y1984">
        <v>-6.3492190000000004E-2</v>
      </c>
      <c r="Z1984">
        <v>-1.057156E-4</v>
      </c>
      <c r="AA1984">
        <v>0.99798229999999999</v>
      </c>
      <c r="AB1984">
        <v>43</v>
      </c>
      <c r="AC1984">
        <v>-168.86349999999999</v>
      </c>
      <c r="AD1984">
        <v>-0.90250109999999995</v>
      </c>
      <c r="AE1984">
        <v>-12.786</v>
      </c>
      <c r="AF1984">
        <v>-10.7765831902414</v>
      </c>
      <c r="AG1984">
        <v>-0.90250109999999995</v>
      </c>
      <c r="AH1984">
        <v>168.99881578259601</v>
      </c>
      <c r="AI1984">
        <v>90.305352452873905</v>
      </c>
      <c r="AJ1984">
        <v>93.648651975681105</v>
      </c>
      <c r="AK1984">
        <v>169.34446843464201</v>
      </c>
      <c r="AL1984">
        <v>89.517252196698394</v>
      </c>
      <c r="AM1984">
        <v>94.007180420408304</v>
      </c>
      <c r="AN1984">
        <v>1.0000000074784601</v>
      </c>
    </row>
    <row r="1985" spans="1:40" x14ac:dyDescent="0.25">
      <c r="A1985" t="str">
        <f>"20190312151536954"</f>
        <v>20190312151536954</v>
      </c>
      <c r="B1985" t="str">
        <f>"1552374936949405"</f>
        <v>1552374936949405</v>
      </c>
      <c r="C1985" t="s">
        <v>40</v>
      </c>
      <c r="D1985">
        <v>5.0839699999999999</v>
      </c>
      <c r="E1985">
        <v>0.50147959999999903</v>
      </c>
      <c r="F1985" t="s">
        <v>55</v>
      </c>
      <c r="G1985">
        <v>-512.82529999999997</v>
      </c>
      <c r="H1985">
        <v>0.48297079999999998</v>
      </c>
      <c r="I1985">
        <v>270.80549999999999</v>
      </c>
      <c r="J1985">
        <v>-344.20249999999999</v>
      </c>
      <c r="K1985">
        <v>1.109167</v>
      </c>
      <c r="L1985">
        <v>283.59710000000001</v>
      </c>
      <c r="M1985">
        <v>-0.99981319999999996</v>
      </c>
      <c r="N1985">
        <v>0</v>
      </c>
      <c r="O1985">
        <v>-1.1719520000000001E-2</v>
      </c>
      <c r="P1985">
        <v>-0.99666790000000005</v>
      </c>
      <c r="Q1985">
        <v>-6.9003569999999898E-3</v>
      </c>
      <c r="R1985">
        <v>-8.127566E-2</v>
      </c>
      <c r="S1985">
        <v>-2.9914550000000002</v>
      </c>
      <c r="T1985">
        <v>-1.109195E-2</v>
      </c>
      <c r="U1985">
        <v>-0.2266541</v>
      </c>
      <c r="V1985">
        <v>-6.9581210000000004E-2</v>
      </c>
      <c r="W1985">
        <v>8.4907619999999902E-3</v>
      </c>
      <c r="X1985">
        <v>0.99754019999999999</v>
      </c>
      <c r="Y1985">
        <v>-6.3857670000000005E-2</v>
      </c>
      <c r="Z1985" s="1">
        <v>-7.4826609999999993E-5</v>
      </c>
      <c r="AA1985">
        <v>0.99795900000000004</v>
      </c>
      <c r="AB1985">
        <v>43</v>
      </c>
      <c r="AC1985">
        <v>-168.62279999999899</v>
      </c>
      <c r="AD1985">
        <v>-0.62619619999999998</v>
      </c>
      <c r="AE1985">
        <v>-12.791600000000001</v>
      </c>
      <c r="AF1985">
        <v>-10.8141613123434</v>
      </c>
      <c r="AG1985">
        <v>-0.62619619999999998</v>
      </c>
      <c r="AH1985">
        <v>168.75883206006901</v>
      </c>
      <c r="AI1985">
        <v>90.212165475047499</v>
      </c>
      <c r="AJ1985">
        <v>93.666532757986602</v>
      </c>
      <c r="AK1985">
        <v>169.10612527300401</v>
      </c>
      <c r="AL1985">
        <v>89.513509348511903</v>
      </c>
      <c r="AM1985">
        <v>93.990077554933293</v>
      </c>
      <c r="AN1985">
        <v>1.0000000442202199</v>
      </c>
    </row>
    <row r="1986" spans="1:40" x14ac:dyDescent="0.25">
      <c r="A1986" t="str">
        <f>"20190312151536967"</f>
        <v>20190312151536967</v>
      </c>
      <c r="B1986" t="str">
        <f>"1552374936959165"</f>
        <v>1552374936959165</v>
      </c>
      <c r="C1986" t="s">
        <v>40</v>
      </c>
      <c r="D1986">
        <v>4.8069110000000004</v>
      </c>
      <c r="E1986">
        <v>0.50073440000000002</v>
      </c>
      <c r="F1986" t="s">
        <v>55</v>
      </c>
      <c r="G1986">
        <v>-512.8252</v>
      </c>
      <c r="H1986">
        <v>6.1109129999999998E-2</v>
      </c>
      <c r="I1986">
        <v>270.51440000000002</v>
      </c>
      <c r="J1986">
        <v>-344.46370000000002</v>
      </c>
      <c r="K1986">
        <v>1.1091610000000001</v>
      </c>
      <c r="L1986">
        <v>283.5942</v>
      </c>
      <c r="M1986">
        <v>-0.99981540000000002</v>
      </c>
      <c r="N1986">
        <v>0</v>
      </c>
      <c r="O1986">
        <v>-1.1531410000000001E-2</v>
      </c>
      <c r="P1986">
        <v>-0.99669359999999996</v>
      </c>
      <c r="Q1986">
        <v>-6.6799329999999999E-3</v>
      </c>
      <c r="R1986">
        <v>-8.098023E-2</v>
      </c>
      <c r="S1986">
        <v>-2.9909669999999999</v>
      </c>
      <c r="T1986">
        <v>-1.858866E-2</v>
      </c>
      <c r="U1986">
        <v>-0.2320557</v>
      </c>
      <c r="V1986">
        <v>-6.9472629999999994E-2</v>
      </c>
      <c r="W1986">
        <v>8.70914699999999E-3</v>
      </c>
      <c r="X1986">
        <v>0.99754580000000004</v>
      </c>
      <c r="Y1986">
        <v>-6.584864E-2</v>
      </c>
      <c r="Z1986">
        <v>-1.32755499999999E-4</v>
      </c>
      <c r="AA1986">
        <v>0.99782959999999998</v>
      </c>
      <c r="AB1986">
        <v>43</v>
      </c>
      <c r="AC1986">
        <v>-168.36149999999901</v>
      </c>
      <c r="AD1986">
        <v>-1.0480518700000001</v>
      </c>
      <c r="AE1986">
        <v>-13.079799999999899</v>
      </c>
      <c r="AF1986">
        <v>-11.1368263588344</v>
      </c>
      <c r="AG1986">
        <v>-1.0480518700000001</v>
      </c>
      <c r="AH1986">
        <v>168.49465941215701</v>
      </c>
      <c r="AI1986">
        <v>90.355604388240195</v>
      </c>
      <c r="AJ1986">
        <v>93.781522623666206</v>
      </c>
      <c r="AK1986">
        <v>168.86556062290501</v>
      </c>
      <c r="AL1986">
        <v>89.500996305134905</v>
      </c>
      <c r="AM1986">
        <v>93.9838488957365</v>
      </c>
      <c r="AN1986">
        <v>0.99999995932911101</v>
      </c>
    </row>
    <row r="1987" spans="1:40" x14ac:dyDescent="0.25">
      <c r="A1987" t="str">
        <f>"20190312151536988"</f>
        <v>20190312151536988</v>
      </c>
      <c r="B1987" t="str">
        <f>"1552374936979661"</f>
        <v>1552374936979661</v>
      </c>
      <c r="C1987" t="s">
        <v>40</v>
      </c>
      <c r="D1987">
        <v>5.0011510000000001</v>
      </c>
      <c r="E1987">
        <v>0.49973279999999998</v>
      </c>
      <c r="F1987" t="s">
        <v>51</v>
      </c>
      <c r="G1987">
        <v>-450.10169999999999</v>
      </c>
      <c r="H1987">
        <v>8.0001840000000005E-2</v>
      </c>
      <c r="I1987">
        <v>275.21039999999999</v>
      </c>
      <c r="J1987">
        <v>-344.8433</v>
      </c>
      <c r="K1987">
        <v>1.1091549999999999</v>
      </c>
      <c r="L1987">
        <v>283.58999999999997</v>
      </c>
      <c r="M1987">
        <v>-0.99981869999999995</v>
      </c>
      <c r="N1987">
        <v>0</v>
      </c>
      <c r="O1987">
        <v>-1.125613E-2</v>
      </c>
      <c r="P1987">
        <v>-0.99674580000000002</v>
      </c>
      <c r="Q1987">
        <v>-6.7853999999999996E-3</v>
      </c>
      <c r="R1987">
        <v>-8.0325590000000002E-2</v>
      </c>
      <c r="S1987">
        <v>-2.9905089999999999</v>
      </c>
      <c r="T1987">
        <v>-2.9134509999999999E-2</v>
      </c>
      <c r="U1987">
        <v>-0.2373352</v>
      </c>
      <c r="V1987">
        <v>-6.9092609999999999E-2</v>
      </c>
      <c r="W1987">
        <v>8.6009090000000003E-3</v>
      </c>
      <c r="X1987">
        <v>0.99757320000000005</v>
      </c>
      <c r="Y1987">
        <v>-6.7884199999999895E-2</v>
      </c>
      <c r="Z1987">
        <v>-2.2066300000000001E-4</v>
      </c>
      <c r="AA1987">
        <v>0.99769319999999895</v>
      </c>
      <c r="AB1987">
        <v>43</v>
      </c>
      <c r="AC1987">
        <v>-105.25839999999999</v>
      </c>
      <c r="AD1987">
        <v>-1.0291531599999999</v>
      </c>
      <c r="AE1987">
        <v>-8.3795999999999804</v>
      </c>
      <c r="AF1987">
        <v>-7.1934436776224997</v>
      </c>
      <c r="AG1987">
        <v>-1.0291531599999999</v>
      </c>
      <c r="AH1987">
        <v>105.336056619422</v>
      </c>
      <c r="AI1987">
        <v>90.558472129305201</v>
      </c>
      <c r="AJ1987">
        <v>93.906687400171506</v>
      </c>
      <c r="AK1987">
        <v>105.586408274455</v>
      </c>
      <c r="AL1987">
        <v>89.507198151552501</v>
      </c>
      <c r="AM1987">
        <v>93.962018088619999</v>
      </c>
      <c r="AN1987">
        <v>1.00000002687523</v>
      </c>
    </row>
    <row r="1988" spans="1:40" x14ac:dyDescent="0.25">
      <c r="A1988" t="str">
        <f>"20190312151537007"</f>
        <v>20190312151537007</v>
      </c>
      <c r="B1988" t="str">
        <f>"1552374936999180"</f>
        <v>1552374936999180</v>
      </c>
      <c r="C1988" t="s">
        <v>40</v>
      </c>
      <c r="D1988">
        <v>4.8388119999999999</v>
      </c>
      <c r="E1988">
        <v>0.4992779</v>
      </c>
      <c r="F1988" t="s">
        <v>52</v>
      </c>
      <c r="G1988">
        <v>-432.16410000000002</v>
      </c>
      <c r="H1988">
        <v>8.0001420000000004E-2</v>
      </c>
      <c r="I1988">
        <v>276.48050000000001</v>
      </c>
      <c r="J1988">
        <v>-345.22489999999999</v>
      </c>
      <c r="K1988">
        <v>1.109145</v>
      </c>
      <c r="L1988">
        <v>283.58600000000001</v>
      </c>
      <c r="M1988">
        <v>-0.99982179999999998</v>
      </c>
      <c r="N1988">
        <v>0</v>
      </c>
      <c r="O1988">
        <v>-1.097764E-2</v>
      </c>
      <c r="P1988">
        <v>-0.99679439999999997</v>
      </c>
      <c r="Q1988">
        <v>-6.9422520000000003E-3</v>
      </c>
      <c r="R1988">
        <v>-7.970592E-2</v>
      </c>
      <c r="S1988">
        <v>-2.98996</v>
      </c>
      <c r="T1988">
        <v>-3.5239340000000001E-2</v>
      </c>
      <c r="U1988">
        <v>-0.24343870000000001</v>
      </c>
      <c r="V1988">
        <v>-6.8750229999999996E-2</v>
      </c>
      <c r="W1988">
        <v>8.4406959999999993E-3</v>
      </c>
      <c r="X1988">
        <v>0.99759819999999999</v>
      </c>
      <c r="Y1988">
        <v>-7.0198499999999997E-2</v>
      </c>
      <c r="Z1988">
        <v>-2.8381629999999999E-4</v>
      </c>
      <c r="AA1988">
        <v>0.997533</v>
      </c>
      <c r="AB1988">
        <v>43</v>
      </c>
      <c r="AC1988">
        <v>-86.9392</v>
      </c>
      <c r="AD1988">
        <v>-1.0291435799999999</v>
      </c>
      <c r="AE1988">
        <v>-7.1055000000000001</v>
      </c>
      <c r="AF1988">
        <v>-6.1497159181505197</v>
      </c>
      <c r="AG1988">
        <v>-1.0291435799999999</v>
      </c>
      <c r="AH1988">
        <v>86.999860863123203</v>
      </c>
      <c r="AI1988">
        <v>90.676048099167204</v>
      </c>
      <c r="AJ1988">
        <v>94.043312986900602</v>
      </c>
      <c r="AK1988">
        <v>87.223012631902407</v>
      </c>
      <c r="AL1988">
        <v>89.516378002257596</v>
      </c>
      <c r="AM1988">
        <v>93.942348370114004</v>
      </c>
      <c r="AN1988">
        <v>1.0000000040586201</v>
      </c>
    </row>
    <row r="1989" spans="1:40" x14ac:dyDescent="0.25">
      <c r="A1989" t="str">
        <f>"20190312151537023"</f>
        <v>20190312151537023</v>
      </c>
      <c r="B1989" t="str">
        <f>"1552374937019678"</f>
        <v>1552374937019678</v>
      </c>
      <c r="C1989" t="s">
        <v>40</v>
      </c>
      <c r="D1989">
        <v>4.7602900000000004</v>
      </c>
      <c r="E1989">
        <v>0.49908659999999999</v>
      </c>
      <c r="F1989" t="s">
        <v>52</v>
      </c>
      <c r="G1989">
        <v>-421.35430000000002</v>
      </c>
      <c r="H1989" s="1">
        <v>4.9049100000000001E-6</v>
      </c>
      <c r="I1989">
        <v>277.3381</v>
      </c>
      <c r="J1989">
        <v>-345.51089999999999</v>
      </c>
      <c r="K1989">
        <v>1.1091420000000001</v>
      </c>
      <c r="L1989">
        <v>283.58300000000003</v>
      </c>
      <c r="M1989">
        <v>-0.99982420000000005</v>
      </c>
      <c r="N1989">
        <v>0</v>
      </c>
      <c r="O1989">
        <v>-1.076715E-2</v>
      </c>
      <c r="P1989">
        <v>-0.996811</v>
      </c>
      <c r="Q1989">
        <v>-7.2124149999999998E-3</v>
      </c>
      <c r="R1989">
        <v>-7.947456E-2</v>
      </c>
      <c r="S1989">
        <v>-2.9896850000000001</v>
      </c>
      <c r="T1989">
        <v>-4.3557169999999999E-2</v>
      </c>
      <c r="U1989">
        <v>-0.2453613</v>
      </c>
      <c r="V1989">
        <v>-6.8728499999999998E-2</v>
      </c>
      <c r="W1989">
        <v>8.1679560000000005E-3</v>
      </c>
      <c r="X1989">
        <v>0.99760199999999999</v>
      </c>
      <c r="Y1989">
        <v>-7.1050859999999993E-2</v>
      </c>
      <c r="Z1989">
        <v>-3.600837E-4</v>
      </c>
      <c r="AA1989">
        <v>0.99747260000000004</v>
      </c>
      <c r="AB1989">
        <v>43</v>
      </c>
      <c r="AC1989">
        <v>-75.843400000000003</v>
      </c>
      <c r="AD1989">
        <v>-1.1091370950899999</v>
      </c>
      <c r="AE1989">
        <v>-6.2448999999999701</v>
      </c>
      <c r="AF1989">
        <v>-5.4266716728095501</v>
      </c>
      <c r="AG1989">
        <v>-1.1091370950899999</v>
      </c>
      <c r="AH1989">
        <v>75.890129448228507</v>
      </c>
      <c r="AI1989">
        <v>90.8351881236064</v>
      </c>
      <c r="AJ1989">
        <v>94.090084706307593</v>
      </c>
      <c r="AK1989">
        <v>76.091988396999199</v>
      </c>
      <c r="AL1989">
        <v>89.532005407097202</v>
      </c>
      <c r="AM1989">
        <v>93.941091267918495</v>
      </c>
      <c r="AN1989">
        <v>1.00000003631073</v>
      </c>
    </row>
    <row r="1990" spans="1:40" x14ac:dyDescent="0.25">
      <c r="A1990" t="str">
        <f>"20190312151537043"</f>
        <v>20190312151537043</v>
      </c>
      <c r="B1990" t="str">
        <f>"1552374937039197"</f>
        <v>1552374937039197</v>
      </c>
      <c r="C1990" t="s">
        <v>40</v>
      </c>
      <c r="D1990">
        <v>4.7491050000000001</v>
      </c>
      <c r="E1990">
        <v>0.49855139999999998</v>
      </c>
      <c r="F1990" t="s">
        <v>52</v>
      </c>
      <c r="G1990">
        <v>-418.6934</v>
      </c>
      <c r="H1990" s="1">
        <v>4.9143459999999997E-6</v>
      </c>
      <c r="I1990">
        <v>277.55290000000002</v>
      </c>
      <c r="J1990">
        <v>-345.8895</v>
      </c>
      <c r="K1990">
        <v>1.1091390000000001</v>
      </c>
      <c r="L1990">
        <v>283.57909999999998</v>
      </c>
      <c r="M1990">
        <v>-0.99982720000000003</v>
      </c>
      <c r="N1990">
        <v>0</v>
      </c>
      <c r="O1990">
        <v>-1.0486550000000001E-2</v>
      </c>
      <c r="P1990">
        <v>-0.99681450000000005</v>
      </c>
      <c r="Q1990">
        <v>-7.2919809999999899E-3</v>
      </c>
      <c r="R1990">
        <v>-7.9422779999999998E-2</v>
      </c>
      <c r="S1990">
        <v>-2.9896240000000001</v>
      </c>
      <c r="T1990">
        <v>-4.5310019999999999E-2</v>
      </c>
      <c r="U1990">
        <v>-0.2463379</v>
      </c>
      <c r="V1990">
        <v>-6.8957350000000001E-2</v>
      </c>
      <c r="W1990">
        <v>8.0849890000000008E-3</v>
      </c>
      <c r="X1990">
        <v>0.9975868</v>
      </c>
      <c r="Y1990">
        <v>-7.1655460000000004E-2</v>
      </c>
      <c r="Z1990">
        <v>-3.833938E-4</v>
      </c>
      <c r="AA1990">
        <v>0.99742940000000002</v>
      </c>
      <c r="AB1990">
        <v>43</v>
      </c>
      <c r="AC1990">
        <v>-72.803899999999999</v>
      </c>
      <c r="AD1990">
        <v>-1.109134085654</v>
      </c>
      <c r="AE1990">
        <v>-6.0261999999999496</v>
      </c>
      <c r="AF1990">
        <v>-5.26110413149918</v>
      </c>
      <c r="AG1990">
        <v>-1.109134085654</v>
      </c>
      <c r="AH1990">
        <v>72.846305455930207</v>
      </c>
      <c r="AI1990">
        <v>90.870033695275097</v>
      </c>
      <c r="AJ1990">
        <v>94.130842204597499</v>
      </c>
      <c r="AK1990">
        <v>73.044463265062902</v>
      </c>
      <c r="AL1990">
        <v>89.536759184405796</v>
      </c>
      <c r="AM1990">
        <v>93.954232687643</v>
      </c>
      <c r="AN1990">
        <v>0.99999995335019498</v>
      </c>
    </row>
    <row r="1991" spans="1:40" x14ac:dyDescent="0.25">
      <c r="A1991" t="str">
        <f>"20190312151537063"</f>
        <v>20190312151537063</v>
      </c>
      <c r="B1991" t="str">
        <f>"1552374937059693"</f>
        <v>1552374937059693</v>
      </c>
      <c r="C1991" t="s">
        <v>40</v>
      </c>
      <c r="D1991">
        <v>4.7300019999999998</v>
      </c>
      <c r="E1991">
        <v>0.49833549999999899</v>
      </c>
      <c r="F1991" t="s">
        <v>52</v>
      </c>
      <c r="G1991">
        <v>-407.625</v>
      </c>
      <c r="H1991">
        <v>8.0001299999999997E-2</v>
      </c>
      <c r="I1991">
        <v>278.40780000000001</v>
      </c>
      <c r="J1991">
        <v>-346.2901</v>
      </c>
      <c r="K1991">
        <v>1.1091310000000001</v>
      </c>
      <c r="L1991">
        <v>283.5752</v>
      </c>
      <c r="M1991">
        <v>-0.99983040000000001</v>
      </c>
      <c r="N1991">
        <v>0</v>
      </c>
      <c r="O1991">
        <v>-1.0187699999999999E-2</v>
      </c>
      <c r="P1991">
        <v>-0.99685420000000002</v>
      </c>
      <c r="Q1991">
        <v>-7.5248709999999998E-3</v>
      </c>
      <c r="R1991">
        <v>-7.890084E-2</v>
      </c>
      <c r="S1991">
        <v>-2.989258</v>
      </c>
      <c r="T1991">
        <v>-4.9831269999999997E-2</v>
      </c>
      <c r="U1991">
        <v>-0.25039670000000003</v>
      </c>
      <c r="V1991">
        <v>-6.8732950000000001E-2</v>
      </c>
      <c r="W1991">
        <v>7.848486E-3</v>
      </c>
      <c r="X1991">
        <v>0.99760420000000005</v>
      </c>
      <c r="Y1991">
        <v>-7.3306819999999995E-2</v>
      </c>
      <c r="Z1991">
        <v>-4.4038509999999999E-4</v>
      </c>
      <c r="AA1991">
        <v>0.99730929999999995</v>
      </c>
      <c r="AB1991">
        <v>43</v>
      </c>
      <c r="AC1991">
        <v>-61.334899999999998</v>
      </c>
      <c r="AD1991">
        <v>-1.0291296999999999</v>
      </c>
      <c r="AE1991">
        <v>-5.1673999999999802</v>
      </c>
      <c r="AF1991">
        <v>-4.5409272575063397</v>
      </c>
      <c r="AG1991">
        <v>-1.0291296999999999</v>
      </c>
      <c r="AH1991">
        <v>61.367211378799603</v>
      </c>
      <c r="AI1991">
        <v>90.9581425857792</v>
      </c>
      <c r="AJ1991">
        <v>94.231945019267897</v>
      </c>
      <c r="AK1991">
        <v>61.5435923610871</v>
      </c>
      <c r="AL1991">
        <v>89.550310250164998</v>
      </c>
      <c r="AM1991">
        <v>93.941336975211996</v>
      </c>
      <c r="AN1991">
        <v>0.999999978502917</v>
      </c>
    </row>
    <row r="1992" spans="1:40" x14ac:dyDescent="0.25">
      <c r="A1992" t="str">
        <f>"20190312151537075"</f>
        <v>20190312151537075</v>
      </c>
      <c r="B1992" t="str">
        <f>"1552374937069453"</f>
        <v>1552374937069453</v>
      </c>
      <c r="C1992" t="s">
        <v>40</v>
      </c>
      <c r="D1992">
        <v>4.8003210000000003</v>
      </c>
      <c r="E1992">
        <v>0.49821579999999899</v>
      </c>
      <c r="F1992" t="s">
        <v>52</v>
      </c>
      <c r="G1992">
        <v>-404.00490000000002</v>
      </c>
      <c r="H1992">
        <v>8.0001210000000003E-2</v>
      </c>
      <c r="I1992">
        <v>278.7364</v>
      </c>
      <c r="J1992">
        <v>-346.5154</v>
      </c>
      <c r="K1992">
        <v>1.1091310000000001</v>
      </c>
      <c r="L1992">
        <v>283.57299999999998</v>
      </c>
      <c r="M1992">
        <v>-0.9998321</v>
      </c>
      <c r="N1992">
        <v>0</v>
      </c>
      <c r="O1992">
        <v>-1.001836E-2</v>
      </c>
      <c r="P1992">
        <v>-0.99684439999999996</v>
      </c>
      <c r="Q1992">
        <v>-7.6124039999999997E-3</v>
      </c>
      <c r="R1992">
        <v>-7.9014749999999995E-2</v>
      </c>
      <c r="S1992">
        <v>-2.9891969999999999</v>
      </c>
      <c r="T1992">
        <v>-5.3301220000000003E-2</v>
      </c>
      <c r="U1992">
        <v>-0.25061040000000001</v>
      </c>
      <c r="V1992">
        <v>-6.9016519999999998E-2</v>
      </c>
      <c r="W1992">
        <v>7.7583649999999997E-3</v>
      </c>
      <c r="X1992">
        <v>0.99758539999999996</v>
      </c>
      <c r="Y1992">
        <v>-7.3546860000000006E-2</v>
      </c>
      <c r="Z1992">
        <v>-4.762039E-4</v>
      </c>
      <c r="AA1992">
        <v>0.99729159999999994</v>
      </c>
      <c r="AB1992">
        <v>43</v>
      </c>
      <c r="AC1992">
        <v>-57.4895</v>
      </c>
      <c r="AD1992">
        <v>-1.0291297899999901</v>
      </c>
      <c r="AE1992">
        <v>-4.8365999999999696</v>
      </c>
      <c r="AF1992">
        <v>-4.2589836995201997</v>
      </c>
      <c r="AG1992">
        <v>-1.0291297899999901</v>
      </c>
      <c r="AH1992">
        <v>57.516772875429503</v>
      </c>
      <c r="AI1992">
        <v>91.022268091824003</v>
      </c>
      <c r="AJ1992">
        <v>94.234890885592804</v>
      </c>
      <c r="AK1992">
        <v>57.683422335027799</v>
      </c>
      <c r="AL1992">
        <v>89.555473992794205</v>
      </c>
      <c r="AM1992">
        <v>93.957620441726604</v>
      </c>
      <c r="AN1992">
        <v>1.0000000512767699</v>
      </c>
    </row>
    <row r="1993" spans="1:40" x14ac:dyDescent="0.25">
      <c r="A1993" t="str">
        <f>"20190312151537087"</f>
        <v>20190312151537087</v>
      </c>
      <c r="B1993" t="str">
        <f>"1552374937079213"</f>
        <v>1552374937079213</v>
      </c>
      <c r="C1993" t="s">
        <v>40</v>
      </c>
      <c r="D1993">
        <v>4.7219259999999998</v>
      </c>
      <c r="E1993">
        <v>0.49796560000000001</v>
      </c>
      <c r="F1993" t="s">
        <v>52</v>
      </c>
      <c r="G1993">
        <v>-402.67880000000002</v>
      </c>
      <c r="H1993">
        <v>8.0001409999999995E-2</v>
      </c>
      <c r="I1993">
        <v>278.84120000000001</v>
      </c>
      <c r="J1993">
        <v>-346.74709999999999</v>
      </c>
      <c r="K1993">
        <v>1.1091279999999999</v>
      </c>
      <c r="L1993">
        <v>283.57089999999999</v>
      </c>
      <c r="M1993">
        <v>-0.999834</v>
      </c>
      <c r="N1993">
        <v>0</v>
      </c>
      <c r="O1993">
        <v>-9.8433029999999994E-3</v>
      </c>
      <c r="P1993">
        <v>-0.99685840000000003</v>
      </c>
      <c r="Q1993">
        <v>-7.7846529999999999E-3</v>
      </c>
      <c r="R1993">
        <v>-7.882567E-2</v>
      </c>
      <c r="S1993">
        <v>-2.9891049999999999</v>
      </c>
      <c r="T1993">
        <v>-5.4771899999999998E-2</v>
      </c>
      <c r="U1993">
        <v>-0.25183109999999997</v>
      </c>
      <c r="V1993">
        <v>-6.9001380000000001E-2</v>
      </c>
      <c r="W1993">
        <v>7.5843239999999999E-3</v>
      </c>
      <c r="X1993">
        <v>0.99758769999999997</v>
      </c>
      <c r="Y1993">
        <v>-7.4127730000000003E-2</v>
      </c>
      <c r="Z1993">
        <v>-4.978615E-4</v>
      </c>
      <c r="AA1993">
        <v>0.99724860000000004</v>
      </c>
      <c r="AB1993">
        <v>42</v>
      </c>
      <c r="AC1993">
        <v>-55.931699999999999</v>
      </c>
      <c r="AD1993">
        <v>-1.02912659</v>
      </c>
      <c r="AE1993">
        <v>-4.7296999999999798</v>
      </c>
      <c r="AF1993">
        <v>-4.1774491844840096</v>
      </c>
      <c r="AG1993">
        <v>-1.02912659</v>
      </c>
      <c r="AH1993">
        <v>55.956741414883901</v>
      </c>
      <c r="AI1993">
        <v>91.050711407702394</v>
      </c>
      <c r="AJ1993">
        <v>94.269494977145499</v>
      </c>
      <c r="AK1993">
        <v>56.121894951964798</v>
      </c>
      <c r="AL1993">
        <v>89.565446063344794</v>
      </c>
      <c r="AM1993">
        <v>93.956745931715702</v>
      </c>
      <c r="AN1993">
        <v>0.99999996580186501</v>
      </c>
    </row>
    <row r="1994" spans="1:40" x14ac:dyDescent="0.25">
      <c r="A1994" t="str">
        <f>"20190312151537099"</f>
        <v>20190312151537099</v>
      </c>
      <c r="B1994" t="str">
        <f>"1552374937089949"</f>
        <v>1552374937089949</v>
      </c>
      <c r="C1994" t="s">
        <v>40</v>
      </c>
      <c r="D1994">
        <v>4.6877389999999997</v>
      </c>
      <c r="E1994">
        <v>0.49778050000000001</v>
      </c>
      <c r="F1994" t="s">
        <v>52</v>
      </c>
      <c r="G1994">
        <v>-401.63850000000002</v>
      </c>
      <c r="H1994">
        <v>8.0001559999999999E-2</v>
      </c>
      <c r="I1994">
        <v>278.91809999999998</v>
      </c>
      <c r="J1994">
        <v>-346.9599</v>
      </c>
      <c r="K1994">
        <v>1.1091249999999999</v>
      </c>
      <c r="L1994">
        <v>283.56880000000001</v>
      </c>
      <c r="M1994">
        <v>-0.99983560000000005</v>
      </c>
      <c r="N1994">
        <v>0</v>
      </c>
      <c r="O1994">
        <v>-9.6811220000000003E-3</v>
      </c>
      <c r="P1994">
        <v>-0.99685250000000003</v>
      </c>
      <c r="Q1994">
        <v>-7.7560329999999999E-3</v>
      </c>
      <c r="R1994">
        <v>-7.8901460000000007E-2</v>
      </c>
      <c r="S1994">
        <v>-2.9889830000000002</v>
      </c>
      <c r="T1994">
        <v>-5.6038619999999997E-2</v>
      </c>
      <c r="U1994">
        <v>-0.2533569</v>
      </c>
      <c r="V1994">
        <v>-6.9239220000000004E-2</v>
      </c>
      <c r="W1994">
        <v>7.6105499999999998E-3</v>
      </c>
      <c r="X1994">
        <v>0.99757110000000004</v>
      </c>
      <c r="Y1994">
        <v>-7.4797730000000007E-2</v>
      </c>
      <c r="Z1994">
        <v>-5.1868689999999996E-4</v>
      </c>
      <c r="AA1994">
        <v>0.99719860000000005</v>
      </c>
      <c r="AB1994">
        <v>42</v>
      </c>
      <c r="AC1994">
        <v>-54.678600000000003</v>
      </c>
      <c r="AD1994">
        <v>-1.02912344</v>
      </c>
      <c r="AE1994">
        <v>-4.65070000000002</v>
      </c>
      <c r="AF1994">
        <v>-4.11962072087936</v>
      </c>
      <c r="AG1994">
        <v>-1.02912344</v>
      </c>
      <c r="AH1994">
        <v>54.701827760843003</v>
      </c>
      <c r="AI1994">
        <v>91.074754360094801</v>
      </c>
      <c r="AJ1994">
        <v>94.306842415437202</v>
      </c>
      <c r="AK1994">
        <v>54.866386160522701</v>
      </c>
      <c r="AL1994">
        <v>89.563943415262102</v>
      </c>
      <c r="AM1994">
        <v>93.970406703351799</v>
      </c>
      <c r="AN1994">
        <v>1.00000004480635</v>
      </c>
    </row>
    <row r="1995" spans="1:40" x14ac:dyDescent="0.25">
      <c r="A1995" t="str">
        <f>"20190312151537111"</f>
        <v>20190312151537111</v>
      </c>
      <c r="B1995" t="str">
        <f>"1552374937099709"</f>
        <v>1552374937099709</v>
      </c>
      <c r="C1995" t="s">
        <v>40</v>
      </c>
      <c r="D1995">
        <v>4.6616169999999997</v>
      </c>
      <c r="E1995">
        <v>0.49746679999999999</v>
      </c>
      <c r="F1995" t="s">
        <v>52</v>
      </c>
      <c r="G1995">
        <v>-401.14030000000002</v>
      </c>
      <c r="H1995">
        <v>8.0001639999999999E-2</v>
      </c>
      <c r="I1995">
        <v>278.94740000000002</v>
      </c>
      <c r="J1995">
        <v>-347.2063</v>
      </c>
      <c r="K1995">
        <v>1.1091249999999999</v>
      </c>
      <c r="L1995">
        <v>283.56659999999999</v>
      </c>
      <c r="M1995">
        <v>-0.99983730000000004</v>
      </c>
      <c r="N1995">
        <v>0</v>
      </c>
      <c r="O1995">
        <v>-9.4922300000000008E-3</v>
      </c>
      <c r="P1995">
        <v>-0.99686160000000001</v>
      </c>
      <c r="Q1995">
        <v>-7.8997570000000003E-3</v>
      </c>
      <c r="R1995">
        <v>-7.8771229999999998E-2</v>
      </c>
      <c r="S1995">
        <v>-2.9888919999999999</v>
      </c>
      <c r="T1995">
        <v>-5.6772110000000001E-2</v>
      </c>
      <c r="U1995">
        <v>-0.2549438</v>
      </c>
      <c r="V1995">
        <v>-6.9297310000000001E-2</v>
      </c>
      <c r="W1995">
        <v>7.4646419999999996E-3</v>
      </c>
      <c r="X1995">
        <v>0.99756809999999996</v>
      </c>
      <c r="Y1995">
        <v>-7.5513849999999993E-2</v>
      </c>
      <c r="Z1995">
        <v>-5.3584800000000001E-4</v>
      </c>
      <c r="AA1995">
        <v>0.99714460000000005</v>
      </c>
      <c r="AB1995">
        <v>42</v>
      </c>
      <c r="AC1995">
        <v>-53.933999999999997</v>
      </c>
      <c r="AD1995">
        <v>-1.0291233599999901</v>
      </c>
      <c r="AE1995">
        <v>-4.61919999999997</v>
      </c>
      <c r="AF1995">
        <v>-4.1054937906600104</v>
      </c>
      <c r="AG1995">
        <v>-1.0291233599999901</v>
      </c>
      <c r="AH1995">
        <v>53.955919447616601</v>
      </c>
      <c r="AI1995">
        <v>91.0895446582293</v>
      </c>
      <c r="AJ1995">
        <v>94.351238530032603</v>
      </c>
      <c r="AK1995">
        <v>54.121672346601898</v>
      </c>
      <c r="AL1995">
        <v>89.5723035356</v>
      </c>
      <c r="AM1995">
        <v>93.973739021669203</v>
      </c>
      <c r="AN1995">
        <v>0.99999997609551605</v>
      </c>
    </row>
    <row r="1996" spans="1:40" x14ac:dyDescent="0.25">
      <c r="A1996" t="str">
        <f>"20190312151537130"</f>
        <v>20190312151537130</v>
      </c>
      <c r="B1996" t="str">
        <f>"1552374937119229"</f>
        <v>1552374937119229</v>
      </c>
      <c r="C1996" t="s">
        <v>40</v>
      </c>
      <c r="D1996">
        <v>4.8452529999999996</v>
      </c>
      <c r="E1996">
        <v>0.49691400000000002</v>
      </c>
      <c r="F1996" t="s">
        <v>51</v>
      </c>
      <c r="G1996">
        <v>-397.96170000000001</v>
      </c>
      <c r="H1996">
        <v>8.0000589999999996E-2</v>
      </c>
      <c r="I1996">
        <v>279.19909999999999</v>
      </c>
      <c r="J1996">
        <v>-347.56139999999999</v>
      </c>
      <c r="K1996">
        <v>1.1091200000000001</v>
      </c>
      <c r="L1996">
        <v>283.56349999999998</v>
      </c>
      <c r="M1996">
        <v>-0.99984010000000001</v>
      </c>
      <c r="N1996">
        <v>0</v>
      </c>
      <c r="O1996">
        <v>-9.2155729999999995E-3</v>
      </c>
      <c r="P1996">
        <v>-0.99688209999999999</v>
      </c>
      <c r="Q1996">
        <v>-7.8665839999999994E-3</v>
      </c>
      <c r="R1996">
        <v>-7.8511940000000002E-2</v>
      </c>
      <c r="S1996">
        <v>-2.9886469999999998</v>
      </c>
      <c r="T1996">
        <v>-6.0598249999999999E-2</v>
      </c>
      <c r="U1996">
        <v>-0.2571716</v>
      </c>
      <c r="V1996">
        <v>-6.9313959999999994E-2</v>
      </c>
      <c r="W1996">
        <v>7.49468099999999E-3</v>
      </c>
      <c r="X1996">
        <v>0.99756679999999998</v>
      </c>
      <c r="Y1996">
        <v>-7.6532589999999998E-2</v>
      </c>
      <c r="Z1996">
        <v>-5.8788860000000005E-4</v>
      </c>
      <c r="AA1996">
        <v>0.99706689999999998</v>
      </c>
      <c r="AB1996">
        <v>42</v>
      </c>
      <c r="AC1996">
        <v>-50.400300000000001</v>
      </c>
      <c r="AD1996">
        <v>-1.0291194100000001</v>
      </c>
      <c r="AE1996">
        <v>-4.3643999999999803</v>
      </c>
      <c r="AF1996">
        <v>-3.8980792943546101</v>
      </c>
      <c r="AG1996">
        <v>-1.0291194100000001</v>
      </c>
      <c r="AH1996">
        <v>50.417520227217402</v>
      </c>
      <c r="AI1996">
        <v>91.165877133340004</v>
      </c>
      <c r="AJ1996">
        <v>94.421083167041402</v>
      </c>
      <c r="AK1996">
        <v>50.578458406786098</v>
      </c>
      <c r="AL1996">
        <v>89.570582414611494</v>
      </c>
      <c r="AM1996">
        <v>93.974695891503501</v>
      </c>
      <c r="AN1996">
        <v>1.0000000578782</v>
      </c>
    </row>
    <row r="1997" spans="1:40" x14ac:dyDescent="0.25">
      <c r="A1997" t="str">
        <f>"20190312151537143"</f>
        <v>20190312151537143</v>
      </c>
      <c r="B1997" t="str">
        <f>"1552374937139725"</f>
        <v>1552374937139725</v>
      </c>
      <c r="C1997" t="s">
        <v>40</v>
      </c>
      <c r="D1997">
        <v>4.6271839999999997</v>
      </c>
      <c r="E1997">
        <v>0.4966216</v>
      </c>
      <c r="F1997" t="s">
        <v>51</v>
      </c>
      <c r="G1997">
        <v>-398.84879999999998</v>
      </c>
      <c r="H1997">
        <v>8.0000329999999995E-2</v>
      </c>
      <c r="I1997">
        <v>279.08859999999999</v>
      </c>
      <c r="J1997">
        <v>-347.79829999999998</v>
      </c>
      <c r="K1997">
        <v>1.109118</v>
      </c>
      <c r="L1997">
        <v>283.56150000000002</v>
      </c>
      <c r="M1997">
        <v>-0.99984170000000006</v>
      </c>
      <c r="N1997">
        <v>0</v>
      </c>
      <c r="O1997">
        <v>-9.0287100000000006E-3</v>
      </c>
      <c r="P1997">
        <v>-0.99688960000000004</v>
      </c>
      <c r="Q1997">
        <v>-7.7265340000000002E-3</v>
      </c>
      <c r="R1997">
        <v>-7.8431619999999994E-2</v>
      </c>
      <c r="S1997">
        <v>-2.9883730000000002</v>
      </c>
      <c r="T1997">
        <v>-5.9963820000000001E-2</v>
      </c>
      <c r="U1997">
        <v>-0.26074219999999998</v>
      </c>
      <c r="V1997">
        <v>-6.9419960000000003E-2</v>
      </c>
      <c r="W1997">
        <v>7.6320069999999997E-3</v>
      </c>
      <c r="X1997">
        <v>0.99755839999999996</v>
      </c>
      <c r="Y1997">
        <v>-7.7909099999999995E-2</v>
      </c>
      <c r="Z1997">
        <v>-5.9928309999999997E-4</v>
      </c>
      <c r="AA1997">
        <v>0.99696030000000002</v>
      </c>
      <c r="AB1997">
        <v>42</v>
      </c>
      <c r="AC1997">
        <v>-51.0505</v>
      </c>
      <c r="AD1997">
        <v>-1.02911767</v>
      </c>
      <c r="AE1997">
        <v>-4.4729000000000303</v>
      </c>
      <c r="AF1997">
        <v>-4.0101260910147598</v>
      </c>
      <c r="AG1997">
        <v>-1.02911767</v>
      </c>
      <c r="AH1997">
        <v>51.068213084810601</v>
      </c>
      <c r="AI1997">
        <v>91.150916283300802</v>
      </c>
      <c r="AJ1997">
        <v>94.489931674687696</v>
      </c>
      <c r="AK1997">
        <v>51.235754919003199</v>
      </c>
      <c r="AL1997">
        <v>89.562713995041193</v>
      </c>
      <c r="AM1997">
        <v>93.980788173953897</v>
      </c>
      <c r="AN1997">
        <v>1.0000000698939</v>
      </c>
    </row>
    <row r="1998" spans="1:40" x14ac:dyDescent="0.25">
      <c r="A1998" t="str">
        <f>"20190312151537156"</f>
        <v>20190312151537156</v>
      </c>
      <c r="B1998" t="str">
        <f>"1552374937149486"</f>
        <v>1552374937149486</v>
      </c>
      <c r="C1998" t="s">
        <v>40</v>
      </c>
      <c r="D1998">
        <v>4.6238210000000004</v>
      </c>
      <c r="E1998">
        <v>0.49637900000000001</v>
      </c>
      <c r="F1998" t="s">
        <v>52</v>
      </c>
      <c r="G1998">
        <v>-401.39260000000002</v>
      </c>
      <c r="H1998">
        <v>8.0001610000000001E-2</v>
      </c>
      <c r="I1998">
        <v>278.84559999999999</v>
      </c>
      <c r="J1998">
        <v>-348.04079999999999</v>
      </c>
      <c r="K1998">
        <v>1.1091169999999999</v>
      </c>
      <c r="L1998">
        <v>283.55939999999998</v>
      </c>
      <c r="M1998">
        <v>-0.9998435</v>
      </c>
      <c r="N1998">
        <v>0</v>
      </c>
      <c r="O1998">
        <v>-8.8364829999999991E-3</v>
      </c>
      <c r="P1998">
        <v>-0.99691209999999997</v>
      </c>
      <c r="Q1998">
        <v>-7.8940509999999992E-3</v>
      </c>
      <c r="R1998">
        <v>-7.8127260000000004E-2</v>
      </c>
      <c r="S1998">
        <v>-2.9882200000000001</v>
      </c>
      <c r="T1998">
        <v>-5.7379720000000002E-2</v>
      </c>
      <c r="U1998">
        <v>-0.26293949999999999</v>
      </c>
      <c r="V1998">
        <v>-6.9307309999999997E-2</v>
      </c>
      <c r="W1998">
        <v>7.4622580000000003E-3</v>
      </c>
      <c r="X1998">
        <v>0.99756750000000005</v>
      </c>
      <c r="Y1998">
        <v>-7.8833589999999995E-2</v>
      </c>
      <c r="Z1998">
        <v>-5.8601460000000003E-4</v>
      </c>
      <c r="AA1998">
        <v>0.99688759999999998</v>
      </c>
      <c r="AB1998">
        <v>42</v>
      </c>
      <c r="AC1998">
        <v>-53.351799999999997</v>
      </c>
      <c r="AD1998">
        <v>-1.0291153900000001</v>
      </c>
      <c r="AE1998">
        <v>-4.7137999999999902</v>
      </c>
      <c r="AF1998">
        <v>-4.2405526853504503</v>
      </c>
      <c r="AG1998">
        <v>-1.0291153900000001</v>
      </c>
      <c r="AH1998">
        <v>53.371670407299497</v>
      </c>
      <c r="AI1998">
        <v>91.101173953829502</v>
      </c>
      <c r="AJ1998">
        <v>94.542792671494993</v>
      </c>
      <c r="AK1998">
        <v>53.549757867133003</v>
      </c>
      <c r="AL1998">
        <v>89.572440165336104</v>
      </c>
      <c r="AM1998">
        <v>93.974313000310104</v>
      </c>
      <c r="AN1998">
        <v>1.0000000527850701</v>
      </c>
    </row>
    <row r="1999" spans="1:40" x14ac:dyDescent="0.25">
      <c r="A1999" t="str">
        <f>"20190312151537169"</f>
        <v>20190312151537169</v>
      </c>
      <c r="B1999" t="str">
        <f>"1552374937159245"</f>
        <v>1552374937159245</v>
      </c>
      <c r="C1999" t="s">
        <v>40</v>
      </c>
      <c r="D1999">
        <v>4.8505409999999998</v>
      </c>
      <c r="E1999">
        <v>0.49627189999999999</v>
      </c>
      <c r="F1999" t="s">
        <v>52</v>
      </c>
      <c r="G1999">
        <v>-400.27640000000002</v>
      </c>
      <c r="H1999">
        <v>8.0001760000000005E-2</v>
      </c>
      <c r="I1999">
        <v>278.94589999999999</v>
      </c>
      <c r="J1999">
        <v>-348.28179999999998</v>
      </c>
      <c r="K1999">
        <v>1.1091139999999999</v>
      </c>
      <c r="L1999">
        <v>283.55739999999997</v>
      </c>
      <c r="M1999">
        <v>-0.99984519999999999</v>
      </c>
      <c r="N1999">
        <v>0</v>
      </c>
      <c r="O1999">
        <v>-8.6439029999999997E-3</v>
      </c>
      <c r="P1999">
        <v>-0.99691870000000005</v>
      </c>
      <c r="Q1999">
        <v>-7.8524790000000008E-3</v>
      </c>
      <c r="R1999">
        <v>-7.8048850000000003E-2</v>
      </c>
      <c r="S1999">
        <v>-2.9881289999999998</v>
      </c>
      <c r="T1999">
        <v>-5.8870319999999997E-2</v>
      </c>
      <c r="U1999">
        <v>-0.26391599999999998</v>
      </c>
      <c r="V1999">
        <v>-6.9420499999999996E-2</v>
      </c>
      <c r="W1999">
        <v>7.5013579999999996E-3</v>
      </c>
      <c r="X1999">
        <v>0.99755930000000004</v>
      </c>
      <c r="Y1999">
        <v>-7.935072E-2</v>
      </c>
      <c r="Z1999">
        <v>-6.1011439999999995E-4</v>
      </c>
      <c r="AA1999">
        <v>0.99684660000000003</v>
      </c>
      <c r="AB1999">
        <v>42</v>
      </c>
      <c r="AC1999">
        <v>-51.994599999999998</v>
      </c>
      <c r="AD1999">
        <v>-1.0291122399999999</v>
      </c>
      <c r="AE1999">
        <v>-4.6114999999999702</v>
      </c>
      <c r="AF1999">
        <v>-4.1602215654604002</v>
      </c>
      <c r="AG1999">
        <v>-1.0291122399999999</v>
      </c>
      <c r="AH1999">
        <v>52.012306315442203</v>
      </c>
      <c r="AI1999">
        <v>91.129895173505204</v>
      </c>
      <c r="AJ1999">
        <v>94.573086163415198</v>
      </c>
      <c r="AK1999">
        <v>52.1885669828903</v>
      </c>
      <c r="AL1999">
        <v>89.570199822219607</v>
      </c>
      <c r="AM1999">
        <v>93.980815459968795</v>
      </c>
      <c r="AN1999">
        <v>1.0000000166042899</v>
      </c>
    </row>
    <row r="2000" spans="1:40" x14ac:dyDescent="0.25">
      <c r="A2000" t="str">
        <f>"20190312151537181"</f>
        <v>20190312151537181</v>
      </c>
      <c r="B2000" t="str">
        <f>"1552374937169981"</f>
        <v>1552374937169981</v>
      </c>
      <c r="C2000" t="s">
        <v>40</v>
      </c>
      <c r="D2000">
        <v>4.5838669999999997</v>
      </c>
      <c r="E2000">
        <v>0.49618849999999998</v>
      </c>
      <c r="F2000" t="s">
        <v>52</v>
      </c>
      <c r="G2000">
        <v>-401.50209999999998</v>
      </c>
      <c r="H2000">
        <v>8.0001589999999997E-2</v>
      </c>
      <c r="I2000">
        <v>278.8449</v>
      </c>
      <c r="J2000">
        <v>-348.51260000000002</v>
      </c>
      <c r="K2000">
        <v>1.1091120000000001</v>
      </c>
      <c r="L2000">
        <v>283.55560000000003</v>
      </c>
      <c r="M2000">
        <v>-0.99984689999999998</v>
      </c>
      <c r="N2000">
        <v>0</v>
      </c>
      <c r="O2000">
        <v>-8.4581250000000004E-3</v>
      </c>
      <c r="P2000">
        <v>-0.9969382</v>
      </c>
      <c r="Q2000">
        <v>-7.7434490000000003E-3</v>
      </c>
      <c r="R2000">
        <v>-7.7810909999999997E-2</v>
      </c>
      <c r="S2000">
        <v>-2.9880680000000002</v>
      </c>
      <c r="T2000">
        <v>-5.7779789999999998E-2</v>
      </c>
      <c r="U2000">
        <v>-0.26458739999999997</v>
      </c>
      <c r="V2000">
        <v>-6.9367650000000003E-2</v>
      </c>
      <c r="W2000">
        <v>7.6086419999999997E-3</v>
      </c>
      <c r="X2000">
        <v>0.99756219999999995</v>
      </c>
      <c r="Y2000">
        <v>-7.9760369999999997E-2</v>
      </c>
      <c r="Z2000">
        <v>-6.0635810000000002E-4</v>
      </c>
      <c r="AA2000">
        <v>0.99681390000000003</v>
      </c>
      <c r="AB2000">
        <v>42</v>
      </c>
      <c r="AC2000">
        <v>-52.9894999999999</v>
      </c>
      <c r="AD2000">
        <v>-1.0291104099999999</v>
      </c>
      <c r="AE2000">
        <v>-4.7107000000000303</v>
      </c>
      <c r="AF2000">
        <v>-4.2606926197707402</v>
      </c>
      <c r="AG2000">
        <v>-1.0291104099999999</v>
      </c>
      <c r="AH2000">
        <v>53.007616009820303</v>
      </c>
      <c r="AI2000">
        <v>91.108648059943604</v>
      </c>
      <c r="AJ2000">
        <v>94.595490584708202</v>
      </c>
      <c r="AK2000">
        <v>53.1885318925113</v>
      </c>
      <c r="AL2000">
        <v>89.564052742160598</v>
      </c>
      <c r="AM2000">
        <v>93.977783061022606</v>
      </c>
      <c r="AN2000">
        <v>1.0000000525842201</v>
      </c>
    </row>
    <row r="2001" spans="1:40" x14ac:dyDescent="0.25">
      <c r="A2001" t="str">
        <f>"20190312151537198"</f>
        <v>20190312151537198</v>
      </c>
      <c r="B2001" t="str">
        <f>"1552374937189501"</f>
        <v>1552374937189501</v>
      </c>
      <c r="C2001" t="s">
        <v>40</v>
      </c>
      <c r="D2001">
        <v>4.4741839999999904</v>
      </c>
      <c r="E2001">
        <v>0.49598399999999998</v>
      </c>
      <c r="F2001" t="s">
        <v>52</v>
      </c>
      <c r="G2001">
        <v>-403.32409999999999</v>
      </c>
      <c r="H2001">
        <v>8.0001320000000001E-2</v>
      </c>
      <c r="I2001">
        <v>278.70499999999998</v>
      </c>
      <c r="J2001">
        <v>-348.82459999999998</v>
      </c>
      <c r="K2001">
        <v>1.1091089999999999</v>
      </c>
      <c r="L2001">
        <v>283.5532</v>
      </c>
      <c r="M2001">
        <v>-0.99984910000000005</v>
      </c>
      <c r="N2001">
        <v>0</v>
      </c>
      <c r="O2001">
        <v>-8.2056990000000003E-3</v>
      </c>
      <c r="P2001">
        <v>-0.99694749999999999</v>
      </c>
      <c r="Q2001">
        <v>-7.8261719999999993E-3</v>
      </c>
      <c r="R2001">
        <v>-7.7681920000000002E-2</v>
      </c>
      <c r="S2001">
        <v>-2.9881289999999998</v>
      </c>
      <c r="T2001">
        <v>-5.6103470000000003E-2</v>
      </c>
      <c r="U2001">
        <v>-0.26443480000000003</v>
      </c>
      <c r="V2001">
        <v>-6.9490410000000002E-2</v>
      </c>
      <c r="W2001">
        <v>7.5223369999999996E-3</v>
      </c>
      <c r="X2001">
        <v>0.99755419999999995</v>
      </c>
      <c r="Y2001">
        <v>-7.9960399999999904E-2</v>
      </c>
      <c r="Z2001">
        <v>-5.9536219999999996E-4</v>
      </c>
      <c r="AA2001">
        <v>0.99679790000000001</v>
      </c>
      <c r="AB2001">
        <v>42</v>
      </c>
      <c r="AC2001">
        <v>-54.499499999999998</v>
      </c>
      <c r="AD2001">
        <v>-1.0291076800000001</v>
      </c>
      <c r="AE2001">
        <v>-4.8482000000000198</v>
      </c>
      <c r="AF2001">
        <v>-4.3992215266604999</v>
      </c>
      <c r="AG2001">
        <v>-1.0291076800000001</v>
      </c>
      <c r="AH2001">
        <v>54.518165703361099</v>
      </c>
      <c r="AI2001">
        <v>91.077907870761905</v>
      </c>
      <c r="AJ2001">
        <v>94.613359169000702</v>
      </c>
      <c r="AK2001">
        <v>54.705050994554497</v>
      </c>
      <c r="AL2001">
        <v>89.568997748134706</v>
      </c>
      <c r="AM2001">
        <v>93.984831743631204</v>
      </c>
      <c r="AN2001">
        <v>0.99999994228677302</v>
      </c>
    </row>
    <row r="2002" spans="1:40" x14ac:dyDescent="0.25">
      <c r="A2002" t="str">
        <f>"20190312151537209"</f>
        <v>20190312151537209</v>
      </c>
      <c r="B2002" t="str">
        <f>"1552374937200237"</f>
        <v>1552374937200237</v>
      </c>
      <c r="C2002" t="s">
        <v>40</v>
      </c>
      <c r="D2002">
        <v>4.5115069999999999</v>
      </c>
      <c r="E2002">
        <v>0.49588719999999997</v>
      </c>
      <c r="F2002" t="s">
        <v>52</v>
      </c>
      <c r="G2002">
        <v>-405.40249999999997</v>
      </c>
      <c r="H2002">
        <v>8.0001119999999995E-2</v>
      </c>
      <c r="I2002">
        <v>278.52300000000002</v>
      </c>
      <c r="J2002">
        <v>-349.04829999999998</v>
      </c>
      <c r="K2002">
        <v>1.1091120000000001</v>
      </c>
      <c r="L2002">
        <v>283.55149999999998</v>
      </c>
      <c r="M2002">
        <v>-0.99985049999999998</v>
      </c>
      <c r="N2002">
        <v>0</v>
      </c>
      <c r="O2002">
        <v>-8.0235080000000004E-3</v>
      </c>
      <c r="P2002">
        <v>-0.99697179999999996</v>
      </c>
      <c r="Q2002">
        <v>-7.8020449999999996E-3</v>
      </c>
      <c r="R2002">
        <v>-7.7370969999999997E-2</v>
      </c>
      <c r="S2002">
        <v>-2.9880070000000001</v>
      </c>
      <c r="T2002">
        <v>-5.4349540000000002E-2</v>
      </c>
      <c r="U2002">
        <v>-0.26565549999999999</v>
      </c>
      <c r="V2002">
        <v>-6.9361489999999998E-2</v>
      </c>
      <c r="W2002">
        <v>7.544271E-3</v>
      </c>
      <c r="X2002">
        <v>0.99756310000000004</v>
      </c>
      <c r="Y2002">
        <v>-8.0550280000000002E-2</v>
      </c>
      <c r="Z2002">
        <v>-5.8542670000000002E-4</v>
      </c>
      <c r="AA2002">
        <v>0.99675040000000004</v>
      </c>
      <c r="AB2002">
        <v>42</v>
      </c>
      <c r="AC2002">
        <v>-56.354199999999899</v>
      </c>
      <c r="AD2002">
        <v>-1.02911088</v>
      </c>
      <c r="AE2002">
        <v>-5.0285000000000002</v>
      </c>
      <c r="AF2002">
        <v>-4.5746131796948202</v>
      </c>
      <c r="AG2002">
        <v>-1.02911088</v>
      </c>
      <c r="AH2002">
        <v>56.374085326916898</v>
      </c>
      <c r="AI2002">
        <v>91.042394632270998</v>
      </c>
      <c r="AJ2002">
        <v>94.639241138155199</v>
      </c>
      <c r="AK2002">
        <v>56.568751545298298</v>
      </c>
      <c r="AL2002">
        <v>89.567741027022905</v>
      </c>
      <c r="AM2002">
        <v>93.977427382010603</v>
      </c>
      <c r="AN2002">
        <v>1.0000000354007701</v>
      </c>
    </row>
    <row r="2003" spans="1:40" x14ac:dyDescent="0.25">
      <c r="A2003" t="str">
        <f>"20190312151537221"</f>
        <v>20190312151537221</v>
      </c>
      <c r="B2003" t="str">
        <f>"1552374937209996"</f>
        <v>1552374937209996</v>
      </c>
      <c r="C2003" t="s">
        <v>40</v>
      </c>
      <c r="D2003">
        <v>4.6429819999999999</v>
      </c>
      <c r="E2003">
        <v>0.495842</v>
      </c>
      <c r="F2003" t="s">
        <v>52</v>
      </c>
      <c r="G2003">
        <v>-406.9932</v>
      </c>
      <c r="H2003">
        <v>8.0001180000000005E-2</v>
      </c>
      <c r="I2003">
        <v>278.40350000000001</v>
      </c>
      <c r="J2003">
        <v>-349.2713</v>
      </c>
      <c r="K2003">
        <v>1.1091120000000001</v>
      </c>
      <c r="L2003">
        <v>283.5498</v>
      </c>
      <c r="M2003">
        <v>-0.99985210000000002</v>
      </c>
      <c r="N2003">
        <v>0</v>
      </c>
      <c r="O2003">
        <v>-7.8413230000000007E-3</v>
      </c>
      <c r="P2003">
        <v>-0.99698140000000002</v>
      </c>
      <c r="Q2003">
        <v>-7.7424629999999998E-3</v>
      </c>
      <c r="R2003">
        <v>-7.7253039999999995E-2</v>
      </c>
      <c r="S2003">
        <v>-2.9880979999999999</v>
      </c>
      <c r="T2003">
        <v>-5.3069110000000003E-2</v>
      </c>
      <c r="U2003">
        <v>-0.2654724</v>
      </c>
      <c r="V2003">
        <v>-6.9425210000000001E-2</v>
      </c>
      <c r="W2003">
        <v>7.6010130000000002E-3</v>
      </c>
      <c r="X2003">
        <v>0.99755819999999995</v>
      </c>
      <c r="Y2003">
        <v>-8.0669130000000006E-2</v>
      </c>
      <c r="Z2003">
        <v>-5.7590279999999896E-4</v>
      </c>
      <c r="AA2003">
        <v>0.99674079999999998</v>
      </c>
      <c r="AB2003">
        <v>42</v>
      </c>
      <c r="AC2003">
        <v>-57.721899999999998</v>
      </c>
      <c r="AD2003">
        <v>-1.0291108200000001</v>
      </c>
      <c r="AE2003">
        <v>-5.1462999999999903</v>
      </c>
      <c r="AF2003">
        <v>-4.69199299358666</v>
      </c>
      <c r="AG2003">
        <v>-1.0291108200000001</v>
      </c>
      <c r="AH2003">
        <v>57.742274015028002</v>
      </c>
      <c r="AI2003">
        <v>91.017691518158998</v>
      </c>
      <c r="AJ2003">
        <v>94.645505486263403</v>
      </c>
      <c r="AK2003">
        <v>57.941730003153097</v>
      </c>
      <c r="AL2003">
        <v>89.564489840849106</v>
      </c>
      <c r="AM2003">
        <v>93.981089055284201</v>
      </c>
      <c r="AN2003">
        <v>0.99999999878470502</v>
      </c>
    </row>
    <row r="2004" spans="1:40" x14ac:dyDescent="0.25">
      <c r="A2004" t="str">
        <f>"20190312151537236"</f>
        <v>20190312151537236</v>
      </c>
      <c r="B2004" t="str">
        <f>"1552374937229517"</f>
        <v>1552374937229517</v>
      </c>
      <c r="C2004" t="s">
        <v>40</v>
      </c>
      <c r="D2004">
        <v>4.47403</v>
      </c>
      <c r="E2004">
        <v>0.4957049</v>
      </c>
      <c r="F2004" t="s">
        <v>52</v>
      </c>
      <c r="G2004">
        <v>-408.78480000000002</v>
      </c>
      <c r="H2004">
        <v>8.0001240000000001E-2</v>
      </c>
      <c r="I2004">
        <v>278.26240000000001</v>
      </c>
      <c r="J2004">
        <v>-349.53390000000002</v>
      </c>
      <c r="K2004">
        <v>1.109111</v>
      </c>
      <c r="L2004">
        <v>283.54790000000003</v>
      </c>
      <c r="M2004">
        <v>-0.99985380000000001</v>
      </c>
      <c r="N2004">
        <v>0</v>
      </c>
      <c r="O2004">
        <v>-7.626234E-3</v>
      </c>
      <c r="P2004">
        <v>-0.99701300000000004</v>
      </c>
      <c r="Q2004">
        <v>-7.6706839999999997E-3</v>
      </c>
      <c r="R2004">
        <v>-7.685285E-2</v>
      </c>
      <c r="S2004">
        <v>-2.9880680000000002</v>
      </c>
      <c r="T2004">
        <v>-5.1669840000000002E-2</v>
      </c>
      <c r="U2004">
        <v>-0.2654724</v>
      </c>
      <c r="V2004">
        <v>-6.9239190000000006E-2</v>
      </c>
      <c r="W2004">
        <v>7.6696759999999899E-3</v>
      </c>
      <c r="X2004">
        <v>0.99757059999999997</v>
      </c>
      <c r="Y2004">
        <v>-8.0884990000000004E-2</v>
      </c>
      <c r="Z2004">
        <v>-5.6629999999999897E-4</v>
      </c>
      <c r="AA2004">
        <v>0.99672329999999998</v>
      </c>
      <c r="AB2004">
        <v>42</v>
      </c>
      <c r="AC2004">
        <v>-59.250900000000001</v>
      </c>
      <c r="AD2004">
        <v>-1.0291097600000001</v>
      </c>
      <c r="AE2004">
        <v>-5.2855000000000096</v>
      </c>
      <c r="AF2004">
        <v>-4.8319859443817696</v>
      </c>
      <c r="AG2004">
        <v>-1.0291097600000001</v>
      </c>
      <c r="AH2004">
        <v>59.271750350567302</v>
      </c>
      <c r="AI2004">
        <v>90.991413569574505</v>
      </c>
      <c r="AJ2004">
        <v>94.660593280067005</v>
      </c>
      <c r="AK2004">
        <v>59.477285955941198</v>
      </c>
      <c r="AL2004">
        <v>89.560555624686401</v>
      </c>
      <c r="AM2004">
        <v>93.970406972226598</v>
      </c>
      <c r="AN2004">
        <v>0.99999999567307996</v>
      </c>
    </row>
    <row r="2005" spans="1:40" x14ac:dyDescent="0.25">
      <c r="A2005" t="str">
        <f>"20190312151537254"</f>
        <v>20190312151537254</v>
      </c>
      <c r="B2005" t="str">
        <f>"1552374937250013"</f>
        <v>1552374937250013</v>
      </c>
      <c r="C2005" t="s">
        <v>40</v>
      </c>
      <c r="D2005">
        <v>4.4080719999999998</v>
      </c>
      <c r="E2005">
        <v>0.49569950000000002</v>
      </c>
      <c r="F2005" t="s">
        <v>52</v>
      </c>
      <c r="G2005">
        <v>-416.87670000000003</v>
      </c>
      <c r="H2005" s="1">
        <v>4.5856069999999998E-6</v>
      </c>
      <c r="I2005">
        <v>277.57130000000001</v>
      </c>
      <c r="J2005">
        <v>-349.89229999999998</v>
      </c>
      <c r="K2005">
        <v>1.109113</v>
      </c>
      <c r="L2005">
        <v>283.54539999999997</v>
      </c>
      <c r="M2005">
        <v>-0.99985610000000003</v>
      </c>
      <c r="N2005">
        <v>0</v>
      </c>
      <c r="O2005">
        <v>-7.3317479999999999E-3</v>
      </c>
      <c r="P2005">
        <v>-0.99704369999999998</v>
      </c>
      <c r="Q2005">
        <v>-7.5814819999999996E-3</v>
      </c>
      <c r="R2005">
        <v>-7.6465870000000005E-2</v>
      </c>
      <c r="S2005">
        <v>-2.988159</v>
      </c>
      <c r="T2005">
        <v>-4.9213649999999998E-2</v>
      </c>
      <c r="U2005">
        <v>-0.26519779999999998</v>
      </c>
      <c r="V2005">
        <v>-6.9145429999999994E-2</v>
      </c>
      <c r="W2005">
        <v>7.7555050000000002E-3</v>
      </c>
      <c r="X2005">
        <v>0.99757640000000003</v>
      </c>
      <c r="Y2005">
        <v>-8.1085879999999999E-2</v>
      </c>
      <c r="Z2005">
        <v>-5.458603E-4</v>
      </c>
      <c r="AA2005">
        <v>0.99670700000000001</v>
      </c>
      <c r="AB2005">
        <v>42</v>
      </c>
      <c r="AC2005">
        <v>-66.984399999999994</v>
      </c>
      <c r="AD2005">
        <v>-1.1091084143929999</v>
      </c>
      <c r="AE2005">
        <v>-5.97409999999996</v>
      </c>
      <c r="AF2005">
        <v>-5.4812782990858899</v>
      </c>
      <c r="AG2005">
        <v>-1.1091084143929999</v>
      </c>
      <c r="AH2005">
        <v>67.008179074069105</v>
      </c>
      <c r="AI2005">
        <v>90.945107641637506</v>
      </c>
      <c r="AJ2005">
        <v>94.676390900579406</v>
      </c>
      <c r="AK2005">
        <v>67.241137676941605</v>
      </c>
      <c r="AL2005">
        <v>89.5556378213481</v>
      </c>
      <c r="AM2005">
        <v>93.965024641105501</v>
      </c>
      <c r="AN2005">
        <v>0.99999995609232395</v>
      </c>
    </row>
    <row r="2006" spans="1:40" x14ac:dyDescent="0.25">
      <c r="A2006" t="str">
        <f>"20190312151537276"</f>
        <v>20190312151537276</v>
      </c>
      <c r="B2006" t="str">
        <f>"1552374937269537"</f>
        <v>1552374937269537</v>
      </c>
      <c r="C2006" t="s">
        <v>40</v>
      </c>
      <c r="D2006">
        <v>4.3828120000000004</v>
      </c>
      <c r="E2006">
        <v>0.49564039999999998</v>
      </c>
      <c r="F2006" t="s">
        <v>52</v>
      </c>
      <c r="G2006">
        <v>-425.39429999999999</v>
      </c>
      <c r="H2006" s="1">
        <v>4.1735900000000003E-6</v>
      </c>
      <c r="I2006">
        <v>276.87279999999998</v>
      </c>
      <c r="J2006">
        <v>-350.2987</v>
      </c>
      <c r="K2006">
        <v>1.1091169999999999</v>
      </c>
      <c r="L2006">
        <v>283.5428</v>
      </c>
      <c r="M2006">
        <v>-0.99985849999999998</v>
      </c>
      <c r="N2006">
        <v>0</v>
      </c>
      <c r="O2006">
        <v>-6.9968549999999997E-3</v>
      </c>
      <c r="P2006">
        <v>-0.99708730000000001</v>
      </c>
      <c r="Q2006">
        <v>-7.7870559999999997E-3</v>
      </c>
      <c r="R2006">
        <v>-7.5872250000000002E-2</v>
      </c>
      <c r="S2006">
        <v>-2.9883419999999998</v>
      </c>
      <c r="T2006">
        <v>-4.3898109999999997E-2</v>
      </c>
      <c r="U2006">
        <v>-0.26409909999999998</v>
      </c>
      <c r="V2006">
        <v>-6.8885810000000006E-2</v>
      </c>
      <c r="W2006">
        <v>7.5457010000000001E-3</v>
      </c>
      <c r="X2006">
        <v>0.99759600000000004</v>
      </c>
      <c r="Y2006">
        <v>-8.1052760000000001E-2</v>
      </c>
      <c r="Z2006">
        <v>-4.9155369999999996E-4</v>
      </c>
      <c r="AA2006">
        <v>0.99670970000000003</v>
      </c>
      <c r="AB2006">
        <v>42</v>
      </c>
      <c r="AC2006">
        <v>-75.095599999999905</v>
      </c>
      <c r="AD2006">
        <v>-1.1091128264100001</v>
      </c>
      <c r="AE2006">
        <v>-6.6700000000000097</v>
      </c>
      <c r="AF2006">
        <v>-6.1430126658258901</v>
      </c>
      <c r="AG2006">
        <v>-1.1091128264100001</v>
      </c>
      <c r="AH2006">
        <v>75.124177005085599</v>
      </c>
      <c r="AI2006">
        <v>90.843024417997498</v>
      </c>
      <c r="AJ2006">
        <v>94.674757952530598</v>
      </c>
      <c r="AK2006">
        <v>75.383079710009397</v>
      </c>
      <c r="AL2006">
        <v>89.567659070292507</v>
      </c>
      <c r="AM2006">
        <v>93.950107037712002</v>
      </c>
      <c r="AN2006">
        <v>0.99999998581946803</v>
      </c>
    </row>
    <row r="2007" spans="1:40" x14ac:dyDescent="0.25">
      <c r="A2007" t="str">
        <f>"20190312151537288"</f>
        <v>20190312151537288</v>
      </c>
      <c r="B2007" t="str">
        <f>"1552374937279293"</f>
        <v>1552374937279293</v>
      </c>
      <c r="C2007" t="s">
        <v>40</v>
      </c>
      <c r="D2007">
        <v>4.5296989999999999</v>
      </c>
      <c r="E2007">
        <v>0.49548439999999999</v>
      </c>
      <c r="F2007" t="s">
        <v>52</v>
      </c>
      <c r="G2007">
        <v>-430.01130000000001</v>
      </c>
      <c r="H2007">
        <v>4.074055E-2</v>
      </c>
      <c r="I2007">
        <v>276.53739999999999</v>
      </c>
      <c r="J2007">
        <v>-350.5324</v>
      </c>
      <c r="K2007">
        <v>1.109116</v>
      </c>
      <c r="L2007">
        <v>283.54129999999998</v>
      </c>
      <c r="M2007">
        <v>-0.99985979999999997</v>
      </c>
      <c r="N2007">
        <v>0</v>
      </c>
      <c r="O2007">
        <v>-6.8039579999999997E-3</v>
      </c>
      <c r="P2007">
        <v>-0.9971061</v>
      </c>
      <c r="Q2007">
        <v>-7.5805289999999999E-3</v>
      </c>
      <c r="R2007">
        <v>-7.5643050000000003E-2</v>
      </c>
      <c r="S2007">
        <v>-2.988464</v>
      </c>
      <c r="T2007">
        <v>-4.005396E-2</v>
      </c>
      <c r="U2007">
        <v>-0.26263429999999999</v>
      </c>
      <c r="V2007">
        <v>-6.8849080000000007E-2</v>
      </c>
      <c r="W2007">
        <v>7.7497819999999898E-3</v>
      </c>
      <c r="X2007">
        <v>0.99759699999999996</v>
      </c>
      <c r="Y2007">
        <v>-8.075802E-2</v>
      </c>
      <c r="Z2007">
        <v>-4.4911270000000001E-4</v>
      </c>
      <c r="AA2007">
        <v>0.99673369999999994</v>
      </c>
      <c r="AB2007">
        <v>42</v>
      </c>
      <c r="AC2007">
        <v>-79.478899999999996</v>
      </c>
      <c r="AD2007">
        <v>-1.06837545</v>
      </c>
      <c r="AE2007">
        <v>-7.0038999999999803</v>
      </c>
      <c r="AF2007">
        <v>-6.46174483697156</v>
      </c>
      <c r="AG2007">
        <v>-1.06837545</v>
      </c>
      <c r="AH2007">
        <v>79.510463309616895</v>
      </c>
      <c r="AI2007">
        <v>90.767302854975497</v>
      </c>
      <c r="AJ2007">
        <v>94.646166343383896</v>
      </c>
      <c r="AK2007">
        <v>79.779755252509005</v>
      </c>
      <c r="AL2007">
        <v>89.555965760975795</v>
      </c>
      <c r="AM2007">
        <v>93.948003552969894</v>
      </c>
      <c r="AN2007">
        <v>1.00000001467344</v>
      </c>
    </row>
    <row r="2008" spans="1:40" x14ac:dyDescent="0.25">
      <c r="A2008" t="str">
        <f>"20190312151537301"</f>
        <v>20190312151537301</v>
      </c>
      <c r="B2008" t="str">
        <f>"1552374937289692"</f>
        <v>1552374937289692</v>
      </c>
      <c r="C2008" t="s">
        <v>40</v>
      </c>
      <c r="D2008">
        <v>4.503285</v>
      </c>
      <c r="E2008">
        <v>0.49526789999999998</v>
      </c>
      <c r="F2008" t="s">
        <v>52</v>
      </c>
      <c r="G2008">
        <v>-432.36919999999998</v>
      </c>
      <c r="H2008">
        <v>8.0001409999999995E-2</v>
      </c>
      <c r="I2008">
        <v>276.34010000000001</v>
      </c>
      <c r="J2008">
        <v>-350.76029999999997</v>
      </c>
      <c r="K2008">
        <v>1.1091169999999999</v>
      </c>
      <c r="L2008">
        <v>283.53989999999999</v>
      </c>
      <c r="M2008">
        <v>-0.99986109999999995</v>
      </c>
      <c r="N2008">
        <v>0</v>
      </c>
      <c r="O2008">
        <v>-6.6159499999999998E-3</v>
      </c>
      <c r="P2008">
        <v>-0.99711269999999996</v>
      </c>
      <c r="Q2008">
        <v>-7.4772550000000004E-3</v>
      </c>
      <c r="R2008">
        <v>-7.5570230000000002E-2</v>
      </c>
      <c r="S2008">
        <v>-2.9884949999999999</v>
      </c>
      <c r="T2008">
        <v>-3.7580969999999998E-2</v>
      </c>
      <c r="U2008">
        <v>-0.26296999999999998</v>
      </c>
      <c r="V2008">
        <v>-6.8963189999999994E-2</v>
      </c>
      <c r="W2008">
        <v>7.8508699999999994E-3</v>
      </c>
      <c r="X2008">
        <v>0.99758829999999998</v>
      </c>
      <c r="Y2008">
        <v>-8.1056400000000001E-2</v>
      </c>
      <c r="Z2008">
        <v>-4.2561159999999999E-4</v>
      </c>
      <c r="AA2008">
        <v>0.99670939999999997</v>
      </c>
      <c r="AB2008">
        <v>42</v>
      </c>
      <c r="AC2008">
        <v>-81.608900000000006</v>
      </c>
      <c r="AD2008">
        <v>-1.02911559</v>
      </c>
      <c r="AE2008">
        <v>-7.1997999999999802</v>
      </c>
      <c r="AF2008">
        <v>-6.6586081267178896</v>
      </c>
      <c r="AG2008">
        <v>-1.02911559</v>
      </c>
      <c r="AH2008">
        <v>81.641870143376707</v>
      </c>
      <c r="AI2008">
        <v>90.719799190032006</v>
      </c>
      <c r="AJ2008">
        <v>94.662651520323905</v>
      </c>
      <c r="AK2008">
        <v>81.919418342605198</v>
      </c>
      <c r="AL2008">
        <v>89.550173656644603</v>
      </c>
      <c r="AM2008">
        <v>93.954560581914507</v>
      </c>
      <c r="AN2008">
        <v>0.99999998701581105</v>
      </c>
    </row>
    <row r="2009" spans="1:40" x14ac:dyDescent="0.25">
      <c r="A2009" t="str">
        <f>"20190312151537320"</f>
        <v>20190312151537320</v>
      </c>
      <c r="B2009" t="str">
        <f>"1552374937309212"</f>
        <v>1552374937309212</v>
      </c>
      <c r="C2009" t="s">
        <v>40</v>
      </c>
      <c r="D2009">
        <v>4.3604240000000001</v>
      </c>
      <c r="E2009">
        <v>0.49534139999999999</v>
      </c>
      <c r="F2009" t="s">
        <v>52</v>
      </c>
      <c r="G2009">
        <v>-437.91879999999998</v>
      </c>
      <c r="H2009">
        <v>8.000082E-2</v>
      </c>
      <c r="I2009">
        <v>275.81950000000001</v>
      </c>
      <c r="J2009">
        <v>-351.13220000000001</v>
      </c>
      <c r="K2009">
        <v>1.1091150000000001</v>
      </c>
      <c r="L2009">
        <v>283.53769999999997</v>
      </c>
      <c r="M2009">
        <v>-0.99986319999999995</v>
      </c>
      <c r="N2009">
        <v>0</v>
      </c>
      <c r="O2009">
        <v>-6.3089649999999997E-3</v>
      </c>
      <c r="P2009">
        <v>-0.99713090000000004</v>
      </c>
      <c r="Q2009">
        <v>-7.6234859999999996E-3</v>
      </c>
      <c r="R2009">
        <v>-7.5314779999999998E-2</v>
      </c>
      <c r="S2009">
        <v>-2.9884029999999999</v>
      </c>
      <c r="T2009">
        <v>-3.528535E-2</v>
      </c>
      <c r="U2009">
        <v>-0.26470949999999999</v>
      </c>
      <c r="V2009">
        <v>-6.9013679999999994E-2</v>
      </c>
      <c r="W2009">
        <v>7.7006699999999997E-3</v>
      </c>
      <c r="X2009">
        <v>0.99758599999999997</v>
      </c>
      <c r="Y2009">
        <v>-8.1941349999999996E-2</v>
      </c>
      <c r="Z2009">
        <v>-4.0844859999999999E-4</v>
      </c>
      <c r="AA2009">
        <v>0.996637</v>
      </c>
      <c r="AB2009">
        <v>42</v>
      </c>
      <c r="AC2009">
        <v>-86.786599999999893</v>
      </c>
      <c r="AD2009">
        <v>-1.0291141800000001</v>
      </c>
      <c r="AE2009">
        <v>-7.7181999999999604</v>
      </c>
      <c r="AF2009">
        <v>-7.1694485264085799</v>
      </c>
      <c r="AG2009">
        <v>-1.0291141800000001</v>
      </c>
      <c r="AH2009">
        <v>86.821459615718396</v>
      </c>
      <c r="AI2009">
        <v>90.676804475095295</v>
      </c>
      <c r="AJ2009">
        <v>94.720598474287499</v>
      </c>
      <c r="AK2009">
        <v>87.123050440007702</v>
      </c>
      <c r="AL2009">
        <v>89.5587797522263</v>
      </c>
      <c r="AM2009">
        <v>93.957455732172306</v>
      </c>
      <c r="AN2009">
        <v>1.00000000787079</v>
      </c>
    </row>
    <row r="2010" spans="1:40" x14ac:dyDescent="0.25">
      <c r="A2010" t="str">
        <f>"20190312151537333"</f>
        <v>20190312151537333</v>
      </c>
      <c r="B2010" t="str">
        <f>"1552374937329709"</f>
        <v>1552374937329709</v>
      </c>
      <c r="C2010" t="s">
        <v>40</v>
      </c>
      <c r="D2010">
        <v>4.3225519999999999</v>
      </c>
      <c r="E2010">
        <v>0.49537559999999897</v>
      </c>
      <c r="F2010" t="s">
        <v>51</v>
      </c>
      <c r="G2010">
        <v>-439.98020000000002</v>
      </c>
      <c r="H2010">
        <v>8.0001849999999999E-2</v>
      </c>
      <c r="I2010">
        <v>275.71319999999997</v>
      </c>
      <c r="J2010">
        <v>-351.3691</v>
      </c>
      <c r="K2010">
        <v>1.109116</v>
      </c>
      <c r="L2010">
        <v>283.53629999999998</v>
      </c>
      <c r="M2010">
        <v>-0.99986439999999999</v>
      </c>
      <c r="N2010">
        <v>0</v>
      </c>
      <c r="O2010">
        <v>-6.1132119999999998E-3</v>
      </c>
      <c r="P2010">
        <v>-0.99714420000000004</v>
      </c>
      <c r="Q2010">
        <v>-7.5572369999999996E-3</v>
      </c>
      <c r="R2010">
        <v>-7.5143580000000001E-2</v>
      </c>
      <c r="S2010">
        <v>-2.9884949999999999</v>
      </c>
      <c r="T2010">
        <v>-3.4615279999999998E-2</v>
      </c>
      <c r="U2010">
        <v>-0.26318360000000002</v>
      </c>
      <c r="V2010">
        <v>-6.9038399999999903E-2</v>
      </c>
      <c r="W2010">
        <v>7.7640879999999997E-3</v>
      </c>
      <c r="X2010">
        <v>0.99758380000000002</v>
      </c>
      <c r="Y2010">
        <v>-8.1629069999999998E-2</v>
      </c>
      <c r="Z2010">
        <v>-4.0114730000000002E-4</v>
      </c>
      <c r="AA2010">
        <v>0.99666270000000001</v>
      </c>
      <c r="AB2010">
        <v>42</v>
      </c>
      <c r="AC2010">
        <v>-88.611099999999993</v>
      </c>
      <c r="AD2010">
        <v>-1.0291141500000001</v>
      </c>
      <c r="AE2010">
        <v>-7.8231000000000099</v>
      </c>
      <c r="AF2010">
        <v>-7.2802176376279899</v>
      </c>
      <c r="AG2010">
        <v>-1.0291141500000001</v>
      </c>
      <c r="AH2010">
        <v>88.645409589322398</v>
      </c>
      <c r="AI2010">
        <v>90.662904291384294</v>
      </c>
      <c r="AJ2010">
        <v>94.695016902742694</v>
      </c>
      <c r="AK2010">
        <v>88.949813299656199</v>
      </c>
      <c r="AL2010">
        <v>89.555146060772501</v>
      </c>
      <c r="AM2010">
        <v>93.958877448972999</v>
      </c>
      <c r="AN2010">
        <v>1.0000000098797299</v>
      </c>
    </row>
    <row r="2011" spans="1:40" x14ac:dyDescent="0.25">
      <c r="A2011" t="str">
        <f>"20190312151537345"</f>
        <v>20190312151537345</v>
      </c>
      <c r="B2011" t="str">
        <f>"1552374937339468"</f>
        <v>1552374937339468</v>
      </c>
      <c r="C2011" t="s">
        <v>40</v>
      </c>
      <c r="D2011">
        <v>4.2905889999999998</v>
      </c>
      <c r="E2011">
        <v>0.49539820000000001</v>
      </c>
      <c r="F2011" t="s">
        <v>51</v>
      </c>
      <c r="G2011">
        <v>-451.68220000000002</v>
      </c>
      <c r="H2011">
        <v>8.0001399999999903E-2</v>
      </c>
      <c r="I2011">
        <v>274.72710000000001</v>
      </c>
      <c r="J2011">
        <v>-351.60250000000002</v>
      </c>
      <c r="K2011">
        <v>1.1091169999999999</v>
      </c>
      <c r="L2011">
        <v>283.53500000000003</v>
      </c>
      <c r="M2011">
        <v>-0.99986569999999997</v>
      </c>
      <c r="N2011">
        <v>0</v>
      </c>
      <c r="O2011">
        <v>-5.9203199999999997E-3</v>
      </c>
      <c r="P2011">
        <v>-0.99715129999999996</v>
      </c>
      <c r="Q2011">
        <v>-7.470801E-3</v>
      </c>
      <c r="R2011">
        <v>-7.5057479999999996E-2</v>
      </c>
      <c r="S2011">
        <v>-2.9886170000000001</v>
      </c>
      <c r="T2011">
        <v>-3.066027E-2</v>
      </c>
      <c r="U2011">
        <v>-0.2624512</v>
      </c>
      <c r="V2011">
        <v>-6.9144430000000007E-2</v>
      </c>
      <c r="W2011">
        <v>7.8480080000000001E-3</v>
      </c>
      <c r="X2011">
        <v>0.99757580000000001</v>
      </c>
      <c r="Y2011">
        <v>-8.1576469999999998E-2</v>
      </c>
      <c r="Z2011">
        <v>-3.5701129999999898E-4</v>
      </c>
      <c r="AA2011">
        <v>0.99666699999999997</v>
      </c>
      <c r="AB2011">
        <v>42</v>
      </c>
      <c r="AC2011">
        <v>-100.0797</v>
      </c>
      <c r="AD2011">
        <v>-1.0291155999999999</v>
      </c>
      <c r="AE2011">
        <v>-8.8079000000000107</v>
      </c>
      <c r="AF2011">
        <v>-8.2143106580780501</v>
      </c>
      <c r="AG2011">
        <v>-1.0291155999999999</v>
      </c>
      <c r="AH2011">
        <v>100.11959214063</v>
      </c>
      <c r="AI2011">
        <v>90.586942729216801</v>
      </c>
      <c r="AJ2011">
        <v>94.690326200452205</v>
      </c>
      <c r="AK2011">
        <v>100.46126969589599</v>
      </c>
      <c r="AL2011">
        <v>89.550337652594393</v>
      </c>
      <c r="AM2011">
        <v>93.964969857896307</v>
      </c>
      <c r="AN2011">
        <v>1.0000000100876101</v>
      </c>
    </row>
    <row r="2012" spans="1:40" x14ac:dyDescent="0.25">
      <c r="A2012" t="str">
        <f>"20190312151537358"</f>
        <v>20190312151537358</v>
      </c>
      <c r="B2012" t="str">
        <f>"1552374937350204"</f>
        <v>1552374937350204</v>
      </c>
      <c r="C2012" t="s">
        <v>40</v>
      </c>
      <c r="D2012">
        <v>4.2831419999999998</v>
      </c>
      <c r="E2012">
        <v>0.49536829999999998</v>
      </c>
      <c r="F2012" t="s">
        <v>42</v>
      </c>
      <c r="G2012">
        <v>-473.3485</v>
      </c>
      <c r="H2012">
        <v>-0.05</v>
      </c>
      <c r="I2012">
        <v>272.87119999999999</v>
      </c>
      <c r="J2012">
        <v>-351.83159999999998</v>
      </c>
      <c r="K2012">
        <v>1.109118</v>
      </c>
      <c r="L2012">
        <v>283.53390000000002</v>
      </c>
      <c r="M2012">
        <v>-0.99986679999999994</v>
      </c>
      <c r="N2012">
        <v>0</v>
      </c>
      <c r="O2012">
        <v>-5.7308849999999998E-3</v>
      </c>
      <c r="P2012">
        <v>-0.99716939999999998</v>
      </c>
      <c r="Q2012">
        <v>-7.6506389999999999E-3</v>
      </c>
      <c r="R2012">
        <v>-7.4799950000000004E-2</v>
      </c>
      <c r="S2012">
        <v>-2.9886780000000002</v>
      </c>
      <c r="T2012">
        <v>-2.845454E-2</v>
      </c>
      <c r="U2012">
        <v>-0.26177979999999901</v>
      </c>
      <c r="V2012">
        <v>-6.9076020000000002E-2</v>
      </c>
      <c r="W2012">
        <v>7.6653850000000003E-3</v>
      </c>
      <c r="X2012">
        <v>0.99758199999999997</v>
      </c>
      <c r="Y2012">
        <v>-8.1541890000000006E-2</v>
      </c>
      <c r="Z2012">
        <v>-3.32961E-4</v>
      </c>
      <c r="AA2012">
        <v>0.9966699</v>
      </c>
      <c r="AB2012">
        <v>42</v>
      </c>
      <c r="AC2012">
        <v>-121.51690000000001</v>
      </c>
      <c r="AD2012">
        <v>-1.1591180000000001</v>
      </c>
      <c r="AE2012">
        <v>-10.662699999999999</v>
      </c>
      <c r="AF2012">
        <v>-9.9651443717215198</v>
      </c>
      <c r="AG2012">
        <v>-1.1591180000000001</v>
      </c>
      <c r="AH2012">
        <v>121.565041477264</v>
      </c>
      <c r="AI2012">
        <v>90.544470336296001</v>
      </c>
      <c r="AJ2012">
        <v>94.686272836789598</v>
      </c>
      <c r="AK2012">
        <v>121.97830530982201</v>
      </c>
      <c r="AL2012">
        <v>89.5608015122708</v>
      </c>
      <c r="AM2012">
        <v>93.961034956538299</v>
      </c>
      <c r="AN2012">
        <v>1.0000000506951101</v>
      </c>
    </row>
    <row r="2013" spans="1:40" x14ac:dyDescent="0.25">
      <c r="A2013" t="str">
        <f>"20190312151537369"</f>
        <v>20190312151537369</v>
      </c>
      <c r="B2013" t="str">
        <f>"1552374937359964"</f>
        <v>1552374937359964</v>
      </c>
      <c r="C2013" t="s">
        <v>40</v>
      </c>
      <c r="D2013">
        <v>4.4096250000000001</v>
      </c>
      <c r="E2013">
        <v>0.49539470000000002</v>
      </c>
      <c r="F2013" t="s">
        <v>42</v>
      </c>
      <c r="G2013">
        <v>-476.25099999999998</v>
      </c>
      <c r="H2013">
        <v>-0.05</v>
      </c>
      <c r="I2013">
        <v>272.6447</v>
      </c>
      <c r="J2013">
        <v>-352.05239999999998</v>
      </c>
      <c r="K2013">
        <v>1.1091169999999999</v>
      </c>
      <c r="L2013">
        <v>283.53269999999998</v>
      </c>
      <c r="M2013">
        <v>-0.99986779999999997</v>
      </c>
      <c r="N2013">
        <v>0</v>
      </c>
      <c r="O2013">
        <v>-5.5487219999999999E-3</v>
      </c>
      <c r="P2013">
        <v>-0.99717619999999896</v>
      </c>
      <c r="Q2013">
        <v>-7.6194560000000001E-3</v>
      </c>
      <c r="R2013">
        <v>-7.4710499999999999E-2</v>
      </c>
      <c r="S2013">
        <v>-2.9886469999999998</v>
      </c>
      <c r="T2013">
        <v>-2.784288E-2</v>
      </c>
      <c r="U2013">
        <v>-0.26156620000000003</v>
      </c>
      <c r="V2013">
        <v>-6.9167809999999996E-2</v>
      </c>
      <c r="W2013">
        <v>7.6944709999999996E-3</v>
      </c>
      <c r="X2013">
        <v>0.99757530000000005</v>
      </c>
      <c r="Y2013">
        <v>-8.1653779999999995E-2</v>
      </c>
      <c r="Z2013">
        <v>-3.2802219999999998E-4</v>
      </c>
      <c r="AA2013">
        <v>0.99666069999999995</v>
      </c>
      <c r="AB2013">
        <v>42</v>
      </c>
      <c r="AC2013">
        <v>-124.1986</v>
      </c>
      <c r="AD2013">
        <v>-1.159117</v>
      </c>
      <c r="AE2013">
        <v>-10.8879999999999</v>
      </c>
      <c r="AF2013">
        <v>-10.1977268858282</v>
      </c>
      <c r="AG2013">
        <v>-1.159117</v>
      </c>
      <c r="AH2013">
        <v>124.24636975074</v>
      </c>
      <c r="AI2013">
        <v>90.532716024347906</v>
      </c>
      <c r="AJ2013">
        <v>94.692128704815204</v>
      </c>
      <c r="AK2013">
        <v>124.669553548952</v>
      </c>
      <c r="AL2013">
        <v>89.559134907155595</v>
      </c>
      <c r="AM2013">
        <v>93.966308247574602</v>
      </c>
      <c r="AN2013">
        <v>0.99999993499712503</v>
      </c>
    </row>
    <row r="2014" spans="1:40" x14ac:dyDescent="0.25">
      <c r="A2014" t="str">
        <f>"20190312151537382"</f>
        <v>20190312151537382</v>
      </c>
      <c r="B2014" t="str">
        <f>"1552374937379484"</f>
        <v>1552374937379484</v>
      </c>
      <c r="C2014" t="s">
        <v>40</v>
      </c>
      <c r="D2014">
        <v>4.2933059999999896</v>
      </c>
      <c r="E2014">
        <v>0.49534020000000001</v>
      </c>
      <c r="F2014" t="s">
        <v>42</v>
      </c>
      <c r="G2014">
        <v>-485.50040000000001</v>
      </c>
      <c r="H2014">
        <v>-0.05</v>
      </c>
      <c r="I2014">
        <v>271.89080000000001</v>
      </c>
      <c r="J2014">
        <v>-352.28789999999998</v>
      </c>
      <c r="K2014">
        <v>1.1091150000000001</v>
      </c>
      <c r="L2014">
        <v>283.53160000000003</v>
      </c>
      <c r="M2014">
        <v>-0.99986900000000001</v>
      </c>
      <c r="N2014">
        <v>0</v>
      </c>
      <c r="O2014">
        <v>-5.3540430000000002E-3</v>
      </c>
      <c r="P2014">
        <v>-0.99718030000000002</v>
      </c>
      <c r="Q2014">
        <v>-7.922264E-3</v>
      </c>
      <c r="R2014">
        <v>-7.4625430000000006E-2</v>
      </c>
      <c r="S2014">
        <v>-2.9887999999999999</v>
      </c>
      <c r="T2014">
        <v>-2.5960449999999999E-2</v>
      </c>
      <c r="U2014">
        <v>-0.26074219999999998</v>
      </c>
      <c r="V2014">
        <v>-6.927738E-2</v>
      </c>
      <c r="W2014">
        <v>7.3888259999999898E-3</v>
      </c>
      <c r="X2014">
        <v>0.99757010000000002</v>
      </c>
      <c r="Y2014">
        <v>-8.1571149999999995E-2</v>
      </c>
      <c r="Z2014">
        <v>-3.0716339999999997E-4</v>
      </c>
      <c r="AA2014">
        <v>0.99666739999999998</v>
      </c>
      <c r="AB2014">
        <v>42</v>
      </c>
      <c r="AC2014">
        <v>-133.21250000000001</v>
      </c>
      <c r="AD2014">
        <v>-1.1591149999999999</v>
      </c>
      <c r="AE2014">
        <v>-11.6408</v>
      </c>
      <c r="AF2014">
        <v>-10.9265034469718</v>
      </c>
      <c r="AG2014">
        <v>-1.1591149999999999</v>
      </c>
      <c r="AH2014">
        <v>133.262909734744</v>
      </c>
      <c r="AI2014">
        <v>90.496677009029099</v>
      </c>
      <c r="AJ2014">
        <v>94.687315219883104</v>
      </c>
      <c r="AK2014">
        <v>133.71512680370401</v>
      </c>
      <c r="AL2014">
        <v>89.576647613993202</v>
      </c>
      <c r="AM2014">
        <v>93.972591889625704</v>
      </c>
      <c r="AN2014">
        <v>1.00000002727166</v>
      </c>
    </row>
    <row r="2015" spans="1:40" x14ac:dyDescent="0.25">
      <c r="A2015" t="str">
        <f>"20190312151537398"</f>
        <v>20190312151537398</v>
      </c>
      <c r="B2015" t="str">
        <f>"1552374937390089"</f>
        <v>1552374937390089</v>
      </c>
      <c r="C2015" t="s">
        <v>40</v>
      </c>
      <c r="D2015">
        <v>4.2580070000000001</v>
      </c>
      <c r="E2015">
        <v>0.49529859999999998</v>
      </c>
      <c r="F2015" t="s">
        <v>50</v>
      </c>
      <c r="G2015">
        <v>-482.87099999999998</v>
      </c>
      <c r="H2015" s="1">
        <v>4.4246120000000002E-7</v>
      </c>
      <c r="I2015">
        <v>272.12869999999998</v>
      </c>
      <c r="J2015">
        <v>-352.58150000000001</v>
      </c>
      <c r="K2015">
        <v>1.1091200000000001</v>
      </c>
      <c r="L2015">
        <v>283.53019999999998</v>
      </c>
      <c r="M2015">
        <v>-0.99987040000000005</v>
      </c>
      <c r="N2015">
        <v>0</v>
      </c>
      <c r="O2015">
        <v>-5.1115600000000002E-3</v>
      </c>
      <c r="P2015">
        <v>-0.99718620000000002</v>
      </c>
      <c r="Q2015">
        <v>-7.8348519999999998E-3</v>
      </c>
      <c r="R2015">
        <v>-7.4555960000000004E-2</v>
      </c>
      <c r="S2015">
        <v>-2.9887389999999998</v>
      </c>
      <c r="T2015">
        <v>-2.5385020000000001E-2</v>
      </c>
      <c r="U2015">
        <v>-0.2609863</v>
      </c>
      <c r="V2015">
        <v>-6.9450010000000006E-2</v>
      </c>
      <c r="W2015">
        <v>7.4727469999999897E-3</v>
      </c>
      <c r="X2015">
        <v>0.99755749999999999</v>
      </c>
      <c r="Y2015">
        <v>-8.1895529999999994E-2</v>
      </c>
      <c r="Z2015">
        <v>-3.0379080000000002E-4</v>
      </c>
      <c r="AA2015">
        <v>0.99664090000000005</v>
      </c>
      <c r="AB2015">
        <v>42</v>
      </c>
      <c r="AC2015">
        <v>-130.28949999999901</v>
      </c>
      <c r="AD2015">
        <v>-1.1091195575388</v>
      </c>
      <c r="AE2015">
        <v>-11.4015</v>
      </c>
      <c r="AF2015">
        <v>-10.734518816930899</v>
      </c>
      <c r="AG2015">
        <v>-1.1091195575388</v>
      </c>
      <c r="AH2015">
        <v>130.33671045127201</v>
      </c>
      <c r="AI2015">
        <v>90.485910023729105</v>
      </c>
      <c r="AJ2015">
        <v>94.708248434495204</v>
      </c>
      <c r="AK2015">
        <v>130.78271342835299</v>
      </c>
      <c r="AL2015">
        <v>89.571839174479607</v>
      </c>
      <c r="AM2015">
        <v>93.982509386025995</v>
      </c>
      <c r="AN2015">
        <v>1.0000000558214801</v>
      </c>
    </row>
    <row r="2016" spans="1:40" x14ac:dyDescent="0.25">
      <c r="A2016" t="str">
        <f>"20190312151537410"</f>
        <v>20190312151537410</v>
      </c>
      <c r="B2016" t="str">
        <f>"1552374937399845"</f>
        <v>1552374937399845</v>
      </c>
      <c r="C2016" t="s">
        <v>40</v>
      </c>
      <c r="D2016">
        <v>4.2453940000000001</v>
      </c>
      <c r="E2016">
        <v>0.49532110000000001</v>
      </c>
      <c r="F2016" t="s">
        <v>50</v>
      </c>
      <c r="G2016">
        <v>-490.7996</v>
      </c>
      <c r="H2016" s="1">
        <v>6.5301489999999998E-7</v>
      </c>
      <c r="I2016">
        <v>271.46359999999999</v>
      </c>
      <c r="J2016">
        <v>-352.81810000000002</v>
      </c>
      <c r="K2016">
        <v>1.109121</v>
      </c>
      <c r="L2016">
        <v>283.5292</v>
      </c>
      <c r="M2016">
        <v>-0.99987130000000002</v>
      </c>
      <c r="N2016">
        <v>0</v>
      </c>
      <c r="O2016">
        <v>-4.915811E-3</v>
      </c>
      <c r="P2016">
        <v>-0.99720010000000003</v>
      </c>
      <c r="Q2016">
        <v>-7.8452850000000005E-3</v>
      </c>
      <c r="R2016">
        <v>-7.4365000000000001E-2</v>
      </c>
      <c r="S2016">
        <v>-2.9887999999999999</v>
      </c>
      <c r="T2016">
        <v>-2.3983359999999999E-2</v>
      </c>
      <c r="U2016">
        <v>-0.26092530000000003</v>
      </c>
      <c r="V2016">
        <v>-6.9454290000000002E-2</v>
      </c>
      <c r="W2016">
        <v>7.4593960000000001E-3</v>
      </c>
      <c r="X2016">
        <v>0.99755720000000003</v>
      </c>
      <c r="Y2016">
        <v>-8.2068959999999996E-2</v>
      </c>
      <c r="Z2016">
        <v>-2.8927389999999997E-4</v>
      </c>
      <c r="AA2016">
        <v>0.99662660000000003</v>
      </c>
      <c r="AB2016">
        <v>42</v>
      </c>
      <c r="AC2016">
        <v>-137.98149999999899</v>
      </c>
      <c r="AD2016">
        <v>-1.1091203469851001</v>
      </c>
      <c r="AE2016">
        <v>-12.0656</v>
      </c>
      <c r="AF2016">
        <v>-11.3863539805785</v>
      </c>
      <c r="AG2016">
        <v>-1.1091203469851001</v>
      </c>
      <c r="AH2016">
        <v>138.03030076533699</v>
      </c>
      <c r="AI2016">
        <v>90.458822736812706</v>
      </c>
      <c r="AJ2016">
        <v>94.715748819260398</v>
      </c>
      <c r="AK2016">
        <v>138.50358527592101</v>
      </c>
      <c r="AL2016">
        <v>89.572604108246907</v>
      </c>
      <c r="AM2016">
        <v>93.982755220456596</v>
      </c>
      <c r="AN2016">
        <v>0.99999995412996301</v>
      </c>
    </row>
    <row r="2017" spans="1:40" x14ac:dyDescent="0.25">
      <c r="A2017" t="str">
        <f>"20190312151537434"</f>
        <v>20190312151537434</v>
      </c>
      <c r="B2017" t="str">
        <f>"1552374937430100"</f>
        <v>1552374937430100</v>
      </c>
      <c r="C2017" t="s">
        <v>40</v>
      </c>
      <c r="D2017">
        <v>4.2287839999999903</v>
      </c>
      <c r="E2017">
        <v>0.49532179999999998</v>
      </c>
      <c r="F2017" t="s">
        <v>50</v>
      </c>
      <c r="G2017">
        <v>-478.35890000000001</v>
      </c>
      <c r="H2017">
        <v>7.9999290000000001E-2</v>
      </c>
      <c r="I2017">
        <v>272.59379999999999</v>
      </c>
      <c r="J2017">
        <v>-353.23320000000001</v>
      </c>
      <c r="K2017">
        <v>1.1091200000000001</v>
      </c>
      <c r="L2017">
        <v>283.5274</v>
      </c>
      <c r="M2017">
        <v>-0.99987300000000001</v>
      </c>
      <c r="N2017">
        <v>0</v>
      </c>
      <c r="O2017">
        <v>-4.5724770000000001E-3</v>
      </c>
      <c r="P2017">
        <v>-0.99723300000000004</v>
      </c>
      <c r="Q2017">
        <v>-8.0069340000000003E-3</v>
      </c>
      <c r="R2017">
        <v>-7.3906920000000001E-2</v>
      </c>
      <c r="S2017">
        <v>-2.9888309999999998</v>
      </c>
      <c r="T2017">
        <v>-2.450097E-2</v>
      </c>
      <c r="U2017">
        <v>-0.26034550000000001</v>
      </c>
      <c r="V2017">
        <v>-6.9339280000000003E-2</v>
      </c>
      <c r="W2017">
        <v>7.2934619999999997E-3</v>
      </c>
      <c r="X2017">
        <v>0.99756650000000002</v>
      </c>
      <c r="Y2017">
        <v>-8.2218299999999994E-2</v>
      </c>
      <c r="Z2017">
        <v>-2.9893630000000002E-4</v>
      </c>
      <c r="AA2017">
        <v>0.99661429999999995</v>
      </c>
      <c r="AB2017">
        <v>42</v>
      </c>
      <c r="AC2017">
        <v>-125.12569999999999</v>
      </c>
      <c r="AD2017">
        <v>-1.0291207099999999</v>
      </c>
      <c r="AE2017">
        <v>-10.9336</v>
      </c>
      <c r="AF2017">
        <v>-10.360589065271601</v>
      </c>
      <c r="AG2017">
        <v>-1.0291207099999999</v>
      </c>
      <c r="AH2017">
        <v>125.165988343797</v>
      </c>
      <c r="AI2017">
        <v>90.469472492731398</v>
      </c>
      <c r="AJ2017">
        <v>94.731859056152203</v>
      </c>
      <c r="AK2017">
        <v>125.598270423182</v>
      </c>
      <c r="AL2017">
        <v>89.582111715325595</v>
      </c>
      <c r="AM2017">
        <v>93.976144361230098</v>
      </c>
      <c r="AN2017">
        <v>1.0000000261305499</v>
      </c>
    </row>
    <row r="2018" spans="1:40" x14ac:dyDescent="0.25">
      <c r="A2018" t="str">
        <f>"20190312151537456"</f>
        <v>20190312151537456</v>
      </c>
      <c r="B2018" t="str">
        <f>"1552374937449620"</f>
        <v>1552374937449620</v>
      </c>
      <c r="C2018" t="s">
        <v>40</v>
      </c>
      <c r="D2018">
        <v>4.3265099999999999</v>
      </c>
      <c r="E2018">
        <v>0.49509160000000002</v>
      </c>
      <c r="F2018" t="s">
        <v>55</v>
      </c>
      <c r="G2018">
        <v>-512.8252</v>
      </c>
      <c r="H2018">
        <v>5.5825949999999999E-2</v>
      </c>
      <c r="I2018">
        <v>269.7081</v>
      </c>
      <c r="J2018">
        <v>-353.65300000000002</v>
      </c>
      <c r="K2018">
        <v>1.109121</v>
      </c>
      <c r="L2018">
        <v>283.5258</v>
      </c>
      <c r="M2018">
        <v>-0.99987470000000001</v>
      </c>
      <c r="N2018">
        <v>0</v>
      </c>
      <c r="O2018">
        <v>-4.2250930000000001E-3</v>
      </c>
      <c r="P2018">
        <v>-0.99725850000000005</v>
      </c>
      <c r="Q2018">
        <v>-8.4139290000000005E-3</v>
      </c>
      <c r="R2018">
        <v>-7.3518689999999998E-2</v>
      </c>
      <c r="S2018">
        <v>-2.9889830000000002</v>
      </c>
      <c r="T2018">
        <v>-1.972556E-2</v>
      </c>
      <c r="U2018">
        <v>-0.25881959999999998</v>
      </c>
      <c r="V2018">
        <v>-6.9297600000000001E-2</v>
      </c>
      <c r="W2018">
        <v>6.8814849999999997E-3</v>
      </c>
      <c r="X2018">
        <v>0.99757229999999997</v>
      </c>
      <c r="Y2018">
        <v>-8.2056080000000003E-2</v>
      </c>
      <c r="Z2018">
        <v>-2.4242010000000001E-4</v>
      </c>
      <c r="AA2018">
        <v>0.99662770000000001</v>
      </c>
      <c r="AB2018">
        <v>42</v>
      </c>
      <c r="AC2018">
        <v>-159.17219999999901</v>
      </c>
      <c r="AD2018">
        <v>-1.05329505</v>
      </c>
      <c r="AE2018">
        <v>-13.8177</v>
      </c>
      <c r="AF2018">
        <v>-13.144409741608101</v>
      </c>
      <c r="AG2018">
        <v>-1.05329505</v>
      </c>
      <c r="AH2018">
        <v>159.22224675714801</v>
      </c>
      <c r="AI2018">
        <v>90.377735469475994</v>
      </c>
      <c r="AJ2018">
        <v>94.719285835778706</v>
      </c>
      <c r="AK2018">
        <v>159.76735836932301</v>
      </c>
      <c r="AL2018">
        <v>89.605716841975394</v>
      </c>
      <c r="AM2018">
        <v>93.973738921169897</v>
      </c>
      <c r="AN2018">
        <v>1.00000000296442</v>
      </c>
    </row>
    <row r="2019" spans="1:40" x14ac:dyDescent="0.25">
      <c r="A2019" t="str">
        <f>"20190312151537477"</f>
        <v>20190312151537477</v>
      </c>
      <c r="B2019" t="str">
        <f>"1552374937470115"</f>
        <v>1552374937470115</v>
      </c>
      <c r="C2019" t="s">
        <v>40</v>
      </c>
      <c r="D2019">
        <v>4.393192</v>
      </c>
      <c r="E2019">
        <v>0.49497409999999997</v>
      </c>
      <c r="F2019" t="s">
        <v>50</v>
      </c>
      <c r="G2019">
        <v>-499.97039999999998</v>
      </c>
      <c r="H2019">
        <v>6.2636990000000003E-2</v>
      </c>
      <c r="I2019">
        <v>270.81689999999998</v>
      </c>
      <c r="J2019">
        <v>-354.0523</v>
      </c>
      <c r="K2019">
        <v>1.1091150000000001</v>
      </c>
      <c r="L2019">
        <v>283.52440000000001</v>
      </c>
      <c r="M2019">
        <v>-0.99987599999999999</v>
      </c>
      <c r="N2019">
        <v>0</v>
      </c>
      <c r="O2019">
        <v>-3.894163E-3</v>
      </c>
      <c r="P2019">
        <v>-0.9972898</v>
      </c>
      <c r="Q2019">
        <v>-8.6992330000000007E-3</v>
      </c>
      <c r="R2019">
        <v>-7.3058629999999999E-2</v>
      </c>
      <c r="S2019">
        <v>-2.9889220000000001</v>
      </c>
      <c r="T2019">
        <v>-2.1377210000000001E-2</v>
      </c>
      <c r="U2019">
        <v>-0.25961299999999998</v>
      </c>
      <c r="V2019">
        <v>-6.9167430000000002E-2</v>
      </c>
      <c r="W2019">
        <v>6.5910980000000001E-3</v>
      </c>
      <c r="X2019">
        <v>0.99758329999999995</v>
      </c>
      <c r="Y2019">
        <v>-8.264995E-2</v>
      </c>
      <c r="Z2019">
        <v>-2.6720219999999998E-4</v>
      </c>
      <c r="AA2019">
        <v>0.99657859999999998</v>
      </c>
      <c r="AB2019">
        <v>42</v>
      </c>
      <c r="AC2019">
        <v>-145.91809999999899</v>
      </c>
      <c r="AD2019">
        <v>-1.04647801</v>
      </c>
      <c r="AE2019">
        <v>-12.7075</v>
      </c>
      <c r="AF2019">
        <v>-12.138488980856501</v>
      </c>
      <c r="AG2019">
        <v>-1.04647801</v>
      </c>
      <c r="AH2019">
        <v>145.95903358258701</v>
      </c>
      <c r="AI2019">
        <v>90.409371596417699</v>
      </c>
      <c r="AJ2019">
        <v>94.753987634249597</v>
      </c>
      <c r="AK2019">
        <v>146.466643012416</v>
      </c>
      <c r="AL2019">
        <v>89.622355170992506</v>
      </c>
      <c r="AM2019">
        <v>93.966254821036102</v>
      </c>
      <c r="AN2019">
        <v>1.00000000819227</v>
      </c>
    </row>
    <row r="2020" spans="1:40" x14ac:dyDescent="0.25">
      <c r="A2020" t="str">
        <f>"20190312151537489"</f>
        <v>20190312151537489</v>
      </c>
      <c r="B2020" t="str">
        <f>"1552374937479876"</f>
        <v>1552374937479876</v>
      </c>
      <c r="C2020" t="s">
        <v>40</v>
      </c>
      <c r="D2020">
        <v>4.2093629999999997</v>
      </c>
      <c r="E2020">
        <v>0.49491750000000001</v>
      </c>
      <c r="F2020" t="s">
        <v>50</v>
      </c>
      <c r="G2020">
        <v>-502.19979999999998</v>
      </c>
      <c r="H2020">
        <v>7.9999940000000005E-2</v>
      </c>
      <c r="I2020">
        <v>270.68560000000002</v>
      </c>
      <c r="J2020">
        <v>-354.29070000000002</v>
      </c>
      <c r="K2020">
        <v>1.109113</v>
      </c>
      <c r="L2020">
        <v>283.52370000000002</v>
      </c>
      <c r="M2020">
        <v>-0.99987689999999996</v>
      </c>
      <c r="N2020">
        <v>0</v>
      </c>
      <c r="O2020">
        <v>-3.6966299999999998E-3</v>
      </c>
      <c r="P2020">
        <v>-0.99729800000000002</v>
      </c>
      <c r="Q2020">
        <v>-8.6662559999999902E-3</v>
      </c>
      <c r="R2020">
        <v>-7.2950689999999999E-2</v>
      </c>
      <c r="S2020">
        <v>-2.9889830000000002</v>
      </c>
      <c r="T2020">
        <v>-2.0763159999999999E-2</v>
      </c>
      <c r="U2020">
        <v>-0.25903320000000002</v>
      </c>
      <c r="V2020">
        <v>-6.9256819999999997E-2</v>
      </c>
      <c r="W2020">
        <v>6.621615E-3</v>
      </c>
      <c r="X2020">
        <v>0.99757689999999999</v>
      </c>
      <c r="Y2020">
        <v>-8.2653309999999994E-2</v>
      </c>
      <c r="Z2020">
        <v>-2.6090530000000002E-4</v>
      </c>
      <c r="AA2020">
        <v>0.99657830000000003</v>
      </c>
      <c r="AB2020">
        <v>42</v>
      </c>
      <c r="AC2020">
        <v>-147.909099999999</v>
      </c>
      <c r="AD2020">
        <v>-1.02911306</v>
      </c>
      <c r="AE2020">
        <v>-12.838099999999899</v>
      </c>
      <c r="AF2020">
        <v>-12.290592927821599</v>
      </c>
      <c r="AG2020">
        <v>-1.02911306</v>
      </c>
      <c r="AH2020">
        <v>147.94844374028301</v>
      </c>
      <c r="AI2020">
        <v>90.397168626111096</v>
      </c>
      <c r="AJ2020">
        <v>94.748855878370605</v>
      </c>
      <c r="AK2020">
        <v>148.461644047813</v>
      </c>
      <c r="AL2020">
        <v>89.620606639050905</v>
      </c>
      <c r="AM2020">
        <v>93.971389700449095</v>
      </c>
      <c r="AN2020">
        <v>1.00000001215766</v>
      </c>
    </row>
    <row r="2021" spans="1:40" x14ac:dyDescent="0.25">
      <c r="A2021" t="str">
        <f>"20190312151537511"</f>
        <v>20190312151537511</v>
      </c>
      <c r="B2021" t="str">
        <f>"1552374937499581"</f>
        <v>1552374937499581</v>
      </c>
      <c r="C2021" t="s">
        <v>40</v>
      </c>
      <c r="D2021">
        <v>4.1769959999999999</v>
      </c>
      <c r="E2021">
        <v>0.49479529999999999</v>
      </c>
      <c r="F2021" t="s">
        <v>55</v>
      </c>
      <c r="G2021">
        <v>-512.8252</v>
      </c>
      <c r="H2021">
        <v>6.8856840000000002E-2</v>
      </c>
      <c r="I2021">
        <v>269.76990000000001</v>
      </c>
      <c r="J2021">
        <v>-354.66800000000001</v>
      </c>
      <c r="K2021">
        <v>1.109121</v>
      </c>
      <c r="L2021">
        <v>283.52260000000001</v>
      </c>
      <c r="M2021">
        <v>-0.99987800000000004</v>
      </c>
      <c r="N2021">
        <v>0</v>
      </c>
      <c r="O2021">
        <v>-3.3839410000000001E-3</v>
      </c>
      <c r="P2021">
        <v>-0.99732589999999999</v>
      </c>
      <c r="Q2021">
        <v>-8.4109270000000003E-3</v>
      </c>
      <c r="R2021">
        <v>-7.259902E-2</v>
      </c>
      <c r="S2021">
        <v>-2.988953</v>
      </c>
      <c r="T2021">
        <v>-1.9611119999999999E-2</v>
      </c>
      <c r="U2021">
        <v>-0.25930789999999998</v>
      </c>
      <c r="V2021">
        <v>-6.9216749999999994E-2</v>
      </c>
      <c r="W2021">
        <v>6.8724249999999997E-3</v>
      </c>
      <c r="X2021">
        <v>0.99757799999999996</v>
      </c>
      <c r="Y2021">
        <v>-8.3056899999999906E-2</v>
      </c>
      <c r="Z2021">
        <v>-2.4980020000000001E-4</v>
      </c>
      <c r="AA2021">
        <v>0.99654480000000001</v>
      </c>
      <c r="AB2021">
        <v>42</v>
      </c>
      <c r="AC2021">
        <v>-158.15719999999999</v>
      </c>
      <c r="AD2021">
        <v>-1.04026416</v>
      </c>
      <c r="AE2021">
        <v>-13.752700000000001</v>
      </c>
      <c r="AF2021">
        <v>-13.2167968724729</v>
      </c>
      <c r="AG2021">
        <v>-1.04026416</v>
      </c>
      <c r="AH2021">
        <v>158.196045430672</v>
      </c>
      <c r="AI2021">
        <v>90.375451623774197</v>
      </c>
      <c r="AJ2021">
        <v>94.775796318861197</v>
      </c>
      <c r="AK2021">
        <v>158.75060522402401</v>
      </c>
      <c r="AL2021">
        <v>89.606235963631505</v>
      </c>
      <c r="AM2021">
        <v>93.969094952274602</v>
      </c>
      <c r="AN2021">
        <v>1.0000000273949701</v>
      </c>
    </row>
    <row r="2022" spans="1:40" x14ac:dyDescent="0.25">
      <c r="A2022" t="str">
        <f>"20190312151537523"</f>
        <v>20190312151537523</v>
      </c>
      <c r="B2022" t="str">
        <f>"1552374937520077"</f>
        <v>1552374937520077</v>
      </c>
      <c r="C2022" t="s">
        <v>40</v>
      </c>
      <c r="D2022">
        <v>4.389373</v>
      </c>
      <c r="E2022">
        <v>0.49455250000000001</v>
      </c>
      <c r="F2022" t="s">
        <v>55</v>
      </c>
      <c r="G2022">
        <v>-512.8252</v>
      </c>
      <c r="H2022">
        <v>0.21000730000000001</v>
      </c>
      <c r="I2022">
        <v>269.81810000000002</v>
      </c>
      <c r="J2022">
        <v>-354.90809999999999</v>
      </c>
      <c r="K2022">
        <v>1.1091230000000001</v>
      </c>
      <c r="L2022">
        <v>283.52190000000002</v>
      </c>
      <c r="M2022">
        <v>-0.99987859999999995</v>
      </c>
      <c r="N2022">
        <v>0</v>
      </c>
      <c r="O2022">
        <v>-3.1845020000000001E-3</v>
      </c>
      <c r="P2022">
        <v>-0.99734060000000002</v>
      </c>
      <c r="Q2022">
        <v>-8.4825400000000002E-3</v>
      </c>
      <c r="R2022">
        <v>-7.2384190000000001E-2</v>
      </c>
      <c r="S2022">
        <v>-2.9890439999999998</v>
      </c>
      <c r="T2022">
        <v>-1.6991019999999999E-2</v>
      </c>
      <c r="U2022">
        <v>-0.25900269999999997</v>
      </c>
      <c r="V2022">
        <v>-6.9200609999999996E-2</v>
      </c>
      <c r="W2022">
        <v>6.7980410000000003E-3</v>
      </c>
      <c r="X2022">
        <v>0.99757960000000001</v>
      </c>
      <c r="Y2022">
        <v>-8.3152489999999996E-2</v>
      </c>
      <c r="Z2022">
        <v>-2.178239E-4</v>
      </c>
      <c r="AA2022">
        <v>0.9965368</v>
      </c>
      <c r="AB2022">
        <v>41</v>
      </c>
      <c r="AC2022">
        <v>-157.9171</v>
      </c>
      <c r="AD2022">
        <v>-0.89911569999999896</v>
      </c>
      <c r="AE2022">
        <v>-13.703799999999999</v>
      </c>
      <c r="AF2022">
        <v>-13.200359952515701</v>
      </c>
      <c r="AG2022">
        <v>-0.89911569999999896</v>
      </c>
      <c r="AH2022">
        <v>157.95486179259399</v>
      </c>
      <c r="AI2022">
        <v>90.325004420579603</v>
      </c>
      <c r="AJ2022">
        <v>94.777133901359903</v>
      </c>
      <c r="AK2022">
        <v>158.50803221236299</v>
      </c>
      <c r="AL2022">
        <v>89.610497940915295</v>
      </c>
      <c r="AM2022">
        <v>93.968166049446495</v>
      </c>
      <c r="AN2022">
        <v>0.99999999806098405</v>
      </c>
    </row>
    <row r="2023" spans="1:40" x14ac:dyDescent="0.25">
      <c r="A2023" t="str">
        <f>"20190312151537536"</f>
        <v>20190312151537536</v>
      </c>
      <c r="B2023" t="str">
        <f>"1552374937529837"</f>
        <v>1552374937529837</v>
      </c>
      <c r="C2023" t="s">
        <v>40</v>
      </c>
      <c r="D2023">
        <v>4.2661170000000004</v>
      </c>
      <c r="E2023">
        <v>0.49449579999999999</v>
      </c>
      <c r="F2023" t="s">
        <v>55</v>
      </c>
      <c r="G2023">
        <v>-512.82529999999997</v>
      </c>
      <c r="H2023">
        <v>0.31148419999999999</v>
      </c>
      <c r="I2023">
        <v>269.77510000000001</v>
      </c>
      <c r="J2023">
        <v>-355.14</v>
      </c>
      <c r="K2023">
        <v>1.1091260000000001</v>
      </c>
      <c r="L2023">
        <v>283.5213</v>
      </c>
      <c r="M2023">
        <v>-0.99987939999999997</v>
      </c>
      <c r="N2023">
        <v>0</v>
      </c>
      <c r="O2023">
        <v>-2.9923340000000001E-3</v>
      </c>
      <c r="P2023">
        <v>-0.99733839999999996</v>
      </c>
      <c r="Q2023">
        <v>-8.2994309999999995E-3</v>
      </c>
      <c r="R2023">
        <v>-7.2439089999999998E-2</v>
      </c>
      <c r="S2023">
        <v>-2.9889830000000002</v>
      </c>
      <c r="T2023">
        <v>-1.5095829999999999E-2</v>
      </c>
      <c r="U2023">
        <v>-0.2601929</v>
      </c>
      <c r="V2023">
        <v>-6.9447410000000001E-2</v>
      </c>
      <c r="W2023">
        <v>6.9787579999999998E-3</v>
      </c>
      <c r="X2023">
        <v>0.99756120000000004</v>
      </c>
      <c r="Y2023">
        <v>-8.3739859999999999E-2</v>
      </c>
      <c r="Z2023">
        <v>-1.9597789999999999E-4</v>
      </c>
      <c r="AA2023">
        <v>0.99648760000000003</v>
      </c>
      <c r="AB2023">
        <v>41</v>
      </c>
      <c r="AC2023">
        <v>-157.68529999999899</v>
      </c>
      <c r="AD2023">
        <v>-0.79764179999999996</v>
      </c>
      <c r="AE2023">
        <v>-13.7461999999999</v>
      </c>
      <c r="AF2023">
        <v>-13.273899471969401</v>
      </c>
      <c r="AG2023">
        <v>-0.79764179999999996</v>
      </c>
      <c r="AH2023">
        <v>157.72172655320799</v>
      </c>
      <c r="AI2023">
        <v>90.288737184418693</v>
      </c>
      <c r="AJ2023">
        <v>94.810690377010999</v>
      </c>
      <c r="AK2023">
        <v>158.28131812237999</v>
      </c>
      <c r="AL2023">
        <v>89.600143373318204</v>
      </c>
      <c r="AM2023">
        <v>93.9823460493146</v>
      </c>
      <c r="AN2023">
        <v>0.99999999678218499</v>
      </c>
    </row>
    <row r="2024" spans="1:40" x14ac:dyDescent="0.25">
      <c r="A2024" t="str">
        <f>"20190312151537548"</f>
        <v>20190312151537548</v>
      </c>
      <c r="B2024" t="str">
        <f>"1552374937539597"</f>
        <v>1552374937539597</v>
      </c>
      <c r="C2024" t="s">
        <v>40</v>
      </c>
      <c r="D2024">
        <v>4.2685259999999996</v>
      </c>
      <c r="E2024">
        <v>0.49452950000000001</v>
      </c>
      <c r="F2024" t="s">
        <v>55</v>
      </c>
      <c r="G2024">
        <v>-512.82529999999997</v>
      </c>
      <c r="H2024">
        <v>0.35719679999999998</v>
      </c>
      <c r="I2024">
        <v>269.75439999999998</v>
      </c>
      <c r="J2024">
        <v>-355.36160000000001</v>
      </c>
      <c r="K2024">
        <v>1.1091279999999999</v>
      </c>
      <c r="L2024">
        <v>283.52080000000001</v>
      </c>
      <c r="M2024">
        <v>-0.99987999999999999</v>
      </c>
      <c r="N2024">
        <v>0</v>
      </c>
      <c r="O2024">
        <v>-2.808273E-3</v>
      </c>
      <c r="P2024">
        <v>-0.99734060000000002</v>
      </c>
      <c r="Q2024">
        <v>-8.3882119999999904E-3</v>
      </c>
      <c r="R2024">
        <v>-7.23964E-2</v>
      </c>
      <c r="S2024">
        <v>-2.9889830000000002</v>
      </c>
      <c r="T2024">
        <v>-1.425159E-2</v>
      </c>
      <c r="U2024">
        <v>-0.26095580000000002</v>
      </c>
      <c r="V2024">
        <v>-6.9588709999999998E-2</v>
      </c>
      <c r="W2024">
        <v>6.8867290000000003E-3</v>
      </c>
      <c r="X2024">
        <v>0.99755199999999999</v>
      </c>
      <c r="Y2024">
        <v>-8.4175819999999998E-2</v>
      </c>
      <c r="Z2024">
        <v>-1.869292E-4</v>
      </c>
      <c r="AA2024">
        <v>0.99645090000000003</v>
      </c>
      <c r="AB2024">
        <v>41</v>
      </c>
      <c r="AC2024">
        <v>-157.46369999999899</v>
      </c>
      <c r="AD2024">
        <v>-0.75193120000000002</v>
      </c>
      <c r="AE2024">
        <v>-13.766400000000001</v>
      </c>
      <c r="AF2024">
        <v>-13.3237918001167</v>
      </c>
      <c r="AG2024">
        <v>-0.75193120000000002</v>
      </c>
      <c r="AH2024">
        <v>157.49817902452801</v>
      </c>
      <c r="AI2024">
        <v>90.272567098363197</v>
      </c>
      <c r="AJ2024">
        <v>94.835508079015199</v>
      </c>
      <c r="AK2024">
        <v>158.06253580309499</v>
      </c>
      <c r="AL2024">
        <v>89.6054163762565</v>
      </c>
      <c r="AM2024">
        <v>93.990459195872802</v>
      </c>
      <c r="AN2024">
        <v>1.00000000414989</v>
      </c>
    </row>
    <row r="2025" spans="1:40" x14ac:dyDescent="0.25">
      <c r="A2025" t="str">
        <f>"20190312151537560"</f>
        <v>20190312151537560</v>
      </c>
      <c r="B2025" t="str">
        <f>"1552374937550332"</f>
        <v>1552374937550332</v>
      </c>
      <c r="C2025" t="s">
        <v>40</v>
      </c>
      <c r="D2025">
        <v>4.30626</v>
      </c>
      <c r="E2025">
        <v>0.49466909999999997</v>
      </c>
      <c r="F2025" t="s">
        <v>55</v>
      </c>
      <c r="G2025">
        <v>-512.82529999999997</v>
      </c>
      <c r="H2025">
        <v>0.35519699999999998</v>
      </c>
      <c r="I2025">
        <v>269.79899999999998</v>
      </c>
      <c r="J2025">
        <v>-355.5795</v>
      </c>
      <c r="K2025">
        <v>1.1091310000000001</v>
      </c>
      <c r="L2025">
        <v>283.52030000000002</v>
      </c>
      <c r="M2025">
        <v>-0.99988049999999995</v>
      </c>
      <c r="N2025">
        <v>0</v>
      </c>
      <c r="O2025">
        <v>-2.6273120000000001E-3</v>
      </c>
      <c r="P2025">
        <v>-0.99735059999999998</v>
      </c>
      <c r="Q2025">
        <v>-8.3048050000000002E-3</v>
      </c>
      <c r="R2025">
        <v>-7.2269020000000003E-2</v>
      </c>
      <c r="S2025">
        <v>-2.9889830000000002</v>
      </c>
      <c r="T2025">
        <v>-1.430964E-2</v>
      </c>
      <c r="U2025">
        <v>-0.26046750000000002</v>
      </c>
      <c r="V2025">
        <v>-6.9641010000000003E-2</v>
      </c>
      <c r="W2025">
        <v>6.9677899999999997E-3</v>
      </c>
      <c r="X2025">
        <v>0.99754779999999998</v>
      </c>
      <c r="Y2025">
        <v>-8.419459E-2</v>
      </c>
      <c r="Z2025">
        <v>-1.8860160000000001E-4</v>
      </c>
      <c r="AA2025">
        <v>0.99644929999999998</v>
      </c>
      <c r="AB2025">
        <v>41</v>
      </c>
      <c r="AC2025">
        <v>-157.24579999999901</v>
      </c>
      <c r="AD2025">
        <v>-0.75393399999999899</v>
      </c>
      <c r="AE2025">
        <v>-13.7212999999999</v>
      </c>
      <c r="AF2025">
        <v>-13.3077672928267</v>
      </c>
      <c r="AG2025">
        <v>-0.75393399999999899</v>
      </c>
      <c r="AH2025">
        <v>157.277723238101</v>
      </c>
      <c r="AI2025">
        <v>90.273675765818794</v>
      </c>
      <c r="AJ2025">
        <v>94.836457661918999</v>
      </c>
      <c r="AK2025">
        <v>157.84152594851901</v>
      </c>
      <c r="AL2025">
        <v>89.600771816712495</v>
      </c>
      <c r="AM2025">
        <v>93.9934653197231</v>
      </c>
      <c r="AN2025">
        <v>1.00000001682807</v>
      </c>
    </row>
    <row r="2026" spans="1:40" x14ac:dyDescent="0.25">
      <c r="A2026" t="str">
        <f>"20190312151537571"</f>
        <v>20190312151537571</v>
      </c>
      <c r="B2026" t="str">
        <f>"1552374937560094"</f>
        <v>1552374937560094</v>
      </c>
      <c r="C2026" t="s">
        <v>40</v>
      </c>
      <c r="D2026">
        <v>4.3226209999999998</v>
      </c>
      <c r="E2026">
        <v>0.49466909999999997</v>
      </c>
      <c r="F2026" t="s">
        <v>55</v>
      </c>
      <c r="G2026">
        <v>-512.82529999999997</v>
      </c>
      <c r="H2026">
        <v>0.3730676</v>
      </c>
      <c r="I2026">
        <v>269.89030000000002</v>
      </c>
      <c r="J2026">
        <v>-355.80040000000002</v>
      </c>
      <c r="K2026">
        <v>1.1091340000000001</v>
      </c>
      <c r="L2026">
        <v>283.51990000000001</v>
      </c>
      <c r="M2026">
        <v>-0.99988100000000002</v>
      </c>
      <c r="N2026">
        <v>0</v>
      </c>
      <c r="O2026">
        <v>-2.4440849999999999E-3</v>
      </c>
      <c r="P2026">
        <v>-0.99736800000000003</v>
      </c>
      <c r="Q2026">
        <v>-8.3083440000000005E-3</v>
      </c>
      <c r="R2026">
        <v>-7.2029449999999995E-2</v>
      </c>
      <c r="S2026">
        <v>-2.9891049999999999</v>
      </c>
      <c r="T2026">
        <v>-1.39904E-2</v>
      </c>
      <c r="U2026">
        <v>-0.2590942</v>
      </c>
      <c r="V2026">
        <v>-6.9584880000000002E-2</v>
      </c>
      <c r="W2026">
        <v>6.961592E-3</v>
      </c>
      <c r="X2026">
        <v>0.99755170000000004</v>
      </c>
      <c r="Y2026">
        <v>-8.3919369999999993E-2</v>
      </c>
      <c r="Z2026">
        <v>-1.846033E-4</v>
      </c>
      <c r="AA2026">
        <v>0.99647249999999998</v>
      </c>
      <c r="AB2026">
        <v>41</v>
      </c>
      <c r="AC2026">
        <v>-157.02489999999901</v>
      </c>
      <c r="AD2026">
        <v>-0.73606640000000001</v>
      </c>
      <c r="AE2026">
        <v>-13.6295999999999</v>
      </c>
      <c r="AF2026">
        <v>-13.2454436795317</v>
      </c>
      <c r="AG2026">
        <v>-0.73606640000000001</v>
      </c>
      <c r="AH2026">
        <v>157.05432144916901</v>
      </c>
      <c r="AI2026">
        <v>90.2675762395275</v>
      </c>
      <c r="AJ2026">
        <v>94.820729309820095</v>
      </c>
      <c r="AK2026">
        <v>157.61358906474899</v>
      </c>
      <c r="AL2026">
        <v>89.601126920589394</v>
      </c>
      <c r="AM2026">
        <v>93.990241475928002</v>
      </c>
      <c r="AN2026">
        <v>0.99999995673033804</v>
      </c>
    </row>
    <row r="2027" spans="1:40" x14ac:dyDescent="0.25">
      <c r="A2027" t="str">
        <f>"20190312151537583"</f>
        <v>20190312151537583</v>
      </c>
      <c r="B2027" t="str">
        <f>"1552374937579613"</f>
        <v>1552374937579613</v>
      </c>
      <c r="C2027" t="s">
        <v>40</v>
      </c>
      <c r="D2027">
        <v>4.2860969999999998</v>
      </c>
      <c r="E2027">
        <v>0.49526049999999999</v>
      </c>
      <c r="F2027" t="s">
        <v>55</v>
      </c>
      <c r="G2027">
        <v>-512.82529999999997</v>
      </c>
      <c r="H2027">
        <v>0.3732607</v>
      </c>
      <c r="I2027">
        <v>269.95089999999999</v>
      </c>
      <c r="J2027">
        <v>-356.00909999999999</v>
      </c>
      <c r="K2027">
        <v>1.1091359999999999</v>
      </c>
      <c r="L2027">
        <v>283.51949999999999</v>
      </c>
      <c r="M2027">
        <v>-0.99988149999999998</v>
      </c>
      <c r="N2027">
        <v>0</v>
      </c>
      <c r="O2027">
        <v>-2.2707529999999999E-3</v>
      </c>
      <c r="P2027">
        <v>-0.99737830000000005</v>
      </c>
      <c r="Q2027">
        <v>-8.2664929999999998E-3</v>
      </c>
      <c r="R2027">
        <v>-7.189015E-2</v>
      </c>
      <c r="S2027">
        <v>-2.9891359999999998</v>
      </c>
      <c r="T2027">
        <v>-1.4006609999999999E-2</v>
      </c>
      <c r="U2027">
        <v>-0.2583008</v>
      </c>
      <c r="V2027">
        <v>-6.9618169999999993E-2</v>
      </c>
      <c r="W2027">
        <v>7.0006919999999898E-3</v>
      </c>
      <c r="X2027">
        <v>0.99754920000000002</v>
      </c>
      <c r="Y2027">
        <v>-8.3828669999999994E-2</v>
      </c>
      <c r="Z2027">
        <v>-1.8541609999999999E-4</v>
      </c>
      <c r="AA2027">
        <v>0.99648020000000004</v>
      </c>
      <c r="AB2027">
        <v>41</v>
      </c>
      <c r="AC2027">
        <v>-156.81619999999899</v>
      </c>
      <c r="AD2027">
        <v>-0.73587530000000001</v>
      </c>
      <c r="AE2027">
        <v>-13.5686</v>
      </c>
      <c r="AF2027">
        <v>-13.2121440941752</v>
      </c>
      <c r="AG2027">
        <v>-0.73587530000000001</v>
      </c>
      <c r="AH2027">
        <v>156.843182024041</v>
      </c>
      <c r="AI2027">
        <v>90.267869093439998</v>
      </c>
      <c r="AJ2027">
        <v>94.815109625312999</v>
      </c>
      <c r="AK2027">
        <v>157.40040028998899</v>
      </c>
      <c r="AL2027">
        <v>89.598886639476305</v>
      </c>
      <c r="AM2027">
        <v>93.992154243101993</v>
      </c>
      <c r="AN2027">
        <v>1.00000005285163</v>
      </c>
    </row>
    <row r="2028" spans="1:40" x14ac:dyDescent="0.25">
      <c r="A2028" t="str">
        <f>"20190312151537599"</f>
        <v>20190312151537599</v>
      </c>
      <c r="B2028" t="str">
        <f>"1552374937589879"</f>
        <v>1552374937589879</v>
      </c>
      <c r="C2028" t="s">
        <v>40</v>
      </c>
      <c r="D2028">
        <v>4.3040960000000004</v>
      </c>
      <c r="E2028">
        <v>0.4954557</v>
      </c>
      <c r="F2028" t="s">
        <v>55</v>
      </c>
      <c r="G2028">
        <v>-512.82529999999997</v>
      </c>
      <c r="H2028">
        <v>0.4336931</v>
      </c>
      <c r="I2028">
        <v>270.24400000000003</v>
      </c>
      <c r="J2028">
        <v>-356.31330000000003</v>
      </c>
      <c r="K2028">
        <v>1.109135</v>
      </c>
      <c r="L2028">
        <v>283.51900000000001</v>
      </c>
      <c r="M2028">
        <v>-0.99988189999999999</v>
      </c>
      <c r="N2028">
        <v>0</v>
      </c>
      <c r="O2028">
        <v>-2.0176690000000001E-3</v>
      </c>
      <c r="P2028">
        <v>-0.99738789999999999</v>
      </c>
      <c r="Q2028">
        <v>-8.2350219999999998E-3</v>
      </c>
      <c r="R2028">
        <v>-7.1760130000000005E-2</v>
      </c>
      <c r="S2028">
        <v>-2.9895320000000001</v>
      </c>
      <c r="T2028">
        <v>-1.2875080000000001E-2</v>
      </c>
      <c r="U2028">
        <v>-0.25308229999999998</v>
      </c>
      <c r="V2028">
        <v>-6.9740399999999994E-2</v>
      </c>
      <c r="W2028">
        <v>7.0288240000000004E-3</v>
      </c>
      <c r="X2028">
        <v>0.99754039999999999</v>
      </c>
      <c r="Y2028">
        <v>-8.2342780000000004E-2</v>
      </c>
      <c r="Z2028">
        <v>-1.6832150000000001E-4</v>
      </c>
      <c r="AA2028">
        <v>0.99660400000000005</v>
      </c>
      <c r="AB2028">
        <v>41</v>
      </c>
      <c r="AC2028">
        <v>-156.51199999999901</v>
      </c>
      <c r="AD2028">
        <v>-0.67544190000000004</v>
      </c>
      <c r="AE2028">
        <v>-13.274999999999901</v>
      </c>
      <c r="AF2028">
        <v>-12.95890727876</v>
      </c>
      <c r="AG2028">
        <v>-0.67544190000000004</v>
      </c>
      <c r="AH2028">
        <v>156.535574464489</v>
      </c>
      <c r="AI2028">
        <v>90.246383582605205</v>
      </c>
      <c r="AJ2028">
        <v>94.732479658875604</v>
      </c>
      <c r="AK2028">
        <v>157.07251692306801</v>
      </c>
      <c r="AL2028">
        <v>89.597274729196201</v>
      </c>
      <c r="AM2028">
        <v>93.999175789550193</v>
      </c>
      <c r="AN2028">
        <v>0.99999998869557105</v>
      </c>
    </row>
    <row r="2029" spans="1:40" x14ac:dyDescent="0.25">
      <c r="A2029" t="str">
        <f>"20190312151537615"</f>
        <v>20190312151537615</v>
      </c>
      <c r="B2029" t="str">
        <f>"1552374937609400"</f>
        <v>1552374937609400</v>
      </c>
      <c r="C2029" t="s">
        <v>40</v>
      </c>
      <c r="D2029">
        <v>4.4635199999999999</v>
      </c>
      <c r="E2029">
        <v>0.49588680000000002</v>
      </c>
      <c r="F2029" t="s">
        <v>55</v>
      </c>
      <c r="G2029">
        <v>-512.82529999999997</v>
      </c>
      <c r="H2029">
        <v>0.45770250000000001</v>
      </c>
      <c r="I2029">
        <v>270.37049999999999</v>
      </c>
      <c r="J2029">
        <v>-356.59089999999998</v>
      </c>
      <c r="K2029">
        <v>1.109137</v>
      </c>
      <c r="L2029">
        <v>283.51870000000002</v>
      </c>
      <c r="M2029">
        <v>-0.99988250000000001</v>
      </c>
      <c r="N2029">
        <v>0</v>
      </c>
      <c r="O2029">
        <v>-1.787236E-3</v>
      </c>
      <c r="P2029">
        <v>-0.99740669999999998</v>
      </c>
      <c r="Q2029">
        <v>-7.8138619999999995E-3</v>
      </c>
      <c r="R2029">
        <v>-7.1548050000000002E-2</v>
      </c>
      <c r="S2029">
        <v>-2.989655</v>
      </c>
      <c r="T2029">
        <v>-1.244199E-2</v>
      </c>
      <c r="U2029">
        <v>-0.25115969999999999</v>
      </c>
      <c r="V2029">
        <v>-6.9757769999999997E-2</v>
      </c>
      <c r="W2029">
        <v>7.4465209999999898E-3</v>
      </c>
      <c r="X2029">
        <v>0.99753619999999998</v>
      </c>
      <c r="Y2029">
        <v>-8.1932720000000001E-2</v>
      </c>
      <c r="Z2029">
        <v>-1.6276299999999999E-4</v>
      </c>
      <c r="AA2029">
        <v>0.99663780000000002</v>
      </c>
      <c r="AB2029">
        <v>41</v>
      </c>
      <c r="AC2029">
        <v>-156.23439999999999</v>
      </c>
      <c r="AD2029">
        <v>-0.65143450000000003</v>
      </c>
      <c r="AE2029">
        <v>-13.148199999999999</v>
      </c>
      <c r="AF2029">
        <v>-12.8686967290725</v>
      </c>
      <c r="AG2029">
        <v>-0.65143450000000003</v>
      </c>
      <c r="AH2029">
        <v>156.25495460706799</v>
      </c>
      <c r="AI2029">
        <v>90.238061531260001</v>
      </c>
      <c r="AJ2029">
        <v>94.708085938196604</v>
      </c>
      <c r="AK2029">
        <v>156.78532635954599</v>
      </c>
      <c r="AL2029">
        <v>89.573341845893495</v>
      </c>
      <c r="AM2029">
        <v>94.000185404775806</v>
      </c>
      <c r="AN2029">
        <v>1.0000000337304</v>
      </c>
    </row>
    <row r="2030" spans="1:40" x14ac:dyDescent="0.25">
      <c r="A2030" t="str">
        <f>"20190312151537625"</f>
        <v>20190312151537625</v>
      </c>
      <c r="B2030" t="str">
        <f>"1552374937620137"</f>
        <v>1552374937620137</v>
      </c>
      <c r="C2030" t="s">
        <v>40</v>
      </c>
      <c r="D2030">
        <v>4.4523140000000003</v>
      </c>
      <c r="E2030">
        <v>0.49611290000000002</v>
      </c>
      <c r="F2030" t="s">
        <v>55</v>
      </c>
      <c r="G2030">
        <v>-512.82529999999997</v>
      </c>
      <c r="H2030">
        <v>0.56906190000000001</v>
      </c>
      <c r="I2030">
        <v>270.6069</v>
      </c>
      <c r="J2030">
        <v>-356.81349999999998</v>
      </c>
      <c r="K2030">
        <v>1.10914</v>
      </c>
      <c r="L2030">
        <v>283.51839999999999</v>
      </c>
      <c r="M2030">
        <v>-0.99988290000000002</v>
      </c>
      <c r="N2030">
        <v>0</v>
      </c>
      <c r="O2030">
        <v>-1.6023420000000001E-3</v>
      </c>
      <c r="P2030">
        <v>-0.99742359999999997</v>
      </c>
      <c r="Q2030">
        <v>-7.4535499999999998E-3</v>
      </c>
      <c r="R2030">
        <v>-7.1350010000000005E-2</v>
      </c>
      <c r="S2030">
        <v>-2.98996</v>
      </c>
      <c r="T2030">
        <v>-1.033425E-2</v>
      </c>
      <c r="U2030">
        <v>-0.24710080000000001</v>
      </c>
      <c r="V2030">
        <v>-6.9743799999999995E-2</v>
      </c>
      <c r="W2030">
        <v>7.8041400000000002E-3</v>
      </c>
      <c r="X2030">
        <v>0.99753440000000004</v>
      </c>
      <c r="Y2030">
        <v>-8.0765080000000003E-2</v>
      </c>
      <c r="Z2030">
        <v>-1.338077E-4</v>
      </c>
      <c r="AA2030">
        <v>0.99673310000000004</v>
      </c>
      <c r="AB2030">
        <v>41</v>
      </c>
      <c r="AC2030">
        <v>-156.01179999999999</v>
      </c>
      <c r="AD2030">
        <v>-0.54007810000000001</v>
      </c>
      <c r="AE2030">
        <v>-12.911499999999901</v>
      </c>
      <c r="AF2030">
        <v>-12.6613195059821</v>
      </c>
      <c r="AG2030">
        <v>-0.54007810000000001</v>
      </c>
      <c r="AH2030">
        <v>156.03043357487701</v>
      </c>
      <c r="AI2030">
        <v>90.197671012996395</v>
      </c>
      <c r="AJ2030">
        <v>94.6391856692548</v>
      </c>
      <c r="AK2030">
        <v>156.54423303830399</v>
      </c>
      <c r="AL2030">
        <v>89.552851172135504</v>
      </c>
      <c r="AM2030">
        <v>93.999394103085606</v>
      </c>
      <c r="AN2030">
        <v>0.99999999071146894</v>
      </c>
    </row>
    <row r="2031" spans="1:40" x14ac:dyDescent="0.25">
      <c r="A2031" t="str">
        <f>"20190312151537640"</f>
        <v>20190312151537640</v>
      </c>
      <c r="B2031" t="str">
        <f>"1552374937629897"</f>
        <v>1552374937629897</v>
      </c>
      <c r="C2031" t="s">
        <v>40</v>
      </c>
      <c r="D2031">
        <v>4.3244850000000001</v>
      </c>
      <c r="E2031">
        <v>0.49624220000000002</v>
      </c>
      <c r="F2031" t="s">
        <v>55</v>
      </c>
      <c r="G2031">
        <v>-512.82539999999995</v>
      </c>
      <c r="H2031">
        <v>0.6460844</v>
      </c>
      <c r="I2031">
        <v>270.7484</v>
      </c>
      <c r="J2031">
        <v>-357.04910000000001</v>
      </c>
      <c r="K2031">
        <v>1.1091420000000001</v>
      </c>
      <c r="L2031">
        <v>283.51819999999998</v>
      </c>
      <c r="M2031">
        <v>-0.99988319999999997</v>
      </c>
      <c r="N2031">
        <v>0</v>
      </c>
      <c r="O2031">
        <v>-1.4063610000000001E-3</v>
      </c>
      <c r="P2031">
        <v>-0.99744529999999998</v>
      </c>
      <c r="Q2031">
        <v>-7.2327329999999999E-3</v>
      </c>
      <c r="R2031">
        <v>-7.1069080000000007E-2</v>
      </c>
      <c r="S2031">
        <v>-2.9901430000000002</v>
      </c>
      <c r="T2031">
        <v>-8.8734629999999998E-3</v>
      </c>
      <c r="U2031">
        <v>-0.244751</v>
      </c>
      <c r="V2031">
        <v>-6.9658059999999994E-2</v>
      </c>
      <c r="W2031">
        <v>8.0220480000000004E-3</v>
      </c>
      <c r="X2031">
        <v>0.9975387</v>
      </c>
      <c r="Y2031">
        <v>-8.0177520000000002E-2</v>
      </c>
      <c r="Z2031">
        <v>-1.146005E-4</v>
      </c>
      <c r="AA2031">
        <v>0.99678060000000002</v>
      </c>
      <c r="AB2031">
        <v>41</v>
      </c>
      <c r="AC2031">
        <v>-155.776299999999</v>
      </c>
      <c r="AD2031">
        <v>-0.46305760000000001</v>
      </c>
      <c r="AE2031">
        <v>-12.769799999999901</v>
      </c>
      <c r="AF2031">
        <v>-12.5505741215441</v>
      </c>
      <c r="AG2031">
        <v>-0.46305760000000001</v>
      </c>
      <c r="AH2031">
        <v>155.792739509624</v>
      </c>
      <c r="AI2031">
        <v>90.169747923549906</v>
      </c>
      <c r="AJ2031">
        <v>94.605768921112201</v>
      </c>
      <c r="AK2031">
        <v>156.298141438198</v>
      </c>
      <c r="AL2031">
        <v>89.540365589632401</v>
      </c>
      <c r="AM2031">
        <v>93.994476184483304</v>
      </c>
      <c r="AN2031">
        <v>1.00000002828738</v>
      </c>
    </row>
    <row r="2032" spans="1:40" x14ac:dyDescent="0.25">
      <c r="A2032" t="str">
        <f>"20190312151537656"</f>
        <v>20190312151537656</v>
      </c>
      <c r="B2032" t="str">
        <f>"1552374937649416"</f>
        <v>1552374937649416</v>
      </c>
      <c r="C2032" t="s">
        <v>40</v>
      </c>
      <c r="D2032">
        <v>4.2417759999999998</v>
      </c>
      <c r="E2032">
        <v>0.49652639999999998</v>
      </c>
      <c r="F2032" t="s">
        <v>55</v>
      </c>
      <c r="G2032">
        <v>-512.82539999999995</v>
      </c>
      <c r="H2032">
        <v>0.722688</v>
      </c>
      <c r="I2032">
        <v>270.86689999999999</v>
      </c>
      <c r="J2032">
        <v>-357.35250000000002</v>
      </c>
      <c r="K2032">
        <v>1.1091409999999999</v>
      </c>
      <c r="L2032">
        <v>283.51799999999997</v>
      </c>
      <c r="M2032">
        <v>-0.99988350000000004</v>
      </c>
      <c r="N2032">
        <v>0</v>
      </c>
      <c r="O2032">
        <v>-1.154233E-3</v>
      </c>
      <c r="P2032">
        <v>-0.99750629999999996</v>
      </c>
      <c r="Q2032">
        <v>-7.0343410000000004E-3</v>
      </c>
      <c r="R2032">
        <v>-7.0227609999999996E-2</v>
      </c>
      <c r="S2032">
        <v>-2.990326</v>
      </c>
      <c r="T2032">
        <v>-7.4169639999999998E-3</v>
      </c>
      <c r="U2032">
        <v>-0.24285889999999999</v>
      </c>
      <c r="V2032">
        <v>-6.9068099999999993E-2</v>
      </c>
      <c r="W2032">
        <v>8.2170679999999992E-3</v>
      </c>
      <c r="X2032">
        <v>0.99757810000000002</v>
      </c>
      <c r="Y2032">
        <v>-7.9797450000000006E-2</v>
      </c>
      <c r="Z2032" s="1">
        <v>-9.5940340000000003E-5</v>
      </c>
      <c r="AA2032">
        <v>0.99681109999999995</v>
      </c>
      <c r="AB2032">
        <v>41</v>
      </c>
      <c r="AC2032">
        <v>-155.47289999999899</v>
      </c>
      <c r="AD2032">
        <v>-0.38645299999999999</v>
      </c>
      <c r="AE2032">
        <v>-12.6510999999999</v>
      </c>
      <c r="AF2032">
        <v>-12.471542281282</v>
      </c>
      <c r="AG2032">
        <v>-0.38645299999999999</v>
      </c>
      <c r="AH2032">
        <v>155.48644606413001</v>
      </c>
      <c r="AI2032">
        <v>90.141949321937204</v>
      </c>
      <c r="AJ2032">
        <v>94.585867300442104</v>
      </c>
      <c r="AK2032">
        <v>155.986293059514</v>
      </c>
      <c r="AL2032">
        <v>89.529191382576599</v>
      </c>
      <c r="AM2032">
        <v>93.960597678902204</v>
      </c>
      <c r="AN2032">
        <v>0.99999999412186802</v>
      </c>
    </row>
    <row r="2033" spans="1:40" x14ac:dyDescent="0.25">
      <c r="A2033" t="str">
        <f>"20190312151537679"</f>
        <v>20190312151537679</v>
      </c>
      <c r="B2033" t="str">
        <f>"1552374937669912"</f>
        <v>1552374937669912</v>
      </c>
      <c r="C2033" t="s">
        <v>40</v>
      </c>
      <c r="D2033">
        <v>4.6290789999999999</v>
      </c>
      <c r="E2033">
        <v>0.49683450000000001</v>
      </c>
      <c r="F2033" t="s">
        <v>55</v>
      </c>
      <c r="G2033">
        <v>-512.82539999999995</v>
      </c>
      <c r="H2033">
        <v>0.81433109999999997</v>
      </c>
      <c r="I2033">
        <v>271.14030000000002</v>
      </c>
      <c r="J2033">
        <v>-357.7679</v>
      </c>
      <c r="K2033">
        <v>1.109138</v>
      </c>
      <c r="L2033">
        <v>283.5179</v>
      </c>
      <c r="M2033">
        <v>-0.99988390000000005</v>
      </c>
      <c r="N2033">
        <v>0</v>
      </c>
      <c r="O2033">
        <v>-8.0864459999999995E-4</v>
      </c>
      <c r="P2033">
        <v>-0.99753979999999998</v>
      </c>
      <c r="Q2033">
        <v>-7.5817569999999997E-3</v>
      </c>
      <c r="R2033">
        <v>-6.9690929999999998E-2</v>
      </c>
      <c r="S2033">
        <v>-2.9906920000000001</v>
      </c>
      <c r="T2033">
        <v>-5.6694750000000002E-3</v>
      </c>
      <c r="U2033">
        <v>-0.23809810000000001</v>
      </c>
      <c r="V2033">
        <v>-6.8876709999999994E-2</v>
      </c>
      <c r="W2033">
        <v>7.6644299999999999E-3</v>
      </c>
      <c r="X2033">
        <v>0.99759569999999997</v>
      </c>
      <c r="Y2033">
        <v>-7.8555600000000003E-2</v>
      </c>
      <c r="Z2033" s="1">
        <v>-7.2810810000000005E-5</v>
      </c>
      <c r="AA2033">
        <v>0.99690970000000001</v>
      </c>
      <c r="AB2033">
        <v>41</v>
      </c>
      <c r="AC2033">
        <v>-155.05749999999901</v>
      </c>
      <c r="AD2033">
        <v>-0.29480689999999998</v>
      </c>
      <c r="AE2033">
        <v>-12.3775999999999</v>
      </c>
      <c r="AF2033">
        <v>-12.2521510148626</v>
      </c>
      <c r="AG2033">
        <v>-0.29480689999999998</v>
      </c>
      <c r="AH2033">
        <v>155.06690253641801</v>
      </c>
      <c r="AI2033">
        <v>90.108589849134006</v>
      </c>
      <c r="AJ2033">
        <v>94.517670422177403</v>
      </c>
      <c r="AK2033">
        <v>155.55046248030899</v>
      </c>
      <c r="AL2033">
        <v>89.560856192685407</v>
      </c>
      <c r="AM2033">
        <v>93.9495880535586</v>
      </c>
      <c r="AN2033">
        <v>0.99999996266306801</v>
      </c>
    </row>
    <row r="2034" spans="1:40" x14ac:dyDescent="0.25">
      <c r="A2034" t="str">
        <f>"20190312151537701"</f>
        <v>20190312151537701</v>
      </c>
      <c r="B2034" t="str">
        <f>"1552374937689432"</f>
        <v>1552374937689432</v>
      </c>
      <c r="C2034" t="s">
        <v>40</v>
      </c>
      <c r="D2034">
        <v>4.4416060000000002</v>
      </c>
      <c r="E2034">
        <v>0.49707770000000001</v>
      </c>
      <c r="F2034" t="s">
        <v>55</v>
      </c>
      <c r="G2034">
        <v>-512.82539999999995</v>
      </c>
      <c r="H2034">
        <v>0.70763189999999998</v>
      </c>
      <c r="I2034">
        <v>271.38810000000001</v>
      </c>
      <c r="J2034">
        <v>-358.17770000000002</v>
      </c>
      <c r="K2034">
        <v>1.109145</v>
      </c>
      <c r="L2034">
        <v>283.51780000000002</v>
      </c>
      <c r="M2034">
        <v>-0.9998842</v>
      </c>
      <c r="N2034">
        <v>0</v>
      </c>
      <c r="O2034">
        <v>-4.6758459999999999E-4</v>
      </c>
      <c r="P2034">
        <v>-0.99757430000000002</v>
      </c>
      <c r="Q2034">
        <v>-7.7991049999999998E-3</v>
      </c>
      <c r="R2034">
        <v>-6.9173040000000005E-2</v>
      </c>
      <c r="S2034">
        <v>-2.9909970000000001</v>
      </c>
      <c r="T2034">
        <v>-7.743359E-3</v>
      </c>
      <c r="U2034">
        <v>-0.2339783</v>
      </c>
      <c r="V2034">
        <v>-6.8699389999999999E-2</v>
      </c>
      <c r="W2034">
        <v>7.4422309999999997E-3</v>
      </c>
      <c r="X2034">
        <v>0.99760970000000004</v>
      </c>
      <c r="Y2034">
        <v>-7.7522750000000001E-2</v>
      </c>
      <c r="Z2034" s="1">
        <v>-9.8986849999999996E-5</v>
      </c>
      <c r="AA2034">
        <v>0.99699059999999995</v>
      </c>
      <c r="AB2034">
        <v>41</v>
      </c>
      <c r="AC2034">
        <v>-154.64769999999899</v>
      </c>
      <c r="AD2034">
        <v>-0.40151310000000001</v>
      </c>
      <c r="AE2034">
        <v>-12.1297</v>
      </c>
      <c r="AF2034">
        <v>-12.0572986450056</v>
      </c>
      <c r="AG2034">
        <v>-0.40151310000000001</v>
      </c>
      <c r="AH2034">
        <v>154.65231929869699</v>
      </c>
      <c r="AI2034">
        <v>90.148302693339602</v>
      </c>
      <c r="AJ2034">
        <v>94.457984845944793</v>
      </c>
      <c r="AK2034">
        <v>155.12214389909201</v>
      </c>
      <c r="AL2034">
        <v>89.573587659918999</v>
      </c>
      <c r="AM2034">
        <v>93.939396962597698</v>
      </c>
      <c r="AN2034">
        <v>1.00000005326135</v>
      </c>
    </row>
    <row r="2035" spans="1:40" x14ac:dyDescent="0.25">
      <c r="A2035" t="str">
        <f>"20190312151537723"</f>
        <v>20190312151537723</v>
      </c>
      <c r="B2035" t="str">
        <f>"1552374937719688"</f>
        <v>1552374937719688</v>
      </c>
      <c r="C2035" t="s">
        <v>40</v>
      </c>
      <c r="D2035">
        <v>4.4172859999999998</v>
      </c>
      <c r="E2035">
        <v>0.49747930000000001</v>
      </c>
      <c r="F2035" t="s">
        <v>55</v>
      </c>
      <c r="G2035">
        <v>-512.82539999999995</v>
      </c>
      <c r="H2035">
        <v>0.7380565</v>
      </c>
      <c r="I2035">
        <v>271.60410000000002</v>
      </c>
      <c r="J2035">
        <v>-358.58260000000001</v>
      </c>
      <c r="K2035">
        <v>1.109143</v>
      </c>
      <c r="L2035">
        <v>283.5179</v>
      </c>
      <c r="M2035">
        <v>-0.99988449999999995</v>
      </c>
      <c r="N2035">
        <v>0</v>
      </c>
      <c r="O2035">
        <v>-1.3069589999999999E-4</v>
      </c>
      <c r="P2035">
        <v>-0.99760289999999996</v>
      </c>
      <c r="Q2035">
        <v>-7.9407650000000007E-3</v>
      </c>
      <c r="R2035">
        <v>-6.8745639999999997E-2</v>
      </c>
      <c r="S2035">
        <v>-2.991241</v>
      </c>
      <c r="T2035">
        <v>-7.1761610000000003E-3</v>
      </c>
      <c r="U2035">
        <v>-0.23043820000000001</v>
      </c>
      <c r="V2035">
        <v>-6.8608130000000003E-2</v>
      </c>
      <c r="W2035">
        <v>7.2958469999999899E-3</v>
      </c>
      <c r="X2035">
        <v>0.99761699999999998</v>
      </c>
      <c r="Y2035">
        <v>-7.6679540000000004E-2</v>
      </c>
      <c r="Z2035" s="1">
        <v>-9.1530030000000002E-5</v>
      </c>
      <c r="AA2035">
        <v>0.99705580000000005</v>
      </c>
      <c r="AB2035">
        <v>41</v>
      </c>
      <c r="AC2035">
        <v>-154.24279999999899</v>
      </c>
      <c r="AD2035">
        <v>-0.37108649999999999</v>
      </c>
      <c r="AE2035">
        <v>-11.913799999999901</v>
      </c>
      <c r="AF2035">
        <v>-11.8935702346071</v>
      </c>
      <c r="AG2035">
        <v>-0.37108649999999999</v>
      </c>
      <c r="AH2035">
        <v>154.24346845604299</v>
      </c>
      <c r="AI2035">
        <v>90.137436750810707</v>
      </c>
      <c r="AJ2035">
        <v>94.409299073164604</v>
      </c>
      <c r="AK2035">
        <v>154.701784991209</v>
      </c>
      <c r="AL2035">
        <v>89.581975046902599</v>
      </c>
      <c r="AM2035">
        <v>93.934151629404298</v>
      </c>
      <c r="AN2035">
        <v>0.99999999178727195</v>
      </c>
    </row>
    <row r="2036" spans="1:40" x14ac:dyDescent="0.25">
      <c r="A2036" t="str">
        <f>"20190312151537736"</f>
        <v>20190312151537736</v>
      </c>
      <c r="B2036" t="str">
        <f>"1552374937729448"</f>
        <v>1552374937729448</v>
      </c>
      <c r="C2036" t="s">
        <v>40</v>
      </c>
      <c r="D2036">
        <v>4.3145720000000001</v>
      </c>
      <c r="E2036">
        <v>0.49758649999999999</v>
      </c>
      <c r="F2036" t="s">
        <v>55</v>
      </c>
      <c r="G2036">
        <v>-512.82539999999995</v>
      </c>
      <c r="H2036">
        <v>0.79220310000000005</v>
      </c>
      <c r="I2036">
        <v>271.86829999999998</v>
      </c>
      <c r="J2036">
        <v>-358.82339999999999</v>
      </c>
      <c r="K2036">
        <v>1.109143</v>
      </c>
      <c r="L2036">
        <v>283.5181</v>
      </c>
      <c r="M2036">
        <v>-0.99988449999999995</v>
      </c>
      <c r="N2036">
        <v>0</v>
      </c>
      <c r="O2036" s="1">
        <v>6.9516659999999995E-5</v>
      </c>
      <c r="P2036">
        <v>-0.99761610000000001</v>
      </c>
      <c r="Q2036">
        <v>-8.0193380000000009E-3</v>
      </c>
      <c r="R2036">
        <v>-6.8545330000000002E-2</v>
      </c>
      <c r="S2036">
        <v>-2.991638</v>
      </c>
      <c r="T2036">
        <v>-6.1457159999999999E-3</v>
      </c>
      <c r="U2036">
        <v>-0.22595209999999999</v>
      </c>
      <c r="V2036">
        <v>-6.8607699999999994E-2</v>
      </c>
      <c r="W2036">
        <v>7.2143099999999998E-3</v>
      </c>
      <c r="X2036">
        <v>0.99761759999999999</v>
      </c>
      <c r="Y2036">
        <v>-7.5382560000000001E-2</v>
      </c>
      <c r="Z2036" s="1">
        <v>-7.7461549999999994E-5</v>
      </c>
      <c r="AA2036">
        <v>0.99715469999999895</v>
      </c>
      <c r="AB2036">
        <v>41</v>
      </c>
      <c r="AC2036">
        <v>-154.00199999999899</v>
      </c>
      <c r="AD2036">
        <v>-0.316939899999999</v>
      </c>
      <c r="AE2036">
        <v>-11.649800000000001</v>
      </c>
      <c r="AF2036">
        <v>-11.6604578066916</v>
      </c>
      <c r="AG2036">
        <v>-0.316939899999999</v>
      </c>
      <c r="AH2036">
        <v>154.00054112647399</v>
      </c>
      <c r="AI2036">
        <v>90.117580507042504</v>
      </c>
      <c r="AJ2036">
        <v>94.330001991699106</v>
      </c>
      <c r="AK2036">
        <v>154.441682826913</v>
      </c>
      <c r="AL2036">
        <v>89.586646886576304</v>
      </c>
      <c r="AM2036">
        <v>93.934124690936798</v>
      </c>
      <c r="AN2036">
        <v>0.99999996929891199</v>
      </c>
    </row>
    <row r="2037" spans="1:40" x14ac:dyDescent="0.25">
      <c r="A2037" t="str">
        <f>"20190312151537748"</f>
        <v>20190312151537748</v>
      </c>
      <c r="B2037" t="str">
        <f>"1552374937739208"</f>
        <v>1552374937739208</v>
      </c>
      <c r="C2037" t="s">
        <v>40</v>
      </c>
      <c r="D2037">
        <v>4.3036629999999896</v>
      </c>
      <c r="E2037">
        <v>0.49770330000000002</v>
      </c>
      <c r="F2037" t="s">
        <v>55</v>
      </c>
      <c r="G2037">
        <v>-512.82539999999995</v>
      </c>
      <c r="H2037">
        <v>0.77427579999999996</v>
      </c>
      <c r="I2037">
        <v>271.96850000000001</v>
      </c>
      <c r="J2037">
        <v>-359.06299999999999</v>
      </c>
      <c r="K2037">
        <v>1.10914</v>
      </c>
      <c r="L2037">
        <v>283.51819999999998</v>
      </c>
      <c r="M2037">
        <v>-0.99988460000000001</v>
      </c>
      <c r="N2037">
        <v>0</v>
      </c>
      <c r="O2037">
        <v>2.6913350000000002E-4</v>
      </c>
      <c r="P2037">
        <v>-0.99762360000000005</v>
      </c>
      <c r="Q2037">
        <v>-8.2652079999999996E-3</v>
      </c>
      <c r="R2037">
        <v>-6.840396E-2</v>
      </c>
      <c r="S2037">
        <v>-2.9916990000000001</v>
      </c>
      <c r="T2037">
        <v>-6.5037009999999998E-3</v>
      </c>
      <c r="U2037">
        <v>-0.22436519999999999</v>
      </c>
      <c r="V2037">
        <v>-6.8666329999999998E-2</v>
      </c>
      <c r="W2037">
        <v>6.965883E-3</v>
      </c>
      <c r="X2037">
        <v>0.99761529999999998</v>
      </c>
      <c r="Y2037">
        <v>-7.5054129999999997E-2</v>
      </c>
      <c r="Z2037" s="1">
        <v>-8.2050519999999998E-5</v>
      </c>
      <c r="AA2037">
        <v>0.99717940000000005</v>
      </c>
      <c r="AB2037">
        <v>41</v>
      </c>
      <c r="AC2037">
        <v>-153.76239999999899</v>
      </c>
      <c r="AD2037">
        <v>-0.334864199999999</v>
      </c>
      <c r="AE2037">
        <v>-11.5496999999999</v>
      </c>
      <c r="AF2037">
        <v>-11.5910323032876</v>
      </c>
      <c r="AG2037">
        <v>-0.334864199999999</v>
      </c>
      <c r="AH2037">
        <v>153.75856050157199</v>
      </c>
      <c r="AI2037">
        <v>90.124428780520006</v>
      </c>
      <c r="AJ2037">
        <v>94.311067147227902</v>
      </c>
      <c r="AK2037">
        <v>154.19519801668201</v>
      </c>
      <c r="AL2037">
        <v>89.600881050791102</v>
      </c>
      <c r="AM2037">
        <v>93.937485149846594</v>
      </c>
      <c r="AN2037">
        <v>0.99999993759786199</v>
      </c>
    </row>
    <row r="2038" spans="1:40" x14ac:dyDescent="0.25">
      <c r="A2038" t="str">
        <f>"20190312151537761"</f>
        <v>20190312151537761</v>
      </c>
      <c r="B2038" t="str">
        <f>"1552374937749944"</f>
        <v>1552374937749944</v>
      </c>
      <c r="C2038" t="s">
        <v>40</v>
      </c>
      <c r="D2038">
        <v>4.5537580000000002</v>
      </c>
      <c r="E2038">
        <v>0.49781609999999998</v>
      </c>
      <c r="F2038" t="s">
        <v>55</v>
      </c>
      <c r="G2038">
        <v>-512.82539999999995</v>
      </c>
      <c r="H2038">
        <v>0.74127219999999905</v>
      </c>
      <c r="I2038">
        <v>272.05290000000002</v>
      </c>
      <c r="J2038">
        <v>-359.27820000000003</v>
      </c>
      <c r="K2038">
        <v>1.1091409999999999</v>
      </c>
      <c r="L2038">
        <v>283.51850000000002</v>
      </c>
      <c r="M2038">
        <v>-0.99988449999999995</v>
      </c>
      <c r="N2038">
        <v>0</v>
      </c>
      <c r="O2038">
        <v>4.484841E-4</v>
      </c>
      <c r="P2038">
        <v>-0.99762070000000003</v>
      </c>
      <c r="Q2038">
        <v>-8.5360019999999905E-3</v>
      </c>
      <c r="R2038">
        <v>-6.841361E-2</v>
      </c>
      <c r="S2038">
        <v>-2.9917910000000001</v>
      </c>
      <c r="T2038">
        <v>-7.1561339999999998E-3</v>
      </c>
      <c r="U2038">
        <v>-0.22308349999999999</v>
      </c>
      <c r="V2038">
        <v>-6.885484E-2</v>
      </c>
      <c r="W2038">
        <v>6.6921849999999998E-3</v>
      </c>
      <c r="X2038">
        <v>0.9976043</v>
      </c>
      <c r="Y2038">
        <v>-7.4805849999999993E-2</v>
      </c>
      <c r="Z2038" s="1">
        <v>-9.0412159999999999E-5</v>
      </c>
      <c r="AA2038">
        <v>0.99719809999999998</v>
      </c>
      <c r="AB2038">
        <v>41</v>
      </c>
      <c r="AC2038">
        <v>-153.54719999999901</v>
      </c>
      <c r="AD2038">
        <v>-0.3678688</v>
      </c>
      <c r="AE2038">
        <v>-11.465599999999901</v>
      </c>
      <c r="AF2038">
        <v>-11.5344044332886</v>
      </c>
      <c r="AG2038">
        <v>-0.3678688</v>
      </c>
      <c r="AH2038">
        <v>153.541165401916</v>
      </c>
      <c r="AI2038">
        <v>90.136888802920197</v>
      </c>
      <c r="AJ2038">
        <v>94.296135794361206</v>
      </c>
      <c r="AK2038">
        <v>153.97424228117899</v>
      </c>
      <c r="AL2038">
        <v>89.616563203485498</v>
      </c>
      <c r="AM2038">
        <v>93.948304002581295</v>
      </c>
      <c r="AN2038">
        <v>1.00000005685499</v>
      </c>
    </row>
    <row r="2039" spans="1:40" x14ac:dyDescent="0.25">
      <c r="A2039" t="str">
        <f>"20190312151537774"</f>
        <v>20190312151537774</v>
      </c>
      <c r="B2039" t="str">
        <f>"1552374937769464"</f>
        <v>1552374937769464</v>
      </c>
      <c r="C2039" t="s">
        <v>40</v>
      </c>
      <c r="D2039">
        <v>4.3059799999999999</v>
      </c>
      <c r="E2039">
        <v>0.49802439999999998</v>
      </c>
      <c r="F2039" t="s">
        <v>55</v>
      </c>
      <c r="G2039">
        <v>-512.82539999999995</v>
      </c>
      <c r="H2039">
        <v>0.72247479999999997</v>
      </c>
      <c r="I2039">
        <v>272.1164</v>
      </c>
      <c r="J2039">
        <v>-359.50599999999997</v>
      </c>
      <c r="K2039">
        <v>1.1091409999999999</v>
      </c>
      <c r="L2039">
        <v>283.51870000000002</v>
      </c>
      <c r="M2039">
        <v>-0.99988440000000001</v>
      </c>
      <c r="N2039">
        <v>0</v>
      </c>
      <c r="O2039">
        <v>6.3820550000000004E-4</v>
      </c>
      <c r="P2039">
        <v>-0.99763880000000005</v>
      </c>
      <c r="Q2039">
        <v>-8.5214419999999902E-3</v>
      </c>
      <c r="R2039">
        <v>-6.8151749999999997E-2</v>
      </c>
      <c r="S2039">
        <v>-2.9918520000000002</v>
      </c>
      <c r="T2039">
        <v>-7.5325969999999898E-3</v>
      </c>
      <c r="U2039">
        <v>-0.222168</v>
      </c>
      <c r="V2039">
        <v>-6.8782040000000003E-2</v>
      </c>
      <c r="W2039">
        <v>6.7036279999999997E-3</v>
      </c>
      <c r="X2039">
        <v>0.99760919999999997</v>
      </c>
      <c r="Y2039">
        <v>-7.4690069999999997E-2</v>
      </c>
      <c r="Z2039" s="1">
        <v>-9.5499139999999998E-5</v>
      </c>
      <c r="AA2039">
        <v>0.99720679999999995</v>
      </c>
      <c r="AB2039">
        <v>41</v>
      </c>
      <c r="AC2039">
        <v>-153.31939999999901</v>
      </c>
      <c r="AD2039">
        <v>-0.38666619999999902</v>
      </c>
      <c r="AE2039">
        <v>-11.4023</v>
      </c>
      <c r="AF2039">
        <v>-11.500085512665301</v>
      </c>
      <c r="AG2039">
        <v>-0.38666619999999902</v>
      </c>
      <c r="AH2039">
        <v>153.31112117582299</v>
      </c>
      <c r="AI2039">
        <v>90.144100625716703</v>
      </c>
      <c r="AJ2039">
        <v>94.289804213359503</v>
      </c>
      <c r="AK2039">
        <v>153.742321283818</v>
      </c>
      <c r="AL2039">
        <v>89.615907535901201</v>
      </c>
      <c r="AM2039">
        <v>93.944123344396601</v>
      </c>
      <c r="AN2039">
        <v>1.00000001178978</v>
      </c>
    </row>
    <row r="2040" spans="1:40" x14ac:dyDescent="0.25">
      <c r="A2040" t="str">
        <f>"20190312151537789"</f>
        <v>20190312151537789</v>
      </c>
      <c r="B2040" t="str">
        <f>"1552374937779224"</f>
        <v>1552374937779224</v>
      </c>
      <c r="C2040" t="s">
        <v>40</v>
      </c>
      <c r="D2040">
        <v>4.4721479999999998</v>
      </c>
      <c r="E2040">
        <v>0.49813819999999998</v>
      </c>
      <c r="F2040" t="s">
        <v>55</v>
      </c>
      <c r="G2040">
        <v>-512.82539999999995</v>
      </c>
      <c r="H2040">
        <v>0.79166879999999995</v>
      </c>
      <c r="I2040">
        <v>272.25479999999999</v>
      </c>
      <c r="J2040">
        <v>-359.7996</v>
      </c>
      <c r="K2040">
        <v>1.10914</v>
      </c>
      <c r="L2040">
        <v>283.51909999999998</v>
      </c>
      <c r="M2040">
        <v>-0.99988429999999995</v>
      </c>
      <c r="N2040">
        <v>0</v>
      </c>
      <c r="O2040">
        <v>8.8294039999999995E-4</v>
      </c>
      <c r="P2040">
        <v>-0.99764980000000003</v>
      </c>
      <c r="Q2040">
        <v>-8.6783580000000006E-3</v>
      </c>
      <c r="R2040">
        <v>-6.7971299999999998E-2</v>
      </c>
      <c r="S2040">
        <v>-2.9920650000000002</v>
      </c>
      <c r="T2040">
        <v>-6.1939949999999999E-3</v>
      </c>
      <c r="U2040">
        <v>-0.21981809999999999</v>
      </c>
      <c r="V2040">
        <v>-6.8845870000000003E-2</v>
      </c>
      <c r="W2040">
        <v>6.5434150000000003E-3</v>
      </c>
      <c r="X2040">
        <v>0.99760590000000005</v>
      </c>
      <c r="Y2040">
        <v>-7.4150019999999997E-2</v>
      </c>
      <c r="Z2040" s="1">
        <v>-7.8472679999999997E-5</v>
      </c>
      <c r="AA2040">
        <v>0.99724710000000005</v>
      </c>
      <c r="AB2040">
        <v>41</v>
      </c>
      <c r="AC2040">
        <v>-153.02579999999901</v>
      </c>
      <c r="AD2040">
        <v>-0.31747119999999901</v>
      </c>
      <c r="AE2040">
        <v>-11.264299999999899</v>
      </c>
      <c r="AF2040">
        <v>-11.399375051683799</v>
      </c>
      <c r="AG2040">
        <v>-0.31747119999999901</v>
      </c>
      <c r="AH2040">
        <v>153.015138446918</v>
      </c>
      <c r="AI2040">
        <v>90.118546875163801</v>
      </c>
      <c r="AJ2040">
        <v>94.260570498729706</v>
      </c>
      <c r="AK2040">
        <v>153.43949665409301</v>
      </c>
      <c r="AL2040">
        <v>89.625087280555505</v>
      </c>
      <c r="AM2040">
        <v>93.947784955867107</v>
      </c>
      <c r="AN2040">
        <v>1.0000000509053599</v>
      </c>
    </row>
    <row r="2041" spans="1:40" x14ac:dyDescent="0.25">
      <c r="A2041" t="str">
        <f>"20190312151537800"</f>
        <v>20190312151537800</v>
      </c>
      <c r="B2041" t="str">
        <f>"1552374937789960"</f>
        <v>1552374937789960</v>
      </c>
      <c r="C2041" t="s">
        <v>40</v>
      </c>
      <c r="D2041">
        <v>4.3333930000000001</v>
      </c>
      <c r="E2041">
        <v>0.49824560000000001</v>
      </c>
      <c r="F2041" t="s">
        <v>55</v>
      </c>
      <c r="G2041">
        <v>-512.82539999999995</v>
      </c>
      <c r="H2041">
        <v>0.79066340000000002</v>
      </c>
      <c r="I2041">
        <v>272.35019999999997</v>
      </c>
      <c r="J2041">
        <v>-359.99860000000001</v>
      </c>
      <c r="K2041">
        <v>1.1091489999999999</v>
      </c>
      <c r="L2041">
        <v>283.51940000000002</v>
      </c>
      <c r="M2041">
        <v>-0.99988410000000005</v>
      </c>
      <c r="N2041">
        <v>0</v>
      </c>
      <c r="O2041">
        <v>1.0490569999999999E-3</v>
      </c>
      <c r="P2041">
        <v>-0.997664</v>
      </c>
      <c r="Q2041">
        <v>-8.779841E-3</v>
      </c>
      <c r="R2041">
        <v>-6.7746909999999994E-2</v>
      </c>
      <c r="S2041">
        <v>-2.9920960000000001</v>
      </c>
      <c r="T2041">
        <v>-6.225586E-3</v>
      </c>
      <c r="U2041">
        <v>-0.21838379999999999</v>
      </c>
      <c r="V2041">
        <v>-6.8787399999999901E-2</v>
      </c>
      <c r="W2041">
        <v>6.4399440000000004E-3</v>
      </c>
      <c r="X2041">
        <v>0.99761060000000001</v>
      </c>
      <c r="Y2041">
        <v>-7.3839459999999996E-2</v>
      </c>
      <c r="Z2041" s="1">
        <v>-7.889603E-5</v>
      </c>
      <c r="AA2041">
        <v>0.9972702</v>
      </c>
      <c r="AB2041">
        <v>41</v>
      </c>
      <c r="AC2041">
        <v>-152.826799999999</v>
      </c>
      <c r="AD2041">
        <v>-0.31848559999999898</v>
      </c>
      <c r="AE2041">
        <v>-11.1692</v>
      </c>
      <c r="AF2041">
        <v>-11.3294874308943</v>
      </c>
      <c r="AG2041">
        <v>-0.31848559999999898</v>
      </c>
      <c r="AH2041">
        <v>152.81433727433</v>
      </c>
      <c r="AI2041">
        <v>90.119085094987895</v>
      </c>
      <c r="AJ2041">
        <v>94.240088973846298</v>
      </c>
      <c r="AK2041">
        <v>153.23407060806301</v>
      </c>
      <c r="AL2041">
        <v>89.631015854326407</v>
      </c>
      <c r="AM2041">
        <v>93.944424211240701</v>
      </c>
      <c r="AN2041">
        <v>1.00000004425492</v>
      </c>
    </row>
    <row r="2042" spans="1:40" x14ac:dyDescent="0.25">
      <c r="A2042" t="str">
        <f>"20190312151537813"</f>
        <v>20190312151537813</v>
      </c>
      <c r="B2042" t="str">
        <f>"1552374937809480"</f>
        <v>1552374937809480</v>
      </c>
      <c r="C2042" t="s">
        <v>40</v>
      </c>
      <c r="D2042">
        <v>4.3053470000000003</v>
      </c>
      <c r="E2042">
        <v>0.49841550000000001</v>
      </c>
      <c r="F2042" t="s">
        <v>55</v>
      </c>
      <c r="G2042">
        <v>-512.82539999999995</v>
      </c>
      <c r="H2042">
        <v>0.7975373</v>
      </c>
      <c r="I2042">
        <v>272.44670000000002</v>
      </c>
      <c r="J2042">
        <v>-360.22250000000003</v>
      </c>
      <c r="K2042">
        <v>1.1091489999999999</v>
      </c>
      <c r="L2042">
        <v>283.51979999999998</v>
      </c>
      <c r="M2042">
        <v>-0.99988390000000005</v>
      </c>
      <c r="N2042">
        <v>0</v>
      </c>
      <c r="O2042">
        <v>1.235917E-3</v>
      </c>
      <c r="P2042">
        <v>-0.99767550000000005</v>
      </c>
      <c r="Q2042">
        <v>-8.7193600000000007E-3</v>
      </c>
      <c r="R2042">
        <v>-6.7582489999999995E-2</v>
      </c>
      <c r="S2042">
        <v>-2.9922490000000002</v>
      </c>
      <c r="T2042">
        <v>-6.0995819999999897E-3</v>
      </c>
      <c r="U2042">
        <v>-0.21679689999999999</v>
      </c>
      <c r="V2042">
        <v>-6.880973E-2</v>
      </c>
      <c r="W2042">
        <v>6.4976399999999998E-3</v>
      </c>
      <c r="X2042">
        <v>0.99760870000000001</v>
      </c>
      <c r="Y2042">
        <v>-7.3496030000000004E-2</v>
      </c>
      <c r="Z2042" s="1">
        <v>-7.7327640000000004E-5</v>
      </c>
      <c r="AA2042">
        <v>0.9972955</v>
      </c>
      <c r="AB2042">
        <v>41</v>
      </c>
      <c r="AC2042">
        <v>-152.60289999999901</v>
      </c>
      <c r="AD2042">
        <v>-0.31161169999999899</v>
      </c>
      <c r="AE2042">
        <v>-11.073099999999901</v>
      </c>
      <c r="AF2042">
        <v>-11.2616711032717</v>
      </c>
      <c r="AG2042">
        <v>-0.31161169999999899</v>
      </c>
      <c r="AH2042">
        <v>152.58846350064201</v>
      </c>
      <c r="AI2042">
        <v>90.116690226574903</v>
      </c>
      <c r="AJ2042">
        <v>94.221016835300603</v>
      </c>
      <c r="AK2042">
        <v>153.00379580708599</v>
      </c>
      <c r="AL2042">
        <v>89.627710053236498</v>
      </c>
      <c r="AM2042">
        <v>93.945708110890905</v>
      </c>
      <c r="AN2042">
        <v>1.0000000582919599</v>
      </c>
    </row>
    <row r="2043" spans="1:40" x14ac:dyDescent="0.25">
      <c r="A2043" t="str">
        <f>"20190312151537825"</f>
        <v>20190312151537825</v>
      </c>
      <c r="B2043" t="str">
        <f>"1552374937819240"</f>
        <v>1552374937819240</v>
      </c>
      <c r="C2043" t="s">
        <v>40</v>
      </c>
      <c r="D2043">
        <v>4.3518889999999999</v>
      </c>
      <c r="E2043">
        <v>0.49849019999999999</v>
      </c>
      <c r="F2043" t="s">
        <v>55</v>
      </c>
      <c r="G2043">
        <v>-512.82539999999995</v>
      </c>
      <c r="H2043">
        <v>0.83488739999999995</v>
      </c>
      <c r="I2043">
        <v>272.55880000000002</v>
      </c>
      <c r="J2043">
        <v>-360.45339999999999</v>
      </c>
      <c r="K2043">
        <v>1.109151</v>
      </c>
      <c r="L2043">
        <v>283.52030000000002</v>
      </c>
      <c r="M2043">
        <v>-0.99988379999999999</v>
      </c>
      <c r="N2043">
        <v>0</v>
      </c>
      <c r="O2043">
        <v>1.4286170000000001E-3</v>
      </c>
      <c r="P2043">
        <v>-0.99769379999999996</v>
      </c>
      <c r="Q2043">
        <v>-8.964461E-3</v>
      </c>
      <c r="R2043">
        <v>-6.728162E-2</v>
      </c>
      <c r="S2043">
        <v>-2.9924010000000001</v>
      </c>
      <c r="T2043">
        <v>-5.3764579999999998E-3</v>
      </c>
      <c r="U2043">
        <v>-0.2149353</v>
      </c>
      <c r="V2043">
        <v>-6.8700910000000004E-2</v>
      </c>
      <c r="W2043">
        <v>6.2496890000000001E-3</v>
      </c>
      <c r="X2043">
        <v>0.99761770000000005</v>
      </c>
      <c r="Y2043">
        <v>-7.3067389999999996E-2</v>
      </c>
      <c r="Z2043" s="1">
        <v>-6.8119550000000001E-5</v>
      </c>
      <c r="AA2043">
        <v>0.99732699999999996</v>
      </c>
      <c r="AB2043">
        <v>41</v>
      </c>
      <c r="AC2043">
        <v>-152.37199999999899</v>
      </c>
      <c r="AD2043">
        <v>-0.2742636</v>
      </c>
      <c r="AE2043">
        <v>-10.961499999999999</v>
      </c>
      <c r="AF2043">
        <v>-11.179159083892101</v>
      </c>
      <c r="AG2043">
        <v>-0.2742636</v>
      </c>
      <c r="AH2043">
        <v>152.355691813958</v>
      </c>
      <c r="AI2043">
        <v>90.102864538250003</v>
      </c>
      <c r="AJ2043">
        <v>94.196579852319601</v>
      </c>
      <c r="AK2043">
        <v>152.76552505868199</v>
      </c>
      <c r="AL2043">
        <v>89.641916856835294</v>
      </c>
      <c r="AM2043">
        <v>93.939452357145896</v>
      </c>
      <c r="AN2043">
        <v>0.99999997450035705</v>
      </c>
    </row>
    <row r="2044" spans="1:40" x14ac:dyDescent="0.25">
      <c r="A2044" t="str">
        <f>"20190312151537837"</f>
        <v>20190312151537837</v>
      </c>
      <c r="B2044" t="str">
        <f>"1552374937829976"</f>
        <v>1552374937829976</v>
      </c>
      <c r="C2044" t="s">
        <v>40</v>
      </c>
      <c r="D2044">
        <v>4.3331879999999998</v>
      </c>
      <c r="E2044">
        <v>0.49857629999999997</v>
      </c>
      <c r="F2044" t="s">
        <v>55</v>
      </c>
      <c r="G2044">
        <v>-512.82539999999995</v>
      </c>
      <c r="H2044">
        <v>0.80201049999999996</v>
      </c>
      <c r="I2044">
        <v>272.6617</v>
      </c>
      <c r="J2044">
        <v>-360.66609999999997</v>
      </c>
      <c r="K2044">
        <v>1.1091569999999999</v>
      </c>
      <c r="L2044">
        <v>283.52069999999998</v>
      </c>
      <c r="M2044">
        <v>-0.99988359999999998</v>
      </c>
      <c r="N2044">
        <v>0</v>
      </c>
      <c r="O2044">
        <v>1.60599999999999E-3</v>
      </c>
      <c r="P2044">
        <v>-0.99772309999999997</v>
      </c>
      <c r="Q2044">
        <v>-8.9484319999999992E-3</v>
      </c>
      <c r="R2044">
        <v>-6.684785E-2</v>
      </c>
      <c r="S2044">
        <v>-2.9925229999999998</v>
      </c>
      <c r="T2044">
        <v>-6.0305599999999999E-3</v>
      </c>
      <c r="U2044">
        <v>-0.2132568</v>
      </c>
      <c r="V2044">
        <v>-6.8444500000000005E-2</v>
      </c>
      <c r="W2044">
        <v>6.2639949999999996E-3</v>
      </c>
      <c r="X2044">
        <v>0.99763520000000006</v>
      </c>
      <c r="Y2044">
        <v>-7.2684840000000001E-2</v>
      </c>
      <c r="Z2044" s="1">
        <v>-7.6377479999999997E-5</v>
      </c>
      <c r="AA2044">
        <v>0.99735499999999999</v>
      </c>
      <c r="AB2044">
        <v>41</v>
      </c>
      <c r="AC2044">
        <v>-152.15929999999901</v>
      </c>
      <c r="AD2044">
        <v>-0.30714649999999999</v>
      </c>
      <c r="AE2044">
        <v>-10.858999999999901</v>
      </c>
      <c r="AF2044">
        <v>-11.1033369477283</v>
      </c>
      <c r="AG2044">
        <v>-0.30714649999999999</v>
      </c>
      <c r="AH2044">
        <v>152.14104537999401</v>
      </c>
      <c r="AI2044">
        <v>90.115363315329702</v>
      </c>
      <c r="AJ2044">
        <v>94.174077312290706</v>
      </c>
      <c r="AK2044">
        <v>152.54598034581201</v>
      </c>
      <c r="AL2044">
        <v>89.641097154874402</v>
      </c>
      <c r="AM2044">
        <v>93.924726682521694</v>
      </c>
      <c r="AN2044">
        <v>0.99999993974632295</v>
      </c>
    </row>
    <row r="2045" spans="1:40" x14ac:dyDescent="0.25">
      <c r="A2045" t="str">
        <f>"20190312151537852"</f>
        <v>20190312151537852</v>
      </c>
      <c r="B2045" t="str">
        <f>"1552374937839736"</f>
        <v>1552374937839736</v>
      </c>
      <c r="C2045" t="s">
        <v>40</v>
      </c>
      <c r="D2045">
        <v>4.319598</v>
      </c>
      <c r="E2045">
        <v>0.49867630000000002</v>
      </c>
      <c r="F2045" t="s">
        <v>48</v>
      </c>
      <c r="G2045">
        <v>-455.20299999999997</v>
      </c>
      <c r="H2045">
        <v>0.92212309999999997</v>
      </c>
      <c r="I2045">
        <v>276.84660000000002</v>
      </c>
      <c r="J2045">
        <v>-360.93610000000001</v>
      </c>
      <c r="K2045">
        <v>1.1091580000000001</v>
      </c>
      <c r="L2045">
        <v>283.5213</v>
      </c>
      <c r="M2045">
        <v>-0.99988319999999997</v>
      </c>
      <c r="N2045">
        <v>0</v>
      </c>
      <c r="O2045">
        <v>1.8315429999999999E-3</v>
      </c>
      <c r="P2045">
        <v>-0.99773409999999996</v>
      </c>
      <c r="Q2045">
        <v>-8.75336E-3</v>
      </c>
      <c r="R2045">
        <v>-6.6710699999999998E-2</v>
      </c>
      <c r="S2045">
        <v>-2.992645</v>
      </c>
      <c r="T2045">
        <v>-5.9186219999999897E-3</v>
      </c>
      <c r="U2045">
        <v>-0.21127319999999999</v>
      </c>
      <c r="V2045">
        <v>-6.8531949999999994E-2</v>
      </c>
      <c r="W2045">
        <v>6.4556789999999998E-3</v>
      </c>
      <c r="X2045">
        <v>0.99762799999999996</v>
      </c>
      <c r="Y2045">
        <v>-7.2249170000000001E-2</v>
      </c>
      <c r="Z2045" s="1">
        <v>-7.4973790000000003E-5</v>
      </c>
      <c r="AA2045">
        <v>0.99738660000000001</v>
      </c>
      <c r="AB2045">
        <v>41</v>
      </c>
      <c r="AC2045">
        <v>-94.266900000000007</v>
      </c>
      <c r="AD2045">
        <v>-0.1870349</v>
      </c>
      <c r="AE2045">
        <v>-6.6746999999999703</v>
      </c>
      <c r="AF2045">
        <v>-6.8473357404742403</v>
      </c>
      <c r="AG2045">
        <v>-0.1870349</v>
      </c>
      <c r="AH2045">
        <v>94.254146249704405</v>
      </c>
      <c r="AI2045">
        <v>90.113396913821205</v>
      </c>
      <c r="AJ2045">
        <v>94.155100301379804</v>
      </c>
      <c r="AK2045">
        <v>94.502725220266797</v>
      </c>
      <c r="AL2045">
        <v>89.630114257282798</v>
      </c>
      <c r="AM2045">
        <v>93.929753788819795</v>
      </c>
      <c r="AN2045">
        <v>0.99999996517307599</v>
      </c>
    </row>
    <row r="2046" spans="1:40" x14ac:dyDescent="0.25">
      <c r="A2046" t="str">
        <f>"20190312151537869"</f>
        <v>20190312151537869</v>
      </c>
      <c r="B2046" t="str">
        <f>"1552374937859256"</f>
        <v>1552374937859256</v>
      </c>
      <c r="C2046" t="s">
        <v>40</v>
      </c>
      <c r="D2046">
        <v>4.3108690000000003</v>
      </c>
      <c r="E2046">
        <v>0.49880089999999999</v>
      </c>
      <c r="F2046" t="s">
        <v>48</v>
      </c>
      <c r="G2046">
        <v>-455.20760000000001</v>
      </c>
      <c r="H2046">
        <v>0.94276389999999999</v>
      </c>
      <c r="I2046">
        <v>276.89780000000002</v>
      </c>
      <c r="J2046">
        <v>-361.2285</v>
      </c>
      <c r="K2046">
        <v>1.1091569999999999</v>
      </c>
      <c r="L2046">
        <v>283.52210000000002</v>
      </c>
      <c r="M2046">
        <v>-0.99988270000000001</v>
      </c>
      <c r="N2046">
        <v>0</v>
      </c>
      <c r="O2046">
        <v>2.0757430000000001E-3</v>
      </c>
      <c r="P2046">
        <v>-0.99775530000000001</v>
      </c>
      <c r="Q2046">
        <v>-8.8867909999999998E-3</v>
      </c>
      <c r="R2046">
        <v>-6.637274E-2</v>
      </c>
      <c r="S2046">
        <v>-2.9926759999999999</v>
      </c>
      <c r="T2046">
        <v>-5.2801369999999999E-3</v>
      </c>
      <c r="U2046">
        <v>-0.21026610000000001</v>
      </c>
      <c r="V2046">
        <v>-6.8437810000000002E-2</v>
      </c>
      <c r="W2046">
        <v>6.3193059999999898E-3</v>
      </c>
      <c r="X2046">
        <v>0.99763539999999995</v>
      </c>
      <c r="Y2046">
        <v>-7.2158089999999994E-2</v>
      </c>
      <c r="Z2046" s="1">
        <v>-6.7236079999999997E-5</v>
      </c>
      <c r="AA2046">
        <v>0.99739319999999998</v>
      </c>
      <c r="AB2046">
        <v>41</v>
      </c>
      <c r="AC2046">
        <v>-93.979100000000003</v>
      </c>
      <c r="AD2046">
        <v>-0.16639309999999899</v>
      </c>
      <c r="AE2046">
        <v>-6.6242999999999999</v>
      </c>
      <c r="AF2046">
        <v>-6.8193633777539304</v>
      </c>
      <c r="AG2046">
        <v>-0.16639309999999899</v>
      </c>
      <c r="AH2046">
        <v>93.964852457468197</v>
      </c>
      <c r="AI2046">
        <v>90.101193207451502</v>
      </c>
      <c r="AJ2046">
        <v>94.150881152567393</v>
      </c>
      <c r="AK2046">
        <v>94.212127143459398</v>
      </c>
      <c r="AL2046">
        <v>89.637928037557998</v>
      </c>
      <c r="AM2046">
        <v>93.924343480708004</v>
      </c>
      <c r="AN2046">
        <v>1.0000000293995299</v>
      </c>
    </row>
    <row r="2047" spans="1:40" x14ac:dyDescent="0.25">
      <c r="A2047" t="str">
        <f>"20190312151537890"</f>
        <v>20190312151537890</v>
      </c>
      <c r="B2047" t="str">
        <f>"1552374937879751"</f>
        <v>1552374937879751</v>
      </c>
      <c r="C2047" t="s">
        <v>40</v>
      </c>
      <c r="D2047">
        <v>4.3006140000000004</v>
      </c>
      <c r="E2047">
        <v>0.49886730000000001</v>
      </c>
      <c r="F2047" t="s">
        <v>48</v>
      </c>
      <c r="G2047">
        <v>-455.20530000000002</v>
      </c>
      <c r="H2047">
        <v>0.93245400000000001</v>
      </c>
      <c r="I2047">
        <v>276.98289999999997</v>
      </c>
      <c r="J2047">
        <v>-361.63260000000002</v>
      </c>
      <c r="K2047">
        <v>1.109159</v>
      </c>
      <c r="L2047">
        <v>283.52319999999997</v>
      </c>
      <c r="M2047">
        <v>-0.9998821</v>
      </c>
      <c r="N2047">
        <v>0</v>
      </c>
      <c r="O2047">
        <v>2.4130459999999999E-3</v>
      </c>
      <c r="P2047">
        <v>-0.99775029999999998</v>
      </c>
      <c r="Q2047">
        <v>-9.2939230000000008E-3</v>
      </c>
      <c r="R2047">
        <v>-6.6392619999999999E-2</v>
      </c>
      <c r="S2047">
        <v>-2.9928889999999999</v>
      </c>
      <c r="T2047">
        <v>-5.6253669999999896E-3</v>
      </c>
      <c r="U2047">
        <v>-0.20825199999999999</v>
      </c>
      <c r="V2047">
        <v>-6.8794759999999996E-2</v>
      </c>
      <c r="W2047">
        <v>5.9068499999999999E-3</v>
      </c>
      <c r="X2047">
        <v>0.99761339999999998</v>
      </c>
      <c r="Y2047">
        <v>-7.1821579999999996E-2</v>
      </c>
      <c r="Z2047" s="1">
        <v>-7.1946180000000004E-5</v>
      </c>
      <c r="AA2047">
        <v>0.99741749999999996</v>
      </c>
      <c r="AB2047">
        <v>41</v>
      </c>
      <c r="AC2047">
        <v>-93.572699999999998</v>
      </c>
      <c r="AD2047">
        <v>-0.176704999999999</v>
      </c>
      <c r="AE2047">
        <v>-6.5403000000000002</v>
      </c>
      <c r="AF2047">
        <v>-6.7660781388938398</v>
      </c>
      <c r="AG2047">
        <v>-0.176704999999999</v>
      </c>
      <c r="AH2047">
        <v>93.556311636451099</v>
      </c>
      <c r="AI2047">
        <v>90.107935691093502</v>
      </c>
      <c r="AJ2047">
        <v>94.136481578073003</v>
      </c>
      <c r="AK2047">
        <v>93.800823477490795</v>
      </c>
      <c r="AL2047">
        <v>89.661560474581705</v>
      </c>
      <c r="AM2047">
        <v>93.944833880739907</v>
      </c>
      <c r="AN2047">
        <v>1.00000005286996</v>
      </c>
    </row>
    <row r="2048" spans="1:40" x14ac:dyDescent="0.25">
      <c r="A2048" t="str">
        <f>"20190312151537904"</f>
        <v>20190312151537904</v>
      </c>
      <c r="B2048" t="str">
        <f>"1552374937899272"</f>
        <v>1552374937899272</v>
      </c>
      <c r="C2048" t="s">
        <v>40</v>
      </c>
      <c r="D2048">
        <v>4.2886249999999997</v>
      </c>
      <c r="E2048">
        <v>0.52783549999999901</v>
      </c>
      <c r="F2048" t="s">
        <v>48</v>
      </c>
      <c r="G2048">
        <v>-455.19729999999998</v>
      </c>
      <c r="H2048">
        <v>0.8968351</v>
      </c>
      <c r="I2048">
        <v>277.029</v>
      </c>
      <c r="J2048">
        <v>-361.86309999999997</v>
      </c>
      <c r="K2048">
        <v>1.1091569999999999</v>
      </c>
      <c r="L2048">
        <v>283.524</v>
      </c>
      <c r="M2048">
        <v>-0.99988169999999998</v>
      </c>
      <c r="N2048">
        <v>0</v>
      </c>
      <c r="O2048">
        <v>2.6056880000000001E-3</v>
      </c>
      <c r="P2048">
        <v>-0.99775360000000002</v>
      </c>
      <c r="Q2048">
        <v>-9.5656790000000005E-3</v>
      </c>
      <c r="R2048">
        <v>-6.6308919999999993E-2</v>
      </c>
      <c r="S2048">
        <v>-2.9928889999999999</v>
      </c>
      <c r="T2048">
        <v>-6.789565E-3</v>
      </c>
      <c r="U2048">
        <v>-0.20773320000000001</v>
      </c>
      <c r="V2048">
        <v>-6.8903339999999993E-2</v>
      </c>
      <c r="W2048">
        <v>5.6326739999999998E-3</v>
      </c>
      <c r="X2048">
        <v>0.99760740000000003</v>
      </c>
      <c r="Y2048">
        <v>-7.1841619999999995E-2</v>
      </c>
      <c r="Z2048" s="1">
        <v>-8.7295569999999901E-5</v>
      </c>
      <c r="AA2048">
        <v>0.99741599999999997</v>
      </c>
      <c r="AB2048">
        <v>41</v>
      </c>
      <c r="AC2048">
        <v>-93.334199999999996</v>
      </c>
      <c r="AD2048">
        <v>-0.21232189999999901</v>
      </c>
      <c r="AE2048">
        <v>-6.4950000000000001</v>
      </c>
      <c r="AF2048">
        <v>-6.7381709968050201</v>
      </c>
      <c r="AG2048">
        <v>-0.21232189999999901</v>
      </c>
      <c r="AH2048">
        <v>93.316476603951699</v>
      </c>
      <c r="AI2048">
        <v>90.130025667321902</v>
      </c>
      <c r="AJ2048">
        <v>94.130030228202003</v>
      </c>
      <c r="AK2048">
        <v>93.559675259949799</v>
      </c>
      <c r="AL2048">
        <v>89.677269833250804</v>
      </c>
      <c r="AM2048">
        <v>93.951064066365205</v>
      </c>
      <c r="AN2048">
        <v>0.99999996090715204</v>
      </c>
    </row>
    <row r="2049" spans="1:40" x14ac:dyDescent="0.25">
      <c r="A2049" t="str">
        <f>"20190312151537917"</f>
        <v>20190312151537917</v>
      </c>
      <c r="B2049" t="str">
        <f>"1552374937910008"</f>
        <v>1552374937910008</v>
      </c>
      <c r="C2049" t="s">
        <v>40</v>
      </c>
      <c r="D2049">
        <v>4.3173409999999999</v>
      </c>
      <c r="E2049">
        <v>0.52963509999999903</v>
      </c>
      <c r="F2049" t="s">
        <v>50</v>
      </c>
      <c r="G2049">
        <v>-472.952</v>
      </c>
      <c r="H2049" s="1">
        <v>5.2823500000000003E-6</v>
      </c>
      <c r="I2049">
        <v>284.35680000000002</v>
      </c>
      <c r="J2049">
        <v>-362.11919999999998</v>
      </c>
      <c r="K2049">
        <v>1.1091569999999999</v>
      </c>
      <c r="L2049">
        <v>283.52480000000003</v>
      </c>
      <c r="M2049">
        <v>-0.99988120000000003</v>
      </c>
      <c r="N2049">
        <v>0</v>
      </c>
      <c r="O2049">
        <v>2.819668E-3</v>
      </c>
      <c r="P2049">
        <v>-0.99775950000000002</v>
      </c>
      <c r="Q2049">
        <v>-9.8765399999999996E-3</v>
      </c>
      <c r="R2049">
        <v>-6.6171530000000006E-2</v>
      </c>
      <c r="S2049">
        <v>-3.007965</v>
      </c>
      <c r="T2049">
        <v>-3.0032630000000001E-2</v>
      </c>
      <c r="U2049">
        <v>2.2552490000000001E-2</v>
      </c>
      <c r="V2049">
        <v>-6.8979559999999995E-2</v>
      </c>
      <c r="W2049">
        <v>5.3189190000000001E-3</v>
      </c>
      <c r="X2049">
        <v>0.99760389999999999</v>
      </c>
      <c r="Y2049">
        <v>4.6773450000000003E-3</v>
      </c>
      <c r="Z2049" s="1">
        <v>-4.8053730000000001E-6</v>
      </c>
      <c r="AA2049">
        <v>0.99998900000000002</v>
      </c>
      <c r="AB2049">
        <v>41</v>
      </c>
      <c r="AC2049">
        <v>-110.83280000000001</v>
      </c>
      <c r="AD2049">
        <v>-1.1091517176500001</v>
      </c>
      <c r="AE2049">
        <v>0.83199999999999297</v>
      </c>
      <c r="AF2049">
        <v>0.51939709024413705</v>
      </c>
      <c r="AG2049">
        <v>-1.1091517176500001</v>
      </c>
      <c r="AH2049">
        <v>110.823607327053</v>
      </c>
      <c r="AI2049">
        <v>90.573405741223297</v>
      </c>
      <c r="AJ2049">
        <v>89.731473789800106</v>
      </c>
      <c r="AK2049">
        <v>110.83037459041201</v>
      </c>
      <c r="AL2049">
        <v>89.695246954572298</v>
      </c>
      <c r="AM2049">
        <v>93.955434650846598</v>
      </c>
      <c r="AN2049">
        <v>1.00000000594616</v>
      </c>
    </row>
    <row r="2050" spans="1:40" x14ac:dyDescent="0.25">
      <c r="A2050" t="str">
        <f>"20190312151537935"</f>
        <v>20190312151537935</v>
      </c>
      <c r="B2050" t="str">
        <f>"1552374937929527"</f>
        <v>1552374937929527</v>
      </c>
      <c r="C2050" t="s">
        <v>40</v>
      </c>
      <c r="D2050">
        <v>4.2934530000000004</v>
      </c>
      <c r="E2050">
        <v>0.5329815</v>
      </c>
      <c r="F2050" t="s">
        <v>51</v>
      </c>
      <c r="G2050">
        <v>-452.13040000000001</v>
      </c>
      <c r="H2050" s="1">
        <v>-4.0421320000000001E-7</v>
      </c>
      <c r="I2050">
        <v>284.6422</v>
      </c>
      <c r="J2050">
        <v>-362.44060000000002</v>
      </c>
      <c r="K2050">
        <v>1.1091569999999999</v>
      </c>
      <c r="L2050">
        <v>283.52589999999998</v>
      </c>
      <c r="M2050">
        <v>-0.99988030000000006</v>
      </c>
      <c r="N2050">
        <v>0</v>
      </c>
      <c r="O2050">
        <v>3.0886630000000002E-3</v>
      </c>
      <c r="P2050">
        <v>-0.99775829999999999</v>
      </c>
      <c r="Q2050">
        <v>-1.059088E-2</v>
      </c>
      <c r="R2050">
        <v>-6.6076360000000001E-2</v>
      </c>
      <c r="S2050">
        <v>-3.0088810000000001</v>
      </c>
      <c r="T2050">
        <v>-3.7076709999999999E-2</v>
      </c>
      <c r="U2050">
        <v>3.7353520000000001E-2</v>
      </c>
      <c r="V2050">
        <v>-6.9153919999999994E-2</v>
      </c>
      <c r="W2050">
        <v>4.6003340000000002E-3</v>
      </c>
      <c r="X2050">
        <v>0.99759540000000002</v>
      </c>
      <c r="Y2050">
        <v>9.3241569999999996E-3</v>
      </c>
      <c r="Z2050" s="1">
        <v>1.9382660000000001E-5</v>
      </c>
      <c r="AA2050">
        <v>0.99995650000000003</v>
      </c>
      <c r="AB2050">
        <v>41</v>
      </c>
      <c r="AC2050">
        <v>-89.689799999999906</v>
      </c>
      <c r="AD2050">
        <v>-1.1091574042132</v>
      </c>
      <c r="AE2050">
        <v>1.1163000000000201</v>
      </c>
      <c r="AF2050">
        <v>0.83911295784494899</v>
      </c>
      <c r="AG2050">
        <v>-1.1091574042132</v>
      </c>
      <c r="AH2050">
        <v>89.679107617683101</v>
      </c>
      <c r="AI2050">
        <v>90.708571019001198</v>
      </c>
      <c r="AJ2050">
        <v>89.463908269187499</v>
      </c>
      <c r="AK2050">
        <v>89.689891759369004</v>
      </c>
      <c r="AL2050">
        <v>89.736419349042706</v>
      </c>
      <c r="AM2050">
        <v>93.965434646934895</v>
      </c>
      <c r="AN2050">
        <v>1.00000000491271</v>
      </c>
    </row>
    <row r="2051" spans="1:40" x14ac:dyDescent="0.25">
      <c r="A2051" t="str">
        <f>"20190312151537957"</f>
        <v>20190312151537957</v>
      </c>
      <c r="B2051" t="str">
        <f>"1552374937950024"</f>
        <v>1552374937950024</v>
      </c>
      <c r="C2051" t="s">
        <v>40</v>
      </c>
      <c r="D2051">
        <v>4.296665</v>
      </c>
      <c r="E2051">
        <v>0.53485689999999997</v>
      </c>
      <c r="F2051" t="s">
        <v>52</v>
      </c>
      <c r="G2051">
        <v>-422.78989999999999</v>
      </c>
      <c r="H2051" s="1">
        <v>3.4531550000000001E-6</v>
      </c>
      <c r="I2051">
        <v>284.80579999999998</v>
      </c>
      <c r="J2051">
        <v>-362.84840000000003</v>
      </c>
      <c r="K2051">
        <v>1.109154</v>
      </c>
      <c r="L2051">
        <v>283.52749999999997</v>
      </c>
      <c r="M2051">
        <v>-0.99987930000000003</v>
      </c>
      <c r="N2051">
        <v>0</v>
      </c>
      <c r="O2051">
        <v>3.4294809999999998E-3</v>
      </c>
      <c r="P2051">
        <v>-0.99776679999999995</v>
      </c>
      <c r="Q2051">
        <v>-1.15122E-2</v>
      </c>
      <c r="R2051">
        <v>-6.5793660000000004E-2</v>
      </c>
      <c r="S2051">
        <v>-3.0103759999999999</v>
      </c>
      <c r="T2051">
        <v>-5.5327420000000002E-2</v>
      </c>
      <c r="U2051">
        <v>6.3842769999999993E-2</v>
      </c>
      <c r="V2051">
        <v>-6.9211729999999999E-2</v>
      </c>
      <c r="W2051">
        <v>3.6743240000000001E-3</v>
      </c>
      <c r="X2051">
        <v>0.99759529999999996</v>
      </c>
      <c r="Y2051">
        <v>1.7771160000000001E-2</v>
      </c>
      <c r="Z2051">
        <v>1.002508E-4</v>
      </c>
      <c r="AA2051">
        <v>0.99984200000000001</v>
      </c>
      <c r="AB2051">
        <v>40</v>
      </c>
      <c r="AC2051">
        <v>-59.941499999999898</v>
      </c>
      <c r="AD2051">
        <v>-1.109150546845</v>
      </c>
      <c r="AE2051">
        <v>1.2783</v>
      </c>
      <c r="AF2051">
        <v>1.0723336464600299</v>
      </c>
      <c r="AG2051">
        <v>-1.109150546845</v>
      </c>
      <c r="AH2051">
        <v>59.925023206691797</v>
      </c>
      <c r="AI2051">
        <v>91.060195180434405</v>
      </c>
      <c r="AJ2051">
        <v>88.974825004750102</v>
      </c>
      <c r="AK2051">
        <v>59.944879019875003</v>
      </c>
      <c r="AL2051">
        <v>89.789476283986502</v>
      </c>
      <c r="AM2051">
        <v>93.968739404509904</v>
      </c>
      <c r="AN2051">
        <v>1.00000007340426</v>
      </c>
    </row>
    <row r="2052" spans="1:40" x14ac:dyDescent="0.25">
      <c r="A2052" t="str">
        <f>"20190312151537980"</f>
        <v>20190312151537980</v>
      </c>
      <c r="B2052" t="str">
        <f>"1552374937969544"</f>
        <v>1552374937969544</v>
      </c>
      <c r="C2052" t="s">
        <v>40</v>
      </c>
      <c r="D2052">
        <v>4.3065910000000001</v>
      </c>
      <c r="E2052">
        <v>0.53564519999999904</v>
      </c>
      <c r="F2052" t="s">
        <v>52</v>
      </c>
      <c r="G2052">
        <v>-421.9923</v>
      </c>
      <c r="H2052" s="1">
        <v>3.5699360000000001E-6</v>
      </c>
      <c r="I2052">
        <v>285.0883</v>
      </c>
      <c r="J2052">
        <v>-363.24529999999999</v>
      </c>
      <c r="K2052">
        <v>1.1091530000000001</v>
      </c>
      <c r="L2052">
        <v>283.52910000000003</v>
      </c>
      <c r="M2052">
        <v>-0.99987820000000005</v>
      </c>
      <c r="N2052">
        <v>0</v>
      </c>
      <c r="O2052">
        <v>3.7613009999999999E-3</v>
      </c>
      <c r="P2052">
        <v>-0.99779390000000001</v>
      </c>
      <c r="Q2052">
        <v>-1.23813E-2</v>
      </c>
      <c r="R2052">
        <v>-6.5227530000000006E-2</v>
      </c>
      <c r="S2052">
        <v>-3.0112610000000002</v>
      </c>
      <c r="T2052">
        <v>-5.6471470000000003E-2</v>
      </c>
      <c r="U2052">
        <v>7.9467769999999993E-2</v>
      </c>
      <c r="V2052">
        <v>-6.8977880000000005E-2</v>
      </c>
      <c r="W2052">
        <v>2.800763E-3</v>
      </c>
      <c r="X2052">
        <v>0.99761429999999995</v>
      </c>
      <c r="Y2052">
        <v>2.2617089999999999E-2</v>
      </c>
      <c r="Z2052">
        <v>1.4149259999999999E-4</v>
      </c>
      <c r="AA2052">
        <v>0.99974419999999997</v>
      </c>
      <c r="AB2052">
        <v>40</v>
      </c>
      <c r="AC2052">
        <v>-58.747</v>
      </c>
      <c r="AD2052">
        <v>-1.1091494300639999</v>
      </c>
      <c r="AE2052">
        <v>1.5591999999999699</v>
      </c>
      <c r="AF2052">
        <v>1.33772195860558</v>
      </c>
      <c r="AG2052">
        <v>-1.1091494300639999</v>
      </c>
      <c r="AH2052">
        <v>58.731529034184199</v>
      </c>
      <c r="AI2052">
        <v>91.081626119472205</v>
      </c>
      <c r="AJ2052">
        <v>88.695205565245104</v>
      </c>
      <c r="AK2052">
        <v>58.757231173617797</v>
      </c>
      <c r="AL2052">
        <v>89.839527897606402</v>
      </c>
      <c r="AM2052">
        <v>93.955297518835394</v>
      </c>
      <c r="AN2052">
        <v>1.0000000418835799</v>
      </c>
    </row>
    <row r="2053" spans="1:40" x14ac:dyDescent="0.25">
      <c r="A2053" t="str">
        <f>"20190312151538002"</f>
        <v>20190312151538002</v>
      </c>
      <c r="B2053" t="str">
        <f>"1552374937990040"</f>
        <v>1552374937990040</v>
      </c>
      <c r="C2053" t="s">
        <v>40</v>
      </c>
      <c r="D2053">
        <v>4.3204459999999996</v>
      </c>
      <c r="E2053">
        <v>0.53607229999999995</v>
      </c>
      <c r="F2053" t="s">
        <v>52</v>
      </c>
      <c r="G2053">
        <v>-418.57400000000001</v>
      </c>
      <c r="H2053" s="1">
        <v>3.6812500000000001E-6</v>
      </c>
      <c r="I2053">
        <v>285.1354</v>
      </c>
      <c r="J2053">
        <v>-363.6499</v>
      </c>
      <c r="K2053">
        <v>1.109143</v>
      </c>
      <c r="L2053">
        <v>283.53089999999997</v>
      </c>
      <c r="M2053">
        <v>-0.99987689999999996</v>
      </c>
      <c r="N2053">
        <v>0</v>
      </c>
      <c r="O2053">
        <v>4.0993210000000004E-3</v>
      </c>
      <c r="P2053">
        <v>-0.99780369999999996</v>
      </c>
      <c r="Q2053">
        <v>-1.331238E-2</v>
      </c>
      <c r="R2053">
        <v>-6.4892210000000006E-2</v>
      </c>
      <c r="S2053">
        <v>-3.0115970000000001</v>
      </c>
      <c r="T2053">
        <v>-6.037211E-2</v>
      </c>
      <c r="U2053">
        <v>8.7432860000000001E-2</v>
      </c>
      <c r="V2053">
        <v>-6.8980420000000001E-2</v>
      </c>
      <c r="W2053">
        <v>1.8647340000000001E-3</v>
      </c>
      <c r="X2053">
        <v>0.99761630000000001</v>
      </c>
      <c r="Y2053">
        <v>2.4917350000000001E-2</v>
      </c>
      <c r="Z2053">
        <v>1.6751599999999999E-4</v>
      </c>
      <c r="AA2053">
        <v>0.99968950000000001</v>
      </c>
      <c r="AB2053">
        <v>40</v>
      </c>
      <c r="AC2053">
        <v>-54.924100000000003</v>
      </c>
      <c r="AD2053">
        <v>-1.10913931875</v>
      </c>
      <c r="AE2053">
        <v>1.60450000000003</v>
      </c>
      <c r="AF2053">
        <v>1.37874739925683</v>
      </c>
      <c r="AG2053">
        <v>-1.10913931875</v>
      </c>
      <c r="AH2053">
        <v>54.907844244003499</v>
      </c>
      <c r="AI2053">
        <v>91.156853714005393</v>
      </c>
      <c r="AJ2053">
        <v>88.561593314172896</v>
      </c>
      <c r="AK2053">
        <v>54.936349477764701</v>
      </c>
      <c r="AL2053">
        <v>89.893158553043705</v>
      </c>
      <c r="AM2053">
        <v>93.955434799406007</v>
      </c>
      <c r="AN2053">
        <v>1.0000000288009701</v>
      </c>
    </row>
    <row r="2054" spans="1:40" x14ac:dyDescent="0.25">
      <c r="A2054" t="str">
        <f>"20190312151538014"</f>
        <v>20190312151538014</v>
      </c>
      <c r="B2054" t="str">
        <f>"1552374938009560"</f>
        <v>1552374938009560</v>
      </c>
      <c r="C2054" t="s">
        <v>40</v>
      </c>
      <c r="D2054">
        <v>4.2944779999999998</v>
      </c>
      <c r="E2054">
        <v>0.53649259999999999</v>
      </c>
      <c r="F2054" t="s">
        <v>52</v>
      </c>
      <c r="G2054">
        <v>-413.11009999999999</v>
      </c>
      <c r="H2054" s="1">
        <v>2.7202199999999999E-6</v>
      </c>
      <c r="I2054">
        <v>285.04199999999997</v>
      </c>
      <c r="J2054">
        <v>-363.86180000000002</v>
      </c>
      <c r="K2054">
        <v>1.109143</v>
      </c>
      <c r="L2054">
        <v>283.53199999999998</v>
      </c>
      <c r="M2054">
        <v>-0.99987630000000005</v>
      </c>
      <c r="N2054">
        <v>0</v>
      </c>
      <c r="O2054">
        <v>4.2764650000000001E-3</v>
      </c>
      <c r="P2054">
        <v>-0.99780500000000005</v>
      </c>
      <c r="Q2054">
        <v>-1.36238E-2</v>
      </c>
      <c r="R2054">
        <v>-6.4808060000000001E-2</v>
      </c>
      <c r="S2054">
        <v>-3.0116879999999999</v>
      </c>
      <c r="T2054">
        <v>-6.7536830000000006E-2</v>
      </c>
      <c r="U2054">
        <v>9.2010499999999995E-2</v>
      </c>
      <c r="V2054">
        <v>-6.9073679999999998E-2</v>
      </c>
      <c r="W2054">
        <v>1.5509759999999999E-3</v>
      </c>
      <c r="X2054">
        <v>0.99761029999999995</v>
      </c>
      <c r="Y2054">
        <v>2.6256129999999999E-2</v>
      </c>
      <c r="Z2054">
        <v>1.984159E-4</v>
      </c>
      <c r="AA2054">
        <v>0.99965519999999997</v>
      </c>
      <c r="AB2054">
        <v>40</v>
      </c>
      <c r="AC2054">
        <v>-49.248299999999901</v>
      </c>
      <c r="AD2054">
        <v>-1.1091402797799901</v>
      </c>
      <c r="AE2054">
        <v>1.51000000000004</v>
      </c>
      <c r="AF2054">
        <v>1.2986953323354899</v>
      </c>
      <c r="AG2054">
        <v>-1.1091402797799901</v>
      </c>
      <c r="AH2054">
        <v>49.229361441026001</v>
      </c>
      <c r="AI2054">
        <v>91.290210062184798</v>
      </c>
      <c r="AJ2054">
        <v>88.488858983937305</v>
      </c>
      <c r="AK2054">
        <v>49.258977147497099</v>
      </c>
      <c r="AL2054">
        <v>89.911135580534804</v>
      </c>
      <c r="AM2054">
        <v>93.960789196350703</v>
      </c>
      <c r="AN2054">
        <v>0.99999994473069098</v>
      </c>
    </row>
    <row r="2055" spans="1:40" x14ac:dyDescent="0.25">
      <c r="A2055" t="str">
        <f>"20190312151538026"</f>
        <v>20190312151538026</v>
      </c>
      <c r="B2055" t="str">
        <f>"1552374938019320"</f>
        <v>1552374938019320</v>
      </c>
      <c r="C2055" t="s">
        <v>40</v>
      </c>
      <c r="D2055">
        <v>4.2789299999999999</v>
      </c>
      <c r="E2055">
        <v>0.53655620000000004</v>
      </c>
      <c r="F2055" t="s">
        <v>52</v>
      </c>
      <c r="G2055">
        <v>-412.15269999999998</v>
      </c>
      <c r="H2055" s="1">
        <v>2.5486850000000001E-6</v>
      </c>
      <c r="I2055">
        <v>285.06150000000002</v>
      </c>
      <c r="J2055">
        <v>-364.08260000000001</v>
      </c>
      <c r="K2055">
        <v>1.109146</v>
      </c>
      <c r="L2055">
        <v>283.53309999999999</v>
      </c>
      <c r="M2055">
        <v>-0.99987550000000003</v>
      </c>
      <c r="N2055">
        <v>0</v>
      </c>
      <c r="O2055">
        <v>4.4613580000000003E-3</v>
      </c>
      <c r="P2055">
        <v>-0.99782420000000005</v>
      </c>
      <c r="Q2055">
        <v>-1.3841930000000001E-2</v>
      </c>
      <c r="R2055">
        <v>-6.4464709999999995E-2</v>
      </c>
      <c r="S2055">
        <v>-3.0118710000000002</v>
      </c>
      <c r="T2055">
        <v>-6.9176319999999999E-2</v>
      </c>
      <c r="U2055">
        <v>9.5397949999999995E-2</v>
      </c>
      <c r="V2055">
        <v>-6.8914820000000002E-2</v>
      </c>
      <c r="W2055">
        <v>1.3301999999999999E-3</v>
      </c>
      <c r="X2055">
        <v>0.99762169999999895</v>
      </c>
      <c r="Y2055">
        <v>2.719216E-2</v>
      </c>
      <c r="Z2055">
        <v>2.0971529999999999E-4</v>
      </c>
      <c r="AA2055">
        <v>0.99963020000000002</v>
      </c>
      <c r="AB2055">
        <v>40</v>
      </c>
      <c r="AC2055">
        <v>-48.070099999999897</v>
      </c>
      <c r="AD2055">
        <v>-1.109143451315</v>
      </c>
      <c r="AE2055">
        <v>1.52840000000003</v>
      </c>
      <c r="AF2055">
        <v>1.3132038692091801</v>
      </c>
      <c r="AG2055">
        <v>-1.109143451315</v>
      </c>
      <c r="AH2055">
        <v>48.050885311493502</v>
      </c>
      <c r="AI2055">
        <v>91.321812257287505</v>
      </c>
      <c r="AJ2055">
        <v>88.434528005502003</v>
      </c>
      <c r="AK2055">
        <v>48.081621050210103</v>
      </c>
      <c r="AL2055">
        <v>89.923785134593899</v>
      </c>
      <c r="AM2055">
        <v>93.951663803663394</v>
      </c>
      <c r="AN2055">
        <v>1.00000003907928</v>
      </c>
    </row>
    <row r="2056" spans="1:40" x14ac:dyDescent="0.25">
      <c r="A2056" t="str">
        <f>"20190312151538038"</f>
        <v>20190312151538038</v>
      </c>
      <c r="B2056" t="str">
        <f>"1552374938030056"</f>
        <v>1552374938030056</v>
      </c>
      <c r="C2056" t="s">
        <v>40</v>
      </c>
      <c r="D2056">
        <v>4.5337160000000001</v>
      </c>
      <c r="E2056">
        <v>0.53671559999999996</v>
      </c>
      <c r="F2056" t="s">
        <v>52</v>
      </c>
      <c r="G2056">
        <v>-410.87970000000001</v>
      </c>
      <c r="H2056" s="1">
        <v>2.3248780000000002E-6</v>
      </c>
      <c r="I2056">
        <v>285.03859999999997</v>
      </c>
      <c r="J2056">
        <v>-364.30119999999999</v>
      </c>
      <c r="K2056">
        <v>1.1091519999999999</v>
      </c>
      <c r="L2056">
        <v>283.5342</v>
      </c>
      <c r="M2056">
        <v>-0.99987479999999995</v>
      </c>
      <c r="N2056">
        <v>0</v>
      </c>
      <c r="O2056">
        <v>4.6445210000000004E-3</v>
      </c>
      <c r="P2056">
        <v>-0.99782999999999999</v>
      </c>
      <c r="Q2056">
        <v>-1.3946450000000001E-2</v>
      </c>
      <c r="R2056">
        <v>-6.4352119999999999E-2</v>
      </c>
      <c r="S2056">
        <v>-3.0118100000000001</v>
      </c>
      <c r="T2056">
        <v>-7.1383360000000007E-2</v>
      </c>
      <c r="U2056">
        <v>9.6893309999999996E-2</v>
      </c>
      <c r="V2056">
        <v>-6.898572E-2</v>
      </c>
      <c r="W2056">
        <v>1.222912E-3</v>
      </c>
      <c r="X2056">
        <v>0.99761690000000003</v>
      </c>
      <c r="Y2056">
        <v>2.7505080000000001E-2</v>
      </c>
      <c r="Z2056">
        <v>2.1577409999999999E-4</v>
      </c>
      <c r="AA2056">
        <v>0.9996216</v>
      </c>
      <c r="AB2056">
        <v>40</v>
      </c>
      <c r="AC2056">
        <v>-46.578499999999998</v>
      </c>
      <c r="AD2056">
        <v>-1.109149675122</v>
      </c>
      <c r="AE2056">
        <v>1.50439999999997</v>
      </c>
      <c r="AF2056">
        <v>1.2872950145870801</v>
      </c>
      <c r="AG2056">
        <v>-1.109149675122</v>
      </c>
      <c r="AH2056">
        <v>46.558612695311702</v>
      </c>
      <c r="AI2056">
        <v>91.364158226159404</v>
      </c>
      <c r="AJ2056">
        <v>88.416237491549197</v>
      </c>
      <c r="AK2056">
        <v>46.589609974418501</v>
      </c>
      <c r="AL2056">
        <v>89.929932286368199</v>
      </c>
      <c r="AM2056">
        <v>93.955735372550706</v>
      </c>
      <c r="AN2056">
        <v>1.00000000212164</v>
      </c>
    </row>
    <row r="2057" spans="1:40" x14ac:dyDescent="0.25">
      <c r="A2057" t="str">
        <f>"20190312151538054"</f>
        <v>20190312151538054</v>
      </c>
      <c r="B2057" t="str">
        <f>"1552374938049576"</f>
        <v>1552374938049576</v>
      </c>
      <c r="C2057" t="s">
        <v>40</v>
      </c>
      <c r="D2057">
        <v>4.3230570000000004</v>
      </c>
      <c r="E2057">
        <v>0.53705769999999997</v>
      </c>
      <c r="F2057" t="s">
        <v>52</v>
      </c>
      <c r="G2057">
        <v>-412.52870000000001</v>
      </c>
      <c r="H2057" s="1">
        <v>2.6109639999999999E-6</v>
      </c>
      <c r="I2057">
        <v>285.1121</v>
      </c>
      <c r="J2057">
        <v>-364.57440000000003</v>
      </c>
      <c r="K2057">
        <v>1.1091549999999999</v>
      </c>
      <c r="L2057">
        <v>283.53559999999999</v>
      </c>
      <c r="M2057">
        <v>-0.99987360000000003</v>
      </c>
      <c r="N2057">
        <v>0</v>
      </c>
      <c r="O2057">
        <v>4.8737559999999999E-3</v>
      </c>
      <c r="P2057">
        <v>-0.9978416</v>
      </c>
      <c r="Q2057">
        <v>-1.386952E-2</v>
      </c>
      <c r="R2057">
        <v>-6.4188720000000005E-2</v>
      </c>
      <c r="S2057">
        <v>-3.0119020000000001</v>
      </c>
      <c r="T2057">
        <v>-6.9268579999999996E-2</v>
      </c>
      <c r="U2057">
        <v>9.8541260000000006E-2</v>
      </c>
      <c r="V2057">
        <v>-6.9050420000000001E-2</v>
      </c>
      <c r="W2057">
        <v>1.296345E-3</v>
      </c>
      <c r="X2057">
        <v>0.99761239999999995</v>
      </c>
      <c r="Y2057">
        <v>2.782163E-2</v>
      </c>
      <c r="Z2057">
        <v>2.0774359999999999E-4</v>
      </c>
      <c r="AA2057">
        <v>0.99961290000000003</v>
      </c>
      <c r="AB2057">
        <v>40</v>
      </c>
      <c r="AC2057">
        <v>-47.954299999999897</v>
      </c>
      <c r="AD2057">
        <v>-1.109152389036</v>
      </c>
      <c r="AE2057">
        <v>1.57650000000001</v>
      </c>
      <c r="AF2057">
        <v>1.34201978396593</v>
      </c>
      <c r="AG2057">
        <v>-1.109152389036</v>
      </c>
      <c r="AH2057">
        <v>47.935798276868297</v>
      </c>
      <c r="AI2057">
        <v>91.324970872986697</v>
      </c>
      <c r="AJ2057">
        <v>88.396355274035102</v>
      </c>
      <c r="AK2057">
        <v>47.967405522534399</v>
      </c>
      <c r="AL2057">
        <v>89.925724887164094</v>
      </c>
      <c r="AM2057">
        <v>93.959451367535806</v>
      </c>
      <c r="AN2057">
        <v>1.00000007082314</v>
      </c>
    </row>
    <row r="2058" spans="1:40" x14ac:dyDescent="0.25">
      <c r="A2058" t="str">
        <f>"20190312151538070"</f>
        <v>20190312151538070</v>
      </c>
      <c r="B2058" t="str">
        <f>"1552374938059336"</f>
        <v>1552374938059336</v>
      </c>
      <c r="C2058" t="s">
        <v>40</v>
      </c>
      <c r="D2058">
        <v>4.3373330000000001</v>
      </c>
      <c r="E2058">
        <v>0.53698809999999997</v>
      </c>
      <c r="F2058" t="s">
        <v>52</v>
      </c>
      <c r="G2058">
        <v>-412.63130000000001</v>
      </c>
      <c r="H2058" s="1">
        <v>2.6248470000000001E-6</v>
      </c>
      <c r="I2058">
        <v>285.16140000000001</v>
      </c>
      <c r="J2058">
        <v>-364.86219999999997</v>
      </c>
      <c r="K2058">
        <v>1.109159</v>
      </c>
      <c r="L2058">
        <v>283.53719999999998</v>
      </c>
      <c r="M2058">
        <v>-0.99987239999999999</v>
      </c>
      <c r="N2058">
        <v>0</v>
      </c>
      <c r="O2058">
        <v>5.1147400000000004E-3</v>
      </c>
      <c r="P2058">
        <v>-0.99785749999999995</v>
      </c>
      <c r="Q2058">
        <v>-1.385863E-2</v>
      </c>
      <c r="R2058">
        <v>-6.3941280000000003E-2</v>
      </c>
      <c r="S2058">
        <v>-3.0120849999999999</v>
      </c>
      <c r="T2058">
        <v>-6.9518919999999998E-2</v>
      </c>
      <c r="U2058">
        <v>0.10189819999999999</v>
      </c>
      <c r="V2058">
        <v>-6.9043259999999995E-2</v>
      </c>
      <c r="W2058">
        <v>1.3039739999999901E-3</v>
      </c>
      <c r="X2058">
        <v>0.99761279999999997</v>
      </c>
      <c r="Y2058">
        <v>2.8691339999999999E-2</v>
      </c>
      <c r="Z2058">
        <v>2.1295010000000001E-4</v>
      </c>
      <c r="AA2058">
        <v>0.99958829999999999</v>
      </c>
      <c r="AB2058">
        <v>40</v>
      </c>
      <c r="AC2058">
        <v>-47.769100000000002</v>
      </c>
      <c r="AD2058">
        <v>-1.109156375153</v>
      </c>
      <c r="AE2058">
        <v>1.6242000000000301</v>
      </c>
      <c r="AF2058">
        <v>1.37908159825077</v>
      </c>
      <c r="AG2058">
        <v>-1.109156375153</v>
      </c>
      <c r="AH2058">
        <v>47.751069147103102</v>
      </c>
      <c r="AI2058">
        <v>91.330066161958896</v>
      </c>
      <c r="AJ2058">
        <v>88.345720863495899</v>
      </c>
      <c r="AK2058">
        <v>47.783853953093796</v>
      </c>
      <c r="AL2058">
        <v>89.925287770942404</v>
      </c>
      <c r="AM2058">
        <v>93.959040526047801</v>
      </c>
      <c r="AN2058">
        <v>0.99999998541172996</v>
      </c>
    </row>
    <row r="2059" spans="1:40" x14ac:dyDescent="0.25">
      <c r="A2059" t="str">
        <f>"20190312151538092"</f>
        <v>20190312151538092</v>
      </c>
      <c r="B2059" t="str">
        <f>"1552374938079832"</f>
        <v>1552374938079832</v>
      </c>
      <c r="C2059" t="s">
        <v>40</v>
      </c>
      <c r="D2059">
        <v>4.4065849999999998</v>
      </c>
      <c r="E2059">
        <v>0.53731890000000004</v>
      </c>
      <c r="F2059" t="s">
        <v>52</v>
      </c>
      <c r="G2059">
        <v>-412.8116</v>
      </c>
      <c r="H2059" s="1">
        <v>2.6567950000000002E-6</v>
      </c>
      <c r="I2059">
        <v>285.16180000000003</v>
      </c>
      <c r="J2059">
        <v>-365.26299999999998</v>
      </c>
      <c r="K2059">
        <v>1.109164</v>
      </c>
      <c r="L2059">
        <v>283.53960000000001</v>
      </c>
      <c r="M2059">
        <v>-0.99987079999999995</v>
      </c>
      <c r="N2059">
        <v>0</v>
      </c>
      <c r="O2059">
        <v>5.4506719999999897E-3</v>
      </c>
      <c r="P2059">
        <v>-0.99786810000000004</v>
      </c>
      <c r="Q2059">
        <v>-1.4085520000000001E-2</v>
      </c>
      <c r="R2059">
        <v>-6.3728679999999996E-2</v>
      </c>
      <c r="S2059">
        <v>-3.012054</v>
      </c>
      <c r="T2059">
        <v>-6.9674369999999999E-2</v>
      </c>
      <c r="U2059">
        <v>0.1020508</v>
      </c>
      <c r="V2059">
        <v>-6.9166030000000003E-2</v>
      </c>
      <c r="W2059">
        <v>1.072232E-3</v>
      </c>
      <c r="X2059">
        <v>0.99760459999999995</v>
      </c>
      <c r="Y2059">
        <v>2.8406560000000001E-2</v>
      </c>
      <c r="Z2059">
        <v>2.0236780000000001E-4</v>
      </c>
      <c r="AA2059">
        <v>0.99959640000000005</v>
      </c>
      <c r="AB2059">
        <v>40</v>
      </c>
      <c r="AC2059">
        <v>-47.548599999999901</v>
      </c>
      <c r="AD2059">
        <v>-1.109161343205</v>
      </c>
      <c r="AE2059">
        <v>1.6222000000000201</v>
      </c>
      <c r="AF2059">
        <v>1.3622340461248199</v>
      </c>
      <c r="AG2059">
        <v>-1.109161343205</v>
      </c>
      <c r="AH2059">
        <v>47.530902999285701</v>
      </c>
      <c r="AI2059">
        <v>91.336239340541397</v>
      </c>
      <c r="AJ2059">
        <v>88.358354309342502</v>
      </c>
      <c r="AK2059">
        <v>47.563354175343697</v>
      </c>
      <c r="AL2059">
        <v>89.938565620808902</v>
      </c>
      <c r="AM2059">
        <v>93.966090385196694</v>
      </c>
      <c r="AN2059">
        <v>1.0000000136642899</v>
      </c>
    </row>
    <row r="2060" spans="1:40" x14ac:dyDescent="0.25">
      <c r="A2060" t="str">
        <f>"20190312151538114"</f>
        <v>20190312151538114</v>
      </c>
      <c r="B2060" t="str">
        <f>"1552374938110088"</f>
        <v>1552374938110088</v>
      </c>
      <c r="C2060" t="s">
        <v>40</v>
      </c>
      <c r="D2060">
        <v>4.4555230000000003</v>
      </c>
      <c r="E2060">
        <v>0.57141119999999901</v>
      </c>
      <c r="F2060" t="s">
        <v>52</v>
      </c>
      <c r="G2060">
        <v>-412.01089999999999</v>
      </c>
      <c r="H2060" s="1">
        <v>2.5138960000000001E-6</v>
      </c>
      <c r="I2060">
        <v>285.17169999999999</v>
      </c>
      <c r="J2060">
        <v>-365.65730000000002</v>
      </c>
      <c r="K2060">
        <v>1.109162</v>
      </c>
      <c r="L2060">
        <v>283.54199999999997</v>
      </c>
      <c r="M2060">
        <v>-0.99986900000000001</v>
      </c>
      <c r="N2060">
        <v>0</v>
      </c>
      <c r="O2060">
        <v>5.7810070000000003E-3</v>
      </c>
      <c r="P2060">
        <v>-0.99790190000000001</v>
      </c>
      <c r="Q2060">
        <v>-1.4239409999999999E-2</v>
      </c>
      <c r="R2060">
        <v>-6.3160919999999995E-2</v>
      </c>
      <c r="S2060">
        <v>-3.012146</v>
      </c>
      <c r="T2060">
        <v>-7.1467520000000007E-2</v>
      </c>
      <c r="U2060">
        <v>0.1051636</v>
      </c>
      <c r="V2060">
        <v>-6.8928649999999994E-2</v>
      </c>
      <c r="W2060">
        <v>9.139218E-4</v>
      </c>
      <c r="X2060">
        <v>0.99762119999999999</v>
      </c>
      <c r="Y2060">
        <v>2.910662E-2</v>
      </c>
      <c r="Z2060">
        <v>2.0803130000000001E-4</v>
      </c>
      <c r="AA2060">
        <v>0.99957629999999997</v>
      </c>
      <c r="AB2060">
        <v>40</v>
      </c>
      <c r="AC2060">
        <v>-46.353599999999901</v>
      </c>
      <c r="AD2060">
        <v>-1.1091594861039999</v>
      </c>
      <c r="AE2060">
        <v>1.62969999999995</v>
      </c>
      <c r="AF2060">
        <v>1.36089341458752</v>
      </c>
      <c r="AG2060">
        <v>-1.1091594861039999</v>
      </c>
      <c r="AH2060">
        <v>46.335750383110501</v>
      </c>
      <c r="AI2060">
        <v>91.370661890975498</v>
      </c>
      <c r="AJ2060">
        <v>88.317691206448202</v>
      </c>
      <c r="AK2060">
        <v>46.3689985789796</v>
      </c>
      <c r="AL2060">
        <v>89.947636132146101</v>
      </c>
      <c r="AM2060">
        <v>93.952456294972094</v>
      </c>
      <c r="AN2060">
        <v>1.00000002636665</v>
      </c>
    </row>
    <row r="2061" spans="1:40" x14ac:dyDescent="0.25">
      <c r="A2061" t="str">
        <f>"20190312151538126"</f>
        <v>20190312151538126</v>
      </c>
      <c r="B2061" t="str">
        <f>"1552374938119848"</f>
        <v>1552374938119848</v>
      </c>
      <c r="C2061" t="s">
        <v>40</v>
      </c>
      <c r="D2061">
        <v>4.471673</v>
      </c>
      <c r="E2061">
        <v>0.57199739999999999</v>
      </c>
      <c r="F2061" t="s">
        <v>41</v>
      </c>
      <c r="G2061">
        <v>-366.62849999999997</v>
      </c>
      <c r="H2061">
        <v>0.83376090000000003</v>
      </c>
      <c r="I2061">
        <v>283.65890000000002</v>
      </c>
      <c r="J2061">
        <v>-365.89370000000002</v>
      </c>
      <c r="K2061">
        <v>1.1091599999999999</v>
      </c>
      <c r="L2061">
        <v>283.54349999999999</v>
      </c>
      <c r="M2061">
        <v>-0.99986779999999997</v>
      </c>
      <c r="N2061">
        <v>0</v>
      </c>
      <c r="O2061">
        <v>5.9793709999999998E-3</v>
      </c>
      <c r="P2061">
        <v>-0.99790509999999999</v>
      </c>
      <c r="Q2061">
        <v>-1.422928E-2</v>
      </c>
      <c r="R2061">
        <v>-6.3111050000000002E-2</v>
      </c>
      <c r="S2061">
        <v>-3.017029</v>
      </c>
      <c r="T2061">
        <v>-0.85559769999999902</v>
      </c>
      <c r="U2061">
        <v>0.36203000000000002</v>
      </c>
      <c r="V2061">
        <v>-6.9076600000000002E-2</v>
      </c>
      <c r="W2061">
        <v>9.2107440000000005E-4</v>
      </c>
      <c r="X2061">
        <v>0.99761089999999997</v>
      </c>
      <c r="Y2061">
        <v>0.1091888</v>
      </c>
      <c r="Z2061">
        <v>1.347448E-2</v>
      </c>
      <c r="AA2061">
        <v>0.99392970000000003</v>
      </c>
      <c r="AB2061">
        <v>40</v>
      </c>
      <c r="AC2061">
        <v>-0.73479999999995005</v>
      </c>
      <c r="AD2061">
        <v>-0.27539910000000001</v>
      </c>
      <c r="AE2061">
        <v>0.115400000000022</v>
      </c>
      <c r="AF2061">
        <v>9.7620958419431803E-2</v>
      </c>
      <c r="AG2061">
        <v>-0.27539910000000001</v>
      </c>
      <c r="AH2061">
        <v>0.64680642100915398</v>
      </c>
      <c r="AI2061">
        <v>112.831808181592</v>
      </c>
      <c r="AJ2061">
        <v>81.417261890575205</v>
      </c>
      <c r="AK2061">
        <v>0.70974154596036498</v>
      </c>
      <c r="AL2061">
        <v>89.947226315028402</v>
      </c>
      <c r="AM2061">
        <v>93.960953725925407</v>
      </c>
      <c r="AN2061">
        <v>0.99999996642220901</v>
      </c>
    </row>
    <row r="2062" spans="1:40" x14ac:dyDescent="0.25">
      <c r="A2062" t="str">
        <f>"20190312151538141"</f>
        <v>20190312151538141</v>
      </c>
      <c r="B2062" t="str">
        <f>"1552374938129608"</f>
        <v>1552374938129608</v>
      </c>
      <c r="C2062" t="s">
        <v>40</v>
      </c>
      <c r="D2062">
        <v>4.5263350000000004</v>
      </c>
      <c r="E2062">
        <v>0.57262869999999999</v>
      </c>
      <c r="F2062" t="s">
        <v>41</v>
      </c>
      <c r="G2062">
        <v>-366.64890000000003</v>
      </c>
      <c r="H2062">
        <v>0.88452710000000001</v>
      </c>
      <c r="I2062">
        <v>283.63560000000001</v>
      </c>
      <c r="J2062">
        <v>-366.1309</v>
      </c>
      <c r="K2062">
        <v>1.109162</v>
      </c>
      <c r="L2062">
        <v>283.54509999999999</v>
      </c>
      <c r="M2062">
        <v>-0.9998667</v>
      </c>
      <c r="N2062">
        <v>0</v>
      </c>
      <c r="O2062">
        <v>6.1781529999999996E-3</v>
      </c>
      <c r="P2062">
        <v>-0.99791600000000003</v>
      </c>
      <c r="Q2062">
        <v>-1.4057419999999999E-2</v>
      </c>
      <c r="R2062">
        <v>-6.2978400000000004E-2</v>
      </c>
      <c r="S2062">
        <v>-3.0166629999999999</v>
      </c>
      <c r="T2062">
        <v>-0.89743669999999998</v>
      </c>
      <c r="U2062">
        <v>0.3662415</v>
      </c>
      <c r="V2062">
        <v>-6.9142239999999994E-2</v>
      </c>
      <c r="W2062">
        <v>1.0903519999999999E-3</v>
      </c>
      <c r="X2062">
        <v>0.9976062</v>
      </c>
      <c r="Y2062">
        <v>0.109955</v>
      </c>
      <c r="Z2062">
        <v>1.416092E-2</v>
      </c>
      <c r="AA2062">
        <v>0.99383569999999999</v>
      </c>
      <c r="AB2062">
        <v>40</v>
      </c>
      <c r="AC2062">
        <v>-0.51800000000002899</v>
      </c>
      <c r="AD2062">
        <v>-0.2246349</v>
      </c>
      <c r="AE2062">
        <v>9.0500000000019995E-2</v>
      </c>
      <c r="AF2062">
        <v>7.3825308967645095E-2</v>
      </c>
      <c r="AG2062">
        <v>-0.2246349</v>
      </c>
      <c r="AH2062">
        <v>0.43852353123459598</v>
      </c>
      <c r="AI2062">
        <v>116.80037166786801</v>
      </c>
      <c r="AJ2062">
        <v>80.443878490827302</v>
      </c>
      <c r="AK2062">
        <v>0.49821070039556298</v>
      </c>
      <c r="AL2062">
        <v>89.937527418853705</v>
      </c>
      <c r="AM2062">
        <v>93.964724241416903</v>
      </c>
      <c r="AN2062">
        <v>0.99999998424907</v>
      </c>
    </row>
    <row r="2063" spans="1:40" x14ac:dyDescent="0.25">
      <c r="A2063" t="str">
        <f>"20190312151538157"</f>
        <v>20190312151538157</v>
      </c>
      <c r="B2063" t="str">
        <f>"1552374938150105"</f>
        <v>1552374938150105</v>
      </c>
      <c r="C2063" t="s">
        <v>40</v>
      </c>
      <c r="D2063">
        <v>4.4536280000000001</v>
      </c>
      <c r="E2063">
        <v>0.57242399999999904</v>
      </c>
      <c r="F2063" t="s">
        <v>41</v>
      </c>
      <c r="G2063">
        <v>-366.9914</v>
      </c>
      <c r="H2063">
        <v>0.84728719999999902</v>
      </c>
      <c r="I2063">
        <v>283.65120000000002</v>
      </c>
      <c r="J2063">
        <v>-366.44040000000001</v>
      </c>
      <c r="K2063">
        <v>1.109165</v>
      </c>
      <c r="L2063">
        <v>283.54730000000001</v>
      </c>
      <c r="M2063">
        <v>-0.99986509999999995</v>
      </c>
      <c r="N2063">
        <v>0</v>
      </c>
      <c r="O2063">
        <v>6.4379679999999996E-3</v>
      </c>
      <c r="P2063">
        <v>-0.99792190000000003</v>
      </c>
      <c r="Q2063">
        <v>-1.434116E-2</v>
      </c>
      <c r="R2063">
        <v>-6.281987E-2</v>
      </c>
      <c r="S2063">
        <v>-3.0167540000000002</v>
      </c>
      <c r="T2063">
        <v>-0.91802950000000005</v>
      </c>
      <c r="U2063">
        <v>0.37103269999999999</v>
      </c>
      <c r="V2063">
        <v>-6.9243100000000002E-2</v>
      </c>
      <c r="W2063">
        <v>8.0281890000000005E-4</v>
      </c>
      <c r="X2063">
        <v>0.99759949999999997</v>
      </c>
      <c r="Y2063">
        <v>0.111013</v>
      </c>
      <c r="Z2063">
        <v>1.4550169999999999E-2</v>
      </c>
      <c r="AA2063">
        <v>0.99371240000000005</v>
      </c>
      <c r="AB2063">
        <v>40</v>
      </c>
      <c r="AC2063">
        <v>-0.55099999999998694</v>
      </c>
      <c r="AD2063">
        <v>-0.26187779999999999</v>
      </c>
      <c r="AE2063">
        <v>0.10390000000001</v>
      </c>
      <c r="AF2063">
        <v>8.2380310634683304E-2</v>
      </c>
      <c r="AG2063">
        <v>-0.26187779999999999</v>
      </c>
      <c r="AH2063">
        <v>0.45287161335265602</v>
      </c>
      <c r="AI2063">
        <v>119.636600955969</v>
      </c>
      <c r="AJ2063">
        <v>79.690252766042093</v>
      </c>
      <c r="AK2063">
        <v>0.52958398379647498</v>
      </c>
      <c r="AL2063">
        <v>89.954001860693296</v>
      </c>
      <c r="AM2063">
        <v>93.970515808134294</v>
      </c>
      <c r="AN2063">
        <v>1.0000000069080199</v>
      </c>
    </row>
    <row r="2064" spans="1:40" x14ac:dyDescent="0.25">
      <c r="A2064" t="str">
        <f>"20190312151538170"</f>
        <v>20190312151538170</v>
      </c>
      <c r="B2064" t="str">
        <f>"1552374938159864"</f>
        <v>1552374938159864</v>
      </c>
      <c r="C2064" t="s">
        <v>40</v>
      </c>
      <c r="D2064">
        <v>4.488073</v>
      </c>
      <c r="E2064">
        <v>0.57256799999999997</v>
      </c>
      <c r="F2064" t="s">
        <v>41</v>
      </c>
      <c r="G2064">
        <v>-367.3408</v>
      </c>
      <c r="H2064">
        <v>0.82809759999999999</v>
      </c>
      <c r="I2064">
        <v>283.65809999999999</v>
      </c>
      <c r="J2064">
        <v>-366.67869999999999</v>
      </c>
      <c r="K2064">
        <v>1.109164</v>
      </c>
      <c r="L2064">
        <v>283.54899999999998</v>
      </c>
      <c r="M2064">
        <v>-0.99986390000000003</v>
      </c>
      <c r="N2064">
        <v>0</v>
      </c>
      <c r="O2064">
        <v>6.6377619999999898E-3</v>
      </c>
      <c r="P2064">
        <v>-0.99791189999999996</v>
      </c>
      <c r="Q2064">
        <v>-1.446686E-2</v>
      </c>
      <c r="R2064">
        <v>-6.2952579999999994E-2</v>
      </c>
      <c r="S2064">
        <v>-3.0159609999999999</v>
      </c>
      <c r="T2064">
        <v>-0.94148120000000002</v>
      </c>
      <c r="U2064">
        <v>0.36984250000000002</v>
      </c>
      <c r="V2064">
        <v>-6.9575139999999994E-2</v>
      </c>
      <c r="W2064">
        <v>6.745497E-4</v>
      </c>
      <c r="X2064">
        <v>0.99757649999999998</v>
      </c>
      <c r="Y2064">
        <v>0.1102655</v>
      </c>
      <c r="Z2064">
        <v>1.4735150000000001E-2</v>
      </c>
      <c r="AA2064">
        <v>0.99379300000000004</v>
      </c>
      <c r="AB2064">
        <v>40</v>
      </c>
      <c r="AC2064">
        <v>-0.66210000000000901</v>
      </c>
      <c r="AD2064">
        <v>-0.28106639999999899</v>
      </c>
      <c r="AE2064">
        <v>0.109099999999955</v>
      </c>
      <c r="AF2064">
        <v>8.9074702502096204E-2</v>
      </c>
      <c r="AG2064">
        <v>-0.28106639999999899</v>
      </c>
      <c r="AH2064">
        <v>0.56388076066110204</v>
      </c>
      <c r="AI2064">
        <v>116.21309895682499</v>
      </c>
      <c r="AJ2064">
        <v>81.023318859583199</v>
      </c>
      <c r="AK2064">
        <v>0.63631292307994203</v>
      </c>
      <c r="AL2064">
        <v>89.9613511467374</v>
      </c>
      <c r="AM2064">
        <v>93.989585889666898</v>
      </c>
      <c r="AN2064">
        <v>1.0000000142377801</v>
      </c>
    </row>
    <row r="2065" spans="1:40" x14ac:dyDescent="0.25">
      <c r="A2065" t="str">
        <f>"20190312151538184"</f>
        <v>20190312151538184</v>
      </c>
      <c r="B2065" t="str">
        <f>"1552374938179384"</f>
        <v>1552374938179384</v>
      </c>
      <c r="C2065" t="s">
        <v>40</v>
      </c>
      <c r="D2065">
        <v>4.4634199999999904</v>
      </c>
      <c r="E2065">
        <v>0.57245389999999996</v>
      </c>
      <c r="F2065" t="s">
        <v>41</v>
      </c>
      <c r="G2065">
        <v>-367.36680000000001</v>
      </c>
      <c r="H2065">
        <v>0.89272359999999995</v>
      </c>
      <c r="I2065">
        <v>283.63400000000001</v>
      </c>
      <c r="J2065">
        <v>-366.90120000000002</v>
      </c>
      <c r="K2065">
        <v>1.109165</v>
      </c>
      <c r="L2065">
        <v>283.55059999999997</v>
      </c>
      <c r="M2065">
        <v>-0.99986260000000005</v>
      </c>
      <c r="N2065">
        <v>0</v>
      </c>
      <c r="O2065">
        <v>6.8247409999999996E-3</v>
      </c>
      <c r="P2065">
        <v>-0.99790219999999996</v>
      </c>
      <c r="Q2065">
        <v>-1.470668E-2</v>
      </c>
      <c r="R2065">
        <v>-6.3048170000000001E-2</v>
      </c>
      <c r="S2065">
        <v>-3.01593</v>
      </c>
      <c r="T2065">
        <v>-0.94867559999999995</v>
      </c>
      <c r="U2065">
        <v>0.37091059999999998</v>
      </c>
      <c r="V2065">
        <v>-6.9858169999999997E-2</v>
      </c>
      <c r="W2065">
        <v>4.3136280000000002E-4</v>
      </c>
      <c r="X2065">
        <v>0.99755689999999997</v>
      </c>
      <c r="Y2065">
        <v>0.1103595</v>
      </c>
      <c r="Z2065">
        <v>1.4799629999999999E-2</v>
      </c>
      <c r="AA2065">
        <v>0.99378160000000004</v>
      </c>
      <c r="AB2065">
        <v>40</v>
      </c>
      <c r="AC2065">
        <v>-0.46559999999999402</v>
      </c>
      <c r="AD2065">
        <v>-0.21644139999999901</v>
      </c>
      <c r="AE2065">
        <v>8.3400000000040095E-2</v>
      </c>
      <c r="AF2065">
        <v>6.6331483369516303E-2</v>
      </c>
      <c r="AG2065">
        <v>-0.21644139999999901</v>
      </c>
      <c r="AH2065">
        <v>0.38545177791833402</v>
      </c>
      <c r="AI2065">
        <v>118.959799501993</v>
      </c>
      <c r="AJ2065">
        <v>80.235742180922799</v>
      </c>
      <c r="AK2065">
        <v>0.44701210097755201</v>
      </c>
      <c r="AL2065">
        <v>89.975284732821706</v>
      </c>
      <c r="AM2065">
        <v>94.005841150562901</v>
      </c>
      <c r="AN2065">
        <v>1.00000005936361</v>
      </c>
    </row>
    <row r="2066" spans="1:40" x14ac:dyDescent="0.25">
      <c r="A2066" t="str">
        <f>"20190312151538196"</f>
        <v>20190312151538196</v>
      </c>
      <c r="B2066" t="str">
        <f>"1552374938190121"</f>
        <v>1552374938190121</v>
      </c>
      <c r="C2066" t="s">
        <v>40</v>
      </c>
      <c r="D2066">
        <v>4.4699939999999998</v>
      </c>
      <c r="E2066">
        <v>0.57230109999999901</v>
      </c>
      <c r="F2066" t="s">
        <v>41</v>
      </c>
      <c r="G2066">
        <v>-367.70749999999998</v>
      </c>
      <c r="H2066">
        <v>0.85302099999999903</v>
      </c>
      <c r="I2066">
        <v>283.6499</v>
      </c>
      <c r="J2066">
        <v>-367.14690000000002</v>
      </c>
      <c r="K2066">
        <v>1.1091660000000001</v>
      </c>
      <c r="L2066">
        <v>283.55250000000001</v>
      </c>
      <c r="M2066">
        <v>-0.99986120000000001</v>
      </c>
      <c r="N2066">
        <v>0</v>
      </c>
      <c r="O2066">
        <v>7.0312119999999898E-3</v>
      </c>
      <c r="P2066">
        <v>-0.99789799999999995</v>
      </c>
      <c r="Q2066">
        <v>-1.4935810000000001E-2</v>
      </c>
      <c r="R2066">
        <v>-6.3061160000000005E-2</v>
      </c>
      <c r="S2066">
        <v>-3.0155639999999999</v>
      </c>
      <c r="T2066">
        <v>-0.95797129999999997</v>
      </c>
      <c r="U2066">
        <v>0.36984250000000002</v>
      </c>
      <c r="V2066">
        <v>-7.00765E-2</v>
      </c>
      <c r="W2066">
        <v>1.9914309999999999E-4</v>
      </c>
      <c r="X2066">
        <v>0.99754160000000003</v>
      </c>
      <c r="Y2066">
        <v>0.1097648</v>
      </c>
      <c r="Z2066">
        <v>1.478432E-2</v>
      </c>
      <c r="AA2066">
        <v>0.99384760000000005</v>
      </c>
      <c r="AB2066">
        <v>40</v>
      </c>
      <c r="AC2066">
        <v>-0.56059999999996502</v>
      </c>
      <c r="AD2066">
        <v>-0.25614500000000001</v>
      </c>
      <c r="AE2066">
        <v>9.73999999999932E-2</v>
      </c>
      <c r="AF2066">
        <v>7.7707837309252403E-2</v>
      </c>
      <c r="AG2066">
        <v>-0.25614500000000001</v>
      </c>
      <c r="AH2066">
        <v>0.46669469269771502</v>
      </c>
      <c r="AI2066">
        <v>118.43091617464</v>
      </c>
      <c r="AJ2066">
        <v>80.546590453648705</v>
      </c>
      <c r="AK2066">
        <v>0.53800809027048702</v>
      </c>
      <c r="AL2066">
        <v>89.988589940771007</v>
      </c>
      <c r="AM2066">
        <v>94.018381216643107</v>
      </c>
      <c r="AN2066">
        <v>0.99999999962039199</v>
      </c>
    </row>
    <row r="2067" spans="1:40" x14ac:dyDescent="0.25">
      <c r="A2067" t="str">
        <f>"20190312151538209"</f>
        <v>20190312151538209</v>
      </c>
      <c r="B2067" t="str">
        <f>"1552374938199880"</f>
        <v>1552374938199880</v>
      </c>
      <c r="C2067" t="s">
        <v>40</v>
      </c>
      <c r="D2067">
        <v>4.4827260000000004</v>
      </c>
      <c r="E2067">
        <v>0.57240899999999995</v>
      </c>
      <c r="F2067" t="s">
        <v>41</v>
      </c>
      <c r="G2067">
        <v>-368.05090000000001</v>
      </c>
      <c r="H2067">
        <v>0.82096740000000001</v>
      </c>
      <c r="I2067">
        <v>283.66359999999997</v>
      </c>
      <c r="J2067">
        <v>-367.37189999999998</v>
      </c>
      <c r="K2067">
        <v>1.10917</v>
      </c>
      <c r="L2067">
        <v>283.55419999999998</v>
      </c>
      <c r="M2067">
        <v>-0.99985990000000002</v>
      </c>
      <c r="N2067">
        <v>0</v>
      </c>
      <c r="O2067">
        <v>7.2203959999999996E-3</v>
      </c>
      <c r="P2067">
        <v>-0.99788670000000002</v>
      </c>
      <c r="Q2067">
        <v>-1.5070460000000001E-2</v>
      </c>
      <c r="R2067">
        <v>-6.3207280000000005E-2</v>
      </c>
      <c r="S2067">
        <v>-3.0152589999999999</v>
      </c>
      <c r="T2067">
        <v>-0.96114840000000001</v>
      </c>
      <c r="U2067">
        <v>0.36883539999999998</v>
      </c>
      <c r="V2067">
        <v>-7.0411849999999998E-2</v>
      </c>
      <c r="W2067" s="1">
        <v>6.2028759999999995E-5</v>
      </c>
      <c r="X2067">
        <v>0.99751800000000002</v>
      </c>
      <c r="Y2067">
        <v>0.1092622</v>
      </c>
      <c r="Z2067">
        <v>1.4696219999999999E-2</v>
      </c>
      <c r="AA2067">
        <v>0.99390429999999996</v>
      </c>
      <c r="AB2067">
        <v>40</v>
      </c>
      <c r="AC2067">
        <v>-0.67900000000003002</v>
      </c>
      <c r="AD2067">
        <v>-0.28820259999999898</v>
      </c>
      <c r="AE2067">
        <v>0.109399999999993</v>
      </c>
      <c r="AF2067">
        <v>8.8885576846165507E-2</v>
      </c>
      <c r="AG2067">
        <v>-0.28820259999999898</v>
      </c>
      <c r="AH2067">
        <v>0.57823403959007103</v>
      </c>
      <c r="AI2067">
        <v>116.226343890652</v>
      </c>
      <c r="AJ2067">
        <v>81.260953011885206</v>
      </c>
      <c r="AK2067">
        <v>0.65216254795770601</v>
      </c>
      <c r="AL2067">
        <v>89.996446013828404</v>
      </c>
      <c r="AM2067">
        <v>94.037642877189995</v>
      </c>
      <c r="AN2067">
        <v>0.99999999639599402</v>
      </c>
    </row>
    <row r="2068" spans="1:40" x14ac:dyDescent="0.25">
      <c r="A2068" t="str">
        <f>"20190312151538225"</f>
        <v>20190312151538225</v>
      </c>
      <c r="B2068" t="str">
        <f>"1552374938219401"</f>
        <v>1552374938219401</v>
      </c>
      <c r="C2068" t="s">
        <v>40</v>
      </c>
      <c r="D2068">
        <v>4.4943150000000003</v>
      </c>
      <c r="E2068">
        <v>0.57254859999999996</v>
      </c>
      <c r="F2068" t="s">
        <v>41</v>
      </c>
      <c r="G2068">
        <v>-368.07639999999998</v>
      </c>
      <c r="H2068">
        <v>0.88395919999999895</v>
      </c>
      <c r="I2068">
        <v>283.64089999999999</v>
      </c>
      <c r="J2068">
        <v>-367.64940000000001</v>
      </c>
      <c r="K2068">
        <v>1.109167</v>
      </c>
      <c r="L2068">
        <v>283.5564</v>
      </c>
      <c r="M2068">
        <v>-0.99985820000000003</v>
      </c>
      <c r="N2068">
        <v>0</v>
      </c>
      <c r="O2068">
        <v>7.45351E-3</v>
      </c>
      <c r="P2068">
        <v>-0.99788399999999999</v>
      </c>
      <c r="Q2068">
        <v>-1.569212E-2</v>
      </c>
      <c r="R2068">
        <v>-6.3096929999999996E-2</v>
      </c>
      <c r="S2068">
        <v>-3.0151669999999999</v>
      </c>
      <c r="T2068">
        <v>-0.96395900000000001</v>
      </c>
      <c r="U2068">
        <v>0.36901859999999997</v>
      </c>
      <c r="V2068">
        <v>-7.0534550000000001E-2</v>
      </c>
      <c r="W2068">
        <v>-5.6302839999999995E-4</v>
      </c>
      <c r="X2068">
        <v>0.99750919999999998</v>
      </c>
      <c r="Y2068">
        <v>0.1090851</v>
      </c>
      <c r="Z2068">
        <v>1.4637570000000001E-2</v>
      </c>
      <c r="AA2068">
        <v>0.99392460000000005</v>
      </c>
      <c r="AB2068">
        <v>40</v>
      </c>
      <c r="AC2068">
        <v>-0.42699999999996402</v>
      </c>
      <c r="AD2068">
        <v>-0.22520780000000001</v>
      </c>
      <c r="AE2068">
        <v>8.4499999999991304E-2</v>
      </c>
      <c r="AF2068">
        <v>6.4144072906647101E-2</v>
      </c>
      <c r="AG2068">
        <v>-0.22520780000000001</v>
      </c>
      <c r="AH2068">
        <v>0.33732132223374001</v>
      </c>
      <c r="AI2068">
        <v>123.26018168252099</v>
      </c>
      <c r="AJ2068">
        <v>79.233340943068001</v>
      </c>
      <c r="AK2068">
        <v>0.41063206122197998</v>
      </c>
      <c r="AL2068">
        <v>90.032259152063403</v>
      </c>
      <c r="AM2068">
        <v>94.044691123274902</v>
      </c>
      <c r="AN2068">
        <v>1.0000000219146601</v>
      </c>
    </row>
    <row r="2069" spans="1:40" x14ac:dyDescent="0.25">
      <c r="A2069" t="str">
        <f>"20190312151538239"</f>
        <v>20190312151538239</v>
      </c>
      <c r="B2069" t="str">
        <f>"1552374938230137"</f>
        <v>1552374938230137</v>
      </c>
      <c r="C2069" t="s">
        <v>40</v>
      </c>
      <c r="D2069">
        <v>4.5010960000000004</v>
      </c>
      <c r="E2069">
        <v>0.57260469999999997</v>
      </c>
      <c r="F2069" t="s">
        <v>41</v>
      </c>
      <c r="G2069">
        <v>-368.42270000000002</v>
      </c>
      <c r="H2069">
        <v>0.860375</v>
      </c>
      <c r="I2069">
        <v>283.65129999999999</v>
      </c>
      <c r="J2069">
        <v>-367.89249999999998</v>
      </c>
      <c r="K2069">
        <v>1.1091679999999999</v>
      </c>
      <c r="L2069">
        <v>283.55840000000001</v>
      </c>
      <c r="M2069">
        <v>-0.99985670000000004</v>
      </c>
      <c r="N2069">
        <v>0</v>
      </c>
      <c r="O2069">
        <v>7.6577169999999996E-3</v>
      </c>
      <c r="P2069">
        <v>-0.99789240000000001</v>
      </c>
      <c r="Q2069">
        <v>-1.598082E-2</v>
      </c>
      <c r="R2069">
        <v>-6.2891680000000005E-2</v>
      </c>
      <c r="S2069">
        <v>-3.014465</v>
      </c>
      <c r="T2069">
        <v>-0.96982849999999998</v>
      </c>
      <c r="U2069">
        <v>0.369751</v>
      </c>
      <c r="V2069">
        <v>-7.0533100000000001E-2</v>
      </c>
      <c r="W2069">
        <v>-8.5465050000000005E-4</v>
      </c>
      <c r="X2069">
        <v>0.99750910000000004</v>
      </c>
      <c r="Y2069">
        <v>0.1090961</v>
      </c>
      <c r="Z2069">
        <v>1.466338E-2</v>
      </c>
      <c r="AA2069">
        <v>0.99392309999999995</v>
      </c>
      <c r="AB2069">
        <v>40</v>
      </c>
      <c r="AC2069">
        <v>-0.53020000000003598</v>
      </c>
      <c r="AD2069">
        <v>-0.24879299999999999</v>
      </c>
      <c r="AE2069">
        <v>9.2899999999985994E-2</v>
      </c>
      <c r="AF2069">
        <v>7.3199097809965002E-2</v>
      </c>
      <c r="AG2069">
        <v>-0.24879299999999999</v>
      </c>
      <c r="AH2069">
        <v>0.43744429109877198</v>
      </c>
      <c r="AI2069">
        <v>119.28994131047899</v>
      </c>
      <c r="AJ2069">
        <v>80.500505972139095</v>
      </c>
      <c r="AK2069">
        <v>0.50854063021955298</v>
      </c>
      <c r="AL2069">
        <v>90.048967871267294</v>
      </c>
      <c r="AM2069">
        <v>94.044608655421499</v>
      </c>
      <c r="AN2069">
        <v>1.0000000266029401</v>
      </c>
    </row>
    <row r="2070" spans="1:40" x14ac:dyDescent="0.25">
      <c r="A2070" t="str">
        <f>"20190312151538259"</f>
        <v>20190312151538259</v>
      </c>
      <c r="B2070" t="str">
        <f>"1552374938249348"</f>
        <v>1552374938249348</v>
      </c>
      <c r="C2070" t="s">
        <v>40</v>
      </c>
      <c r="D2070">
        <v>4.5120149999999999</v>
      </c>
      <c r="E2070">
        <v>0.57260800000000001</v>
      </c>
      <c r="F2070" t="s">
        <v>41</v>
      </c>
      <c r="G2070">
        <v>-368.76499999999999</v>
      </c>
      <c r="H2070">
        <v>0.82760299999999998</v>
      </c>
      <c r="I2070">
        <v>283.66629999999998</v>
      </c>
      <c r="J2070">
        <v>-368.23790000000002</v>
      </c>
      <c r="K2070">
        <v>1.109167</v>
      </c>
      <c r="L2070">
        <v>283.56119999999999</v>
      </c>
      <c r="M2070">
        <v>-0.99985449999999998</v>
      </c>
      <c r="N2070">
        <v>0</v>
      </c>
      <c r="O2070">
        <v>7.9477579999999992E-3</v>
      </c>
      <c r="P2070">
        <v>-0.9978726</v>
      </c>
      <c r="Q2070">
        <v>-1.6446530000000001E-2</v>
      </c>
      <c r="R2070">
        <v>-6.3087019999999994E-2</v>
      </c>
      <c r="S2070">
        <v>-3.0141300000000002</v>
      </c>
      <c r="T2070">
        <v>-0.97262599999999999</v>
      </c>
      <c r="U2070">
        <v>0.3710022</v>
      </c>
      <c r="V2070">
        <v>-7.1017759999999999E-2</v>
      </c>
      <c r="W2070">
        <v>-1.3245329999999999E-3</v>
      </c>
      <c r="X2070">
        <v>0.99747419999999998</v>
      </c>
      <c r="Y2070">
        <v>0.1092075</v>
      </c>
      <c r="Z2070">
        <v>1.4631379999999999E-2</v>
      </c>
      <c r="AA2070">
        <v>0.99391130000000005</v>
      </c>
      <c r="AB2070">
        <v>40</v>
      </c>
      <c r="AC2070">
        <v>-0.52709999999996104</v>
      </c>
      <c r="AD2070">
        <v>-0.28156399999999898</v>
      </c>
      <c r="AE2070">
        <v>0.105099999999993</v>
      </c>
      <c r="AF2070">
        <v>7.9177915702624599E-2</v>
      </c>
      <c r="AG2070">
        <v>-0.28156399999999898</v>
      </c>
      <c r="AH2070">
        <v>0.41423817642541599</v>
      </c>
      <c r="AI2070">
        <v>123.728213527926</v>
      </c>
      <c r="AJ2070">
        <v>79.178947251264404</v>
      </c>
      <c r="AK2070">
        <v>0.50709042116694103</v>
      </c>
      <c r="AL2070">
        <v>90.075890170779999</v>
      </c>
      <c r="AM2070">
        <v>94.072449531936101</v>
      </c>
      <c r="AN2070">
        <v>1.00000002814436</v>
      </c>
    </row>
    <row r="2071" spans="1:40" x14ac:dyDescent="0.25">
      <c r="A2071" t="str">
        <f>"20190312151538282"</f>
        <v>20190312151538282</v>
      </c>
      <c r="B2071" t="str">
        <f>"1552374938269845"</f>
        <v>1552374938269845</v>
      </c>
      <c r="C2071" t="s">
        <v>40</v>
      </c>
      <c r="D2071">
        <v>4.6486799999999997</v>
      </c>
      <c r="E2071">
        <v>0.57280379999999997</v>
      </c>
      <c r="F2071" t="s">
        <v>41</v>
      </c>
      <c r="G2071">
        <v>-369.1182</v>
      </c>
      <c r="H2071">
        <v>0.82283770000000001</v>
      </c>
      <c r="I2071">
        <v>283.66989999999998</v>
      </c>
      <c r="J2071">
        <v>-368.65480000000002</v>
      </c>
      <c r="K2071">
        <v>1.109173</v>
      </c>
      <c r="L2071">
        <v>283.56490000000002</v>
      </c>
      <c r="M2071">
        <v>-0.99985170000000001</v>
      </c>
      <c r="N2071">
        <v>0</v>
      </c>
      <c r="O2071">
        <v>8.2982919999999901E-3</v>
      </c>
      <c r="P2071">
        <v>-0.99786269999999999</v>
      </c>
      <c r="Q2071">
        <v>-1.6883660000000002E-2</v>
      </c>
      <c r="R2071">
        <v>-6.3127320000000001E-2</v>
      </c>
      <c r="S2071">
        <v>-3.0137330000000002</v>
      </c>
      <c r="T2071">
        <v>-0.98020739999999995</v>
      </c>
      <c r="U2071">
        <v>0.37097170000000002</v>
      </c>
      <c r="V2071">
        <v>-7.1408200000000005E-2</v>
      </c>
      <c r="W2071">
        <v>-1.76668299999999E-3</v>
      </c>
      <c r="X2071">
        <v>0.99744560000000004</v>
      </c>
      <c r="Y2071">
        <v>0.1088238</v>
      </c>
      <c r="Z2071">
        <v>1.4570410000000001E-2</v>
      </c>
      <c r="AA2071">
        <v>0.99395420000000001</v>
      </c>
      <c r="AB2071">
        <v>40</v>
      </c>
      <c r="AC2071">
        <v>-0.463399999999978</v>
      </c>
      <c r="AD2071">
        <v>-0.28633530000000001</v>
      </c>
      <c r="AE2071">
        <v>0.104999999999961</v>
      </c>
      <c r="AF2071">
        <v>7.4203149403260296E-2</v>
      </c>
      <c r="AG2071">
        <v>-0.28633530000000001</v>
      </c>
      <c r="AH2071">
        <v>0.34057381197951098</v>
      </c>
      <c r="AI2071">
        <v>129.402147250067</v>
      </c>
      <c r="AJ2071">
        <v>77.708664627804595</v>
      </c>
      <c r="AK2071">
        <v>0.45109259893475101</v>
      </c>
      <c r="AL2071">
        <v>90.101223533449698</v>
      </c>
      <c r="AM2071">
        <v>94.094880021309095</v>
      </c>
      <c r="AN2071">
        <v>0.999999988577711</v>
      </c>
    </row>
    <row r="2072" spans="1:40" x14ac:dyDescent="0.25">
      <c r="A2072" t="str">
        <f>"20190312151538304"</f>
        <v>20190312151538304</v>
      </c>
      <c r="B2072" t="str">
        <f>"1552374938300101"</f>
        <v>1552374938300101</v>
      </c>
      <c r="C2072" t="s">
        <v>40</v>
      </c>
      <c r="D2072">
        <v>4.5109339999999998</v>
      </c>
      <c r="E2072">
        <v>0.58919829999999995</v>
      </c>
      <c r="F2072" t="s">
        <v>41</v>
      </c>
      <c r="G2072">
        <v>-369.47989999999999</v>
      </c>
      <c r="H2072">
        <v>0.84017319999999995</v>
      </c>
      <c r="I2072">
        <v>283.66719999999998</v>
      </c>
      <c r="J2072">
        <v>-369.03370000000001</v>
      </c>
      <c r="K2072">
        <v>1.1091679999999999</v>
      </c>
      <c r="L2072">
        <v>283.5684</v>
      </c>
      <c r="M2072">
        <v>-0.99984910000000005</v>
      </c>
      <c r="N2072">
        <v>0</v>
      </c>
      <c r="O2072">
        <v>8.6169369999999999E-3</v>
      </c>
      <c r="P2072">
        <v>-0.99787519999999996</v>
      </c>
      <c r="Q2072">
        <v>-1.7401690000000001E-2</v>
      </c>
      <c r="R2072">
        <v>-6.278976E-2</v>
      </c>
      <c r="S2072">
        <v>-3.0133670000000001</v>
      </c>
      <c r="T2072">
        <v>-0.98235260000000002</v>
      </c>
      <c r="U2072">
        <v>0.37271120000000002</v>
      </c>
      <c r="V2072">
        <v>-7.1389099999999997E-2</v>
      </c>
      <c r="W2072">
        <v>-2.2894E-3</v>
      </c>
      <c r="X2072">
        <v>0.9974459</v>
      </c>
      <c r="Y2072">
        <v>0.10906830000000001</v>
      </c>
      <c r="Z2072">
        <v>1.4539760000000001E-2</v>
      </c>
      <c r="AA2072">
        <v>0.99392789999999998</v>
      </c>
      <c r="AB2072">
        <v>40</v>
      </c>
      <c r="AC2072">
        <v>-0.446199999999976</v>
      </c>
      <c r="AD2072">
        <v>-0.26899479999999998</v>
      </c>
      <c r="AE2072">
        <v>9.8799999999982901E-2</v>
      </c>
      <c r="AF2072">
        <v>7.0519505620174894E-2</v>
      </c>
      <c r="AG2072">
        <v>-0.26899479999999998</v>
      </c>
      <c r="AH2072">
        <v>0.33200991422528198</v>
      </c>
      <c r="AI2072">
        <v>128.397570745254</v>
      </c>
      <c r="AJ2072">
        <v>78.008483786319999</v>
      </c>
      <c r="AK2072">
        <v>0.433084040624719</v>
      </c>
      <c r="AL2072">
        <v>90.131173074278706</v>
      </c>
      <c r="AM2072">
        <v>94.093787235310899</v>
      </c>
      <c r="AN2072">
        <v>0.99999998418898906</v>
      </c>
    </row>
    <row r="2073" spans="1:40" x14ac:dyDescent="0.25">
      <c r="A2073" t="str">
        <f>"20190312151538326"</f>
        <v>20190312151538326</v>
      </c>
      <c r="B2073" t="str">
        <f>"1552374938319620"</f>
        <v>1552374938319620</v>
      </c>
      <c r="C2073" t="s">
        <v>40</v>
      </c>
      <c r="D2073">
        <v>4.5084580000000001</v>
      </c>
      <c r="E2073">
        <v>0.58935930000000003</v>
      </c>
      <c r="F2073" t="s">
        <v>41</v>
      </c>
      <c r="G2073">
        <v>-369.83249999999998</v>
      </c>
      <c r="H2073">
        <v>0.83486959999999999</v>
      </c>
      <c r="I2073">
        <v>283.70159999999998</v>
      </c>
      <c r="J2073">
        <v>-369.43450000000001</v>
      </c>
      <c r="K2073">
        <v>1.109167</v>
      </c>
      <c r="L2073">
        <v>283.57209999999998</v>
      </c>
      <c r="M2073">
        <v>-0.99984629999999997</v>
      </c>
      <c r="N2073">
        <v>0</v>
      </c>
      <c r="O2073">
        <v>8.9542990000000006E-3</v>
      </c>
      <c r="P2073">
        <v>-0.99787910000000002</v>
      </c>
      <c r="Q2073">
        <v>-1.7807170000000001E-2</v>
      </c>
      <c r="R2073">
        <v>-6.2614820000000002E-2</v>
      </c>
      <c r="S2073">
        <v>-3.0199579999999999</v>
      </c>
      <c r="T2073">
        <v>-1.0371060000000001</v>
      </c>
      <c r="U2073">
        <v>0.50311279999999903</v>
      </c>
      <c r="V2073">
        <v>-7.1551199999999995E-2</v>
      </c>
      <c r="W2073">
        <v>-2.6998059999999999E-3</v>
      </c>
      <c r="X2073">
        <v>0.99743320000000002</v>
      </c>
      <c r="Y2073">
        <v>0.14774689999999999</v>
      </c>
      <c r="Z2073">
        <v>2.153683E-2</v>
      </c>
      <c r="AA2073">
        <v>0.98879070000000002</v>
      </c>
      <c r="AB2073">
        <v>40</v>
      </c>
      <c r="AC2073">
        <v>-0.39799999999996699</v>
      </c>
      <c r="AD2073">
        <v>-0.27429740000000002</v>
      </c>
      <c r="AE2073">
        <v>0.129500000000007</v>
      </c>
      <c r="AF2073">
        <v>8.8093546389071298E-2</v>
      </c>
      <c r="AG2073">
        <v>-0.27429740000000002</v>
      </c>
      <c r="AH2073">
        <v>0.279217213723367</v>
      </c>
      <c r="AI2073">
        <v>133.132801986375</v>
      </c>
      <c r="AJ2073">
        <v>72.489418316890493</v>
      </c>
      <c r="AK2073">
        <v>0.40120043494692698</v>
      </c>
      <c r="AL2073">
        <v>90.154687688698004</v>
      </c>
      <c r="AM2073">
        <v>94.103103165574296</v>
      </c>
      <c r="AN2073">
        <v>0.99999992581805597</v>
      </c>
    </row>
    <row r="2074" spans="1:40" x14ac:dyDescent="0.25">
      <c r="A2074" t="str">
        <f>"20190312151538347"</f>
        <v>20190312151538347</v>
      </c>
      <c r="B2074" t="str">
        <f>"1552374938339140"</f>
        <v>1552374938339140</v>
      </c>
      <c r="C2074" t="s">
        <v>40</v>
      </c>
      <c r="D2074">
        <v>4.5045250000000001</v>
      </c>
      <c r="E2074">
        <v>0.58951500000000001</v>
      </c>
      <c r="F2074" t="s">
        <v>41</v>
      </c>
      <c r="G2074">
        <v>-370.19200000000001</v>
      </c>
      <c r="H2074">
        <v>0.84890080000000001</v>
      </c>
      <c r="I2074">
        <v>283.69909999999999</v>
      </c>
      <c r="J2074">
        <v>-369.81470000000002</v>
      </c>
      <c r="K2074">
        <v>1.1091679999999999</v>
      </c>
      <c r="L2074">
        <v>283.57580000000002</v>
      </c>
      <c r="M2074">
        <v>-0.9998435</v>
      </c>
      <c r="N2074">
        <v>0</v>
      </c>
      <c r="O2074">
        <v>9.2744920000000005E-3</v>
      </c>
      <c r="P2074">
        <v>-0.99787859999999995</v>
      </c>
      <c r="Q2074">
        <v>-1.833363E-2</v>
      </c>
      <c r="R2074">
        <v>-6.2471270000000002E-2</v>
      </c>
      <c r="S2074">
        <v>-3.0195620000000001</v>
      </c>
      <c r="T2074">
        <v>-1.0374049999999999</v>
      </c>
      <c r="U2074">
        <v>0.50512699999999999</v>
      </c>
      <c r="V2074">
        <v>-7.1727070000000004E-2</v>
      </c>
      <c r="W2074">
        <v>-3.2306209999999999E-3</v>
      </c>
      <c r="X2074">
        <v>0.9974191</v>
      </c>
      <c r="Y2074">
        <v>0.148087</v>
      </c>
      <c r="Z2074">
        <v>2.1494490000000002E-2</v>
      </c>
      <c r="AA2074">
        <v>0.98874070000000003</v>
      </c>
      <c r="AB2074">
        <v>40</v>
      </c>
      <c r="AC2074">
        <v>-0.37729999999993402</v>
      </c>
      <c r="AD2074">
        <v>-0.26026719999999898</v>
      </c>
      <c r="AE2074">
        <v>0.123299999999972</v>
      </c>
      <c r="AF2074">
        <v>8.3776841101102104E-2</v>
      </c>
      <c r="AG2074">
        <v>-0.26026719999999898</v>
      </c>
      <c r="AH2074">
        <v>0.26464749896779499</v>
      </c>
      <c r="AI2074">
        <v>133.155188425642</v>
      </c>
      <c r="AJ2074">
        <v>72.434290271176707</v>
      </c>
      <c r="AK2074">
        <v>0.380520529289325</v>
      </c>
      <c r="AL2074">
        <v>90.185101263960803</v>
      </c>
      <c r="AM2074">
        <v>94.113211803819098</v>
      </c>
      <c r="AN2074">
        <v>1.0000000352638101</v>
      </c>
    </row>
    <row r="2075" spans="1:40" x14ac:dyDescent="0.25">
      <c r="A2075" t="str">
        <f>"20190312151538371"</f>
        <v>20190312151538371</v>
      </c>
      <c r="B2075" t="str">
        <f>"1552374938359636"</f>
        <v>1552374938359636</v>
      </c>
      <c r="C2075" t="s">
        <v>40</v>
      </c>
      <c r="D2075">
        <v>4.5439239999999996</v>
      </c>
      <c r="E2075">
        <v>0.58967169999999902</v>
      </c>
      <c r="F2075" t="s">
        <v>41</v>
      </c>
      <c r="G2075">
        <v>-370.5487</v>
      </c>
      <c r="H2075">
        <v>0.85682459999999905</v>
      </c>
      <c r="I2075">
        <v>283.6995</v>
      </c>
      <c r="J2075">
        <v>-370.22129999999999</v>
      </c>
      <c r="K2075">
        <v>1.109164</v>
      </c>
      <c r="L2075">
        <v>283.57990000000001</v>
      </c>
      <c r="M2075">
        <v>-0.99984019999999996</v>
      </c>
      <c r="N2075">
        <v>0</v>
      </c>
      <c r="O2075">
        <v>9.6173879999999993E-3</v>
      </c>
      <c r="P2075">
        <v>-0.99789479999999997</v>
      </c>
      <c r="Q2075">
        <v>-1.8952650000000001E-2</v>
      </c>
      <c r="R2075">
        <v>-6.2023330000000002E-2</v>
      </c>
      <c r="S2075">
        <v>-3.019012</v>
      </c>
      <c r="T2075">
        <v>-1.0378369999999999</v>
      </c>
      <c r="U2075">
        <v>0.507019</v>
      </c>
      <c r="V2075">
        <v>-7.1622279999999997E-2</v>
      </c>
      <c r="W2075">
        <v>-3.8540990000000002E-3</v>
      </c>
      <c r="X2075">
        <v>0.99742439999999999</v>
      </c>
      <c r="Y2075">
        <v>0.14837539999999999</v>
      </c>
      <c r="Z2075">
        <v>2.1439659999999999E-2</v>
      </c>
      <c r="AA2075">
        <v>0.98869870000000004</v>
      </c>
      <c r="AB2075">
        <v>40</v>
      </c>
      <c r="AC2075">
        <v>-0.32740000000001102</v>
      </c>
      <c r="AD2075">
        <v>-0.25233939999999999</v>
      </c>
      <c r="AE2075">
        <v>0.11959999999999101</v>
      </c>
      <c r="AF2075">
        <v>7.6402844312632001E-2</v>
      </c>
      <c r="AG2075">
        <v>-0.25233939999999999</v>
      </c>
      <c r="AH2075">
        <v>0.21556051678787699</v>
      </c>
      <c r="AI2075">
        <v>137.81337400079099</v>
      </c>
      <c r="AJ2075">
        <v>70.483737724572407</v>
      </c>
      <c r="AK2075">
        <v>0.34055675563593901</v>
      </c>
      <c r="AL2075">
        <v>90.220824148935193</v>
      </c>
      <c r="AM2075">
        <v>94.107201417995</v>
      </c>
      <c r="AN2075">
        <v>1.00000001939343</v>
      </c>
    </row>
    <row r="2076" spans="1:40" x14ac:dyDescent="0.25">
      <c r="A2076" t="str">
        <f>"20190312151538384"</f>
        <v>20190312151538384</v>
      </c>
      <c r="B2076" t="str">
        <f>"1552374938380133"</f>
        <v>1552374938380133</v>
      </c>
      <c r="C2076" t="s">
        <v>40</v>
      </c>
      <c r="D2076">
        <v>4.507822</v>
      </c>
      <c r="E2076">
        <v>0.58982040000000002</v>
      </c>
      <c r="F2076" t="s">
        <v>41</v>
      </c>
      <c r="G2076">
        <v>-370.90820000000002</v>
      </c>
      <c r="H2076">
        <v>0.87279810000000002</v>
      </c>
      <c r="I2076">
        <v>283.69639999999998</v>
      </c>
      <c r="J2076">
        <v>-370.4529</v>
      </c>
      <c r="K2076">
        <v>1.109164</v>
      </c>
      <c r="L2076">
        <v>283.58229999999998</v>
      </c>
      <c r="M2076">
        <v>-0.99983840000000002</v>
      </c>
      <c r="N2076">
        <v>0</v>
      </c>
      <c r="O2076">
        <v>9.8128309999999993E-3</v>
      </c>
      <c r="P2076">
        <v>-0.99790299999999998</v>
      </c>
      <c r="Q2076">
        <v>-1.9059650000000001E-2</v>
      </c>
      <c r="R2076">
        <v>-6.1857429999999998E-2</v>
      </c>
      <c r="S2076">
        <v>-3.0182799999999999</v>
      </c>
      <c r="T2076">
        <v>-1.0385040000000001</v>
      </c>
      <c r="U2076">
        <v>0.50976560000000004</v>
      </c>
      <c r="V2076">
        <v>-7.1651740000000005E-2</v>
      </c>
      <c r="W2076">
        <v>-3.963556E-3</v>
      </c>
      <c r="X2076">
        <v>0.99742189999999997</v>
      </c>
      <c r="Y2076">
        <v>0.149057299999999</v>
      </c>
      <c r="Z2076">
        <v>2.1504450000000001E-2</v>
      </c>
      <c r="AA2076">
        <v>0.98859470000000005</v>
      </c>
      <c r="AB2076">
        <v>40</v>
      </c>
      <c r="AC2076">
        <v>-0.45530000000002202</v>
      </c>
      <c r="AD2076">
        <v>-0.23636589999999999</v>
      </c>
      <c r="AE2076">
        <v>0.114100000000007</v>
      </c>
      <c r="AF2076">
        <v>8.7450236394105804E-2</v>
      </c>
      <c r="AG2076">
        <v>-0.23636589999999999</v>
      </c>
      <c r="AH2076">
        <v>0.36407440443056199</v>
      </c>
      <c r="AI2076">
        <v>122.262941189022</v>
      </c>
      <c r="AJ2076">
        <v>76.493496959628601</v>
      </c>
      <c r="AK2076">
        <v>0.44279403167800702</v>
      </c>
      <c r="AL2076">
        <v>90.227095610710705</v>
      </c>
      <c r="AM2076">
        <v>94.108895289097902</v>
      </c>
      <c r="AN2076">
        <v>1.0000000641103901</v>
      </c>
    </row>
    <row r="2077" spans="1:40" x14ac:dyDescent="0.25">
      <c r="A2077" t="str">
        <f>"20190312151538397"</f>
        <v>20190312151538397</v>
      </c>
      <c r="B2077" t="str">
        <f>"1552374938389893"</f>
        <v>1552374938389893</v>
      </c>
      <c r="C2077" t="s">
        <v>40</v>
      </c>
      <c r="D2077">
        <v>4.6103009999999998</v>
      </c>
      <c r="E2077">
        <v>0.5900647</v>
      </c>
      <c r="F2077" t="s">
        <v>41</v>
      </c>
      <c r="G2077">
        <v>-371.24639999999999</v>
      </c>
      <c r="H2077">
        <v>0.83658770000000005</v>
      </c>
      <c r="I2077">
        <v>283.71690000000001</v>
      </c>
      <c r="J2077">
        <v>-370.69600000000003</v>
      </c>
      <c r="K2077">
        <v>1.1091610000000001</v>
      </c>
      <c r="L2077">
        <v>283.5849</v>
      </c>
      <c r="M2077">
        <v>-0.99983630000000001</v>
      </c>
      <c r="N2077">
        <v>0</v>
      </c>
      <c r="O2077">
        <v>1.001781E-2</v>
      </c>
      <c r="P2077">
        <v>-0.99790959999999995</v>
      </c>
      <c r="Q2077">
        <v>-1.925783E-2</v>
      </c>
      <c r="R2077">
        <v>-6.1690630000000003E-2</v>
      </c>
      <c r="S2077">
        <v>-3.0182190000000002</v>
      </c>
      <c r="T2077">
        <v>-1.0368109999999999</v>
      </c>
      <c r="U2077">
        <v>0.51153559999999998</v>
      </c>
      <c r="V2077">
        <v>-7.1689249999999996E-2</v>
      </c>
      <c r="W2077">
        <v>-4.1642930000000003E-3</v>
      </c>
      <c r="X2077">
        <v>0.99741829999999998</v>
      </c>
      <c r="Y2077">
        <v>0.1494373</v>
      </c>
      <c r="Z2077">
        <v>2.1465769999999999E-2</v>
      </c>
      <c r="AA2077">
        <v>0.98853809999999998</v>
      </c>
      <c r="AB2077">
        <v>39</v>
      </c>
      <c r="AC2077">
        <v>-0.55040000000002398</v>
      </c>
      <c r="AD2077">
        <v>-0.27257329999999902</v>
      </c>
      <c r="AE2077">
        <v>0.132000000000005</v>
      </c>
      <c r="AF2077">
        <v>0.102668839002441</v>
      </c>
      <c r="AG2077">
        <v>-0.27257329999999902</v>
      </c>
      <c r="AH2077">
        <v>0.44783637196438703</v>
      </c>
      <c r="AI2077">
        <v>120.678721786335</v>
      </c>
      <c r="AJ2077">
        <v>77.087769269930206</v>
      </c>
      <c r="AK2077">
        <v>0.53422327769316003</v>
      </c>
      <c r="AL2077">
        <v>90.238597108517297</v>
      </c>
      <c r="AM2077">
        <v>94.111053727838197</v>
      </c>
      <c r="AN2077">
        <v>0.99999997753832004</v>
      </c>
    </row>
    <row r="2078" spans="1:40" x14ac:dyDescent="0.25">
      <c r="A2078" t="str">
        <f>"20190312151538411"</f>
        <v>20190312151538411</v>
      </c>
      <c r="B2078" t="str">
        <f>"1552374938399653"</f>
        <v>1552374938399653</v>
      </c>
      <c r="C2078" t="s">
        <v>40</v>
      </c>
      <c r="D2078">
        <v>4.4394790000000004</v>
      </c>
      <c r="E2078">
        <v>0.5900647</v>
      </c>
      <c r="F2078" t="s">
        <v>41</v>
      </c>
      <c r="G2078">
        <v>-371.58550000000002</v>
      </c>
      <c r="H2078">
        <v>0.80357339999999999</v>
      </c>
      <c r="I2078">
        <v>283.73680000000002</v>
      </c>
      <c r="J2078">
        <v>-370.93990000000002</v>
      </c>
      <c r="K2078">
        <v>1.1091599999999999</v>
      </c>
      <c r="L2078">
        <v>283.58749999999998</v>
      </c>
      <c r="M2078">
        <v>-0.99983420000000001</v>
      </c>
      <c r="N2078">
        <v>0</v>
      </c>
      <c r="O2078">
        <v>1.022345E-2</v>
      </c>
      <c r="P2078">
        <v>-0.99792550000000002</v>
      </c>
      <c r="Q2078">
        <v>-1.9441369999999999E-2</v>
      </c>
      <c r="R2078">
        <v>-6.1375730000000003E-2</v>
      </c>
      <c r="S2078">
        <v>-3.0180660000000001</v>
      </c>
      <c r="T2078">
        <v>-1.036821</v>
      </c>
      <c r="U2078">
        <v>0.51416019999999996</v>
      </c>
      <c r="V2078">
        <v>-7.1579799999999999E-2</v>
      </c>
      <c r="W2078">
        <v>-4.3503159999999999E-3</v>
      </c>
      <c r="X2078">
        <v>0.99742540000000002</v>
      </c>
      <c r="Y2078">
        <v>0.15005550000000001</v>
      </c>
      <c r="Z2078">
        <v>2.1499890000000001E-2</v>
      </c>
      <c r="AA2078">
        <v>0.98844379999999998</v>
      </c>
      <c r="AB2078">
        <v>39</v>
      </c>
      <c r="AC2078">
        <v>-0.64560000000000095</v>
      </c>
      <c r="AD2078">
        <v>-0.30558659999999999</v>
      </c>
      <c r="AE2078">
        <v>0.14930000000003901</v>
      </c>
      <c r="AF2078">
        <v>0.117666528633939</v>
      </c>
      <c r="AG2078">
        <v>-0.30558659999999999</v>
      </c>
      <c r="AH2078">
        <v>0.53360802165972798</v>
      </c>
      <c r="AI2078">
        <v>119.215868144439</v>
      </c>
      <c r="AJ2078">
        <v>77.564648735395394</v>
      </c>
      <c r="AK2078">
        <v>0.62607196298822598</v>
      </c>
      <c r="AL2078">
        <v>90.249255529866502</v>
      </c>
      <c r="AM2078">
        <v>94.104769617443793</v>
      </c>
      <c r="AN2078">
        <v>1.0000000107912499</v>
      </c>
    </row>
    <row r="2079" spans="1:40" x14ac:dyDescent="0.25">
      <c r="A2079" t="str">
        <f>"20190312151538426"</f>
        <v>20190312151538426</v>
      </c>
      <c r="B2079" t="str">
        <f>"1552374938419172"</f>
        <v>1552374938419172</v>
      </c>
      <c r="C2079" t="s">
        <v>40</v>
      </c>
      <c r="D2079">
        <v>4.4450409999999998</v>
      </c>
      <c r="E2079">
        <v>0.59004019999999902</v>
      </c>
      <c r="F2079" t="s">
        <v>41</v>
      </c>
      <c r="G2079">
        <v>-371.61509999999998</v>
      </c>
      <c r="H2079">
        <v>0.87702039999999903</v>
      </c>
      <c r="I2079">
        <v>283.70319999999998</v>
      </c>
      <c r="J2079">
        <v>-371.20069999999998</v>
      </c>
      <c r="K2079">
        <v>1.109162</v>
      </c>
      <c r="L2079">
        <v>283.59039999999999</v>
      </c>
      <c r="M2079">
        <v>-0.99983200000000005</v>
      </c>
      <c r="N2079">
        <v>0</v>
      </c>
      <c r="O2079">
        <v>1.0443330000000001E-2</v>
      </c>
      <c r="P2079">
        <v>-0.99793449999999995</v>
      </c>
      <c r="Q2079">
        <v>-1.979086E-2</v>
      </c>
      <c r="R2079">
        <v>-6.111627E-2</v>
      </c>
      <c r="S2079">
        <v>-3.0177</v>
      </c>
      <c r="T2079">
        <v>-1.0374429999999999</v>
      </c>
      <c r="U2079">
        <v>0.51504519999999998</v>
      </c>
      <c r="V2079">
        <v>-7.1540220000000002E-2</v>
      </c>
      <c r="W2079">
        <v>-4.7026159999999997E-3</v>
      </c>
      <c r="X2079">
        <v>0.99742660000000005</v>
      </c>
      <c r="Y2079">
        <v>0.1501372</v>
      </c>
      <c r="Z2079">
        <v>2.1454640000000001E-2</v>
      </c>
      <c r="AA2079">
        <v>0.98843230000000004</v>
      </c>
      <c r="AB2079">
        <v>39</v>
      </c>
      <c r="AC2079">
        <v>-0.41439999999999999</v>
      </c>
      <c r="AD2079">
        <v>-0.2321416</v>
      </c>
      <c r="AE2079">
        <v>0.112799999999992</v>
      </c>
      <c r="AF2079">
        <v>8.3941176762995395E-2</v>
      </c>
      <c r="AG2079">
        <v>-0.2321416</v>
      </c>
      <c r="AH2079">
        <v>0.321596966234443</v>
      </c>
      <c r="AI2079">
        <v>124.93200468263301</v>
      </c>
      <c r="AJ2079">
        <v>75.371400384346202</v>
      </c>
      <c r="AK2079">
        <v>0.40541392711414598</v>
      </c>
      <c r="AL2079">
        <v>90.269441050648496</v>
      </c>
      <c r="AM2079">
        <v>94.1025027210584</v>
      </c>
      <c r="AN2079">
        <v>0.99999997003122498</v>
      </c>
    </row>
    <row r="2080" spans="1:40" x14ac:dyDescent="0.25">
      <c r="A2080" t="str">
        <f>"20190312151538448"</f>
        <v>20190312151538448</v>
      </c>
      <c r="B2080" t="str">
        <f>"1552374938439673"</f>
        <v>1552374938439673</v>
      </c>
      <c r="C2080" t="s">
        <v>40</v>
      </c>
      <c r="D2080">
        <v>4.4340000000000002</v>
      </c>
      <c r="E2080">
        <v>0.58995249999999999</v>
      </c>
      <c r="F2080" t="s">
        <v>41</v>
      </c>
      <c r="G2080">
        <v>-371.95580000000001</v>
      </c>
      <c r="H2080">
        <v>0.84942999999999902</v>
      </c>
      <c r="I2080">
        <v>283.71949999999998</v>
      </c>
      <c r="J2080">
        <v>-371.58510000000001</v>
      </c>
      <c r="K2080">
        <v>1.1091679999999999</v>
      </c>
      <c r="L2080">
        <v>283.59469999999999</v>
      </c>
      <c r="M2080">
        <v>-0.99982870000000001</v>
      </c>
      <c r="N2080">
        <v>0</v>
      </c>
      <c r="O2080">
        <v>1.076746E-2</v>
      </c>
      <c r="P2080">
        <v>-0.99794479999999997</v>
      </c>
      <c r="Q2080">
        <v>-1.960665E-2</v>
      </c>
      <c r="R2080">
        <v>-6.1007869999999999E-2</v>
      </c>
      <c r="S2080">
        <v>-3.0172119999999998</v>
      </c>
      <c r="T2080">
        <v>-1.0377339999999999</v>
      </c>
      <c r="U2080">
        <v>0.51583859999999904</v>
      </c>
      <c r="V2080">
        <v>-7.1755250000000007E-2</v>
      </c>
      <c r="W2080">
        <v>-4.5226779999999996E-3</v>
      </c>
      <c r="X2080">
        <v>0.99741199999999997</v>
      </c>
      <c r="Y2080">
        <v>0.15010960000000001</v>
      </c>
      <c r="Z2080">
        <v>2.1350959999999999E-2</v>
      </c>
      <c r="AA2080">
        <v>0.98843879999999995</v>
      </c>
      <c r="AB2080">
        <v>39</v>
      </c>
      <c r="AC2080">
        <v>-0.37069999999999897</v>
      </c>
      <c r="AD2080">
        <v>-0.25973800000000002</v>
      </c>
      <c r="AE2080">
        <v>0.124799999999993</v>
      </c>
      <c r="AF2080">
        <v>8.3833640413795193E-2</v>
      </c>
      <c r="AG2080">
        <v>-0.25973800000000002</v>
      </c>
      <c r="AH2080">
        <v>0.25817702876863802</v>
      </c>
      <c r="AI2080">
        <v>133.73722720637801</v>
      </c>
      <c r="AJ2080">
        <v>72.010671855775499</v>
      </c>
      <c r="AK2080">
        <v>0.37569573605889101</v>
      </c>
      <c r="AL2080">
        <v>90.259131249018793</v>
      </c>
      <c r="AM2080">
        <v>94.114851435645704</v>
      </c>
      <c r="AN2080">
        <v>0.99999998413142599</v>
      </c>
    </row>
    <row r="2081" spans="1:40" x14ac:dyDescent="0.25">
      <c r="A2081" t="str">
        <f>"20190312151538461"</f>
        <v>20190312151538461</v>
      </c>
      <c r="B2081" t="str">
        <f>"1552374938449429"</f>
        <v>1552374938449429</v>
      </c>
      <c r="C2081" t="s">
        <v>40</v>
      </c>
      <c r="D2081">
        <v>4.5177620000000003</v>
      </c>
      <c r="E2081">
        <v>0.58996530000000003</v>
      </c>
      <c r="F2081" t="s">
        <v>41</v>
      </c>
      <c r="G2081">
        <v>-372.31150000000002</v>
      </c>
      <c r="H2081">
        <v>0.85965539999999996</v>
      </c>
      <c r="I2081">
        <v>283.7192</v>
      </c>
      <c r="J2081">
        <v>-371.80680000000001</v>
      </c>
      <c r="K2081">
        <v>1.1091719999999901</v>
      </c>
      <c r="L2081">
        <v>283.59719999999999</v>
      </c>
      <c r="M2081">
        <v>-0.99982660000000001</v>
      </c>
      <c r="N2081">
        <v>0</v>
      </c>
      <c r="O2081">
        <v>1.0954449999999999E-2</v>
      </c>
      <c r="P2081">
        <v>-0.99793600000000005</v>
      </c>
      <c r="Q2081">
        <v>-1.9938830000000001E-2</v>
      </c>
      <c r="R2081">
        <v>-6.1042119999999998E-2</v>
      </c>
      <c r="S2081">
        <v>-3.0173649999999999</v>
      </c>
      <c r="T2081">
        <v>-1.0365070000000001</v>
      </c>
      <c r="U2081">
        <v>0.51577759999999995</v>
      </c>
      <c r="V2081">
        <v>-7.1975830000000005E-2</v>
      </c>
      <c r="W2081">
        <v>-4.8574600000000001E-3</v>
      </c>
      <c r="X2081">
        <v>0.99739460000000002</v>
      </c>
      <c r="Y2081">
        <v>0.14993609999999999</v>
      </c>
      <c r="Z2081">
        <v>2.1235299999999999E-2</v>
      </c>
      <c r="AA2081">
        <v>0.9884676</v>
      </c>
      <c r="AB2081">
        <v>39</v>
      </c>
      <c r="AC2081">
        <v>-0.50470000000001303</v>
      </c>
      <c r="AD2081">
        <v>-0.24951659999999901</v>
      </c>
      <c r="AE2081">
        <v>0.122000000000014</v>
      </c>
      <c r="AF2081">
        <v>9.4614561320838397E-2</v>
      </c>
      <c r="AG2081">
        <v>-0.24951659999999901</v>
      </c>
      <c r="AH2081">
        <v>0.41107840845195998</v>
      </c>
      <c r="AI2081">
        <v>120.60495683064801</v>
      </c>
      <c r="AJ2081">
        <v>77.038429137805593</v>
      </c>
      <c r="AK2081">
        <v>0.49009785429533498</v>
      </c>
      <c r="AL2081">
        <v>90.278313037271701</v>
      </c>
      <c r="AM2081">
        <v>94.127528845780205</v>
      </c>
      <c r="AN2081">
        <v>1.0000000515654901</v>
      </c>
    </row>
    <row r="2082" spans="1:40" x14ac:dyDescent="0.25">
      <c r="A2082" t="str">
        <f>"20190312151538484"</f>
        <v>20190312151538484</v>
      </c>
      <c r="B2082" t="str">
        <f>"1552374938479685"</f>
        <v>1552374938479685</v>
      </c>
      <c r="C2082" t="s">
        <v>40</v>
      </c>
      <c r="D2082">
        <v>4.4972909999999997</v>
      </c>
      <c r="E2082">
        <v>0.58971099999999999</v>
      </c>
      <c r="F2082" t="s">
        <v>41</v>
      </c>
      <c r="G2082">
        <v>-372.64679999999998</v>
      </c>
      <c r="H2082">
        <v>0.82040930000000001</v>
      </c>
      <c r="I2082">
        <v>283.74110000000002</v>
      </c>
      <c r="J2082">
        <v>-372.20890000000003</v>
      </c>
      <c r="K2082">
        <v>1.109175</v>
      </c>
      <c r="L2082">
        <v>283.6019</v>
      </c>
      <c r="M2082">
        <v>-0.99982289999999996</v>
      </c>
      <c r="N2082">
        <v>0</v>
      </c>
      <c r="O2082">
        <v>1.129324E-2</v>
      </c>
      <c r="P2082">
        <v>-0.99794720000000003</v>
      </c>
      <c r="Q2082">
        <v>-1.994253E-2</v>
      </c>
      <c r="R2082">
        <v>-6.0859650000000001E-2</v>
      </c>
      <c r="S2082">
        <v>-3.01709</v>
      </c>
      <c r="T2082">
        <v>-1.0371360000000001</v>
      </c>
      <c r="U2082">
        <v>0.51586909999999997</v>
      </c>
      <c r="V2082">
        <v>-7.2131810000000005E-2</v>
      </c>
      <c r="W2082">
        <v>-4.8656699999999999E-3</v>
      </c>
      <c r="X2082">
        <v>0.99738320000000003</v>
      </c>
      <c r="Y2082">
        <v>0.149669</v>
      </c>
      <c r="Z2082">
        <v>2.1092530000000002E-2</v>
      </c>
      <c r="AA2082">
        <v>0.98851109999999998</v>
      </c>
      <c r="AB2082">
        <v>39</v>
      </c>
      <c r="AC2082">
        <v>-0.43789999999995599</v>
      </c>
      <c r="AD2082">
        <v>-0.28876569999999901</v>
      </c>
      <c r="AE2082">
        <v>0.13920000000001601</v>
      </c>
      <c r="AF2082">
        <v>9.6237051266005194E-2</v>
      </c>
      <c r="AG2082">
        <v>-0.28876569999999901</v>
      </c>
      <c r="AH2082">
        <v>0.31502656562847797</v>
      </c>
      <c r="AI2082">
        <v>131.23928649742501</v>
      </c>
      <c r="AJ2082">
        <v>73.012681005713304</v>
      </c>
      <c r="AK2082">
        <v>0.43805129446737101</v>
      </c>
      <c r="AL2082">
        <v>90.278783466627502</v>
      </c>
      <c r="AM2082">
        <v>94.136489781330098</v>
      </c>
      <c r="AN2082">
        <v>0.999999960200331</v>
      </c>
    </row>
    <row r="2083" spans="1:40" x14ac:dyDescent="0.25">
      <c r="A2083" t="str">
        <f>"20190312151538505"</f>
        <v>20190312151538505</v>
      </c>
      <c r="B2083" t="str">
        <f>"1552374938499205"</f>
        <v>1552374938499205</v>
      </c>
      <c r="C2083" t="s">
        <v>40</v>
      </c>
      <c r="D2083">
        <v>4.4613480000000001</v>
      </c>
      <c r="E2083">
        <v>0.5895994</v>
      </c>
      <c r="F2083" t="s">
        <v>41</v>
      </c>
      <c r="G2083">
        <v>-373.00389999999999</v>
      </c>
      <c r="H2083">
        <v>0.83631</v>
      </c>
      <c r="I2083">
        <v>283.738</v>
      </c>
      <c r="J2083">
        <v>-372.58049999999997</v>
      </c>
      <c r="K2083">
        <v>1.1091759999999999</v>
      </c>
      <c r="L2083">
        <v>283.60640000000001</v>
      </c>
      <c r="M2083">
        <v>-0.99981949999999997</v>
      </c>
      <c r="N2083">
        <v>0</v>
      </c>
      <c r="O2083">
        <v>1.160635E-2</v>
      </c>
      <c r="P2083">
        <v>-0.99793019999999999</v>
      </c>
      <c r="Q2083">
        <v>-2.0144579999999999E-2</v>
      </c>
      <c r="R2083">
        <v>-6.1075360000000002E-2</v>
      </c>
      <c r="S2083">
        <v>-3.0168460000000001</v>
      </c>
      <c r="T2083">
        <v>-1.035388</v>
      </c>
      <c r="U2083">
        <v>0.51443479999999997</v>
      </c>
      <c r="V2083">
        <v>-7.2659639999999998E-2</v>
      </c>
      <c r="W2083">
        <v>-5.0719620000000002E-3</v>
      </c>
      <c r="X2083">
        <v>0.99734389999999995</v>
      </c>
      <c r="Y2083">
        <v>0.14899479999999901</v>
      </c>
      <c r="Z2083">
        <v>2.0845760000000001E-2</v>
      </c>
      <c r="AA2083">
        <v>0.98861829999999995</v>
      </c>
      <c r="AB2083">
        <v>39</v>
      </c>
      <c r="AC2083">
        <v>-0.42340000000001499</v>
      </c>
      <c r="AD2083">
        <v>-0.272865999999999</v>
      </c>
      <c r="AE2083">
        <v>0.131599999999991</v>
      </c>
      <c r="AF2083">
        <v>9.1878137197443394E-2</v>
      </c>
      <c r="AG2083">
        <v>-0.272865999999999</v>
      </c>
      <c r="AH2083">
        <v>0.30817829850596301</v>
      </c>
      <c r="AI2083">
        <v>130.31492073275999</v>
      </c>
      <c r="AJ2083">
        <v>73.398942036799895</v>
      </c>
      <c r="AK2083">
        <v>0.42174792201136302</v>
      </c>
      <c r="AL2083">
        <v>90.290603261982795</v>
      </c>
      <c r="AM2083">
        <v>94.166816246808693</v>
      </c>
      <c r="AN2083">
        <v>1.0000000014753301</v>
      </c>
    </row>
    <row r="2084" spans="1:40" x14ac:dyDescent="0.25">
      <c r="A2084" t="str">
        <f>"20190312151538526"</f>
        <v>20190312151538526</v>
      </c>
      <c r="B2084" t="str">
        <f>"1552374938519701"</f>
        <v>1552374938519701</v>
      </c>
      <c r="C2084" t="s">
        <v>40</v>
      </c>
      <c r="D2084">
        <v>4.4280660000000003</v>
      </c>
      <c r="E2084">
        <v>0.58951350000000002</v>
      </c>
      <c r="F2084" t="s">
        <v>41</v>
      </c>
      <c r="G2084">
        <v>-373.35700000000003</v>
      </c>
      <c r="H2084">
        <v>0.84305469999999905</v>
      </c>
      <c r="I2084">
        <v>283.73860000000002</v>
      </c>
      <c r="J2084">
        <v>-372.95940000000002</v>
      </c>
      <c r="K2084">
        <v>1.1091740000000001</v>
      </c>
      <c r="L2084">
        <v>283.61110000000002</v>
      </c>
      <c r="M2084">
        <v>-0.99981580000000003</v>
      </c>
      <c r="N2084">
        <v>0</v>
      </c>
      <c r="O2084">
        <v>1.192613E-2</v>
      </c>
      <c r="P2084">
        <v>-0.99791929999999995</v>
      </c>
      <c r="Q2084">
        <v>-2.021543E-2</v>
      </c>
      <c r="R2084">
        <v>-6.1225689999999999E-2</v>
      </c>
      <c r="S2084">
        <v>-3.016724</v>
      </c>
      <c r="T2084">
        <v>-1.03392</v>
      </c>
      <c r="U2084">
        <v>0.51272580000000001</v>
      </c>
      <c r="V2084">
        <v>-7.3128509999999994E-2</v>
      </c>
      <c r="W2084">
        <v>-5.1471609999999999E-3</v>
      </c>
      <c r="X2084">
        <v>0.99730929999999995</v>
      </c>
      <c r="Y2084">
        <v>0.14822160000000001</v>
      </c>
      <c r="Z2084">
        <v>2.0585659999999999E-2</v>
      </c>
      <c r="AA2084">
        <v>0.9887399</v>
      </c>
      <c r="AB2084">
        <v>39</v>
      </c>
      <c r="AC2084">
        <v>-0.39759999999995399</v>
      </c>
      <c r="AD2084">
        <v>-0.2661193</v>
      </c>
      <c r="AE2084">
        <v>0.127499999999997</v>
      </c>
      <c r="AF2084">
        <v>8.7290346244758704E-2</v>
      </c>
      <c r="AG2084">
        <v>-0.2661193</v>
      </c>
      <c r="AH2084">
        <v>0.28380714657413703</v>
      </c>
      <c r="AI2084">
        <v>131.86804721826701</v>
      </c>
      <c r="AJ2084">
        <v>72.903713067980306</v>
      </c>
      <c r="AK2084">
        <v>0.39872996228848101</v>
      </c>
      <c r="AL2084">
        <v>90.294911887449601</v>
      </c>
      <c r="AM2084">
        <v>94.193753910453495</v>
      </c>
      <c r="AN2084">
        <v>1.00000005605383</v>
      </c>
    </row>
    <row r="2085" spans="1:40" x14ac:dyDescent="0.25">
      <c r="A2085" t="str">
        <f>"20190312151538543"</f>
        <v>20190312151538543</v>
      </c>
      <c r="B2085" t="str">
        <f>"1552374938539221"</f>
        <v>1552374938539221</v>
      </c>
      <c r="C2085" t="s">
        <v>40</v>
      </c>
      <c r="D2085">
        <v>4.5163989999999998</v>
      </c>
      <c r="E2085">
        <v>0.58936889999999997</v>
      </c>
      <c r="F2085" t="s">
        <v>41</v>
      </c>
      <c r="G2085">
        <v>-373.7106</v>
      </c>
      <c r="H2085">
        <v>0.85223280000000001</v>
      </c>
      <c r="I2085">
        <v>283.73910000000001</v>
      </c>
      <c r="J2085">
        <v>-373.24579999999997</v>
      </c>
      <c r="K2085">
        <v>1.109175</v>
      </c>
      <c r="L2085">
        <v>283.61470000000003</v>
      </c>
      <c r="M2085">
        <v>-0.9998129</v>
      </c>
      <c r="N2085">
        <v>0</v>
      </c>
      <c r="O2085">
        <v>1.216824E-2</v>
      </c>
      <c r="P2085">
        <v>-0.99791249999999998</v>
      </c>
      <c r="Q2085">
        <v>-2.0110079999999999E-2</v>
      </c>
      <c r="R2085">
        <v>-6.1372679999999999E-2</v>
      </c>
      <c r="S2085">
        <v>-3.016785</v>
      </c>
      <c r="T2085">
        <v>-1.0316609999999999</v>
      </c>
      <c r="U2085">
        <v>0.5119629</v>
      </c>
      <c r="V2085">
        <v>-7.3517059999999995E-2</v>
      </c>
      <c r="W2085">
        <v>-5.0451530000000001E-3</v>
      </c>
      <c r="X2085">
        <v>0.99728119999999998</v>
      </c>
      <c r="Y2085">
        <v>0.14780460000000001</v>
      </c>
      <c r="Z2085">
        <v>2.0394249999999999E-2</v>
      </c>
      <c r="AA2085">
        <v>0.98880630000000003</v>
      </c>
      <c r="AB2085">
        <v>39</v>
      </c>
      <c r="AC2085">
        <v>-0.46480000000002503</v>
      </c>
      <c r="AD2085">
        <v>-0.25694219999999901</v>
      </c>
      <c r="AE2085">
        <v>0.12439999999998</v>
      </c>
      <c r="AF2085">
        <v>9.2388567878350397E-2</v>
      </c>
      <c r="AG2085">
        <v>-0.25694219999999901</v>
      </c>
      <c r="AH2085">
        <v>0.36281744323272902</v>
      </c>
      <c r="AI2085">
        <v>124.46122934427299</v>
      </c>
      <c r="AJ2085">
        <v>75.713708080903899</v>
      </c>
      <c r="AK2085">
        <v>0.45408307470041998</v>
      </c>
      <c r="AL2085">
        <v>90.289067199691601</v>
      </c>
      <c r="AM2085">
        <v>94.216074601233004</v>
      </c>
      <c r="AN2085">
        <v>1.00000000177663</v>
      </c>
    </row>
    <row r="2086" spans="1:40" x14ac:dyDescent="0.25">
      <c r="A2086" t="str">
        <f>"20190312151538560"</f>
        <v>20190312151538560</v>
      </c>
      <c r="B2086" t="str">
        <f>"1552374938549956"</f>
        <v>1552374938549956</v>
      </c>
      <c r="C2086" t="s">
        <v>40</v>
      </c>
      <c r="D2086">
        <v>4.3879289999999997</v>
      </c>
      <c r="E2086">
        <v>0.58933279999999999</v>
      </c>
      <c r="F2086" t="s">
        <v>41</v>
      </c>
      <c r="G2086">
        <v>-374.05259999999998</v>
      </c>
      <c r="H2086">
        <v>0.83368050000000005</v>
      </c>
      <c r="I2086">
        <v>283.75150000000002</v>
      </c>
      <c r="J2086">
        <v>-373.55200000000002</v>
      </c>
      <c r="K2086">
        <v>1.1091740000000001</v>
      </c>
      <c r="L2086">
        <v>283.61869999999999</v>
      </c>
      <c r="M2086">
        <v>-0.99980990000000003</v>
      </c>
      <c r="N2086">
        <v>0</v>
      </c>
      <c r="O2086">
        <v>1.2426919999999999E-2</v>
      </c>
      <c r="P2086">
        <v>-0.99791649999999998</v>
      </c>
      <c r="Q2086">
        <v>-2.0421330000000001E-2</v>
      </c>
      <c r="R2086">
        <v>-6.1204719999999997E-2</v>
      </c>
      <c r="S2086">
        <v>-3.0168759999999999</v>
      </c>
      <c r="T2086">
        <v>-1.0300739999999999</v>
      </c>
      <c r="U2086">
        <v>0.5105286</v>
      </c>
      <c r="V2086">
        <v>-7.3607290000000006E-2</v>
      </c>
      <c r="W2086">
        <v>-5.3600669999999996E-3</v>
      </c>
      <c r="X2086">
        <v>0.99727290000000002</v>
      </c>
      <c r="Y2086">
        <v>0.14715909999999999</v>
      </c>
      <c r="Z2086">
        <v>2.017292E-2</v>
      </c>
      <c r="AA2086">
        <v>0.98890710000000004</v>
      </c>
      <c r="AB2086">
        <v>39</v>
      </c>
      <c r="AC2086">
        <v>-0.50060000000001903</v>
      </c>
      <c r="AD2086">
        <v>-0.275493499999999</v>
      </c>
      <c r="AE2086">
        <v>0.132800000000031</v>
      </c>
      <c r="AF2086">
        <v>9.8654200020805494E-2</v>
      </c>
      <c r="AG2086">
        <v>-0.275493499999999</v>
      </c>
      <c r="AH2086">
        <v>0.39145168007078601</v>
      </c>
      <c r="AI2086">
        <v>124.311004099577</v>
      </c>
      <c r="AJ2086">
        <v>75.854803658764098</v>
      </c>
      <c r="AK2086">
        <v>0.48873687967477503</v>
      </c>
      <c r="AL2086">
        <v>90.307110687501904</v>
      </c>
      <c r="AM2086">
        <v>94.221265445800995</v>
      </c>
      <c r="AN2086">
        <v>1.0000000002668901</v>
      </c>
    </row>
    <row r="2087" spans="1:40" x14ac:dyDescent="0.25">
      <c r="A2087" t="str">
        <f>"20190312151538583"</f>
        <v>20190312151538583</v>
      </c>
      <c r="B2087" t="str">
        <f>"1552374938579238"</f>
        <v>1552374938579238</v>
      </c>
      <c r="C2087" t="s">
        <v>40</v>
      </c>
      <c r="D2087">
        <v>4.4381380000000004</v>
      </c>
      <c r="E2087">
        <v>0.58947709999999998</v>
      </c>
      <c r="F2087" t="s">
        <v>41</v>
      </c>
      <c r="G2087">
        <v>-374.39679999999998</v>
      </c>
      <c r="H2087">
        <v>0.82116710000000004</v>
      </c>
      <c r="I2087">
        <v>283.76240000000001</v>
      </c>
      <c r="J2087">
        <v>-373.93920000000003</v>
      </c>
      <c r="K2087">
        <v>1.1091719999999901</v>
      </c>
      <c r="L2087">
        <v>283.62380000000002</v>
      </c>
      <c r="M2087">
        <v>-0.99980570000000002</v>
      </c>
      <c r="N2087">
        <v>0</v>
      </c>
      <c r="O2087">
        <v>1.2754089999999999E-2</v>
      </c>
      <c r="P2087">
        <v>-0.99791220000000003</v>
      </c>
      <c r="Q2087">
        <v>-2.0843810000000001E-2</v>
      </c>
      <c r="R2087">
        <v>-6.1129299999999998E-2</v>
      </c>
      <c r="S2087">
        <v>-3.0165709999999999</v>
      </c>
      <c r="T2087">
        <v>-1.0283819999999999</v>
      </c>
      <c r="U2087">
        <v>0.51123050000000003</v>
      </c>
      <c r="V2087">
        <v>-7.3858670000000001E-2</v>
      </c>
      <c r="W2087">
        <v>-5.787258E-3</v>
      </c>
      <c r="X2087">
        <v>0.99725189999999997</v>
      </c>
      <c r="Y2087">
        <v>0.1471189</v>
      </c>
      <c r="Z2087">
        <v>2.0028750000000001E-2</v>
      </c>
      <c r="AA2087">
        <v>0.98891600000000002</v>
      </c>
      <c r="AB2087">
        <v>39</v>
      </c>
      <c r="AC2087">
        <v>-0.45759999999995599</v>
      </c>
      <c r="AD2087">
        <v>-0.28800489999999901</v>
      </c>
      <c r="AE2087">
        <v>0.138599999999996</v>
      </c>
      <c r="AF2087">
        <v>9.740857749963E-2</v>
      </c>
      <c r="AG2087">
        <v>-0.28800489999999901</v>
      </c>
      <c r="AH2087">
        <v>0.33704063693569097</v>
      </c>
      <c r="AI2087">
        <v>129.38304953296799</v>
      </c>
      <c r="AJ2087">
        <v>73.880104685390194</v>
      </c>
      <c r="AK2087">
        <v>0.45390708778397298</v>
      </c>
      <c r="AL2087">
        <v>90.331587318008005</v>
      </c>
      <c r="AM2087">
        <v>94.235718195699206</v>
      </c>
      <c r="AN2087">
        <v>0.99999997377146799</v>
      </c>
    </row>
    <row r="2088" spans="1:40" x14ac:dyDescent="0.25">
      <c r="A2088" t="str">
        <f>"20190312151538595"</f>
        <v>20190312151538595</v>
      </c>
      <c r="B2088" t="str">
        <f>"1552374938589974"</f>
        <v>1552374938589974</v>
      </c>
      <c r="C2088" t="s">
        <v>40</v>
      </c>
      <c r="D2088">
        <v>4.476337</v>
      </c>
      <c r="E2088">
        <v>0.58948730000000005</v>
      </c>
      <c r="F2088" t="s">
        <v>41</v>
      </c>
      <c r="G2088">
        <v>-374.75020000000001</v>
      </c>
      <c r="H2088">
        <v>0.83263860000000001</v>
      </c>
      <c r="I2088">
        <v>283.76170000000002</v>
      </c>
      <c r="J2088">
        <v>-374.1628</v>
      </c>
      <c r="K2088">
        <v>1.1091719999999901</v>
      </c>
      <c r="L2088">
        <v>283.6268</v>
      </c>
      <c r="M2088">
        <v>-0.99980329999999995</v>
      </c>
      <c r="N2088">
        <v>0</v>
      </c>
      <c r="O2088">
        <v>1.294322E-2</v>
      </c>
      <c r="P2088">
        <v>-0.99792150000000002</v>
      </c>
      <c r="Q2088">
        <v>-2.0937190000000001E-2</v>
      </c>
      <c r="R2088">
        <v>-6.0947950000000001E-2</v>
      </c>
      <c r="S2088">
        <v>-3.0162049999999998</v>
      </c>
      <c r="T2088">
        <v>-1.0284629999999999</v>
      </c>
      <c r="U2088">
        <v>0.51272580000000001</v>
      </c>
      <c r="V2088">
        <v>-7.3866249999999994E-2</v>
      </c>
      <c r="W2088">
        <v>-5.8832600000000004E-3</v>
      </c>
      <c r="X2088">
        <v>0.99725079999999999</v>
      </c>
      <c r="Y2088">
        <v>0.1474202</v>
      </c>
      <c r="Z2088">
        <v>2.001911E-2</v>
      </c>
      <c r="AA2088">
        <v>0.98887130000000001</v>
      </c>
      <c r="AB2088">
        <v>39</v>
      </c>
      <c r="AC2088">
        <v>-0.58740000000000203</v>
      </c>
      <c r="AD2088">
        <v>-0.27653339999999899</v>
      </c>
      <c r="AE2088">
        <v>0.13490000000001601</v>
      </c>
      <c r="AF2088">
        <v>0.10514851348224</v>
      </c>
      <c r="AG2088">
        <v>-0.27653339999999899</v>
      </c>
      <c r="AH2088">
        <v>0.486645562370565</v>
      </c>
      <c r="AI2088">
        <v>119.048962013398</v>
      </c>
      <c r="AJ2088">
        <v>77.807646648514705</v>
      </c>
      <c r="AK2088">
        <v>0.56951807221373496</v>
      </c>
      <c r="AL2088">
        <v>90.337087913442403</v>
      </c>
      <c r="AM2088">
        <v>94.236155974092</v>
      </c>
      <c r="AN2088">
        <v>0.99999999686896501</v>
      </c>
    </row>
    <row r="2089" spans="1:40" x14ac:dyDescent="0.25">
      <c r="A2089" t="str">
        <f>"20190312151538608"</f>
        <v>20190312151538608</v>
      </c>
      <c r="B2089" t="str">
        <f>"1552374938599733"</f>
        <v>1552374938599733</v>
      </c>
      <c r="C2089" t="s">
        <v>40</v>
      </c>
      <c r="D2089">
        <v>4.4482569999999999</v>
      </c>
      <c r="E2089">
        <v>0.58947519999999998</v>
      </c>
      <c r="F2089" t="s">
        <v>41</v>
      </c>
      <c r="G2089">
        <v>-375.08339999999998</v>
      </c>
      <c r="H2089">
        <v>0.79504659999999905</v>
      </c>
      <c r="I2089">
        <v>283.78410000000002</v>
      </c>
      <c r="J2089">
        <v>-374.40190000000001</v>
      </c>
      <c r="K2089">
        <v>1.109173</v>
      </c>
      <c r="L2089">
        <v>283.63010000000003</v>
      </c>
      <c r="M2089">
        <v>-0.99980089999999999</v>
      </c>
      <c r="N2089">
        <v>0</v>
      </c>
      <c r="O2089">
        <v>1.3145159999999999E-2</v>
      </c>
      <c r="P2089">
        <v>-0.99791730000000001</v>
      </c>
      <c r="Q2089">
        <v>-2.0960300000000001E-2</v>
      </c>
      <c r="R2089">
        <v>-6.1012860000000002E-2</v>
      </c>
      <c r="S2089">
        <v>-3.016022</v>
      </c>
      <c r="T2089">
        <v>-1.0290349999999999</v>
      </c>
      <c r="U2089">
        <v>0.51345829999999903</v>
      </c>
      <c r="V2089">
        <v>-7.413206E-2</v>
      </c>
      <c r="W2089">
        <v>-5.909213E-3</v>
      </c>
      <c r="X2089">
        <v>0.99723090000000003</v>
      </c>
      <c r="Y2089">
        <v>0.14746409999999999</v>
      </c>
      <c r="Z2089">
        <v>1.9971139999999998E-2</v>
      </c>
      <c r="AA2089">
        <v>0.98886569999999996</v>
      </c>
      <c r="AB2089">
        <v>39</v>
      </c>
      <c r="AC2089">
        <v>-0.68149999999997102</v>
      </c>
      <c r="AD2089">
        <v>-0.31412639999999997</v>
      </c>
      <c r="AE2089">
        <v>0.153999999999996</v>
      </c>
      <c r="AF2089">
        <v>0.120641090701868</v>
      </c>
      <c r="AG2089">
        <v>-0.31412639999999997</v>
      </c>
      <c r="AH2089">
        <v>0.56854172633226896</v>
      </c>
      <c r="AI2089">
        <v>118.390272316802</v>
      </c>
      <c r="AJ2089">
        <v>78.019881798039705</v>
      </c>
      <c r="AK2089">
        <v>0.66065827969047097</v>
      </c>
      <c r="AL2089">
        <v>90.338574944229805</v>
      </c>
      <c r="AM2089">
        <v>94.251428648351805</v>
      </c>
      <c r="AN2089">
        <v>0.99999997451646605</v>
      </c>
    </row>
    <row r="2090" spans="1:40" x14ac:dyDescent="0.25">
      <c r="A2090" t="str">
        <f>"20190312151538622"</f>
        <v>20190312151538622</v>
      </c>
      <c r="B2090" t="str">
        <f>"1552374938609493"</f>
        <v>1552374938609493</v>
      </c>
      <c r="C2090" t="s">
        <v>40</v>
      </c>
      <c r="D2090">
        <v>4.6136140000000001</v>
      </c>
      <c r="E2090">
        <v>0.58947469999999902</v>
      </c>
      <c r="F2090" t="s">
        <v>41</v>
      </c>
      <c r="G2090">
        <v>-375.11239999999998</v>
      </c>
      <c r="H2090">
        <v>0.86684779999999995</v>
      </c>
      <c r="I2090">
        <v>283.75139999999999</v>
      </c>
      <c r="J2090">
        <v>-374.62459999999999</v>
      </c>
      <c r="K2090">
        <v>1.109173</v>
      </c>
      <c r="L2090">
        <v>283.63319999999999</v>
      </c>
      <c r="M2090">
        <v>-0.99979839999999998</v>
      </c>
      <c r="N2090">
        <v>0</v>
      </c>
      <c r="O2090">
        <v>1.333375E-2</v>
      </c>
      <c r="P2090">
        <v>-0.99792380000000003</v>
      </c>
      <c r="Q2090">
        <v>-2.1048529999999999E-2</v>
      </c>
      <c r="R2090">
        <v>-6.0873330000000003E-2</v>
      </c>
      <c r="S2090">
        <v>-3.016022</v>
      </c>
      <c r="T2090">
        <v>-1.0286459999999999</v>
      </c>
      <c r="U2090">
        <v>0.51306149999999995</v>
      </c>
      <c r="V2090">
        <v>-7.4180510000000005E-2</v>
      </c>
      <c r="W2090">
        <v>-6.0000710000000001E-3</v>
      </c>
      <c r="X2090">
        <v>0.99722679999999997</v>
      </c>
      <c r="Y2090">
        <v>0.14718249999999999</v>
      </c>
      <c r="Z2090">
        <v>1.9855680000000001E-2</v>
      </c>
      <c r="AA2090">
        <v>0.98890999999999996</v>
      </c>
      <c r="AB2090">
        <v>39</v>
      </c>
      <c r="AC2090">
        <v>-0.48779999999999202</v>
      </c>
      <c r="AD2090">
        <v>-0.24232519999999899</v>
      </c>
      <c r="AE2090">
        <v>0.118200000000001</v>
      </c>
      <c r="AF2090">
        <v>9.0572490105645304E-2</v>
      </c>
      <c r="AG2090">
        <v>-0.24232519999999899</v>
      </c>
      <c r="AH2090">
        <v>0.39683280752525502</v>
      </c>
      <c r="AI2090">
        <v>120.766968416667</v>
      </c>
      <c r="AJ2090">
        <v>77.143132795253607</v>
      </c>
      <c r="AK2090">
        <v>0.47370999107824702</v>
      </c>
      <c r="AL2090">
        <v>90.343780801034498</v>
      </c>
      <c r="AM2090">
        <v>94.254214455264801</v>
      </c>
      <c r="AN2090">
        <v>1.00000001977705</v>
      </c>
    </row>
    <row r="2091" spans="1:40" x14ac:dyDescent="0.25">
      <c r="A2091" t="str">
        <f>"20190312151538638"</f>
        <v>20190312151538638</v>
      </c>
      <c r="B2091" t="str">
        <f>"1552374938629989"</f>
        <v>1552374938629989</v>
      </c>
      <c r="C2091" t="s">
        <v>40</v>
      </c>
      <c r="D2091">
        <v>4.4590399999999999</v>
      </c>
      <c r="E2091">
        <v>0.58948750000000005</v>
      </c>
      <c r="F2091" t="s">
        <v>41</v>
      </c>
      <c r="G2091">
        <v>-375.44499999999999</v>
      </c>
      <c r="H2091">
        <v>0.82897399999999999</v>
      </c>
      <c r="I2091">
        <v>283.77289999999999</v>
      </c>
      <c r="J2091">
        <v>-374.90410000000003</v>
      </c>
      <c r="K2091">
        <v>1.1091799999999901</v>
      </c>
      <c r="L2091">
        <v>283.63709999999998</v>
      </c>
      <c r="M2091">
        <v>-0.99979510000000005</v>
      </c>
      <c r="N2091">
        <v>0</v>
      </c>
      <c r="O2091">
        <v>1.357002E-2</v>
      </c>
      <c r="P2091">
        <v>-0.99792760000000003</v>
      </c>
      <c r="Q2091">
        <v>-2.111213E-2</v>
      </c>
      <c r="R2091">
        <v>-6.0788410000000001E-2</v>
      </c>
      <c r="S2091">
        <v>-3.0158390000000002</v>
      </c>
      <c r="T2091">
        <v>-1.0299069999999999</v>
      </c>
      <c r="U2091">
        <v>0.5133972</v>
      </c>
      <c r="V2091">
        <v>-7.4331220000000003E-2</v>
      </c>
      <c r="W2091">
        <v>-6.0669779999999998E-3</v>
      </c>
      <c r="X2091">
        <v>0.99721519999999997</v>
      </c>
      <c r="Y2091">
        <v>0.14706710000000001</v>
      </c>
      <c r="Z2091">
        <v>1.978276E-2</v>
      </c>
      <c r="AA2091">
        <v>0.98892869999999999</v>
      </c>
      <c r="AB2091">
        <v>39</v>
      </c>
      <c r="AC2091">
        <v>-0.54089999999996496</v>
      </c>
      <c r="AD2091">
        <v>-0.28020599999999901</v>
      </c>
      <c r="AE2091">
        <v>0.13580000000001699</v>
      </c>
      <c r="AF2091">
        <v>0.102556354044189</v>
      </c>
      <c r="AG2091">
        <v>-0.28020599999999901</v>
      </c>
      <c r="AH2091">
        <v>0.433305499850767</v>
      </c>
      <c r="AI2091">
        <v>122.181588362189</v>
      </c>
      <c r="AJ2091">
        <v>76.684062289621806</v>
      </c>
      <c r="AK2091">
        <v>0.52610537384801503</v>
      </c>
      <c r="AL2091">
        <v>90.347614350063495</v>
      </c>
      <c r="AM2091">
        <v>94.262875172898603</v>
      </c>
      <c r="AN2091">
        <v>1.00000004679988</v>
      </c>
    </row>
    <row r="2092" spans="1:40" x14ac:dyDescent="0.25">
      <c r="A2092" t="str">
        <f>"20190312151538651"</f>
        <v>20190312151538651</v>
      </c>
      <c r="B2092" t="str">
        <f>"1552374938639749"</f>
        <v>1552374938639749</v>
      </c>
      <c r="C2092" t="s">
        <v>40</v>
      </c>
      <c r="D2092">
        <v>4.4504599999999996</v>
      </c>
      <c r="E2092">
        <v>0.58946299999999996</v>
      </c>
      <c r="F2092" t="s">
        <v>41</v>
      </c>
      <c r="G2092">
        <v>-375.78429999999997</v>
      </c>
      <c r="H2092">
        <v>0.80845649999999902</v>
      </c>
      <c r="I2092">
        <v>283.78750000000002</v>
      </c>
      <c r="J2092">
        <v>-375.14729999999997</v>
      </c>
      <c r="K2092">
        <v>1.109183</v>
      </c>
      <c r="L2092">
        <v>283.64060000000001</v>
      </c>
      <c r="M2092">
        <v>-0.99979229999999997</v>
      </c>
      <c r="N2092">
        <v>0</v>
      </c>
      <c r="O2092">
        <v>1.377596E-2</v>
      </c>
      <c r="P2092">
        <v>-0.99793089999999995</v>
      </c>
      <c r="Q2092">
        <v>-2.107498E-2</v>
      </c>
      <c r="R2092">
        <v>-6.0746069999999999E-2</v>
      </c>
      <c r="S2092">
        <v>-3.0157780000000001</v>
      </c>
      <c r="T2092">
        <v>-1.0302500000000001</v>
      </c>
      <c r="U2092">
        <v>0.51394649999999997</v>
      </c>
      <c r="V2092">
        <v>-7.44948E-2</v>
      </c>
      <c r="W2092">
        <v>-6.0326930000000004E-3</v>
      </c>
      <c r="X2092">
        <v>0.99720319999999996</v>
      </c>
      <c r="Y2092">
        <v>0.1470496</v>
      </c>
      <c r="Z2092">
        <v>1.9718289999999999E-2</v>
      </c>
      <c r="AA2092">
        <v>0.98893249999999999</v>
      </c>
      <c r="AB2092">
        <v>39</v>
      </c>
      <c r="AC2092">
        <v>-0.63700000000000001</v>
      </c>
      <c r="AD2092">
        <v>-0.30072650000000001</v>
      </c>
      <c r="AE2092">
        <v>0.14690000000001599</v>
      </c>
      <c r="AF2092">
        <v>0.113987501500976</v>
      </c>
      <c r="AG2092">
        <v>-0.30072650000000001</v>
      </c>
      <c r="AH2092">
        <v>0.52736198414192803</v>
      </c>
      <c r="AI2092">
        <v>119.13421762771399</v>
      </c>
      <c r="AJ2092">
        <v>77.803341728332001</v>
      </c>
      <c r="AK2092">
        <v>0.61768943703029</v>
      </c>
      <c r="AL2092">
        <v>90.3456499289058</v>
      </c>
      <c r="AM2092">
        <v>94.272272965655503</v>
      </c>
      <c r="AN2092">
        <v>1.00000004535105</v>
      </c>
    </row>
    <row r="2093" spans="1:40" x14ac:dyDescent="0.25">
      <c r="A2093" t="str">
        <f>"20190312151538664"</f>
        <v>20190312151538664</v>
      </c>
      <c r="B2093" t="str">
        <f>"1552374938659269"</f>
        <v>1552374938659269</v>
      </c>
      <c r="C2093" t="s">
        <v>40</v>
      </c>
      <c r="D2093">
        <v>4.6708550000000004</v>
      </c>
      <c r="E2093">
        <v>0.58938880000000005</v>
      </c>
      <c r="F2093" t="s">
        <v>41</v>
      </c>
      <c r="G2093">
        <v>-375.81400000000002</v>
      </c>
      <c r="H2093">
        <v>0.88164399999999998</v>
      </c>
      <c r="I2093">
        <v>283.75450000000001</v>
      </c>
      <c r="J2093">
        <v>-375.35809999999998</v>
      </c>
      <c r="K2093">
        <v>1.1091839999999999</v>
      </c>
      <c r="L2093">
        <v>283.64359999999999</v>
      </c>
      <c r="M2093">
        <v>-0.99978999999999996</v>
      </c>
      <c r="N2093">
        <v>0</v>
      </c>
      <c r="O2093">
        <v>1.3954060000000001E-2</v>
      </c>
      <c r="P2093">
        <v>-0.99794579999999999</v>
      </c>
      <c r="Q2093">
        <v>-2.1190090000000002E-2</v>
      </c>
      <c r="R2093">
        <v>-6.0459329999999999E-2</v>
      </c>
      <c r="S2093">
        <v>-3.0157470000000002</v>
      </c>
      <c r="T2093">
        <v>-1.0293840000000001</v>
      </c>
      <c r="U2093">
        <v>0.5138855</v>
      </c>
      <c r="V2093">
        <v>-7.4385870000000007E-2</v>
      </c>
      <c r="W2093">
        <v>-6.1501660000000003E-3</v>
      </c>
      <c r="X2093">
        <v>0.99721059999999995</v>
      </c>
      <c r="Y2093">
        <v>0.1468865</v>
      </c>
      <c r="Z2093">
        <v>1.9617200000000001E-2</v>
      </c>
      <c r="AA2093">
        <v>0.98895880000000003</v>
      </c>
      <c r="AB2093">
        <v>39</v>
      </c>
      <c r="AC2093">
        <v>-0.45590000000004199</v>
      </c>
      <c r="AD2093">
        <v>-0.22753999999999899</v>
      </c>
      <c r="AE2093">
        <v>0.110900000000015</v>
      </c>
      <c r="AF2093">
        <v>8.4624438763084203E-2</v>
      </c>
      <c r="AG2093">
        <v>-0.22753999999999899</v>
      </c>
      <c r="AH2093">
        <v>0.37031159309550099</v>
      </c>
      <c r="AI2093">
        <v>120.922181410135</v>
      </c>
      <c r="AJ2093">
        <v>77.127676245775504</v>
      </c>
      <c r="AK2093">
        <v>0.442793883445667</v>
      </c>
      <c r="AL2093">
        <v>90.352380765477605</v>
      </c>
      <c r="AM2093">
        <v>94.266017375234398</v>
      </c>
      <c r="AN2093">
        <v>1.00000003147492</v>
      </c>
    </row>
    <row r="2094" spans="1:40" x14ac:dyDescent="0.25">
      <c r="A2094" t="str">
        <f>"20190312151538680"</f>
        <v>20190312151538680</v>
      </c>
      <c r="B2094" t="str">
        <f>"1552374938670004"</f>
        <v>1552374938670004</v>
      </c>
      <c r="C2094" t="s">
        <v>40</v>
      </c>
      <c r="D2094">
        <v>4.7053409999999998</v>
      </c>
      <c r="E2094">
        <v>0.58931669999999903</v>
      </c>
      <c r="F2094" t="s">
        <v>41</v>
      </c>
      <c r="G2094">
        <v>-376.14420000000001</v>
      </c>
      <c r="H2094">
        <v>0.83974780000000004</v>
      </c>
      <c r="I2094">
        <v>283.77769999999998</v>
      </c>
      <c r="J2094">
        <v>-375.6302</v>
      </c>
      <c r="K2094">
        <v>1.1091799999999901</v>
      </c>
      <c r="L2094">
        <v>283.64760000000001</v>
      </c>
      <c r="M2094">
        <v>-0.99978679999999998</v>
      </c>
      <c r="N2094">
        <v>0</v>
      </c>
      <c r="O2094">
        <v>1.4184250000000001E-2</v>
      </c>
      <c r="P2094">
        <v>-0.99795149999999999</v>
      </c>
      <c r="Q2094">
        <v>-2.1322109999999998E-2</v>
      </c>
      <c r="R2094">
        <v>-6.0320600000000002E-2</v>
      </c>
      <c r="S2094">
        <v>-3.0153500000000002</v>
      </c>
      <c r="T2094">
        <v>-1.033541</v>
      </c>
      <c r="U2094">
        <v>0.51376339999999998</v>
      </c>
      <c r="V2094">
        <v>-7.4476630000000002E-2</v>
      </c>
      <c r="W2094">
        <v>-6.2853519999999897E-3</v>
      </c>
      <c r="X2094">
        <v>0.9972029</v>
      </c>
      <c r="Y2094">
        <v>0.146610299999999</v>
      </c>
      <c r="Z2094">
        <v>1.9572840000000001E-2</v>
      </c>
      <c r="AA2094">
        <v>0.98900069999999995</v>
      </c>
      <c r="AB2094">
        <v>39</v>
      </c>
      <c r="AC2094">
        <v>-0.51400000000001</v>
      </c>
      <c r="AD2094">
        <v>-0.26943219999999901</v>
      </c>
      <c r="AE2094">
        <v>0.13009999999996999</v>
      </c>
      <c r="AF2094">
        <v>9.7593867047586297E-2</v>
      </c>
      <c r="AG2094">
        <v>-0.26943219999999901</v>
      </c>
      <c r="AH2094">
        <v>0.409936561230068</v>
      </c>
      <c r="AI2094">
        <v>122.594186892259</v>
      </c>
      <c r="AJ2094">
        <v>76.608835011406299</v>
      </c>
      <c r="AK2094">
        <v>0.50016622988290105</v>
      </c>
      <c r="AL2094">
        <v>90.360126531949106</v>
      </c>
      <c r="AM2094">
        <v>94.271236054105401</v>
      </c>
      <c r="AN2094">
        <v>0.99999994891716404</v>
      </c>
    </row>
    <row r="2095" spans="1:40" x14ac:dyDescent="0.25">
      <c r="A2095" t="str">
        <f>"20190312151538695"</f>
        <v>20190312151538695</v>
      </c>
      <c r="B2095" t="str">
        <f>"1552374938689525"</f>
        <v>1552374938689525</v>
      </c>
      <c r="C2095" t="s">
        <v>40</v>
      </c>
      <c r="D2095">
        <v>4.6630979999999997</v>
      </c>
      <c r="E2095">
        <v>0.58929600000000004</v>
      </c>
      <c r="F2095" t="s">
        <v>41</v>
      </c>
      <c r="G2095">
        <v>-376.48140000000001</v>
      </c>
      <c r="H2095">
        <v>0.81629339999999995</v>
      </c>
      <c r="I2095">
        <v>283.79309999999998</v>
      </c>
      <c r="J2095">
        <v>-375.88510000000002</v>
      </c>
      <c r="K2095">
        <v>1.109183</v>
      </c>
      <c r="L2095">
        <v>283.6515</v>
      </c>
      <c r="M2095">
        <v>-0.99978370000000005</v>
      </c>
      <c r="N2095">
        <v>0</v>
      </c>
      <c r="O2095">
        <v>1.440049E-2</v>
      </c>
      <c r="P2095">
        <v>-0.99798030000000004</v>
      </c>
      <c r="Q2095">
        <v>-2.140537E-2</v>
      </c>
      <c r="R2095">
        <v>-5.981098E-2</v>
      </c>
      <c r="S2095">
        <v>-3.0150450000000002</v>
      </c>
      <c r="T2095">
        <v>-1.037328</v>
      </c>
      <c r="U2095">
        <v>0.5137024</v>
      </c>
      <c r="V2095">
        <v>-7.4183669999999993E-2</v>
      </c>
      <c r="W2095">
        <v>-6.371565E-3</v>
      </c>
      <c r="X2095">
        <v>0.99722420000000001</v>
      </c>
      <c r="Y2095">
        <v>0.14636550000000001</v>
      </c>
      <c r="Z2095">
        <v>1.953015E-2</v>
      </c>
      <c r="AA2095">
        <v>0.98903779999999997</v>
      </c>
      <c r="AB2095">
        <v>39</v>
      </c>
      <c r="AC2095">
        <v>-0.59629999999998495</v>
      </c>
      <c r="AD2095">
        <v>-0.29288960000000003</v>
      </c>
      <c r="AE2095">
        <v>0.14159999999998199</v>
      </c>
      <c r="AF2095">
        <v>0.108270690188948</v>
      </c>
      <c r="AG2095">
        <v>-0.29288960000000003</v>
      </c>
      <c r="AH2095">
        <v>0.48704673123591802</v>
      </c>
      <c r="AI2095">
        <v>120.414147649249</v>
      </c>
      <c r="AJ2095">
        <v>77.466923106806505</v>
      </c>
      <c r="AK2095">
        <v>0.57855110279883104</v>
      </c>
      <c r="AL2095">
        <v>90.365066268332797</v>
      </c>
      <c r="AM2095">
        <v>94.254406065768094</v>
      </c>
      <c r="AN2095">
        <v>0.99999995940042796</v>
      </c>
    </row>
    <row r="2096" spans="1:40" x14ac:dyDescent="0.25">
      <c r="A2096" t="str">
        <f>"20190312151538717"</f>
        <v>20190312151538717</v>
      </c>
      <c r="B2096" t="str">
        <f>"1552374938710021"</f>
        <v>1552374938710021</v>
      </c>
      <c r="C2096" t="s">
        <v>40</v>
      </c>
      <c r="D2096">
        <v>4.5310649999999999</v>
      </c>
      <c r="E2096">
        <v>0.58935360000000003</v>
      </c>
      <c r="F2096" t="s">
        <v>41</v>
      </c>
      <c r="G2096">
        <v>-376.81619999999998</v>
      </c>
      <c r="H2096">
        <v>0.78758649999999997</v>
      </c>
      <c r="I2096">
        <v>283.81049999999999</v>
      </c>
      <c r="J2096">
        <v>-376.27800000000002</v>
      </c>
      <c r="K2096">
        <v>1.1091879999999901</v>
      </c>
      <c r="L2096">
        <v>283.6574</v>
      </c>
      <c r="M2096">
        <v>-0.99977890000000003</v>
      </c>
      <c r="N2096">
        <v>0</v>
      </c>
      <c r="O2096">
        <v>1.4733319999999999E-2</v>
      </c>
      <c r="P2096">
        <v>-0.99800990000000001</v>
      </c>
      <c r="Q2096">
        <v>-2.1474610000000002E-2</v>
      </c>
      <c r="R2096">
        <v>-5.9289939999999999E-2</v>
      </c>
      <c r="S2096">
        <v>-3.014618</v>
      </c>
      <c r="T2096">
        <v>-1.0412330000000001</v>
      </c>
      <c r="U2096">
        <v>0.51507570000000003</v>
      </c>
      <c r="V2096">
        <v>-7.3994859999999996E-2</v>
      </c>
      <c r="W2096">
        <v>-6.4454150000000003E-3</v>
      </c>
      <c r="X2096">
        <v>0.99723779999999995</v>
      </c>
      <c r="Y2096">
        <v>0.1464558</v>
      </c>
      <c r="Z2096">
        <v>1.9505789999999999E-2</v>
      </c>
      <c r="AA2096">
        <v>0.98902489999999998</v>
      </c>
      <c r="AB2096">
        <v>39</v>
      </c>
      <c r="AC2096">
        <v>-0.53819999999996004</v>
      </c>
      <c r="AD2096">
        <v>-0.32160149999999899</v>
      </c>
      <c r="AE2096">
        <v>0.15309999999999399</v>
      </c>
      <c r="AF2096">
        <v>0.10911011707058201</v>
      </c>
      <c r="AG2096">
        <v>-0.32160149999999899</v>
      </c>
      <c r="AH2096">
        <v>0.40621157387741802</v>
      </c>
      <c r="AI2096">
        <v>127.401787451551</v>
      </c>
      <c r="AJ2096">
        <v>74.964992882282601</v>
      </c>
      <c r="AK2096">
        <v>0.52947179830598601</v>
      </c>
      <c r="AL2096">
        <v>90.369297631423507</v>
      </c>
      <c r="AM2096">
        <v>94.243559826801203</v>
      </c>
      <c r="AN2096">
        <v>1.0000000062148899</v>
      </c>
    </row>
    <row r="2097" spans="1:40" x14ac:dyDescent="0.25">
      <c r="A2097" t="str">
        <f>"20190312151538738"</f>
        <v>20190312151538738</v>
      </c>
      <c r="B2097" t="str">
        <f>"1552374938729541"</f>
        <v>1552374938729541</v>
      </c>
      <c r="C2097" t="s">
        <v>40</v>
      </c>
      <c r="D2097">
        <v>4.6133009999999999</v>
      </c>
      <c r="E2097">
        <v>0.58931789999999995</v>
      </c>
      <c r="F2097" t="s">
        <v>41</v>
      </c>
      <c r="G2097">
        <v>-377.1678</v>
      </c>
      <c r="H2097">
        <v>0.80139419999999995</v>
      </c>
      <c r="I2097">
        <v>283.81049999999999</v>
      </c>
      <c r="J2097">
        <v>-376.64319999999998</v>
      </c>
      <c r="K2097">
        <v>1.1091839999999999</v>
      </c>
      <c r="L2097">
        <v>283.66309999999999</v>
      </c>
      <c r="M2097">
        <v>-0.99977439999999995</v>
      </c>
      <c r="N2097">
        <v>0</v>
      </c>
      <c r="O2097">
        <v>1.504291E-2</v>
      </c>
      <c r="P2097">
        <v>-0.99804380000000004</v>
      </c>
      <c r="Q2097">
        <v>-2.1711950000000001E-2</v>
      </c>
      <c r="R2097">
        <v>-5.8628850000000003E-2</v>
      </c>
      <c r="S2097">
        <v>-3.0142820000000001</v>
      </c>
      <c r="T2097">
        <v>-1.04264</v>
      </c>
      <c r="U2097">
        <v>0.51745609999999997</v>
      </c>
      <c r="V2097">
        <v>-7.3643330000000007E-2</v>
      </c>
      <c r="W2097">
        <v>-6.6870360000000004E-3</v>
      </c>
      <c r="X2097">
        <v>0.99726219999999999</v>
      </c>
      <c r="Y2097">
        <v>0.14689949999999999</v>
      </c>
      <c r="Z2097">
        <v>1.9502350000000002E-2</v>
      </c>
      <c r="AA2097">
        <v>0.98895909999999998</v>
      </c>
      <c r="AB2097">
        <v>39</v>
      </c>
      <c r="AC2097">
        <v>-0.52460000000002005</v>
      </c>
      <c r="AD2097">
        <v>-0.307789799999999</v>
      </c>
      <c r="AE2097">
        <v>0.147400000000004</v>
      </c>
      <c r="AF2097">
        <v>0.105751471353506</v>
      </c>
      <c r="AG2097">
        <v>-0.307789799999999</v>
      </c>
      <c r="AH2097">
        <v>0.39934825129399798</v>
      </c>
      <c r="AI2097">
        <v>126.68794538090501</v>
      </c>
      <c r="AJ2097">
        <v>75.167937129772596</v>
      </c>
      <c r="AK2097">
        <v>0.51516692487876703</v>
      </c>
      <c r="AL2097">
        <v>90.383141804930503</v>
      </c>
      <c r="AM2097">
        <v>94.223369957773897</v>
      </c>
      <c r="AN2097">
        <v>0.99999997602639601</v>
      </c>
    </row>
    <row r="2098" spans="1:40" x14ac:dyDescent="0.25">
      <c r="A2098" t="str">
        <f>"20190312151538751"</f>
        <v>20190312151538751</v>
      </c>
      <c r="B2098" t="str">
        <f>"1552374938739302"</f>
        <v>1552374938739302</v>
      </c>
      <c r="C2098" t="s">
        <v>40</v>
      </c>
      <c r="D2098">
        <v>4.6965320000000004</v>
      </c>
      <c r="E2098">
        <v>0.58937410000000001</v>
      </c>
      <c r="F2098" t="s">
        <v>41</v>
      </c>
      <c r="G2098">
        <v>-377.51560000000001</v>
      </c>
      <c r="H2098">
        <v>0.80655669999999902</v>
      </c>
      <c r="I2098">
        <v>283.8134</v>
      </c>
      <c r="J2098">
        <v>-376.87119999999999</v>
      </c>
      <c r="K2098">
        <v>1.109183</v>
      </c>
      <c r="L2098">
        <v>283.66669999999999</v>
      </c>
      <c r="M2098">
        <v>-0.99977139999999998</v>
      </c>
      <c r="N2098">
        <v>0</v>
      </c>
      <c r="O2098">
        <v>1.523627E-2</v>
      </c>
      <c r="P2098">
        <v>-0.99805299999999997</v>
      </c>
      <c r="Q2098">
        <v>-2.188965E-2</v>
      </c>
      <c r="R2098">
        <v>-5.8407109999999998E-2</v>
      </c>
      <c r="S2098">
        <v>-3.0136409999999998</v>
      </c>
      <c r="T2098">
        <v>-1.045436</v>
      </c>
      <c r="U2098">
        <v>0.51943969999999995</v>
      </c>
      <c r="V2098">
        <v>-7.3614239999999997E-2</v>
      </c>
      <c r="W2098">
        <v>-6.8674599999999997E-3</v>
      </c>
      <c r="X2098">
        <v>0.99726309999999996</v>
      </c>
      <c r="Y2098">
        <v>0.14732190000000001</v>
      </c>
      <c r="Z2098">
        <v>1.9560689999999999E-2</v>
      </c>
      <c r="AA2098">
        <v>0.98889519999999997</v>
      </c>
      <c r="AB2098">
        <v>39</v>
      </c>
      <c r="AC2098">
        <v>-0.64440000000001796</v>
      </c>
      <c r="AD2098">
        <v>-0.30262630000000001</v>
      </c>
      <c r="AE2098">
        <v>0.14670000000000899</v>
      </c>
      <c r="AF2098">
        <v>0.113140284867889</v>
      </c>
      <c r="AG2098">
        <v>-0.30262630000000001</v>
      </c>
      <c r="AH2098">
        <v>0.53448867586618798</v>
      </c>
      <c r="AI2098">
        <v>118.98310354732099</v>
      </c>
      <c r="AJ2098">
        <v>78.048089351796094</v>
      </c>
      <c r="AK2098">
        <v>0.62454907424546502</v>
      </c>
      <c r="AL2098">
        <v>90.393479584808802</v>
      </c>
      <c r="AM2098">
        <v>94.221703912573105</v>
      </c>
      <c r="AN2098">
        <v>0.99999995447961798</v>
      </c>
    </row>
    <row r="2099" spans="1:40" x14ac:dyDescent="0.25">
      <c r="A2099" t="str">
        <f>"20190312151538764"</f>
        <v>20190312151538764</v>
      </c>
      <c r="B2099" t="str">
        <f>"1552374938759797"</f>
        <v>1552374938759797</v>
      </c>
      <c r="C2099" t="s">
        <v>40</v>
      </c>
      <c r="D2099">
        <v>4.5663749999999999</v>
      </c>
      <c r="E2099">
        <v>0.58937130000000004</v>
      </c>
      <c r="F2099" t="s">
        <v>41</v>
      </c>
      <c r="G2099">
        <v>-377.54349999999999</v>
      </c>
      <c r="H2099">
        <v>0.87558639999999999</v>
      </c>
      <c r="I2099">
        <v>283.78280000000001</v>
      </c>
      <c r="J2099">
        <v>-377.08879999999999</v>
      </c>
      <c r="K2099">
        <v>1.109183</v>
      </c>
      <c r="L2099">
        <v>283.67020000000002</v>
      </c>
      <c r="M2099">
        <v>-0.99976869999999995</v>
      </c>
      <c r="N2099">
        <v>0</v>
      </c>
      <c r="O2099">
        <v>1.542045E-2</v>
      </c>
      <c r="P2099">
        <v>-0.99806450000000002</v>
      </c>
      <c r="Q2099">
        <v>-2.1908190000000001E-2</v>
      </c>
      <c r="R2099">
        <v>-5.8201200000000002E-2</v>
      </c>
      <c r="S2099">
        <v>-3.013306</v>
      </c>
      <c r="T2099">
        <v>-1.0471379999999999</v>
      </c>
      <c r="U2099">
        <v>0.52053830000000001</v>
      </c>
      <c r="V2099">
        <v>-7.3593290000000006E-2</v>
      </c>
      <c r="W2099">
        <v>-6.8885550000000002E-3</v>
      </c>
      <c r="X2099">
        <v>0.99726459999999995</v>
      </c>
      <c r="Y2099">
        <v>0.1474849</v>
      </c>
      <c r="Z2099">
        <v>1.95579E-2</v>
      </c>
      <c r="AA2099">
        <v>0.9888709</v>
      </c>
      <c r="AB2099">
        <v>39</v>
      </c>
      <c r="AC2099">
        <v>-0.45470000000000199</v>
      </c>
      <c r="AD2099">
        <v>-0.23359659999999999</v>
      </c>
      <c r="AE2099">
        <v>0.112599999999986</v>
      </c>
      <c r="AF2099">
        <v>8.4548810442654193E-2</v>
      </c>
      <c r="AG2099">
        <v>-0.23359659999999999</v>
      </c>
      <c r="AH2099">
        <v>0.36549285155083999</v>
      </c>
      <c r="AI2099">
        <v>121.909862858339</v>
      </c>
      <c r="AJ2099">
        <v>76.974978639325002</v>
      </c>
      <c r="AK2099">
        <v>0.44192861121859101</v>
      </c>
      <c r="AL2099">
        <v>90.394688228852402</v>
      </c>
      <c r="AM2099">
        <v>94.220500467620994</v>
      </c>
      <c r="AN2099">
        <v>1.00000005346808</v>
      </c>
    </row>
    <row r="2100" spans="1:40" x14ac:dyDescent="0.25">
      <c r="A2100" t="str">
        <f>"20190312151538784"</f>
        <v>20190312151538784</v>
      </c>
      <c r="B2100" t="str">
        <f>"1552374938779317"</f>
        <v>1552374938779317</v>
      </c>
      <c r="C2100" t="s">
        <v>40</v>
      </c>
      <c r="D2100">
        <v>4.7583339999999996</v>
      </c>
      <c r="E2100">
        <v>0.58947830000000001</v>
      </c>
      <c r="F2100" t="s">
        <v>41</v>
      </c>
      <c r="G2100">
        <v>-377.87299999999999</v>
      </c>
      <c r="H2100">
        <v>0.83684599999999898</v>
      </c>
      <c r="I2100">
        <v>283.80610000000001</v>
      </c>
      <c r="J2100">
        <v>-377.42380000000003</v>
      </c>
      <c r="K2100">
        <v>1.1091899999999999</v>
      </c>
      <c r="L2100">
        <v>283.67570000000001</v>
      </c>
      <c r="M2100">
        <v>-0.9997644</v>
      </c>
      <c r="N2100">
        <v>0</v>
      </c>
      <c r="O2100">
        <v>1.570446E-2</v>
      </c>
      <c r="P2100">
        <v>-0.99809159999999997</v>
      </c>
      <c r="Q2100">
        <v>-2.2028610000000001E-2</v>
      </c>
      <c r="R2100">
        <v>-5.769138E-2</v>
      </c>
      <c r="S2100">
        <v>-3.0132140000000001</v>
      </c>
      <c r="T2100">
        <v>-1.046338</v>
      </c>
      <c r="U2100">
        <v>0.52136229999999995</v>
      </c>
      <c r="V2100">
        <v>-7.3366890000000004E-2</v>
      </c>
      <c r="W2100">
        <v>-7.0128680000000002E-3</v>
      </c>
      <c r="X2100">
        <v>0.99728039999999996</v>
      </c>
      <c r="Y2100">
        <v>0.14749849999999901</v>
      </c>
      <c r="Z2100">
        <v>1.9451090000000001E-2</v>
      </c>
      <c r="AA2100">
        <v>0.98887100000000006</v>
      </c>
      <c r="AB2100">
        <v>39</v>
      </c>
      <c r="AC2100">
        <v>-0.44920000000001797</v>
      </c>
      <c r="AD2100">
        <v>-0.27234399999999997</v>
      </c>
      <c r="AE2100">
        <v>0.13040000000000801</v>
      </c>
      <c r="AF2100">
        <v>9.2104054890703196E-2</v>
      </c>
      <c r="AG2100">
        <v>-0.27234399999999997</v>
      </c>
      <c r="AH2100">
        <v>0.33695873271819299</v>
      </c>
      <c r="AI2100">
        <v>127.94143366913001</v>
      </c>
      <c r="AJ2100">
        <v>74.712248938923196</v>
      </c>
      <c r="AK2100">
        <v>0.44293972368524398</v>
      </c>
      <c r="AL2100">
        <v>90.401811016772498</v>
      </c>
      <c r="AM2100">
        <v>94.207496936864999</v>
      </c>
      <c r="AN2100">
        <v>1.0000000385450001</v>
      </c>
    </row>
    <row r="2101" spans="1:40" x14ac:dyDescent="0.25">
      <c r="A2101" t="str">
        <f>"20190312151538796"</f>
        <v>20190312151538796</v>
      </c>
      <c r="B2101" t="str">
        <f>"1552374938789077"</f>
        <v>1552374938789077</v>
      </c>
      <c r="C2101" t="s">
        <v>40</v>
      </c>
      <c r="D2101">
        <v>4.6725599999999998</v>
      </c>
      <c r="E2101">
        <v>0.58950329999999995</v>
      </c>
      <c r="F2101" t="s">
        <v>41</v>
      </c>
      <c r="G2101">
        <v>-378.21640000000002</v>
      </c>
      <c r="H2101">
        <v>0.83314319999999897</v>
      </c>
      <c r="I2101">
        <v>283.81360000000001</v>
      </c>
      <c r="J2101">
        <v>-377.64940000000001</v>
      </c>
      <c r="K2101">
        <v>1.109191</v>
      </c>
      <c r="L2101">
        <v>283.67930000000001</v>
      </c>
      <c r="M2101">
        <v>-0.99976140000000002</v>
      </c>
      <c r="N2101">
        <v>0</v>
      </c>
      <c r="O2101">
        <v>1.5895799999999901E-2</v>
      </c>
      <c r="P2101">
        <v>-0.99811019999999995</v>
      </c>
      <c r="Q2101">
        <v>-2.2087269999999999E-2</v>
      </c>
      <c r="R2101">
        <v>-5.7344409999999998E-2</v>
      </c>
      <c r="S2101">
        <v>-3.012848</v>
      </c>
      <c r="T2101">
        <v>-1.049274</v>
      </c>
      <c r="U2101">
        <v>0.52380369999999998</v>
      </c>
      <c r="V2101">
        <v>-7.3211330000000005E-2</v>
      </c>
      <c r="W2101">
        <v>-7.0741500000000004E-3</v>
      </c>
      <c r="X2101">
        <v>0.99729140000000005</v>
      </c>
      <c r="Y2101">
        <v>0.14804579999999901</v>
      </c>
      <c r="Z2101">
        <v>1.9531380000000001E-2</v>
      </c>
      <c r="AA2101">
        <v>0.98878770000000005</v>
      </c>
      <c r="AB2101">
        <v>39</v>
      </c>
      <c r="AC2101">
        <v>-0.56700000000000705</v>
      </c>
      <c r="AD2101">
        <v>-0.27604780000000001</v>
      </c>
      <c r="AE2101">
        <v>0.13429999999999601</v>
      </c>
      <c r="AF2101">
        <v>0.102307432333089</v>
      </c>
      <c r="AG2101">
        <v>-0.27604780000000001</v>
      </c>
      <c r="AH2101">
        <v>0.464754799985934</v>
      </c>
      <c r="AI2101">
        <v>120.116989367667</v>
      </c>
      <c r="AJ2101">
        <v>77.585364406900396</v>
      </c>
      <c r="AK2101">
        <v>0.550151090797242</v>
      </c>
      <c r="AL2101">
        <v>90.405322303320702</v>
      </c>
      <c r="AM2101">
        <v>94.198561562627205</v>
      </c>
      <c r="AN2101">
        <v>1.00000003947627</v>
      </c>
    </row>
    <row r="2102" spans="1:40" x14ac:dyDescent="0.25">
      <c r="A2102" t="str">
        <f>"20190312151538810"</f>
        <v>20190312151538810</v>
      </c>
      <c r="B2102" t="str">
        <f>"1552374938799813"</f>
        <v>1552374938799813</v>
      </c>
      <c r="C2102" t="s">
        <v>40</v>
      </c>
      <c r="D2102">
        <v>4.7781500000000001</v>
      </c>
      <c r="E2102">
        <v>0.58957700000000002</v>
      </c>
      <c r="F2102" t="s">
        <v>41</v>
      </c>
      <c r="G2102">
        <v>-378.54599999999999</v>
      </c>
      <c r="H2102">
        <v>0.796512199999999</v>
      </c>
      <c r="I2102">
        <v>283.83580000000001</v>
      </c>
      <c r="J2102">
        <v>-377.88119999999998</v>
      </c>
      <c r="K2102">
        <v>1.1091949999999999</v>
      </c>
      <c r="L2102">
        <v>283.6832</v>
      </c>
      <c r="M2102">
        <v>-0.99975820000000004</v>
      </c>
      <c r="N2102">
        <v>0</v>
      </c>
      <c r="O2102">
        <v>1.609267E-2</v>
      </c>
      <c r="P2102">
        <v>-0.99812860000000003</v>
      </c>
      <c r="Q2102">
        <v>-2.2029650000000001E-2</v>
      </c>
      <c r="R2102">
        <v>-5.7045430000000001E-2</v>
      </c>
      <c r="S2102">
        <v>-3.0126339999999998</v>
      </c>
      <c r="T2102">
        <v>-1.050662</v>
      </c>
      <c r="U2102">
        <v>0.52493290000000004</v>
      </c>
      <c r="V2102">
        <v>-7.3108640000000003E-2</v>
      </c>
      <c r="W2102">
        <v>-7.0192850000000001E-3</v>
      </c>
      <c r="X2102">
        <v>0.9972993</v>
      </c>
      <c r="Y2102">
        <v>0.14820510000000001</v>
      </c>
      <c r="Z2102">
        <v>1.9517130000000001E-2</v>
      </c>
      <c r="AA2102">
        <v>0.98876399999999998</v>
      </c>
      <c r="AB2102">
        <v>39</v>
      </c>
      <c r="AC2102">
        <v>-0.66480000000001305</v>
      </c>
      <c r="AD2102">
        <v>-0.31268279999999998</v>
      </c>
      <c r="AE2102">
        <v>0.15260000000000601</v>
      </c>
      <c r="AF2102">
        <v>0.11724236309122101</v>
      </c>
      <c r="AG2102">
        <v>-0.31268279999999998</v>
      </c>
      <c r="AH2102">
        <v>0.55131259927735898</v>
      </c>
      <c r="AI2102">
        <v>119.01954564840599</v>
      </c>
      <c r="AJ2102">
        <v>77.9943072853128</v>
      </c>
      <c r="AK2102">
        <v>0.64456333066736904</v>
      </c>
      <c r="AL2102">
        <v>90.402178700809401</v>
      </c>
      <c r="AM2102">
        <v>94.192660364793994</v>
      </c>
      <c r="AN2102">
        <v>1.00000001869252</v>
      </c>
    </row>
    <row r="2103" spans="1:40" x14ac:dyDescent="0.25">
      <c r="A2103" t="str">
        <f>"20190312151538828"</f>
        <v>20190312151538828</v>
      </c>
      <c r="B2103" t="str">
        <f>"1552374938819333"</f>
        <v>1552374938819333</v>
      </c>
      <c r="C2103" t="s">
        <v>40</v>
      </c>
      <c r="D2103">
        <v>4.6842040000000003</v>
      </c>
      <c r="E2103">
        <v>0.58960400000000002</v>
      </c>
      <c r="F2103" t="s">
        <v>41</v>
      </c>
      <c r="G2103">
        <v>-378.57459999999998</v>
      </c>
      <c r="H2103">
        <v>0.86715900000000001</v>
      </c>
      <c r="I2103">
        <v>283.80459999999999</v>
      </c>
      <c r="J2103">
        <v>-378.18560000000002</v>
      </c>
      <c r="K2103">
        <v>1.109199</v>
      </c>
      <c r="L2103">
        <v>283.6884</v>
      </c>
      <c r="M2103">
        <v>-0.99975409999999998</v>
      </c>
      <c r="N2103">
        <v>0</v>
      </c>
      <c r="O2103">
        <v>1.6350989999999999E-2</v>
      </c>
      <c r="P2103">
        <v>-0.99815500000000001</v>
      </c>
      <c r="Q2103">
        <v>-2.2008340000000001E-2</v>
      </c>
      <c r="R2103">
        <v>-5.658846E-2</v>
      </c>
      <c r="S2103">
        <v>-3.0124819999999999</v>
      </c>
      <c r="T2103">
        <v>-1.051437</v>
      </c>
      <c r="U2103">
        <v>0.52624510000000002</v>
      </c>
      <c r="V2103">
        <v>-7.2909879999999996E-2</v>
      </c>
      <c r="W2103">
        <v>-7.0015479999999998E-3</v>
      </c>
      <c r="X2103">
        <v>0.99731400000000003</v>
      </c>
      <c r="Y2103">
        <v>0.1483708</v>
      </c>
      <c r="Z2103">
        <v>1.9471970000000002E-2</v>
      </c>
      <c r="AA2103">
        <v>0.98874010000000001</v>
      </c>
      <c r="AB2103">
        <v>39</v>
      </c>
      <c r="AC2103">
        <v>-0.38899999999995299</v>
      </c>
      <c r="AD2103">
        <v>-0.24204000000000001</v>
      </c>
      <c r="AE2103">
        <v>0.116199999999992</v>
      </c>
      <c r="AF2103">
        <v>8.1024569002266997E-2</v>
      </c>
      <c r="AG2103">
        <v>-0.24204000000000001</v>
      </c>
      <c r="AH2103">
        <v>0.28835712031563199</v>
      </c>
      <c r="AI2103">
        <v>128.94103045915099</v>
      </c>
      <c r="AJ2103">
        <v>74.305333435316996</v>
      </c>
      <c r="AK2103">
        <v>0.38509501583210198</v>
      </c>
      <c r="AL2103">
        <v>90.401162410687604</v>
      </c>
      <c r="AM2103">
        <v>94.181240875333003</v>
      </c>
      <c r="AN2103">
        <v>1.0000000434359999</v>
      </c>
    </row>
    <row r="2104" spans="1:40" x14ac:dyDescent="0.25">
      <c r="A2104" t="str">
        <f>"20190312151538850"</f>
        <v>20190312151538850</v>
      </c>
      <c r="B2104" t="str">
        <f>"1552374938839829"</f>
        <v>1552374938839829</v>
      </c>
      <c r="C2104" t="s">
        <v>40</v>
      </c>
      <c r="D2104">
        <v>4.7151189999999996</v>
      </c>
      <c r="E2104">
        <v>0.58966439999999998</v>
      </c>
      <c r="F2104" t="s">
        <v>41</v>
      </c>
      <c r="G2104">
        <v>-378.91359999999997</v>
      </c>
      <c r="H2104">
        <v>0.85468359999999999</v>
      </c>
      <c r="I2104">
        <v>283.81610000000001</v>
      </c>
      <c r="J2104">
        <v>-378.57380000000001</v>
      </c>
      <c r="K2104">
        <v>1.1092</v>
      </c>
      <c r="L2104">
        <v>283.69499999999999</v>
      </c>
      <c r="M2104">
        <v>-0.99974870000000005</v>
      </c>
      <c r="N2104">
        <v>0</v>
      </c>
      <c r="O2104">
        <v>1.6680670000000002E-2</v>
      </c>
      <c r="P2104">
        <v>-0.99817619999999896</v>
      </c>
      <c r="Q2104">
        <v>-2.2014659999999998E-2</v>
      </c>
      <c r="R2104">
        <v>-5.6214609999999998E-2</v>
      </c>
      <c r="S2104">
        <v>-3.0122990000000001</v>
      </c>
      <c r="T2104">
        <v>-1.053064</v>
      </c>
      <c r="U2104">
        <v>0.52813719999999997</v>
      </c>
      <c r="V2104">
        <v>-7.2864689999999996E-2</v>
      </c>
      <c r="W2104">
        <v>-7.0124389999999997E-3</v>
      </c>
      <c r="X2104">
        <v>0.99731720000000001</v>
      </c>
      <c r="Y2104">
        <v>0.14863879999999999</v>
      </c>
      <c r="Z2104">
        <v>1.9434710000000001E-2</v>
      </c>
      <c r="AA2104">
        <v>0.98870060000000004</v>
      </c>
      <c r="AB2104">
        <v>39</v>
      </c>
      <c r="AC2104">
        <v>-0.33979999999996802</v>
      </c>
      <c r="AD2104">
        <v>-0.25451639999999998</v>
      </c>
      <c r="AE2104">
        <v>0.121100000000012</v>
      </c>
      <c r="AF2104">
        <v>7.7055860321210201E-2</v>
      </c>
      <c r="AG2104">
        <v>-0.25451639999999998</v>
      </c>
      <c r="AH2104">
        <v>0.22818301308453601</v>
      </c>
      <c r="AI2104">
        <v>136.58119678713101</v>
      </c>
      <c r="AJ2104">
        <v>71.340522332940097</v>
      </c>
      <c r="AK2104">
        <v>0.35040503840432902</v>
      </c>
      <c r="AL2104">
        <v>90.401786444782502</v>
      </c>
      <c r="AM2104">
        <v>94.178645138578602</v>
      </c>
      <c r="AN2104">
        <v>1.00000001738268</v>
      </c>
    </row>
    <row r="2105" spans="1:40" x14ac:dyDescent="0.25">
      <c r="A2105" t="str">
        <f>"20190312151538864"</f>
        <v>20190312151538864</v>
      </c>
      <c r="B2105" t="str">
        <f>"1552374938859349"</f>
        <v>1552374938859349</v>
      </c>
      <c r="C2105" t="s">
        <v>40</v>
      </c>
      <c r="D2105">
        <v>4.6119009999999996</v>
      </c>
      <c r="E2105">
        <v>0.58961589999999997</v>
      </c>
      <c r="F2105" t="s">
        <v>41</v>
      </c>
      <c r="G2105">
        <v>-379.2627</v>
      </c>
      <c r="H2105">
        <v>0.86807269999999903</v>
      </c>
      <c r="I2105">
        <v>283.81659999999999</v>
      </c>
      <c r="J2105">
        <v>-378.79860000000002</v>
      </c>
      <c r="K2105">
        <v>1.109202</v>
      </c>
      <c r="L2105">
        <v>283.69900000000001</v>
      </c>
      <c r="M2105">
        <v>-0.99974560000000001</v>
      </c>
      <c r="N2105">
        <v>0</v>
      </c>
      <c r="O2105">
        <v>1.6871879999999999E-2</v>
      </c>
      <c r="P2105">
        <v>-0.99818750000000001</v>
      </c>
      <c r="Q2105">
        <v>-2.196468E-2</v>
      </c>
      <c r="R2105">
        <v>-5.6033039999999999E-2</v>
      </c>
      <c r="S2105">
        <v>-3.0120849999999999</v>
      </c>
      <c r="T2105">
        <v>-1.0540959999999999</v>
      </c>
      <c r="U2105">
        <v>0.52990719999999902</v>
      </c>
      <c r="V2105">
        <v>-7.2874220000000003E-2</v>
      </c>
      <c r="W2105">
        <v>-6.9652619999999998E-3</v>
      </c>
      <c r="X2105">
        <v>0.9973168</v>
      </c>
      <c r="Y2105">
        <v>0.14900099999999999</v>
      </c>
      <c r="Z2105">
        <v>1.944974E-2</v>
      </c>
      <c r="AA2105">
        <v>0.98864569999999996</v>
      </c>
      <c r="AB2105">
        <v>38</v>
      </c>
      <c r="AC2105">
        <v>-0.46409999999997298</v>
      </c>
      <c r="AD2105">
        <v>-0.24112929999999999</v>
      </c>
      <c r="AE2105">
        <v>0.117599999999981</v>
      </c>
      <c r="AF2105">
        <v>8.75454532797727E-2</v>
      </c>
      <c r="AG2105">
        <v>-0.24112929999999999</v>
      </c>
      <c r="AH2105">
        <v>0.37172652457539201</v>
      </c>
      <c r="AI2105">
        <v>122.268309051819</v>
      </c>
      <c r="AJ2105">
        <v>76.747740006240306</v>
      </c>
      <c r="AK2105">
        <v>0.45165047855764501</v>
      </c>
      <c r="AL2105">
        <v>90.399083349469393</v>
      </c>
      <c r="AM2105">
        <v>94.179191399088594</v>
      </c>
      <c r="AN2105">
        <v>0.99999998318878802</v>
      </c>
    </row>
    <row r="2106" spans="1:40" x14ac:dyDescent="0.25">
      <c r="A2106" t="str">
        <f>"20190312151538876"</f>
        <v>20190312151538876</v>
      </c>
      <c r="B2106" t="str">
        <f>"1552374938869110"</f>
        <v>1552374938869110</v>
      </c>
      <c r="C2106" t="s">
        <v>40</v>
      </c>
      <c r="D2106">
        <v>4.6779919999999997</v>
      </c>
      <c r="E2106">
        <v>0.5896055</v>
      </c>
      <c r="F2106" t="s">
        <v>41</v>
      </c>
      <c r="G2106">
        <v>-379.59129999999999</v>
      </c>
      <c r="H2106">
        <v>0.83189419999999903</v>
      </c>
      <c r="I2106">
        <v>283.83870000000002</v>
      </c>
      <c r="J2106">
        <v>-379.02530000000002</v>
      </c>
      <c r="K2106">
        <v>1.1092029999999999</v>
      </c>
      <c r="L2106">
        <v>283.70299999999997</v>
      </c>
      <c r="M2106">
        <v>-0.99974229999999997</v>
      </c>
      <c r="N2106">
        <v>0</v>
      </c>
      <c r="O2106">
        <v>1.706446E-2</v>
      </c>
      <c r="P2106">
        <v>-0.99819970000000002</v>
      </c>
      <c r="Q2106">
        <v>-2.177577E-2</v>
      </c>
      <c r="R2106">
        <v>-5.5886650000000003E-2</v>
      </c>
      <c r="S2106">
        <v>-3.0119929999999999</v>
      </c>
      <c r="T2106">
        <v>-1.05355</v>
      </c>
      <c r="U2106">
        <v>0.52966309999999905</v>
      </c>
      <c r="V2106">
        <v>-7.2919970000000001E-2</v>
      </c>
      <c r="W2106">
        <v>-6.7791170000000003E-3</v>
      </c>
      <c r="X2106">
        <v>0.99731479999999995</v>
      </c>
      <c r="Y2106">
        <v>0.14876979999999901</v>
      </c>
      <c r="Z2106">
        <v>1.933698E-2</v>
      </c>
      <c r="AA2106">
        <v>0.98868279999999997</v>
      </c>
      <c r="AB2106">
        <v>38</v>
      </c>
      <c r="AC2106">
        <v>-0.56599999999997397</v>
      </c>
      <c r="AD2106">
        <v>-0.27730880000000002</v>
      </c>
      <c r="AE2106">
        <v>0.13570000000004201</v>
      </c>
      <c r="AF2106">
        <v>0.102706512681497</v>
      </c>
      <c r="AG2106">
        <v>-0.27730880000000002</v>
      </c>
      <c r="AH2106">
        <v>0.463108779739001</v>
      </c>
      <c r="AI2106">
        <v>120.31031794203</v>
      </c>
      <c r="AJ2106">
        <v>77.495546319740598</v>
      </c>
      <c r="AK2106">
        <v>0.54947114589938295</v>
      </c>
      <c r="AL2106">
        <v>90.388417750776398</v>
      </c>
      <c r="AM2106">
        <v>94.181814122162805</v>
      </c>
      <c r="AN2106">
        <v>1.0000000443755599</v>
      </c>
    </row>
    <row r="2107" spans="1:40" x14ac:dyDescent="0.25">
      <c r="A2107" t="str">
        <f>"20190312151538896"</f>
        <v>20190312151538896</v>
      </c>
      <c r="B2107" t="str">
        <f>"1552374938889605"</f>
        <v>1552374938889605</v>
      </c>
      <c r="C2107" t="s">
        <v>40</v>
      </c>
      <c r="D2107">
        <v>4.6567850000000002</v>
      </c>
      <c r="E2107">
        <v>0.58953610000000001</v>
      </c>
      <c r="F2107" t="s">
        <v>41</v>
      </c>
      <c r="G2107">
        <v>-379.91980000000001</v>
      </c>
      <c r="H2107">
        <v>0.79634340000000003</v>
      </c>
      <c r="I2107">
        <v>283.86070000000001</v>
      </c>
      <c r="J2107">
        <v>-379.35820000000001</v>
      </c>
      <c r="K2107">
        <v>1.109202</v>
      </c>
      <c r="L2107">
        <v>283.70890000000003</v>
      </c>
      <c r="M2107">
        <v>-0.9997376</v>
      </c>
      <c r="N2107">
        <v>0</v>
      </c>
      <c r="O2107">
        <v>1.7347580000000001E-2</v>
      </c>
      <c r="P2107">
        <v>-0.99822060000000001</v>
      </c>
      <c r="Q2107">
        <v>-2.1759649999999998E-2</v>
      </c>
      <c r="R2107">
        <v>-5.552319E-2</v>
      </c>
      <c r="S2107">
        <v>-3.012054</v>
      </c>
      <c r="T2107">
        <v>-1.053401</v>
      </c>
      <c r="U2107">
        <v>0.53002930000000004</v>
      </c>
      <c r="V2107">
        <v>-7.2839619999999994E-2</v>
      </c>
      <c r="W2107">
        <v>-6.7668210000000001E-3</v>
      </c>
      <c r="X2107">
        <v>0.99732069999999995</v>
      </c>
      <c r="Y2107">
        <v>0.14863019999999999</v>
      </c>
      <c r="Z2107">
        <v>1.9214910000000002E-2</v>
      </c>
      <c r="AA2107">
        <v>0.98870619999999998</v>
      </c>
      <c r="AB2107">
        <v>38</v>
      </c>
      <c r="AC2107">
        <v>-0.56159999999999799</v>
      </c>
      <c r="AD2107">
        <v>-0.31285859999999999</v>
      </c>
      <c r="AE2107">
        <v>0.15179999999998001</v>
      </c>
      <c r="AF2107">
        <v>0.110170852911015</v>
      </c>
      <c r="AG2107">
        <v>-0.31285859999999999</v>
      </c>
      <c r="AH2107">
        <v>0.43759197898055902</v>
      </c>
      <c r="AI2107">
        <v>124.734313112489</v>
      </c>
      <c r="AJ2107">
        <v>75.868555139751507</v>
      </c>
      <c r="AK2107">
        <v>0.54909458246573695</v>
      </c>
      <c r="AL2107">
        <v>90.387713247066699</v>
      </c>
      <c r="AM2107">
        <v>94.1771979063288</v>
      </c>
      <c r="AN2107">
        <v>0.99999998937834</v>
      </c>
    </row>
    <row r="2108" spans="1:40" x14ac:dyDescent="0.25">
      <c r="A2108" t="str">
        <f>"20190312151538918"</f>
        <v>20190312151538918</v>
      </c>
      <c r="B2108" t="str">
        <f>"1552374938909125"</f>
        <v>1552374938909125</v>
      </c>
      <c r="C2108" t="s">
        <v>40</v>
      </c>
      <c r="D2108">
        <v>4.7799740000000002</v>
      </c>
      <c r="E2108">
        <v>0.58955009999999997</v>
      </c>
      <c r="F2108" t="s">
        <v>41</v>
      </c>
      <c r="G2108">
        <v>-380.26119999999997</v>
      </c>
      <c r="H2108">
        <v>0.79350410000000005</v>
      </c>
      <c r="I2108">
        <v>283.86810000000003</v>
      </c>
      <c r="J2108">
        <v>-379.73480000000001</v>
      </c>
      <c r="K2108">
        <v>1.109202</v>
      </c>
      <c r="L2108">
        <v>283.7158</v>
      </c>
      <c r="M2108">
        <v>-0.99973210000000001</v>
      </c>
      <c r="N2108">
        <v>0</v>
      </c>
      <c r="O2108">
        <v>1.7667889999999999E-2</v>
      </c>
      <c r="P2108">
        <v>-0.99822010000000005</v>
      </c>
      <c r="Q2108">
        <v>-2.1962430000000002E-2</v>
      </c>
      <c r="R2108">
        <v>-5.545166E-2</v>
      </c>
      <c r="S2108">
        <v>-3.0119020000000001</v>
      </c>
      <c r="T2108">
        <v>-1.053083</v>
      </c>
      <c r="U2108">
        <v>0.530761699999999</v>
      </c>
      <c r="V2108">
        <v>-7.3087269999999996E-2</v>
      </c>
      <c r="W2108">
        <v>-6.973964E-3</v>
      </c>
      <c r="X2108">
        <v>0.9973012</v>
      </c>
      <c r="Y2108">
        <v>0.14858099999999999</v>
      </c>
      <c r="Z2108">
        <v>1.9093740000000001E-2</v>
      </c>
      <c r="AA2108">
        <v>0.98871589999999998</v>
      </c>
      <c r="AB2108">
        <v>38</v>
      </c>
      <c r="AC2108">
        <v>-0.52639999999996601</v>
      </c>
      <c r="AD2108">
        <v>-0.31569789999999998</v>
      </c>
      <c r="AE2108">
        <v>0.152300000000025</v>
      </c>
      <c r="AF2108">
        <v>0.10734699350562001</v>
      </c>
      <c r="AG2108">
        <v>-0.31569789999999998</v>
      </c>
      <c r="AH2108">
        <v>0.397185495958916</v>
      </c>
      <c r="AI2108">
        <v>127.499285458176</v>
      </c>
      <c r="AJ2108">
        <v>74.876051551807507</v>
      </c>
      <c r="AK2108">
        <v>0.51859893875637197</v>
      </c>
      <c r="AL2108">
        <v>90.399581929011504</v>
      </c>
      <c r="AM2108">
        <v>94.191431241896197</v>
      </c>
      <c r="AN2108">
        <v>1.0000000343656801</v>
      </c>
    </row>
    <row r="2109" spans="1:40" x14ac:dyDescent="0.25">
      <c r="A2109" t="str">
        <f>"20190312151538940"</f>
        <v>20190312151538940</v>
      </c>
      <c r="B2109" t="str">
        <f>"1552374938929621"</f>
        <v>1552374938929621</v>
      </c>
      <c r="C2109" t="s">
        <v>40</v>
      </c>
      <c r="D2109">
        <v>4.6921939999999998</v>
      </c>
      <c r="E2109">
        <v>0.58955369999999996</v>
      </c>
      <c r="F2109" t="s">
        <v>41</v>
      </c>
      <c r="G2109">
        <v>-380.60750000000002</v>
      </c>
      <c r="H2109">
        <v>0.80370259999999905</v>
      </c>
      <c r="I2109">
        <v>283.87</v>
      </c>
      <c r="J2109">
        <v>-380.10829999999999</v>
      </c>
      <c r="K2109">
        <v>1.1091979999999999</v>
      </c>
      <c r="L2109">
        <v>283.72269999999997</v>
      </c>
      <c r="M2109">
        <v>-0.99972640000000002</v>
      </c>
      <c r="N2109">
        <v>0</v>
      </c>
      <c r="O2109">
        <v>1.798582E-2</v>
      </c>
      <c r="P2109">
        <v>-0.99823890000000004</v>
      </c>
      <c r="Q2109">
        <v>-2.1542510000000001E-2</v>
      </c>
      <c r="R2109">
        <v>-5.5275350000000001E-2</v>
      </c>
      <c r="S2109">
        <v>-3.0116580000000002</v>
      </c>
      <c r="T2109">
        <v>-1.0541910000000001</v>
      </c>
      <c r="U2109">
        <v>0.53079219999999905</v>
      </c>
      <c r="V2109">
        <v>-7.3228249999999995E-2</v>
      </c>
      <c r="W2109">
        <v>-6.5580990000000004E-3</v>
      </c>
      <c r="X2109">
        <v>0.99729369999999995</v>
      </c>
      <c r="Y2109">
        <v>0.14830789999999999</v>
      </c>
      <c r="Z2109">
        <v>1.896082E-2</v>
      </c>
      <c r="AA2109">
        <v>0.98875950000000001</v>
      </c>
      <c r="AB2109">
        <v>38</v>
      </c>
      <c r="AC2109">
        <v>-0.49920000000003001</v>
      </c>
      <c r="AD2109">
        <v>-0.30549539999999997</v>
      </c>
      <c r="AE2109">
        <v>0.14730000000002899</v>
      </c>
      <c r="AF2109">
        <v>0.10286014445474401</v>
      </c>
      <c r="AG2109">
        <v>-0.30549539999999997</v>
      </c>
      <c r="AH2109">
        <v>0.37319789199747</v>
      </c>
      <c r="AI2109">
        <v>128.279171258556</v>
      </c>
      <c r="AJ2109">
        <v>74.590822147204406</v>
      </c>
      <c r="AK2109">
        <v>0.49313721754676598</v>
      </c>
      <c r="AL2109">
        <v>90.375754067269497</v>
      </c>
      <c r="AM2109">
        <v>94.199518778013896</v>
      </c>
      <c r="AN2109">
        <v>1.00000005466012</v>
      </c>
    </row>
    <row r="2110" spans="1:40" x14ac:dyDescent="0.25">
      <c r="A2110" t="str">
        <f>"20190312151538963"</f>
        <v>20190312151538963</v>
      </c>
      <c r="B2110" t="str">
        <f>"1552374938959878"</f>
        <v>1552374938959878</v>
      </c>
      <c r="C2110" t="s">
        <v>40</v>
      </c>
      <c r="D2110">
        <v>4.5718110000000003</v>
      </c>
      <c r="E2110">
        <v>0.58953929999999999</v>
      </c>
      <c r="F2110" t="s">
        <v>41</v>
      </c>
      <c r="G2110">
        <v>-380.95330000000001</v>
      </c>
      <c r="H2110">
        <v>0.81384400000000001</v>
      </c>
      <c r="I2110">
        <v>283.87209999999999</v>
      </c>
      <c r="J2110">
        <v>-380.50630000000001</v>
      </c>
      <c r="K2110">
        <v>1.109199</v>
      </c>
      <c r="L2110">
        <v>283.73020000000002</v>
      </c>
      <c r="M2110">
        <v>-0.99972030000000001</v>
      </c>
      <c r="N2110">
        <v>0</v>
      </c>
      <c r="O2110">
        <v>1.8324440000000001E-2</v>
      </c>
      <c r="P2110">
        <v>-0.99823810000000002</v>
      </c>
      <c r="Q2110">
        <v>-2.158036E-2</v>
      </c>
      <c r="R2110">
        <v>-5.5269350000000002E-2</v>
      </c>
      <c r="S2110">
        <v>-3.0119929999999999</v>
      </c>
      <c r="T2110">
        <v>-1.0528</v>
      </c>
      <c r="U2110">
        <v>0.53149409999999997</v>
      </c>
      <c r="V2110">
        <v>-7.3560130000000001E-2</v>
      </c>
      <c r="W2110">
        <v>-6.6004369999999998E-3</v>
      </c>
      <c r="X2110">
        <v>0.99726890000000001</v>
      </c>
      <c r="Y2110">
        <v>0.14822370000000001</v>
      </c>
      <c r="Z2110">
        <v>1.8806630000000001E-2</v>
      </c>
      <c r="AA2110">
        <v>0.98877499999999996</v>
      </c>
      <c r="AB2110">
        <v>38</v>
      </c>
      <c r="AC2110">
        <v>-0.44700000000000201</v>
      </c>
      <c r="AD2110">
        <v>-0.29535499999999998</v>
      </c>
      <c r="AE2110">
        <v>0.141899999999964</v>
      </c>
      <c r="AF2110">
        <v>9.5719784457194201E-2</v>
      </c>
      <c r="AG2110">
        <v>-0.29535499999999998</v>
      </c>
      <c r="AH2110">
        <v>0.32186653903370599</v>
      </c>
      <c r="AI2110">
        <v>131.33360938037001</v>
      </c>
      <c r="AJ2110">
        <v>73.438065877025494</v>
      </c>
      <c r="AK2110">
        <v>0.44720791821150502</v>
      </c>
      <c r="AL2110">
        <v>90.378179944644501</v>
      </c>
      <c r="AM2110">
        <v>94.218587518286895</v>
      </c>
      <c r="AN2110">
        <v>0.99999995870070801</v>
      </c>
    </row>
    <row r="2111" spans="1:40" x14ac:dyDescent="0.25">
      <c r="A2111" t="str">
        <f>"20190312151538988"</f>
        <v>20190312151538988</v>
      </c>
      <c r="B2111" t="str">
        <f>"1552374938979397"</f>
        <v>1552374938979397</v>
      </c>
      <c r="C2111" t="s">
        <v>40</v>
      </c>
      <c r="D2111">
        <v>4.5789879999999998</v>
      </c>
      <c r="E2111">
        <v>0.58276850000000002</v>
      </c>
      <c r="F2111" t="s">
        <v>41</v>
      </c>
      <c r="G2111">
        <v>-381.30169999999998</v>
      </c>
      <c r="H2111">
        <v>0.8312889</v>
      </c>
      <c r="I2111">
        <v>283.87110000000001</v>
      </c>
      <c r="J2111">
        <v>-380.88299999999998</v>
      </c>
      <c r="K2111">
        <v>1.109202</v>
      </c>
      <c r="L2111">
        <v>283.73739999999998</v>
      </c>
      <c r="M2111">
        <v>-0.9997144</v>
      </c>
      <c r="N2111">
        <v>0</v>
      </c>
      <c r="O2111">
        <v>1.8644930000000001E-2</v>
      </c>
      <c r="P2111">
        <v>-0.99825580000000003</v>
      </c>
      <c r="Q2111">
        <v>-2.1430680000000001E-2</v>
      </c>
      <c r="R2111">
        <v>-5.501052E-2</v>
      </c>
      <c r="S2111">
        <v>-3.0119630000000002</v>
      </c>
      <c r="T2111">
        <v>-1.052325</v>
      </c>
      <c r="U2111">
        <v>0.53170779999999995</v>
      </c>
      <c r="V2111">
        <v>-7.362109E-2</v>
      </c>
      <c r="W2111">
        <v>-6.4550479999999997E-3</v>
      </c>
      <c r="X2111">
        <v>0.99726539999999997</v>
      </c>
      <c r="Y2111">
        <v>0.148013899999999</v>
      </c>
      <c r="Z2111">
        <v>1.8655430000000001E-2</v>
      </c>
      <c r="AA2111">
        <v>0.9888093</v>
      </c>
      <c r="AB2111">
        <v>38</v>
      </c>
      <c r="AC2111">
        <v>-0.41869999999994401</v>
      </c>
      <c r="AD2111">
        <v>-0.27791309999999902</v>
      </c>
      <c r="AE2111">
        <v>0.13370000000003299</v>
      </c>
      <c r="AF2111">
        <v>8.9919393337846196E-2</v>
      </c>
      <c r="AG2111">
        <v>-0.27791309999999902</v>
      </c>
      <c r="AH2111">
        <v>0.30084300018207</v>
      </c>
      <c r="AI2111">
        <v>131.51176788281899</v>
      </c>
      <c r="AJ2111">
        <v>73.359045649497205</v>
      </c>
      <c r="AK2111">
        <v>0.419318136035642</v>
      </c>
      <c r="AL2111">
        <v>90.369849573489205</v>
      </c>
      <c r="AM2111">
        <v>94.222085630558198</v>
      </c>
      <c r="AN2111">
        <v>1.0000000052873099</v>
      </c>
    </row>
    <row r="2112" spans="1:40" x14ac:dyDescent="0.25">
      <c r="A2112" t="str">
        <f>"20190312151539006"</f>
        <v>20190312151539006</v>
      </c>
      <c r="B2112" t="str">
        <f>"1552374938999901"</f>
        <v>1552374938999901</v>
      </c>
      <c r="C2112" t="s">
        <v>40</v>
      </c>
      <c r="D2112">
        <v>4.5408189999999999</v>
      </c>
      <c r="E2112">
        <v>0.58141259999999995</v>
      </c>
      <c r="F2112" t="s">
        <v>41</v>
      </c>
      <c r="G2112">
        <v>-381.67090000000002</v>
      </c>
      <c r="H2112">
        <v>0.8988545</v>
      </c>
      <c r="I2112">
        <v>283.86340000000001</v>
      </c>
      <c r="J2112">
        <v>-381.2466</v>
      </c>
      <c r="K2112">
        <v>1.1092089999999999</v>
      </c>
      <c r="L2112">
        <v>283.74439999999998</v>
      </c>
      <c r="M2112">
        <v>-0.99970870000000001</v>
      </c>
      <c r="N2112">
        <v>0</v>
      </c>
      <c r="O2112">
        <v>1.8954390000000002E-2</v>
      </c>
      <c r="P2112">
        <v>-0.9983033</v>
      </c>
      <c r="Q2112">
        <v>-2.1106610000000001E-2</v>
      </c>
      <c r="R2112">
        <v>-5.4266830000000002E-2</v>
      </c>
      <c r="S2112">
        <v>-3.014526</v>
      </c>
      <c r="T2112">
        <v>-0.80488059999999995</v>
      </c>
      <c r="U2112">
        <v>0.48208620000000002</v>
      </c>
      <c r="V2112">
        <v>-7.3186580000000001E-2</v>
      </c>
      <c r="W2112">
        <v>-6.1349960000000002E-3</v>
      </c>
      <c r="X2112">
        <v>0.99729939999999995</v>
      </c>
      <c r="Y2112">
        <v>0.13519819999999999</v>
      </c>
      <c r="Z2112">
        <v>1.2689529999999999E-2</v>
      </c>
      <c r="AA2112">
        <v>0.99073730000000004</v>
      </c>
      <c r="AB2112">
        <v>38</v>
      </c>
      <c r="AC2112">
        <v>-0.424300000000016</v>
      </c>
      <c r="AD2112">
        <v>-0.2103545</v>
      </c>
      <c r="AE2112">
        <v>0.119000000000028</v>
      </c>
      <c r="AF2112">
        <v>9.0348344881370293E-2</v>
      </c>
      <c r="AG2112">
        <v>-0.2103545</v>
      </c>
      <c r="AH2112">
        <v>0.34733488400141099</v>
      </c>
      <c r="AI2112">
        <v>120.375420940648</v>
      </c>
      <c r="AJ2112">
        <v>75.419406446751296</v>
      </c>
      <c r="AK2112">
        <v>0.41599682779719199</v>
      </c>
      <c r="AL2112">
        <v>90.351511581981399</v>
      </c>
      <c r="AM2112">
        <v>94.197113712055298</v>
      </c>
      <c r="AN2112">
        <v>1.0000000034541801</v>
      </c>
    </row>
    <row r="2113" spans="1:40" x14ac:dyDescent="0.25">
      <c r="A2113" t="str">
        <f>"20190312151539020"</f>
        <v>20190312151539020</v>
      </c>
      <c r="B2113" t="str">
        <f>"1552374939009658"</f>
        <v>1552374939009658</v>
      </c>
      <c r="C2113" t="s">
        <v>40</v>
      </c>
      <c r="D2113">
        <v>4.3986769999999904</v>
      </c>
      <c r="E2113">
        <v>0.58065330000000004</v>
      </c>
      <c r="F2113" t="s">
        <v>41</v>
      </c>
      <c r="G2113">
        <v>-382.08429999999998</v>
      </c>
      <c r="H2113">
        <v>1.0439560000000001</v>
      </c>
      <c r="I2113">
        <v>283.87849999999997</v>
      </c>
      <c r="J2113">
        <v>-381.48259999999999</v>
      </c>
      <c r="K2113">
        <v>1.1092120000000001</v>
      </c>
      <c r="L2113">
        <v>283.7491</v>
      </c>
      <c r="M2113">
        <v>-0.99970490000000001</v>
      </c>
      <c r="N2113">
        <v>0</v>
      </c>
      <c r="O2113">
        <v>1.915472E-2</v>
      </c>
      <c r="P2113">
        <v>-0.99832240000000005</v>
      </c>
      <c r="Q2113">
        <v>-2.1004399999999999E-2</v>
      </c>
      <c r="R2113">
        <v>-5.3959E-2</v>
      </c>
      <c r="S2113">
        <v>-3.0263369999999998</v>
      </c>
      <c r="T2113">
        <v>-0.2359657</v>
      </c>
      <c r="U2113">
        <v>0.48254390000000003</v>
      </c>
      <c r="V2113">
        <v>-7.3079149999999996E-2</v>
      </c>
      <c r="W2113">
        <v>-6.035543E-3</v>
      </c>
      <c r="X2113">
        <v>0.99730790000000002</v>
      </c>
      <c r="Y2113">
        <v>0.13816039999999999</v>
      </c>
      <c r="Z2113">
        <v>3.863006E-3</v>
      </c>
      <c r="AA2113">
        <v>0.99040229999999996</v>
      </c>
      <c r="AB2113">
        <v>38</v>
      </c>
      <c r="AC2113">
        <v>-0.60169999999999302</v>
      </c>
      <c r="AD2113">
        <v>-6.5256000000000203E-2</v>
      </c>
      <c r="AE2113">
        <v>0.12939999999997501</v>
      </c>
      <c r="AF2113">
        <v>0.116539430146137</v>
      </c>
      <c r="AG2113">
        <v>-6.5256000000000203E-2</v>
      </c>
      <c r="AH2113">
        <v>0.59735300691251803</v>
      </c>
      <c r="AI2113">
        <v>96.119902569944401</v>
      </c>
      <c r="AJ2113">
        <v>78.960654080120705</v>
      </c>
      <c r="AK2113">
        <v>0.61210325859466996</v>
      </c>
      <c r="AL2113">
        <v>90.345813234068601</v>
      </c>
      <c r="AM2113">
        <v>94.190939177991496</v>
      </c>
      <c r="AN2113">
        <v>1.0000000186732101</v>
      </c>
    </row>
    <row r="2114" spans="1:40" x14ac:dyDescent="0.25">
      <c r="A2114" t="str">
        <f>"20190312151539034"</f>
        <v>20190312151539034</v>
      </c>
      <c r="B2114" t="str">
        <f>"1552374939029178"</f>
        <v>1552374939029178</v>
      </c>
      <c r="C2114" t="s">
        <v>40</v>
      </c>
      <c r="D2114">
        <v>4.5160010000000002</v>
      </c>
      <c r="E2114">
        <v>0.58140809999999998</v>
      </c>
      <c r="F2114" t="s">
        <v>41</v>
      </c>
      <c r="G2114">
        <v>-382.42529999999999</v>
      </c>
      <c r="H2114">
        <v>1.0419430000000001</v>
      </c>
      <c r="I2114">
        <v>283.89819999999997</v>
      </c>
      <c r="J2114">
        <v>-381.71109999999999</v>
      </c>
      <c r="K2114">
        <v>1.1092150000000001</v>
      </c>
      <c r="L2114">
        <v>283.75369999999998</v>
      </c>
      <c r="M2114">
        <v>-0.99970119999999896</v>
      </c>
      <c r="N2114">
        <v>0</v>
      </c>
      <c r="O2114">
        <v>1.934806E-2</v>
      </c>
      <c r="P2114">
        <v>-0.99832580000000004</v>
      </c>
      <c r="Q2114">
        <v>-2.1034219999999999E-2</v>
      </c>
      <c r="R2114">
        <v>-5.3885370000000002E-2</v>
      </c>
      <c r="S2114">
        <v>-3.0263369999999998</v>
      </c>
      <c r="T2114">
        <v>-0.21609690000000001</v>
      </c>
      <c r="U2114">
        <v>0.47772219999999999</v>
      </c>
      <c r="V2114">
        <v>-7.31985E-2</v>
      </c>
      <c r="W2114">
        <v>-6.0682050000000001E-3</v>
      </c>
      <c r="X2114">
        <v>0.99729900000000005</v>
      </c>
      <c r="Y2114">
        <v>0.13649069999999999</v>
      </c>
      <c r="Z2114">
        <v>3.4661470000000002E-3</v>
      </c>
      <c r="AA2114">
        <v>0.9906353</v>
      </c>
      <c r="AB2114">
        <v>38</v>
      </c>
      <c r="AC2114">
        <v>-0.71420000000000505</v>
      </c>
      <c r="AD2114">
        <v>-6.7271999999999998E-2</v>
      </c>
      <c r="AE2114">
        <v>0.144499999999993</v>
      </c>
      <c r="AF2114">
        <v>0.129548840825324</v>
      </c>
      <c r="AG2114">
        <v>-6.7271999999999998E-2</v>
      </c>
      <c r="AH2114">
        <v>0.71080402305635004</v>
      </c>
      <c r="AI2114">
        <v>95.319378724312003</v>
      </c>
      <c r="AJ2114">
        <v>79.670830647161495</v>
      </c>
      <c r="AK2114">
        <v>0.72563819037884003</v>
      </c>
      <c r="AL2114">
        <v>90.347684645398004</v>
      </c>
      <c r="AM2114">
        <v>94.197796536015005</v>
      </c>
      <c r="AN2114">
        <v>1.0000000694575799</v>
      </c>
    </row>
    <row r="2115" spans="1:40" x14ac:dyDescent="0.25">
      <c r="A2115" t="str">
        <f>"20190312151539046"</f>
        <v>20190312151539046</v>
      </c>
      <c r="B2115" t="str">
        <f>"1552374939039914"</f>
        <v>1552374939039914</v>
      </c>
      <c r="C2115" t="s">
        <v>40</v>
      </c>
      <c r="D2115">
        <v>4.51891</v>
      </c>
      <c r="E2115">
        <v>0.58186009999999999</v>
      </c>
      <c r="F2115" t="s">
        <v>52</v>
      </c>
      <c r="G2115">
        <v>-400.09030000000001</v>
      </c>
      <c r="H2115" s="1">
        <v>7.9322220000000002E-6</v>
      </c>
      <c r="I2115">
        <v>286.69729999999998</v>
      </c>
      <c r="J2115">
        <v>-381.93740000000003</v>
      </c>
      <c r="K2115">
        <v>1.109224</v>
      </c>
      <c r="L2115">
        <v>283.75819999999999</v>
      </c>
      <c r="M2115">
        <v>-0.99969759999999996</v>
      </c>
      <c r="N2115">
        <v>0</v>
      </c>
      <c r="O2115">
        <v>1.9537829999999999E-2</v>
      </c>
      <c r="P2115">
        <v>-0.99834140000000005</v>
      </c>
      <c r="Q2115">
        <v>-2.0689889999999999E-2</v>
      </c>
      <c r="R2115">
        <v>-5.372934E-2</v>
      </c>
      <c r="S2115">
        <v>-3.0273439999999998</v>
      </c>
      <c r="T2115">
        <v>-0.18270400000000001</v>
      </c>
      <c r="U2115">
        <v>0.4848633</v>
      </c>
      <c r="V2115">
        <v>-7.3231470000000007E-2</v>
      </c>
      <c r="W2115">
        <v>-5.7267730000000001E-3</v>
      </c>
      <c r="X2115">
        <v>0.99729849999999998</v>
      </c>
      <c r="Y2115">
        <v>0.13861039999999999</v>
      </c>
      <c r="Z2115">
        <v>2.982223E-3</v>
      </c>
      <c r="AA2115">
        <v>0.99034250000000001</v>
      </c>
      <c r="AB2115">
        <v>38</v>
      </c>
      <c r="AC2115">
        <v>-18.152899999999899</v>
      </c>
      <c r="AD2115">
        <v>-1.1092160677779901</v>
      </c>
      <c r="AE2115">
        <v>2.9390999999999901</v>
      </c>
      <c r="AF2115">
        <v>2.5744642774463098</v>
      </c>
      <c r="AG2115">
        <v>-1.1092160677779901</v>
      </c>
      <c r="AH2115">
        <v>18.140861745160802</v>
      </c>
      <c r="AI2115">
        <v>93.464346287677898</v>
      </c>
      <c r="AJ2115">
        <v>81.922793781104104</v>
      </c>
      <c r="AK2115">
        <v>18.356173115818599</v>
      </c>
      <c r="AL2115">
        <v>90.328121726133503</v>
      </c>
      <c r="AM2115">
        <v>94.199682638124202</v>
      </c>
      <c r="AN2115">
        <v>0.99999997111480099</v>
      </c>
    </row>
    <row r="2116" spans="1:40" x14ac:dyDescent="0.25">
      <c r="A2116" t="str">
        <f>"20190312151539063"</f>
        <v>20190312151539063</v>
      </c>
      <c r="B2116" t="str">
        <f>"1552374939059434"</f>
        <v>1552374939059434</v>
      </c>
      <c r="C2116" t="s">
        <v>40</v>
      </c>
      <c r="D2116">
        <v>4.4002150000000002</v>
      </c>
      <c r="E2116">
        <v>0.58210799999999996</v>
      </c>
      <c r="F2116" t="s">
        <v>52</v>
      </c>
      <c r="G2116">
        <v>-401.37479999999999</v>
      </c>
      <c r="H2116" s="1">
        <v>7.3212810000000002E-6</v>
      </c>
      <c r="I2116">
        <v>286.8972</v>
      </c>
      <c r="J2116">
        <v>-382.20740000000001</v>
      </c>
      <c r="K2116">
        <v>1.109229</v>
      </c>
      <c r="L2116">
        <v>283.76369999999997</v>
      </c>
      <c r="M2116">
        <v>-0.99969319999999895</v>
      </c>
      <c r="N2116">
        <v>0</v>
      </c>
      <c r="O2116">
        <v>1.9761790000000001E-2</v>
      </c>
      <c r="P2116">
        <v>-0.99836570000000002</v>
      </c>
      <c r="Q2116">
        <v>-2.015105E-2</v>
      </c>
      <c r="R2116">
        <v>-5.3480739999999999E-2</v>
      </c>
      <c r="S2116">
        <v>-3.0277400000000001</v>
      </c>
      <c r="T2116">
        <v>-0.1727815</v>
      </c>
      <c r="U2116">
        <v>0.48895260000000001</v>
      </c>
      <c r="V2116">
        <v>-7.3206010000000002E-2</v>
      </c>
      <c r="W2116">
        <v>-5.191373E-3</v>
      </c>
      <c r="X2116">
        <v>0.9973033</v>
      </c>
      <c r="Y2116">
        <v>0.13969309999999999</v>
      </c>
      <c r="Z2116">
        <v>2.8378589999999999E-3</v>
      </c>
      <c r="AA2116">
        <v>0.99019080000000004</v>
      </c>
      <c r="AB2116">
        <v>38</v>
      </c>
      <c r="AC2116">
        <v>-19.167399999999901</v>
      </c>
      <c r="AD2116">
        <v>-1.1092216787189999</v>
      </c>
      <c r="AE2116">
        <v>3.1335000000000202</v>
      </c>
      <c r="AF2116">
        <v>2.7451096068231902</v>
      </c>
      <c r="AG2116">
        <v>-1.1092216787189999</v>
      </c>
      <c r="AH2116">
        <v>19.163080657573801</v>
      </c>
      <c r="AI2116">
        <v>93.279368165695601</v>
      </c>
      <c r="AJ2116">
        <v>81.847844957931898</v>
      </c>
      <c r="AK2116">
        <v>19.3904527996303</v>
      </c>
      <c r="AL2116">
        <v>90.297445107390004</v>
      </c>
      <c r="AM2116">
        <v>94.198207644144503</v>
      </c>
      <c r="AN2116">
        <v>0.99999997122231699</v>
      </c>
    </row>
    <row r="2117" spans="1:40" x14ac:dyDescent="0.25">
      <c r="A2117" t="str">
        <f>"20190312151539077"</f>
        <v>20190312151539077</v>
      </c>
      <c r="B2117" t="str">
        <f>"1552374939069194"</f>
        <v>1552374939069194</v>
      </c>
      <c r="C2117" t="s">
        <v>40</v>
      </c>
      <c r="D2117">
        <v>4.6534209999999998</v>
      </c>
      <c r="E2117">
        <v>0.58214379999999999</v>
      </c>
      <c r="F2117" t="s">
        <v>52</v>
      </c>
      <c r="G2117">
        <v>-403.55540000000002</v>
      </c>
      <c r="H2117" s="1">
        <v>6.2851639999999901E-6</v>
      </c>
      <c r="I2117">
        <v>287.23169999999999</v>
      </c>
      <c r="J2117">
        <v>-382.44099999999997</v>
      </c>
      <c r="K2117">
        <v>1.109235</v>
      </c>
      <c r="L2117">
        <v>283.76850000000002</v>
      </c>
      <c r="M2117">
        <v>-0.99968950000000001</v>
      </c>
      <c r="N2117">
        <v>0</v>
      </c>
      <c r="O2117">
        <v>1.995253E-2</v>
      </c>
      <c r="P2117">
        <v>-0.99839089999999997</v>
      </c>
      <c r="Q2117">
        <v>-1.98038E-2</v>
      </c>
      <c r="R2117">
        <v>-5.3139430000000001E-2</v>
      </c>
      <c r="S2117">
        <v>-3.028076</v>
      </c>
      <c r="T2117">
        <v>-0.1573359</v>
      </c>
      <c r="U2117">
        <v>0.49191279999999998</v>
      </c>
      <c r="V2117">
        <v>-7.3055380000000003E-2</v>
      </c>
      <c r="W2117">
        <v>-4.8471979999999996E-3</v>
      </c>
      <c r="X2117">
        <v>0.99731610000000004</v>
      </c>
      <c r="Y2117">
        <v>0.1404618</v>
      </c>
      <c r="Z2117">
        <v>2.5940389999999998E-3</v>
      </c>
      <c r="AA2117">
        <v>0.99008269999999998</v>
      </c>
      <c r="AB2117">
        <v>38</v>
      </c>
      <c r="AC2117">
        <v>-21.1144</v>
      </c>
      <c r="AD2117">
        <v>-1.1092287148360001</v>
      </c>
      <c r="AE2117">
        <v>3.4631999999999699</v>
      </c>
      <c r="AF2117">
        <v>3.0330263952626302</v>
      </c>
      <c r="AG2117">
        <v>-1.1092287148360001</v>
      </c>
      <c r="AH2117">
        <v>21.122535371893601</v>
      </c>
      <c r="AI2117">
        <v>92.975604734012705</v>
      </c>
      <c r="AJ2117">
        <v>81.828641639686893</v>
      </c>
      <c r="AK2117">
        <v>21.367993307586701</v>
      </c>
      <c r="AL2117">
        <v>90.277725077189999</v>
      </c>
      <c r="AM2117">
        <v>94.189546547590396</v>
      </c>
      <c r="AN2117">
        <v>0.99999999359730196</v>
      </c>
    </row>
    <row r="2118" spans="1:40" x14ac:dyDescent="0.25">
      <c r="A2118" t="str">
        <f>"20190312151539097"</f>
        <v>20190312151539097</v>
      </c>
      <c r="B2118" t="str">
        <f>"1552374939089690"</f>
        <v>1552374939089690</v>
      </c>
      <c r="C2118" t="s">
        <v>40</v>
      </c>
      <c r="D2118">
        <v>4.4447539999999996</v>
      </c>
      <c r="E2118">
        <v>0.58189199999999996</v>
      </c>
      <c r="F2118" t="s">
        <v>52</v>
      </c>
      <c r="G2118">
        <v>-404.69510000000002</v>
      </c>
      <c r="H2118" s="1">
        <v>5.7460249999999998E-6</v>
      </c>
      <c r="I2118">
        <v>287.39490000000001</v>
      </c>
      <c r="J2118">
        <v>-382.77519999999998</v>
      </c>
      <c r="K2118">
        <v>1.109246</v>
      </c>
      <c r="L2118">
        <v>283.77539999999999</v>
      </c>
      <c r="M2118">
        <v>-0.99968420000000002</v>
      </c>
      <c r="N2118">
        <v>0</v>
      </c>
      <c r="O2118">
        <v>2.0215730000000001E-2</v>
      </c>
      <c r="P2118">
        <v>-0.99841590000000002</v>
      </c>
      <c r="Q2118">
        <v>-1.957215E-2</v>
      </c>
      <c r="R2118">
        <v>-5.2751439999999997E-2</v>
      </c>
      <c r="S2118">
        <v>-3.028076</v>
      </c>
      <c r="T2118">
        <v>-0.15093099999999901</v>
      </c>
      <c r="U2118">
        <v>0.49343870000000001</v>
      </c>
      <c r="V2118">
        <v>-7.293086E-2</v>
      </c>
      <c r="W2118">
        <v>-4.6205600000000001E-3</v>
      </c>
      <c r="X2118">
        <v>0.9973263</v>
      </c>
      <c r="Y2118">
        <v>0.14069989999999999</v>
      </c>
      <c r="Z2118">
        <v>2.4813489999999999E-3</v>
      </c>
      <c r="AA2118">
        <v>0.99004919999999996</v>
      </c>
      <c r="AB2118">
        <v>38</v>
      </c>
      <c r="AC2118">
        <v>-21.919899999999998</v>
      </c>
      <c r="AD2118">
        <v>-1.1092402539749999</v>
      </c>
      <c r="AE2118">
        <v>3.6195000000000102</v>
      </c>
      <c r="AF2118">
        <v>3.1676875201729602</v>
      </c>
      <c r="AG2118">
        <v>-1.1092402539749999</v>
      </c>
      <c r="AH2118">
        <v>21.933921110269001</v>
      </c>
      <c r="AI2118">
        <v>92.865413069082294</v>
      </c>
      <c r="AJ2118">
        <v>81.782186662401301</v>
      </c>
      <c r="AK2118">
        <v>22.189221559982801</v>
      </c>
      <c r="AL2118">
        <v>90.264739527868699</v>
      </c>
      <c r="AM2118">
        <v>94.182388369990605</v>
      </c>
      <c r="AN2118">
        <v>1.0000000042933701</v>
      </c>
    </row>
    <row r="2119" spans="1:40" x14ac:dyDescent="0.25">
      <c r="A2119" t="str">
        <f>"20190312151539119"</f>
        <v>20190312151539119</v>
      </c>
      <c r="B2119" t="str">
        <f>"1552374939109637"</f>
        <v>1552374939109637</v>
      </c>
      <c r="C2119" t="s">
        <v>40</v>
      </c>
      <c r="D2119">
        <v>4.6606969999999999</v>
      </c>
      <c r="E2119">
        <v>0.58195589999999997</v>
      </c>
      <c r="F2119" t="s">
        <v>52</v>
      </c>
      <c r="G2119">
        <v>-406.33179999999999</v>
      </c>
      <c r="H2119" s="1">
        <v>4.9762410000000004E-6</v>
      </c>
      <c r="I2119">
        <v>287.6078</v>
      </c>
      <c r="J2119">
        <v>-383.14839999999998</v>
      </c>
      <c r="K2119">
        <v>1.1092610000000001</v>
      </c>
      <c r="L2119">
        <v>283.7833</v>
      </c>
      <c r="M2119">
        <v>-0.99967859999999997</v>
      </c>
      <c r="N2119">
        <v>0</v>
      </c>
      <c r="O2119">
        <v>2.0490640000000001E-2</v>
      </c>
      <c r="P2119">
        <v>-0.99843440000000006</v>
      </c>
      <c r="Q2119">
        <v>-1.9124619999999998E-2</v>
      </c>
      <c r="R2119">
        <v>-5.2567099999999901E-2</v>
      </c>
      <c r="S2119">
        <v>-3.0279850000000001</v>
      </c>
      <c r="T2119">
        <v>-0.14258270000000001</v>
      </c>
      <c r="U2119">
        <v>0.49261470000000002</v>
      </c>
      <c r="V2119">
        <v>-7.3019929999999997E-2</v>
      </c>
      <c r="W2119">
        <v>-4.1797190000000001E-3</v>
      </c>
      <c r="X2119">
        <v>0.99732169999999998</v>
      </c>
      <c r="Y2119">
        <v>0.14018639999999999</v>
      </c>
      <c r="Z2119">
        <v>2.319527E-3</v>
      </c>
      <c r="AA2119">
        <v>0.99012239999999996</v>
      </c>
      <c r="AB2119">
        <v>38</v>
      </c>
      <c r="AC2119">
        <v>-23.183399999999999</v>
      </c>
      <c r="AD2119">
        <v>-1.1092560237589999</v>
      </c>
      <c r="AE2119">
        <v>3.8245</v>
      </c>
      <c r="AF2119">
        <v>3.3411548325963301</v>
      </c>
      <c r="AG2119">
        <v>-1.1092560237589999</v>
      </c>
      <c r="AH2119">
        <v>23.205189609347901</v>
      </c>
      <c r="AI2119">
        <v>92.708880620873899</v>
      </c>
      <c r="AJ2119">
        <v>81.806686029574394</v>
      </c>
      <c r="AK2119">
        <v>23.470717699879099</v>
      </c>
      <c r="AL2119">
        <v>90.239480961110502</v>
      </c>
      <c r="AM2119">
        <v>94.187497381253607</v>
      </c>
      <c r="AN2119">
        <v>0.99999997675950603</v>
      </c>
    </row>
    <row r="2120" spans="1:40" x14ac:dyDescent="0.25">
      <c r="A2120" t="str">
        <f>"20190312151539141"</f>
        <v>20190312151539141</v>
      </c>
      <c r="B2120" t="str">
        <f>"1552374939139893"</f>
        <v>1552374939139893</v>
      </c>
      <c r="C2120" t="s">
        <v>40</v>
      </c>
      <c r="D2120">
        <v>4.5211690000000004</v>
      </c>
      <c r="E2120">
        <v>0.58231899999999903</v>
      </c>
      <c r="F2120" t="s">
        <v>52</v>
      </c>
      <c r="G2120">
        <v>-407.69490000000002</v>
      </c>
      <c r="H2120" s="1">
        <v>4.3349749999999999E-6</v>
      </c>
      <c r="I2120">
        <v>287.78570000000002</v>
      </c>
      <c r="J2120">
        <v>-383.5333</v>
      </c>
      <c r="K2120">
        <v>1.109286</v>
      </c>
      <c r="L2120">
        <v>283.79140000000001</v>
      </c>
      <c r="M2120">
        <v>-0.99967340000000005</v>
      </c>
      <c r="N2120">
        <v>0</v>
      </c>
      <c r="O2120">
        <v>2.0746710000000002E-2</v>
      </c>
      <c r="P2120">
        <v>-0.99847330000000001</v>
      </c>
      <c r="Q2120">
        <v>-1.8800830000000001E-2</v>
      </c>
      <c r="R2120">
        <v>-5.1942929999999998E-2</v>
      </c>
      <c r="S2120">
        <v>-3.0280459999999998</v>
      </c>
      <c r="T2120">
        <v>-0.13683719999999999</v>
      </c>
      <c r="U2120">
        <v>0.49374390000000001</v>
      </c>
      <c r="V2120">
        <v>-7.2651939999999998E-2</v>
      </c>
      <c r="W2120">
        <v>-3.8638430000000001E-3</v>
      </c>
      <c r="X2120">
        <v>0.99734990000000001</v>
      </c>
      <c r="Y2120">
        <v>0.1402996</v>
      </c>
      <c r="Z2120">
        <v>2.2171069999999998E-3</v>
      </c>
      <c r="AA2120">
        <v>0.99010659999999895</v>
      </c>
      <c r="AB2120">
        <v>38</v>
      </c>
      <c r="AC2120">
        <v>-24.1616</v>
      </c>
      <c r="AD2120">
        <v>-1.1092816650249999</v>
      </c>
      <c r="AE2120">
        <v>3.9943</v>
      </c>
      <c r="AF2120">
        <v>3.4849603278266699</v>
      </c>
      <c r="AG2120">
        <v>-1.1092816650249999</v>
      </c>
      <c r="AH2120">
        <v>24.189645311788901</v>
      </c>
      <c r="AI2120">
        <v>92.598819357201606</v>
      </c>
      <c r="AJ2120">
        <v>81.801904638309907</v>
      </c>
      <c r="AK2120">
        <v>24.4645538403838</v>
      </c>
      <c r="AL2120">
        <v>90.221382441174299</v>
      </c>
      <c r="AM2120">
        <v>94.166351253135701</v>
      </c>
      <c r="AN2120">
        <v>1.0000000283492501</v>
      </c>
    </row>
    <row r="2121" spans="1:40" x14ac:dyDescent="0.25">
      <c r="A2121" t="str">
        <f>"20190312151539154"</f>
        <v>20190312151539154</v>
      </c>
      <c r="B2121" t="str">
        <f>"1552374939149653"</f>
        <v>1552374939149653</v>
      </c>
      <c r="C2121" t="s">
        <v>40</v>
      </c>
      <c r="D2121">
        <v>4.4860059999999997</v>
      </c>
      <c r="E2121">
        <v>0.58246030000000004</v>
      </c>
      <c r="F2121" t="s">
        <v>52</v>
      </c>
      <c r="G2121">
        <v>-408.4837</v>
      </c>
      <c r="H2121" s="1">
        <v>3.9617940000000002E-6</v>
      </c>
      <c r="I2121">
        <v>287.89890000000003</v>
      </c>
      <c r="J2121">
        <v>-383.75900000000001</v>
      </c>
      <c r="K2121">
        <v>1.1093040000000001</v>
      </c>
      <c r="L2121">
        <v>283.79629999999997</v>
      </c>
      <c r="M2121">
        <v>-0.99967070000000002</v>
      </c>
      <c r="N2121">
        <v>0</v>
      </c>
      <c r="O2121">
        <v>2.088158E-2</v>
      </c>
      <c r="P2121">
        <v>-0.99850150000000004</v>
      </c>
      <c r="Q2121">
        <v>-1.859968E-2</v>
      </c>
      <c r="R2121">
        <v>-5.1467150000000003E-2</v>
      </c>
      <c r="S2121">
        <v>-3.0279850000000001</v>
      </c>
      <c r="T2121">
        <v>-0.1346222</v>
      </c>
      <c r="U2121">
        <v>0.49847409999999998</v>
      </c>
      <c r="V2121">
        <v>-7.2311E-2</v>
      </c>
      <c r="W2121">
        <v>-3.6678909999999999E-3</v>
      </c>
      <c r="X2121">
        <v>0.99737540000000002</v>
      </c>
      <c r="Y2121">
        <v>0.141678</v>
      </c>
      <c r="Z2121">
        <v>2.2055E-3</v>
      </c>
      <c r="AA2121">
        <v>0.98991039999999997</v>
      </c>
      <c r="AB2121">
        <v>38</v>
      </c>
      <c r="AC2121">
        <v>-24.724699999999899</v>
      </c>
      <c r="AD2121">
        <v>-1.1093000382060001</v>
      </c>
      <c r="AE2121">
        <v>4.1026000000000504</v>
      </c>
      <c r="AF2121">
        <v>3.57834694465227</v>
      </c>
      <c r="AG2121">
        <v>-1.1093000382060001</v>
      </c>
      <c r="AH2121">
        <v>24.756487432939299</v>
      </c>
      <c r="AI2121">
        <v>92.539265998315798</v>
      </c>
      <c r="AJ2121">
        <v>81.775327471243102</v>
      </c>
      <c r="AK2121">
        <v>25.038346260253402</v>
      </c>
      <c r="AL2121">
        <v>90.210155142851306</v>
      </c>
      <c r="AM2121">
        <v>94.146762173080106</v>
      </c>
      <c r="AN2121">
        <v>1.0000000113352701</v>
      </c>
    </row>
    <row r="2122" spans="1:40" x14ac:dyDescent="0.25">
      <c r="A2122" t="str">
        <f>"20190312151539175"</f>
        <v>20190312151539175</v>
      </c>
      <c r="B2122" t="str">
        <f>"1552374939169173"</f>
        <v>1552374939169173</v>
      </c>
      <c r="C2122" t="s">
        <v>40</v>
      </c>
      <c r="D2122">
        <v>4.4890559999999997</v>
      </c>
      <c r="E2122">
        <v>0.58253109999999997</v>
      </c>
      <c r="F2122" t="s">
        <v>52</v>
      </c>
      <c r="G2122">
        <v>-408.79289999999997</v>
      </c>
      <c r="H2122" s="1">
        <v>3.8164740000000003E-6</v>
      </c>
      <c r="I2122">
        <v>287.93860000000001</v>
      </c>
      <c r="J2122">
        <v>-384.09179999999998</v>
      </c>
      <c r="K2122">
        <v>1.109335</v>
      </c>
      <c r="L2122">
        <v>283.80340000000001</v>
      </c>
      <c r="M2122">
        <v>-0.99966730000000004</v>
      </c>
      <c r="N2122">
        <v>0</v>
      </c>
      <c r="O2122">
        <v>2.1044199999999999E-2</v>
      </c>
      <c r="P2122">
        <v>-0.99854120000000002</v>
      </c>
      <c r="Q2122">
        <v>-1.827763E-2</v>
      </c>
      <c r="R2122">
        <v>-5.0808909999999999E-2</v>
      </c>
      <c r="S2122">
        <v>-3.0278320000000001</v>
      </c>
      <c r="T2122">
        <v>-0.13416889999999901</v>
      </c>
      <c r="U2122">
        <v>0.50100710000000004</v>
      </c>
      <c r="V2122">
        <v>-7.1815509999999999E-2</v>
      </c>
      <c r="W2122">
        <v>-3.3548610000000002E-3</v>
      </c>
      <c r="X2122">
        <v>0.99741230000000003</v>
      </c>
      <c r="Y2122">
        <v>0.1423315</v>
      </c>
      <c r="Z2122">
        <v>2.2052679999999998E-3</v>
      </c>
      <c r="AA2122">
        <v>0.98981660000000005</v>
      </c>
      <c r="AB2122">
        <v>38</v>
      </c>
      <c r="AC2122">
        <v>-24.7011</v>
      </c>
      <c r="AD2122">
        <v>-1.109331183526</v>
      </c>
      <c r="AE2122">
        <v>4.1351999999999904</v>
      </c>
      <c r="AF2122">
        <v>3.6073339575383199</v>
      </c>
      <c r="AG2122">
        <v>-1.109331183526</v>
      </c>
      <c r="AH2122">
        <v>24.7341333970143</v>
      </c>
      <c r="AI2122">
        <v>92.541159073572501</v>
      </c>
      <c r="AJ2122">
        <v>81.702236174618605</v>
      </c>
      <c r="AK2122">
        <v>25.020408247213901</v>
      </c>
      <c r="AL2122">
        <v>90.192219734926198</v>
      </c>
      <c r="AM2122">
        <v>94.118293965100705</v>
      </c>
      <c r="AN2122">
        <v>1.00000000938008</v>
      </c>
    </row>
    <row r="2123" spans="1:40" x14ac:dyDescent="0.25">
      <c r="A2123" t="str">
        <f>"20190312151539196"</f>
        <v>20190312151539196</v>
      </c>
      <c r="B2123" t="str">
        <f>"1552374939189669"</f>
        <v>1552374939189669</v>
      </c>
      <c r="C2123" t="s">
        <v>40</v>
      </c>
      <c r="D2123">
        <v>4.5188879999999996</v>
      </c>
      <c r="E2123">
        <v>0.58274139999999996</v>
      </c>
      <c r="F2123" t="s">
        <v>52</v>
      </c>
      <c r="G2123">
        <v>-409.15370000000001</v>
      </c>
      <c r="H2123" s="1">
        <v>3.649764E-6</v>
      </c>
      <c r="I2123">
        <v>287.97120000000001</v>
      </c>
      <c r="J2123">
        <v>-384.46370000000002</v>
      </c>
      <c r="K2123">
        <v>1.1093839999999999</v>
      </c>
      <c r="L2123">
        <v>283.81139999999999</v>
      </c>
      <c r="M2123">
        <v>-0.99966449999999996</v>
      </c>
      <c r="N2123">
        <v>0</v>
      </c>
      <c r="O2123">
        <v>2.1175090000000001E-2</v>
      </c>
      <c r="P2123">
        <v>-0.99859120000000001</v>
      </c>
      <c r="Q2123">
        <v>-1.7774649999999999E-2</v>
      </c>
      <c r="R2123">
        <v>-4.9995890000000001E-2</v>
      </c>
      <c r="S2123">
        <v>-3.0275569999999998</v>
      </c>
      <c r="T2123">
        <v>-0.13401089999999999</v>
      </c>
      <c r="U2123">
        <v>0.50347900000000001</v>
      </c>
      <c r="V2123">
        <v>-7.1134069999999994E-2</v>
      </c>
      <c r="W2123">
        <v>-2.863155E-3</v>
      </c>
      <c r="X2123">
        <v>0.99746259999999998</v>
      </c>
      <c r="Y2123">
        <v>0.14300260000000001</v>
      </c>
      <c r="Z2123">
        <v>2.2117259999999998E-3</v>
      </c>
      <c r="AA2123">
        <v>0.98971989999999999</v>
      </c>
      <c r="AB2123">
        <v>38</v>
      </c>
      <c r="AC2123">
        <v>-24.69</v>
      </c>
      <c r="AD2123">
        <v>-1.109380350236</v>
      </c>
      <c r="AE2123">
        <v>4.1598000000000104</v>
      </c>
      <c r="AF2123">
        <v>3.62887177763516</v>
      </c>
      <c r="AG2123">
        <v>-1.109380350236</v>
      </c>
      <c r="AH2123">
        <v>24.724018800678898</v>
      </c>
      <c r="AI2123">
        <v>92.541971323890706</v>
      </c>
      <c r="AJ2123">
        <v>81.650023287892694</v>
      </c>
      <c r="AK2123">
        <v>25.013527156247399</v>
      </c>
      <c r="AL2123">
        <v>90.164046930586693</v>
      </c>
      <c r="AM2123">
        <v>94.079144006045993</v>
      </c>
      <c r="AN2123">
        <v>0.99999994598503805</v>
      </c>
    </row>
    <row r="2124" spans="1:40" x14ac:dyDescent="0.25">
      <c r="A2124" t="str">
        <f>"20190312151539209"</f>
        <v>20190312151539209</v>
      </c>
      <c r="B2124" t="str">
        <f>"1552374939199937"</f>
        <v>1552374939199937</v>
      </c>
      <c r="C2124" t="s">
        <v>40</v>
      </c>
      <c r="D2124">
        <v>4.6181519999999896</v>
      </c>
      <c r="E2124">
        <v>0.58246609999999999</v>
      </c>
      <c r="F2124" t="s">
        <v>52</v>
      </c>
      <c r="G2124">
        <v>-409.5204</v>
      </c>
      <c r="H2124" s="1">
        <v>3.478607E-6</v>
      </c>
      <c r="I2124">
        <v>288.01240000000001</v>
      </c>
      <c r="J2124">
        <v>-384.68290000000002</v>
      </c>
      <c r="K2124">
        <v>1.109413</v>
      </c>
      <c r="L2124">
        <v>283.81610000000001</v>
      </c>
      <c r="M2124">
        <v>-0.99966350000000004</v>
      </c>
      <c r="N2124">
        <v>0</v>
      </c>
      <c r="O2124">
        <v>2.123187E-2</v>
      </c>
      <c r="P2124">
        <v>-0.99861069999999996</v>
      </c>
      <c r="Q2124">
        <v>-1.7456780000000002E-2</v>
      </c>
      <c r="R2124">
        <v>-4.9719270000000003E-2</v>
      </c>
      <c r="S2124">
        <v>-3.0271910000000002</v>
      </c>
      <c r="T2124">
        <v>-0.13402819999999999</v>
      </c>
      <c r="U2124">
        <v>0.50753779999999904</v>
      </c>
      <c r="V2124">
        <v>-7.0913899999999905E-2</v>
      </c>
      <c r="W2124">
        <v>-2.5520819999999998E-3</v>
      </c>
      <c r="X2124">
        <v>0.99747920000000001</v>
      </c>
      <c r="Y2124">
        <v>0.14425550000000001</v>
      </c>
      <c r="Z2124">
        <v>2.2370739999999999E-3</v>
      </c>
      <c r="AA2124">
        <v>0.98953800000000003</v>
      </c>
      <c r="AB2124">
        <v>38</v>
      </c>
      <c r="AC2124">
        <v>-24.837499999999899</v>
      </c>
      <c r="AD2124">
        <v>-1.109409521393</v>
      </c>
      <c r="AE2124">
        <v>4.1962999999999999</v>
      </c>
      <c r="AF2124">
        <v>3.66084759420007</v>
      </c>
      <c r="AG2124">
        <v>-1.109409521393</v>
      </c>
      <c r="AH2124">
        <v>24.872758183220501</v>
      </c>
      <c r="AI2124">
        <v>92.526708345587494</v>
      </c>
      <c r="AJ2124">
        <v>81.627148860516598</v>
      </c>
      <c r="AK2124">
        <v>25.165188142254799</v>
      </c>
      <c r="AL2124">
        <v>90.146223682734799</v>
      </c>
      <c r="AM2124">
        <v>94.066493453245599</v>
      </c>
      <c r="AN2124">
        <v>1.00000002438419</v>
      </c>
    </row>
    <row r="2125" spans="1:40" x14ac:dyDescent="0.25">
      <c r="A2125" t="str">
        <f>"20190312151539230"</f>
        <v>20190312151539230</v>
      </c>
      <c r="B2125" t="str">
        <f>"1552374939219464"</f>
        <v>1552374939219464</v>
      </c>
      <c r="C2125" t="s">
        <v>40</v>
      </c>
      <c r="D2125">
        <v>4.8476019999999904</v>
      </c>
      <c r="E2125">
        <v>0.53331969999999995</v>
      </c>
      <c r="F2125" t="s">
        <v>52</v>
      </c>
      <c r="G2125">
        <v>-409.24709999999999</v>
      </c>
      <c r="H2125" s="1">
        <v>3.6179729999999998E-6</v>
      </c>
      <c r="I2125">
        <v>287.92439999999999</v>
      </c>
      <c r="J2125">
        <v>-385.03280000000001</v>
      </c>
      <c r="K2125">
        <v>1.1094569999999999</v>
      </c>
      <c r="L2125">
        <v>283.8236</v>
      </c>
      <c r="M2125">
        <v>-0.99966219999999995</v>
      </c>
      <c r="N2125">
        <v>0</v>
      </c>
      <c r="O2125">
        <v>2.129205E-2</v>
      </c>
      <c r="P2125">
        <v>-0.99862399999999996</v>
      </c>
      <c r="Q2125">
        <v>-1.6961650000000002E-2</v>
      </c>
      <c r="R2125">
        <v>-4.9623149999999998E-2</v>
      </c>
      <c r="S2125">
        <v>-3.0269780000000002</v>
      </c>
      <c r="T2125">
        <v>-0.136709</v>
      </c>
      <c r="U2125">
        <v>0.50625609999999999</v>
      </c>
      <c r="V2125">
        <v>-7.0877830000000003E-2</v>
      </c>
      <c r="W2125">
        <v>-2.0676890000000002E-3</v>
      </c>
      <c r="X2125">
        <v>0.9974828</v>
      </c>
      <c r="Y2125">
        <v>0.14379539999999999</v>
      </c>
      <c r="Z2125">
        <v>2.2690039999999998E-3</v>
      </c>
      <c r="AA2125">
        <v>0.98960479999999995</v>
      </c>
      <c r="AB2125">
        <v>38</v>
      </c>
      <c r="AC2125">
        <v>-24.214299999999898</v>
      </c>
      <c r="AD2125">
        <v>-1.1094533820269901</v>
      </c>
      <c r="AE2125">
        <v>4.1007999999999898</v>
      </c>
      <c r="AF2125">
        <v>3.5769410712548</v>
      </c>
      <c r="AG2125">
        <v>-1.1094533820269901</v>
      </c>
      <c r="AH2125">
        <v>24.246651717263699</v>
      </c>
      <c r="AI2125">
        <v>92.591841514117704</v>
      </c>
      <c r="AJ2125">
        <v>81.608077998297702</v>
      </c>
      <c r="AK2125">
        <v>24.534170329000499</v>
      </c>
      <c r="AL2125">
        <v>90.118469944664</v>
      </c>
      <c r="AM2125">
        <v>94.064417365795194</v>
      </c>
      <c r="AN2125">
        <v>0.99999993920957297</v>
      </c>
    </row>
    <row r="2126" spans="1:40" x14ac:dyDescent="0.25">
      <c r="A2126" t="str">
        <f>"20190312151539252"</f>
        <v>20190312151539252</v>
      </c>
      <c r="B2126" t="str">
        <f>"1552374939249713"</f>
        <v>1552374939249713</v>
      </c>
      <c r="C2126" t="s">
        <v>40</v>
      </c>
      <c r="D2126">
        <v>4.7773580000000004</v>
      </c>
      <c r="E2126">
        <v>0.51189240000000003</v>
      </c>
      <c r="F2126" t="s">
        <v>52</v>
      </c>
      <c r="G2126">
        <v>-413.15660000000003</v>
      </c>
      <c r="H2126" s="1">
        <v>2.7406460000000001E-6</v>
      </c>
      <c r="I2126">
        <v>284.90269999999998</v>
      </c>
      <c r="J2126">
        <v>-385.39980000000003</v>
      </c>
      <c r="K2126">
        <v>1.109502</v>
      </c>
      <c r="L2126">
        <v>283.83139999999997</v>
      </c>
      <c r="M2126">
        <v>-0.99966200000000005</v>
      </c>
      <c r="N2126">
        <v>0</v>
      </c>
      <c r="O2126">
        <v>2.1301670000000002E-2</v>
      </c>
      <c r="P2126">
        <v>-0.99862240000000002</v>
      </c>
      <c r="Q2126">
        <v>-1.624656E-2</v>
      </c>
      <c r="R2126">
        <v>-4.9892199999999998E-2</v>
      </c>
      <c r="S2126">
        <v>-3.0078740000000002</v>
      </c>
      <c r="T2126">
        <v>-0.118657399999999</v>
      </c>
      <c r="U2126">
        <v>0.11541750000000001</v>
      </c>
      <c r="V2126">
        <v>-7.1156159999999996E-2</v>
      </c>
      <c r="W2126">
        <v>-1.3645980000000001E-3</v>
      </c>
      <c r="X2126">
        <v>0.99746420000000002</v>
      </c>
      <c r="Y2126">
        <v>1.70498E-2</v>
      </c>
      <c r="Z2126">
        <v>-5.0360849999999996E-4</v>
      </c>
      <c r="AA2126">
        <v>0.99985449999999998</v>
      </c>
      <c r="AB2126">
        <v>38</v>
      </c>
      <c r="AC2126">
        <v>-27.756799999999998</v>
      </c>
      <c r="AD2126">
        <v>-1.1094992593539901</v>
      </c>
      <c r="AE2126">
        <v>1.0712999999999999</v>
      </c>
      <c r="AF2126">
        <v>0.47896085634278701</v>
      </c>
      <c r="AG2126">
        <v>-1.1094992593539901</v>
      </c>
      <c r="AH2126">
        <v>27.7290845224611</v>
      </c>
      <c r="AI2126">
        <v>92.29096158246</v>
      </c>
      <c r="AJ2126">
        <v>89.010435886624705</v>
      </c>
      <c r="AK2126">
        <v>27.7554052494682</v>
      </c>
      <c r="AL2126">
        <v>90.078185734638296</v>
      </c>
      <c r="AM2126">
        <v>94.080399943682394</v>
      </c>
      <c r="AN2126">
        <v>0.99999994575764195</v>
      </c>
    </row>
    <row r="2127" spans="1:40" x14ac:dyDescent="0.25">
      <c r="A2127" t="str">
        <f>"20190312151539265"</f>
        <v>20190312151539265</v>
      </c>
      <c r="B2127" t="str">
        <f>"1552374939259472"</f>
        <v>1552374939259472</v>
      </c>
      <c r="C2127" t="s">
        <v>40</v>
      </c>
      <c r="D2127">
        <v>4.5457340000000004</v>
      </c>
      <c r="E2127">
        <v>0.50880000000000003</v>
      </c>
      <c r="F2127" t="s">
        <v>52</v>
      </c>
      <c r="G2127">
        <v>-423.44009999999997</v>
      </c>
      <c r="H2127" s="1">
        <v>3.4848129999999998E-6</v>
      </c>
      <c r="I2127">
        <v>283.12439999999998</v>
      </c>
      <c r="J2127">
        <v>-385.62209999999999</v>
      </c>
      <c r="K2127">
        <v>1.109534</v>
      </c>
      <c r="L2127">
        <v>283.83620000000002</v>
      </c>
      <c r="M2127">
        <v>-0.99966279999999996</v>
      </c>
      <c r="N2127">
        <v>0</v>
      </c>
      <c r="O2127">
        <v>2.1271109999999999E-2</v>
      </c>
      <c r="P2127">
        <v>-0.99861140000000004</v>
      </c>
      <c r="Q2127">
        <v>-1.590681E-2</v>
      </c>
      <c r="R2127">
        <v>-5.0221120000000001E-2</v>
      </c>
      <c r="S2127">
        <v>-2.9999690000000001</v>
      </c>
      <c r="T2127">
        <v>-8.7498430000000002E-2</v>
      </c>
      <c r="U2127">
        <v>-5.5755619999999999E-2</v>
      </c>
      <c r="V2127">
        <v>-7.1453929999999999E-2</v>
      </c>
      <c r="W2127">
        <v>-1.032804E-3</v>
      </c>
      <c r="X2127">
        <v>0.99744339999999998</v>
      </c>
      <c r="Y2127">
        <v>-3.9821809999999999E-2</v>
      </c>
      <c r="Z2127">
        <v>-1.2008380000000001E-3</v>
      </c>
      <c r="AA2127">
        <v>0.99920609999999999</v>
      </c>
      <c r="AB2127">
        <v>38</v>
      </c>
      <c r="AC2127">
        <v>-37.817999999999898</v>
      </c>
      <c r="AD2127">
        <v>-1.1095305151870001</v>
      </c>
      <c r="AE2127">
        <v>-0.71180000000003896</v>
      </c>
      <c r="AF2127">
        <v>-1.51485552701097</v>
      </c>
      <c r="AG2127">
        <v>-1.1095305151870001</v>
      </c>
      <c r="AH2127">
        <v>37.761806818631896</v>
      </c>
      <c r="AI2127">
        <v>91.681648452223499</v>
      </c>
      <c r="AJ2127">
        <v>92.297250075051295</v>
      </c>
      <c r="AK2127">
        <v>37.808463330840702</v>
      </c>
      <c r="AL2127">
        <v>90.059175318802005</v>
      </c>
      <c r="AM2127">
        <v>94.097502470919693</v>
      </c>
      <c r="AN2127">
        <v>1.0000000335000501</v>
      </c>
    </row>
    <row r="2128" spans="1:40" x14ac:dyDescent="0.25">
      <c r="A2128" t="str">
        <f>"20190312151539279"</f>
        <v>20190312151539279</v>
      </c>
      <c r="B2128" t="str">
        <f>"1552374939269233"</f>
        <v>1552374939269233</v>
      </c>
      <c r="C2128" t="s">
        <v>40</v>
      </c>
      <c r="D2128">
        <v>4.4556559999999896</v>
      </c>
      <c r="E2128">
        <v>0.50624789999999997</v>
      </c>
      <c r="F2128" t="s">
        <v>52</v>
      </c>
      <c r="G2128">
        <v>-433.81189999999998</v>
      </c>
      <c r="H2128" s="1">
        <v>4.0894680000000004E-6</v>
      </c>
      <c r="I2128">
        <v>282.53379999999999</v>
      </c>
      <c r="J2128">
        <v>-385.85739999999998</v>
      </c>
      <c r="K2128">
        <v>1.109569</v>
      </c>
      <c r="L2128">
        <v>283.84109999999998</v>
      </c>
      <c r="M2128">
        <v>-0.99966390000000005</v>
      </c>
      <c r="N2128">
        <v>0</v>
      </c>
      <c r="O2128">
        <v>2.122168E-2</v>
      </c>
      <c r="P2128">
        <v>-0.99860629999999995</v>
      </c>
      <c r="Q2128">
        <v>-1.5663280000000002E-2</v>
      </c>
      <c r="R2128">
        <v>-5.0399609999999997E-2</v>
      </c>
      <c r="S2128">
        <v>-2.9989620000000001</v>
      </c>
      <c r="T2128">
        <v>-6.9048639999999994E-2</v>
      </c>
      <c r="U2128">
        <v>-8.1054689999999999E-2</v>
      </c>
      <c r="V2128">
        <v>-7.1583309999999997E-2</v>
      </c>
      <c r="W2128">
        <v>-7.9768449999999996E-4</v>
      </c>
      <c r="X2128">
        <v>0.9974343</v>
      </c>
      <c r="Y2128">
        <v>-4.820953E-2</v>
      </c>
      <c r="Z2128">
        <v>-1.0433370000000001E-3</v>
      </c>
      <c r="AA2128">
        <v>0.99883670000000002</v>
      </c>
      <c r="AB2128">
        <v>38</v>
      </c>
      <c r="AC2128">
        <v>-47.954500000000003</v>
      </c>
      <c r="AD2128">
        <v>-1.109564910532</v>
      </c>
      <c r="AE2128">
        <v>-1.3072999999999899</v>
      </c>
      <c r="AF2128">
        <v>-2.3235504050588802</v>
      </c>
      <c r="AG2128">
        <v>-1.109564910532</v>
      </c>
      <c r="AH2128">
        <v>47.890332248802402</v>
      </c>
      <c r="AI2128">
        <v>91.325682188307695</v>
      </c>
      <c r="AJ2128">
        <v>92.777707104361994</v>
      </c>
      <c r="AK2128">
        <v>47.959503163358697</v>
      </c>
      <c r="AL2128">
        <v>90.045703960322399</v>
      </c>
      <c r="AM2128">
        <v>94.104933708598907</v>
      </c>
      <c r="AN2128">
        <v>0.99999999469380296</v>
      </c>
    </row>
    <row r="2129" spans="1:40" x14ac:dyDescent="0.25">
      <c r="A2129" t="str">
        <f>"20190312151539297"</f>
        <v>20190312151539297</v>
      </c>
      <c r="B2129" t="str">
        <f>"1552374939289729"</f>
        <v>1552374939289729</v>
      </c>
      <c r="C2129" t="s">
        <v>40</v>
      </c>
      <c r="D2129">
        <v>4.4151540000000002</v>
      </c>
      <c r="E2129">
        <v>0.5027606</v>
      </c>
      <c r="F2129" t="s">
        <v>51</v>
      </c>
      <c r="G2129">
        <v>-443.41699999999997</v>
      </c>
      <c r="H2129" s="1">
        <v>4.008147E-7</v>
      </c>
      <c r="I2129">
        <v>281.88839999999999</v>
      </c>
      <c r="J2129">
        <v>-386.16219999999998</v>
      </c>
      <c r="K2129">
        <v>1.109615</v>
      </c>
      <c r="L2129">
        <v>283.84750000000003</v>
      </c>
      <c r="M2129">
        <v>-0.99966600000000005</v>
      </c>
      <c r="N2129">
        <v>0</v>
      </c>
      <c r="O2129">
        <v>2.1125689999999999E-2</v>
      </c>
      <c r="P2129">
        <v>-0.99856350000000005</v>
      </c>
      <c r="Q2129">
        <v>-1.5265300000000001E-2</v>
      </c>
      <c r="R2129">
        <v>-5.1364159999999999E-2</v>
      </c>
      <c r="S2129">
        <v>-2.998138</v>
      </c>
      <c r="T2129">
        <v>-5.7794690000000003E-2</v>
      </c>
      <c r="U2129">
        <v>-0.1017151</v>
      </c>
      <c r="V2129">
        <v>-7.2450819999999999E-2</v>
      </c>
      <c r="W2129">
        <v>-4.1144769999999997E-4</v>
      </c>
      <c r="X2129">
        <v>0.99737189999999998</v>
      </c>
      <c r="Y2129">
        <v>-5.5000769999999997E-2</v>
      </c>
      <c r="Z2129">
        <v>-9.3706050000000004E-4</v>
      </c>
      <c r="AA2129">
        <v>0.99848590000000004</v>
      </c>
      <c r="AB2129">
        <v>38</v>
      </c>
      <c r="AC2129">
        <v>-57.254799999999904</v>
      </c>
      <c r="AD2129">
        <v>-1.1096145991852999</v>
      </c>
      <c r="AE2129">
        <v>-1.95910000000003</v>
      </c>
      <c r="AF2129">
        <v>-3.1671556996580401</v>
      </c>
      <c r="AG2129">
        <v>-1.1096145991852999</v>
      </c>
      <c r="AH2129">
        <v>57.1791764241284</v>
      </c>
      <c r="AI2129">
        <v>91.110036751510805</v>
      </c>
      <c r="AJ2129">
        <v>93.170374701580002</v>
      </c>
      <c r="AK2129">
        <v>57.277572716781599</v>
      </c>
      <c r="AL2129">
        <v>90.023574217394696</v>
      </c>
      <c r="AM2129">
        <v>94.154766798419999</v>
      </c>
      <c r="AN2129">
        <v>0.99999999875874601</v>
      </c>
    </row>
    <row r="2130" spans="1:40" x14ac:dyDescent="0.25">
      <c r="A2130" t="str">
        <f>"20190312151539320"</f>
        <v>20190312151539320</v>
      </c>
      <c r="B2130" t="str">
        <f>"1552374939309734"</f>
        <v>1552374939309734</v>
      </c>
      <c r="C2130" t="s">
        <v>40</v>
      </c>
      <c r="D2130">
        <v>4.4583550000000001</v>
      </c>
      <c r="E2130">
        <v>0.50059209999999998</v>
      </c>
      <c r="F2130" t="s">
        <v>51</v>
      </c>
      <c r="G2130">
        <v>-464.32900000000001</v>
      </c>
      <c r="H2130" s="1">
        <v>9.5099330000000003E-7</v>
      </c>
      <c r="I2130">
        <v>280.40410000000003</v>
      </c>
      <c r="J2130">
        <v>-386.52800000000002</v>
      </c>
      <c r="K2130">
        <v>1.109666</v>
      </c>
      <c r="L2130">
        <v>283.85509999999999</v>
      </c>
      <c r="M2130">
        <v>-0.99966920000000004</v>
      </c>
      <c r="N2130">
        <v>0</v>
      </c>
      <c r="O2130">
        <v>2.097162E-2</v>
      </c>
      <c r="P2130">
        <v>-0.99850570000000005</v>
      </c>
      <c r="Q2130">
        <v>-1.489771E-2</v>
      </c>
      <c r="R2130">
        <v>-5.2577930000000002E-2</v>
      </c>
      <c r="S2130">
        <v>-2.9968870000000001</v>
      </c>
      <c r="T2130">
        <v>-4.2542219999999999E-2</v>
      </c>
      <c r="U2130">
        <v>-0.132019</v>
      </c>
      <c r="V2130">
        <v>-7.3508959999999998E-2</v>
      </c>
      <c r="W2130" s="1">
        <v>-5.7671920000000001E-5</v>
      </c>
      <c r="X2130">
        <v>0.99729449999999997</v>
      </c>
      <c r="Y2130">
        <v>-6.4944689999999999E-2</v>
      </c>
      <c r="Z2130">
        <v>-7.5830729999999897E-4</v>
      </c>
      <c r="AA2130">
        <v>0.99788860000000001</v>
      </c>
      <c r="AB2130">
        <v>37</v>
      </c>
      <c r="AC2130">
        <v>-77.800999999999902</v>
      </c>
      <c r="AD2130">
        <v>-1.1096650490066999</v>
      </c>
      <c r="AE2130">
        <v>-3.4509999999999601</v>
      </c>
      <c r="AF2130">
        <v>-5.0810031500452002</v>
      </c>
      <c r="AG2130">
        <v>-1.1096650490066999</v>
      </c>
      <c r="AH2130">
        <v>77.695729906800693</v>
      </c>
      <c r="AI2130">
        <v>90.816509615039095</v>
      </c>
      <c r="AJ2130">
        <v>93.741596753886895</v>
      </c>
      <c r="AK2130">
        <v>77.869598658797997</v>
      </c>
      <c r="AL2130">
        <v>90.0033043577955</v>
      </c>
      <c r="AM2130">
        <v>94.215555738081207</v>
      </c>
      <c r="AN2130">
        <v>0.99999994512828905</v>
      </c>
    </row>
    <row r="2131" spans="1:40" x14ac:dyDescent="0.25">
      <c r="A2131" t="str">
        <f>"20190312151539342"</f>
        <v>20190312151539342</v>
      </c>
      <c r="B2131" t="str">
        <f>"1552374939330230"</f>
        <v>1552374939330230</v>
      </c>
      <c r="C2131" t="s">
        <v>40</v>
      </c>
      <c r="D2131">
        <v>4.4787790000000003</v>
      </c>
      <c r="E2131">
        <v>0.49916909999999998</v>
      </c>
      <c r="F2131" t="s">
        <v>51</v>
      </c>
      <c r="G2131">
        <v>-469.61880000000002</v>
      </c>
      <c r="H2131">
        <v>3.8643200000000003E-2</v>
      </c>
      <c r="I2131">
        <v>279.61630000000002</v>
      </c>
      <c r="J2131">
        <v>-386.90559999999999</v>
      </c>
      <c r="K2131">
        <v>1.1097090000000001</v>
      </c>
      <c r="L2131">
        <v>283.86290000000002</v>
      </c>
      <c r="M2131">
        <v>-0.99967329999999999</v>
      </c>
      <c r="N2131">
        <v>0</v>
      </c>
      <c r="O2131">
        <v>2.0779700000000002E-2</v>
      </c>
      <c r="P2131">
        <v>-0.9984499</v>
      </c>
      <c r="Q2131">
        <v>-1.460709E-2</v>
      </c>
      <c r="R2131">
        <v>-5.3709189999999997E-2</v>
      </c>
      <c r="S2131">
        <v>-2.9958800000000001</v>
      </c>
      <c r="T2131">
        <v>-3.8616299999999999E-2</v>
      </c>
      <c r="U2131">
        <v>-0.152832</v>
      </c>
      <c r="V2131">
        <v>-7.4447659999999999E-2</v>
      </c>
      <c r="W2131">
        <v>2.2012400000000001E-4</v>
      </c>
      <c r="X2131">
        <v>0.99722489999999997</v>
      </c>
      <c r="Y2131">
        <v>-7.1684170000000005E-2</v>
      </c>
      <c r="Z2131">
        <v>-7.2938970000000001E-4</v>
      </c>
      <c r="AA2131">
        <v>0.99742710000000001</v>
      </c>
      <c r="AB2131">
        <v>37</v>
      </c>
      <c r="AC2131">
        <v>-82.713200000000001</v>
      </c>
      <c r="AD2131">
        <v>-1.0710658</v>
      </c>
      <c r="AE2131">
        <v>-4.2465999999999999</v>
      </c>
      <c r="AF2131">
        <v>-5.9636313731267796</v>
      </c>
      <c r="AG2131">
        <v>-1.0710658</v>
      </c>
      <c r="AH2131">
        <v>82.593270780278502</v>
      </c>
      <c r="AI2131">
        <v>90.741038443960505</v>
      </c>
      <c r="AJ2131">
        <v>94.129863726875996</v>
      </c>
      <c r="AK2131">
        <v>82.815218766159603</v>
      </c>
      <c r="AL2131">
        <v>89.987387823752002</v>
      </c>
      <c r="AM2131">
        <v>94.269486925159896</v>
      </c>
      <c r="AN2131">
        <v>1.0000000018570301</v>
      </c>
    </row>
    <row r="2132" spans="1:40" x14ac:dyDescent="0.25">
      <c r="A2132" t="str">
        <f>"20190312151539365"</f>
        <v>20190312151539365</v>
      </c>
      <c r="B2132" t="str">
        <f>"1552374939359509"</f>
        <v>1552374939359509</v>
      </c>
      <c r="C2132" t="s">
        <v>40</v>
      </c>
      <c r="D2132">
        <v>4.5891010000000003</v>
      </c>
      <c r="E2132">
        <v>0.49817</v>
      </c>
      <c r="F2132" t="s">
        <v>50</v>
      </c>
      <c r="G2132">
        <v>-472.93990000000002</v>
      </c>
      <c r="H2132">
        <v>8.0000370000000001E-2</v>
      </c>
      <c r="I2132">
        <v>279.04770000000002</v>
      </c>
      <c r="J2132">
        <v>-387.27699999999999</v>
      </c>
      <c r="K2132">
        <v>1.1097459999999999</v>
      </c>
      <c r="L2132">
        <v>283.87040000000002</v>
      </c>
      <c r="M2132">
        <v>-0.99967779999999995</v>
      </c>
      <c r="N2132">
        <v>0</v>
      </c>
      <c r="O2132">
        <v>2.0567330000000002E-2</v>
      </c>
      <c r="P2132">
        <v>-0.99839040000000001</v>
      </c>
      <c r="Q2132">
        <v>-1.4150279999999999E-2</v>
      </c>
      <c r="R2132">
        <v>-5.4925420000000003E-2</v>
      </c>
      <c r="S2132">
        <v>-2.995117</v>
      </c>
      <c r="T2132">
        <v>-3.584731E-2</v>
      </c>
      <c r="U2132">
        <v>-0.16763310000000001</v>
      </c>
      <c r="V2132">
        <v>-7.5449989999999995E-2</v>
      </c>
      <c r="W2132">
        <v>6.6596669999999995E-4</v>
      </c>
      <c r="X2132">
        <v>0.99714930000000002</v>
      </c>
      <c r="Y2132">
        <v>-7.6400049999999997E-2</v>
      </c>
      <c r="Z2132">
        <v>-7.0283649999999896E-4</v>
      </c>
      <c r="AA2132">
        <v>0.99707699999999999</v>
      </c>
      <c r="AB2132">
        <v>37</v>
      </c>
      <c r="AC2132">
        <v>-85.662899999999993</v>
      </c>
      <c r="AD2132">
        <v>-1.0297456300000001</v>
      </c>
      <c r="AE2132">
        <v>-4.8226999999999904</v>
      </c>
      <c r="AF2132">
        <v>-6.5827835061090401</v>
      </c>
      <c r="AG2132">
        <v>-1.0297456300000001</v>
      </c>
      <c r="AH2132">
        <v>85.533253995310304</v>
      </c>
      <c r="AI2132">
        <v>90.687724263840593</v>
      </c>
      <c r="AJ2132">
        <v>94.400904519412606</v>
      </c>
      <c r="AK2132">
        <v>85.792371186353506</v>
      </c>
      <c r="AL2132">
        <v>89.961842913511902</v>
      </c>
      <c r="AM2132">
        <v>94.327079333896606</v>
      </c>
      <c r="AN2132">
        <v>0.99999993549656496</v>
      </c>
    </row>
    <row r="2133" spans="1:40" x14ac:dyDescent="0.25">
      <c r="A2133" t="str">
        <f>"20190312151539386"</f>
        <v>20190312151539386</v>
      </c>
      <c r="B2133" t="str">
        <f>"1552374939380006"</f>
        <v>1552374939380006</v>
      </c>
      <c r="C2133" t="s">
        <v>40</v>
      </c>
      <c r="D2133">
        <v>4.7403649999999997</v>
      </c>
      <c r="E2133">
        <v>0.49789230000000001</v>
      </c>
      <c r="F2133" t="s">
        <v>50</v>
      </c>
      <c r="G2133">
        <v>-495.73099999999999</v>
      </c>
      <c r="H2133" s="1">
        <v>2.116714E-6</v>
      </c>
      <c r="I2133">
        <v>277.37810000000002</v>
      </c>
      <c r="J2133">
        <v>-387.64690000000002</v>
      </c>
      <c r="K2133">
        <v>1.109769</v>
      </c>
      <c r="L2133">
        <v>283.87779999999998</v>
      </c>
      <c r="M2133">
        <v>-0.99968250000000003</v>
      </c>
      <c r="N2133">
        <v>0</v>
      </c>
      <c r="O2133">
        <v>2.034004E-2</v>
      </c>
      <c r="P2133">
        <v>-0.99834500000000004</v>
      </c>
      <c r="Q2133">
        <v>-1.3907620000000001E-2</v>
      </c>
      <c r="R2133">
        <v>-5.5803810000000002E-2</v>
      </c>
      <c r="S2133">
        <v>-2.994507</v>
      </c>
      <c r="T2133">
        <v>-3.0640959999999998E-2</v>
      </c>
      <c r="U2133">
        <v>-0.17926029999999901</v>
      </c>
      <c r="V2133">
        <v>-7.6101379999999996E-2</v>
      </c>
      <c r="W2133">
        <v>8.9914009999999905E-4</v>
      </c>
      <c r="X2133">
        <v>0.99709970000000003</v>
      </c>
      <c r="Y2133">
        <v>-8.0044409999999996E-2</v>
      </c>
      <c r="Z2133">
        <v>-6.1712550000000001E-4</v>
      </c>
      <c r="AA2133">
        <v>0.99679110000000004</v>
      </c>
      <c r="AB2133">
        <v>37</v>
      </c>
      <c r="AC2133">
        <v>-108.084099999999</v>
      </c>
      <c r="AD2133">
        <v>-1.1097668832859999</v>
      </c>
      <c r="AE2133">
        <v>-6.4996999999999598</v>
      </c>
      <c r="AF2133">
        <v>-8.6961196520614408</v>
      </c>
      <c r="AG2133">
        <v>-1.1097668832859999</v>
      </c>
      <c r="AH2133">
        <v>107.918179649603</v>
      </c>
      <c r="AI2133">
        <v>90.587271791291798</v>
      </c>
      <c r="AJ2133">
        <v>94.606978324331706</v>
      </c>
      <c r="AK2133">
        <v>108.27366982984501</v>
      </c>
      <c r="AL2133">
        <v>89.948483061173803</v>
      </c>
      <c r="AM2133">
        <v>94.364509285046907</v>
      </c>
      <c r="AN2133">
        <v>1.00000002011545</v>
      </c>
    </row>
    <row r="2134" spans="1:40" x14ac:dyDescent="0.25">
      <c r="A2134" t="str">
        <f>"20190312151539401"</f>
        <v>20190312151539401</v>
      </c>
      <c r="B2134" t="str">
        <f>"1552374939389765"</f>
        <v>1552374939389765</v>
      </c>
      <c r="C2134" t="s">
        <v>40</v>
      </c>
      <c r="D2134">
        <v>4.4668989999999997</v>
      </c>
      <c r="E2134">
        <v>0.49772739999999999</v>
      </c>
      <c r="F2134" t="s">
        <v>50</v>
      </c>
      <c r="G2134">
        <v>-500.71210000000002</v>
      </c>
      <c r="H2134">
        <v>8.0000909999999995E-2</v>
      </c>
      <c r="I2134">
        <v>276.935</v>
      </c>
      <c r="J2134">
        <v>-387.8861</v>
      </c>
      <c r="K2134">
        <v>1.1097809999999999</v>
      </c>
      <c r="L2134">
        <v>283.88260000000002</v>
      </c>
      <c r="M2134">
        <v>-0.99968559999999995</v>
      </c>
      <c r="N2134">
        <v>0</v>
      </c>
      <c r="O2134">
        <v>2.0187989999999999E-2</v>
      </c>
      <c r="P2134">
        <v>-0.99831570000000003</v>
      </c>
      <c r="Q2134">
        <v>-1.3352559999999999E-2</v>
      </c>
      <c r="R2134">
        <v>-5.6458620000000001E-2</v>
      </c>
      <c r="S2134">
        <v>-2.9943240000000002</v>
      </c>
      <c r="T2134">
        <v>-2.7271509999999999E-2</v>
      </c>
      <c r="U2134">
        <v>-0.18386839999999999</v>
      </c>
      <c r="V2134">
        <v>-7.6604340000000007E-2</v>
      </c>
      <c r="W2134">
        <v>1.4484560000000001E-3</v>
      </c>
      <c r="X2134">
        <v>0.99706050000000002</v>
      </c>
      <c r="Y2134">
        <v>-8.1425789999999998E-2</v>
      </c>
      <c r="Z2134">
        <v>-5.5417509999999999E-4</v>
      </c>
      <c r="AA2134">
        <v>0.99667919999999999</v>
      </c>
      <c r="AB2134">
        <v>37</v>
      </c>
      <c r="AC2134">
        <v>-112.82599999999999</v>
      </c>
      <c r="AD2134">
        <v>-1.02978008999999</v>
      </c>
      <c r="AE2134">
        <v>-6.94760000000002</v>
      </c>
      <c r="AF2134">
        <v>-9.2234003833064708</v>
      </c>
      <c r="AG2134">
        <v>-1.02978008999999</v>
      </c>
      <c r="AH2134">
        <v>112.653378453789</v>
      </c>
      <c r="AI2134">
        <v>90.5219875252196</v>
      </c>
      <c r="AJ2134">
        <v>94.680603654073593</v>
      </c>
      <c r="AK2134">
        <v>113.03501775431</v>
      </c>
      <c r="AL2134">
        <v>89.917009553859401</v>
      </c>
      <c r="AM2134">
        <v>94.393414157420096</v>
      </c>
      <c r="AN2134">
        <v>0.99999998179593397</v>
      </c>
    </row>
    <row r="2135" spans="1:40" x14ac:dyDescent="0.25">
      <c r="A2135" t="str">
        <f>"20190312151539420"</f>
        <v>20190312151539420</v>
      </c>
      <c r="B2135" t="str">
        <f>"1552374939409285"</f>
        <v>1552374939409285</v>
      </c>
      <c r="C2135" t="s">
        <v>40</v>
      </c>
      <c r="D2135">
        <v>4.4370750000000001</v>
      </c>
      <c r="E2135">
        <v>0.49714019999999998</v>
      </c>
      <c r="F2135" t="s">
        <v>55</v>
      </c>
      <c r="G2135">
        <v>-511.95859999999999</v>
      </c>
      <c r="H2135">
        <v>9.8348679999999994E-2</v>
      </c>
      <c r="I2135">
        <v>276.11669999999998</v>
      </c>
      <c r="J2135">
        <v>-388.19959999999998</v>
      </c>
      <c r="K2135">
        <v>1.1097939999999999</v>
      </c>
      <c r="L2135">
        <v>283.88869999999997</v>
      </c>
      <c r="M2135">
        <v>-0.99968979999999996</v>
      </c>
      <c r="N2135">
        <v>0</v>
      </c>
      <c r="O2135">
        <v>1.998604E-2</v>
      </c>
      <c r="P2135">
        <v>-0.99826099999999995</v>
      </c>
      <c r="Q2135">
        <v>-1.295789E-2</v>
      </c>
      <c r="R2135">
        <v>-5.750823E-2</v>
      </c>
      <c r="S2135">
        <v>-2.9941710000000001</v>
      </c>
      <c r="T2135">
        <v>-2.4406310000000001E-2</v>
      </c>
      <c r="U2135">
        <v>-0.1874084</v>
      </c>
      <c r="V2135">
        <v>-7.7451019999999995E-2</v>
      </c>
      <c r="W2135">
        <v>1.836124E-3</v>
      </c>
      <c r="X2135">
        <v>0.99699450000000001</v>
      </c>
      <c r="Y2135">
        <v>-8.240219E-2</v>
      </c>
      <c r="Z2135">
        <v>-4.9829269999999905E-4</v>
      </c>
      <c r="AA2135">
        <v>0.99659900000000001</v>
      </c>
      <c r="AB2135">
        <v>37</v>
      </c>
      <c r="AC2135">
        <v>-123.759</v>
      </c>
      <c r="AD2135">
        <v>-1.01144532</v>
      </c>
      <c r="AE2135">
        <v>-7.7719999999999896</v>
      </c>
      <c r="AF2135">
        <v>-10.2434912803228</v>
      </c>
      <c r="AG2135">
        <v>-1.01144532</v>
      </c>
      <c r="AH2135">
        <v>123.57070491135001</v>
      </c>
      <c r="AI2135">
        <v>90.467361372928806</v>
      </c>
      <c r="AJ2135">
        <v>94.738744331636497</v>
      </c>
      <c r="AK2135">
        <v>123.998674378129</v>
      </c>
      <c r="AL2135">
        <v>89.8947977884377</v>
      </c>
      <c r="AM2135">
        <v>94.442072568549904</v>
      </c>
      <c r="AN2135">
        <v>1.00000003244031</v>
      </c>
    </row>
    <row r="2136" spans="1:40" x14ac:dyDescent="0.25">
      <c r="A2136" t="str">
        <f>"20190312151539433"</f>
        <v>20190312151539433</v>
      </c>
      <c r="B2136" t="str">
        <f>"1552374939429781"</f>
        <v>1552374939429781</v>
      </c>
      <c r="C2136" t="s">
        <v>40</v>
      </c>
      <c r="D2136">
        <v>4.451848</v>
      </c>
      <c r="E2136">
        <v>0.49652879999999999</v>
      </c>
      <c r="F2136" t="s">
        <v>55</v>
      </c>
      <c r="G2136">
        <v>-511.95870000000002</v>
      </c>
      <c r="H2136">
        <v>0.2428998</v>
      </c>
      <c r="I2136">
        <v>275.82209999999998</v>
      </c>
      <c r="J2136">
        <v>-388.42939999999999</v>
      </c>
      <c r="K2136">
        <v>1.109802</v>
      </c>
      <c r="L2136">
        <v>283.89319999999998</v>
      </c>
      <c r="M2136">
        <v>-0.99969280000000005</v>
      </c>
      <c r="N2136">
        <v>0</v>
      </c>
      <c r="O2136">
        <v>1.9837750000000001E-2</v>
      </c>
      <c r="P2136">
        <v>-0.99823700000000004</v>
      </c>
      <c r="Q2136">
        <v>-1.269055E-2</v>
      </c>
      <c r="R2136">
        <v>-5.798797E-2</v>
      </c>
      <c r="S2136">
        <v>-2.9936829999999999</v>
      </c>
      <c r="T2136">
        <v>-2.0967840000000001E-2</v>
      </c>
      <c r="U2136">
        <v>-0.19512940000000001</v>
      </c>
      <c r="V2136">
        <v>-7.7782329999999997E-2</v>
      </c>
      <c r="W2136">
        <v>2.098384E-3</v>
      </c>
      <c r="X2136">
        <v>0.99696819999999997</v>
      </c>
      <c r="Y2136">
        <v>-8.4824940000000001E-2</v>
      </c>
      <c r="Z2136">
        <v>-4.3556580000000001E-4</v>
      </c>
      <c r="AA2136">
        <v>0.99639580000000005</v>
      </c>
      <c r="AB2136">
        <v>37</v>
      </c>
      <c r="AC2136">
        <v>-123.52930000000001</v>
      </c>
      <c r="AD2136">
        <v>-0.86690219999999996</v>
      </c>
      <c r="AE2136">
        <v>-8.0710999999999995</v>
      </c>
      <c r="AF2136">
        <v>-10.5198093845598</v>
      </c>
      <c r="AG2136">
        <v>-0.86690219999999996</v>
      </c>
      <c r="AH2136">
        <v>123.338806934071</v>
      </c>
      <c r="AI2136">
        <v>90.401247119275894</v>
      </c>
      <c r="AJ2136">
        <v>94.875070959377297</v>
      </c>
      <c r="AK2136">
        <v>123.78965709958101</v>
      </c>
      <c r="AL2136">
        <v>89.879771369932996</v>
      </c>
      <c r="AM2136">
        <v>94.461114963115605</v>
      </c>
      <c r="AN2136">
        <v>1.0000000429434299</v>
      </c>
    </row>
    <row r="2137" spans="1:40" x14ac:dyDescent="0.25">
      <c r="A2137" t="str">
        <f>"20190312151539453"</f>
        <v>20190312151539453</v>
      </c>
      <c r="B2137" t="str">
        <f>"1552374939449301"</f>
        <v>1552374939449301</v>
      </c>
      <c r="C2137" t="s">
        <v>40</v>
      </c>
      <c r="D2137">
        <v>4.4682529999999998</v>
      </c>
      <c r="E2137">
        <v>0.49644909999999998</v>
      </c>
      <c r="F2137" t="s">
        <v>55</v>
      </c>
      <c r="G2137">
        <v>-511.95870000000002</v>
      </c>
      <c r="H2137">
        <v>0.22624749999999999</v>
      </c>
      <c r="I2137">
        <v>275.58620000000002</v>
      </c>
      <c r="J2137">
        <v>-388.74950000000001</v>
      </c>
      <c r="K2137">
        <v>1.1098129999999999</v>
      </c>
      <c r="L2137">
        <v>283.89940000000001</v>
      </c>
      <c r="M2137">
        <v>-0.99969680000000005</v>
      </c>
      <c r="N2137">
        <v>0</v>
      </c>
      <c r="O2137">
        <v>1.9631639999999999E-2</v>
      </c>
      <c r="P2137">
        <v>-0.99819100000000005</v>
      </c>
      <c r="Q2137">
        <v>-1.2592229999999999E-2</v>
      </c>
      <c r="R2137">
        <v>-5.8791589999999998E-2</v>
      </c>
      <c r="S2137">
        <v>-2.9933779999999999</v>
      </c>
      <c r="T2137">
        <v>-2.1408440000000001E-2</v>
      </c>
      <c r="U2137">
        <v>-0.2012939</v>
      </c>
      <c r="V2137">
        <v>-7.8379379999999998E-2</v>
      </c>
      <c r="W2137">
        <v>2.19089E-3</v>
      </c>
      <c r="X2137">
        <v>0.99692119999999995</v>
      </c>
      <c r="Y2137">
        <v>-8.6668830000000002E-2</v>
      </c>
      <c r="Z2137">
        <v>-4.4984719999999998E-4</v>
      </c>
      <c r="AA2137">
        <v>0.99623709999999999</v>
      </c>
      <c r="AB2137">
        <v>37</v>
      </c>
      <c r="AC2137">
        <v>-123.2092</v>
      </c>
      <c r="AD2137">
        <v>-0.8835655</v>
      </c>
      <c r="AE2137">
        <v>-8.3131999999999895</v>
      </c>
      <c r="AF2137">
        <v>-10.7301140836112</v>
      </c>
      <c r="AG2137">
        <v>-0.8835655</v>
      </c>
      <c r="AH2137">
        <v>123.015932523142</v>
      </c>
      <c r="AI2137">
        <v>90.409964966481297</v>
      </c>
      <c r="AJ2137">
        <v>94.985030423620501</v>
      </c>
      <c r="AK2137">
        <v>123.486176112059</v>
      </c>
      <c r="AL2137">
        <v>89.874471149589596</v>
      </c>
      <c r="AM2137">
        <v>94.495429313645801</v>
      </c>
      <c r="AN2137">
        <v>1.0000000031088001</v>
      </c>
    </row>
    <row r="2138" spans="1:40" x14ac:dyDescent="0.25">
      <c r="A2138" t="str">
        <f>"20190312151539476"</f>
        <v>20190312151539476</v>
      </c>
      <c r="B2138" t="str">
        <f>"1552374939469797"</f>
        <v>1552374939469797</v>
      </c>
      <c r="C2138" t="s">
        <v>40</v>
      </c>
      <c r="D2138">
        <v>4.4934180000000001</v>
      </c>
      <c r="E2138">
        <v>0.4963767</v>
      </c>
      <c r="F2138" t="s">
        <v>55</v>
      </c>
      <c r="G2138">
        <v>-512.82529999999997</v>
      </c>
      <c r="H2138">
        <v>0.24416789999999999</v>
      </c>
      <c r="I2138">
        <v>275.4273</v>
      </c>
      <c r="J2138">
        <v>-389.13150000000002</v>
      </c>
      <c r="K2138">
        <v>1.109826</v>
      </c>
      <c r="L2138">
        <v>283.90660000000003</v>
      </c>
      <c r="M2138">
        <v>-0.99970170000000003</v>
      </c>
      <c r="N2138">
        <v>0</v>
      </c>
      <c r="O2138">
        <v>1.9387689999999999E-2</v>
      </c>
      <c r="P2138">
        <v>-0.99815109999999996</v>
      </c>
      <c r="Q2138">
        <v>-1.2146870000000001E-2</v>
      </c>
      <c r="R2138">
        <v>-5.9558060000000003E-2</v>
      </c>
      <c r="S2138">
        <v>-2.9931640000000002</v>
      </c>
      <c r="T2138">
        <v>-2.0880579999999999E-2</v>
      </c>
      <c r="U2138">
        <v>-0.20437620000000001</v>
      </c>
      <c r="V2138">
        <v>-7.8902199999999895E-2</v>
      </c>
      <c r="W2138">
        <v>2.6291019999999999E-3</v>
      </c>
      <c r="X2138">
        <v>0.99687890000000001</v>
      </c>
      <c r="Y2138">
        <v>-8.7451780000000007E-2</v>
      </c>
      <c r="Z2138">
        <v>-4.397995E-4</v>
      </c>
      <c r="AA2138">
        <v>0.99616870000000002</v>
      </c>
      <c r="AB2138">
        <v>37</v>
      </c>
      <c r="AC2138">
        <v>-123.693799999999</v>
      </c>
      <c r="AD2138">
        <v>-0.86565809999999999</v>
      </c>
      <c r="AE2138">
        <v>-8.4793000000000198</v>
      </c>
      <c r="AF2138">
        <v>-10.8755773623115</v>
      </c>
      <c r="AG2138">
        <v>-0.86565809999999999</v>
      </c>
      <c r="AH2138">
        <v>123.500112897349</v>
      </c>
      <c r="AI2138">
        <v>90.400052678173907</v>
      </c>
      <c r="AJ2138">
        <v>95.032557363957395</v>
      </c>
      <c r="AK2138">
        <v>123.981068847497</v>
      </c>
      <c r="AL2138">
        <v>89.849363378751306</v>
      </c>
      <c r="AM2138">
        <v>94.525482604753293</v>
      </c>
      <c r="AN2138">
        <v>1.0000000053036799</v>
      </c>
    </row>
    <row r="2139" spans="1:40" x14ac:dyDescent="0.25">
      <c r="A2139" t="str">
        <f>"20190312151539499"</f>
        <v>20190312151539499</v>
      </c>
      <c r="B2139" t="str">
        <f>"1552374939489317"</f>
        <v>1552374939489317</v>
      </c>
      <c r="C2139" t="s">
        <v>40</v>
      </c>
      <c r="D2139">
        <v>4.4705519999999996</v>
      </c>
      <c r="E2139">
        <v>0.4962336</v>
      </c>
      <c r="F2139" t="s">
        <v>55</v>
      </c>
      <c r="G2139">
        <v>-512.82529999999997</v>
      </c>
      <c r="H2139">
        <v>0.31102469999999999</v>
      </c>
      <c r="I2139">
        <v>275.34930000000003</v>
      </c>
      <c r="J2139">
        <v>-389.49799999999999</v>
      </c>
      <c r="K2139">
        <v>1.109834</v>
      </c>
      <c r="L2139">
        <v>283.9135</v>
      </c>
      <c r="M2139">
        <v>-0.99970630000000005</v>
      </c>
      <c r="N2139">
        <v>0</v>
      </c>
      <c r="O2139">
        <v>1.915505E-2</v>
      </c>
      <c r="P2139">
        <v>-0.99810580000000004</v>
      </c>
      <c r="Q2139">
        <v>-1.215889E-2</v>
      </c>
      <c r="R2139">
        <v>-6.0308470000000003E-2</v>
      </c>
      <c r="S2139">
        <v>-2.9930110000000001</v>
      </c>
      <c r="T2139">
        <v>-1.9326570000000001E-2</v>
      </c>
      <c r="U2139">
        <v>-0.20706179999999999</v>
      </c>
      <c r="V2139">
        <v>-7.9419370000000003E-2</v>
      </c>
      <c r="W2139">
        <v>2.6109829999999999E-3</v>
      </c>
      <c r="X2139">
        <v>0.99683790000000005</v>
      </c>
      <c r="Y2139">
        <v>-8.8113399999999995E-2</v>
      </c>
      <c r="Z2139">
        <v>-4.0770980000000002E-4</v>
      </c>
      <c r="AA2139">
        <v>0.99611039999999995</v>
      </c>
      <c r="AB2139">
        <v>37</v>
      </c>
      <c r="AC2139">
        <v>-123.327299999999</v>
      </c>
      <c r="AD2139">
        <v>-0.79880929999999895</v>
      </c>
      <c r="AE2139">
        <v>-8.5641999999999694</v>
      </c>
      <c r="AF2139">
        <v>-10.9247731745042</v>
      </c>
      <c r="AG2139">
        <v>-0.79880929999999895</v>
      </c>
      <c r="AH2139">
        <v>123.13546063316301</v>
      </c>
      <c r="AI2139">
        <v>90.370232018069402</v>
      </c>
      <c r="AJ2139">
        <v>95.070097030114198</v>
      </c>
      <c r="AK2139">
        <v>123.621723133733</v>
      </c>
      <c r="AL2139">
        <v>89.850401527667103</v>
      </c>
      <c r="AM2139">
        <v>94.555207335408397</v>
      </c>
      <c r="AN2139">
        <v>1.00000002621991</v>
      </c>
    </row>
    <row r="2140" spans="1:40" x14ac:dyDescent="0.25">
      <c r="A2140" t="str">
        <f>"20190312151539521"</f>
        <v>20190312151539521</v>
      </c>
      <c r="B2140" t="str">
        <f>"1552374939509813"</f>
        <v>1552374939509813</v>
      </c>
      <c r="C2140" t="s">
        <v>40</v>
      </c>
      <c r="D2140">
        <v>4.4695839999999896</v>
      </c>
      <c r="E2140">
        <v>0.49609019999999998</v>
      </c>
      <c r="F2140" t="s">
        <v>55</v>
      </c>
      <c r="G2140">
        <v>-512.82529999999997</v>
      </c>
      <c r="H2140">
        <v>0.28279710000000002</v>
      </c>
      <c r="I2140">
        <v>275.23219999999998</v>
      </c>
      <c r="J2140">
        <v>-389.87529999999998</v>
      </c>
      <c r="K2140">
        <v>1.109842</v>
      </c>
      <c r="L2140">
        <v>283.9205</v>
      </c>
      <c r="M2140">
        <v>-0.99971069999999995</v>
      </c>
      <c r="N2140">
        <v>0</v>
      </c>
      <c r="O2140">
        <v>1.891605E-2</v>
      </c>
      <c r="P2140">
        <v>-0.99805089999999996</v>
      </c>
      <c r="Q2140">
        <v>-1.220544E-2</v>
      </c>
      <c r="R2140">
        <v>-6.1199999999999997E-2</v>
      </c>
      <c r="S2140">
        <v>-2.9927060000000001</v>
      </c>
      <c r="T2140">
        <v>-2.0067209999999999E-2</v>
      </c>
      <c r="U2140">
        <v>-0.21066280000000001</v>
      </c>
      <c r="V2140">
        <v>-8.0071519999999993E-2</v>
      </c>
      <c r="W2140">
        <v>2.5580540000000001E-3</v>
      </c>
      <c r="X2140">
        <v>0.99678580000000006</v>
      </c>
      <c r="Y2140">
        <v>-8.9074799999999996E-2</v>
      </c>
      <c r="Z2140">
        <v>-4.2497800000000001E-4</v>
      </c>
      <c r="AA2140">
        <v>0.99602480000000004</v>
      </c>
      <c r="AB2140">
        <v>37</v>
      </c>
      <c r="AC2140">
        <v>-122.95</v>
      </c>
      <c r="AD2140">
        <v>-0.82704489999999997</v>
      </c>
      <c r="AE2140">
        <v>-8.6883000000000195</v>
      </c>
      <c r="AF2140">
        <v>-11.0122343329079</v>
      </c>
      <c r="AG2140">
        <v>-0.82704489999999997</v>
      </c>
      <c r="AH2140">
        <v>122.758102941258</v>
      </c>
      <c r="AI2140">
        <v>90.384463023377094</v>
      </c>
      <c r="AJ2140">
        <v>95.126098934583496</v>
      </c>
      <c r="AK2140">
        <v>123.25382406240399</v>
      </c>
      <c r="AL2140">
        <v>89.853434136547307</v>
      </c>
      <c r="AM2140">
        <v>94.592691953863493</v>
      </c>
      <c r="AN2140">
        <v>0.99999996151850701</v>
      </c>
    </row>
    <row r="2141" spans="1:40" x14ac:dyDescent="0.25">
      <c r="A2141" t="str">
        <f>"20190312151539542"</f>
        <v>20190312151539542</v>
      </c>
      <c r="B2141" t="str">
        <f>"1552374939540070"</f>
        <v>1552374939540070</v>
      </c>
      <c r="C2141" t="s">
        <v>40</v>
      </c>
      <c r="D2141">
        <v>4.4680739999999997</v>
      </c>
      <c r="E2141">
        <v>0.4958304</v>
      </c>
      <c r="F2141" t="s">
        <v>55</v>
      </c>
      <c r="G2141">
        <v>-512.8252</v>
      </c>
      <c r="H2141">
        <v>0.196352</v>
      </c>
      <c r="I2141">
        <v>275.11070000000001</v>
      </c>
      <c r="J2141">
        <v>-390.23500000000001</v>
      </c>
      <c r="K2141">
        <v>1.1098490000000001</v>
      </c>
      <c r="L2141">
        <v>283.9271</v>
      </c>
      <c r="M2141">
        <v>-0.99971529999999997</v>
      </c>
      <c r="N2141">
        <v>0</v>
      </c>
      <c r="O2141">
        <v>1.868794E-2</v>
      </c>
      <c r="P2141">
        <v>-0.99800449999999996</v>
      </c>
      <c r="Q2141">
        <v>-1.197462E-2</v>
      </c>
      <c r="R2141">
        <v>-6.2002349999999998E-2</v>
      </c>
      <c r="S2141">
        <v>-2.992432</v>
      </c>
      <c r="T2141">
        <v>-2.22311E-2</v>
      </c>
      <c r="U2141">
        <v>-0.21441650000000001</v>
      </c>
      <c r="V2141">
        <v>-8.0645140000000004E-2</v>
      </c>
      <c r="W2141">
        <v>2.7840740000000001E-3</v>
      </c>
      <c r="X2141">
        <v>0.99673900000000004</v>
      </c>
      <c r="Y2141">
        <v>-9.0096419999999997E-2</v>
      </c>
      <c r="Z2141">
        <v>-4.7292249999999998E-4</v>
      </c>
      <c r="AA2141">
        <v>0.99593290000000001</v>
      </c>
      <c r="AB2141">
        <v>37</v>
      </c>
      <c r="AC2141">
        <v>-122.590199999999</v>
      </c>
      <c r="AD2141">
        <v>-0.913497</v>
      </c>
      <c r="AE2141">
        <v>-8.8163999999999803</v>
      </c>
      <c r="AF2141">
        <v>-11.1054569738554</v>
      </c>
      <c r="AG2141">
        <v>-0.913497</v>
      </c>
      <c r="AH2141">
        <v>122.397246926333</v>
      </c>
      <c r="AI2141">
        <v>90.425862866827899</v>
      </c>
      <c r="AJ2141">
        <v>95.184416410119098</v>
      </c>
      <c r="AK2141">
        <v>122.903424307514</v>
      </c>
      <c r="AL2141">
        <v>89.840484105775502</v>
      </c>
      <c r="AM2141">
        <v>94.625667266552995</v>
      </c>
      <c r="AN2141">
        <v>1.00000001189732</v>
      </c>
    </row>
    <row r="2142" spans="1:40" x14ac:dyDescent="0.25">
      <c r="A2142" t="str">
        <f>"20190312151539555"</f>
        <v>20190312151539555</v>
      </c>
      <c r="B2142" t="str">
        <f>"1552374939549831"</f>
        <v>1552374939549831</v>
      </c>
      <c r="C2142" t="s">
        <v>40</v>
      </c>
      <c r="D2142">
        <v>4.7435239999999999</v>
      </c>
      <c r="E2142">
        <v>0.49582500000000002</v>
      </c>
      <c r="F2142" t="s">
        <v>55</v>
      </c>
      <c r="G2142">
        <v>-512.8252</v>
      </c>
      <c r="H2142">
        <v>9.2638730000000002E-2</v>
      </c>
      <c r="I2142">
        <v>274.95319999999998</v>
      </c>
      <c r="J2142">
        <v>-390.44909999999999</v>
      </c>
      <c r="K2142">
        <v>1.1098509999999999</v>
      </c>
      <c r="L2142">
        <v>283.93099999999998</v>
      </c>
      <c r="M2142">
        <v>-0.99971770000000004</v>
      </c>
      <c r="N2142">
        <v>0</v>
      </c>
      <c r="O2142">
        <v>1.8551979999999999E-2</v>
      </c>
      <c r="P2142">
        <v>-0.99797930000000001</v>
      </c>
      <c r="Q2142">
        <v>-1.1869609999999999E-2</v>
      </c>
      <c r="R2142">
        <v>-6.2422249999999999E-2</v>
      </c>
      <c r="S2142">
        <v>-2.9920650000000002</v>
      </c>
      <c r="T2142">
        <v>-2.4825099999999999E-2</v>
      </c>
      <c r="U2142">
        <v>-0.21902469999999999</v>
      </c>
      <c r="V2142">
        <v>-8.092982E-2</v>
      </c>
      <c r="W2142">
        <v>2.8856400000000001E-3</v>
      </c>
      <c r="X2142">
        <v>0.99671560000000003</v>
      </c>
      <c r="Y2142">
        <v>-9.1494679999999995E-2</v>
      </c>
      <c r="Z2142">
        <v>-5.3280440000000003E-4</v>
      </c>
      <c r="AA2142">
        <v>0.99580539999999995</v>
      </c>
      <c r="AB2142">
        <v>37</v>
      </c>
      <c r="AC2142">
        <v>-122.37609999999999</v>
      </c>
      <c r="AD2142">
        <v>-1.0172122699999999</v>
      </c>
      <c r="AE2142">
        <v>-8.9778000000000002</v>
      </c>
      <c r="AF2142">
        <v>-11.2460508254639</v>
      </c>
      <c r="AG2142">
        <v>-1.0172122699999999</v>
      </c>
      <c r="AH2142">
        <v>122.180063253309</v>
      </c>
      <c r="AI2142">
        <v>90.474998183158505</v>
      </c>
      <c r="AJ2142">
        <v>95.258965511332605</v>
      </c>
      <c r="AK2142">
        <v>122.700758907815</v>
      </c>
      <c r="AL2142">
        <v>89.834664773213703</v>
      </c>
      <c r="AM2142">
        <v>94.642033293671801</v>
      </c>
      <c r="AN2142">
        <v>0.99999997498339999</v>
      </c>
    </row>
    <row r="2143" spans="1:40" x14ac:dyDescent="0.25">
      <c r="A2143" t="str">
        <f>"20190312151539570"</f>
        <v>20190312151539570</v>
      </c>
      <c r="B2143" t="str">
        <f>"1552374939559589"</f>
        <v>1552374939559589</v>
      </c>
      <c r="C2143" t="s">
        <v>40</v>
      </c>
      <c r="D2143">
        <v>4.4541969999999997</v>
      </c>
      <c r="E2143">
        <v>0.4957395</v>
      </c>
      <c r="F2143" t="s">
        <v>55</v>
      </c>
      <c r="G2143">
        <v>-512.8252</v>
      </c>
      <c r="H2143">
        <v>9.2777970000000001E-2</v>
      </c>
      <c r="I2143">
        <v>274.92380000000003</v>
      </c>
      <c r="J2143">
        <v>-390.69510000000002</v>
      </c>
      <c r="K2143">
        <v>1.109855</v>
      </c>
      <c r="L2143">
        <v>283.93540000000002</v>
      </c>
      <c r="M2143">
        <v>-0.99972070000000002</v>
      </c>
      <c r="N2143">
        <v>0</v>
      </c>
      <c r="O2143">
        <v>1.8396180000000002E-2</v>
      </c>
      <c r="P2143">
        <v>-0.99794240000000001</v>
      </c>
      <c r="Q2143">
        <v>-1.192613E-2</v>
      </c>
      <c r="R2143">
        <v>-6.2998789999999999E-2</v>
      </c>
      <c r="S2143">
        <v>-2.9919739999999999</v>
      </c>
      <c r="T2143">
        <v>-2.4864440000000002E-2</v>
      </c>
      <c r="U2143">
        <v>-0.22021479999999999</v>
      </c>
      <c r="V2143">
        <v>-8.1350450000000005E-2</v>
      </c>
      <c r="W2143">
        <v>2.8255590000000001E-3</v>
      </c>
      <c r="X2143">
        <v>0.99668159999999895</v>
      </c>
      <c r="Y2143">
        <v>-9.173568E-2</v>
      </c>
      <c r="Z2143">
        <v>-5.333639E-4</v>
      </c>
      <c r="AA2143">
        <v>0.99578330000000004</v>
      </c>
      <c r="AB2143">
        <v>37</v>
      </c>
      <c r="AC2143">
        <v>-122.130099999999</v>
      </c>
      <c r="AD2143">
        <v>-1.01707703</v>
      </c>
      <c r="AE2143">
        <v>-9.0115999999999801</v>
      </c>
      <c r="AF2143">
        <v>-11.256272860273601</v>
      </c>
      <c r="AG2143">
        <v>-1.01707703</v>
      </c>
      <c r="AH2143">
        <v>121.935220115167</v>
      </c>
      <c r="AI2143">
        <v>90.475876964015896</v>
      </c>
      <c r="AJ2143">
        <v>95.274228659444105</v>
      </c>
      <c r="AK2143">
        <v>122.457894922802</v>
      </c>
      <c r="AL2143">
        <v>89.838107186503294</v>
      </c>
      <c r="AM2143">
        <v>94.666212315574697</v>
      </c>
      <c r="AN2143">
        <v>1.0000000456387099</v>
      </c>
    </row>
    <row r="2144" spans="1:40" x14ac:dyDescent="0.25">
      <c r="A2144" t="str">
        <f>"20190312151539587"</f>
        <v>20190312151539587</v>
      </c>
      <c r="B2144" t="str">
        <f>"1552374939580085"</f>
        <v>1552374939580085</v>
      </c>
      <c r="C2144" t="s">
        <v>40</v>
      </c>
      <c r="D2144">
        <v>4.6132499999999999</v>
      </c>
      <c r="E2144">
        <v>0.49534620000000001</v>
      </c>
      <c r="F2144" t="s">
        <v>55</v>
      </c>
      <c r="G2144">
        <v>-512.8252</v>
      </c>
      <c r="H2144">
        <v>4.2617019999999999E-2</v>
      </c>
      <c r="I2144">
        <v>274.83370000000002</v>
      </c>
      <c r="J2144">
        <v>-390.96789999999999</v>
      </c>
      <c r="K2144">
        <v>1.109855</v>
      </c>
      <c r="L2144">
        <v>283.9402</v>
      </c>
      <c r="M2144">
        <v>-0.9997239</v>
      </c>
      <c r="N2144">
        <v>0</v>
      </c>
      <c r="O2144">
        <v>1.8222510000000001E-2</v>
      </c>
      <c r="P2144">
        <v>-0.9978688</v>
      </c>
      <c r="Q2144">
        <v>-1.163076E-2</v>
      </c>
      <c r="R2144">
        <v>-6.4208790000000002E-2</v>
      </c>
      <c r="S2144">
        <v>-2.9918209999999998</v>
      </c>
      <c r="T2144">
        <v>-2.6142120000000001E-2</v>
      </c>
      <c r="U2144">
        <v>-0.2229614</v>
      </c>
      <c r="V2144">
        <v>-8.2385440000000004E-2</v>
      </c>
      <c r="W2144">
        <v>3.115952E-3</v>
      </c>
      <c r="X2144">
        <v>0.99659569999999997</v>
      </c>
      <c r="Y2144">
        <v>-9.2475130000000003E-2</v>
      </c>
      <c r="Z2144">
        <v>-5.6249040000000004E-4</v>
      </c>
      <c r="AA2144">
        <v>0.99571480000000001</v>
      </c>
      <c r="AB2144">
        <v>37</v>
      </c>
      <c r="AC2144">
        <v>-121.8573</v>
      </c>
      <c r="AD2144">
        <v>-1.06723798</v>
      </c>
      <c r="AE2144">
        <v>-9.1064999999999792</v>
      </c>
      <c r="AF2144">
        <v>-11.3249139844027</v>
      </c>
      <c r="AG2144">
        <v>-1.06723798</v>
      </c>
      <c r="AH2144">
        <v>121.66182020498201</v>
      </c>
      <c r="AI2144">
        <v>90.500432039513996</v>
      </c>
      <c r="AJ2144">
        <v>95.318063930191798</v>
      </c>
      <c r="AK2144">
        <v>122.19243499189901</v>
      </c>
      <c r="AL2144">
        <v>89.821468817615099</v>
      </c>
      <c r="AM2144">
        <v>94.725717007183206</v>
      </c>
      <c r="AN2144">
        <v>1.00000002956967</v>
      </c>
    </row>
    <row r="2145" spans="1:40" x14ac:dyDescent="0.25">
      <c r="A2145" t="str">
        <f>"20190312151539609"</f>
        <v>20190312151539609</v>
      </c>
      <c r="B2145" t="str">
        <f>"1552374939599944"</f>
        <v>1552374939599944</v>
      </c>
      <c r="C2145" t="s">
        <v>40</v>
      </c>
      <c r="D2145">
        <v>4.6924299999999999</v>
      </c>
      <c r="E2145">
        <v>0.49535370000000001</v>
      </c>
      <c r="F2145" t="s">
        <v>55</v>
      </c>
      <c r="G2145">
        <v>-512.8252</v>
      </c>
      <c r="H2145">
        <v>2.3702919999999999E-2</v>
      </c>
      <c r="I2145">
        <v>274.59140000000002</v>
      </c>
      <c r="J2145">
        <v>-391.33569999999997</v>
      </c>
      <c r="K2145">
        <v>1.109861</v>
      </c>
      <c r="L2145">
        <v>283.94670000000002</v>
      </c>
      <c r="M2145">
        <v>-0.99972810000000001</v>
      </c>
      <c r="N2145">
        <v>0</v>
      </c>
      <c r="O2145">
        <v>1.7989120000000001E-2</v>
      </c>
      <c r="P2145">
        <v>-0.99782380000000004</v>
      </c>
      <c r="Q2145">
        <v>-1.1350219999999999E-2</v>
      </c>
      <c r="R2145">
        <v>-6.4956009999999995E-2</v>
      </c>
      <c r="S2145">
        <v>-2.991333</v>
      </c>
      <c r="T2145">
        <v>-2.6660679999999999E-2</v>
      </c>
      <c r="U2145">
        <v>-0.22949220000000001</v>
      </c>
      <c r="V2145">
        <v>-8.2899059999999997E-2</v>
      </c>
      <c r="W2145">
        <v>3.3920389999999999E-3</v>
      </c>
      <c r="X2145">
        <v>0.9965522</v>
      </c>
      <c r="Y2145">
        <v>-9.4415830000000006E-2</v>
      </c>
      <c r="Z2145">
        <v>-5.8025259999999995E-4</v>
      </c>
      <c r="AA2145">
        <v>0.99553270000000005</v>
      </c>
      <c r="AB2145">
        <v>37</v>
      </c>
      <c r="AC2145">
        <v>-121.48950000000001</v>
      </c>
      <c r="AD2145">
        <v>-1.0861580799999999</v>
      </c>
      <c r="AE2145">
        <v>-9.3552999999999997</v>
      </c>
      <c r="AF2145">
        <v>-11.538598742555701</v>
      </c>
      <c r="AG2145">
        <v>-1.0861580799999999</v>
      </c>
      <c r="AH2145">
        <v>121.291886743674</v>
      </c>
      <c r="AI2145">
        <v>90.510759081146105</v>
      </c>
      <c r="AJ2145">
        <v>95.434241781498798</v>
      </c>
      <c r="AK2145">
        <v>121.84433015186499</v>
      </c>
      <c r="AL2145">
        <v>89.805650113265301</v>
      </c>
      <c r="AM2145">
        <v>94.755250730555105</v>
      </c>
      <c r="AN2145">
        <v>1.0000000237011499</v>
      </c>
    </row>
    <row r="2146" spans="1:40" x14ac:dyDescent="0.25">
      <c r="A2146" t="str">
        <f>"20190312151539632"</f>
        <v>20190312151539632</v>
      </c>
      <c r="B2146" t="str">
        <f>"1552374939630202"</f>
        <v>1552374939630202</v>
      </c>
      <c r="C2146" t="s">
        <v>40</v>
      </c>
      <c r="D2146">
        <v>4.4153739999999999</v>
      </c>
      <c r="E2146">
        <v>0.49537690000000001</v>
      </c>
      <c r="F2146" t="s">
        <v>55</v>
      </c>
      <c r="G2146">
        <v>-512.82510000000002</v>
      </c>
      <c r="H2146">
        <v>1.4980490000000001E-2</v>
      </c>
      <c r="I2146">
        <v>274.53750000000002</v>
      </c>
      <c r="J2146">
        <v>-391.70850000000002</v>
      </c>
      <c r="K2146">
        <v>1.109861</v>
      </c>
      <c r="L2146">
        <v>283.95319999999998</v>
      </c>
      <c r="M2146">
        <v>-0.99973250000000002</v>
      </c>
      <c r="N2146">
        <v>0</v>
      </c>
      <c r="O2146">
        <v>1.7751929999999999E-2</v>
      </c>
      <c r="P2146">
        <v>-0.99776399999999998</v>
      </c>
      <c r="Q2146">
        <v>-1.092632E-2</v>
      </c>
      <c r="R2146">
        <v>-6.5940209999999999E-2</v>
      </c>
      <c r="S2146">
        <v>-2.9911500000000002</v>
      </c>
      <c r="T2146">
        <v>-2.695465E-2</v>
      </c>
      <c r="U2146">
        <v>-0.2316589</v>
      </c>
      <c r="V2146">
        <v>-8.3645899999999995E-2</v>
      </c>
      <c r="W2146">
        <v>3.8097449999999998E-3</v>
      </c>
      <c r="X2146">
        <v>0.99648829999999999</v>
      </c>
      <c r="Y2146">
        <v>-9.4901029999999997E-2</v>
      </c>
      <c r="Z2146">
        <v>-5.867181E-4</v>
      </c>
      <c r="AA2146">
        <v>0.9954866</v>
      </c>
      <c r="AB2146">
        <v>37</v>
      </c>
      <c r="AC2146">
        <v>-121.11660000000001</v>
      </c>
      <c r="AD2146">
        <v>-1.0948805100000001</v>
      </c>
      <c r="AE2146">
        <v>-9.4156999999999496</v>
      </c>
      <c r="AF2146">
        <v>-11.563566406407</v>
      </c>
      <c r="AG2146">
        <v>-1.0948805100000001</v>
      </c>
      <c r="AH2146">
        <v>120.920523069669</v>
      </c>
      <c r="AI2146">
        <v>90.516417313346494</v>
      </c>
      <c r="AJ2146">
        <v>95.462554175938195</v>
      </c>
      <c r="AK2146">
        <v>121.477107846742</v>
      </c>
      <c r="AL2146">
        <v>89.781717171479698</v>
      </c>
      <c r="AM2146">
        <v>94.798198046512297</v>
      </c>
      <c r="AN2146">
        <v>1.0000000413903301</v>
      </c>
    </row>
    <row r="2147" spans="1:40" x14ac:dyDescent="0.25">
      <c r="A2147" t="str">
        <f>"20190312151539654"</f>
        <v>20190312151539654</v>
      </c>
      <c r="B2147" t="str">
        <f>"1552374939649720"</f>
        <v>1552374939649720</v>
      </c>
      <c r="C2147" t="s">
        <v>40</v>
      </c>
      <c r="D2147">
        <v>4.6327259999999999</v>
      </c>
      <c r="E2147">
        <v>0.4954094</v>
      </c>
      <c r="F2147" t="s">
        <v>50</v>
      </c>
      <c r="G2147">
        <v>-501.62150000000003</v>
      </c>
      <c r="H2147">
        <v>8.0000929999999998E-2</v>
      </c>
      <c r="I2147">
        <v>275.33550000000002</v>
      </c>
      <c r="J2147">
        <v>-392.06790000000001</v>
      </c>
      <c r="K2147">
        <v>1.1098650000000001</v>
      </c>
      <c r="L2147">
        <v>283.95929999999998</v>
      </c>
      <c r="M2147">
        <v>-0.99973650000000003</v>
      </c>
      <c r="N2147">
        <v>0</v>
      </c>
      <c r="O2147">
        <v>1.7523560000000001E-2</v>
      </c>
      <c r="P2147">
        <v>-0.99771460000000001</v>
      </c>
      <c r="Q2147">
        <v>-1.087138E-2</v>
      </c>
      <c r="R2147">
        <v>-6.6688259999999999E-2</v>
      </c>
      <c r="S2147">
        <v>-2.990875</v>
      </c>
      <c r="T2147">
        <v>-2.8023840000000001E-2</v>
      </c>
      <c r="U2147">
        <v>-0.23449710000000001</v>
      </c>
      <c r="V2147">
        <v>-8.4165710000000005E-2</v>
      </c>
      <c r="W2147">
        <v>3.8598130000000001E-3</v>
      </c>
      <c r="X2147">
        <v>0.99644429999999995</v>
      </c>
      <c r="Y2147">
        <v>-9.561923E-2</v>
      </c>
      <c r="Z2147">
        <v>-6.112461E-4</v>
      </c>
      <c r="AA2147">
        <v>0.99541780000000002</v>
      </c>
      <c r="AB2147">
        <v>37</v>
      </c>
      <c r="AC2147">
        <v>-109.5536</v>
      </c>
      <c r="AD2147">
        <v>-1.0298640699999999</v>
      </c>
      <c r="AE2147">
        <v>-8.6237999999999602</v>
      </c>
      <c r="AF2147">
        <v>-10.541529861478899</v>
      </c>
      <c r="AG2147">
        <v>-1.0298640699999999</v>
      </c>
      <c r="AH2147">
        <v>109.37603204995099</v>
      </c>
      <c r="AI2147">
        <v>90.536982233428702</v>
      </c>
      <c r="AJ2147">
        <v>95.505094671246695</v>
      </c>
      <c r="AK2147">
        <v>109.887673825661</v>
      </c>
      <c r="AL2147">
        <v>89.778848457136306</v>
      </c>
      <c r="AM2147">
        <v>94.828087689056005</v>
      </c>
      <c r="AN2147">
        <v>1.00000000394934</v>
      </c>
    </row>
    <row r="2148" spans="1:40" x14ac:dyDescent="0.25">
      <c r="A2148" t="str">
        <f>"20190312151539677"</f>
        <v>20190312151539677</v>
      </c>
      <c r="B2148" t="str">
        <f>"1552374939670216"</f>
        <v>1552374939670216</v>
      </c>
      <c r="C2148" t="s">
        <v>40</v>
      </c>
      <c r="D2148">
        <v>4.399241</v>
      </c>
      <c r="E2148">
        <v>0.49543320000000002</v>
      </c>
      <c r="F2148" t="s">
        <v>50</v>
      </c>
      <c r="G2148">
        <v>-499.96100000000001</v>
      </c>
      <c r="H2148">
        <v>5.3235320000000003E-2</v>
      </c>
      <c r="I2148">
        <v>275.42700000000002</v>
      </c>
      <c r="J2148">
        <v>-392.43650000000002</v>
      </c>
      <c r="K2148">
        <v>1.1098600000000001</v>
      </c>
      <c r="L2148">
        <v>283.96550000000002</v>
      </c>
      <c r="M2148">
        <v>-0.99974070000000004</v>
      </c>
      <c r="N2148">
        <v>0</v>
      </c>
      <c r="O2148">
        <v>1.7289180000000001E-2</v>
      </c>
      <c r="P2148">
        <v>-0.99766829999999995</v>
      </c>
      <c r="Q2148">
        <v>-1.0879379999999999E-2</v>
      </c>
      <c r="R2148">
        <v>-6.7377049999999994E-2</v>
      </c>
      <c r="S2148">
        <v>-2.9907530000000002</v>
      </c>
      <c r="T2148">
        <v>-2.928936E-2</v>
      </c>
      <c r="U2148">
        <v>-0.2365112</v>
      </c>
      <c r="V2148">
        <v>-8.4619449999999999E-2</v>
      </c>
      <c r="W2148">
        <v>3.8474149999999999E-3</v>
      </c>
      <c r="X2148">
        <v>0.99640589999999996</v>
      </c>
      <c r="Y2148">
        <v>-9.6054780000000006E-2</v>
      </c>
      <c r="Z2148">
        <v>-6.3869419999999896E-4</v>
      </c>
      <c r="AA2148">
        <v>0.99537589999999998</v>
      </c>
      <c r="AB2148">
        <v>37</v>
      </c>
      <c r="AC2148">
        <v>-107.5245</v>
      </c>
      <c r="AD2148">
        <v>-1.0566246800000001</v>
      </c>
      <c r="AE2148">
        <v>-8.5384999999999902</v>
      </c>
      <c r="AF2148">
        <v>-10.3954405208059</v>
      </c>
      <c r="AG2148">
        <v>-1.0566246800000001</v>
      </c>
      <c r="AH2148">
        <v>107.350483505285</v>
      </c>
      <c r="AI2148">
        <v>90.561304749992999</v>
      </c>
      <c r="AJ2148">
        <v>95.531074485290503</v>
      </c>
      <c r="AK2148">
        <v>107.857813570248</v>
      </c>
      <c r="AL2148">
        <v>89.779558811467794</v>
      </c>
      <c r="AM2148">
        <v>94.854178203622695</v>
      </c>
      <c r="AN2148">
        <v>0.99999998573764703</v>
      </c>
    </row>
    <row r="2149" spans="1:40" x14ac:dyDescent="0.25">
      <c r="A2149" t="str">
        <f>"20190312151539699"</f>
        <v>20190312151539699</v>
      </c>
      <c r="B2149" t="str">
        <f>"1552374939689736"</f>
        <v>1552374939689736</v>
      </c>
      <c r="C2149" t="s">
        <v>40</v>
      </c>
      <c r="D2149">
        <v>4.4099250000000003</v>
      </c>
      <c r="E2149">
        <v>0.49550899999999998</v>
      </c>
      <c r="F2149" t="s">
        <v>50</v>
      </c>
      <c r="G2149">
        <v>-498.24029999999999</v>
      </c>
      <c r="H2149" s="1">
        <v>1.345389E-6</v>
      </c>
      <c r="I2149">
        <v>275.52569999999997</v>
      </c>
      <c r="J2149">
        <v>-392.80829999999997</v>
      </c>
      <c r="K2149">
        <v>1.1098589999999999</v>
      </c>
      <c r="L2149">
        <v>283.9717</v>
      </c>
      <c r="M2149">
        <v>-0.99974479999999999</v>
      </c>
      <c r="N2149">
        <v>0</v>
      </c>
      <c r="O2149">
        <v>1.7052359999999999E-2</v>
      </c>
      <c r="P2149">
        <v>-0.99761160000000004</v>
      </c>
      <c r="Q2149">
        <v>-1.1253300000000001E-2</v>
      </c>
      <c r="R2149">
        <v>-6.8152809999999994E-2</v>
      </c>
      <c r="S2149">
        <v>-2.9906009999999998</v>
      </c>
      <c r="T2149">
        <v>-3.1370759999999998E-2</v>
      </c>
      <c r="U2149">
        <v>-0.23855589999999999</v>
      </c>
      <c r="V2149">
        <v>-8.5158360000000002E-2</v>
      </c>
      <c r="W2149">
        <v>3.4678560000000001E-3</v>
      </c>
      <c r="X2149">
        <v>0.99636139999999995</v>
      </c>
      <c r="Y2149">
        <v>-9.649845E-2</v>
      </c>
      <c r="Z2149">
        <v>-6.839382E-4</v>
      </c>
      <c r="AA2149">
        <v>0.99533289999999996</v>
      </c>
      <c r="AB2149">
        <v>37</v>
      </c>
      <c r="AC2149">
        <v>-105.432</v>
      </c>
      <c r="AD2149">
        <v>-1.1098576546109999</v>
      </c>
      <c r="AE2149">
        <v>-8.4460000000000193</v>
      </c>
      <c r="AF2149">
        <v>-10.2417058040546</v>
      </c>
      <c r="AG2149">
        <v>-1.1098576546109999</v>
      </c>
      <c r="AH2149">
        <v>105.26103667082801</v>
      </c>
      <c r="AI2149">
        <v>90.601257186450198</v>
      </c>
      <c r="AJ2149">
        <v>95.557281507537894</v>
      </c>
      <c r="AK2149">
        <v>105.763936021725</v>
      </c>
      <c r="AL2149">
        <v>89.801306090153503</v>
      </c>
      <c r="AM2149">
        <v>94.885160664560104</v>
      </c>
      <c r="AN2149">
        <v>1.0000000058565399</v>
      </c>
    </row>
    <row r="2150" spans="1:40" x14ac:dyDescent="0.25">
      <c r="A2150" t="str">
        <f>"20190312151539721"</f>
        <v>20190312151539721</v>
      </c>
      <c r="B2150" t="str">
        <f>"1552374939710233"</f>
        <v>1552374939710233</v>
      </c>
      <c r="C2150" t="s">
        <v>40</v>
      </c>
      <c r="D2150">
        <v>4.3909750000000001</v>
      </c>
      <c r="E2150">
        <v>0.49556929999999999</v>
      </c>
      <c r="F2150" t="s">
        <v>50</v>
      </c>
      <c r="G2150">
        <v>-495.38099999999997</v>
      </c>
      <c r="H2150" s="1">
        <v>1.682921E-6</v>
      </c>
      <c r="I2150">
        <v>275.73779999999999</v>
      </c>
      <c r="J2150">
        <v>-393.17570000000001</v>
      </c>
      <c r="K2150">
        <v>1.109856</v>
      </c>
      <c r="L2150">
        <v>283.9778</v>
      </c>
      <c r="M2150">
        <v>-0.99974879999999999</v>
      </c>
      <c r="N2150">
        <v>0</v>
      </c>
      <c r="O2150">
        <v>1.6818400000000001E-2</v>
      </c>
      <c r="P2150">
        <v>-0.99757019999999996</v>
      </c>
      <c r="Q2150">
        <v>-1.098156E-2</v>
      </c>
      <c r="R2150">
        <v>-6.8799630000000001E-2</v>
      </c>
      <c r="S2150">
        <v>-2.9903870000000001</v>
      </c>
      <c r="T2150">
        <v>-3.2356620000000003E-2</v>
      </c>
      <c r="U2150">
        <v>-0.2400513</v>
      </c>
      <c r="V2150">
        <v>-8.5571129999999995E-2</v>
      </c>
      <c r="W2150">
        <v>3.7348820000000001E-3</v>
      </c>
      <c r="X2150">
        <v>0.99632509999999996</v>
      </c>
      <c r="Y2150">
        <v>-9.6765290000000004E-2</v>
      </c>
      <c r="Z2150">
        <v>-7.0437989999999997E-4</v>
      </c>
      <c r="AA2150">
        <v>0.99530700000000005</v>
      </c>
      <c r="AB2150">
        <v>37</v>
      </c>
      <c r="AC2150">
        <v>-102.205299999999</v>
      </c>
      <c r="AD2150">
        <v>-1.1098543170790001</v>
      </c>
      <c r="AE2150">
        <v>-8.24</v>
      </c>
      <c r="AF2150">
        <v>-9.9567860512397992</v>
      </c>
      <c r="AG2150">
        <v>-1.1098543170790001</v>
      </c>
      <c r="AH2150">
        <v>102.04028733436</v>
      </c>
      <c r="AI2150">
        <v>90.620214955499094</v>
      </c>
      <c r="AJ2150">
        <v>95.573107795490998</v>
      </c>
      <c r="AK2150">
        <v>102.530920235576</v>
      </c>
      <c r="AL2150">
        <v>89.786006534666996</v>
      </c>
      <c r="AM2150">
        <v>94.908902014171701</v>
      </c>
      <c r="AN2150">
        <v>1.00000003626151</v>
      </c>
    </row>
    <row r="2151" spans="1:40" x14ac:dyDescent="0.25">
      <c r="A2151" t="str">
        <f>"20190312151539744"</f>
        <v>20190312151539744</v>
      </c>
      <c r="B2151" t="str">
        <f>"1552374939739513"</f>
        <v>1552374939739513</v>
      </c>
      <c r="C2151" t="s">
        <v>40</v>
      </c>
      <c r="D2151">
        <v>4.3520139999999996</v>
      </c>
      <c r="E2151">
        <v>0.49575730000000001</v>
      </c>
      <c r="F2151" t="s">
        <v>50</v>
      </c>
      <c r="G2151">
        <v>-498.09230000000002</v>
      </c>
      <c r="H2151" s="1">
        <v>1.3575849999999999E-6</v>
      </c>
      <c r="I2151">
        <v>275.49770000000001</v>
      </c>
      <c r="J2151">
        <v>-393.5342</v>
      </c>
      <c r="K2151">
        <v>1.1098619999999999</v>
      </c>
      <c r="L2151">
        <v>283.98360000000002</v>
      </c>
      <c r="M2151">
        <v>-0.9997528</v>
      </c>
      <c r="N2151">
        <v>0</v>
      </c>
      <c r="O2151">
        <v>1.6590279999999999E-2</v>
      </c>
      <c r="P2151">
        <v>-0.99753020000000003</v>
      </c>
      <c r="Q2151">
        <v>-1.0290819999999999E-2</v>
      </c>
      <c r="R2151">
        <v>-6.9482890000000005E-2</v>
      </c>
      <c r="S2151">
        <v>-2.990326</v>
      </c>
      <c r="T2151">
        <v>-3.1633019999999998E-2</v>
      </c>
      <c r="U2151">
        <v>-0.2416992</v>
      </c>
      <c r="V2151">
        <v>-8.602696E-2</v>
      </c>
      <c r="W2151">
        <v>4.4210459999999997E-3</v>
      </c>
      <c r="X2151">
        <v>0.99628300000000003</v>
      </c>
      <c r="Y2151">
        <v>-9.7085069999999996E-2</v>
      </c>
      <c r="Z2151">
        <v>-6.8790609999999999E-4</v>
      </c>
      <c r="AA2151">
        <v>0.99527589999999999</v>
      </c>
      <c r="AB2151">
        <v>37</v>
      </c>
      <c r="AC2151">
        <v>-104.5581</v>
      </c>
      <c r="AD2151">
        <v>-1.1098606424149999</v>
      </c>
      <c r="AE2151">
        <v>-8.4859000000000098</v>
      </c>
      <c r="AF2151">
        <v>-10.2184262526607</v>
      </c>
      <c r="AG2151">
        <v>-1.1098606424149999</v>
      </c>
      <c r="AH2151">
        <v>104.39122267524</v>
      </c>
      <c r="AI2151">
        <v>90.606233831170101</v>
      </c>
      <c r="AJ2151">
        <v>95.590637117858805</v>
      </c>
      <c r="AK2151">
        <v>104.896021837619</v>
      </c>
      <c r="AL2151">
        <v>89.746691897931001</v>
      </c>
      <c r="AM2151">
        <v>94.935130021310599</v>
      </c>
      <c r="AN2151">
        <v>0.999999999791787</v>
      </c>
    </row>
    <row r="2152" spans="1:40" x14ac:dyDescent="0.25">
      <c r="A2152" t="str">
        <f>"20190312151539765"</f>
        <v>20190312151539765</v>
      </c>
      <c r="B2152" t="str">
        <f>"1552374939760008"</f>
        <v>1552374939760008</v>
      </c>
      <c r="C2152" t="s">
        <v>40</v>
      </c>
      <c r="D2152">
        <v>4.3314789999999999</v>
      </c>
      <c r="E2152">
        <v>0.49584620000000001</v>
      </c>
      <c r="F2152" t="s">
        <v>50</v>
      </c>
      <c r="G2152">
        <v>-499.96789999999999</v>
      </c>
      <c r="H2152">
        <v>6.0106630000000001E-2</v>
      </c>
      <c r="I2152">
        <v>275.36660000000001</v>
      </c>
      <c r="J2152">
        <v>-393.89359999999999</v>
      </c>
      <c r="K2152">
        <v>1.1098629999999901</v>
      </c>
      <c r="L2152">
        <v>283.98930000000001</v>
      </c>
      <c r="M2152">
        <v>-0.99975670000000005</v>
      </c>
      <c r="N2152">
        <v>0</v>
      </c>
      <c r="O2152">
        <v>1.636145E-2</v>
      </c>
      <c r="P2152">
        <v>-0.99749169999999998</v>
      </c>
      <c r="Q2152">
        <v>-1.0420260000000001E-2</v>
      </c>
      <c r="R2152">
        <v>-7.001723E-2</v>
      </c>
      <c r="S2152">
        <v>-2.990265</v>
      </c>
      <c r="T2152">
        <v>-2.949297E-2</v>
      </c>
      <c r="U2152">
        <v>-0.2420959</v>
      </c>
      <c r="V2152">
        <v>-8.6331989999999997E-2</v>
      </c>
      <c r="W2152">
        <v>4.2870549999999997E-3</v>
      </c>
      <c r="X2152">
        <v>0.99625719999999995</v>
      </c>
      <c r="Y2152">
        <v>-9.6990919999999994E-2</v>
      </c>
      <c r="Z2152">
        <v>-6.3866200000000002E-4</v>
      </c>
      <c r="AA2152">
        <v>0.99528499999999998</v>
      </c>
      <c r="AB2152">
        <v>37</v>
      </c>
      <c r="AC2152">
        <v>-106.07429999999999</v>
      </c>
      <c r="AD2152">
        <v>-1.0497563700000001</v>
      </c>
      <c r="AE2152">
        <v>-8.6227</v>
      </c>
      <c r="AF2152">
        <v>-10.356257200687701</v>
      </c>
      <c r="AG2152">
        <v>-1.0497563700000001</v>
      </c>
      <c r="AH2152">
        <v>105.908698213682</v>
      </c>
      <c r="AI2152">
        <v>90.5651958525564</v>
      </c>
      <c r="AJ2152">
        <v>95.584898842313294</v>
      </c>
      <c r="AK2152">
        <v>106.41901338088</v>
      </c>
      <c r="AL2152">
        <v>89.754369089540106</v>
      </c>
      <c r="AM2152">
        <v>94.952669491775595</v>
      </c>
      <c r="AN2152">
        <v>0.99999999994488598</v>
      </c>
    </row>
    <row r="2153" spans="1:40" x14ac:dyDescent="0.25">
      <c r="A2153" t="str">
        <f>"20190312151539788"</f>
        <v>20190312151539788</v>
      </c>
      <c r="B2153" t="str">
        <f>"1552374939779529"</f>
        <v>1552374939779529</v>
      </c>
      <c r="C2153" t="s">
        <v>40</v>
      </c>
      <c r="D2153">
        <v>4.3413849999999998</v>
      </c>
      <c r="E2153">
        <v>0.4958804</v>
      </c>
      <c r="F2153" t="s">
        <v>50</v>
      </c>
      <c r="G2153">
        <v>-499.95780000000002</v>
      </c>
      <c r="H2153">
        <v>4.4950999999999998E-2</v>
      </c>
      <c r="I2153">
        <v>275.36290000000002</v>
      </c>
      <c r="J2153">
        <v>-394.25229999999999</v>
      </c>
      <c r="K2153">
        <v>1.1098709999999901</v>
      </c>
      <c r="L2153">
        <v>283.99489999999997</v>
      </c>
      <c r="M2153">
        <v>-0.99976030000000005</v>
      </c>
      <c r="N2153">
        <v>0</v>
      </c>
      <c r="O2153">
        <v>1.6133089999999999E-2</v>
      </c>
      <c r="P2153">
        <v>-0.99748930000000002</v>
      </c>
      <c r="Q2153">
        <v>-1.017786E-2</v>
      </c>
      <c r="R2153">
        <v>-7.0082749999999999E-2</v>
      </c>
      <c r="S2153">
        <v>-2.990173</v>
      </c>
      <c r="T2153">
        <v>-3.0022139999999999E-2</v>
      </c>
      <c r="U2153">
        <v>-0.24319460000000001</v>
      </c>
      <c r="V2153">
        <v>-8.6170380000000005E-2</v>
      </c>
      <c r="W2153">
        <v>4.5259480000000001E-3</v>
      </c>
      <c r="X2153">
        <v>0.99627010000000005</v>
      </c>
      <c r="Y2153">
        <v>-9.7129129999999994E-2</v>
      </c>
      <c r="Z2153">
        <v>-6.4853389999999995E-4</v>
      </c>
      <c r="AA2153">
        <v>0.99527160000000003</v>
      </c>
      <c r="AB2153">
        <v>37</v>
      </c>
      <c r="AC2153">
        <v>-105.7055</v>
      </c>
      <c r="AD2153">
        <v>-1.0649200000000001</v>
      </c>
      <c r="AE2153">
        <v>-8.6319999999999393</v>
      </c>
      <c r="AF2153">
        <v>-10.335377469130099</v>
      </c>
      <c r="AG2153">
        <v>-1.0649200000000001</v>
      </c>
      <c r="AH2153">
        <v>105.54182280296401</v>
      </c>
      <c r="AI2153">
        <v>90.575344517816802</v>
      </c>
      <c r="AJ2153">
        <v>95.592962058999504</v>
      </c>
      <c r="AK2153">
        <v>106.052017626295</v>
      </c>
      <c r="AL2153">
        <v>89.740681386997394</v>
      </c>
      <c r="AM2153">
        <v>94.943380587393406</v>
      </c>
      <c r="AN2153">
        <v>0.99999996537432601</v>
      </c>
    </row>
    <row r="2154" spans="1:40" x14ac:dyDescent="0.25">
      <c r="A2154" t="str">
        <f>"20190312151539810"</f>
        <v>20190312151539810</v>
      </c>
      <c r="B2154" t="str">
        <f>"1552374939800024"</f>
        <v>1552374939800024</v>
      </c>
      <c r="C2154" t="s">
        <v>40</v>
      </c>
      <c r="D2154">
        <v>4.33765</v>
      </c>
      <c r="E2154">
        <v>0.49587239999999999</v>
      </c>
      <c r="F2154" t="s">
        <v>50</v>
      </c>
      <c r="G2154">
        <v>-499.9787</v>
      </c>
      <c r="H2154">
        <v>7.0971430000000002E-2</v>
      </c>
      <c r="I2154">
        <v>275.4058</v>
      </c>
      <c r="J2154">
        <v>-394.62360000000001</v>
      </c>
      <c r="K2154">
        <v>1.1098669999999999</v>
      </c>
      <c r="L2154">
        <v>284.00069999999999</v>
      </c>
      <c r="M2154">
        <v>-0.99976419999999999</v>
      </c>
      <c r="N2154">
        <v>0</v>
      </c>
      <c r="O2154">
        <v>1.589633E-2</v>
      </c>
      <c r="P2154">
        <v>-0.99749659999999996</v>
      </c>
      <c r="Q2154">
        <v>-1.048459E-2</v>
      </c>
      <c r="R2154">
        <v>-6.9934479999999993E-2</v>
      </c>
      <c r="S2154">
        <v>-2.990173</v>
      </c>
      <c r="T2154">
        <v>-2.9382350000000002E-2</v>
      </c>
      <c r="U2154">
        <v>-0.24291989999999999</v>
      </c>
      <c r="V2154">
        <v>-8.5786169999999995E-2</v>
      </c>
      <c r="W2154">
        <v>4.2160069999999999E-3</v>
      </c>
      <c r="X2154">
        <v>0.99630459999999998</v>
      </c>
      <c r="Y2154">
        <v>-9.6802879999999994E-2</v>
      </c>
      <c r="Z2154">
        <v>-6.3079239999999995E-4</v>
      </c>
      <c r="AA2154">
        <v>0.99530339999999995</v>
      </c>
      <c r="AB2154">
        <v>36</v>
      </c>
      <c r="AC2154">
        <v>-105.35509999999999</v>
      </c>
      <c r="AD2154">
        <v>-1.03889557</v>
      </c>
      <c r="AE2154">
        <v>-8.5948999999999902</v>
      </c>
      <c r="AF2154">
        <v>-10.267764676768101</v>
      </c>
      <c r="AG2154">
        <v>-1.03889557</v>
      </c>
      <c r="AH2154">
        <v>105.194981416774</v>
      </c>
      <c r="AI2154">
        <v>90.563153158390193</v>
      </c>
      <c r="AJ2154">
        <v>95.574808921659297</v>
      </c>
      <c r="AK2154">
        <v>105.700001942944</v>
      </c>
      <c r="AL2154">
        <v>89.758439864527602</v>
      </c>
      <c r="AM2154">
        <v>94.921278325898498</v>
      </c>
      <c r="AN2154">
        <v>0.99999994882972498</v>
      </c>
    </row>
    <row r="2155" spans="1:40" x14ac:dyDescent="0.25">
      <c r="A2155" t="str">
        <f>"20190312151539833"</f>
        <v>20190312151539833</v>
      </c>
      <c r="B2155" t="str">
        <f>"1552374939829304"</f>
        <v>1552374939829304</v>
      </c>
      <c r="C2155" t="s">
        <v>40</v>
      </c>
      <c r="D2155">
        <v>4.3440830000000004</v>
      </c>
      <c r="E2155">
        <v>0.49585820000000003</v>
      </c>
      <c r="F2155" t="s">
        <v>50</v>
      </c>
      <c r="G2155">
        <v>-499.95780000000002</v>
      </c>
      <c r="H2155">
        <v>1.547143E-2</v>
      </c>
      <c r="I2155">
        <v>275.44889999999998</v>
      </c>
      <c r="J2155">
        <v>-394.98779999999999</v>
      </c>
      <c r="K2155">
        <v>1.1098699999999999</v>
      </c>
      <c r="L2155">
        <v>284.00619999999998</v>
      </c>
      <c r="M2155">
        <v>-0.99976779999999998</v>
      </c>
      <c r="N2155">
        <v>0</v>
      </c>
      <c r="O2155">
        <v>1.56641E-2</v>
      </c>
      <c r="P2155">
        <v>-0.99750819999999996</v>
      </c>
      <c r="Q2155">
        <v>-1.091314E-2</v>
      </c>
      <c r="R2155">
        <v>-6.970295E-2</v>
      </c>
      <c r="S2155">
        <v>-2.9902039999999999</v>
      </c>
      <c r="T2155">
        <v>-3.106749E-2</v>
      </c>
      <c r="U2155">
        <v>-0.24276729999999999</v>
      </c>
      <c r="V2155">
        <v>-8.5323590000000005E-2</v>
      </c>
      <c r="W2155">
        <v>3.784473E-3</v>
      </c>
      <c r="X2155">
        <v>0.99634610000000001</v>
      </c>
      <c r="Y2155">
        <v>-9.6519789999999994E-2</v>
      </c>
      <c r="Z2155">
        <v>-6.630847E-4</v>
      </c>
      <c r="AA2155">
        <v>0.99533090000000002</v>
      </c>
      <c r="AB2155">
        <v>36</v>
      </c>
      <c r="AC2155">
        <v>-104.97</v>
      </c>
      <c r="AD2155">
        <v>-1.0943985700000001</v>
      </c>
      <c r="AE2155">
        <v>-8.5572999999999908</v>
      </c>
      <c r="AF2155">
        <v>-10.199589163867699</v>
      </c>
      <c r="AG2155">
        <v>-1.0943985700000001</v>
      </c>
      <c r="AH2155">
        <v>104.811743786889</v>
      </c>
      <c r="AI2155">
        <v>90.595423376450498</v>
      </c>
      <c r="AJ2155">
        <v>95.558147264484703</v>
      </c>
      <c r="AK2155">
        <v>105.31253943852199</v>
      </c>
      <c r="AL2155">
        <v>89.783165150547404</v>
      </c>
      <c r="AM2155">
        <v>94.894667976927806</v>
      </c>
      <c r="AN2155">
        <v>0.99999999411579199</v>
      </c>
    </row>
    <row r="2156" spans="1:40" x14ac:dyDescent="0.25">
      <c r="A2156" t="str">
        <f>"20190312151539855"</f>
        <v>20190312151539855</v>
      </c>
      <c r="B2156" t="str">
        <f>"1552374939849800"</f>
        <v>1552374939849800</v>
      </c>
      <c r="C2156" t="s">
        <v>40</v>
      </c>
      <c r="D2156">
        <v>4.4296490000000004</v>
      </c>
      <c r="E2156">
        <v>0.51599659999999903</v>
      </c>
      <c r="F2156" t="s">
        <v>50</v>
      </c>
      <c r="G2156">
        <v>-491.1816</v>
      </c>
      <c r="H2156" s="1">
        <v>2.2251359999999998E-6</v>
      </c>
      <c r="I2156">
        <v>276.21800000000002</v>
      </c>
      <c r="J2156">
        <v>-395.3562</v>
      </c>
      <c r="K2156">
        <v>1.1098699999999999</v>
      </c>
      <c r="L2156">
        <v>284.01170000000002</v>
      </c>
      <c r="M2156">
        <v>-0.99977169999999904</v>
      </c>
      <c r="N2156">
        <v>0</v>
      </c>
      <c r="O2156">
        <v>1.542895E-2</v>
      </c>
      <c r="P2156">
        <v>-0.99752779999999996</v>
      </c>
      <c r="Q2156">
        <v>-1.081E-2</v>
      </c>
      <c r="R2156">
        <v>-6.9436109999999995E-2</v>
      </c>
      <c r="S2156">
        <v>-2.990173</v>
      </c>
      <c r="T2156">
        <v>-3.4500120000000002E-2</v>
      </c>
      <c r="U2156">
        <v>-0.2420959</v>
      </c>
      <c r="V2156">
        <v>-8.4822309999999998E-2</v>
      </c>
      <c r="W2156">
        <v>3.8846079999999999E-3</v>
      </c>
      <c r="X2156">
        <v>0.99638850000000001</v>
      </c>
      <c r="Y2156">
        <v>-9.6063120000000002E-2</v>
      </c>
      <c r="Z2156">
        <v>-7.3101850000000001E-4</v>
      </c>
      <c r="AA2156">
        <v>0.99537500000000001</v>
      </c>
      <c r="AB2156">
        <v>36</v>
      </c>
      <c r="AC2156">
        <v>-95.825400000000002</v>
      </c>
      <c r="AD2156">
        <v>-1.109867774864</v>
      </c>
      <c r="AE2156">
        <v>-7.7937000000000003</v>
      </c>
      <c r="AF2156">
        <v>-9.2701835441424105</v>
      </c>
      <c r="AG2156">
        <v>-1.109867774864</v>
      </c>
      <c r="AH2156">
        <v>95.680978367369804</v>
      </c>
      <c r="AI2156">
        <v>90.661485187167102</v>
      </c>
      <c r="AJ2156">
        <v>95.533908203587899</v>
      </c>
      <c r="AK2156">
        <v>96.135413510094494</v>
      </c>
      <c r="AL2156">
        <v>89.777427792016596</v>
      </c>
      <c r="AM2156">
        <v>94.865843987078804</v>
      </c>
      <c r="AN2156">
        <v>0.99999997869264901</v>
      </c>
    </row>
    <row r="2157" spans="1:40" x14ac:dyDescent="0.25">
      <c r="A2157" t="str">
        <f>"20190312151539878"</f>
        <v>20190312151539878</v>
      </c>
      <c r="B2157" t="str">
        <f>"1552374939869324"</f>
        <v>1552374939869324</v>
      </c>
      <c r="C2157" t="s">
        <v>40</v>
      </c>
      <c r="D2157">
        <v>4.3203019999999999</v>
      </c>
      <c r="E2157">
        <v>0.52766230000000003</v>
      </c>
      <c r="F2157" t="s">
        <v>52</v>
      </c>
      <c r="G2157">
        <v>-435.0394</v>
      </c>
      <c r="H2157" s="1">
        <v>4.5993759999999997E-6</v>
      </c>
      <c r="I2157">
        <v>282.92770000000002</v>
      </c>
      <c r="J2157">
        <v>-395.70260000000002</v>
      </c>
      <c r="K2157">
        <v>1.1098709999999901</v>
      </c>
      <c r="L2157">
        <v>284.01690000000002</v>
      </c>
      <c r="M2157">
        <v>-0.99977510000000003</v>
      </c>
      <c r="N2157">
        <v>0</v>
      </c>
      <c r="O2157">
        <v>1.5207500000000001E-2</v>
      </c>
      <c r="P2157">
        <v>-0.99757680000000004</v>
      </c>
      <c r="Q2157">
        <v>-1.088737E-2</v>
      </c>
      <c r="R2157">
        <v>-6.8719790000000003E-2</v>
      </c>
      <c r="S2157">
        <v>-3.0007929999999998</v>
      </c>
      <c r="T2157">
        <v>-8.3926680000000004E-2</v>
      </c>
      <c r="U2157">
        <v>-8.1970210000000002E-2</v>
      </c>
      <c r="V2157">
        <v>-8.3886329999999995E-2</v>
      </c>
      <c r="W2157">
        <v>3.8049770000000002E-3</v>
      </c>
      <c r="X2157">
        <v>0.99646809999999997</v>
      </c>
      <c r="Y2157">
        <v>-4.248379E-2</v>
      </c>
      <c r="Z2157">
        <v>-1.0190900000000001E-3</v>
      </c>
      <c r="AA2157">
        <v>0.9990966</v>
      </c>
      <c r="AB2157">
        <v>36</v>
      </c>
      <c r="AC2157">
        <v>-39.336799999999897</v>
      </c>
      <c r="AD2157">
        <v>-1.10986640062399</v>
      </c>
      <c r="AE2157">
        <v>-1.0891999999999999</v>
      </c>
      <c r="AF2157">
        <v>-1.68601263124572</v>
      </c>
      <c r="AG2157">
        <v>-1.10986640062399</v>
      </c>
      <c r="AH2157">
        <v>39.284435617892399</v>
      </c>
      <c r="AI2157">
        <v>91.616806003875695</v>
      </c>
      <c r="AJ2157">
        <v>92.457516822844497</v>
      </c>
      <c r="AK2157">
        <v>39.336259657424101</v>
      </c>
      <c r="AL2157">
        <v>89.781990358171598</v>
      </c>
      <c r="AM2157">
        <v>94.812022304058004</v>
      </c>
      <c r="AN2157">
        <v>1.0000000342642199</v>
      </c>
    </row>
    <row r="2158" spans="1:40" x14ac:dyDescent="0.25">
      <c r="A2158" t="str">
        <f>"20190312151539900"</f>
        <v>20190312151539900</v>
      </c>
      <c r="B2158" t="str">
        <f>"1552374939889816"</f>
        <v>1552374939889816</v>
      </c>
      <c r="C2158" t="s">
        <v>40</v>
      </c>
      <c r="D2158">
        <v>4.3621150000000002</v>
      </c>
      <c r="E2158">
        <v>0.53154299999999999</v>
      </c>
      <c r="F2158" t="s">
        <v>51</v>
      </c>
      <c r="G2158">
        <v>-466.2688</v>
      </c>
      <c r="H2158" s="1">
        <v>1.811419E-6</v>
      </c>
      <c r="I2158">
        <v>284.33620000000002</v>
      </c>
      <c r="J2158">
        <v>-396.07170000000002</v>
      </c>
      <c r="K2158">
        <v>1.1098699999999999</v>
      </c>
      <c r="L2158">
        <v>284.0222</v>
      </c>
      <c r="M2158">
        <v>-0.99977870000000002</v>
      </c>
      <c r="N2158">
        <v>0</v>
      </c>
      <c r="O2158">
        <v>1.4971699999999999E-2</v>
      </c>
      <c r="P2158">
        <v>-0.99757379999999996</v>
      </c>
      <c r="Q2158">
        <v>-1.120903E-2</v>
      </c>
      <c r="R2158">
        <v>-6.8709969999999995E-2</v>
      </c>
      <c r="S2158">
        <v>-3.0077509999999998</v>
      </c>
      <c r="T2158">
        <v>-4.7306059999999997E-2</v>
      </c>
      <c r="U2158">
        <v>1.3610840000000001E-2</v>
      </c>
      <c r="V2158">
        <v>-8.364125E-2</v>
      </c>
      <c r="W2158">
        <v>3.479776E-3</v>
      </c>
      <c r="X2158">
        <v>0.99648990000000004</v>
      </c>
      <c r="Y2158">
        <v>-1.0445339999999999E-2</v>
      </c>
      <c r="Z2158">
        <v>-3.1761389999999999E-4</v>
      </c>
      <c r="AA2158">
        <v>0.99994539999999998</v>
      </c>
      <c r="AB2158">
        <v>36</v>
      </c>
      <c r="AC2158">
        <v>-70.197099999999907</v>
      </c>
      <c r="AD2158">
        <v>-1.109868188581</v>
      </c>
      <c r="AE2158">
        <v>0.31400000000002098</v>
      </c>
      <c r="AF2158">
        <v>-0.736935692713789</v>
      </c>
      <c r="AG2158">
        <v>-1.109868188581</v>
      </c>
      <c r="AH2158">
        <v>70.176389753651605</v>
      </c>
      <c r="AI2158">
        <v>90.906030604396193</v>
      </c>
      <c r="AJ2158">
        <v>90.601651825597898</v>
      </c>
      <c r="AK2158">
        <v>70.1890344745362</v>
      </c>
      <c r="AL2158">
        <v>89.800623127984096</v>
      </c>
      <c r="AM2158">
        <v>94.797924885039507</v>
      </c>
      <c r="AN2158">
        <v>1.00000004417229</v>
      </c>
    </row>
    <row r="2159" spans="1:40" x14ac:dyDescent="0.25">
      <c r="A2159" t="str">
        <f>"20190312151539923"</f>
        <v>20190312151539923</v>
      </c>
      <c r="B2159" t="str">
        <f>"1552374939920073"</f>
        <v>1552374939920073</v>
      </c>
      <c r="C2159" t="s">
        <v>40</v>
      </c>
      <c r="D2159">
        <v>4.275773</v>
      </c>
      <c r="E2159">
        <v>0.53468640000000001</v>
      </c>
      <c r="F2159" t="s">
        <v>50</v>
      </c>
      <c r="G2159">
        <v>-483.57639999999998</v>
      </c>
      <c r="H2159" s="1">
        <v>2.9019160000000001E-6</v>
      </c>
      <c r="I2159">
        <v>285.3229</v>
      </c>
      <c r="J2159">
        <v>-396.44330000000002</v>
      </c>
      <c r="K2159">
        <v>1.109866</v>
      </c>
      <c r="L2159">
        <v>284.02760000000001</v>
      </c>
      <c r="M2159">
        <v>-0.99978230000000001</v>
      </c>
      <c r="N2159">
        <v>0</v>
      </c>
      <c r="O2159">
        <v>1.4734290000000001E-2</v>
      </c>
      <c r="P2159">
        <v>-0.99752689999999999</v>
      </c>
      <c r="Q2159">
        <v>-1.1306780000000001E-2</v>
      </c>
      <c r="R2159">
        <v>-6.9372580000000003E-2</v>
      </c>
      <c r="S2159">
        <v>-3.009979</v>
      </c>
      <c r="T2159">
        <v>-3.8177129999999997E-2</v>
      </c>
      <c r="U2159">
        <v>4.4738769999999997E-2</v>
      </c>
      <c r="V2159">
        <v>-8.4066059999999998E-2</v>
      </c>
      <c r="W2159">
        <v>3.3772559999999999E-3</v>
      </c>
      <c r="X2159">
        <v>0.99645450000000002</v>
      </c>
      <c r="Y2159">
        <v>1.271322E-4</v>
      </c>
      <c r="Z2159">
        <v>-1.8606889999999999E-4</v>
      </c>
      <c r="AA2159">
        <v>1</v>
      </c>
      <c r="AB2159">
        <v>36</v>
      </c>
      <c r="AC2159">
        <v>-87.133099999999899</v>
      </c>
      <c r="AD2159">
        <v>-1.1098630980840001</v>
      </c>
      <c r="AE2159">
        <v>1.2952999999999899</v>
      </c>
      <c r="AF2159">
        <v>1.11730563566649E-2</v>
      </c>
      <c r="AG2159">
        <v>-1.1098630980840001</v>
      </c>
      <c r="AH2159">
        <v>87.128593469466907</v>
      </c>
      <c r="AI2159">
        <v>90.729806705167704</v>
      </c>
      <c r="AJ2159">
        <v>89.992652596070897</v>
      </c>
      <c r="AK2159">
        <v>87.135662738635901</v>
      </c>
      <c r="AL2159">
        <v>89.806497124650207</v>
      </c>
      <c r="AM2159">
        <v>94.822349202882705</v>
      </c>
      <c r="AN2159">
        <v>1.0000000394361299</v>
      </c>
    </row>
    <row r="2160" spans="1:40" x14ac:dyDescent="0.25">
      <c r="A2160" t="str">
        <f>"20190312151539946"</f>
        <v>20190312151539946</v>
      </c>
      <c r="B2160" t="str">
        <f>"1552374939939593"</f>
        <v>1552374939939593</v>
      </c>
      <c r="C2160" t="s">
        <v>40</v>
      </c>
      <c r="D2160">
        <v>4.264113</v>
      </c>
      <c r="E2160">
        <v>0.53546079999999996</v>
      </c>
      <c r="F2160" t="s">
        <v>50</v>
      </c>
      <c r="G2160">
        <v>-496.55290000000002</v>
      </c>
      <c r="H2160" s="1">
        <v>2.9478890000000001E-6</v>
      </c>
      <c r="I2160">
        <v>286.2826</v>
      </c>
      <c r="J2160">
        <v>-396.80900000000003</v>
      </c>
      <c r="K2160">
        <v>1.1098680000000001</v>
      </c>
      <c r="L2160">
        <v>284.03280000000001</v>
      </c>
      <c r="M2160">
        <v>-0.99978579999999995</v>
      </c>
      <c r="N2160">
        <v>0</v>
      </c>
      <c r="O2160">
        <v>1.450093E-2</v>
      </c>
      <c r="P2160">
        <v>-0.99748239999999999</v>
      </c>
      <c r="Q2160">
        <v>-1.118588E-2</v>
      </c>
      <c r="R2160">
        <v>-7.0029480000000005E-2</v>
      </c>
      <c r="S2160">
        <v>-3.0117799999999999</v>
      </c>
      <c r="T2160">
        <v>-3.3390049999999998E-2</v>
      </c>
      <c r="U2160">
        <v>6.7840579999999998E-2</v>
      </c>
      <c r="V2160">
        <v>-8.4490319999999994E-2</v>
      </c>
      <c r="W2160">
        <v>3.493604E-3</v>
      </c>
      <c r="X2160">
        <v>0.99641820000000003</v>
      </c>
      <c r="Y2160">
        <v>8.0185699999999992E-3</v>
      </c>
      <c r="Z2160">
        <v>-1.163038E-4</v>
      </c>
      <c r="AA2160">
        <v>0.99996790000000002</v>
      </c>
      <c r="AB2160">
        <v>36</v>
      </c>
      <c r="AC2160">
        <v>-99.743899999999996</v>
      </c>
      <c r="AD2160">
        <v>-1.1098650521110001</v>
      </c>
      <c r="AE2160">
        <v>2.2497999999999898</v>
      </c>
      <c r="AF2160">
        <v>0.80292698406401397</v>
      </c>
      <c r="AG2160">
        <v>-1.1098650521110001</v>
      </c>
      <c r="AH2160">
        <v>99.753693424717696</v>
      </c>
      <c r="AI2160">
        <v>90.637429029346194</v>
      </c>
      <c r="AJ2160">
        <v>89.538830770121606</v>
      </c>
      <c r="AK2160">
        <v>99.763098608895405</v>
      </c>
      <c r="AL2160">
        <v>89.799830833199593</v>
      </c>
      <c r="AM2160">
        <v>94.846746456083807</v>
      </c>
      <c r="AN2160">
        <v>1.00000002436692</v>
      </c>
    </row>
    <row r="2161" spans="1:40" x14ac:dyDescent="0.25">
      <c r="A2161" t="str">
        <f>"20190312151539967"</f>
        <v>20190312151539967</v>
      </c>
      <c r="B2161" t="str">
        <f>"1552374939960089"</f>
        <v>1552374939960089</v>
      </c>
      <c r="C2161" t="s">
        <v>40</v>
      </c>
      <c r="D2161">
        <v>4.3627229999999999</v>
      </c>
      <c r="E2161">
        <v>0.53636589999999995</v>
      </c>
      <c r="F2161" t="s">
        <v>50</v>
      </c>
      <c r="G2161">
        <v>-485.95350000000002</v>
      </c>
      <c r="H2161" s="1">
        <v>3.3971180000000001E-6</v>
      </c>
      <c r="I2161">
        <v>286.16419999999999</v>
      </c>
      <c r="J2161">
        <v>-397.15780000000001</v>
      </c>
      <c r="K2161">
        <v>1.109872</v>
      </c>
      <c r="L2161">
        <v>284.0376</v>
      </c>
      <c r="M2161">
        <v>-0.99978909999999999</v>
      </c>
      <c r="N2161">
        <v>0</v>
      </c>
      <c r="O2161">
        <v>1.427788E-2</v>
      </c>
      <c r="P2161">
        <v>-0.99744390000000005</v>
      </c>
      <c r="Q2161">
        <v>-1.136449E-2</v>
      </c>
      <c r="R2161">
        <v>-7.0548239999999998E-2</v>
      </c>
      <c r="S2161">
        <v>-3.012238</v>
      </c>
      <c r="T2161">
        <v>-3.7502880000000002E-2</v>
      </c>
      <c r="U2161">
        <v>7.2021479999999999E-2</v>
      </c>
      <c r="V2161">
        <v>-8.4785429999999995E-2</v>
      </c>
      <c r="W2161">
        <v>3.3109770000000001E-3</v>
      </c>
      <c r="X2161">
        <v>0.99639370000000005</v>
      </c>
      <c r="Y2161">
        <v>9.6253699999999994E-3</v>
      </c>
      <c r="Z2161">
        <v>-1.1782910000000001E-4</v>
      </c>
      <c r="AA2161">
        <v>0.99995369999999995</v>
      </c>
      <c r="AB2161">
        <v>36</v>
      </c>
      <c r="AC2161">
        <v>-88.795699999999997</v>
      </c>
      <c r="AD2161">
        <v>-1.109868602882</v>
      </c>
      <c r="AE2161">
        <v>2.1265999999999901</v>
      </c>
      <c r="AF2161">
        <v>0.85829666783384495</v>
      </c>
      <c r="AG2161">
        <v>-1.109868602882</v>
      </c>
      <c r="AH2161">
        <v>88.803147765870193</v>
      </c>
      <c r="AI2161">
        <v>90.716016359360196</v>
      </c>
      <c r="AJ2161">
        <v>89.446244343001297</v>
      </c>
      <c r="AK2161">
        <v>88.814230473571399</v>
      </c>
      <c r="AL2161">
        <v>89.810294639258899</v>
      </c>
      <c r="AM2161">
        <v>94.863713250413994</v>
      </c>
      <c r="AN2161">
        <v>0.99999996855433404</v>
      </c>
    </row>
    <row r="2162" spans="1:40" x14ac:dyDescent="0.25">
      <c r="A2162" t="str">
        <f>"20190312151539990"</f>
        <v>20190312151539990</v>
      </c>
      <c r="B2162" t="str">
        <f>"1552374939979609"</f>
        <v>1552374939979609</v>
      </c>
      <c r="C2162" t="s">
        <v>40</v>
      </c>
      <c r="D2162">
        <v>4.2523619999999998</v>
      </c>
      <c r="E2162">
        <v>0.53684419999999899</v>
      </c>
      <c r="F2162" t="s">
        <v>50</v>
      </c>
      <c r="G2162">
        <v>-490.19929999999999</v>
      </c>
      <c r="H2162" s="1">
        <v>4.0883479999999999E-6</v>
      </c>
      <c r="I2162">
        <v>286.43619999999999</v>
      </c>
      <c r="J2162">
        <v>-397.52839999999998</v>
      </c>
      <c r="K2162">
        <v>1.1098749999999999</v>
      </c>
      <c r="L2162">
        <v>284.04259999999999</v>
      </c>
      <c r="M2162">
        <v>-0.99979249999999997</v>
      </c>
      <c r="N2162">
        <v>0</v>
      </c>
      <c r="O2162">
        <v>1.40407E-2</v>
      </c>
      <c r="P2162">
        <v>-0.99739440000000001</v>
      </c>
      <c r="Q2162">
        <v>-1.1198700000000001E-2</v>
      </c>
      <c r="R2162">
        <v>-7.1268509999999993E-2</v>
      </c>
      <c r="S2162">
        <v>-3.0127259999999998</v>
      </c>
      <c r="T2162">
        <v>-3.5938020000000001E-2</v>
      </c>
      <c r="U2162">
        <v>7.7667239999999999E-2</v>
      </c>
      <c r="V2162">
        <v>-8.5269040000000004E-2</v>
      </c>
      <c r="W2162">
        <v>3.4721470000000001E-3</v>
      </c>
      <c r="X2162">
        <v>0.99635189999999996</v>
      </c>
      <c r="Y2162">
        <v>1.1731220000000001E-2</v>
      </c>
      <c r="Z2162" s="1">
        <v>-9.7505480000000002E-5</v>
      </c>
      <c r="AA2162">
        <v>0.99993120000000002</v>
      </c>
      <c r="AB2162">
        <v>36</v>
      </c>
      <c r="AC2162">
        <v>-92.670900000000003</v>
      </c>
      <c r="AD2162">
        <v>-1.109870911652</v>
      </c>
      <c r="AE2162">
        <v>2.39359999999999</v>
      </c>
      <c r="AF2162">
        <v>1.09190144896094</v>
      </c>
      <c r="AG2162">
        <v>-1.109870911652</v>
      </c>
      <c r="AH2162">
        <v>92.682089325388404</v>
      </c>
      <c r="AI2162">
        <v>90.686038350213096</v>
      </c>
      <c r="AJ2162">
        <v>89.325021145337899</v>
      </c>
      <c r="AK2162">
        <v>92.695165698832696</v>
      </c>
      <c r="AL2162">
        <v>89.801060228695803</v>
      </c>
      <c r="AM2162">
        <v>94.891525516503407</v>
      </c>
      <c r="AN2162">
        <v>0.99999998681045998</v>
      </c>
    </row>
    <row r="2163" spans="1:40" x14ac:dyDescent="0.25">
      <c r="A2163" t="str">
        <f>"20190312151540011"</f>
        <v>20190312151540011</v>
      </c>
      <c r="B2163" t="str">
        <f>"1552374940009866"</f>
        <v>1552374940009866</v>
      </c>
      <c r="C2163" t="s">
        <v>40</v>
      </c>
      <c r="D2163">
        <v>4.2192100000000003</v>
      </c>
      <c r="E2163">
        <v>0.537242</v>
      </c>
      <c r="F2163" t="s">
        <v>50</v>
      </c>
      <c r="G2163">
        <v>-486.16309999999999</v>
      </c>
      <c r="H2163" s="1">
        <v>3.452569E-6</v>
      </c>
      <c r="I2163">
        <v>286.37310000000002</v>
      </c>
      <c r="J2163">
        <v>-397.88</v>
      </c>
      <c r="K2163">
        <v>1.1098779999999999</v>
      </c>
      <c r="L2163">
        <v>284.04739999999998</v>
      </c>
      <c r="M2163">
        <v>-0.99979560000000001</v>
      </c>
      <c r="N2163">
        <v>0</v>
      </c>
      <c r="O2163">
        <v>1.381581E-2</v>
      </c>
      <c r="P2163">
        <v>-0.99734889999999998</v>
      </c>
      <c r="Q2163">
        <v>-1.1184919999999999E-2</v>
      </c>
      <c r="R2163">
        <v>-7.1904700000000002E-2</v>
      </c>
      <c r="S2163">
        <v>-3.0130919999999999</v>
      </c>
      <c r="T2163">
        <v>-3.7729499999999999E-2</v>
      </c>
      <c r="U2163">
        <v>7.9223630000000003E-2</v>
      </c>
      <c r="V2163">
        <v>-8.5680480000000003E-2</v>
      </c>
      <c r="W2163">
        <v>3.4812060000000001E-3</v>
      </c>
      <c r="X2163">
        <v>0.9963166</v>
      </c>
      <c r="Y2163">
        <v>1.246911E-2</v>
      </c>
      <c r="Z2163" s="1">
        <v>-9.4918099999999995E-5</v>
      </c>
      <c r="AA2163">
        <v>0.99992230000000004</v>
      </c>
      <c r="AB2163">
        <v>36</v>
      </c>
      <c r="AC2163">
        <v>-88.283099999999905</v>
      </c>
      <c r="AD2163">
        <v>-1.1098745474309999</v>
      </c>
      <c r="AE2163">
        <v>2.3257000000000398</v>
      </c>
      <c r="AF2163">
        <v>1.1054679499720399</v>
      </c>
      <c r="AG2163">
        <v>-1.1098745474309999</v>
      </c>
      <c r="AH2163">
        <v>88.292862153331598</v>
      </c>
      <c r="AI2163">
        <v>90.720135169702402</v>
      </c>
      <c r="AJ2163">
        <v>89.282667511429494</v>
      </c>
      <c r="AK2163">
        <v>88.306757318603204</v>
      </c>
      <c r="AL2163">
        <v>89.800541188796203</v>
      </c>
      <c r="AM2163">
        <v>94.9151860392776</v>
      </c>
      <c r="AN2163">
        <v>1.0000000154419</v>
      </c>
    </row>
    <row r="2164" spans="1:40" x14ac:dyDescent="0.25">
      <c r="A2164" t="str">
        <f>"20190312151540034"</f>
        <v>20190312151540034</v>
      </c>
      <c r="B2164" t="str">
        <f>"1552374940029384"</f>
        <v>1552374940029384</v>
      </c>
      <c r="C2164" t="s">
        <v>40</v>
      </c>
      <c r="D2164">
        <v>4.286397</v>
      </c>
      <c r="E2164">
        <v>0.53747239999999996</v>
      </c>
      <c r="F2164" t="s">
        <v>50</v>
      </c>
      <c r="G2164">
        <v>-484.09930000000003</v>
      </c>
      <c r="H2164" s="1">
        <v>3.0842270000000002E-6</v>
      </c>
      <c r="I2164">
        <v>286.34739999999999</v>
      </c>
      <c r="J2164">
        <v>-398.23099999999999</v>
      </c>
      <c r="K2164">
        <v>1.109874</v>
      </c>
      <c r="L2164">
        <v>284.05200000000002</v>
      </c>
      <c r="M2164">
        <v>-0.99979879999999999</v>
      </c>
      <c r="N2164">
        <v>0</v>
      </c>
      <c r="O2164">
        <v>1.35905E-2</v>
      </c>
      <c r="P2164">
        <v>-0.997332</v>
      </c>
      <c r="Q2164">
        <v>-1.1080680000000001E-2</v>
      </c>
      <c r="R2164">
        <v>-7.2154170000000004E-2</v>
      </c>
      <c r="S2164">
        <v>-3.0133359999999998</v>
      </c>
      <c r="T2164">
        <v>-3.8789749999999998E-2</v>
      </c>
      <c r="U2164">
        <v>8.0383300000000005E-2</v>
      </c>
      <c r="V2164">
        <v>-8.5705130000000004E-2</v>
      </c>
      <c r="W2164">
        <v>3.5818180000000001E-3</v>
      </c>
      <c r="X2164">
        <v>0.99631409999999998</v>
      </c>
      <c r="Y2164">
        <v>1.30768E-2</v>
      </c>
      <c r="Z2164" s="1">
        <v>-9.0766669999999997E-5</v>
      </c>
      <c r="AA2164">
        <v>0.99991450000000004</v>
      </c>
      <c r="AB2164">
        <v>36</v>
      </c>
      <c r="AC2164">
        <v>-85.868300000000005</v>
      </c>
      <c r="AD2164">
        <v>-1.109870915773</v>
      </c>
      <c r="AE2164">
        <v>2.2953999999999701</v>
      </c>
      <c r="AF2164">
        <v>1.1278795155214001</v>
      </c>
      <c r="AG2164">
        <v>-1.109870915773</v>
      </c>
      <c r="AH2164">
        <v>85.877230298495306</v>
      </c>
      <c r="AI2164">
        <v>90.740381310444306</v>
      </c>
      <c r="AJ2164">
        <v>89.247541862259595</v>
      </c>
      <c r="AK2164">
        <v>85.891807580187802</v>
      </c>
      <c r="AL2164">
        <v>89.794776505216404</v>
      </c>
      <c r="AM2164">
        <v>94.916605468545896</v>
      </c>
      <c r="AN2164">
        <v>0.99999999229365499</v>
      </c>
    </row>
    <row r="2165" spans="1:40" x14ac:dyDescent="0.25">
      <c r="A2165" t="str">
        <f>"20190312151540056"</f>
        <v>20190312151540056</v>
      </c>
      <c r="B2165" t="str">
        <f>"1552374940049880"</f>
        <v>1552374940049880</v>
      </c>
      <c r="C2165" t="s">
        <v>40</v>
      </c>
      <c r="D2165">
        <v>4.2609649999999997</v>
      </c>
      <c r="E2165">
        <v>0.53770079999999998</v>
      </c>
      <c r="F2165" t="s">
        <v>50</v>
      </c>
      <c r="G2165">
        <v>-486.09629999999999</v>
      </c>
      <c r="H2165" s="1">
        <v>3.4458110000000002E-6</v>
      </c>
      <c r="I2165">
        <v>286.43130000000002</v>
      </c>
      <c r="J2165">
        <v>-398.59120000000001</v>
      </c>
      <c r="K2165">
        <v>1.109874</v>
      </c>
      <c r="L2165">
        <v>284.0566</v>
      </c>
      <c r="M2165">
        <v>-0.99980210000000003</v>
      </c>
      <c r="N2165">
        <v>0</v>
      </c>
      <c r="O2165">
        <v>1.335981E-2</v>
      </c>
      <c r="P2165">
        <v>-0.99731000000000003</v>
      </c>
      <c r="Q2165">
        <v>-1.0594070000000001E-2</v>
      </c>
      <c r="R2165">
        <v>-7.2533039999999993E-2</v>
      </c>
      <c r="S2165">
        <v>-3.013458</v>
      </c>
      <c r="T2165">
        <v>-3.8064479999999998E-2</v>
      </c>
      <c r="U2165">
        <v>8.1603999999999996E-2</v>
      </c>
      <c r="V2165">
        <v>-8.5854169999999994E-2</v>
      </c>
      <c r="W2165">
        <v>4.0643750000000003E-3</v>
      </c>
      <c r="X2165">
        <v>0.99629939999999995</v>
      </c>
      <c r="Y2165">
        <v>1.371111E-2</v>
      </c>
      <c r="Z2165" s="1">
        <v>-8.2147109999999897E-5</v>
      </c>
      <c r="AA2165">
        <v>0.99990599999999996</v>
      </c>
      <c r="AB2165">
        <v>36</v>
      </c>
      <c r="AC2165">
        <v>-87.505099999999899</v>
      </c>
      <c r="AD2165">
        <v>-1.1098705541889999</v>
      </c>
      <c r="AE2165">
        <v>2.37470000000001</v>
      </c>
      <c r="AF2165">
        <v>1.20511576097255</v>
      </c>
      <c r="AG2165">
        <v>-1.1098705541889999</v>
      </c>
      <c r="AH2165">
        <v>87.514949527110801</v>
      </c>
      <c r="AI2165">
        <v>90.726521156356597</v>
      </c>
      <c r="AJ2165">
        <v>89.211064127766804</v>
      </c>
      <c r="AK2165">
        <v>87.530283373111303</v>
      </c>
      <c r="AL2165">
        <v>89.767127819418604</v>
      </c>
      <c r="AM2165">
        <v>94.925185667469293</v>
      </c>
      <c r="AN2165">
        <v>0.99999997604544399</v>
      </c>
    </row>
    <row r="2166" spans="1:40" x14ac:dyDescent="0.25">
      <c r="A2166" t="str">
        <f>"20190312151540078"</f>
        <v>20190312151540078</v>
      </c>
      <c r="B2166" t="str">
        <f>"1552374940069400"</f>
        <v>1552374940069400</v>
      </c>
      <c r="C2166" t="s">
        <v>40</v>
      </c>
      <c r="D2166">
        <v>4.2701079999999996</v>
      </c>
      <c r="E2166">
        <v>0.53782479999999999</v>
      </c>
      <c r="F2166" t="s">
        <v>50</v>
      </c>
      <c r="G2166">
        <v>-491.10239999999999</v>
      </c>
      <c r="H2166" s="1">
        <v>3.9409919999999998E-6</v>
      </c>
      <c r="I2166">
        <v>286.5831</v>
      </c>
      <c r="J2166">
        <v>-398.94130000000001</v>
      </c>
      <c r="K2166">
        <v>1.109874</v>
      </c>
      <c r="L2166">
        <v>284.06110000000001</v>
      </c>
      <c r="M2166">
        <v>-0.9998049</v>
      </c>
      <c r="N2166">
        <v>0</v>
      </c>
      <c r="O2166">
        <v>1.31351E-2</v>
      </c>
      <c r="P2166">
        <v>-0.99731650000000005</v>
      </c>
      <c r="Q2166">
        <v>-1.027904E-2</v>
      </c>
      <c r="R2166">
        <v>-7.2484690000000004E-2</v>
      </c>
      <c r="S2166">
        <v>-3.0137019999999999</v>
      </c>
      <c r="T2166">
        <v>-3.6155819999999998E-2</v>
      </c>
      <c r="U2166">
        <v>8.2305909999999996E-2</v>
      </c>
      <c r="V2166">
        <v>-8.5582309999999995E-2</v>
      </c>
      <c r="W2166">
        <v>4.3766999999999999E-3</v>
      </c>
      <c r="X2166">
        <v>0.99632149999999997</v>
      </c>
      <c r="Y2166">
        <v>1.416632E-2</v>
      </c>
      <c r="Z2166" s="1">
        <v>-7.2596510000000003E-5</v>
      </c>
      <c r="AA2166">
        <v>0.9998996</v>
      </c>
      <c r="AB2166">
        <v>36</v>
      </c>
      <c r="AC2166">
        <v>-92.161099999999905</v>
      </c>
      <c r="AD2166">
        <v>-1.109870059008</v>
      </c>
      <c r="AE2166">
        <v>2.52199999999999</v>
      </c>
      <c r="AF2166">
        <v>1.3109153936837099</v>
      </c>
      <c r="AG2166">
        <v>-1.109870059008</v>
      </c>
      <c r="AH2166">
        <v>92.172920374577799</v>
      </c>
      <c r="AI2166">
        <v>90.689805284832204</v>
      </c>
      <c r="AJ2166">
        <v>89.185174394226493</v>
      </c>
      <c r="AK2166">
        <v>92.188923201735804</v>
      </c>
      <c r="AL2166">
        <v>89.749232763543702</v>
      </c>
      <c r="AM2166">
        <v>94.909557888106704</v>
      </c>
      <c r="AN2166">
        <v>1.0000000093250301</v>
      </c>
    </row>
    <row r="2167" spans="1:40" x14ac:dyDescent="0.25">
      <c r="A2167" t="str">
        <f>"20190312151540100"</f>
        <v>20190312151540100</v>
      </c>
      <c r="B2167" t="str">
        <f>"1552374940089896"</f>
        <v>1552374940089896</v>
      </c>
      <c r="C2167" t="s">
        <v>40</v>
      </c>
      <c r="D2167">
        <v>4.2338899999999997</v>
      </c>
      <c r="E2167">
        <v>0.53793690000000005</v>
      </c>
      <c r="F2167" t="s">
        <v>50</v>
      </c>
      <c r="G2167">
        <v>-490.75819999999999</v>
      </c>
      <c r="H2167" s="1">
        <v>4.0037089999999999E-6</v>
      </c>
      <c r="I2167">
        <v>286.60210000000001</v>
      </c>
      <c r="J2167">
        <v>-399.30520000000001</v>
      </c>
      <c r="K2167">
        <v>1.1098809999999999</v>
      </c>
      <c r="L2167">
        <v>284.06560000000002</v>
      </c>
      <c r="M2167">
        <v>-0.99980809999999998</v>
      </c>
      <c r="N2167">
        <v>0</v>
      </c>
      <c r="O2167">
        <v>1.2901559999999999E-2</v>
      </c>
      <c r="P2167">
        <v>-0.99733260000000001</v>
      </c>
      <c r="Q2167">
        <v>-1.0169360000000001E-2</v>
      </c>
      <c r="R2167">
        <v>-7.2281410000000004E-2</v>
      </c>
      <c r="S2167">
        <v>-3.0137939999999999</v>
      </c>
      <c r="T2167">
        <v>-3.6430360000000002E-2</v>
      </c>
      <c r="U2167">
        <v>8.3404539999999999E-2</v>
      </c>
      <c r="V2167">
        <v>-8.5146609999999998E-2</v>
      </c>
      <c r="W2167">
        <v>4.483033E-3</v>
      </c>
      <c r="X2167">
        <v>0.99635830000000003</v>
      </c>
      <c r="Y2167">
        <v>1.4763210000000001E-2</v>
      </c>
      <c r="Z2167" s="1">
        <v>-6.6716059999999994E-5</v>
      </c>
      <c r="AA2167">
        <v>0.99989099999999997</v>
      </c>
      <c r="AB2167">
        <v>36</v>
      </c>
      <c r="AC2167">
        <v>-91.452999999999903</v>
      </c>
      <c r="AD2167">
        <v>-1.109876996291</v>
      </c>
      <c r="AE2167">
        <v>2.5364999999999802</v>
      </c>
      <c r="AF2167">
        <v>1.35607468118017</v>
      </c>
      <c r="AG2167">
        <v>-1.109876996291</v>
      </c>
      <c r="AH2167">
        <v>91.464654334738199</v>
      </c>
      <c r="AI2167">
        <v>90.695144591001196</v>
      </c>
      <c r="AJ2167">
        <v>89.150582657376901</v>
      </c>
      <c r="AK2167">
        <v>91.481439418392299</v>
      </c>
      <c r="AL2167">
        <v>89.743140257068504</v>
      </c>
      <c r="AM2167">
        <v>94.884505003755606</v>
      </c>
      <c r="AN2167">
        <v>0.99999995237912898</v>
      </c>
    </row>
    <row r="2168" spans="1:40" x14ac:dyDescent="0.25">
      <c r="A2168" t="str">
        <f>"20190312151540124"</f>
        <v>20190312151540124</v>
      </c>
      <c r="B2168" t="str">
        <f>"1552374940120153"</f>
        <v>1552374940120153</v>
      </c>
      <c r="C2168" t="s">
        <v>40</v>
      </c>
      <c r="D2168">
        <v>4.2324989999999998</v>
      </c>
      <c r="E2168">
        <v>0.53813310000000003</v>
      </c>
      <c r="F2168" t="s">
        <v>50</v>
      </c>
      <c r="G2168">
        <v>-490.44060000000002</v>
      </c>
      <c r="H2168" s="1">
        <v>4.0623430000000002E-6</v>
      </c>
      <c r="I2168">
        <v>286.6284</v>
      </c>
      <c r="J2168">
        <v>-399.66309999999999</v>
      </c>
      <c r="K2168">
        <v>1.1098809999999999</v>
      </c>
      <c r="L2168">
        <v>284.07</v>
      </c>
      <c r="M2168">
        <v>-0.99981109999999895</v>
      </c>
      <c r="N2168">
        <v>0</v>
      </c>
      <c r="O2168">
        <v>1.267195E-2</v>
      </c>
      <c r="P2168">
        <v>-0.99729060000000003</v>
      </c>
      <c r="Q2168">
        <v>-1.040342E-2</v>
      </c>
      <c r="R2168">
        <v>-7.2826669999999996E-2</v>
      </c>
      <c r="S2168">
        <v>-3.013763</v>
      </c>
      <c r="T2168">
        <v>-3.670263E-2</v>
      </c>
      <c r="U2168">
        <v>8.4747310000000006E-2</v>
      </c>
      <c r="V2168">
        <v>-8.5461679999999998E-2</v>
      </c>
      <c r="W2168">
        <v>4.2450939999999996E-3</v>
      </c>
      <c r="X2168">
        <v>0.99633240000000001</v>
      </c>
      <c r="Y2168">
        <v>1.5438199999999999E-2</v>
      </c>
      <c r="Z2168" s="1">
        <v>-6.0310190000000003E-5</v>
      </c>
      <c r="AA2168">
        <v>0.99988089999999996</v>
      </c>
      <c r="AB2168">
        <v>36</v>
      </c>
      <c r="AC2168">
        <v>-90.777500000000003</v>
      </c>
      <c r="AD2168">
        <v>-1.1098769376569999</v>
      </c>
      <c r="AE2168">
        <v>2.5583999999999998</v>
      </c>
      <c r="AF2168">
        <v>1.4075314205907401</v>
      </c>
      <c r="AG2168">
        <v>-1.1098769376569999</v>
      </c>
      <c r="AH2168">
        <v>90.789072417012406</v>
      </c>
      <c r="AI2168">
        <v>90.700309579593394</v>
      </c>
      <c r="AJ2168">
        <v>89.111796743967304</v>
      </c>
      <c r="AK2168">
        <v>90.806765396958298</v>
      </c>
      <c r="AL2168">
        <v>89.756773296092007</v>
      </c>
      <c r="AM2168">
        <v>94.902618145250699</v>
      </c>
      <c r="AN2168">
        <v>0.99999998543062496</v>
      </c>
    </row>
    <row r="2169" spans="1:40" x14ac:dyDescent="0.25">
      <c r="A2169" t="str">
        <f>"20190312151540146"</f>
        <v>20190312151540146</v>
      </c>
      <c r="B2169" t="str">
        <f>"1552374940139674"</f>
        <v>1552374940139674</v>
      </c>
      <c r="C2169" t="s">
        <v>40</v>
      </c>
      <c r="D2169">
        <v>4.2337680000000004</v>
      </c>
      <c r="E2169">
        <v>0.53822630000000005</v>
      </c>
      <c r="F2169" t="s">
        <v>50</v>
      </c>
      <c r="G2169">
        <v>-499.95780000000002</v>
      </c>
      <c r="H2169">
        <v>4.2066990000000004E-3</v>
      </c>
      <c r="I2169">
        <v>286.89609999999999</v>
      </c>
      <c r="J2169">
        <v>-400.03210000000001</v>
      </c>
      <c r="K2169">
        <v>1.10988</v>
      </c>
      <c r="L2169">
        <v>284.07440000000003</v>
      </c>
      <c r="M2169">
        <v>-0.99981419999999999</v>
      </c>
      <c r="N2169">
        <v>0</v>
      </c>
      <c r="O2169">
        <v>1.2435140000000001E-2</v>
      </c>
      <c r="P2169">
        <v>-0.99729210000000001</v>
      </c>
      <c r="Q2169">
        <v>-1.067242E-2</v>
      </c>
      <c r="R2169">
        <v>-7.2767499999999999E-2</v>
      </c>
      <c r="S2169">
        <v>-3.014008</v>
      </c>
      <c r="T2169">
        <v>-3.322721E-2</v>
      </c>
      <c r="U2169">
        <v>8.4930420000000006E-2</v>
      </c>
      <c r="V2169">
        <v>-8.5166729999999996E-2</v>
      </c>
      <c r="W2169">
        <v>3.9723450000000004E-3</v>
      </c>
      <c r="X2169">
        <v>0.99635879999999999</v>
      </c>
      <c r="Y2169">
        <v>1.573345E-2</v>
      </c>
      <c r="Z2169" s="1">
        <v>-5.0358069999999999E-5</v>
      </c>
      <c r="AA2169">
        <v>0.99987619999999999</v>
      </c>
      <c r="AB2169">
        <v>36</v>
      </c>
      <c r="AC2169">
        <v>-99.925700000000006</v>
      </c>
      <c r="AD2169">
        <v>-1.1056733009999999</v>
      </c>
      <c r="AE2169">
        <v>2.8216999999999599</v>
      </c>
      <c r="AF2169">
        <v>1.57856379573503</v>
      </c>
      <c r="AG2169">
        <v>-1.1056733009999999</v>
      </c>
      <c r="AH2169">
        <v>99.940837846315404</v>
      </c>
      <c r="AI2169">
        <v>90.633774247595198</v>
      </c>
      <c r="AJ2169">
        <v>89.095089406812406</v>
      </c>
      <c r="AK2169">
        <v>99.959418998557894</v>
      </c>
      <c r="AL2169">
        <v>89.772400799270301</v>
      </c>
      <c r="AM2169">
        <v>94.885651178059206</v>
      </c>
      <c r="AN2169">
        <v>1.00000000488056</v>
      </c>
    </row>
    <row r="2170" spans="1:40" x14ac:dyDescent="0.25">
      <c r="A2170" t="str">
        <f>"20190312151540167"</f>
        <v>20190312151540167</v>
      </c>
      <c r="B2170" t="str">
        <f>"1552374940160169"</f>
        <v>1552374940160169</v>
      </c>
      <c r="C2170" t="s">
        <v>40</v>
      </c>
      <c r="D2170">
        <v>4.3222290000000001</v>
      </c>
      <c r="E2170">
        <v>0.52410080000000003</v>
      </c>
      <c r="F2170" t="s">
        <v>50</v>
      </c>
      <c r="G2170">
        <v>-499.95780000000002</v>
      </c>
      <c r="H2170">
        <v>3.420161E-2</v>
      </c>
      <c r="I2170">
        <v>286.9205</v>
      </c>
      <c r="J2170">
        <v>-400.37490000000003</v>
      </c>
      <c r="K2170">
        <v>1.10988</v>
      </c>
      <c r="L2170">
        <v>284.07850000000002</v>
      </c>
      <c r="M2170">
        <v>-0.99981679999999995</v>
      </c>
      <c r="N2170">
        <v>0</v>
      </c>
      <c r="O2170">
        <v>1.2215190000000001E-2</v>
      </c>
      <c r="P2170">
        <v>-0.99730379999999996</v>
      </c>
      <c r="Q2170">
        <v>-1.093798E-2</v>
      </c>
      <c r="R2170">
        <v>-7.256377E-2</v>
      </c>
      <c r="S2170">
        <v>-3.0140690000000001</v>
      </c>
      <c r="T2170">
        <v>-3.2445790000000002E-2</v>
      </c>
      <c r="U2170">
        <v>8.5845950000000004E-2</v>
      </c>
      <c r="V2170">
        <v>-8.4743979999999997E-2</v>
      </c>
      <c r="W2170">
        <v>3.7038879999999998E-3</v>
      </c>
      <c r="X2170">
        <v>0.9963959</v>
      </c>
      <c r="Y2170">
        <v>1.6256280000000001E-2</v>
      </c>
      <c r="Z2170" s="1">
        <v>-4.3992100000000002E-5</v>
      </c>
      <c r="AA2170">
        <v>0.99986790000000003</v>
      </c>
      <c r="AB2170">
        <v>36</v>
      </c>
      <c r="AC2170">
        <v>-99.582899999999995</v>
      </c>
      <c r="AD2170">
        <v>-1.07567839</v>
      </c>
      <c r="AE2170">
        <v>2.8419999999999801</v>
      </c>
      <c r="AF2170">
        <v>1.6250423198338599</v>
      </c>
      <c r="AG2170">
        <v>-1.07567839</v>
      </c>
      <c r="AH2170">
        <v>99.598576347774596</v>
      </c>
      <c r="AI2170">
        <v>90.618695940181794</v>
      </c>
      <c r="AJ2170">
        <v>89.065249633932694</v>
      </c>
      <c r="AK2170">
        <v>99.617640290479898</v>
      </c>
      <c r="AL2170">
        <v>89.787782369936096</v>
      </c>
      <c r="AM2170">
        <v>94.861336188377294</v>
      </c>
      <c r="AN2170">
        <v>1.0000000252346799</v>
      </c>
    </row>
    <row r="2171" spans="1:40" x14ac:dyDescent="0.25">
      <c r="A2171" t="str">
        <f>"20190312151540190"</f>
        <v>20190312151540190</v>
      </c>
      <c r="B2171" t="str">
        <f>"1552374940179689"</f>
        <v>1552374940179689</v>
      </c>
      <c r="C2171" t="s">
        <v>40</v>
      </c>
      <c r="D2171">
        <v>4.3083</v>
      </c>
      <c r="E2171">
        <v>0.50209570000000003</v>
      </c>
      <c r="F2171" t="s">
        <v>50</v>
      </c>
      <c r="G2171">
        <v>-475.00349999999997</v>
      </c>
      <c r="H2171" s="1">
        <v>4.2912880000000004E-6</v>
      </c>
      <c r="I2171">
        <v>283.42680000000001</v>
      </c>
      <c r="J2171">
        <v>-400.73160000000001</v>
      </c>
      <c r="K2171">
        <v>1.10988</v>
      </c>
      <c r="L2171">
        <v>284.08260000000001</v>
      </c>
      <c r="M2171">
        <v>-0.99981960000000003</v>
      </c>
      <c r="N2171">
        <v>0</v>
      </c>
      <c r="O2171">
        <v>1.198654E-2</v>
      </c>
      <c r="P2171">
        <v>-0.99729400000000001</v>
      </c>
      <c r="Q2171">
        <v>-1.1141099999999999E-2</v>
      </c>
      <c r="R2171">
        <v>-7.2669070000000002E-2</v>
      </c>
      <c r="S2171">
        <v>-3.0057070000000001</v>
      </c>
      <c r="T2171">
        <v>-4.4700860000000002E-2</v>
      </c>
      <c r="U2171">
        <v>-2.624512E-2</v>
      </c>
      <c r="V2171">
        <v>-8.4620979999999998E-2</v>
      </c>
      <c r="W2171">
        <v>3.4969409999999999E-3</v>
      </c>
      <c r="X2171">
        <v>0.99640709999999999</v>
      </c>
      <c r="Y2171">
        <v>-2.0714570000000002E-2</v>
      </c>
      <c r="Z2171">
        <v>-3.3229100000000002E-4</v>
      </c>
      <c r="AA2171">
        <v>0.99978540000000005</v>
      </c>
      <c r="AB2171">
        <v>36</v>
      </c>
      <c r="AC2171">
        <v>-74.271899999999903</v>
      </c>
      <c r="AD2171">
        <v>-1.1098757087119999</v>
      </c>
      <c r="AE2171">
        <v>-0.65579999999999905</v>
      </c>
      <c r="AF2171">
        <v>-1.5457674744213501</v>
      </c>
      <c r="AG2171">
        <v>-1.1098757087119999</v>
      </c>
      <c r="AH2171">
        <v>74.242124046239198</v>
      </c>
      <c r="AI2171">
        <v>90.856288560433001</v>
      </c>
      <c r="AJ2171">
        <v>91.192761644736393</v>
      </c>
      <c r="AK2171">
        <v>74.266507956621595</v>
      </c>
      <c r="AL2171">
        <v>89.799639635924905</v>
      </c>
      <c r="AM2171">
        <v>94.854259734193704</v>
      </c>
      <c r="AN2171">
        <v>1.0000000238914599</v>
      </c>
    </row>
    <row r="2172" spans="1:40" x14ac:dyDescent="0.25">
      <c r="A2172" t="str">
        <f>"20190312151540204"</f>
        <v>20190312151540204</v>
      </c>
      <c r="B2172" t="str">
        <f>"1552374940200185"</f>
        <v>1552374940200185</v>
      </c>
      <c r="C2172" t="s">
        <v>40</v>
      </c>
      <c r="D2172">
        <v>4.2964539999999998</v>
      </c>
      <c r="E2172">
        <v>0.50054569999999998</v>
      </c>
      <c r="F2172" t="s">
        <v>52</v>
      </c>
      <c r="G2172">
        <v>-427.41370000000001</v>
      </c>
      <c r="H2172" s="1">
        <v>2.854534E-6</v>
      </c>
      <c r="I2172">
        <v>282.2715</v>
      </c>
      <c r="J2172">
        <v>-400.94490000000002</v>
      </c>
      <c r="K2172">
        <v>1.109882</v>
      </c>
      <c r="L2172">
        <v>284.08510000000001</v>
      </c>
      <c r="M2172">
        <v>-0.99982139999999997</v>
      </c>
      <c r="N2172">
        <v>0</v>
      </c>
      <c r="O2172">
        <v>1.184966E-2</v>
      </c>
      <c r="P2172">
        <v>-0.99730039999999998</v>
      </c>
      <c r="Q2172">
        <v>-1.097773E-2</v>
      </c>
      <c r="R2172">
        <v>-7.2606160000000003E-2</v>
      </c>
      <c r="S2172">
        <v>-2.991943</v>
      </c>
      <c r="T2172">
        <v>-0.12445390000000001</v>
      </c>
      <c r="U2172">
        <v>-0.20309450000000001</v>
      </c>
      <c r="V2172">
        <v>-8.4421869999999996E-2</v>
      </c>
      <c r="W2172">
        <v>3.6581119999999998E-3</v>
      </c>
      <c r="X2172">
        <v>0.99642339999999996</v>
      </c>
      <c r="Y2172">
        <v>-7.9464969999999996E-2</v>
      </c>
      <c r="Z2172">
        <v>-2.1423330000000002E-3</v>
      </c>
      <c r="AA2172">
        <v>0.99683540000000004</v>
      </c>
      <c r="AB2172">
        <v>36</v>
      </c>
      <c r="AC2172">
        <v>-26.468799999999899</v>
      </c>
      <c r="AD2172">
        <v>-1.109879145466</v>
      </c>
      <c r="AE2172">
        <v>-1.8136000000000001</v>
      </c>
      <c r="AF2172">
        <v>-2.1234368123719398</v>
      </c>
      <c r="AG2172">
        <v>-1.109879145466</v>
      </c>
      <c r="AH2172">
        <v>26.399248536401402</v>
      </c>
      <c r="AI2172">
        <v>92.399674468218805</v>
      </c>
      <c r="AJ2172">
        <v>94.598714155110798</v>
      </c>
      <c r="AK2172">
        <v>26.507756202673399</v>
      </c>
      <c r="AL2172">
        <v>89.7904051566764</v>
      </c>
      <c r="AM2172">
        <v>94.842813384368199</v>
      </c>
      <c r="AN2172">
        <v>1.0000000129926301</v>
      </c>
    </row>
    <row r="2173" spans="1:40" x14ac:dyDescent="0.25">
      <c r="A2173" t="str">
        <f>"20190312151540224"</f>
        <v>20190312151540224</v>
      </c>
      <c r="B2173" t="str">
        <f>"1552374940219704"</f>
        <v>1552374940219704</v>
      </c>
      <c r="C2173" t="s">
        <v>40</v>
      </c>
      <c r="D2173">
        <v>4.6147450000000001</v>
      </c>
      <c r="E2173">
        <v>0.50163230000000003</v>
      </c>
      <c r="F2173" t="s">
        <v>52</v>
      </c>
      <c r="G2173">
        <v>-428.11279999999999</v>
      </c>
      <c r="H2173" s="1">
        <v>2.7430260000000001E-6</v>
      </c>
      <c r="I2173">
        <v>282.1284</v>
      </c>
      <c r="J2173">
        <v>-401.26679999999999</v>
      </c>
      <c r="K2173">
        <v>1.109883</v>
      </c>
      <c r="L2173">
        <v>284.08870000000002</v>
      </c>
      <c r="M2173">
        <v>-0.99982389999999999</v>
      </c>
      <c r="N2173">
        <v>0</v>
      </c>
      <c r="O2173">
        <v>1.164305E-2</v>
      </c>
      <c r="P2173">
        <v>-0.99730989999999997</v>
      </c>
      <c r="Q2173">
        <v>-1.077672E-2</v>
      </c>
      <c r="R2173">
        <v>-7.250769E-2</v>
      </c>
      <c r="S2173">
        <v>-2.9910890000000001</v>
      </c>
      <c r="T2173">
        <v>-0.1221935</v>
      </c>
      <c r="U2173">
        <v>-0.21542359999999999</v>
      </c>
      <c r="V2173">
        <v>-8.4117700000000004E-2</v>
      </c>
      <c r="W2173">
        <v>3.8564749999999998E-3</v>
      </c>
      <c r="X2173">
        <v>0.99644829999999995</v>
      </c>
      <c r="Y2173">
        <v>-8.3366220000000005E-2</v>
      </c>
      <c r="Z2173">
        <v>-2.1748789999999998E-3</v>
      </c>
      <c r="AA2173">
        <v>0.99651659999999997</v>
      </c>
      <c r="AB2173">
        <v>36</v>
      </c>
      <c r="AC2173">
        <v>-26.846</v>
      </c>
      <c r="AD2173">
        <v>-1.1098802569740001</v>
      </c>
      <c r="AE2173">
        <v>-1.9603000000000099</v>
      </c>
      <c r="AF2173">
        <v>-2.2689128155778602</v>
      </c>
      <c r="AG2173">
        <v>-1.1098802569740001</v>
      </c>
      <c r="AH2173">
        <v>26.775831023509799</v>
      </c>
      <c r="AI2173">
        <v>92.365132022026799</v>
      </c>
      <c r="AJ2173">
        <v>94.843521481498499</v>
      </c>
      <c r="AK2173">
        <v>26.894700714993402</v>
      </c>
      <c r="AL2173">
        <v>89.779039697124801</v>
      </c>
      <c r="AM2173">
        <v>94.825327368984404</v>
      </c>
      <c r="AN2173">
        <v>0.99999993721280001</v>
      </c>
    </row>
    <row r="2174" spans="1:40" x14ac:dyDescent="0.25">
      <c r="A2174" t="str">
        <f>"20190312151540246"</f>
        <v>20190312151540246</v>
      </c>
      <c r="B2174" t="str">
        <f>"1552374940240200"</f>
        <v>1552374940240200</v>
      </c>
      <c r="C2174" t="s">
        <v>40</v>
      </c>
      <c r="D2174">
        <v>4.3066800000000001</v>
      </c>
      <c r="E2174">
        <v>0.5017083</v>
      </c>
      <c r="F2174" t="s">
        <v>52</v>
      </c>
      <c r="G2174">
        <v>-431.11340000000001</v>
      </c>
      <c r="H2174" s="1">
        <v>2.9368119999999999E-6</v>
      </c>
      <c r="I2174">
        <v>282.03030000000001</v>
      </c>
      <c r="J2174">
        <v>-401.61559999999997</v>
      </c>
      <c r="K2174">
        <v>1.109883</v>
      </c>
      <c r="L2174">
        <v>284.09249999999997</v>
      </c>
      <c r="M2174">
        <v>-0.9998264</v>
      </c>
      <c r="N2174">
        <v>0</v>
      </c>
      <c r="O2174">
        <v>1.1419169999999999E-2</v>
      </c>
      <c r="P2174">
        <v>-0.99733780000000005</v>
      </c>
      <c r="Q2174">
        <v>-1.038124E-2</v>
      </c>
      <c r="R2174">
        <v>-7.2177599999999995E-2</v>
      </c>
      <c r="S2174">
        <v>-2.9918520000000002</v>
      </c>
      <c r="T2174">
        <v>-0.1112554</v>
      </c>
      <c r="U2174">
        <v>-0.20632929999999999</v>
      </c>
      <c r="V2174">
        <v>-8.3564970000000002E-2</v>
      </c>
      <c r="W2174">
        <v>4.2489090000000004E-3</v>
      </c>
      <c r="X2174">
        <v>0.99649330000000003</v>
      </c>
      <c r="Y2174">
        <v>-8.0126230000000007E-2</v>
      </c>
      <c r="Z2174">
        <v>-1.9115790000000001E-3</v>
      </c>
      <c r="AA2174">
        <v>0.99678290000000003</v>
      </c>
      <c r="AB2174">
        <v>36</v>
      </c>
      <c r="AC2174">
        <v>-29.497800000000002</v>
      </c>
      <c r="AD2174">
        <v>-1.1098800631879999</v>
      </c>
      <c r="AE2174">
        <v>-2.0621999999999598</v>
      </c>
      <c r="AF2174">
        <v>-2.39556749852157</v>
      </c>
      <c r="AG2174">
        <v>-1.1098800631879999</v>
      </c>
      <c r="AH2174">
        <v>29.4308623567734</v>
      </c>
      <c r="AI2174">
        <v>92.152570376852594</v>
      </c>
      <c r="AJ2174">
        <v>94.653413842856907</v>
      </c>
      <c r="AK2174">
        <v>29.549047978876999</v>
      </c>
      <c r="AL2174">
        <v>89.756554720885305</v>
      </c>
      <c r="AM2174">
        <v>94.793553344540001</v>
      </c>
      <c r="AN2174">
        <v>1.0000000271918399</v>
      </c>
    </row>
    <row r="2175" spans="1:40" x14ac:dyDescent="0.25">
      <c r="A2175" t="str">
        <f>"20190312151540259"</f>
        <v>20190312151540259</v>
      </c>
      <c r="B2175" t="str">
        <f>"1552374940249961"</f>
        <v>1552374940249961</v>
      </c>
      <c r="C2175" t="s">
        <v>40</v>
      </c>
      <c r="D2175">
        <v>4.3142129999999996</v>
      </c>
      <c r="E2175">
        <v>0.50181100000000001</v>
      </c>
      <c r="F2175" t="s">
        <v>52</v>
      </c>
      <c r="G2175">
        <v>-433.08339999999998</v>
      </c>
      <c r="H2175" s="1">
        <v>3.8180139999999997E-6</v>
      </c>
      <c r="I2175">
        <v>281.94369999999998</v>
      </c>
      <c r="J2175">
        <v>-401.82</v>
      </c>
      <c r="K2175">
        <v>1.1098840000000001</v>
      </c>
      <c r="L2175">
        <v>284.09469999999999</v>
      </c>
      <c r="M2175">
        <v>-0.99982800000000005</v>
      </c>
      <c r="N2175">
        <v>0</v>
      </c>
      <c r="O2175">
        <v>1.128813E-2</v>
      </c>
      <c r="P2175">
        <v>-0.99732399999999999</v>
      </c>
      <c r="Q2175">
        <v>-1.059442E-2</v>
      </c>
      <c r="R2175">
        <v>-7.2337570000000004E-2</v>
      </c>
      <c r="S2175">
        <v>-2.9921259999999998</v>
      </c>
      <c r="T2175">
        <v>-0.1055331</v>
      </c>
      <c r="U2175">
        <v>-0.2043152</v>
      </c>
      <c r="V2175">
        <v>-8.3594020000000005E-2</v>
      </c>
      <c r="W2175">
        <v>4.0338570000000001E-3</v>
      </c>
      <c r="X2175">
        <v>0.99649169999999998</v>
      </c>
      <c r="Y2175">
        <v>-7.9328319999999994E-2</v>
      </c>
      <c r="Z2175">
        <v>-1.7945299999999999E-3</v>
      </c>
      <c r="AA2175">
        <v>0.99684689999999998</v>
      </c>
      <c r="AB2175">
        <v>36</v>
      </c>
      <c r="AC2175">
        <v>-31.263399999999901</v>
      </c>
      <c r="AD2175">
        <v>-1.109880181986</v>
      </c>
      <c r="AE2175">
        <v>-2.15100000000001</v>
      </c>
      <c r="AF2175">
        <v>-2.5006696764143701</v>
      </c>
      <c r="AG2175">
        <v>-1.109880181986</v>
      </c>
      <c r="AH2175">
        <v>31.197990183856799</v>
      </c>
      <c r="AI2175">
        <v>92.030951259502999</v>
      </c>
      <c r="AJ2175">
        <v>94.582735983161697</v>
      </c>
      <c r="AK2175">
        <v>31.317723007283401</v>
      </c>
      <c r="AL2175">
        <v>89.768876385037302</v>
      </c>
      <c r="AM2175">
        <v>94.795219639509398</v>
      </c>
      <c r="AN2175">
        <v>0.99999997017547204</v>
      </c>
    </row>
    <row r="2176" spans="1:40" x14ac:dyDescent="0.25">
      <c r="A2176" t="str">
        <f>"20190312151540280"</f>
        <v>20190312151540280</v>
      </c>
      <c r="B2176" t="str">
        <f>"1552374940269482"</f>
        <v>1552374940269482</v>
      </c>
      <c r="C2176" t="s">
        <v>40</v>
      </c>
      <c r="D2176">
        <v>4.6068949999999997</v>
      </c>
      <c r="E2176">
        <v>0.50194129999999904</v>
      </c>
      <c r="F2176" t="s">
        <v>52</v>
      </c>
      <c r="G2176">
        <v>-433.40179999999998</v>
      </c>
      <c r="H2176" s="1">
        <v>3.9595239999999998E-6</v>
      </c>
      <c r="I2176">
        <v>281.94009999999997</v>
      </c>
      <c r="J2176">
        <v>-402.15140000000002</v>
      </c>
      <c r="K2176">
        <v>1.109888</v>
      </c>
      <c r="L2176">
        <v>284.09820000000002</v>
      </c>
      <c r="M2176">
        <v>-0.99983040000000001</v>
      </c>
      <c r="N2176">
        <v>0</v>
      </c>
      <c r="O2176">
        <v>1.1075450000000001E-2</v>
      </c>
      <c r="P2176">
        <v>-0.99734509999999998</v>
      </c>
      <c r="Q2176">
        <v>-1.070431E-2</v>
      </c>
      <c r="R2176">
        <v>-7.2029969999999999E-2</v>
      </c>
      <c r="S2176">
        <v>-2.9920960000000001</v>
      </c>
      <c r="T2176">
        <v>-0.1051512</v>
      </c>
      <c r="U2176">
        <v>-0.20413210000000001</v>
      </c>
      <c r="V2176">
        <v>-8.3074709999999996E-2</v>
      </c>
      <c r="W2176">
        <v>3.9208469999999999E-3</v>
      </c>
      <c r="X2176">
        <v>0.99653559999999997</v>
      </c>
      <c r="Y2176">
        <v>-7.9056940000000006E-2</v>
      </c>
      <c r="Z2176">
        <v>-1.7758349999999999E-3</v>
      </c>
      <c r="AA2176">
        <v>0.99686850000000005</v>
      </c>
      <c r="AB2176">
        <v>35</v>
      </c>
      <c r="AC2176">
        <v>-31.2503999999999</v>
      </c>
      <c r="AD2176">
        <v>-1.109884040476</v>
      </c>
      <c r="AE2176">
        <v>-2.1581000000000401</v>
      </c>
      <c r="AF2176">
        <v>-2.5009776252939799</v>
      </c>
      <c r="AG2176">
        <v>-1.109884040476</v>
      </c>
      <c r="AH2176">
        <v>31.185428537815199</v>
      </c>
      <c r="AI2176">
        <v>92.031768890303695</v>
      </c>
      <c r="AJ2176">
        <v>94.585136231908095</v>
      </c>
      <c r="AK2176">
        <v>31.305234143074301</v>
      </c>
      <c r="AL2176">
        <v>89.775351437232302</v>
      </c>
      <c r="AM2176">
        <v>94.765359017425894</v>
      </c>
      <c r="AN2176">
        <v>0.99999999127507</v>
      </c>
    </row>
    <row r="2177" spans="1:40" x14ac:dyDescent="0.25">
      <c r="A2177" t="str">
        <f>"20190312151540291"</f>
        <v>20190312151540291</v>
      </c>
      <c r="B2177" t="str">
        <f>"1552374940280218"</f>
        <v>1552374940280218</v>
      </c>
      <c r="C2177" t="s">
        <v>40</v>
      </c>
      <c r="D2177">
        <v>4.3555869999999999</v>
      </c>
      <c r="E2177">
        <v>0.50194280000000002</v>
      </c>
      <c r="F2177" t="s">
        <v>52</v>
      </c>
      <c r="G2177">
        <v>-433.94799999999998</v>
      </c>
      <c r="H2177" s="1">
        <v>4.2009020000000004E-6</v>
      </c>
      <c r="I2177">
        <v>281.9495</v>
      </c>
      <c r="J2177">
        <v>-402.35079999999999</v>
      </c>
      <c r="K2177">
        <v>1.109891</v>
      </c>
      <c r="L2177">
        <v>284.1003</v>
      </c>
      <c r="M2177">
        <v>-0.9998319</v>
      </c>
      <c r="N2177">
        <v>0</v>
      </c>
      <c r="O2177">
        <v>1.094703E-2</v>
      </c>
      <c r="P2177">
        <v>-0.99732609999999999</v>
      </c>
      <c r="Q2177">
        <v>-1.0503230000000001E-2</v>
      </c>
      <c r="R2177">
        <v>-7.2323250000000006E-2</v>
      </c>
      <c r="S2177">
        <v>-2.9922490000000002</v>
      </c>
      <c r="T2177">
        <v>-0.1044466</v>
      </c>
      <c r="U2177">
        <v>-0.20220949999999999</v>
      </c>
      <c r="V2177">
        <v>-8.3239999999999995E-2</v>
      </c>
      <c r="W2177">
        <v>4.1192099999999999E-3</v>
      </c>
      <c r="X2177">
        <v>0.99652099999999999</v>
      </c>
      <c r="Y2177">
        <v>-7.8289139999999993E-2</v>
      </c>
      <c r="Z2177">
        <v>-1.746034E-3</v>
      </c>
      <c r="AA2177">
        <v>0.99692919999999996</v>
      </c>
      <c r="AB2177">
        <v>35</v>
      </c>
      <c r="AC2177">
        <v>-31.597200000000001</v>
      </c>
      <c r="AD2177">
        <v>-1.1098867990979999</v>
      </c>
      <c r="AE2177">
        <v>-2.1507999999999998</v>
      </c>
      <c r="AF2177">
        <v>-2.4935415608870999</v>
      </c>
      <c r="AG2177">
        <v>-1.1098867990979999</v>
      </c>
      <c r="AH2177">
        <v>31.533031456338499</v>
      </c>
      <c r="AI2177">
        <v>92.009573168305707</v>
      </c>
      <c r="AJ2177">
        <v>94.521377001089604</v>
      </c>
      <c r="AK2177">
        <v>31.650934757904299</v>
      </c>
      <c r="AL2177">
        <v>89.763985980959106</v>
      </c>
      <c r="AM2177">
        <v>94.774866275033702</v>
      </c>
      <c r="AN2177">
        <v>0.99999998446601102</v>
      </c>
    </row>
    <row r="2178" spans="1:40" x14ac:dyDescent="0.25">
      <c r="A2178" t="str">
        <f>"20190312151540305"</f>
        <v>20190312151540305</v>
      </c>
      <c r="B2178" t="str">
        <f>"1552374940299737"</f>
        <v>1552374940299737</v>
      </c>
      <c r="C2178" t="s">
        <v>40</v>
      </c>
      <c r="D2178">
        <v>4.3519230000000002</v>
      </c>
      <c r="E2178">
        <v>0.50209179999999998</v>
      </c>
      <c r="F2178" t="s">
        <v>52</v>
      </c>
      <c r="G2178">
        <v>-434.48970000000003</v>
      </c>
      <c r="H2178" s="1">
        <v>4.4436110000000002E-6</v>
      </c>
      <c r="I2178">
        <v>281.92090000000002</v>
      </c>
      <c r="J2178">
        <v>-402.55309999999997</v>
      </c>
      <c r="K2178">
        <v>1.109888</v>
      </c>
      <c r="L2178">
        <v>284.10239999999999</v>
      </c>
      <c r="M2178">
        <v>-0.99983339999999998</v>
      </c>
      <c r="N2178">
        <v>0</v>
      </c>
      <c r="O2178">
        <v>1.0817E-2</v>
      </c>
      <c r="P2178">
        <v>-0.99732169999999998</v>
      </c>
      <c r="Q2178">
        <v>-1.037746E-2</v>
      </c>
      <c r="R2178">
        <v>-7.2402460000000002E-2</v>
      </c>
      <c r="S2178">
        <v>-2.9922490000000002</v>
      </c>
      <c r="T2178">
        <v>-0.1033347</v>
      </c>
      <c r="U2178">
        <v>-0.20291139999999999</v>
      </c>
      <c r="V2178">
        <v>-8.3189579999999999E-2</v>
      </c>
      <c r="W2178">
        <v>4.2431869999999998E-3</v>
      </c>
      <c r="X2178">
        <v>0.99652470000000004</v>
      </c>
      <c r="Y2178">
        <v>-7.8393439999999995E-2</v>
      </c>
      <c r="Z2178">
        <v>-1.724756E-3</v>
      </c>
      <c r="AA2178">
        <v>0.99692099999999995</v>
      </c>
      <c r="AB2178">
        <v>35</v>
      </c>
      <c r="AC2178">
        <v>-31.936599999999999</v>
      </c>
      <c r="AD2178">
        <v>-1.1098835563889999</v>
      </c>
      <c r="AE2178">
        <v>-2.18149999999997</v>
      </c>
      <c r="AF2178">
        <v>-2.5238338818565098</v>
      </c>
      <c r="AG2178">
        <v>-1.1098835563889999</v>
      </c>
      <c r="AH2178">
        <v>31.872815639115402</v>
      </c>
      <c r="AI2178">
        <v>91.988144562648799</v>
      </c>
      <c r="AJ2178">
        <v>94.527492317480096</v>
      </c>
      <c r="AK2178">
        <v>31.9918420185051</v>
      </c>
      <c r="AL2178">
        <v>89.756882562281504</v>
      </c>
      <c r="AM2178">
        <v>94.771969775026605</v>
      </c>
      <c r="AN2178">
        <v>0.999999994283291</v>
      </c>
    </row>
    <row r="2179" spans="1:40" x14ac:dyDescent="0.25">
      <c r="A2179" t="str">
        <f>"20190312151540319"</f>
        <v>20190312151540319</v>
      </c>
      <c r="B2179" t="str">
        <f>"1552374940310474"</f>
        <v>1552374940310474</v>
      </c>
      <c r="C2179" t="s">
        <v>40</v>
      </c>
      <c r="D2179">
        <v>4.3942800000000002</v>
      </c>
      <c r="E2179">
        <v>0.50211649999999997</v>
      </c>
      <c r="F2179" t="s">
        <v>52</v>
      </c>
      <c r="G2179">
        <v>-433.1669</v>
      </c>
      <c r="H2179" s="1">
        <v>3.8471610000000002E-6</v>
      </c>
      <c r="I2179">
        <v>282.03359999999998</v>
      </c>
      <c r="J2179">
        <v>-402.77010000000001</v>
      </c>
      <c r="K2179">
        <v>1.1098889999999999</v>
      </c>
      <c r="L2179">
        <v>284.1046</v>
      </c>
      <c r="M2179">
        <v>-0.99983480000000002</v>
      </c>
      <c r="N2179">
        <v>0</v>
      </c>
      <c r="O2179">
        <v>1.0677499999999999E-2</v>
      </c>
      <c r="P2179">
        <v>-0.99730019999999997</v>
      </c>
      <c r="Q2179">
        <v>-1.0468440000000001E-2</v>
      </c>
      <c r="R2179">
        <v>-7.2683010000000006E-2</v>
      </c>
      <c r="S2179">
        <v>-2.9922179999999998</v>
      </c>
      <c r="T2179">
        <v>-0.10848090000000001</v>
      </c>
      <c r="U2179">
        <v>-0.20220949999999999</v>
      </c>
      <c r="V2179">
        <v>-8.3330760000000004E-2</v>
      </c>
      <c r="W2179">
        <v>4.1497280000000001E-3</v>
      </c>
      <c r="X2179">
        <v>0.99651330000000005</v>
      </c>
      <c r="Y2179">
        <v>-7.8017169999999997E-2</v>
      </c>
      <c r="Z2179">
        <v>-1.7987669999999999E-3</v>
      </c>
      <c r="AA2179">
        <v>0.99695040000000001</v>
      </c>
      <c r="AB2179">
        <v>35</v>
      </c>
      <c r="AC2179">
        <v>-30.396799999999899</v>
      </c>
      <c r="AD2179">
        <v>-1.1098851528389999</v>
      </c>
      <c r="AE2179">
        <v>-2.0710000000000202</v>
      </c>
      <c r="AF2179">
        <v>-2.3923041442374999</v>
      </c>
      <c r="AG2179">
        <v>-1.1098851528389999</v>
      </c>
      <c r="AH2179">
        <v>30.332698157811699</v>
      </c>
      <c r="AI2179">
        <v>92.089058420287401</v>
      </c>
      <c r="AJ2179">
        <v>94.509515876015996</v>
      </c>
      <c r="AK2179">
        <v>30.447126986038299</v>
      </c>
      <c r="AL2179">
        <v>89.762237416234896</v>
      </c>
      <c r="AM2179">
        <v>94.780085161542502</v>
      </c>
      <c r="AN2179">
        <v>0.99999999644076998</v>
      </c>
    </row>
    <row r="2180" spans="1:40" x14ac:dyDescent="0.25">
      <c r="A2180" t="str">
        <f>"20190312151540335"</f>
        <v>20190312151540335</v>
      </c>
      <c r="B2180" t="str">
        <f>"1552374940329994"</f>
        <v>1552374940329994</v>
      </c>
      <c r="C2180" t="s">
        <v>40</v>
      </c>
      <c r="D2180">
        <v>4.4921350000000002</v>
      </c>
      <c r="E2180">
        <v>0.50234899999999905</v>
      </c>
      <c r="F2180" t="s">
        <v>52</v>
      </c>
      <c r="G2180">
        <v>-432.59570000000002</v>
      </c>
      <c r="H2180" s="1">
        <v>3.5897039999999998E-6</v>
      </c>
      <c r="I2180">
        <v>282.08139999999997</v>
      </c>
      <c r="J2180">
        <v>-403.03919999999999</v>
      </c>
      <c r="K2180">
        <v>1.1098889999999999</v>
      </c>
      <c r="L2180">
        <v>284.10739999999998</v>
      </c>
      <c r="M2180">
        <v>-0.99983659999999996</v>
      </c>
      <c r="N2180">
        <v>0</v>
      </c>
      <c r="O2180">
        <v>1.0504980000000001E-2</v>
      </c>
      <c r="P2180">
        <v>-0.99728329999999998</v>
      </c>
      <c r="Q2180">
        <v>-1.036812E-2</v>
      </c>
      <c r="R2180">
        <v>-7.2926350000000001E-2</v>
      </c>
      <c r="S2180">
        <v>-2.9921570000000002</v>
      </c>
      <c r="T2180">
        <v>-0.1113456</v>
      </c>
      <c r="U2180">
        <v>-0.2029724</v>
      </c>
      <c r="V2180">
        <v>-8.3401989999999995E-2</v>
      </c>
      <c r="W2180">
        <v>4.2465250000000001E-3</v>
      </c>
      <c r="X2180">
        <v>0.99650689999999997</v>
      </c>
      <c r="Y2180">
        <v>-7.8096529999999997E-2</v>
      </c>
      <c r="Z2180">
        <v>-1.84132E-3</v>
      </c>
      <c r="AA2180">
        <v>0.9969441</v>
      </c>
      <c r="AB2180">
        <v>35</v>
      </c>
      <c r="AC2180">
        <v>-29.5565</v>
      </c>
      <c r="AD2180">
        <v>-1.1098854102960001</v>
      </c>
      <c r="AE2180">
        <v>-2.02600000000001</v>
      </c>
      <c r="AF2180">
        <v>-2.33313765420833</v>
      </c>
      <c r="AG2180">
        <v>-1.1098854102960001</v>
      </c>
      <c r="AH2180">
        <v>29.492190876735499</v>
      </c>
      <c r="AI2180">
        <v>92.148499931522906</v>
      </c>
      <c r="AJ2180">
        <v>94.523268870185305</v>
      </c>
      <c r="AK2180">
        <v>29.6051465060937</v>
      </c>
      <c r="AL2180">
        <v>89.756691299713793</v>
      </c>
      <c r="AM2180">
        <v>94.784182739272794</v>
      </c>
      <c r="AN2180">
        <v>0.99999996332907204</v>
      </c>
    </row>
    <row r="2181" spans="1:40" x14ac:dyDescent="0.25">
      <c r="A2181" t="str">
        <f>"20190312151540358"</f>
        <v>20190312151540358</v>
      </c>
      <c r="B2181" t="str">
        <f>"1552374940349513"</f>
        <v>1552374940349513</v>
      </c>
      <c r="C2181" t="s">
        <v>40</v>
      </c>
      <c r="D2181">
        <v>4.3711640000000003</v>
      </c>
      <c r="E2181">
        <v>0.50233939999999999</v>
      </c>
      <c r="F2181" t="s">
        <v>52</v>
      </c>
      <c r="G2181">
        <v>-432.94540000000001</v>
      </c>
      <c r="H2181" s="1">
        <v>3.7438789999999999E-6</v>
      </c>
      <c r="I2181">
        <v>282.09129999999999</v>
      </c>
      <c r="J2181">
        <v>-403.3904</v>
      </c>
      <c r="K2181">
        <v>1.1098889999999999</v>
      </c>
      <c r="L2181">
        <v>284.11079999999998</v>
      </c>
      <c r="M2181">
        <v>-0.99983909999999998</v>
      </c>
      <c r="N2181">
        <v>0</v>
      </c>
      <c r="O2181">
        <v>1.0279129999999999E-2</v>
      </c>
      <c r="P2181">
        <v>-0.99724449999999998</v>
      </c>
      <c r="Q2181">
        <v>-1.03196E-2</v>
      </c>
      <c r="R2181">
        <v>-7.3465020000000006E-2</v>
      </c>
      <c r="S2181">
        <v>-2.9923099999999998</v>
      </c>
      <c r="T2181">
        <v>-0.11105139999999999</v>
      </c>
      <c r="U2181">
        <v>-0.20172119999999999</v>
      </c>
      <c r="V2181">
        <v>-8.3715100000000001E-2</v>
      </c>
      <c r="W2181">
        <v>4.2908690000000001E-3</v>
      </c>
      <c r="X2181">
        <v>0.99648049999999999</v>
      </c>
      <c r="Y2181">
        <v>-7.7453839999999996E-2</v>
      </c>
      <c r="Z2181">
        <v>-1.816111E-3</v>
      </c>
      <c r="AA2181">
        <v>0.9969943</v>
      </c>
      <c r="AB2181">
        <v>35</v>
      </c>
      <c r="AC2181">
        <v>-29.555</v>
      </c>
      <c r="AD2181">
        <v>-1.109885256121</v>
      </c>
      <c r="AE2181">
        <v>-2.0194999999999901</v>
      </c>
      <c r="AF2181">
        <v>-2.3199692856694898</v>
      </c>
      <c r="AG2181">
        <v>-1.109885256121</v>
      </c>
      <c r="AH2181">
        <v>29.491280658787101</v>
      </c>
      <c r="AI2181">
        <v>92.148640617469098</v>
      </c>
      <c r="AJ2181">
        <v>94.497982573527096</v>
      </c>
      <c r="AK2181">
        <v>29.603204854602399</v>
      </c>
      <c r="AL2181">
        <v>89.754150563457301</v>
      </c>
      <c r="AM2181">
        <v>94.802186438438596</v>
      </c>
      <c r="AN2181">
        <v>1.00000000820251</v>
      </c>
    </row>
    <row r="2182" spans="1:40" x14ac:dyDescent="0.25">
      <c r="A2182" t="str">
        <f>"20190312151540380"</f>
        <v>20190312151540380</v>
      </c>
      <c r="B2182" t="str">
        <f>"1552374940370009"</f>
        <v>1552374940370009</v>
      </c>
      <c r="C2182" t="s">
        <v>40</v>
      </c>
      <c r="D2182">
        <v>4.3923750000000004</v>
      </c>
      <c r="E2182">
        <v>0.5022953</v>
      </c>
      <c r="F2182" t="s">
        <v>52</v>
      </c>
      <c r="G2182">
        <v>-433.50150000000002</v>
      </c>
      <c r="H2182" s="1">
        <v>3.9929950000000002E-6</v>
      </c>
      <c r="I2182">
        <v>282.06270000000001</v>
      </c>
      <c r="J2182">
        <v>-403.74239999999998</v>
      </c>
      <c r="K2182">
        <v>1.1098859999999999</v>
      </c>
      <c r="L2182">
        <v>284.11419999999998</v>
      </c>
      <c r="M2182">
        <v>-0.99984150000000005</v>
      </c>
      <c r="N2182">
        <v>0</v>
      </c>
      <c r="O2182">
        <v>1.005263E-2</v>
      </c>
      <c r="P2182">
        <v>-0.99718989999999996</v>
      </c>
      <c r="Q2182">
        <v>-1.010279E-2</v>
      </c>
      <c r="R2182">
        <v>-7.4230589999999999E-2</v>
      </c>
      <c r="S2182">
        <v>-2.9921259999999998</v>
      </c>
      <c r="T2182">
        <v>-0.1102889</v>
      </c>
      <c r="U2182">
        <v>-0.2035217</v>
      </c>
      <c r="V2182">
        <v>-8.4254789999999996E-2</v>
      </c>
      <c r="W2182">
        <v>4.5030599999999997E-3</v>
      </c>
      <c r="X2182">
        <v>0.99643409999999999</v>
      </c>
      <c r="Y2182">
        <v>-7.7829969999999998E-2</v>
      </c>
      <c r="Z2182">
        <v>-1.8023049999999999E-3</v>
      </c>
      <c r="AA2182">
        <v>0.99696499999999999</v>
      </c>
      <c r="AB2182">
        <v>35</v>
      </c>
      <c r="AC2182">
        <v>-29.7591</v>
      </c>
      <c r="AD2182">
        <v>-1.1098820070049999</v>
      </c>
      <c r="AE2182">
        <v>-2.0514999999999701</v>
      </c>
      <c r="AF2182">
        <v>-2.3473362378620601</v>
      </c>
      <c r="AG2182">
        <v>-1.1098820070049999</v>
      </c>
      <c r="AH2182">
        <v>29.6958604534885</v>
      </c>
      <c r="AI2182">
        <v>92.133782335115498</v>
      </c>
      <c r="AJ2182">
        <v>94.519599315648705</v>
      </c>
      <c r="AK2182">
        <v>29.809158887095698</v>
      </c>
      <c r="AL2182">
        <v>89.7419928032472</v>
      </c>
      <c r="AM2182">
        <v>94.833222727136501</v>
      </c>
      <c r="AN2182">
        <v>1.0000000314150499</v>
      </c>
    </row>
    <row r="2183" spans="1:40" x14ac:dyDescent="0.25">
      <c r="A2183" t="str">
        <f>"20190312151540394"</f>
        <v>20190312151540394</v>
      </c>
      <c r="B2183" t="str">
        <f>"1552374940389529"</f>
        <v>1552374940389529</v>
      </c>
      <c r="C2183" t="s">
        <v>40</v>
      </c>
      <c r="D2183">
        <v>4.3892350000000002</v>
      </c>
      <c r="E2183">
        <v>0.50265559999999998</v>
      </c>
      <c r="F2183" t="s">
        <v>52</v>
      </c>
      <c r="G2183">
        <v>-433.69990000000001</v>
      </c>
      <c r="H2183" s="1">
        <v>4.082081E-6</v>
      </c>
      <c r="I2183">
        <v>282.05009999999999</v>
      </c>
      <c r="J2183">
        <v>-403.95909999999998</v>
      </c>
      <c r="K2183">
        <v>1.1098870000000001</v>
      </c>
      <c r="L2183">
        <v>284.11619999999999</v>
      </c>
      <c r="M2183">
        <v>-0.99984300000000004</v>
      </c>
      <c r="N2183">
        <v>0</v>
      </c>
      <c r="O2183">
        <v>9.9132430000000004E-3</v>
      </c>
      <c r="P2183">
        <v>-0.99717509999999998</v>
      </c>
      <c r="Q2183">
        <v>-1.0189129999999999E-2</v>
      </c>
      <c r="R2183">
        <v>-7.4420330000000007E-2</v>
      </c>
      <c r="S2183">
        <v>-2.9919739999999999</v>
      </c>
      <c r="T2183">
        <v>-0.1108483</v>
      </c>
      <c r="U2183">
        <v>-0.2061462</v>
      </c>
      <c r="V2183">
        <v>-8.4305199999999997E-2</v>
      </c>
      <c r="W2183">
        <v>4.4143699999999999E-3</v>
      </c>
      <c r="X2183">
        <v>0.99643020000000004</v>
      </c>
      <c r="Y2183">
        <v>-7.8563850000000005E-2</v>
      </c>
      <c r="Z2183">
        <v>-1.8198960000000001E-3</v>
      </c>
      <c r="AA2183">
        <v>0.9969074</v>
      </c>
      <c r="AB2183">
        <v>35</v>
      </c>
      <c r="AC2183">
        <v>-29.7408</v>
      </c>
      <c r="AD2183">
        <v>-1.109882917919</v>
      </c>
      <c r="AE2183">
        <v>-2.0661</v>
      </c>
      <c r="AF2183">
        <v>-2.3575904534955101</v>
      </c>
      <c r="AG2183">
        <v>-1.109882917919</v>
      </c>
      <c r="AH2183">
        <v>29.677721499513801</v>
      </c>
      <c r="AI2183">
        <v>92.135020887578804</v>
      </c>
      <c r="AJ2183">
        <v>94.542023395810403</v>
      </c>
      <c r="AK2183">
        <v>29.7918986679366</v>
      </c>
      <c r="AL2183">
        <v>89.747074407946002</v>
      </c>
      <c r="AM2183">
        <v>94.836119592604803</v>
      </c>
      <c r="AN2183">
        <v>0.99999999844078802</v>
      </c>
    </row>
    <row r="2184" spans="1:40" x14ac:dyDescent="0.25">
      <c r="A2184" t="str">
        <f>"20190312151540408"</f>
        <v>20190312151540408</v>
      </c>
      <c r="B2184" t="str">
        <f>"1552374940399289"</f>
        <v>1552374940399289</v>
      </c>
      <c r="C2184" t="s">
        <v>40</v>
      </c>
      <c r="D2184">
        <v>4.4197439999999997</v>
      </c>
      <c r="E2184">
        <v>0.50273319999999999</v>
      </c>
      <c r="F2184" t="s">
        <v>52</v>
      </c>
      <c r="G2184">
        <v>-433.79880000000003</v>
      </c>
      <c r="H2184" s="1">
        <v>4.1230990000000001E-6</v>
      </c>
      <c r="I2184">
        <v>282.08260000000001</v>
      </c>
      <c r="J2184">
        <v>-404.16840000000002</v>
      </c>
      <c r="K2184">
        <v>1.1098920000000001</v>
      </c>
      <c r="L2184">
        <v>284.1182</v>
      </c>
      <c r="M2184">
        <v>-0.99984439999999997</v>
      </c>
      <c r="N2184">
        <v>0</v>
      </c>
      <c r="O2184">
        <v>9.7785679999999996E-3</v>
      </c>
      <c r="P2184">
        <v>-0.99716000000000005</v>
      </c>
      <c r="Q2184">
        <v>-9.9273639999999993E-3</v>
      </c>
      <c r="R2184">
        <v>-7.4656280000000005E-2</v>
      </c>
      <c r="S2184">
        <v>-2.9921570000000002</v>
      </c>
      <c r="T2184">
        <v>-0.111293</v>
      </c>
      <c r="U2184">
        <v>-0.2039185</v>
      </c>
      <c r="V2184">
        <v>-8.4407250000000003E-2</v>
      </c>
      <c r="W2184">
        <v>4.6737659999999898E-3</v>
      </c>
      <c r="X2184">
        <v>0.99642039999999998</v>
      </c>
      <c r="Y2184">
        <v>-7.76868E-2</v>
      </c>
      <c r="Z2184">
        <v>-1.805837E-3</v>
      </c>
      <c r="AA2184">
        <v>0.99697619999999998</v>
      </c>
      <c r="AB2184">
        <v>35</v>
      </c>
      <c r="AC2184">
        <v>-29.630400000000002</v>
      </c>
      <c r="AD2184">
        <v>-1.1098878769010001</v>
      </c>
      <c r="AE2184">
        <v>-2.0355999999999801</v>
      </c>
      <c r="AF2184">
        <v>-2.32203406760105</v>
      </c>
      <c r="AG2184">
        <v>-1.1098878769010001</v>
      </c>
      <c r="AH2184">
        <v>29.567784467666598</v>
      </c>
      <c r="AI2184">
        <v>92.1431138257865</v>
      </c>
      <c r="AJ2184">
        <v>94.490368632493997</v>
      </c>
      <c r="AK2184">
        <v>29.679581729478201</v>
      </c>
      <c r="AL2184">
        <v>89.732211964384803</v>
      </c>
      <c r="AM2184">
        <v>94.841993212694405</v>
      </c>
      <c r="AN2184">
        <v>1.0000000207386699</v>
      </c>
    </row>
    <row r="2185" spans="1:40" x14ac:dyDescent="0.25">
      <c r="A2185" t="str">
        <f>"20190312151540536"</f>
        <v>20190312151540536</v>
      </c>
      <c r="B2185" t="str">
        <f>"1552374940530073"</f>
        <v>1552374940530073</v>
      </c>
      <c r="C2185" t="s">
        <v>40</v>
      </c>
      <c r="D2185">
        <v>5.8964930000000004</v>
      </c>
      <c r="E2185">
        <v>0.50317040000000002</v>
      </c>
      <c r="F2185" t="s">
        <v>52</v>
      </c>
      <c r="G2185">
        <v>-435.41590000000002</v>
      </c>
      <c r="H2185" s="1">
        <v>4.8484159999999996E-6</v>
      </c>
      <c r="I2185">
        <v>281.98869999999999</v>
      </c>
      <c r="J2185">
        <v>-406.18810000000002</v>
      </c>
      <c r="K2185">
        <v>1.1098939999999999</v>
      </c>
      <c r="L2185">
        <v>284.13549999999998</v>
      </c>
      <c r="M2185">
        <v>-0.99985670000000004</v>
      </c>
      <c r="N2185">
        <v>0</v>
      </c>
      <c r="O2185">
        <v>8.4766849999999994E-3</v>
      </c>
      <c r="P2185">
        <v>-0.99710969999999999</v>
      </c>
      <c r="Q2185">
        <v>-9.7257720000000006E-3</v>
      </c>
      <c r="R2185">
        <v>-7.5354050000000006E-2</v>
      </c>
      <c r="S2185">
        <v>-2.9922179999999998</v>
      </c>
      <c r="T2185">
        <v>-0.106281399999999</v>
      </c>
      <c r="U2185">
        <v>-0.2039185</v>
      </c>
      <c r="V2185">
        <v>-8.3806599999999995E-2</v>
      </c>
      <c r="W2185">
        <v>4.854962E-3</v>
      </c>
      <c r="X2185">
        <v>0.99647019999999997</v>
      </c>
      <c r="Y2185">
        <v>-7.6394149999999994E-2</v>
      </c>
      <c r="Z2185">
        <v>-1.6554289999999999E-3</v>
      </c>
      <c r="AA2185">
        <v>0.99707630000000003</v>
      </c>
      <c r="AB2185">
        <v>35</v>
      </c>
      <c r="AC2185">
        <v>-29.227799999999998</v>
      </c>
      <c r="AD2185">
        <v>-1.1098891515839999</v>
      </c>
      <c r="AE2185">
        <v>-2.1467999999999798</v>
      </c>
      <c r="AF2185">
        <v>-2.39107486987078</v>
      </c>
      <c r="AG2185">
        <v>-1.1098891515839999</v>
      </c>
      <c r="AH2185">
        <v>29.166717101793999</v>
      </c>
      <c r="AI2185">
        <v>92.171961402929995</v>
      </c>
      <c r="AJ2185">
        <v>94.6866030010016</v>
      </c>
      <c r="AK2185">
        <v>29.285601913879301</v>
      </c>
      <c r="AL2185">
        <v>89.721830071631999</v>
      </c>
      <c r="AM2185">
        <v>94.807460065962204</v>
      </c>
      <c r="AN2185">
        <v>0.99999998817380997</v>
      </c>
    </row>
    <row r="2186" spans="1:40" x14ac:dyDescent="0.25">
      <c r="A2186" t="str">
        <f>"20190312151540559"</f>
        <v>20190312151540559</v>
      </c>
      <c r="B2186" t="str">
        <f>"1552374940549593"</f>
        <v>1552374940549593</v>
      </c>
      <c r="C2186" t="s">
        <v>40</v>
      </c>
      <c r="D2186">
        <v>4.424582</v>
      </c>
      <c r="E2186">
        <v>0.50291629999999998</v>
      </c>
      <c r="F2186" t="s">
        <v>52</v>
      </c>
      <c r="G2186">
        <v>-437.4819</v>
      </c>
      <c r="H2186" s="1">
        <v>5.762106E-6</v>
      </c>
      <c r="I2186">
        <v>282.01760000000002</v>
      </c>
      <c r="J2186">
        <v>-406.5342</v>
      </c>
      <c r="K2186">
        <v>1.109896</v>
      </c>
      <c r="L2186">
        <v>284.13819999999998</v>
      </c>
      <c r="M2186">
        <v>-0.99985840000000004</v>
      </c>
      <c r="N2186">
        <v>0</v>
      </c>
      <c r="O2186">
        <v>8.2537519999999996E-3</v>
      </c>
      <c r="P2186">
        <v>-0.99712210000000001</v>
      </c>
      <c r="Q2186">
        <v>-9.6792360000000008E-3</v>
      </c>
      <c r="R2186">
        <v>-7.5194659999999997E-2</v>
      </c>
      <c r="S2186">
        <v>-2.9923709999999999</v>
      </c>
      <c r="T2186">
        <v>-0.106129399999999</v>
      </c>
      <c r="U2186">
        <v>-0.20251459999999999</v>
      </c>
      <c r="V2186">
        <v>-8.3425020000000003E-2</v>
      </c>
      <c r="W2186">
        <v>4.8988299999999999E-3</v>
      </c>
      <c r="X2186">
        <v>0.996502</v>
      </c>
      <c r="Y2186">
        <v>-7.5703489999999998E-2</v>
      </c>
      <c r="Z2186">
        <v>-1.6328779999999999E-3</v>
      </c>
      <c r="AA2186">
        <v>0.99712900000000004</v>
      </c>
      <c r="AB2186">
        <v>35</v>
      </c>
      <c r="AC2186">
        <v>-30.947700000000001</v>
      </c>
      <c r="AD2186">
        <v>-1.1098902378939901</v>
      </c>
      <c r="AE2186">
        <v>-2.1205999999999601</v>
      </c>
      <c r="AF2186">
        <v>-2.3729520712602898</v>
      </c>
      <c r="AG2186">
        <v>-1.1098902378939901</v>
      </c>
      <c r="AH2186">
        <v>30.889596765667701</v>
      </c>
      <c r="AI2186">
        <v>92.051762214910198</v>
      </c>
      <c r="AJ2186">
        <v>94.392858604973497</v>
      </c>
      <c r="AK2186">
        <v>31.000482999757001</v>
      </c>
      <c r="AL2186">
        <v>89.719316589354506</v>
      </c>
      <c r="AM2186">
        <v>94.785521095102197</v>
      </c>
      <c r="AN2186">
        <v>0.99999998425068404</v>
      </c>
    </row>
    <row r="2187" spans="1:40" x14ac:dyDescent="0.25">
      <c r="A2187" t="str">
        <f>"20190312151540581"</f>
        <v>20190312151540581</v>
      </c>
      <c r="B2187" t="str">
        <f>"1552374940570089"</f>
        <v>1552374940570089</v>
      </c>
      <c r="C2187" t="s">
        <v>40</v>
      </c>
      <c r="D2187">
        <v>4.371245</v>
      </c>
      <c r="E2187">
        <v>0.50228839999999997</v>
      </c>
      <c r="F2187" t="s">
        <v>51</v>
      </c>
      <c r="G2187">
        <v>-444.38990000000001</v>
      </c>
      <c r="H2187" s="1">
        <v>9.3281469999999995E-7</v>
      </c>
      <c r="I2187">
        <v>281.56200000000001</v>
      </c>
      <c r="J2187">
        <v>-406.88580000000002</v>
      </c>
      <c r="K2187">
        <v>1.1098950000000001</v>
      </c>
      <c r="L2187">
        <v>284.14089999999999</v>
      </c>
      <c r="M2187">
        <v>-0.99986030000000004</v>
      </c>
      <c r="N2187">
        <v>0</v>
      </c>
      <c r="O2187">
        <v>8.0270089999999999E-3</v>
      </c>
      <c r="P2187">
        <v>-0.99710699999999997</v>
      </c>
      <c r="Q2187">
        <v>-9.2765580000000007E-3</v>
      </c>
      <c r="R2187">
        <v>-7.5443479999999993E-2</v>
      </c>
      <c r="S2187">
        <v>-2.9924620000000002</v>
      </c>
      <c r="T2187">
        <v>-8.7736250000000002E-2</v>
      </c>
      <c r="U2187">
        <v>-0.20364380000000001</v>
      </c>
      <c r="V2187">
        <v>-8.3448149999999999E-2</v>
      </c>
      <c r="W2187">
        <v>5.2974619999999898E-3</v>
      </c>
      <c r="X2187">
        <v>0.99649799999999999</v>
      </c>
      <c r="Y2187">
        <v>-7.5866509999999998E-2</v>
      </c>
      <c r="Z2187">
        <v>-1.3457079999999999E-3</v>
      </c>
      <c r="AA2187">
        <v>0.99711709999999998</v>
      </c>
      <c r="AB2187">
        <v>35</v>
      </c>
      <c r="AC2187">
        <v>-37.504100000000001</v>
      </c>
      <c r="AD2187">
        <v>-1.1098940671852999</v>
      </c>
      <c r="AE2187">
        <v>-2.5788999999999702</v>
      </c>
      <c r="AF2187">
        <v>-2.8773868463084602</v>
      </c>
      <c r="AG2187">
        <v>-1.1098940671852999</v>
      </c>
      <c r="AH2187">
        <v>37.449544388556703</v>
      </c>
      <c r="AI2187">
        <v>91.692595264347304</v>
      </c>
      <c r="AJ2187">
        <v>94.393614199777204</v>
      </c>
      <c r="AK2187">
        <v>37.576316940516698</v>
      </c>
      <c r="AL2187">
        <v>89.696476353609199</v>
      </c>
      <c r="AM2187">
        <v>94.786860865308796</v>
      </c>
      <c r="AN2187">
        <v>0.99999996042303096</v>
      </c>
    </row>
    <row r="2188" spans="1:40" x14ac:dyDescent="0.25">
      <c r="A2188" t="str">
        <f>"20190312151540603"</f>
        <v>20190312151540603</v>
      </c>
      <c r="B2188" t="str">
        <f>"1552374940599369"</f>
        <v>1552374940599369</v>
      </c>
      <c r="C2188" t="s">
        <v>40</v>
      </c>
      <c r="D2188">
        <v>4.3646789999999998</v>
      </c>
      <c r="E2188">
        <v>0.50134829999999997</v>
      </c>
      <c r="F2188" t="s">
        <v>51</v>
      </c>
      <c r="G2188">
        <v>-452.62720000000002</v>
      </c>
      <c r="H2188" s="1">
        <v>2.1801699999999999E-8</v>
      </c>
      <c r="I2188">
        <v>280.94330000000002</v>
      </c>
      <c r="J2188">
        <v>-407.2253</v>
      </c>
      <c r="K2188">
        <v>1.1098969999999999</v>
      </c>
      <c r="L2188">
        <v>284.14339999999999</v>
      </c>
      <c r="M2188">
        <v>-0.99986200000000003</v>
      </c>
      <c r="N2188">
        <v>0</v>
      </c>
      <c r="O2188">
        <v>7.8072409999999899E-3</v>
      </c>
      <c r="P2188">
        <v>-0.99710379999999998</v>
      </c>
      <c r="Q2188">
        <v>-9.0960169999999996E-3</v>
      </c>
      <c r="R2188">
        <v>-7.5509350000000003E-2</v>
      </c>
      <c r="S2188">
        <v>-2.9921880000000001</v>
      </c>
      <c r="T2188">
        <v>-7.2604180000000004E-2</v>
      </c>
      <c r="U2188">
        <v>-0.20916750000000001</v>
      </c>
      <c r="V2188">
        <v>-8.3294590000000002E-2</v>
      </c>
      <c r="W2188">
        <v>5.4748430000000001E-3</v>
      </c>
      <c r="X2188">
        <v>0.99650989999999995</v>
      </c>
      <c r="Y2188">
        <v>-7.7496330000000002E-2</v>
      </c>
      <c r="Z2188">
        <v>-1.128137E-3</v>
      </c>
      <c r="AA2188">
        <v>0.99699199999999999</v>
      </c>
      <c r="AB2188">
        <v>35</v>
      </c>
      <c r="AC2188">
        <v>-45.401899999999998</v>
      </c>
      <c r="AD2188">
        <v>-1.1098969781982999</v>
      </c>
      <c r="AE2188">
        <v>-3.20009999999996</v>
      </c>
      <c r="AF2188">
        <v>-3.5523916933441102</v>
      </c>
      <c r="AG2188">
        <v>-1.1098969781982999</v>
      </c>
      <c r="AH2188">
        <v>45.348562602873201</v>
      </c>
      <c r="AI2188">
        <v>91.397742519208805</v>
      </c>
      <c r="AJ2188">
        <v>94.479133108738395</v>
      </c>
      <c r="AK2188">
        <v>45.501027331169901</v>
      </c>
      <c r="AL2188">
        <v>89.686313026646104</v>
      </c>
      <c r="AM2188">
        <v>94.778036183881298</v>
      </c>
      <c r="AN2188">
        <v>0.99999997171357502</v>
      </c>
    </row>
    <row r="2189" spans="1:40" x14ac:dyDescent="0.25">
      <c r="A2189" t="str">
        <f>"20190312151540616"</f>
        <v>20190312151540616</v>
      </c>
      <c r="B2189" t="str">
        <f>"1552374940610105"</f>
        <v>1552374940610105</v>
      </c>
      <c r="C2189" t="s">
        <v>40</v>
      </c>
      <c r="D2189">
        <v>4.3921799999999998</v>
      </c>
      <c r="E2189">
        <v>0.50115540000000003</v>
      </c>
      <c r="F2189" t="s">
        <v>51</v>
      </c>
      <c r="G2189">
        <v>-457.06490000000002</v>
      </c>
      <c r="H2189" s="1">
        <v>2.4012680000000002E-6</v>
      </c>
      <c r="I2189">
        <v>280.53320000000002</v>
      </c>
      <c r="J2189">
        <v>-407.43220000000002</v>
      </c>
      <c r="K2189">
        <v>1.1098980000000001</v>
      </c>
      <c r="L2189">
        <v>284.14479999999998</v>
      </c>
      <c r="M2189">
        <v>-0.99986319999999995</v>
      </c>
      <c r="N2189">
        <v>0</v>
      </c>
      <c r="O2189">
        <v>7.6732819999999896E-3</v>
      </c>
      <c r="P2189">
        <v>-0.99710080000000001</v>
      </c>
      <c r="Q2189">
        <v>-8.9022960000000005E-3</v>
      </c>
      <c r="R2189">
        <v>-7.55715E-2</v>
      </c>
      <c r="S2189">
        <v>-2.9916990000000001</v>
      </c>
      <c r="T2189">
        <v>-6.6623210000000002E-2</v>
      </c>
      <c r="U2189">
        <v>-0.21670529999999999</v>
      </c>
      <c r="V2189">
        <v>-8.3223690000000003E-2</v>
      </c>
      <c r="W2189">
        <v>5.6660510000000001E-3</v>
      </c>
      <c r="X2189">
        <v>0.99651480000000003</v>
      </c>
      <c r="Y2189">
        <v>-7.9876580000000003E-2</v>
      </c>
      <c r="Z2189">
        <v>-1.05879E-3</v>
      </c>
      <c r="AA2189">
        <v>0.99680420000000003</v>
      </c>
      <c r="AB2189">
        <v>35</v>
      </c>
      <c r="AC2189">
        <v>-49.6327</v>
      </c>
      <c r="AD2189">
        <v>-1.1098955987320001</v>
      </c>
      <c r="AE2189">
        <v>-3.61159999999995</v>
      </c>
      <c r="AF2189">
        <v>-3.99039528980411</v>
      </c>
      <c r="AG2189">
        <v>-1.1098955987320001</v>
      </c>
      <c r="AH2189">
        <v>49.578860514332902</v>
      </c>
      <c r="AI2189">
        <v>91.278303616169794</v>
      </c>
      <c r="AJ2189">
        <v>94.601578664928198</v>
      </c>
      <c r="AK2189">
        <v>49.751568143211898</v>
      </c>
      <c r="AL2189">
        <v>89.675357459527206</v>
      </c>
      <c r="AM2189">
        <v>94.773964579516203</v>
      </c>
      <c r="AN2189">
        <v>1.00000001666509</v>
      </c>
    </row>
    <row r="2190" spans="1:40" x14ac:dyDescent="0.25">
      <c r="A2190" t="str">
        <f>"20190312151540629"</f>
        <v>20190312151540629</v>
      </c>
      <c r="B2190" t="str">
        <f>"1552374940619865"</f>
        <v>1552374940619865</v>
      </c>
      <c r="C2190" t="s">
        <v>40</v>
      </c>
      <c r="D2190">
        <v>4.3789449999999999</v>
      </c>
      <c r="E2190">
        <v>0.50099179999999999</v>
      </c>
      <c r="F2190" t="s">
        <v>51</v>
      </c>
      <c r="G2190">
        <v>-459.3098</v>
      </c>
      <c r="H2190" s="1">
        <v>3.603513E-6</v>
      </c>
      <c r="I2190">
        <v>280.35950000000003</v>
      </c>
      <c r="J2190">
        <v>-407.64159999999998</v>
      </c>
      <c r="K2190">
        <v>1.109901</v>
      </c>
      <c r="L2190">
        <v>284.1463</v>
      </c>
      <c r="M2190">
        <v>-0.99986419999999998</v>
      </c>
      <c r="N2190">
        <v>0</v>
      </c>
      <c r="O2190">
        <v>7.5384229999999998E-3</v>
      </c>
      <c r="P2190">
        <v>-0.99711309999999997</v>
      </c>
      <c r="Q2190">
        <v>-9.0400429999999993E-3</v>
      </c>
      <c r="R2190">
        <v>-7.5391719999999995E-2</v>
      </c>
      <c r="S2190">
        <v>-2.991638</v>
      </c>
      <c r="T2190">
        <v>-6.4004539999999999E-2</v>
      </c>
      <c r="U2190">
        <v>-0.21829219999999999</v>
      </c>
      <c r="V2190">
        <v>-8.2909659999999996E-2</v>
      </c>
      <c r="W2190">
        <v>5.527293E-3</v>
      </c>
      <c r="X2190">
        <v>0.99654169999999997</v>
      </c>
      <c r="Y2190">
        <v>-8.0271170000000003E-2</v>
      </c>
      <c r="Z2190">
        <v>-1.0185179999999999E-3</v>
      </c>
      <c r="AA2190">
        <v>0.99677249999999995</v>
      </c>
      <c r="AB2190">
        <v>35</v>
      </c>
      <c r="AC2190">
        <v>-51.668199999999999</v>
      </c>
      <c r="AD2190">
        <v>-1.109897396487</v>
      </c>
      <c r="AE2190">
        <v>-3.7867999999999702</v>
      </c>
      <c r="AF2190">
        <v>-4.1743150333013803</v>
      </c>
      <c r="AG2190">
        <v>-1.109897396487</v>
      </c>
      <c r="AH2190">
        <v>51.614492055940701</v>
      </c>
      <c r="AI2190">
        <v>91.227867872045906</v>
      </c>
      <c r="AJ2190">
        <v>94.623725040914096</v>
      </c>
      <c r="AK2190">
        <v>51.794908711385297</v>
      </c>
      <c r="AL2190">
        <v>89.6833078141442</v>
      </c>
      <c r="AM2190">
        <v>94.755905858179403</v>
      </c>
      <c r="AN2190">
        <v>0.99999996126405599</v>
      </c>
    </row>
    <row r="2191" spans="1:40" x14ac:dyDescent="0.25">
      <c r="A2191" t="str">
        <f>"20190312151540643"</f>
        <v>20190312151540643</v>
      </c>
      <c r="B2191" t="str">
        <f>"1552374940639386"</f>
        <v>1552374940639386</v>
      </c>
      <c r="C2191" t="s">
        <v>40</v>
      </c>
      <c r="D2191">
        <v>4.3875250000000001</v>
      </c>
      <c r="E2191">
        <v>0.50054790000000005</v>
      </c>
      <c r="F2191" t="s">
        <v>51</v>
      </c>
      <c r="G2191">
        <v>-460.71800000000002</v>
      </c>
      <c r="H2191" s="1">
        <v>-9.6427350000000004E-7</v>
      </c>
      <c r="I2191">
        <v>280.25990000000002</v>
      </c>
      <c r="J2191">
        <v>-407.84030000000001</v>
      </c>
      <c r="K2191">
        <v>1.109904</v>
      </c>
      <c r="L2191">
        <v>284.14769999999999</v>
      </c>
      <c r="M2191">
        <v>-0.99986529999999996</v>
      </c>
      <c r="N2191">
        <v>0</v>
      </c>
      <c r="O2191">
        <v>7.4100019999999997E-3</v>
      </c>
      <c r="P2191">
        <v>-0.99710410000000005</v>
      </c>
      <c r="Q2191">
        <v>-8.9586159999999904E-3</v>
      </c>
      <c r="R2191">
        <v>-7.5521889999999994E-2</v>
      </c>
      <c r="S2191">
        <v>-2.9915769999999999</v>
      </c>
      <c r="T2191">
        <v>-6.2558050000000004E-2</v>
      </c>
      <c r="U2191">
        <v>-0.21905520000000001</v>
      </c>
      <c r="V2191">
        <v>-8.2911529999999997E-2</v>
      </c>
      <c r="W2191">
        <v>5.6059710000000004E-3</v>
      </c>
      <c r="X2191">
        <v>0.99654109999999996</v>
      </c>
      <c r="Y2191">
        <v>-8.0398369999999997E-2</v>
      </c>
      <c r="Z2191">
        <v>-9.9416150000000009E-4</v>
      </c>
      <c r="AA2191">
        <v>0.99676229999999999</v>
      </c>
      <c r="AB2191">
        <v>35</v>
      </c>
      <c r="AC2191">
        <v>-52.877699999999997</v>
      </c>
      <c r="AD2191">
        <v>-1.1099049642734999</v>
      </c>
      <c r="AE2191">
        <v>-3.8877999999999702</v>
      </c>
      <c r="AF2191">
        <v>-4.2776845909959498</v>
      </c>
      <c r="AG2191">
        <v>-1.1099049642734999</v>
      </c>
      <c r="AH2191">
        <v>52.824287985295797</v>
      </c>
      <c r="AI2191">
        <v>91.199753317745802</v>
      </c>
      <c r="AJ2191">
        <v>94.629681399754205</v>
      </c>
      <c r="AK2191">
        <v>53.008828280232997</v>
      </c>
      <c r="AL2191">
        <v>89.678799825204706</v>
      </c>
      <c r="AM2191">
        <v>94.756015484384505</v>
      </c>
      <c r="AN2191">
        <v>0.99999995635350003</v>
      </c>
    </row>
    <row r="2192" spans="1:40" x14ac:dyDescent="0.25">
      <c r="A2192" t="str">
        <f>"20190312151540658"</f>
        <v>20190312151540658</v>
      </c>
      <c r="B2192" t="str">
        <f>"1552374940650121"</f>
        <v>1552374940650121</v>
      </c>
      <c r="C2192" t="s">
        <v>40</v>
      </c>
      <c r="D2192">
        <v>4.4027529999999997</v>
      </c>
      <c r="E2192">
        <v>0.50027279999999996</v>
      </c>
      <c r="F2192" t="s">
        <v>51</v>
      </c>
      <c r="G2192">
        <v>-465.45339999999999</v>
      </c>
      <c r="H2192" s="1">
        <v>1.573384E-6</v>
      </c>
      <c r="I2192">
        <v>279.8546</v>
      </c>
      <c r="J2192">
        <v>-408.08920000000001</v>
      </c>
      <c r="K2192">
        <v>1.1099049999999999</v>
      </c>
      <c r="L2192">
        <v>284.14940000000001</v>
      </c>
      <c r="M2192">
        <v>-0.99986649999999999</v>
      </c>
      <c r="N2192">
        <v>0</v>
      </c>
      <c r="O2192">
        <v>7.2491040000000001E-3</v>
      </c>
      <c r="P2192">
        <v>-0.99704879999999996</v>
      </c>
      <c r="Q2192">
        <v>-9.1649120000000008E-3</v>
      </c>
      <c r="R2192">
        <v>-7.6222570000000003E-2</v>
      </c>
      <c r="S2192">
        <v>-2.9913020000000001</v>
      </c>
      <c r="T2192">
        <v>-5.7626719999999999E-2</v>
      </c>
      <c r="U2192">
        <v>-0.2229004</v>
      </c>
      <c r="V2192">
        <v>-8.3451890000000001E-2</v>
      </c>
      <c r="W2192">
        <v>5.3961649999999996E-3</v>
      </c>
      <c r="X2192">
        <v>0.99649719999999997</v>
      </c>
      <c r="Y2192">
        <v>-8.1521650000000001E-2</v>
      </c>
      <c r="Z2192">
        <v>-9.2355750000000004E-4</v>
      </c>
      <c r="AA2192">
        <v>0.99667110000000003</v>
      </c>
      <c r="AB2192">
        <v>35</v>
      </c>
      <c r="AC2192">
        <v>-57.364199999999897</v>
      </c>
      <c r="AD2192">
        <v>-1.1099034266159999</v>
      </c>
      <c r="AE2192">
        <v>-4.2948000000000004</v>
      </c>
      <c r="AF2192">
        <v>-4.7088178098544802</v>
      </c>
      <c r="AG2192">
        <v>-1.1099034266159999</v>
      </c>
      <c r="AH2192">
        <v>57.310220618921797</v>
      </c>
      <c r="AI2192">
        <v>91.105759844538099</v>
      </c>
      <c r="AJ2192">
        <v>94.6970804467623</v>
      </c>
      <c r="AK2192">
        <v>57.514052527815402</v>
      </c>
      <c r="AL2192">
        <v>89.690821020405593</v>
      </c>
      <c r="AM2192">
        <v>94.787078232297901</v>
      </c>
      <c r="AN2192">
        <v>1.0000000030745499</v>
      </c>
    </row>
    <row r="2193" spans="1:40" x14ac:dyDescent="0.25">
      <c r="A2193" t="str">
        <f>"20190312151540683"</f>
        <v>20190312151540683</v>
      </c>
      <c r="B2193" t="str">
        <f>"1552374940679401"</f>
        <v>1552374940679401</v>
      </c>
      <c r="C2193" t="s">
        <v>40</v>
      </c>
      <c r="D2193">
        <v>4.4192169999999997</v>
      </c>
      <c r="E2193">
        <v>0.49954189999999998</v>
      </c>
      <c r="F2193" t="s">
        <v>51</v>
      </c>
      <c r="G2193">
        <v>-466.91430000000003</v>
      </c>
      <c r="H2193" s="1">
        <v>2.3584000000000002E-6</v>
      </c>
      <c r="I2193">
        <v>279.68099999999998</v>
      </c>
      <c r="J2193">
        <v>-408.44450000000001</v>
      </c>
      <c r="K2193">
        <v>1.109904</v>
      </c>
      <c r="L2193">
        <v>284.15170000000001</v>
      </c>
      <c r="M2193">
        <v>-0.99986819999999998</v>
      </c>
      <c r="N2193">
        <v>0</v>
      </c>
      <c r="O2193">
        <v>7.0198519999999896E-3</v>
      </c>
      <c r="P2193">
        <v>-0.99703339999999996</v>
      </c>
      <c r="Q2193">
        <v>-9.2384930000000004E-3</v>
      </c>
      <c r="R2193">
        <v>-7.6413830000000002E-2</v>
      </c>
      <c r="S2193">
        <v>-2.991028</v>
      </c>
      <c r="T2193">
        <v>-5.6434150000000002E-2</v>
      </c>
      <c r="U2193">
        <v>-0.2272034</v>
      </c>
      <c r="V2193">
        <v>-8.3414409999999994E-2</v>
      </c>
      <c r="W2193">
        <v>5.3189190000000001E-3</v>
      </c>
      <c r="X2193">
        <v>0.99650070000000002</v>
      </c>
      <c r="Y2193">
        <v>-8.2726110000000005E-2</v>
      </c>
      <c r="Z2193">
        <v>-9.1150789999999997E-4</v>
      </c>
      <c r="AA2193">
        <v>0.99657189999999995</v>
      </c>
      <c r="AB2193">
        <v>35</v>
      </c>
      <c r="AC2193">
        <v>-58.469799999999999</v>
      </c>
      <c r="AD2193">
        <v>-1.1099016416</v>
      </c>
      <c r="AE2193">
        <v>-4.4707000000000203</v>
      </c>
      <c r="AF2193">
        <v>-4.8793351776382901</v>
      </c>
      <c r="AG2193">
        <v>-1.1099016416</v>
      </c>
      <c r="AH2193">
        <v>58.416045045364598</v>
      </c>
      <c r="AI2193">
        <v>91.084709268397305</v>
      </c>
      <c r="AJ2193">
        <v>94.774678981383005</v>
      </c>
      <c r="AK2193">
        <v>58.629976225236703</v>
      </c>
      <c r="AL2193">
        <v>89.695246937491206</v>
      </c>
      <c r="AM2193">
        <v>94.784921511501096</v>
      </c>
      <c r="AN2193">
        <v>0.999999949897732</v>
      </c>
    </row>
    <row r="2194" spans="1:40" x14ac:dyDescent="0.25">
      <c r="A2194" t="str">
        <f>"20190312151540703"</f>
        <v>20190312151540703</v>
      </c>
      <c r="B2194" t="str">
        <f>"1552374940699897"</f>
        <v>1552374940699897</v>
      </c>
      <c r="C2194" t="s">
        <v>40</v>
      </c>
      <c r="D2194">
        <v>4.6117990000000004</v>
      </c>
      <c r="E2194">
        <v>0.49923240000000002</v>
      </c>
      <c r="F2194" t="s">
        <v>51</v>
      </c>
      <c r="G2194">
        <v>-466.5188</v>
      </c>
      <c r="H2194">
        <v>4.9705529999999998E-2</v>
      </c>
      <c r="I2194">
        <v>279.61630000000002</v>
      </c>
      <c r="J2194">
        <v>-408.78629999999998</v>
      </c>
      <c r="K2194">
        <v>1.1099049999999999</v>
      </c>
      <c r="L2194">
        <v>284.15390000000002</v>
      </c>
      <c r="M2194">
        <v>-0.99986980000000003</v>
      </c>
      <c r="N2194">
        <v>0</v>
      </c>
      <c r="O2194">
        <v>6.7993019999999897E-3</v>
      </c>
      <c r="P2194">
        <v>-0.9969981</v>
      </c>
      <c r="Q2194">
        <v>-9.1363929999999996E-3</v>
      </c>
      <c r="R2194">
        <v>-7.6888269999999995E-2</v>
      </c>
      <c r="S2194">
        <v>-2.9905400000000002</v>
      </c>
      <c r="T2194">
        <v>-5.4594990000000003E-2</v>
      </c>
      <c r="U2194">
        <v>-0.23355100000000001</v>
      </c>
      <c r="V2194">
        <v>-8.3668560000000003E-2</v>
      </c>
      <c r="W2194">
        <v>5.4166689999999998E-3</v>
      </c>
      <c r="X2194">
        <v>0.99647889999999995</v>
      </c>
      <c r="Y2194">
        <v>-8.4621979999999999E-2</v>
      </c>
      <c r="Z2194">
        <v>-8.951362E-4</v>
      </c>
      <c r="AA2194">
        <v>0.99641279999999999</v>
      </c>
      <c r="AB2194">
        <v>35</v>
      </c>
      <c r="AC2194">
        <v>-57.732500000000002</v>
      </c>
      <c r="AD2194">
        <v>-1.0601994699999999</v>
      </c>
      <c r="AE2194">
        <v>-4.5375999999999896</v>
      </c>
      <c r="AF2194">
        <v>-4.9284259894151896</v>
      </c>
      <c r="AG2194">
        <v>-1.0601994699999999</v>
      </c>
      <c r="AH2194">
        <v>57.6809766833235</v>
      </c>
      <c r="AI2194">
        <v>91.049178890766498</v>
      </c>
      <c r="AJ2194">
        <v>94.883652369245596</v>
      </c>
      <c r="AK2194">
        <v>57.900850397826098</v>
      </c>
      <c r="AL2194">
        <v>89.689646204405307</v>
      </c>
      <c r="AM2194">
        <v>94.799536888917999</v>
      </c>
      <c r="AN2194">
        <v>0.99999998319036898</v>
      </c>
    </row>
    <row r="2195" spans="1:40" x14ac:dyDescent="0.25">
      <c r="A2195" t="str">
        <f>"20190312151540726"</f>
        <v>20190312151540726</v>
      </c>
      <c r="B2195" t="str">
        <f>"1552374940719421"</f>
        <v>1552374940719421</v>
      </c>
      <c r="C2195" t="s">
        <v>40</v>
      </c>
      <c r="D2195">
        <v>4.3790930000000001</v>
      </c>
      <c r="E2195">
        <v>0.4988571</v>
      </c>
      <c r="F2195" t="s">
        <v>51</v>
      </c>
      <c r="G2195">
        <v>-469.27510000000001</v>
      </c>
      <c r="H2195">
        <v>8.0000440000000006E-2</v>
      </c>
      <c r="I2195">
        <v>279.35230000000001</v>
      </c>
      <c r="J2195">
        <v>-409.1234</v>
      </c>
      <c r="K2195">
        <v>1.109904</v>
      </c>
      <c r="L2195">
        <v>284.15600000000001</v>
      </c>
      <c r="M2195">
        <v>-0.99987110000000001</v>
      </c>
      <c r="N2195">
        <v>0</v>
      </c>
      <c r="O2195">
        <v>6.58144E-3</v>
      </c>
      <c r="P2195">
        <v>-0.99699629999999995</v>
      </c>
      <c r="Q2195">
        <v>-9.2272069999999994E-3</v>
      </c>
      <c r="R2195">
        <v>-7.6896320000000004E-2</v>
      </c>
      <c r="S2195">
        <v>-2.9902340000000001</v>
      </c>
      <c r="T2195">
        <v>-5.0912859999999997E-2</v>
      </c>
      <c r="U2195">
        <v>-0.23736570000000001</v>
      </c>
      <c r="V2195">
        <v>-8.3459530000000004E-2</v>
      </c>
      <c r="W2195">
        <v>5.322734E-3</v>
      </c>
      <c r="X2195">
        <v>0.99649699999999997</v>
      </c>
      <c r="Y2195">
        <v>-8.5677900000000001E-2</v>
      </c>
      <c r="Z2195">
        <v>-8.4008710000000003E-4</v>
      </c>
      <c r="AA2195">
        <v>0.9963225</v>
      </c>
      <c r="AB2195">
        <v>35</v>
      </c>
      <c r="AC2195">
        <v>-60.151699999999998</v>
      </c>
      <c r="AD2195">
        <v>-1.0299035599999999</v>
      </c>
      <c r="AE2195">
        <v>-4.8036999999999903</v>
      </c>
      <c r="AF2195">
        <v>-5.1980090375408201</v>
      </c>
      <c r="AG2195">
        <v>-1.0299035599999999</v>
      </c>
      <c r="AH2195">
        <v>60.101270972567903</v>
      </c>
      <c r="AI2195">
        <v>90.978081649449095</v>
      </c>
      <c r="AJ2195">
        <v>94.943068702238193</v>
      </c>
      <c r="AK2195">
        <v>60.334424434275498</v>
      </c>
      <c r="AL2195">
        <v>89.695028380853103</v>
      </c>
      <c r="AM2195">
        <v>94.787515407562395</v>
      </c>
      <c r="AN2195">
        <v>1.0000000478270199</v>
      </c>
    </row>
    <row r="2196" spans="1:40" x14ac:dyDescent="0.25">
      <c r="A2196" t="str">
        <f>"20190312151540749"</f>
        <v>20190312151540749</v>
      </c>
      <c r="B2196" t="str">
        <f>"1552374940739913"</f>
        <v>1552374940739913</v>
      </c>
      <c r="C2196" t="s">
        <v>40</v>
      </c>
      <c r="D2196">
        <v>4.3769099999999996</v>
      </c>
      <c r="E2196">
        <v>0.49837910000000002</v>
      </c>
      <c r="F2196" t="s">
        <v>51</v>
      </c>
      <c r="G2196">
        <v>-469.55779999999999</v>
      </c>
      <c r="H2196">
        <v>8.0000360000000006E-2</v>
      </c>
      <c r="I2196">
        <v>279.2998</v>
      </c>
      <c r="J2196">
        <v>-409.47579999999999</v>
      </c>
      <c r="K2196">
        <v>1.1099049999999999</v>
      </c>
      <c r="L2196">
        <v>284.15809999999999</v>
      </c>
      <c r="M2196">
        <v>-0.99987269999999995</v>
      </c>
      <c r="N2196">
        <v>0</v>
      </c>
      <c r="O2196">
        <v>6.3531480000000003E-3</v>
      </c>
      <c r="P2196">
        <v>-0.99698929999999997</v>
      </c>
      <c r="Q2196">
        <v>-9.1084630000000007E-3</v>
      </c>
      <c r="R2196">
        <v>-7.7001849999999997E-2</v>
      </c>
      <c r="S2196">
        <v>-2.9900509999999998</v>
      </c>
      <c r="T2196">
        <v>-5.095541E-2</v>
      </c>
      <c r="U2196">
        <v>-0.2402649</v>
      </c>
      <c r="V2196">
        <v>-8.3337839999999996E-2</v>
      </c>
      <c r="W2196">
        <v>5.4376490000000001E-3</v>
      </c>
      <c r="X2196">
        <v>0.99650649999999996</v>
      </c>
      <c r="Y2196">
        <v>-8.6415030000000004E-2</v>
      </c>
      <c r="Z2196">
        <v>-8.4319359999999999E-4</v>
      </c>
      <c r="AA2196">
        <v>0.99625889999999995</v>
      </c>
      <c r="AB2196">
        <v>35</v>
      </c>
      <c r="AC2196">
        <v>-60.082000000000001</v>
      </c>
      <c r="AD2196">
        <v>-1.02990463999999</v>
      </c>
      <c r="AE2196">
        <v>-4.8582999999999803</v>
      </c>
      <c r="AF2196">
        <v>-5.2384234220073802</v>
      </c>
      <c r="AG2196">
        <v>-1.02990463999999</v>
      </c>
      <c r="AH2196">
        <v>60.0323932922105</v>
      </c>
      <c r="AI2196">
        <v>90.979139449538295</v>
      </c>
      <c r="AJ2196">
        <v>94.986994760552506</v>
      </c>
      <c r="AK2196">
        <v>60.269312489080001</v>
      </c>
      <c r="AL2196">
        <v>89.688444121502499</v>
      </c>
      <c r="AM2196">
        <v>94.780521878098199</v>
      </c>
      <c r="AN2196">
        <v>0.999999984072381</v>
      </c>
    </row>
    <row r="2197" spans="1:40" x14ac:dyDescent="0.25">
      <c r="A2197" t="str">
        <f>"20190312151540772"</f>
        <v>20190312151540772</v>
      </c>
      <c r="B2197" t="str">
        <f>"1552374940759433"</f>
        <v>1552374940759433</v>
      </c>
      <c r="C2197" t="s">
        <v>40</v>
      </c>
      <c r="D2197">
        <v>4.3577159999999999</v>
      </c>
      <c r="E2197">
        <v>0.49795970000000001</v>
      </c>
      <c r="F2197" t="s">
        <v>50</v>
      </c>
      <c r="G2197">
        <v>-473.31079999999997</v>
      </c>
      <c r="H2197">
        <v>8.000032E-2</v>
      </c>
      <c r="I2197">
        <v>278.9427</v>
      </c>
      <c r="J2197">
        <v>-409.82279999999997</v>
      </c>
      <c r="K2197">
        <v>1.109904</v>
      </c>
      <c r="L2197">
        <v>284.16000000000003</v>
      </c>
      <c r="M2197">
        <v>-0.99987420000000005</v>
      </c>
      <c r="N2197">
        <v>0</v>
      </c>
      <c r="O2197">
        <v>6.1281969999999897E-3</v>
      </c>
      <c r="P2197">
        <v>-0.99697239999999998</v>
      </c>
      <c r="Q2197">
        <v>-8.9963530000000003E-3</v>
      </c>
      <c r="R2197">
        <v>-7.7236620000000006E-2</v>
      </c>
      <c r="S2197">
        <v>-2.989716</v>
      </c>
      <c r="T2197">
        <v>-4.8235649999999998E-2</v>
      </c>
      <c r="U2197">
        <v>-0.2442627</v>
      </c>
      <c r="V2197">
        <v>-8.3347770000000002E-2</v>
      </c>
      <c r="W2197">
        <v>5.546367E-3</v>
      </c>
      <c r="X2197">
        <v>0.99650510000000003</v>
      </c>
      <c r="Y2197">
        <v>-8.7524530000000003E-2</v>
      </c>
      <c r="Z2197">
        <v>-8.0355119999999996E-4</v>
      </c>
      <c r="AA2197">
        <v>0.99616210000000005</v>
      </c>
      <c r="AB2197">
        <v>35</v>
      </c>
      <c r="AC2197">
        <v>-63.488</v>
      </c>
      <c r="AD2197">
        <v>-1.0299036800000001</v>
      </c>
      <c r="AE2197">
        <v>-5.2173000000000203</v>
      </c>
      <c r="AF2197">
        <v>-5.6048455808168001</v>
      </c>
      <c r="AG2197">
        <v>-1.0299036800000001</v>
      </c>
      <c r="AH2197">
        <v>63.438249484058801</v>
      </c>
      <c r="AI2197">
        <v>90.926492142904706</v>
      </c>
      <c r="AJ2197">
        <v>95.049040718191407</v>
      </c>
      <c r="AK2197">
        <v>63.693692726804301</v>
      </c>
      <c r="AL2197">
        <v>89.682214954295404</v>
      </c>
      <c r="AM2197">
        <v>94.781095539747099</v>
      </c>
      <c r="AN2197">
        <v>1.0000000136384399</v>
      </c>
    </row>
    <row r="2198" spans="1:40" x14ac:dyDescent="0.25">
      <c r="A2198" t="str">
        <f>"20190312151540794"</f>
        <v>20190312151540794</v>
      </c>
      <c r="B2198" t="str">
        <f>"1552374940789689"</f>
        <v>1552374940789689</v>
      </c>
      <c r="C2198" t="s">
        <v>40</v>
      </c>
      <c r="D2198">
        <v>4.3909310000000001</v>
      </c>
      <c r="E2198">
        <v>0.4974152</v>
      </c>
      <c r="F2198" t="s">
        <v>50</v>
      </c>
      <c r="G2198">
        <v>-477.18180000000001</v>
      </c>
      <c r="H2198">
        <v>8.0000210000000002E-2</v>
      </c>
      <c r="I2198">
        <v>278.56549999999999</v>
      </c>
      <c r="J2198">
        <v>-410.1635</v>
      </c>
      <c r="K2198">
        <v>1.1099049999999999</v>
      </c>
      <c r="L2198">
        <v>284.1619</v>
      </c>
      <c r="M2198">
        <v>-0.99987559999999998</v>
      </c>
      <c r="N2198">
        <v>0</v>
      </c>
      <c r="O2198">
        <v>5.9070579999999998E-3</v>
      </c>
      <c r="P2198">
        <v>-0.99695929999999999</v>
      </c>
      <c r="Q2198">
        <v>-8.9923989999999999E-3</v>
      </c>
      <c r="R2198">
        <v>-7.7403840000000002E-2</v>
      </c>
      <c r="S2198">
        <v>-2.989471</v>
      </c>
      <c r="T2198">
        <v>-4.570842E-2</v>
      </c>
      <c r="U2198">
        <v>-0.24829100000000001</v>
      </c>
      <c r="V2198">
        <v>-8.3294530000000006E-2</v>
      </c>
      <c r="W2198">
        <v>5.5468430000000001E-3</v>
      </c>
      <c r="X2198">
        <v>0.9965096</v>
      </c>
      <c r="Y2198">
        <v>-8.8645169999999995E-2</v>
      </c>
      <c r="Z2198">
        <v>-7.6665139999999995E-4</v>
      </c>
      <c r="AA2198">
        <v>0.99606300000000003</v>
      </c>
      <c r="AB2198">
        <v>34</v>
      </c>
      <c r="AC2198">
        <v>-67.018299999999996</v>
      </c>
      <c r="AD2198">
        <v>-1.02990479</v>
      </c>
      <c r="AE2198">
        <v>-5.5964000000000098</v>
      </c>
      <c r="AF2198">
        <v>-5.9908206712422896</v>
      </c>
      <c r="AG2198">
        <v>-1.02990479</v>
      </c>
      <c r="AH2198">
        <v>66.968362932313198</v>
      </c>
      <c r="AI2198">
        <v>90.877576994231006</v>
      </c>
      <c r="AJ2198">
        <v>95.111928450703104</v>
      </c>
      <c r="AK2198">
        <v>67.243678290419794</v>
      </c>
      <c r="AL2198">
        <v>89.6821876972637</v>
      </c>
      <c r="AM2198">
        <v>94.778034189800593</v>
      </c>
      <c r="AN2198">
        <v>1.00000006454367</v>
      </c>
    </row>
    <row r="2199" spans="1:40" x14ac:dyDescent="0.25">
      <c r="A2199" t="str">
        <f>"20190312151540815"</f>
        <v>20190312151540815</v>
      </c>
      <c r="B2199" t="str">
        <f>"1552374940809822"</f>
        <v>1552374940809822</v>
      </c>
      <c r="C2199" t="s">
        <v>40</v>
      </c>
      <c r="D2199">
        <v>4.4032589999999896</v>
      </c>
      <c r="E2199">
        <v>0.4971119</v>
      </c>
      <c r="F2199" t="s">
        <v>50</v>
      </c>
      <c r="G2199">
        <v>-489.10750000000002</v>
      </c>
      <c r="H2199" s="1">
        <v>2.6279580000000002E-6</v>
      </c>
      <c r="I2199">
        <v>277.47710000000001</v>
      </c>
      <c r="J2199">
        <v>-410.50319999999999</v>
      </c>
      <c r="K2199">
        <v>1.1099049999999999</v>
      </c>
      <c r="L2199">
        <v>284.16370000000001</v>
      </c>
      <c r="M2199">
        <v>-0.99987700000000002</v>
      </c>
      <c r="N2199">
        <v>0</v>
      </c>
      <c r="O2199">
        <v>5.6869249999999998E-3</v>
      </c>
      <c r="P2199">
        <v>-0.99693509999999996</v>
      </c>
      <c r="Q2199">
        <v>-8.8501269999999993E-3</v>
      </c>
      <c r="R2199">
        <v>-7.7731350000000005E-2</v>
      </c>
      <c r="S2199">
        <v>-2.9891359999999998</v>
      </c>
      <c r="T2199">
        <v>-4.202533E-2</v>
      </c>
      <c r="U2199">
        <v>-0.25311280000000003</v>
      </c>
      <c r="V2199">
        <v>-8.3402820000000003E-2</v>
      </c>
      <c r="W2199">
        <v>5.6851239999999997E-3</v>
      </c>
      <c r="X2199">
        <v>0.99649969999999999</v>
      </c>
      <c r="Y2199">
        <v>-9.0032119999999993E-2</v>
      </c>
      <c r="Z2199">
        <v>-7.1155610000000005E-4</v>
      </c>
      <c r="AA2199">
        <v>0.99593860000000001</v>
      </c>
      <c r="AB2199">
        <v>34</v>
      </c>
      <c r="AC2199">
        <v>-78.604299999999995</v>
      </c>
      <c r="AD2199">
        <v>-1.10990237204199</v>
      </c>
      <c r="AE2199">
        <v>-6.6865999999999897</v>
      </c>
      <c r="AF2199">
        <v>-7.1321445918439599</v>
      </c>
      <c r="AG2199">
        <v>-1.10990237204199</v>
      </c>
      <c r="AH2199">
        <v>78.549449879449995</v>
      </c>
      <c r="AI2199">
        <v>90.806218410288494</v>
      </c>
      <c r="AJ2199">
        <v>95.188124399036397</v>
      </c>
      <c r="AK2199">
        <v>78.880386954671195</v>
      </c>
      <c r="AL2199">
        <v>89.674264634620997</v>
      </c>
      <c r="AM2199">
        <v>94.784264536506598</v>
      </c>
      <c r="AN2199">
        <v>1.0000000015594599</v>
      </c>
    </row>
    <row r="2200" spans="1:40" x14ac:dyDescent="0.25">
      <c r="A2200" t="str">
        <f>"20190312151540838"</f>
        <v>20190312151540838</v>
      </c>
      <c r="B2200" t="str">
        <f>"1552374940829338"</f>
        <v>1552374940829338</v>
      </c>
      <c r="C2200" t="s">
        <v>40</v>
      </c>
      <c r="D2200">
        <v>4.907349</v>
      </c>
      <c r="E2200">
        <v>0.49685699999999999</v>
      </c>
      <c r="F2200" t="s">
        <v>50</v>
      </c>
      <c r="G2200">
        <v>-496.90370000000001</v>
      </c>
      <c r="H2200" s="1">
        <v>1.7982249999999901E-6</v>
      </c>
      <c r="I2200">
        <v>276.75080000000003</v>
      </c>
      <c r="J2200">
        <v>-410.8426</v>
      </c>
      <c r="K2200">
        <v>1.109907</v>
      </c>
      <c r="L2200">
        <v>284.16539999999998</v>
      </c>
      <c r="M2200">
        <v>-0.99987820000000005</v>
      </c>
      <c r="N2200">
        <v>0</v>
      </c>
      <c r="O2200">
        <v>5.4677409999999999E-3</v>
      </c>
      <c r="P2200">
        <v>-0.99692409999999998</v>
      </c>
      <c r="Q2200">
        <v>-8.5904599999999994E-3</v>
      </c>
      <c r="R2200">
        <v>-7.7898410000000001E-2</v>
      </c>
      <c r="S2200">
        <v>-2.9888919999999999</v>
      </c>
      <c r="T2200">
        <v>-3.8395400000000003E-2</v>
      </c>
      <c r="U2200">
        <v>-0.25643919999999998</v>
      </c>
      <c r="V2200">
        <v>-8.335186E-2</v>
      </c>
      <c r="W2200">
        <v>5.9411809999999898E-3</v>
      </c>
      <c r="X2200">
        <v>0.99650249999999996</v>
      </c>
      <c r="Y2200">
        <v>-9.0922509999999998E-2</v>
      </c>
      <c r="Z2200">
        <v>-6.5302060000000002E-4</v>
      </c>
      <c r="AA2200">
        <v>0.99585780000000002</v>
      </c>
      <c r="AB2200">
        <v>34</v>
      </c>
      <c r="AC2200">
        <v>-86.061099999999996</v>
      </c>
      <c r="AD2200">
        <v>-1.109905201775</v>
      </c>
      <c r="AE2200">
        <v>-7.4145999999999503</v>
      </c>
      <c r="AF2200">
        <v>-7.8837976185443202</v>
      </c>
      <c r="AG2200">
        <v>-1.109905201775</v>
      </c>
      <c r="AH2200">
        <v>86.005068411026997</v>
      </c>
      <c r="AI2200">
        <v>90.736280926675505</v>
      </c>
      <c r="AJ2200">
        <v>95.237475855980506</v>
      </c>
      <c r="AK2200">
        <v>86.372784757888496</v>
      </c>
      <c r="AL2200">
        <v>89.659593411437996</v>
      </c>
      <c r="AM2200">
        <v>94.781341484839999</v>
      </c>
      <c r="AN2200">
        <v>1.0000000313516899</v>
      </c>
    </row>
    <row r="2201" spans="1:40" x14ac:dyDescent="0.25">
      <c r="A2201" t="str">
        <f>"20190312151540859"</f>
        <v>20190312151540859</v>
      </c>
      <c r="B2201" t="str">
        <f>"1552374940849834"</f>
        <v>1552374940849834</v>
      </c>
      <c r="C2201" t="s">
        <v>40</v>
      </c>
      <c r="D2201">
        <v>4.4013099999999996</v>
      </c>
      <c r="E2201">
        <v>0.49664849999999999</v>
      </c>
      <c r="F2201" t="s">
        <v>50</v>
      </c>
      <c r="G2201">
        <v>-499.96039999999999</v>
      </c>
      <c r="H2201">
        <v>5.2686070000000002E-2</v>
      </c>
      <c r="I2201">
        <v>276.44600000000003</v>
      </c>
      <c r="J2201">
        <v>-411.185</v>
      </c>
      <c r="K2201">
        <v>1.1099079999999999</v>
      </c>
      <c r="L2201">
        <v>284.16699999999997</v>
      </c>
      <c r="M2201">
        <v>-0.99987950000000003</v>
      </c>
      <c r="N2201">
        <v>0</v>
      </c>
      <c r="O2201">
        <v>5.2463559999999998E-3</v>
      </c>
      <c r="P2201">
        <v>-0.99688339999999998</v>
      </c>
      <c r="Q2201">
        <v>-8.5396150000000004E-3</v>
      </c>
      <c r="R2201">
        <v>-7.8428449999999997E-2</v>
      </c>
      <c r="S2201">
        <v>-2.9886780000000002</v>
      </c>
      <c r="T2201">
        <v>-3.5455229999999997E-2</v>
      </c>
      <c r="U2201">
        <v>-0.25888060000000002</v>
      </c>
      <c r="V2201">
        <v>-8.3660670000000006E-2</v>
      </c>
      <c r="W2201">
        <v>5.9879099999999999E-3</v>
      </c>
      <c r="X2201">
        <v>0.99647629999999998</v>
      </c>
      <c r="Y2201">
        <v>-9.1516700000000006E-2</v>
      </c>
      <c r="Z2201">
        <v>-6.0393610000000005E-4</v>
      </c>
      <c r="AA2201">
        <v>0.99580340000000001</v>
      </c>
      <c r="AB2201">
        <v>34</v>
      </c>
      <c r="AC2201">
        <v>-88.775399999999905</v>
      </c>
      <c r="AD2201">
        <v>-1.0572219300000001</v>
      </c>
      <c r="AE2201">
        <v>-7.7210000000000596</v>
      </c>
      <c r="AF2201">
        <v>-8.1855386057695405</v>
      </c>
      <c r="AG2201">
        <v>-1.0572219300000001</v>
      </c>
      <c r="AH2201">
        <v>88.721178302426907</v>
      </c>
      <c r="AI2201">
        <v>90.679830340530799</v>
      </c>
      <c r="AJ2201">
        <v>95.271265031830893</v>
      </c>
      <c r="AK2201">
        <v>89.104254891934502</v>
      </c>
      <c r="AL2201">
        <v>89.6569159750957</v>
      </c>
      <c r="AM2201">
        <v>94.799098866712697</v>
      </c>
      <c r="AN2201">
        <v>0.99999998961635295</v>
      </c>
    </row>
    <row r="2202" spans="1:40" x14ac:dyDescent="0.25">
      <c r="A2202" t="str">
        <f>"20190312151540883"</f>
        <v>20190312151540883</v>
      </c>
      <c r="B2202" t="str">
        <f>"1552374940880090"</f>
        <v>1552374940880090</v>
      </c>
      <c r="C2202" t="s">
        <v>40</v>
      </c>
      <c r="D2202">
        <v>4.6661080000000004</v>
      </c>
      <c r="E2202">
        <v>0.49633159999999998</v>
      </c>
      <c r="F2202" t="s">
        <v>50</v>
      </c>
      <c r="G2202">
        <v>-503.86169999999998</v>
      </c>
      <c r="H2202">
        <v>8.0000169999999995E-2</v>
      </c>
      <c r="I2202">
        <v>276.03480000000002</v>
      </c>
      <c r="J2202">
        <v>-411.53</v>
      </c>
      <c r="K2202">
        <v>1.109918</v>
      </c>
      <c r="L2202">
        <v>284.16860000000003</v>
      </c>
      <c r="M2202">
        <v>-0.99988060000000001</v>
      </c>
      <c r="N2202">
        <v>0</v>
      </c>
      <c r="O2202">
        <v>5.0232460000000003E-3</v>
      </c>
      <c r="P2202">
        <v>-0.99685860000000004</v>
      </c>
      <c r="Q2202">
        <v>-8.0996269999999999E-3</v>
      </c>
      <c r="R2202">
        <v>-7.8787560000000006E-2</v>
      </c>
      <c r="S2202">
        <v>-2.9885250000000001</v>
      </c>
      <c r="T2202">
        <v>-3.3211230000000001E-2</v>
      </c>
      <c r="U2202">
        <v>-0.26223750000000001</v>
      </c>
      <c r="V2202">
        <v>-8.3797300000000005E-2</v>
      </c>
      <c r="W2202">
        <v>6.4237319999999997E-3</v>
      </c>
      <c r="X2202">
        <v>0.99646210000000002</v>
      </c>
      <c r="Y2202">
        <v>-9.2409729999999995E-2</v>
      </c>
      <c r="Z2202">
        <v>-5.6819339999999996E-4</v>
      </c>
      <c r="AA2202">
        <v>0.99572090000000002</v>
      </c>
      <c r="AB2202">
        <v>34</v>
      </c>
      <c r="AC2202">
        <v>-92.331699999999998</v>
      </c>
      <c r="AD2202">
        <v>-1.02991783</v>
      </c>
      <c r="AE2202">
        <v>-8.1338000000000008</v>
      </c>
      <c r="AF2202">
        <v>-8.5964903599941902</v>
      </c>
      <c r="AG2202">
        <v>-1.02991783</v>
      </c>
      <c r="AH2202">
        <v>92.2782792003309</v>
      </c>
      <c r="AI2202">
        <v>90.636695042791004</v>
      </c>
      <c r="AJ2202">
        <v>95.322218344235793</v>
      </c>
      <c r="AK2202">
        <v>92.683554039647404</v>
      </c>
      <c r="AL2202">
        <v>89.631944730601504</v>
      </c>
      <c r="AM2202">
        <v>94.806967974395604</v>
      </c>
      <c r="AN2202">
        <v>0.99999998427825298</v>
      </c>
    </row>
    <row r="2203" spans="1:40" x14ac:dyDescent="0.25">
      <c r="A2203" t="str">
        <f>"20190312151540904"</f>
        <v>20190312151540904</v>
      </c>
      <c r="B2203" t="str">
        <f>"1552374940899610"</f>
        <v>1552374940899610</v>
      </c>
      <c r="C2203" t="s">
        <v>40</v>
      </c>
      <c r="D2203">
        <v>4.4359279999999996</v>
      </c>
      <c r="E2203">
        <v>0.49616080000000001</v>
      </c>
      <c r="F2203" t="s">
        <v>55</v>
      </c>
      <c r="G2203">
        <v>-512.8252</v>
      </c>
      <c r="H2203">
        <v>0.1025297</v>
      </c>
      <c r="I2203">
        <v>275.16340000000002</v>
      </c>
      <c r="J2203">
        <v>-411.87240000000003</v>
      </c>
      <c r="K2203">
        <v>1.109923</v>
      </c>
      <c r="L2203">
        <v>284.17009999999999</v>
      </c>
      <c r="M2203">
        <v>-0.99988180000000004</v>
      </c>
      <c r="N2203">
        <v>0</v>
      </c>
      <c r="O2203">
        <v>4.8016839999999996E-3</v>
      </c>
      <c r="P2203">
        <v>-0.99687519999999996</v>
      </c>
      <c r="Q2203">
        <v>-8.0427250000000006E-3</v>
      </c>
      <c r="R2203">
        <v>-7.8582369999999999E-2</v>
      </c>
      <c r="S2203">
        <v>-2.9882200000000001</v>
      </c>
      <c r="T2203">
        <v>-2.9715660000000001E-2</v>
      </c>
      <c r="U2203">
        <v>-0.26565549999999999</v>
      </c>
      <c r="V2203">
        <v>-8.3372000000000002E-2</v>
      </c>
      <c r="W2203">
        <v>6.4780899999999997E-3</v>
      </c>
      <c r="X2203">
        <v>0.99649750000000004</v>
      </c>
      <c r="Y2203">
        <v>-9.3329179999999998E-2</v>
      </c>
      <c r="Z2203">
        <v>-5.1078199999999999E-4</v>
      </c>
      <c r="AA2203">
        <v>0.99563520000000005</v>
      </c>
      <c r="AB2203">
        <v>34</v>
      </c>
      <c r="AC2203">
        <v>-100.952799999999</v>
      </c>
      <c r="AD2203">
        <v>-1.0073932999999999</v>
      </c>
      <c r="AE2203">
        <v>-9.0066999999999595</v>
      </c>
      <c r="AF2203">
        <v>-9.4904537319240596</v>
      </c>
      <c r="AG2203">
        <v>-1.0073932999999999</v>
      </c>
      <c r="AH2203">
        <v>100.89841613674101</v>
      </c>
      <c r="AI2203">
        <v>90.569521788818804</v>
      </c>
      <c r="AJ2203">
        <v>95.373402608335397</v>
      </c>
      <c r="AK2203">
        <v>101.348773708425</v>
      </c>
      <c r="AL2203">
        <v>89.628830210526999</v>
      </c>
      <c r="AM2203">
        <v>94.782515309731295</v>
      </c>
      <c r="AN2203">
        <v>1.0000000617701399</v>
      </c>
    </row>
    <row r="2204" spans="1:40" x14ac:dyDescent="0.25">
      <c r="A2204" t="str">
        <f>"20190312151540927"</f>
        <v>20190312151540927</v>
      </c>
      <c r="B2204" t="str">
        <f>"1552374940919716"</f>
        <v>1552374940919716</v>
      </c>
      <c r="C2204" t="s">
        <v>40</v>
      </c>
      <c r="D2204">
        <v>4.451892</v>
      </c>
      <c r="E2204">
        <v>0.49595879999999998</v>
      </c>
      <c r="F2204" t="s">
        <v>55</v>
      </c>
      <c r="G2204">
        <v>-512.8252</v>
      </c>
      <c r="H2204">
        <v>0.1514344</v>
      </c>
      <c r="I2204">
        <v>275.16329999999999</v>
      </c>
      <c r="J2204">
        <v>-412.20929999999998</v>
      </c>
      <c r="K2204">
        <v>1.109923</v>
      </c>
      <c r="L2204">
        <v>284.17149999999998</v>
      </c>
      <c r="M2204">
        <v>-0.99988290000000002</v>
      </c>
      <c r="N2204">
        <v>0</v>
      </c>
      <c r="O2204">
        <v>4.583401E-3</v>
      </c>
      <c r="P2204">
        <v>-0.99687079999999995</v>
      </c>
      <c r="Q2204">
        <v>-7.7251250000000002E-3</v>
      </c>
      <c r="R2204">
        <v>-7.8672359999999997E-2</v>
      </c>
      <c r="S2204">
        <v>-2.9881899999999999</v>
      </c>
      <c r="T2204">
        <v>-2.8368709999999998E-2</v>
      </c>
      <c r="U2204">
        <v>-0.26660159999999899</v>
      </c>
      <c r="V2204">
        <v>-8.3244009999999993E-2</v>
      </c>
      <c r="W2204">
        <v>6.7923189999999998E-3</v>
      </c>
      <c r="X2204">
        <v>0.996506</v>
      </c>
      <c r="Y2204">
        <v>-9.3425880000000003E-2</v>
      </c>
      <c r="Z2204">
        <v>-4.8601809999999999E-4</v>
      </c>
      <c r="AA2204">
        <v>0.99562609999999996</v>
      </c>
      <c r="AB2204">
        <v>34</v>
      </c>
      <c r="AC2204">
        <v>-100.6159</v>
      </c>
      <c r="AD2204">
        <v>-0.95848860000000002</v>
      </c>
      <c r="AE2204">
        <v>-9.0081999999999791</v>
      </c>
      <c r="AF2204">
        <v>-9.4684651201039092</v>
      </c>
      <c r="AG2204">
        <v>-0.95848860000000002</v>
      </c>
      <c r="AH2204">
        <v>100.564496794946</v>
      </c>
      <c r="AI2204">
        <v>90.543670009142403</v>
      </c>
      <c r="AJ2204">
        <v>95.378722276396402</v>
      </c>
      <c r="AK2204">
        <v>101.013803748535</v>
      </c>
      <c r="AL2204">
        <v>89.610825777950296</v>
      </c>
      <c r="AM2204">
        <v>94.775166780798301</v>
      </c>
      <c r="AN2204">
        <v>0.99999995441713696</v>
      </c>
    </row>
    <row r="2205" spans="1:40" x14ac:dyDescent="0.25">
      <c r="A2205" t="str">
        <f>"20190312151540950"</f>
        <v>20190312151540950</v>
      </c>
      <c r="B2205" t="str">
        <f>"1552374940939236"</f>
        <v>1552374940939236</v>
      </c>
      <c r="C2205" t="s">
        <v>40</v>
      </c>
      <c r="D2205">
        <v>4.4937839999999998</v>
      </c>
      <c r="E2205">
        <v>0.4957376</v>
      </c>
      <c r="F2205" t="s">
        <v>55</v>
      </c>
      <c r="G2205">
        <v>-512.82529999999997</v>
      </c>
      <c r="H2205">
        <v>0.2336385</v>
      </c>
      <c r="I2205">
        <v>275.1377</v>
      </c>
      <c r="J2205">
        <v>-412.56180000000001</v>
      </c>
      <c r="K2205">
        <v>1.1099209999999999</v>
      </c>
      <c r="L2205">
        <v>284.17290000000003</v>
      </c>
      <c r="M2205">
        <v>-0.999884</v>
      </c>
      <c r="N2205">
        <v>0</v>
      </c>
      <c r="O2205">
        <v>4.3548689999999999E-3</v>
      </c>
      <c r="P2205">
        <v>-0.99685190000000001</v>
      </c>
      <c r="Q2205">
        <v>-7.6902949999999998E-3</v>
      </c>
      <c r="R2205">
        <v>-7.8913819999999996E-2</v>
      </c>
      <c r="S2205">
        <v>-2.9880369999999998</v>
      </c>
      <c r="T2205">
        <v>-2.6020999999999999E-2</v>
      </c>
      <c r="U2205">
        <v>-0.26828000000000002</v>
      </c>
      <c r="V2205">
        <v>-8.3258250000000006E-2</v>
      </c>
      <c r="W2205">
        <v>6.8228359999999997E-3</v>
      </c>
      <c r="X2205">
        <v>0.99650470000000002</v>
      </c>
      <c r="Y2205">
        <v>-9.3758320000000006E-2</v>
      </c>
      <c r="Z2205">
        <v>-4.4526789999999999E-4</v>
      </c>
      <c r="AA2205">
        <v>0.99559489999999995</v>
      </c>
      <c r="AB2205">
        <v>34</v>
      </c>
      <c r="AC2205">
        <v>-100.263499999999</v>
      </c>
      <c r="AD2205">
        <v>-0.87628249999999897</v>
      </c>
      <c r="AE2205">
        <v>-9.0352000000000299</v>
      </c>
      <c r="AF2205">
        <v>-9.4710776156887508</v>
      </c>
      <c r="AG2205">
        <v>-0.87628249999999897</v>
      </c>
      <c r="AH2205">
        <v>100.21560453628</v>
      </c>
      <c r="AI2205">
        <v>90.498757676863207</v>
      </c>
      <c r="AJ2205">
        <v>95.3988178668654</v>
      </c>
      <c r="AK2205">
        <v>100.665965324902</v>
      </c>
      <c r="AL2205">
        <v>89.609077280277702</v>
      </c>
      <c r="AM2205">
        <v>94.775986060324598</v>
      </c>
      <c r="AN2205">
        <v>1.0000000522031101</v>
      </c>
    </row>
    <row r="2206" spans="1:40" x14ac:dyDescent="0.25">
      <c r="A2206" t="str">
        <f>"20190312151540973"</f>
        <v>20190312151540973</v>
      </c>
      <c r="B2206" t="str">
        <f>"1552374940959732"</f>
        <v>1552374940959732</v>
      </c>
      <c r="C2206" t="s">
        <v>40</v>
      </c>
      <c r="D2206">
        <v>4.4751240000000001</v>
      </c>
      <c r="E2206">
        <v>0.49535810000000002</v>
      </c>
      <c r="F2206" t="s">
        <v>55</v>
      </c>
      <c r="G2206">
        <v>-512.82529999999997</v>
      </c>
      <c r="H2206">
        <v>0.2372203</v>
      </c>
      <c r="I2206">
        <v>275.0883</v>
      </c>
      <c r="J2206">
        <v>-412.90390000000002</v>
      </c>
      <c r="K2206">
        <v>1.1099220000000001</v>
      </c>
      <c r="L2206">
        <v>284.17419999999998</v>
      </c>
      <c r="M2206">
        <v>-0.99988489999999997</v>
      </c>
      <c r="N2206">
        <v>0</v>
      </c>
      <c r="O2206">
        <v>4.1335429999999999E-3</v>
      </c>
      <c r="P2206">
        <v>-0.99683560000000004</v>
      </c>
      <c r="Q2206">
        <v>-7.3718309999999997E-3</v>
      </c>
      <c r="R2206">
        <v>-7.9147709999999996E-2</v>
      </c>
      <c r="S2206">
        <v>-2.987854</v>
      </c>
      <c r="T2206">
        <v>-2.6004079999999999E-2</v>
      </c>
      <c r="U2206">
        <v>-0.2707214</v>
      </c>
      <c r="V2206">
        <v>-8.327089E-2</v>
      </c>
      <c r="W2206">
        <v>7.1380169999999904E-3</v>
      </c>
      <c r="X2206">
        <v>0.99650139999999998</v>
      </c>
      <c r="Y2206">
        <v>-9.4350320000000001E-2</v>
      </c>
      <c r="Z2206">
        <v>-4.456374E-4</v>
      </c>
      <c r="AA2206">
        <v>0.9955389</v>
      </c>
      <c r="AB2206">
        <v>34</v>
      </c>
      <c r="AC2206">
        <v>-99.921399999999906</v>
      </c>
      <c r="AD2206">
        <v>-0.87270169999999903</v>
      </c>
      <c r="AE2206">
        <v>-9.0858999999999792</v>
      </c>
      <c r="AF2206">
        <v>-9.4981771944224906</v>
      </c>
      <c r="AG2206">
        <v>-0.87270169999999903</v>
      </c>
      <c r="AH2206">
        <v>99.875429125888104</v>
      </c>
      <c r="AI2206">
        <v>90.498383640868298</v>
      </c>
      <c r="AJ2206">
        <v>95.432504355205197</v>
      </c>
      <c r="AK2206">
        <v>100.32984760954299</v>
      </c>
      <c r="AL2206">
        <v>89.591018285401603</v>
      </c>
      <c r="AM2206">
        <v>94.776723525660898</v>
      </c>
      <c r="AN2206">
        <v>1.00000001630502</v>
      </c>
    </row>
    <row r="2207" spans="1:40" x14ac:dyDescent="0.25">
      <c r="A2207" t="str">
        <f>"20190312151540995"</f>
        <v>20190312151540995</v>
      </c>
      <c r="B2207" t="str">
        <f>"1552374940989988"</f>
        <v>1552374940989988</v>
      </c>
      <c r="C2207" t="s">
        <v>40</v>
      </c>
      <c r="D2207">
        <v>4.4761600000000001</v>
      </c>
      <c r="E2207">
        <v>0.49481560000000002</v>
      </c>
      <c r="F2207" t="s">
        <v>55</v>
      </c>
      <c r="G2207">
        <v>-512.82529999999997</v>
      </c>
      <c r="H2207">
        <v>0.268183</v>
      </c>
      <c r="I2207">
        <v>274.99509999999998</v>
      </c>
      <c r="J2207">
        <v>-413.24149999999997</v>
      </c>
      <c r="K2207">
        <v>1.109923</v>
      </c>
      <c r="L2207">
        <v>284.17540000000002</v>
      </c>
      <c r="M2207">
        <v>-0.99988589999999999</v>
      </c>
      <c r="N2207">
        <v>0</v>
      </c>
      <c r="O2207">
        <v>3.9143659999999999E-3</v>
      </c>
      <c r="P2207">
        <v>-0.99678440000000001</v>
      </c>
      <c r="Q2207">
        <v>-7.9030699999999999E-3</v>
      </c>
      <c r="R2207">
        <v>-7.9741900000000004E-2</v>
      </c>
      <c r="S2207">
        <v>-2.987549</v>
      </c>
      <c r="T2207">
        <v>-2.5164720000000002E-2</v>
      </c>
      <c r="U2207">
        <v>-0.27444459999999998</v>
      </c>
      <c r="V2207">
        <v>-8.3646100000000001E-2</v>
      </c>
      <c r="W2207">
        <v>6.6020649999999998E-3</v>
      </c>
      <c r="X2207">
        <v>0.99647370000000002</v>
      </c>
      <c r="Y2207">
        <v>-9.5371780000000003E-2</v>
      </c>
      <c r="Z2207">
        <v>-4.3372350000000002E-4</v>
      </c>
      <c r="AA2207">
        <v>0.99544160000000004</v>
      </c>
      <c r="AB2207">
        <v>34</v>
      </c>
      <c r="AC2207">
        <v>-99.583799999999997</v>
      </c>
      <c r="AD2207">
        <v>-0.84173999999999904</v>
      </c>
      <c r="AE2207">
        <v>-9.1803000000000399</v>
      </c>
      <c r="AF2207">
        <v>-9.5694006538726608</v>
      </c>
      <c r="AG2207">
        <v>-0.84173999999999904</v>
      </c>
      <c r="AH2207">
        <v>99.540046211415898</v>
      </c>
      <c r="AI2207">
        <v>90.482275066365503</v>
      </c>
      <c r="AJ2207">
        <v>95.491322119088196</v>
      </c>
      <c r="AK2207">
        <v>100.002513742769</v>
      </c>
      <c r="AL2207">
        <v>89.621726808832307</v>
      </c>
      <c r="AM2207">
        <v>94.798279439117394</v>
      </c>
      <c r="AN2207">
        <v>1.0000000460495799</v>
      </c>
    </row>
    <row r="2208" spans="1:40" x14ac:dyDescent="0.25">
      <c r="A2208" t="str">
        <f>"20190312151541016"</f>
        <v>20190312151541016</v>
      </c>
      <c r="B2208" t="str">
        <f>"1552374941009489"</f>
        <v>1552374941009489</v>
      </c>
      <c r="C2208" t="s">
        <v>40</v>
      </c>
      <c r="D2208">
        <v>4.4574689999999997</v>
      </c>
      <c r="E2208">
        <v>0.49448009999999898</v>
      </c>
      <c r="F2208" t="s">
        <v>55</v>
      </c>
      <c r="G2208">
        <v>-512.8252</v>
      </c>
      <c r="H2208">
        <v>0.19598979999999999</v>
      </c>
      <c r="I2208">
        <v>274.82319999999999</v>
      </c>
      <c r="J2208">
        <v>-413.56630000000001</v>
      </c>
      <c r="K2208">
        <v>1.1099239999999999</v>
      </c>
      <c r="L2208">
        <v>284.1764</v>
      </c>
      <c r="M2208">
        <v>-0.99988679999999996</v>
      </c>
      <c r="N2208">
        <v>0</v>
      </c>
      <c r="O2208">
        <v>3.7038890000000001E-3</v>
      </c>
      <c r="P2208">
        <v>-0.99673339999999999</v>
      </c>
      <c r="Q2208">
        <v>-8.1837070000000001E-3</v>
      </c>
      <c r="R2208">
        <v>-8.0349210000000004E-2</v>
      </c>
      <c r="S2208">
        <v>-2.9870299999999999</v>
      </c>
      <c r="T2208">
        <v>-2.7411100000000001E-2</v>
      </c>
      <c r="U2208">
        <v>-0.28051759999999998</v>
      </c>
      <c r="V2208">
        <v>-8.4043960000000001E-2</v>
      </c>
      <c r="W2208">
        <v>6.3173989999999996E-3</v>
      </c>
      <c r="X2208">
        <v>0.99644200000000005</v>
      </c>
      <c r="Y2208">
        <v>-9.7183660000000005E-2</v>
      </c>
      <c r="Z2208">
        <v>-4.7884410000000001E-4</v>
      </c>
      <c r="AA2208">
        <v>0.9952664</v>
      </c>
      <c r="AB2208">
        <v>34</v>
      </c>
      <c r="AC2208">
        <v>-99.258899999999898</v>
      </c>
      <c r="AD2208">
        <v>-0.91393420000000003</v>
      </c>
      <c r="AE2208">
        <v>-9.35320000000001</v>
      </c>
      <c r="AF2208">
        <v>-9.7200020716528606</v>
      </c>
      <c r="AG2208">
        <v>-0.91393420000000003</v>
      </c>
      <c r="AH2208">
        <v>99.215234708600406</v>
      </c>
      <c r="AI2208">
        <v>90.525258165657405</v>
      </c>
      <c r="AJ2208">
        <v>95.595345819874296</v>
      </c>
      <c r="AK2208">
        <v>99.694415662450893</v>
      </c>
      <c r="AL2208">
        <v>89.638037284201701</v>
      </c>
      <c r="AM2208">
        <v>94.821147632669494</v>
      </c>
      <c r="AN2208">
        <v>0.99999997805330298</v>
      </c>
    </row>
    <row r="2209" spans="1:40" x14ac:dyDescent="0.25">
      <c r="A2209" t="str">
        <f>"20190312151541038"</f>
        <v>20190312151541038</v>
      </c>
      <c r="B2209" t="str">
        <f>"1552374941029981"</f>
        <v>1552374941029981</v>
      </c>
      <c r="C2209" t="s">
        <v>40</v>
      </c>
      <c r="D2209">
        <v>4.4689079999999999</v>
      </c>
      <c r="E2209">
        <v>0.49412729999999999</v>
      </c>
      <c r="F2209" t="s">
        <v>55</v>
      </c>
      <c r="G2209">
        <v>-512.8252</v>
      </c>
      <c r="H2209">
        <v>0.15324689999999999</v>
      </c>
      <c r="I2209">
        <v>274.7002</v>
      </c>
      <c r="J2209">
        <v>-413.90410000000003</v>
      </c>
      <c r="K2209">
        <v>1.109926</v>
      </c>
      <c r="L2209">
        <v>284.17739999999998</v>
      </c>
      <c r="M2209">
        <v>-0.99988759999999999</v>
      </c>
      <c r="N2209">
        <v>0</v>
      </c>
      <c r="O2209">
        <v>3.4847139999999999E-3</v>
      </c>
      <c r="P2209">
        <v>-0.99670650000000005</v>
      </c>
      <c r="Q2209">
        <v>-8.0151300000000005E-3</v>
      </c>
      <c r="R2209">
        <v>-8.0696909999999997E-2</v>
      </c>
      <c r="S2209">
        <v>-2.9865719999999998</v>
      </c>
      <c r="T2209">
        <v>-2.8782729999999999E-2</v>
      </c>
      <c r="U2209">
        <v>-0.28512569999999998</v>
      </c>
      <c r="V2209">
        <v>-8.4173109999999995E-2</v>
      </c>
      <c r="W2209">
        <v>6.4819040000000001E-3</v>
      </c>
      <c r="X2209">
        <v>0.99643000000000004</v>
      </c>
      <c r="Y2209">
        <v>-9.8501149999999996E-2</v>
      </c>
      <c r="Z2209">
        <v>-5.0707029999999998E-4</v>
      </c>
      <c r="AA2209">
        <v>0.99513680000000004</v>
      </c>
      <c r="AB2209">
        <v>34</v>
      </c>
      <c r="AC2209">
        <v>-98.921099999999896</v>
      </c>
      <c r="AD2209">
        <v>-0.95667909999999901</v>
      </c>
      <c r="AE2209">
        <v>-9.4771999999999803</v>
      </c>
      <c r="AF2209">
        <v>-9.8209806343276096</v>
      </c>
      <c r="AG2209">
        <v>-0.95667909999999901</v>
      </c>
      <c r="AH2209">
        <v>98.8783063622664</v>
      </c>
      <c r="AI2209">
        <v>90.551623511977695</v>
      </c>
      <c r="AJ2209">
        <v>95.672237370575601</v>
      </c>
      <c r="AK2209">
        <v>99.369443817455405</v>
      </c>
      <c r="AL2209">
        <v>89.628611633218298</v>
      </c>
      <c r="AM2209">
        <v>94.828579143723601</v>
      </c>
      <c r="AN2209">
        <v>0.99999993621326599</v>
      </c>
    </row>
    <row r="2210" spans="1:40" x14ac:dyDescent="0.25">
      <c r="A2210" t="str">
        <f>"20190312151541061"</f>
        <v>20190312151541061</v>
      </c>
      <c r="B2210" t="str">
        <f>"1552374941049501"</f>
        <v>1552374941049501</v>
      </c>
      <c r="C2210" t="s">
        <v>40</v>
      </c>
      <c r="D2210">
        <v>4.4640959999999996</v>
      </c>
      <c r="E2210">
        <v>0.49378870000000002</v>
      </c>
      <c r="F2210" t="s">
        <v>55</v>
      </c>
      <c r="G2210">
        <v>-512.8252</v>
      </c>
      <c r="H2210">
        <v>0.1452938</v>
      </c>
      <c r="I2210">
        <v>274.60939999999999</v>
      </c>
      <c r="J2210">
        <v>-414.2516</v>
      </c>
      <c r="K2210">
        <v>1.1099270000000001</v>
      </c>
      <c r="L2210">
        <v>284.17849999999999</v>
      </c>
      <c r="M2210">
        <v>-0.99988840000000001</v>
      </c>
      <c r="N2210">
        <v>0</v>
      </c>
      <c r="O2210">
        <v>3.2590409999999998E-3</v>
      </c>
      <c r="P2210">
        <v>-0.99669430000000003</v>
      </c>
      <c r="Q2210">
        <v>-7.8264509999999999E-3</v>
      </c>
      <c r="R2210">
        <v>-8.0866579999999993E-2</v>
      </c>
      <c r="S2210">
        <v>-2.9863279999999999</v>
      </c>
      <c r="T2210">
        <v>-2.911878E-2</v>
      </c>
      <c r="U2210">
        <v>-0.28884890000000002</v>
      </c>
      <c r="V2210">
        <v>-8.4117890000000001E-2</v>
      </c>
      <c r="W2210">
        <v>6.666913E-3</v>
      </c>
      <c r="X2210">
        <v>0.99643349999999997</v>
      </c>
      <c r="Y2210">
        <v>-9.9513340000000006E-2</v>
      </c>
      <c r="Z2210">
        <v>-5.1572909999999996E-4</v>
      </c>
      <c r="AA2210">
        <v>0.99503609999999998</v>
      </c>
      <c r="AB2210">
        <v>34</v>
      </c>
      <c r="AC2210">
        <v>-98.573599999999999</v>
      </c>
      <c r="AD2210">
        <v>-0.96463319999999997</v>
      </c>
      <c r="AE2210">
        <v>-9.5690999999999899</v>
      </c>
      <c r="AF2210">
        <v>-9.8894005149550193</v>
      </c>
      <c r="AG2210">
        <v>-0.96463319999999997</v>
      </c>
      <c r="AH2210">
        <v>98.532539191909606</v>
      </c>
      <c r="AI2210">
        <v>90.558103745654904</v>
      </c>
      <c r="AJ2210">
        <v>95.731403190823997</v>
      </c>
      <c r="AK2210">
        <v>99.032277765185896</v>
      </c>
      <c r="AL2210">
        <v>89.618011190457807</v>
      </c>
      <c r="AM2210">
        <v>94.825409548881197</v>
      </c>
      <c r="AN2210">
        <v>0.99999999353462499</v>
      </c>
    </row>
    <row r="2211" spans="1:40" x14ac:dyDescent="0.25">
      <c r="A2211" t="str">
        <f>"20190312151541083"</f>
        <v>20190312151541083</v>
      </c>
      <c r="B2211" t="str">
        <f>"1552374941079757"</f>
        <v>1552374941079757</v>
      </c>
      <c r="C2211" t="s">
        <v>40</v>
      </c>
      <c r="D2211">
        <v>4.4383980000000003</v>
      </c>
      <c r="E2211">
        <v>0.49341620000000003</v>
      </c>
      <c r="F2211" t="s">
        <v>55</v>
      </c>
      <c r="G2211">
        <v>-512.8252</v>
      </c>
      <c r="H2211">
        <v>0.12513179999999999</v>
      </c>
      <c r="I2211">
        <v>274.52999999999997</v>
      </c>
      <c r="J2211">
        <v>-414.5822</v>
      </c>
      <c r="K2211">
        <v>1.1099239999999999</v>
      </c>
      <c r="L2211">
        <v>284.17930000000001</v>
      </c>
      <c r="M2211">
        <v>-0.99988909999999998</v>
      </c>
      <c r="N2211">
        <v>0</v>
      </c>
      <c r="O2211">
        <v>3.0446879999999998E-3</v>
      </c>
      <c r="P2211">
        <v>-0.9966796</v>
      </c>
      <c r="Q2211">
        <v>-7.9791089999999999E-3</v>
      </c>
      <c r="R2211">
        <v>-8.1033170000000002E-2</v>
      </c>
      <c r="S2211">
        <v>-2.9859619999999998</v>
      </c>
      <c r="T2211">
        <v>-2.9828670000000002E-2</v>
      </c>
      <c r="U2211">
        <v>-0.29226679999999999</v>
      </c>
      <c r="V2211">
        <v>-8.4070469999999994E-2</v>
      </c>
      <c r="W2211">
        <v>6.5109909999999998E-3</v>
      </c>
      <c r="X2211">
        <v>0.99643859999999995</v>
      </c>
      <c r="Y2211">
        <v>-0.10043970000000001</v>
      </c>
      <c r="Z2211">
        <v>-5.3081619999999999E-4</v>
      </c>
      <c r="AA2211">
        <v>0.99494300000000002</v>
      </c>
      <c r="AB2211">
        <v>34</v>
      </c>
      <c r="AC2211">
        <v>-98.242999999999995</v>
      </c>
      <c r="AD2211">
        <v>-0.98479220000000001</v>
      </c>
      <c r="AE2211">
        <v>-9.6493000000000393</v>
      </c>
      <c r="AF2211">
        <v>-9.9474163568507699</v>
      </c>
      <c r="AG2211">
        <v>-0.98479220000000001</v>
      </c>
      <c r="AH2211">
        <v>98.203388971424502</v>
      </c>
      <c r="AI2211">
        <v>90.571622961589696</v>
      </c>
      <c r="AJ2211">
        <v>95.783991679236905</v>
      </c>
      <c r="AK2211">
        <v>98.710822675766494</v>
      </c>
      <c r="AL2211">
        <v>89.626945081877594</v>
      </c>
      <c r="AM2211">
        <v>94.822677574637595</v>
      </c>
      <c r="AN2211">
        <v>1.00000006024988</v>
      </c>
    </row>
    <row r="2212" spans="1:40" x14ac:dyDescent="0.25">
      <c r="A2212" t="str">
        <f>"20190312151541106"</f>
        <v>20190312151541106</v>
      </c>
      <c r="B2212" t="str">
        <f>"1552374941099277"</f>
        <v>1552374941099277</v>
      </c>
      <c r="C2212" t="s">
        <v>40</v>
      </c>
      <c r="D2212">
        <v>4.4184799999999997</v>
      </c>
      <c r="E2212">
        <v>0.49321520000000002</v>
      </c>
      <c r="F2212" t="s">
        <v>55</v>
      </c>
      <c r="G2212">
        <v>-512.8252</v>
      </c>
      <c r="H2212">
        <v>9.9166099999999993E-2</v>
      </c>
      <c r="I2212">
        <v>274.44880000000001</v>
      </c>
      <c r="J2212">
        <v>-414.92380000000003</v>
      </c>
      <c r="K2212">
        <v>1.1099220000000001</v>
      </c>
      <c r="L2212">
        <v>284.18009999999998</v>
      </c>
      <c r="M2212">
        <v>-0.9998899</v>
      </c>
      <c r="N2212">
        <v>0</v>
      </c>
      <c r="O2212">
        <v>2.8228300000000001E-3</v>
      </c>
      <c r="P2212">
        <v>-0.99668020000000002</v>
      </c>
      <c r="Q2212">
        <v>-7.9072459999999997E-3</v>
      </c>
      <c r="R2212">
        <v>-8.1032560000000003E-2</v>
      </c>
      <c r="S2212">
        <v>-2.9856569999999998</v>
      </c>
      <c r="T2212">
        <v>-3.0714990000000001E-2</v>
      </c>
      <c r="U2212">
        <v>-0.29571530000000001</v>
      </c>
      <c r="V2212">
        <v>-8.3849019999999996E-2</v>
      </c>
      <c r="W2212">
        <v>6.5796539999999999E-3</v>
      </c>
      <c r="X2212">
        <v>0.99645669999999997</v>
      </c>
      <c r="Y2212">
        <v>-0.1013666</v>
      </c>
      <c r="Z2212">
        <v>-5.4909130000000003E-4</v>
      </c>
      <c r="AA2212">
        <v>0.99484899999999998</v>
      </c>
      <c r="AB2212">
        <v>34</v>
      </c>
      <c r="AC2212">
        <v>-97.901399999999896</v>
      </c>
      <c r="AD2212">
        <v>-1.0107558999999999</v>
      </c>
      <c r="AE2212">
        <v>-9.7312999999999708</v>
      </c>
      <c r="AF2212">
        <v>-10.0065933948545</v>
      </c>
      <c r="AG2212">
        <v>-1.0107558999999999</v>
      </c>
      <c r="AH2212">
        <v>97.863207993321893</v>
      </c>
      <c r="AI2212">
        <v>90.588675077111802</v>
      </c>
      <c r="AJ2212">
        <v>95.838250182714006</v>
      </c>
      <c r="AK2212">
        <v>98.378661393635099</v>
      </c>
      <c r="AL2212">
        <v>89.623010857105996</v>
      </c>
      <c r="AM2212">
        <v>94.809946880902402</v>
      </c>
      <c r="AN2212">
        <v>0.99999995248830298</v>
      </c>
    </row>
    <row r="2213" spans="1:40" x14ac:dyDescent="0.25">
      <c r="A2213" t="str">
        <f>"20190312151541128"</f>
        <v>20190312151541128</v>
      </c>
      <c r="B2213" t="str">
        <f>"1552374941119773"</f>
        <v>1552374941119773</v>
      </c>
      <c r="C2213" t="s">
        <v>40</v>
      </c>
      <c r="D2213">
        <v>4.3709210000000001</v>
      </c>
      <c r="E2213">
        <v>0.49296420000000002</v>
      </c>
      <c r="F2213" t="s">
        <v>55</v>
      </c>
      <c r="G2213">
        <v>-512.8252</v>
      </c>
      <c r="H2213">
        <v>7.4460799999999994E-2</v>
      </c>
      <c r="I2213">
        <v>274.435</v>
      </c>
      <c r="J2213">
        <v>-415.25290000000001</v>
      </c>
      <c r="K2213">
        <v>1.109923</v>
      </c>
      <c r="L2213">
        <v>284.18079999999998</v>
      </c>
      <c r="M2213">
        <v>-0.99989050000000002</v>
      </c>
      <c r="N2213">
        <v>0</v>
      </c>
      <c r="O2213">
        <v>2.609077E-3</v>
      </c>
      <c r="P2213">
        <v>-0.99666880000000002</v>
      </c>
      <c r="Q2213">
        <v>-8.0718960000000003E-3</v>
      </c>
      <c r="R2213">
        <v>-8.1156909999999999E-2</v>
      </c>
      <c r="S2213">
        <v>-2.985535</v>
      </c>
      <c r="T2213">
        <v>-3.1574249999999998E-2</v>
      </c>
      <c r="U2213">
        <v>-0.29718020000000001</v>
      </c>
      <c r="V2213">
        <v>-8.3760249999999994E-2</v>
      </c>
      <c r="W2213">
        <v>6.4113340000000003E-3</v>
      </c>
      <c r="X2213">
        <v>0.9964653</v>
      </c>
      <c r="Y2213">
        <v>-0.10164090000000001</v>
      </c>
      <c r="Z2213">
        <v>-5.6365250000000005E-4</v>
      </c>
      <c r="AA2213">
        <v>0.99482099999999996</v>
      </c>
      <c r="AB2213">
        <v>34</v>
      </c>
      <c r="AC2213">
        <v>-97.572299999999899</v>
      </c>
      <c r="AD2213">
        <v>-1.0354622</v>
      </c>
      <c r="AE2213">
        <v>-9.7457999999999707</v>
      </c>
      <c r="AF2213">
        <v>-9.9992524858488991</v>
      </c>
      <c r="AG2213">
        <v>-1.0354622</v>
      </c>
      <c r="AH2213">
        <v>97.535661628630294</v>
      </c>
      <c r="AI2213">
        <v>90.605071874253497</v>
      </c>
      <c r="AJ2213">
        <v>95.853452795273498</v>
      </c>
      <c r="AK2213">
        <v>98.052345823942701</v>
      </c>
      <c r="AL2213">
        <v>89.632655100194597</v>
      </c>
      <c r="AM2213">
        <v>94.804837224297003</v>
      </c>
      <c r="AN2213">
        <v>0.999999989393905</v>
      </c>
    </row>
    <row r="2214" spans="1:40" x14ac:dyDescent="0.25">
      <c r="A2214" t="str">
        <f>"20190312151541151"</f>
        <v>20190312151541151</v>
      </c>
      <c r="B2214" t="str">
        <f>"1552374941139293"</f>
        <v>1552374941139293</v>
      </c>
      <c r="C2214" t="s">
        <v>40</v>
      </c>
      <c r="D2214">
        <v>4.4840299999999997</v>
      </c>
      <c r="E2214">
        <v>0.49271720000000002</v>
      </c>
      <c r="F2214" t="s">
        <v>55</v>
      </c>
      <c r="G2214">
        <v>-512.8252</v>
      </c>
      <c r="H2214">
        <v>4.1104790000000002E-2</v>
      </c>
      <c r="I2214">
        <v>274.3913</v>
      </c>
      <c r="J2214">
        <v>-415.59690000000001</v>
      </c>
      <c r="K2214">
        <v>1.10992</v>
      </c>
      <c r="L2214">
        <v>284.18150000000003</v>
      </c>
      <c r="M2214">
        <v>-0.99989119999999998</v>
      </c>
      <c r="N2214">
        <v>0</v>
      </c>
      <c r="O2214">
        <v>2.3858450000000002E-3</v>
      </c>
      <c r="P2214">
        <v>-0.99665809999999999</v>
      </c>
      <c r="Q2214">
        <v>-8.4166239999999993E-3</v>
      </c>
      <c r="R2214">
        <v>-8.1254939999999998E-2</v>
      </c>
      <c r="S2214">
        <v>-2.9854129999999999</v>
      </c>
      <c r="T2214">
        <v>-3.2700060000000003E-2</v>
      </c>
      <c r="U2214">
        <v>-0.29953000000000002</v>
      </c>
      <c r="V2214">
        <v>-8.363545E-2</v>
      </c>
      <c r="W2214">
        <v>6.0627739999999999E-3</v>
      </c>
      <c r="X2214">
        <v>0.99647799999999997</v>
      </c>
      <c r="Y2214">
        <v>-0.1021977</v>
      </c>
      <c r="Z2214">
        <v>-5.8435210000000004E-4</v>
      </c>
      <c r="AA2214">
        <v>0.99476390000000003</v>
      </c>
      <c r="AB2214">
        <v>34</v>
      </c>
      <c r="AC2214">
        <v>-97.228300000000004</v>
      </c>
      <c r="AD2214">
        <v>-1.0688152099999999</v>
      </c>
      <c r="AE2214">
        <v>-9.79020000000002</v>
      </c>
      <c r="AF2214">
        <v>-10.0209695594131</v>
      </c>
      <c r="AG2214">
        <v>-1.0688152099999999</v>
      </c>
      <c r="AH2214">
        <v>97.193035676585694</v>
      </c>
      <c r="AI2214">
        <v>90.626724413980298</v>
      </c>
      <c r="AJ2214">
        <v>95.886611370908398</v>
      </c>
      <c r="AK2214">
        <v>97.714115566247003</v>
      </c>
      <c r="AL2214">
        <v>89.652626518275795</v>
      </c>
      <c r="AM2214">
        <v>94.7976507575586</v>
      </c>
      <c r="AN2214">
        <v>1.0000000251046299</v>
      </c>
    </row>
    <row r="2215" spans="1:40" x14ac:dyDescent="0.25">
      <c r="A2215" t="str">
        <f>"20190312151541174"</f>
        <v>20190312151541174</v>
      </c>
      <c r="B2215" t="str">
        <f>"1552374941169549"</f>
        <v>1552374941169549</v>
      </c>
      <c r="C2215" t="s">
        <v>40</v>
      </c>
      <c r="D2215">
        <v>4.3199189999999996</v>
      </c>
      <c r="E2215">
        <v>0.49237789999999998</v>
      </c>
      <c r="F2215" t="s">
        <v>50</v>
      </c>
      <c r="G2215">
        <v>-504.3897</v>
      </c>
      <c r="H2215">
        <v>8.0000119999999994E-2</v>
      </c>
      <c r="I2215">
        <v>275.20490000000001</v>
      </c>
      <c r="J2215">
        <v>-415.93709999999999</v>
      </c>
      <c r="K2215">
        <v>1.10992</v>
      </c>
      <c r="L2215">
        <v>284.18209999999999</v>
      </c>
      <c r="M2215">
        <v>-0.99989170000000005</v>
      </c>
      <c r="N2215">
        <v>0</v>
      </c>
      <c r="O2215">
        <v>2.1650010000000002E-3</v>
      </c>
      <c r="P2215">
        <v>-0.99666120000000002</v>
      </c>
      <c r="Q2215">
        <v>-8.7893260000000001E-3</v>
      </c>
      <c r="R2215">
        <v>-8.1174759999999999E-2</v>
      </c>
      <c r="S2215">
        <v>-2.9851679999999998</v>
      </c>
      <c r="T2215">
        <v>-3.4625410000000002E-2</v>
      </c>
      <c r="U2215">
        <v>-0.30178829999999901</v>
      </c>
      <c r="V2215">
        <v>-8.3334870000000005E-2</v>
      </c>
      <c r="W2215">
        <v>5.6875090000000003E-3</v>
      </c>
      <c r="X2215">
        <v>0.99650539999999999</v>
      </c>
      <c r="Y2215">
        <v>-0.1027303</v>
      </c>
      <c r="Z2215">
        <v>-6.1930820000000001E-4</v>
      </c>
      <c r="AA2215">
        <v>0.99470910000000001</v>
      </c>
      <c r="AB2215">
        <v>34</v>
      </c>
      <c r="AC2215">
        <v>-88.452600000000004</v>
      </c>
      <c r="AD2215">
        <v>-1.02991988</v>
      </c>
      <c r="AE2215">
        <v>-8.9771999999999803</v>
      </c>
      <c r="AF2215">
        <v>-9.1674689916570298</v>
      </c>
      <c r="AG2215">
        <v>-1.02991988</v>
      </c>
      <c r="AH2215">
        <v>88.421089316559105</v>
      </c>
      <c r="AI2215">
        <v>90.663787424003004</v>
      </c>
      <c r="AJ2215">
        <v>95.919258095509207</v>
      </c>
      <c r="AK2215">
        <v>88.901025070575699</v>
      </c>
      <c r="AL2215">
        <v>89.6741279913348</v>
      </c>
      <c r="AM2215">
        <v>94.780357551428907</v>
      </c>
      <c r="AN2215">
        <v>1.00000003027285</v>
      </c>
    </row>
    <row r="2216" spans="1:40" x14ac:dyDescent="0.25">
      <c r="A2216" t="str">
        <f>"20190312151541195"</f>
        <v>20190312151541195</v>
      </c>
      <c r="B2216" t="str">
        <f>"1552374941190045"</f>
        <v>1552374941190045</v>
      </c>
      <c r="C2216" t="s">
        <v>40</v>
      </c>
      <c r="D2216">
        <v>4.3173389999999996</v>
      </c>
      <c r="E2216">
        <v>0.4921934</v>
      </c>
      <c r="F2216" t="s">
        <v>50</v>
      </c>
      <c r="G2216">
        <v>-499.97969999999998</v>
      </c>
      <c r="H2216">
        <v>7.1993139999999997E-2</v>
      </c>
      <c r="I2216">
        <v>275.6103</v>
      </c>
      <c r="J2216">
        <v>-416.27350000000001</v>
      </c>
      <c r="K2216">
        <v>1.109917</v>
      </c>
      <c r="L2216">
        <v>284.18259999999998</v>
      </c>
      <c r="M2216">
        <v>-0.99989220000000001</v>
      </c>
      <c r="N2216">
        <v>0</v>
      </c>
      <c r="O2216">
        <v>1.946302E-3</v>
      </c>
      <c r="P2216">
        <v>-0.99669129999999995</v>
      </c>
      <c r="Q2216">
        <v>-8.9174960000000005E-3</v>
      </c>
      <c r="R2216">
        <v>-8.0791479999999999E-2</v>
      </c>
      <c r="S2216">
        <v>-2.9849239999999999</v>
      </c>
      <c r="T2216">
        <v>-3.6863800000000002E-2</v>
      </c>
      <c r="U2216">
        <v>-0.30444339999999998</v>
      </c>
      <c r="V2216">
        <v>-8.273382E-2</v>
      </c>
      <c r="W2216">
        <v>5.5563799999999997E-3</v>
      </c>
      <c r="X2216">
        <v>0.9965562</v>
      </c>
      <c r="Y2216">
        <v>-0.1033956</v>
      </c>
      <c r="Z2216">
        <v>-6.6076850000000001E-4</v>
      </c>
      <c r="AA2216">
        <v>0.99464010000000003</v>
      </c>
      <c r="AB2216">
        <v>34</v>
      </c>
      <c r="AC2216">
        <v>-83.706199999999896</v>
      </c>
      <c r="AD2216">
        <v>-1.03792386</v>
      </c>
      <c r="AE2216">
        <v>-8.5722999999999807</v>
      </c>
      <c r="AF2216">
        <v>-8.7338896600725597</v>
      </c>
      <c r="AG2216">
        <v>-1.03792386</v>
      </c>
      <c r="AH2216">
        <v>83.676623598823696</v>
      </c>
      <c r="AI2216">
        <v>90.706820330301994</v>
      </c>
      <c r="AJ2216">
        <v>95.958767523054604</v>
      </c>
      <c r="AK2216">
        <v>84.137598322228598</v>
      </c>
      <c r="AL2216">
        <v>89.681641241360097</v>
      </c>
      <c r="AM2216">
        <v>94.745796619055099</v>
      </c>
      <c r="AN2216">
        <v>1.0000000090444601</v>
      </c>
    </row>
    <row r="2217" spans="1:40" x14ac:dyDescent="0.25">
      <c r="A2217" t="str">
        <f>"20190312151541207"</f>
        <v>20190312151541207</v>
      </c>
      <c r="B2217" t="str">
        <f>"1552374941199805"</f>
        <v>1552374941199805</v>
      </c>
      <c r="C2217" t="s">
        <v>40</v>
      </c>
      <c r="D2217">
        <v>4.3142019999999999</v>
      </c>
      <c r="E2217">
        <v>0.492087</v>
      </c>
      <c r="F2217" t="s">
        <v>50</v>
      </c>
      <c r="G2217">
        <v>-499.95780000000002</v>
      </c>
      <c r="H2217">
        <v>4.5780679999999997E-2</v>
      </c>
      <c r="I2217">
        <v>275.64139999999998</v>
      </c>
      <c r="J2217">
        <v>-416.45330000000001</v>
      </c>
      <c r="K2217">
        <v>1.109918</v>
      </c>
      <c r="L2217">
        <v>284.18290000000002</v>
      </c>
      <c r="M2217">
        <v>-0.99989240000000001</v>
      </c>
      <c r="N2217">
        <v>0</v>
      </c>
      <c r="O2217">
        <v>1.8294439999999999E-3</v>
      </c>
      <c r="P2217">
        <v>-0.99668500000000004</v>
      </c>
      <c r="Q2217">
        <v>-9.0099570000000007E-3</v>
      </c>
      <c r="R2217">
        <v>-8.0857600000000002E-2</v>
      </c>
      <c r="S2217">
        <v>-2.9849549999999998</v>
      </c>
      <c r="T2217">
        <v>-3.7956950000000003E-2</v>
      </c>
      <c r="U2217">
        <v>-0.30465700000000001</v>
      </c>
      <c r="V2217">
        <v>-8.2683489999999998E-2</v>
      </c>
      <c r="W2217">
        <v>5.4619680000000002E-3</v>
      </c>
      <c r="X2217">
        <v>0.99656089999999997</v>
      </c>
      <c r="Y2217">
        <v>-0.1033483</v>
      </c>
      <c r="Z2217">
        <v>-6.7856959999999995E-4</v>
      </c>
      <c r="AA2217">
        <v>0.994645</v>
      </c>
      <c r="AB2217">
        <v>34</v>
      </c>
      <c r="AC2217">
        <v>-83.504499999999993</v>
      </c>
      <c r="AD2217">
        <v>-1.0641373199999999</v>
      </c>
      <c r="AE2217">
        <v>-8.5415000000000401</v>
      </c>
      <c r="AF2217">
        <v>-8.6928716224500509</v>
      </c>
      <c r="AG2217">
        <v>-1.0641373199999999</v>
      </c>
      <c r="AH2217">
        <v>83.475316680087303</v>
      </c>
      <c r="AI2217">
        <v>90.726435031053995</v>
      </c>
      <c r="AJ2217">
        <v>95.945183264419697</v>
      </c>
      <c r="AK2217">
        <v>83.933467104136</v>
      </c>
      <c r="AL2217">
        <v>89.687050732843403</v>
      </c>
      <c r="AM2217">
        <v>94.742900486089496</v>
      </c>
      <c r="AN2217">
        <v>1.0000000100109101</v>
      </c>
    </row>
    <row r="2218" spans="1:40" x14ac:dyDescent="0.25">
      <c r="A2218" t="str">
        <f>"20190312151541228"</f>
        <v>20190312151541228</v>
      </c>
      <c r="B2218" t="str">
        <f>"1552374941219831"</f>
        <v>1552374941219831</v>
      </c>
      <c r="C2218" t="s">
        <v>40</v>
      </c>
      <c r="D2218">
        <v>4.2657179999999997</v>
      </c>
      <c r="E2218">
        <v>0.49186410000000003</v>
      </c>
      <c r="F2218" t="s">
        <v>50</v>
      </c>
      <c r="G2218">
        <v>-499.95780000000002</v>
      </c>
      <c r="H2218">
        <v>3.5389120000000003E-2</v>
      </c>
      <c r="I2218">
        <v>275.63240000000002</v>
      </c>
      <c r="J2218">
        <v>-416.7697</v>
      </c>
      <c r="K2218">
        <v>1.1099220000000001</v>
      </c>
      <c r="L2218">
        <v>284.1832</v>
      </c>
      <c r="M2218">
        <v>-0.99989280000000003</v>
      </c>
      <c r="N2218">
        <v>0</v>
      </c>
      <c r="O2218">
        <v>1.623612E-3</v>
      </c>
      <c r="P2218">
        <v>-0.99667939999999999</v>
      </c>
      <c r="Q2218">
        <v>-9.089972E-3</v>
      </c>
      <c r="R2218">
        <v>-8.091711E-2</v>
      </c>
      <c r="S2218">
        <v>-2.9848629999999998</v>
      </c>
      <c r="T2218">
        <v>-3.8408989999999997E-2</v>
      </c>
      <c r="U2218">
        <v>-0.3056335</v>
      </c>
      <c r="V2218">
        <v>-8.2538109999999998E-2</v>
      </c>
      <c r="W2218">
        <v>5.3789989999999998E-3</v>
      </c>
      <c r="X2218">
        <v>0.99657340000000005</v>
      </c>
      <c r="Y2218">
        <v>-0.1034685</v>
      </c>
      <c r="Z2218">
        <v>-6.8478899999999999E-4</v>
      </c>
      <c r="AA2218">
        <v>0.99463250000000003</v>
      </c>
      <c r="AB2218">
        <v>34</v>
      </c>
      <c r="AC2218">
        <v>-83.188100000000006</v>
      </c>
      <c r="AD2218">
        <v>-1.07453287999999</v>
      </c>
      <c r="AE2218">
        <v>-8.5507999999999793</v>
      </c>
      <c r="AF2218">
        <v>-8.6844344088991097</v>
      </c>
      <c r="AG2218">
        <v>-1.07453287999999</v>
      </c>
      <c r="AH2218">
        <v>83.160375727819897</v>
      </c>
      <c r="AI2218">
        <v>90.736286244564994</v>
      </c>
      <c r="AJ2218">
        <v>95.961786107599494</v>
      </c>
      <c r="AK2218">
        <v>83.619507969760505</v>
      </c>
      <c r="AL2218">
        <v>89.691804575364401</v>
      </c>
      <c r="AM2218">
        <v>94.734540008968494</v>
      </c>
      <c r="AN2218">
        <v>1.0000000074100801</v>
      </c>
    </row>
    <row r="2219" spans="1:40" x14ac:dyDescent="0.25">
      <c r="A2219" t="str">
        <f>"20190312151541242"</f>
        <v>20190312151541242</v>
      </c>
      <c r="B2219" t="str">
        <f>"1552374941229593"</f>
        <v>1552374941229593</v>
      </c>
      <c r="C2219" t="s">
        <v>40</v>
      </c>
      <c r="D2219">
        <v>4.2648140000000003</v>
      </c>
      <c r="E2219">
        <v>0.4917435</v>
      </c>
      <c r="F2219" t="s">
        <v>50</v>
      </c>
      <c r="G2219">
        <v>-499.95780000000002</v>
      </c>
      <c r="H2219">
        <v>9.6859849999999994E-3</v>
      </c>
      <c r="I2219">
        <v>275.60419999999999</v>
      </c>
      <c r="J2219">
        <v>-416.96499999999997</v>
      </c>
      <c r="K2219">
        <v>1.10992</v>
      </c>
      <c r="L2219">
        <v>284.18340000000001</v>
      </c>
      <c r="M2219">
        <v>-0.99989309999999998</v>
      </c>
      <c r="N2219">
        <v>0</v>
      </c>
      <c r="O2219">
        <v>1.4966230000000001E-3</v>
      </c>
      <c r="P2219">
        <v>-0.99667260000000002</v>
      </c>
      <c r="Q2219">
        <v>-8.9889649999999998E-3</v>
      </c>
      <c r="R2219">
        <v>-8.1013779999999994E-2</v>
      </c>
      <c r="S2219">
        <v>-2.9846189999999999</v>
      </c>
      <c r="T2219">
        <v>-3.9474250000000002E-2</v>
      </c>
      <c r="U2219">
        <v>-0.30780030000000003</v>
      </c>
      <c r="V2219">
        <v>-8.2508120000000004E-2</v>
      </c>
      <c r="W2219">
        <v>5.47818E-3</v>
      </c>
      <c r="X2219">
        <v>0.9965754</v>
      </c>
      <c r="Y2219">
        <v>-0.1040644</v>
      </c>
      <c r="Z2219">
        <v>-7.0606580000000003E-4</v>
      </c>
      <c r="AA2219">
        <v>0.99457030000000002</v>
      </c>
      <c r="AB2219">
        <v>34</v>
      </c>
      <c r="AC2219">
        <v>-82.992800000000003</v>
      </c>
      <c r="AD2219">
        <v>-1.1002340150000001</v>
      </c>
      <c r="AE2219">
        <v>-8.5792000000000108</v>
      </c>
      <c r="AF2219">
        <v>-8.7018992953535399</v>
      </c>
      <c r="AG2219">
        <v>-1.1002340150000001</v>
      </c>
      <c r="AH2219">
        <v>82.965439037581802</v>
      </c>
      <c r="AI2219">
        <v>90.7556305420662</v>
      </c>
      <c r="AJ2219">
        <v>95.987622992718002</v>
      </c>
      <c r="AK2219">
        <v>83.427798969725501</v>
      </c>
      <c r="AL2219">
        <v>89.686121856756699</v>
      </c>
      <c r="AM2219">
        <v>94.732818087672797</v>
      </c>
      <c r="AN2219">
        <v>1.0000000641036</v>
      </c>
    </row>
    <row r="2220" spans="1:40" x14ac:dyDescent="0.25">
      <c r="A2220" t="str">
        <f>"20190312151541253"</f>
        <v>20190312151541253</v>
      </c>
      <c r="B2220" t="str">
        <f>"1552374941250088"</f>
        <v>1552374941250088</v>
      </c>
      <c r="C2220" t="s">
        <v>40</v>
      </c>
      <c r="D2220">
        <v>4.2315690000000004</v>
      </c>
      <c r="E2220">
        <v>0.49153730000000001</v>
      </c>
      <c r="F2220" t="s">
        <v>50</v>
      </c>
      <c r="G2220">
        <v>-499.95780000000002</v>
      </c>
      <c r="H2220">
        <v>8.3413140000000003E-4</v>
      </c>
      <c r="I2220">
        <v>275.58859999999999</v>
      </c>
      <c r="J2220">
        <v>-417.14859999999999</v>
      </c>
      <c r="K2220">
        <v>1.1099209999999999</v>
      </c>
      <c r="L2220">
        <v>284.18360000000001</v>
      </c>
      <c r="M2220">
        <v>-0.99989340000000004</v>
      </c>
      <c r="N2220">
        <v>0</v>
      </c>
      <c r="O2220">
        <v>1.377262E-3</v>
      </c>
      <c r="P2220">
        <v>-0.99664140000000001</v>
      </c>
      <c r="Q2220">
        <v>-9.1293940000000007E-3</v>
      </c>
      <c r="R2220">
        <v>-8.1383120000000003E-2</v>
      </c>
      <c r="S2220">
        <v>-2.9845280000000001</v>
      </c>
      <c r="T2220">
        <v>-3.9884210000000003E-2</v>
      </c>
      <c r="U2220">
        <v>-0.30908200000000002</v>
      </c>
      <c r="V2220">
        <v>-8.2758159999999997E-2</v>
      </c>
      <c r="W2220">
        <v>5.3356080000000004E-3</v>
      </c>
      <c r="X2220">
        <v>0.99655539999999998</v>
      </c>
      <c r="Y2220">
        <v>-0.1043712</v>
      </c>
      <c r="Z2220">
        <v>-7.1385729999999905E-4</v>
      </c>
      <c r="AA2220">
        <v>0.99453809999999998</v>
      </c>
      <c r="AB2220">
        <v>34</v>
      </c>
      <c r="AC2220">
        <v>-82.809200000000004</v>
      </c>
      <c r="AD2220">
        <v>-1.1090868685999999</v>
      </c>
      <c r="AE2220">
        <v>-8.5950000000000202</v>
      </c>
      <c r="AF2220">
        <v>-8.7075085566516996</v>
      </c>
      <c r="AG2220">
        <v>-1.1090868685999999</v>
      </c>
      <c r="AH2220">
        <v>82.782591356838296</v>
      </c>
      <c r="AI2220">
        <v>90.763368385419497</v>
      </c>
      <c r="AJ2220">
        <v>96.0045917235324</v>
      </c>
      <c r="AK2220">
        <v>83.246670868567193</v>
      </c>
      <c r="AL2220">
        <v>89.694290737115693</v>
      </c>
      <c r="AM2220">
        <v>94.747190229219896</v>
      </c>
      <c r="AN2220">
        <v>1.0000000235142299</v>
      </c>
    </row>
    <row r="2221" spans="1:40" x14ac:dyDescent="0.25">
      <c r="A2221" t="str">
        <f>"20190312151541267"</f>
        <v>20190312151541267</v>
      </c>
      <c r="B2221" t="str">
        <f>"1552374941259848"</f>
        <v>1552374941259848</v>
      </c>
      <c r="C2221" t="s">
        <v>40</v>
      </c>
      <c r="D2221">
        <v>4.2559909999999999</v>
      </c>
      <c r="E2221">
        <v>0.4914269</v>
      </c>
      <c r="F2221" t="s">
        <v>50</v>
      </c>
      <c r="G2221">
        <v>-496.96069999999997</v>
      </c>
      <c r="H2221" s="1">
        <v>1.5815180000000001E-6</v>
      </c>
      <c r="I2221">
        <v>275.84730000000002</v>
      </c>
      <c r="J2221">
        <v>-417.3528</v>
      </c>
      <c r="K2221">
        <v>1.1099209999999999</v>
      </c>
      <c r="L2221">
        <v>284.18369999999999</v>
      </c>
      <c r="M2221">
        <v>-0.99989340000000004</v>
      </c>
      <c r="N2221">
        <v>0</v>
      </c>
      <c r="O2221">
        <v>1.2443139999999901E-3</v>
      </c>
      <c r="P2221">
        <v>-0.99661739999999999</v>
      </c>
      <c r="Q2221">
        <v>-9.1243709999999992E-3</v>
      </c>
      <c r="R2221">
        <v>-8.1675109999999995E-2</v>
      </c>
      <c r="S2221">
        <v>-2.984283</v>
      </c>
      <c r="T2221">
        <v>-4.1501400000000001E-2</v>
      </c>
      <c r="U2221">
        <v>-0.3117065</v>
      </c>
      <c r="V2221">
        <v>-8.2917359999999996E-2</v>
      </c>
      <c r="W2221">
        <v>5.3375159999999996E-3</v>
      </c>
      <c r="X2221">
        <v>0.99654219999999905</v>
      </c>
      <c r="Y2221">
        <v>-0.1051117</v>
      </c>
      <c r="Z2221">
        <v>-7.4611709999999995E-4</v>
      </c>
      <c r="AA2221">
        <v>0.99446020000000002</v>
      </c>
      <c r="AB2221">
        <v>34</v>
      </c>
      <c r="AC2221">
        <v>-79.607899999999901</v>
      </c>
      <c r="AD2221">
        <v>-1.109919418482</v>
      </c>
      <c r="AE2221">
        <v>-8.3363999999999692</v>
      </c>
      <c r="AF2221">
        <v>-8.4338395948844092</v>
      </c>
      <c r="AG2221">
        <v>-1.109919418482</v>
      </c>
      <c r="AH2221">
        <v>79.582162104744498</v>
      </c>
      <c r="AI2221">
        <v>90.794594057142305</v>
      </c>
      <c r="AJ2221">
        <v>96.049426956044798</v>
      </c>
      <c r="AK2221">
        <v>80.035505225453505</v>
      </c>
      <c r="AL2221">
        <v>89.694181428520395</v>
      </c>
      <c r="AM2221">
        <v>94.756343147667096</v>
      </c>
      <c r="AN2221">
        <v>1.00000006702362</v>
      </c>
    </row>
    <row r="2222" spans="1:40" x14ac:dyDescent="0.25">
      <c r="A2222" t="str">
        <f>"20190312151541285"</f>
        <v>20190312151541285</v>
      </c>
      <c r="B2222" t="str">
        <f>"1552374941279368"</f>
        <v>1552374941279368</v>
      </c>
      <c r="C2222" t="s">
        <v>40</v>
      </c>
      <c r="D2222">
        <v>4.2109100000000002</v>
      </c>
      <c r="E2222">
        <v>0.49120570000000002</v>
      </c>
      <c r="F2222" t="s">
        <v>50</v>
      </c>
      <c r="G2222">
        <v>-496.40249999999997</v>
      </c>
      <c r="H2222" s="1">
        <v>1.6401899999999999E-6</v>
      </c>
      <c r="I2222">
        <v>275.8732</v>
      </c>
      <c r="J2222">
        <v>-417.61399999999998</v>
      </c>
      <c r="K2222">
        <v>1.109918</v>
      </c>
      <c r="L2222">
        <v>284.18380000000002</v>
      </c>
      <c r="M2222">
        <v>-0.9998937</v>
      </c>
      <c r="N2222">
        <v>0</v>
      </c>
      <c r="O2222">
        <v>1.0740610000000001E-3</v>
      </c>
      <c r="P2222">
        <v>-0.99660610000000005</v>
      </c>
      <c r="Q2222">
        <v>-9.4346819999999998E-3</v>
      </c>
      <c r="R2222">
        <v>-8.1777929999999999E-2</v>
      </c>
      <c r="S2222">
        <v>-2.9841000000000002</v>
      </c>
      <c r="T2222">
        <v>-4.189909E-2</v>
      </c>
      <c r="U2222">
        <v>-0.31372070000000002</v>
      </c>
      <c r="V2222">
        <v>-8.2850960000000001E-2</v>
      </c>
      <c r="W2222">
        <v>5.0247139999999996E-3</v>
      </c>
      <c r="X2222">
        <v>0.99654929999999997</v>
      </c>
      <c r="Y2222">
        <v>-0.1056124</v>
      </c>
      <c r="Z2222">
        <v>-7.5440670000000002E-4</v>
      </c>
      <c r="AA2222">
        <v>0.99440709999999999</v>
      </c>
      <c r="AB2222">
        <v>34</v>
      </c>
      <c r="AC2222">
        <v>-78.7884999999999</v>
      </c>
      <c r="AD2222">
        <v>-1.1099163598099999</v>
      </c>
      <c r="AE2222">
        <v>-8.3106000000000204</v>
      </c>
      <c r="AF2222">
        <v>-8.3935804166340802</v>
      </c>
      <c r="AG2222">
        <v>-1.1099163598099999</v>
      </c>
      <c r="AH2222">
        <v>78.764068641191699</v>
      </c>
      <c r="AI2222">
        <v>90.802794192360594</v>
      </c>
      <c r="AJ2222">
        <v>96.082831446400803</v>
      </c>
      <c r="AK2222">
        <v>79.217817537790296</v>
      </c>
      <c r="AL2222">
        <v>89.712103888352402</v>
      </c>
      <c r="AM2222">
        <v>94.752518029663094</v>
      </c>
      <c r="AN2222">
        <v>1.0000000183270901</v>
      </c>
    </row>
    <row r="2223" spans="1:40" x14ac:dyDescent="0.25">
      <c r="A2223" t="str">
        <f>"20190312151541306"</f>
        <v>20190312151541306</v>
      </c>
      <c r="B2223" t="str">
        <f>"1552374941299868"</f>
        <v>1552374941299868</v>
      </c>
      <c r="C2223" t="s">
        <v>40</v>
      </c>
      <c r="D2223">
        <v>4.2282419999999998</v>
      </c>
      <c r="E2223">
        <v>0.49110870000000001</v>
      </c>
      <c r="F2223" t="s">
        <v>50</v>
      </c>
      <c r="G2223">
        <v>-493.25229999999999</v>
      </c>
      <c r="H2223" s="1">
        <v>2.0284310000000001E-6</v>
      </c>
      <c r="I2223">
        <v>276.18110000000001</v>
      </c>
      <c r="J2223">
        <v>-417.93759999999997</v>
      </c>
      <c r="K2223">
        <v>1.109917</v>
      </c>
      <c r="L2223">
        <v>284.18400000000003</v>
      </c>
      <c r="M2223">
        <v>-0.99989399999999995</v>
      </c>
      <c r="N2223">
        <v>0</v>
      </c>
      <c r="O2223">
        <v>8.6328550000000005E-4</v>
      </c>
      <c r="P2223">
        <v>-0.99658139999999995</v>
      </c>
      <c r="Q2223">
        <v>-9.4370210000000003E-3</v>
      </c>
      <c r="R2223">
        <v>-8.2074910000000001E-2</v>
      </c>
      <c r="S2223">
        <v>-2.9838870000000002</v>
      </c>
      <c r="T2223">
        <v>-4.3785570000000003E-2</v>
      </c>
      <c r="U2223">
        <v>-0.31570429999999999</v>
      </c>
      <c r="V2223">
        <v>-8.2937910000000004E-2</v>
      </c>
      <c r="W2223">
        <v>5.0189919999999999E-3</v>
      </c>
      <c r="X2223">
        <v>0.99654209999999999</v>
      </c>
      <c r="Y2223">
        <v>-0.1060629</v>
      </c>
      <c r="Z2223">
        <v>-7.8861039999999995E-4</v>
      </c>
      <c r="AA2223">
        <v>0.99435910000000005</v>
      </c>
      <c r="AB2223">
        <v>33</v>
      </c>
      <c r="AC2223">
        <v>-75.314700000000002</v>
      </c>
      <c r="AD2223">
        <v>-1.109914971569</v>
      </c>
      <c r="AE2223">
        <v>-8.0029000000000092</v>
      </c>
      <c r="AF2223">
        <v>-8.0661897176937103</v>
      </c>
      <c r="AG2223">
        <v>-1.109914971569</v>
      </c>
      <c r="AH2223">
        <v>75.2915931489092</v>
      </c>
      <c r="AI2223">
        <v>90.8397628572786</v>
      </c>
      <c r="AJ2223">
        <v>96.1149267468017</v>
      </c>
      <c r="AK2223">
        <v>75.730570621822295</v>
      </c>
      <c r="AL2223">
        <v>89.712431740025707</v>
      </c>
      <c r="AM2223">
        <v>94.757517011107694</v>
      </c>
      <c r="AN2223">
        <v>1.0000000221341301</v>
      </c>
    </row>
    <row r="2224" spans="1:40" x14ac:dyDescent="0.25">
      <c r="A2224" t="str">
        <f>"20190312151541320"</f>
        <v>20190312151541320</v>
      </c>
      <c r="B2224" t="str">
        <f>"1552374941309624"</f>
        <v>1552374941309624</v>
      </c>
      <c r="C2224" t="s">
        <v>40</v>
      </c>
      <c r="D2224">
        <v>4.2045469999999998</v>
      </c>
      <c r="E2224">
        <v>0.49116110000000002</v>
      </c>
      <c r="F2224" t="s">
        <v>50</v>
      </c>
      <c r="G2224">
        <v>-493.69490000000002</v>
      </c>
      <c r="H2224" s="1">
        <v>1.9692909999999999E-6</v>
      </c>
      <c r="I2224">
        <v>276.12479999999999</v>
      </c>
      <c r="J2224">
        <v>-418.13850000000002</v>
      </c>
      <c r="K2224">
        <v>1.1099159999999999</v>
      </c>
      <c r="L2224">
        <v>284.18400000000003</v>
      </c>
      <c r="M2224">
        <v>-0.99989399999999995</v>
      </c>
      <c r="N2224">
        <v>0</v>
      </c>
      <c r="O2224">
        <v>7.3254020000000002E-4</v>
      </c>
      <c r="P2224">
        <v>-0.99659359999999997</v>
      </c>
      <c r="Q2224">
        <v>-9.5922920000000005E-3</v>
      </c>
      <c r="R2224">
        <v>-8.1910319999999995E-2</v>
      </c>
      <c r="S2224">
        <v>-2.9837340000000001</v>
      </c>
      <c r="T2224">
        <v>-4.371452E-2</v>
      </c>
      <c r="U2224">
        <v>-0.31741329999999901</v>
      </c>
      <c r="V2224">
        <v>-8.2642880000000002E-2</v>
      </c>
      <c r="W2224">
        <v>4.8621150000000002E-3</v>
      </c>
      <c r="X2224">
        <v>0.99656739999999999</v>
      </c>
      <c r="Y2224">
        <v>-0.1065015</v>
      </c>
      <c r="Z2224">
        <v>-7.8864009999999999E-4</v>
      </c>
      <c r="AA2224">
        <v>0.99431219999999998</v>
      </c>
      <c r="AB2224">
        <v>33</v>
      </c>
      <c r="AC2224">
        <v>-75.556399999999996</v>
      </c>
      <c r="AD2224">
        <v>-1.1099140307090001</v>
      </c>
      <c r="AE2224">
        <v>-8.0592000000000308</v>
      </c>
      <c r="AF2224">
        <v>-8.1128207991669505</v>
      </c>
      <c r="AG2224">
        <v>-1.1099140307090001</v>
      </c>
      <c r="AH2224">
        <v>75.5343590313948</v>
      </c>
      <c r="AI2224">
        <v>90.837039319113401</v>
      </c>
      <c r="AJ2224">
        <v>96.130392089684193</v>
      </c>
      <c r="AK2224">
        <v>75.976898888797905</v>
      </c>
      <c r="AL2224">
        <v>89.721420242917702</v>
      </c>
      <c r="AM2224">
        <v>94.740550850602503</v>
      </c>
      <c r="AN2224">
        <v>1.0000000342598601</v>
      </c>
    </row>
    <row r="2225" spans="1:40" x14ac:dyDescent="0.25">
      <c r="A2225" t="str">
        <f>"20190312151541334"</f>
        <v>20190312151541334</v>
      </c>
      <c r="B2225" t="str">
        <f>"1552374941330120"</f>
        <v>1552374941330120</v>
      </c>
      <c r="C2225" t="s">
        <v>40</v>
      </c>
      <c r="D2225">
        <v>4.2295089999999904</v>
      </c>
      <c r="E2225">
        <v>0.49127949999999998</v>
      </c>
      <c r="F2225" t="s">
        <v>50</v>
      </c>
      <c r="G2225">
        <v>-493.02789999999999</v>
      </c>
      <c r="H2225" s="1">
        <v>2.06986E-6</v>
      </c>
      <c r="I2225">
        <v>276.24200000000002</v>
      </c>
      <c r="J2225">
        <v>-418.33819999999997</v>
      </c>
      <c r="K2225">
        <v>1.109917</v>
      </c>
      <c r="L2225">
        <v>284.18400000000003</v>
      </c>
      <c r="M2225">
        <v>-0.99989419999999996</v>
      </c>
      <c r="N2225">
        <v>0</v>
      </c>
      <c r="O2225">
        <v>6.024499E-4</v>
      </c>
      <c r="P2225">
        <v>-0.99656860000000003</v>
      </c>
      <c r="Q2225">
        <v>-9.7992110000000004E-3</v>
      </c>
      <c r="R2225">
        <v>-8.2190579999999999E-2</v>
      </c>
      <c r="S2225">
        <v>-2.9838559999999998</v>
      </c>
      <c r="T2225">
        <v>-4.4222829999999998E-2</v>
      </c>
      <c r="U2225">
        <v>-0.31643680000000002</v>
      </c>
      <c r="V2225">
        <v>-8.2793119999999998E-2</v>
      </c>
      <c r="W2225">
        <v>4.6527859999999999E-3</v>
      </c>
      <c r="X2225">
        <v>0.99655590000000005</v>
      </c>
      <c r="Y2225">
        <v>-0.1060458</v>
      </c>
      <c r="Z2225">
        <v>-7.9250079999999997E-4</v>
      </c>
      <c r="AA2225">
        <v>0.99436089999999999</v>
      </c>
      <c r="AB2225">
        <v>33</v>
      </c>
      <c r="AC2225">
        <v>-74.689700000000002</v>
      </c>
      <c r="AD2225">
        <v>-1.10991493014</v>
      </c>
      <c r="AE2225">
        <v>-7.9420000000000002</v>
      </c>
      <c r="AF2225">
        <v>-7.9852564452678001</v>
      </c>
      <c r="AG2225">
        <v>-1.10991493014</v>
      </c>
      <c r="AH2225">
        <v>74.668596572174195</v>
      </c>
      <c r="AI2225">
        <v>90.846785388479603</v>
      </c>
      <c r="AJ2225">
        <v>96.104161621915594</v>
      </c>
      <c r="AK2225">
        <v>75.102566838337495</v>
      </c>
      <c r="AL2225">
        <v>89.733414038816903</v>
      </c>
      <c r="AM2225">
        <v>94.749184068988399</v>
      </c>
      <c r="AN2225">
        <v>1.00000000548085</v>
      </c>
    </row>
    <row r="2226" spans="1:40" x14ac:dyDescent="0.25">
      <c r="A2226" t="str">
        <f>"20190312151541345"</f>
        <v>20190312151541345</v>
      </c>
      <c r="B2226" t="str">
        <f>"1552374941339879"</f>
        <v>1552374941339879</v>
      </c>
      <c r="C2226" t="s">
        <v>40</v>
      </c>
      <c r="D2226">
        <v>4.186566</v>
      </c>
      <c r="E2226">
        <v>0.49134240000000001</v>
      </c>
      <c r="F2226" t="s">
        <v>50</v>
      </c>
      <c r="G2226">
        <v>-492.50959999999998</v>
      </c>
      <c r="H2226" s="1">
        <v>2.1426750000000002E-6</v>
      </c>
      <c r="I2226">
        <v>276.31790000000001</v>
      </c>
      <c r="J2226">
        <v>-418.52940000000001</v>
      </c>
      <c r="K2226">
        <v>1.109915</v>
      </c>
      <c r="L2226">
        <v>284.18400000000003</v>
      </c>
      <c r="M2226">
        <v>-0.99989430000000001</v>
      </c>
      <c r="N2226">
        <v>0</v>
      </c>
      <c r="O2226">
        <v>4.7742789999999998E-4</v>
      </c>
      <c r="P2226">
        <v>-0.99653999999999998</v>
      </c>
      <c r="Q2226">
        <v>-9.5739390000000001E-3</v>
      </c>
      <c r="R2226">
        <v>-8.2562159999999996E-2</v>
      </c>
      <c r="S2226">
        <v>-2.983765</v>
      </c>
      <c r="T2226">
        <v>-4.4649599999999998E-2</v>
      </c>
      <c r="U2226">
        <v>-0.31643680000000002</v>
      </c>
      <c r="V2226">
        <v>-8.3040139999999998E-2</v>
      </c>
      <c r="W2226">
        <v>4.8749880000000002E-3</v>
      </c>
      <c r="X2226">
        <v>0.99653429999999998</v>
      </c>
      <c r="Y2226">
        <v>-0.1059245</v>
      </c>
      <c r="Z2226">
        <v>-7.9740159999999998E-4</v>
      </c>
      <c r="AA2226">
        <v>0.99437390000000003</v>
      </c>
      <c r="AB2226">
        <v>33</v>
      </c>
      <c r="AC2226">
        <v>-73.980199999999897</v>
      </c>
      <c r="AD2226">
        <v>-1.1099128573249999</v>
      </c>
      <c r="AE2226">
        <v>-7.8661000000000101</v>
      </c>
      <c r="AF2226">
        <v>-7.8996648251174202</v>
      </c>
      <c r="AG2226">
        <v>-1.1099128573249999</v>
      </c>
      <c r="AH2226">
        <v>73.959974486928999</v>
      </c>
      <c r="AI2226">
        <v>90.854907757124096</v>
      </c>
      <c r="AJ2226">
        <v>96.096648000648599</v>
      </c>
      <c r="AK2226">
        <v>74.388940286894993</v>
      </c>
      <c r="AL2226">
        <v>89.720682661849395</v>
      </c>
      <c r="AM2226">
        <v>94.763391313613596</v>
      </c>
      <c r="AN2226">
        <v>1.0000000207178501</v>
      </c>
    </row>
    <row r="2227" spans="1:40" x14ac:dyDescent="0.25">
      <c r="A2227" t="str">
        <f>"20190312151541361"</f>
        <v>20190312151541361</v>
      </c>
      <c r="B2227" t="str">
        <f>"1552374941349640"</f>
        <v>1552374941349640</v>
      </c>
      <c r="C2227" t="s">
        <v>40</v>
      </c>
      <c r="D2227">
        <v>4.1849949999999998</v>
      </c>
      <c r="E2227">
        <v>0.49139169999999999</v>
      </c>
      <c r="F2227" t="s">
        <v>50</v>
      </c>
      <c r="G2227">
        <v>-493.96460000000002</v>
      </c>
      <c r="H2227" s="1">
        <v>1.9610080000000002E-6</v>
      </c>
      <c r="I2227">
        <v>276.16910000000001</v>
      </c>
      <c r="J2227">
        <v>-418.7373</v>
      </c>
      <c r="K2227">
        <v>1.1099159999999999</v>
      </c>
      <c r="L2227">
        <v>284.18400000000003</v>
      </c>
      <c r="M2227">
        <v>-0.99989439999999996</v>
      </c>
      <c r="N2227">
        <v>0</v>
      </c>
      <c r="O2227">
        <v>3.4179680000000001E-4</v>
      </c>
      <c r="P2227">
        <v>-0.99654920000000002</v>
      </c>
      <c r="Q2227">
        <v>-9.7512169999999995E-3</v>
      </c>
      <c r="R2227">
        <v>-8.2429810000000006E-2</v>
      </c>
      <c r="S2227">
        <v>-2.9837039999999999</v>
      </c>
      <c r="T2227">
        <v>-4.390061E-2</v>
      </c>
      <c r="U2227">
        <v>-0.31701659999999998</v>
      </c>
      <c r="V2227">
        <v>-8.2772689999999996E-2</v>
      </c>
      <c r="W2227">
        <v>4.6961779999999996E-3</v>
      </c>
      <c r="X2227">
        <v>0.99655740000000004</v>
      </c>
      <c r="Y2227">
        <v>-0.1059832</v>
      </c>
      <c r="Z2227">
        <v>-7.8247530000000003E-4</v>
      </c>
      <c r="AA2227">
        <v>0.99436760000000002</v>
      </c>
      <c r="AB2227">
        <v>33</v>
      </c>
      <c r="AC2227">
        <v>-75.2273</v>
      </c>
      <c r="AD2227">
        <v>-1.1099140389919999</v>
      </c>
      <c r="AE2227">
        <v>-8.0149000000000097</v>
      </c>
      <c r="AF2227">
        <v>-8.0388843958351099</v>
      </c>
      <c r="AG2227">
        <v>-1.1099140389919999</v>
      </c>
      <c r="AH2227">
        <v>75.2083678979117</v>
      </c>
      <c r="AI2227">
        <v>90.840713040501797</v>
      </c>
      <c r="AJ2227">
        <v>96.101075979282598</v>
      </c>
      <c r="AK2227">
        <v>75.6449216628003</v>
      </c>
      <c r="AL2227">
        <v>89.730927834929005</v>
      </c>
      <c r="AM2227">
        <v>94.7480104065435</v>
      </c>
      <c r="AN2227">
        <v>1.0000000118962</v>
      </c>
    </row>
    <row r="2228" spans="1:40" x14ac:dyDescent="0.25">
      <c r="A2228" t="str">
        <f>"20190312151541375"</f>
        <v>20190312151541375</v>
      </c>
      <c r="B2228" t="str">
        <f>"1552374941370136"</f>
        <v>1552374941370136</v>
      </c>
      <c r="C2228" t="s">
        <v>40</v>
      </c>
      <c r="D2228">
        <v>4.1733880000000001</v>
      </c>
      <c r="E2228">
        <v>0.4914714</v>
      </c>
      <c r="F2228" t="s">
        <v>50</v>
      </c>
      <c r="G2228">
        <v>-493.41930000000002</v>
      </c>
      <c r="H2228" s="1">
        <v>2.043721E-6</v>
      </c>
      <c r="I2228">
        <v>276.26620000000003</v>
      </c>
      <c r="J2228">
        <v>-418.96820000000002</v>
      </c>
      <c r="K2228">
        <v>1.1099209999999999</v>
      </c>
      <c r="L2228">
        <v>284.18389999999999</v>
      </c>
      <c r="M2228">
        <v>-0.99989439999999996</v>
      </c>
      <c r="N2228">
        <v>0</v>
      </c>
      <c r="O2228">
        <v>1.913257E-4</v>
      </c>
      <c r="P2228">
        <v>-0.9965252</v>
      </c>
      <c r="Q2228">
        <v>-9.421123E-3</v>
      </c>
      <c r="R2228">
        <v>-8.2758419999999999E-2</v>
      </c>
      <c r="S2228">
        <v>-2.9838260000000001</v>
      </c>
      <c r="T2228">
        <v>-4.4345259999999997E-2</v>
      </c>
      <c r="U2228">
        <v>-0.31634519999999999</v>
      </c>
      <c r="V2228">
        <v>-8.2951699999999906E-2</v>
      </c>
      <c r="W2228">
        <v>5.0237609999999999E-3</v>
      </c>
      <c r="X2228">
        <v>0.99654089999999995</v>
      </c>
      <c r="Y2228">
        <v>-0.1056079</v>
      </c>
      <c r="Z2228">
        <v>-7.8536579999999995E-4</v>
      </c>
      <c r="AA2228">
        <v>0.9944075</v>
      </c>
      <c r="AB2228">
        <v>33</v>
      </c>
      <c r="AC2228">
        <v>-74.451099999999997</v>
      </c>
      <c r="AD2228">
        <v>-1.1099189562789999</v>
      </c>
      <c r="AE2228">
        <v>-7.91769999999996</v>
      </c>
      <c r="AF2228">
        <v>-7.9302029967683101</v>
      </c>
      <c r="AG2228">
        <v>-1.1099189562789999</v>
      </c>
      <c r="AH2228">
        <v>74.433225892119395</v>
      </c>
      <c r="AI2228">
        <v>90.849501746502497</v>
      </c>
      <c r="AJ2228">
        <v>96.081418539308203</v>
      </c>
      <c r="AK2228">
        <v>74.862708716468006</v>
      </c>
      <c r="AL2228">
        <v>89.712158484927599</v>
      </c>
      <c r="AM2228">
        <v>94.758310110165198</v>
      </c>
      <c r="AN2228">
        <v>0.99999999404014195</v>
      </c>
    </row>
    <row r="2229" spans="1:40" x14ac:dyDescent="0.25">
      <c r="A2229" t="str">
        <f>"20190312151541397"</f>
        <v>20190312151541397</v>
      </c>
      <c r="B2229" t="str">
        <f>"1552374941389656"</f>
        <v>1552374941389656</v>
      </c>
      <c r="C2229" t="s">
        <v>40</v>
      </c>
      <c r="D2229">
        <v>4.1606449999999997</v>
      </c>
      <c r="E2229">
        <v>0.4915331</v>
      </c>
      <c r="F2229" t="s">
        <v>50</v>
      </c>
      <c r="G2229">
        <v>-495.86059999999998</v>
      </c>
      <c r="H2229" s="1">
        <v>1.7417899999999999E-6</v>
      </c>
      <c r="I2229">
        <v>276.02460000000002</v>
      </c>
      <c r="J2229">
        <v>-419.28019999999998</v>
      </c>
      <c r="K2229">
        <v>1.1099239999999999</v>
      </c>
      <c r="L2229">
        <v>284.18380000000002</v>
      </c>
      <c r="M2229">
        <v>-0.99989450000000002</v>
      </c>
      <c r="N2229">
        <v>0</v>
      </c>
      <c r="O2229" s="1">
        <v>-1.1943949999999999E-5</v>
      </c>
      <c r="P2229">
        <v>-0.99651540000000005</v>
      </c>
      <c r="Q2229">
        <v>-9.0658839999999997E-3</v>
      </c>
      <c r="R2229">
        <v>-8.2915520000000006E-2</v>
      </c>
      <c r="S2229">
        <v>-2.9837950000000002</v>
      </c>
      <c r="T2229">
        <v>-4.3070200000000003E-2</v>
      </c>
      <c r="U2229">
        <v>-0.31661990000000001</v>
      </c>
      <c r="V2229">
        <v>-8.2905930000000003E-2</v>
      </c>
      <c r="W2229">
        <v>5.3756619999999998E-3</v>
      </c>
      <c r="X2229">
        <v>0.99654290000000001</v>
      </c>
      <c r="Y2229">
        <v>-0.10549799999999999</v>
      </c>
      <c r="Z2229">
        <v>-7.590734E-4</v>
      </c>
      <c r="AA2229">
        <v>0.99441919999999995</v>
      </c>
      <c r="AB2229">
        <v>33</v>
      </c>
      <c r="AC2229">
        <v>-76.580399999999997</v>
      </c>
      <c r="AD2229">
        <v>-1.1099222582099999</v>
      </c>
      <c r="AE2229">
        <v>-8.1591999999999896</v>
      </c>
      <c r="AF2229">
        <v>-8.1565910629176095</v>
      </c>
      <c r="AG2229">
        <v>-1.1099222582099999</v>
      </c>
      <c r="AH2229">
        <v>76.564594582711393</v>
      </c>
      <c r="AI2229">
        <v>90.825860284904707</v>
      </c>
      <c r="AJ2229">
        <v>96.080907652791197</v>
      </c>
      <c r="AK2229">
        <v>77.005837757938195</v>
      </c>
      <c r="AL2229">
        <v>89.691995778408099</v>
      </c>
      <c r="AM2229">
        <v>94.755687177054099</v>
      </c>
      <c r="AN2229">
        <v>1.00000002125575</v>
      </c>
    </row>
    <row r="2230" spans="1:40" x14ac:dyDescent="0.25">
      <c r="A2230" t="str">
        <f>"20190312151541418"</f>
        <v>20190312151541418</v>
      </c>
      <c r="B2230" t="str">
        <f>"1552374941410151"</f>
        <v>1552374941410151</v>
      </c>
      <c r="C2230" t="s">
        <v>40</v>
      </c>
      <c r="D2230">
        <v>4.1915809999999896</v>
      </c>
      <c r="E2230">
        <v>0.4916179</v>
      </c>
      <c r="F2230" t="s">
        <v>50</v>
      </c>
      <c r="G2230">
        <v>-498.58069999999998</v>
      </c>
      <c r="H2230" s="1">
        <v>1.3278199999999999E-6</v>
      </c>
      <c r="I2230">
        <v>275.76889999999997</v>
      </c>
      <c r="J2230">
        <v>-419.60270000000003</v>
      </c>
      <c r="K2230">
        <v>1.109926</v>
      </c>
      <c r="L2230">
        <v>284.18360000000001</v>
      </c>
      <c r="M2230">
        <v>-0.99989450000000002</v>
      </c>
      <c r="N2230">
        <v>0</v>
      </c>
      <c r="O2230">
        <v>-2.2200799999999999E-4</v>
      </c>
      <c r="P2230">
        <v>-0.99646089999999998</v>
      </c>
      <c r="Q2230">
        <v>-8.8226260000000001E-3</v>
      </c>
      <c r="R2230">
        <v>-8.3594970000000005E-2</v>
      </c>
      <c r="S2230">
        <v>-2.983765</v>
      </c>
      <c r="T2230">
        <v>-4.1761989999999999E-2</v>
      </c>
      <c r="U2230">
        <v>-0.31661990000000001</v>
      </c>
      <c r="V2230">
        <v>-8.3375770000000002E-2</v>
      </c>
      <c r="W2230">
        <v>5.6150310000000004E-3</v>
      </c>
      <c r="X2230">
        <v>0.99650229999999995</v>
      </c>
      <c r="Y2230">
        <v>-0.1052908</v>
      </c>
      <c r="Z2230">
        <v>-7.3164979999999996E-4</v>
      </c>
      <c r="AA2230">
        <v>0.99444120000000003</v>
      </c>
      <c r="AB2230">
        <v>33</v>
      </c>
      <c r="AC2230">
        <v>-78.977999999999895</v>
      </c>
      <c r="AD2230">
        <v>-1.10992467218</v>
      </c>
      <c r="AE2230">
        <v>-8.41470000000003</v>
      </c>
      <c r="AF2230">
        <v>-8.3955246615411401</v>
      </c>
      <c r="AG2230">
        <v>-1.10992467218</v>
      </c>
      <c r="AH2230">
        <v>78.964445681228597</v>
      </c>
      <c r="AI2230">
        <v>90.800784029040699</v>
      </c>
      <c r="AJ2230">
        <v>96.068906140302204</v>
      </c>
      <c r="AK2230">
        <v>79.4172553596771</v>
      </c>
      <c r="AL2230">
        <v>89.678280712229693</v>
      </c>
      <c r="AM2230">
        <v>94.782707636383293</v>
      </c>
      <c r="AN2230">
        <v>0.99999994075075505</v>
      </c>
    </row>
    <row r="2231" spans="1:40" x14ac:dyDescent="0.25">
      <c r="A2231" t="str">
        <f>"20190312151541441"</f>
        <v>20190312151541441</v>
      </c>
      <c r="B2231" t="str">
        <f>"1552374941429673"</f>
        <v>1552374941429673</v>
      </c>
      <c r="C2231" t="s">
        <v>40</v>
      </c>
      <c r="D2231">
        <v>4.1525400000000001</v>
      </c>
      <c r="E2231">
        <v>0.49171860000000001</v>
      </c>
      <c r="F2231" t="s">
        <v>50</v>
      </c>
      <c r="G2231">
        <v>-499.95780000000002</v>
      </c>
      <c r="H2231">
        <v>1.094266E-2</v>
      </c>
      <c r="I2231">
        <v>275.62599999999998</v>
      </c>
      <c r="J2231">
        <v>-419.93959999999998</v>
      </c>
      <c r="K2231">
        <v>1.1099239999999999</v>
      </c>
      <c r="L2231">
        <v>284.18329999999997</v>
      </c>
      <c r="M2231">
        <v>-0.99989439999999996</v>
      </c>
      <c r="N2231">
        <v>0</v>
      </c>
      <c r="O2231">
        <v>-4.4143049999999999E-4</v>
      </c>
      <c r="P2231">
        <v>-0.99640039999999996</v>
      </c>
      <c r="Q2231">
        <v>-8.6255540000000006E-3</v>
      </c>
      <c r="R2231">
        <v>-8.4331009999999998E-2</v>
      </c>
      <c r="S2231">
        <v>-2.9836429999999998</v>
      </c>
      <c r="T2231">
        <v>-4.0806059999999998E-2</v>
      </c>
      <c r="U2231">
        <v>-0.317749</v>
      </c>
      <c r="V2231">
        <v>-8.3894070000000001E-2</v>
      </c>
      <c r="W2231">
        <v>5.8071930000000004E-3</v>
      </c>
      <c r="X2231">
        <v>0.99645779999999995</v>
      </c>
      <c r="Y2231">
        <v>-0.1054495</v>
      </c>
      <c r="Z2231">
        <v>-7.1300750000000005E-4</v>
      </c>
      <c r="AA2231">
        <v>0.99442439999999999</v>
      </c>
      <c r="AB2231">
        <v>33</v>
      </c>
      <c r="AC2231">
        <v>-80.018199999999993</v>
      </c>
      <c r="AD2231">
        <v>-1.0989813399999999</v>
      </c>
      <c r="AE2231">
        <v>-8.5572999999999908</v>
      </c>
      <c r="AF2231">
        <v>-8.5203839661529095</v>
      </c>
      <c r="AG2231">
        <v>-1.0989813399999999</v>
      </c>
      <c r="AH2231">
        <v>80.007049234297497</v>
      </c>
      <c r="AI2231">
        <v>90.782544108490697</v>
      </c>
      <c r="AJ2231">
        <v>96.078826403104998</v>
      </c>
      <c r="AK2231">
        <v>80.466966079849499</v>
      </c>
      <c r="AL2231">
        <v>89.667270494380404</v>
      </c>
      <c r="AM2231">
        <v>94.812513724134206</v>
      </c>
      <c r="AN2231">
        <v>1.0000000428262701</v>
      </c>
    </row>
    <row r="2232" spans="1:40" x14ac:dyDescent="0.25">
      <c r="A2232" t="str">
        <f>"20190312151541455"</f>
        <v>20190312151541455</v>
      </c>
      <c r="B2232" t="str">
        <f>"1552374941450168"</f>
        <v>1552374941450168</v>
      </c>
      <c r="C2232" t="s">
        <v>40</v>
      </c>
      <c r="D2232">
        <v>4.1414989999999996</v>
      </c>
      <c r="E2232">
        <v>0.49177520000000002</v>
      </c>
      <c r="F2232" t="s">
        <v>50</v>
      </c>
      <c r="G2232">
        <v>-499.95780000000002</v>
      </c>
      <c r="H2232">
        <v>3.4246180000000001E-2</v>
      </c>
      <c r="I2232">
        <v>275.62270000000001</v>
      </c>
      <c r="J2232">
        <v>-420.1456</v>
      </c>
      <c r="K2232">
        <v>1.1099250000000001</v>
      </c>
      <c r="L2232">
        <v>284.18299999999999</v>
      </c>
      <c r="M2232">
        <v>-0.99989450000000002</v>
      </c>
      <c r="N2232">
        <v>0</v>
      </c>
      <c r="O2232">
        <v>-5.7563239999999999E-4</v>
      </c>
      <c r="P2232">
        <v>-0.99639560000000005</v>
      </c>
      <c r="Q2232">
        <v>-8.5657700000000003E-3</v>
      </c>
      <c r="R2232">
        <v>-8.4395369999999997E-2</v>
      </c>
      <c r="S2232">
        <v>-2.9835210000000001</v>
      </c>
      <c r="T2232">
        <v>-4.0107249999999997E-2</v>
      </c>
      <c r="U2232">
        <v>-0.3191833</v>
      </c>
      <c r="V2232">
        <v>-8.3824200000000001E-2</v>
      </c>
      <c r="W2232">
        <v>5.8653660000000003E-3</v>
      </c>
      <c r="X2232">
        <v>0.99646330000000005</v>
      </c>
      <c r="Y2232">
        <v>-0.10579330000000001</v>
      </c>
      <c r="Z2232">
        <v>-7.0131419999999896E-4</v>
      </c>
      <c r="AA2232">
        <v>0.99438789999999999</v>
      </c>
      <c r="AB2232">
        <v>33</v>
      </c>
      <c r="AC2232">
        <v>-79.812200000000004</v>
      </c>
      <c r="AD2232">
        <v>-1.07567882</v>
      </c>
      <c r="AE2232">
        <v>-8.5602999999999803</v>
      </c>
      <c r="AF2232">
        <v>-8.5128225164820694</v>
      </c>
      <c r="AG2232">
        <v>-1.07567882</v>
      </c>
      <c r="AH2232">
        <v>79.8027838556132</v>
      </c>
      <c r="AI2232">
        <v>90.767899171228905</v>
      </c>
      <c r="AJ2232">
        <v>96.088901252267902</v>
      </c>
      <c r="AK2232">
        <v>80.262753150054806</v>
      </c>
      <c r="AL2232">
        <v>89.663937357203196</v>
      </c>
      <c r="AM2232">
        <v>94.808498074482898</v>
      </c>
      <c r="AN2232">
        <v>1.00000000363542</v>
      </c>
    </row>
    <row r="2233" spans="1:40" x14ac:dyDescent="0.25">
      <c r="A2233" t="str">
        <f>"20190312151541474"</f>
        <v>20190312151541474</v>
      </c>
      <c r="B2233" t="str">
        <f>"1552374941469688"</f>
        <v>1552374941469688</v>
      </c>
      <c r="C2233" t="s">
        <v>40</v>
      </c>
      <c r="D2233">
        <v>4.1025309999999999</v>
      </c>
      <c r="E2233">
        <v>0.49186550000000001</v>
      </c>
      <c r="F2233" t="s">
        <v>50</v>
      </c>
      <c r="G2233">
        <v>-499.96660000000003</v>
      </c>
      <c r="H2233">
        <v>5.8810479999999998E-2</v>
      </c>
      <c r="I2233">
        <v>275.64839999999998</v>
      </c>
      <c r="J2233">
        <v>-420.43520000000001</v>
      </c>
      <c r="K2233">
        <v>1.109928</v>
      </c>
      <c r="L2233">
        <v>284.18270000000001</v>
      </c>
      <c r="M2233">
        <v>-0.99989430000000001</v>
      </c>
      <c r="N2233">
        <v>0</v>
      </c>
      <c r="O2233">
        <v>-7.6453909999999999E-4</v>
      </c>
      <c r="P2233">
        <v>-0.99641500000000005</v>
      </c>
      <c r="Q2233">
        <v>-8.8228750000000009E-3</v>
      </c>
      <c r="R2233">
        <v>-8.4138909999999997E-2</v>
      </c>
      <c r="S2233">
        <v>-2.9834900000000002</v>
      </c>
      <c r="T2233">
        <v>-3.9287809999999999E-2</v>
      </c>
      <c r="U2233">
        <v>-0.31900020000000001</v>
      </c>
      <c r="V2233">
        <v>-8.337957E-2</v>
      </c>
      <c r="W2233">
        <v>5.6059710000000004E-3</v>
      </c>
      <c r="X2233">
        <v>0.99650209999999995</v>
      </c>
      <c r="Y2233">
        <v>-0.1055465</v>
      </c>
      <c r="Z2233">
        <v>-6.8289539999999904E-4</v>
      </c>
      <c r="AA2233">
        <v>0.99441420000000003</v>
      </c>
      <c r="AB2233">
        <v>33</v>
      </c>
      <c r="AC2233">
        <v>-79.531400000000005</v>
      </c>
      <c r="AD2233">
        <v>-1.05111752</v>
      </c>
      <c r="AE2233">
        <v>-8.5343000000000302</v>
      </c>
      <c r="AF2233">
        <v>-8.4720232442929397</v>
      </c>
      <c r="AG2233">
        <v>-1.05111752</v>
      </c>
      <c r="AH2233">
        <v>79.5241696640378</v>
      </c>
      <c r="AI2233">
        <v>90.7530072036039</v>
      </c>
      <c r="AJ2233">
        <v>96.081009010982896</v>
      </c>
      <c r="AK2233">
        <v>79.981082679889695</v>
      </c>
      <c r="AL2233">
        <v>89.678799841618499</v>
      </c>
      <c r="AM2233">
        <v>94.782925561099304</v>
      </c>
      <c r="AN2233">
        <v>1.0000000074543201</v>
      </c>
    </row>
    <row r="2234" spans="1:40" x14ac:dyDescent="0.25">
      <c r="A2234" t="str">
        <f>"20190312151541497"</f>
        <v>20190312151541497</v>
      </c>
      <c r="B2234" t="str">
        <f>"1552374941489208"</f>
        <v>1552374941489208</v>
      </c>
      <c r="C2234" t="s">
        <v>40</v>
      </c>
      <c r="D2234">
        <v>4.1383070000000002</v>
      </c>
      <c r="E2234">
        <v>0.49195859999999902</v>
      </c>
      <c r="F2234" t="s">
        <v>50</v>
      </c>
      <c r="G2234">
        <v>-499.95780000000002</v>
      </c>
      <c r="H2234">
        <v>4.3489750000000001E-2</v>
      </c>
      <c r="I2234">
        <v>275.72199999999998</v>
      </c>
      <c r="J2234">
        <v>-420.7604</v>
      </c>
      <c r="K2234">
        <v>1.1099270000000001</v>
      </c>
      <c r="L2234">
        <v>284.18220000000002</v>
      </c>
      <c r="M2234">
        <v>-0.99989430000000001</v>
      </c>
      <c r="N2234">
        <v>0</v>
      </c>
      <c r="O2234">
        <v>-9.7692299999999998E-4</v>
      </c>
      <c r="P2234">
        <v>-0.99641080000000004</v>
      </c>
      <c r="Q2234">
        <v>-9.1490159999999994E-3</v>
      </c>
      <c r="R2234">
        <v>-8.4154930000000003E-2</v>
      </c>
      <c r="S2234">
        <v>-2.983673</v>
      </c>
      <c r="T2234">
        <v>-4.0012600000000002E-2</v>
      </c>
      <c r="U2234">
        <v>-0.3174438</v>
      </c>
      <c r="V2234">
        <v>-8.3183480000000004E-2</v>
      </c>
      <c r="W2234">
        <v>5.276958E-3</v>
      </c>
      <c r="X2234">
        <v>0.99652030000000003</v>
      </c>
      <c r="Y2234">
        <v>-0.1048157</v>
      </c>
      <c r="Z2234">
        <v>-6.8774250000000004E-4</v>
      </c>
      <c r="AA2234">
        <v>0.99449140000000003</v>
      </c>
      <c r="AB2234">
        <v>33</v>
      </c>
      <c r="AC2234">
        <v>-79.197400000000002</v>
      </c>
      <c r="AD2234">
        <v>-1.0664372499999999</v>
      </c>
      <c r="AE2234">
        <v>-8.4602000000000395</v>
      </c>
      <c r="AF2234">
        <v>-8.3813154940872003</v>
      </c>
      <c r="AG2234">
        <v>-1.0664372499999999</v>
      </c>
      <c r="AH2234">
        <v>79.191430951144099</v>
      </c>
      <c r="AI2234">
        <v>90.767246614688702</v>
      </c>
      <c r="AJ2234">
        <v>96.041473785403099</v>
      </c>
      <c r="AK2234">
        <v>79.640859324277997</v>
      </c>
      <c r="AL2234">
        <v>89.697651181651196</v>
      </c>
      <c r="AM2234">
        <v>94.771642450117298</v>
      </c>
      <c r="AN2234">
        <v>1.0000000229713599</v>
      </c>
    </row>
    <row r="2235" spans="1:40" x14ac:dyDescent="0.25">
      <c r="A2235" t="str">
        <f>"20190312151541519"</f>
        <v>20190312151541519</v>
      </c>
      <c r="B2235" t="str">
        <f>"1552374941509704"</f>
        <v>1552374941509704</v>
      </c>
      <c r="C2235" t="s">
        <v>40</v>
      </c>
      <c r="D2235">
        <v>4.1689259999999999</v>
      </c>
      <c r="E2235">
        <v>0.49202620000000002</v>
      </c>
      <c r="F2235" t="s">
        <v>50</v>
      </c>
      <c r="G2235">
        <v>-499.95780000000002</v>
      </c>
      <c r="H2235">
        <v>2.7434879999999998E-2</v>
      </c>
      <c r="I2235">
        <v>275.77390000000003</v>
      </c>
      <c r="J2235">
        <v>-421.08580000000001</v>
      </c>
      <c r="K2235">
        <v>1.1099319999999999</v>
      </c>
      <c r="L2235">
        <v>284.1816</v>
      </c>
      <c r="M2235">
        <v>-0.99989419999999996</v>
      </c>
      <c r="N2235">
        <v>0</v>
      </c>
      <c r="O2235">
        <v>-1.190139E-3</v>
      </c>
      <c r="P2235">
        <v>-0.99637100000000001</v>
      </c>
      <c r="Q2235">
        <v>-9.4708880000000002E-3</v>
      </c>
      <c r="R2235">
        <v>-8.4590280000000004E-2</v>
      </c>
      <c r="S2235">
        <v>-2.983673</v>
      </c>
      <c r="T2235">
        <v>-4.0781739999999997E-2</v>
      </c>
      <c r="U2235">
        <v>-0.31677250000000001</v>
      </c>
      <c r="V2235">
        <v>-8.3406460000000002E-2</v>
      </c>
      <c r="W2235">
        <v>4.9508060000000003E-3</v>
      </c>
      <c r="X2235">
        <v>0.99650329999999998</v>
      </c>
      <c r="Y2235">
        <v>-0.10438210000000001</v>
      </c>
      <c r="Z2235">
        <v>-6.9510839999999997E-4</v>
      </c>
      <c r="AA2235">
        <v>0.99453709999999995</v>
      </c>
      <c r="AB2235">
        <v>33</v>
      </c>
      <c r="AC2235">
        <v>-78.872</v>
      </c>
      <c r="AD2235">
        <v>-1.08249712</v>
      </c>
      <c r="AE2235">
        <v>-8.40769999999997</v>
      </c>
      <c r="AF2235">
        <v>-8.3122673601945092</v>
      </c>
      <c r="AG2235">
        <v>-1.08249712</v>
      </c>
      <c r="AH2235">
        <v>78.867262341101707</v>
      </c>
      <c r="AI2235">
        <v>90.782036133075806</v>
      </c>
      <c r="AJ2235">
        <v>96.016514606278804</v>
      </c>
      <c r="AK2235">
        <v>79.3114787269934</v>
      </c>
      <c r="AL2235">
        <v>89.716338548672795</v>
      </c>
      <c r="AM2235">
        <v>94.784455165485596</v>
      </c>
      <c r="AN2235">
        <v>0.99999998748033503</v>
      </c>
    </row>
    <row r="2236" spans="1:40" x14ac:dyDescent="0.25">
      <c r="A2236" t="str">
        <f>"20190312151541532"</f>
        <v>20190312151541532</v>
      </c>
      <c r="B2236" t="str">
        <f>"1552374941519464"</f>
        <v>1552374941519464</v>
      </c>
      <c r="C2236" t="s">
        <v>40</v>
      </c>
      <c r="D2236">
        <v>4.1347120000000004</v>
      </c>
      <c r="E2236">
        <v>0.49205789999999999</v>
      </c>
      <c r="F2236" t="s">
        <v>50</v>
      </c>
      <c r="G2236">
        <v>-499.95780000000002</v>
      </c>
      <c r="H2236">
        <v>9.7381540000000006E-3</v>
      </c>
      <c r="I2236">
        <v>275.78899999999999</v>
      </c>
      <c r="J2236">
        <v>-421.28429999999997</v>
      </c>
      <c r="K2236">
        <v>1.109931</v>
      </c>
      <c r="L2236">
        <v>284.18130000000002</v>
      </c>
      <c r="M2236">
        <v>-0.99989399999999995</v>
      </c>
      <c r="N2236">
        <v>0</v>
      </c>
      <c r="O2236">
        <v>-1.3199310000000001E-3</v>
      </c>
      <c r="P2236">
        <v>-0.99638199999999999</v>
      </c>
      <c r="Q2236">
        <v>-9.4010090000000001E-3</v>
      </c>
      <c r="R2236">
        <v>-8.4467799999999996E-2</v>
      </c>
      <c r="S2236">
        <v>-2.9835509999999998</v>
      </c>
      <c r="T2236">
        <v>-4.1617870000000001E-2</v>
      </c>
      <c r="U2236">
        <v>-0.31747439999999999</v>
      </c>
      <c r="V2236">
        <v>-8.3154130000000007E-2</v>
      </c>
      <c r="W2236">
        <v>5.0189930000000002E-3</v>
      </c>
      <c r="X2236">
        <v>0.99652399999999997</v>
      </c>
      <c r="Y2236">
        <v>-0.1044882</v>
      </c>
      <c r="Z2236">
        <v>-7.0831149999999897E-4</v>
      </c>
      <c r="AA2236">
        <v>0.99452580000000002</v>
      </c>
      <c r="AB2236">
        <v>33</v>
      </c>
      <c r="AC2236">
        <v>-78.673500000000004</v>
      </c>
      <c r="AD2236">
        <v>-1.1001928459999999</v>
      </c>
      <c r="AE2236">
        <v>-8.3923000000000307</v>
      </c>
      <c r="AF2236">
        <v>-8.2868358352387599</v>
      </c>
      <c r="AG2236">
        <v>-1.1001928459999999</v>
      </c>
      <c r="AH2236">
        <v>78.669298374557499</v>
      </c>
      <c r="AI2236">
        <v>90.796823205317096</v>
      </c>
      <c r="AJ2236">
        <v>96.013224941923497</v>
      </c>
      <c r="AK2236">
        <v>79.112202467152599</v>
      </c>
      <c r="AL2236">
        <v>89.7124316594265</v>
      </c>
      <c r="AM2236">
        <v>94.769948991161101</v>
      </c>
      <c r="AN2236">
        <v>0.99999994110139301</v>
      </c>
    </row>
    <row r="2237" spans="1:40" x14ac:dyDescent="0.25">
      <c r="A2237" t="str">
        <f>"20190312151541545"</f>
        <v>20190312151541545</v>
      </c>
      <c r="B2237" t="str">
        <f>"1552374941539959"</f>
        <v>1552374941539959</v>
      </c>
      <c r="C2237" t="s">
        <v>40</v>
      </c>
      <c r="D2237">
        <v>4.1094949999999999</v>
      </c>
      <c r="E2237">
        <v>0.49216280000000001</v>
      </c>
      <c r="F2237" t="s">
        <v>50</v>
      </c>
      <c r="G2237">
        <v>-499.95780000000002</v>
      </c>
      <c r="H2237">
        <v>1.9786430000000001E-2</v>
      </c>
      <c r="I2237">
        <v>275.82619999999997</v>
      </c>
      <c r="J2237">
        <v>-421.4776</v>
      </c>
      <c r="K2237">
        <v>1.109936</v>
      </c>
      <c r="L2237">
        <v>284.18090000000001</v>
      </c>
      <c r="M2237">
        <v>-0.99989380000000005</v>
      </c>
      <c r="N2237">
        <v>0</v>
      </c>
      <c r="O2237">
        <v>-1.446031E-3</v>
      </c>
      <c r="P2237">
        <v>-0.9963533</v>
      </c>
      <c r="Q2237">
        <v>-9.5500440000000006E-3</v>
      </c>
      <c r="R2237">
        <v>-8.4789450000000002E-2</v>
      </c>
      <c r="S2237">
        <v>-2.9836429999999998</v>
      </c>
      <c r="T2237">
        <v>-4.1343089999999999E-2</v>
      </c>
      <c r="U2237">
        <v>-0.31686399999999998</v>
      </c>
      <c r="V2237">
        <v>-8.3350899999999895E-2</v>
      </c>
      <c r="W2237">
        <v>4.8678369999999999E-3</v>
      </c>
      <c r="X2237">
        <v>0.99650839999999996</v>
      </c>
      <c r="Y2237">
        <v>-0.1041586</v>
      </c>
      <c r="Z2237">
        <v>-6.9960170000000002E-4</v>
      </c>
      <c r="AA2237">
        <v>0.99456049999999996</v>
      </c>
      <c r="AB2237">
        <v>33</v>
      </c>
      <c r="AC2237">
        <v>-78.480199999999996</v>
      </c>
      <c r="AD2237">
        <v>-1.0901495699999999</v>
      </c>
      <c r="AE2237">
        <v>-8.3547000000000295</v>
      </c>
      <c r="AF2237">
        <v>-8.2396224809042593</v>
      </c>
      <c r="AG2237">
        <v>-1.0901495699999999</v>
      </c>
      <c r="AH2237">
        <v>78.477227610193694</v>
      </c>
      <c r="AI2237">
        <v>90.791510667101804</v>
      </c>
      <c r="AJ2237">
        <v>95.993741690358704</v>
      </c>
      <c r="AK2237">
        <v>78.916126730187102</v>
      </c>
      <c r="AL2237">
        <v>89.721092391360202</v>
      </c>
      <c r="AM2237">
        <v>94.781258494137305</v>
      </c>
      <c r="AN2237">
        <v>1.00000002981921</v>
      </c>
    </row>
    <row r="2238" spans="1:40" x14ac:dyDescent="0.25">
      <c r="A2238" t="str">
        <f>"20190312151541560"</f>
        <v>20190312151541560</v>
      </c>
      <c r="B2238" t="str">
        <f>"1552374941549720"</f>
        <v>1552374941549720</v>
      </c>
      <c r="C2238" t="s">
        <v>40</v>
      </c>
      <c r="D2238">
        <v>4.1261289999999997</v>
      </c>
      <c r="E2238">
        <v>0.49218869999999998</v>
      </c>
      <c r="F2238" t="s">
        <v>50</v>
      </c>
      <c r="G2238">
        <v>-499.95780000000002</v>
      </c>
      <c r="H2238">
        <v>4.228937E-2</v>
      </c>
      <c r="I2238">
        <v>275.84449999999998</v>
      </c>
      <c r="J2238">
        <v>-421.68400000000003</v>
      </c>
      <c r="K2238">
        <v>1.1099349999999999</v>
      </c>
      <c r="L2238">
        <v>284.18049999999999</v>
      </c>
      <c r="M2238">
        <v>-0.9998937</v>
      </c>
      <c r="N2238">
        <v>0</v>
      </c>
      <c r="O2238">
        <v>-1.5807110000000001E-3</v>
      </c>
      <c r="P2238">
        <v>-0.99634529999999999</v>
      </c>
      <c r="Q2238">
        <v>-9.380747E-3</v>
      </c>
      <c r="R2238">
        <v>-8.4901480000000001E-2</v>
      </c>
      <c r="S2238">
        <v>-2.9835820000000002</v>
      </c>
      <c r="T2238">
        <v>-4.0588739999999998E-2</v>
      </c>
      <c r="U2238">
        <v>-0.31692500000000001</v>
      </c>
      <c r="V2238">
        <v>-8.3328509999999995E-2</v>
      </c>
      <c r="W2238">
        <v>5.0352039999999997E-3</v>
      </c>
      <c r="X2238">
        <v>0.99650939999999999</v>
      </c>
      <c r="Y2238">
        <v>-0.10404720000000001</v>
      </c>
      <c r="Z2238">
        <v>-6.8426879999999998E-4</v>
      </c>
      <c r="AA2238">
        <v>0.99457209999999996</v>
      </c>
      <c r="AB2238">
        <v>33</v>
      </c>
      <c r="AC2238">
        <v>-78.273799999999994</v>
      </c>
      <c r="AD2238">
        <v>-1.0676456299999999</v>
      </c>
      <c r="AE2238">
        <v>-8.3360000000000092</v>
      </c>
      <c r="AF2238">
        <v>-8.2107378801639808</v>
      </c>
      <c r="AG2238">
        <v>-1.0676456299999999</v>
      </c>
      <c r="AH2238">
        <v>78.272481373956893</v>
      </c>
      <c r="AI2238">
        <v>90.777208614645204</v>
      </c>
      <c r="AJ2238">
        <v>95.988392909244695</v>
      </c>
      <c r="AK2238">
        <v>78.709195296130801</v>
      </c>
      <c r="AL2238">
        <v>89.711502839593294</v>
      </c>
      <c r="AM2238">
        <v>94.779975313741701</v>
      </c>
      <c r="AN2238">
        <v>0.99999998907325005</v>
      </c>
    </row>
    <row r="2239" spans="1:40" x14ac:dyDescent="0.25">
      <c r="A2239" t="str">
        <f>"20190312151541575"</f>
        <v>20190312151541575</v>
      </c>
      <c r="B2239" t="str">
        <f>"1552374941569241"</f>
        <v>1552374941569241</v>
      </c>
      <c r="C2239" t="s">
        <v>40</v>
      </c>
      <c r="D2239">
        <v>4.1056759999999999</v>
      </c>
      <c r="E2239">
        <v>0.4922339</v>
      </c>
      <c r="F2239" t="s">
        <v>50</v>
      </c>
      <c r="G2239">
        <v>-499.96940000000001</v>
      </c>
      <c r="H2239">
        <v>6.1648849999999998E-2</v>
      </c>
      <c r="I2239">
        <v>275.86169999999998</v>
      </c>
      <c r="J2239">
        <v>-421.91090000000003</v>
      </c>
      <c r="K2239">
        <v>1.109936</v>
      </c>
      <c r="L2239">
        <v>284.18</v>
      </c>
      <c r="M2239">
        <v>-0.99989349999999999</v>
      </c>
      <c r="N2239">
        <v>0</v>
      </c>
      <c r="O2239">
        <v>-1.7285E-3</v>
      </c>
      <c r="P2239">
        <v>-0.99632410000000005</v>
      </c>
      <c r="Q2239">
        <v>-9.5930159999999993E-3</v>
      </c>
      <c r="R2239">
        <v>-8.5127410000000001E-2</v>
      </c>
      <c r="S2239">
        <v>-2.9836119999999999</v>
      </c>
      <c r="T2239">
        <v>-3.995228E-2</v>
      </c>
      <c r="U2239">
        <v>-0.31704710000000003</v>
      </c>
      <c r="V2239">
        <v>-8.3406980000000006E-2</v>
      </c>
      <c r="W2239">
        <v>4.8196769999999996E-3</v>
      </c>
      <c r="X2239">
        <v>0.9965039</v>
      </c>
      <c r="Y2239">
        <v>-0.1039397</v>
      </c>
      <c r="Z2239">
        <v>-6.7084030000000002E-4</v>
      </c>
      <c r="AA2239">
        <v>0.99458340000000001</v>
      </c>
      <c r="AB2239">
        <v>33</v>
      </c>
      <c r="AC2239">
        <v>-78.058499999999896</v>
      </c>
      <c r="AD2239">
        <v>-1.0482871499999999</v>
      </c>
      <c r="AE2239">
        <v>-8.3183000000000202</v>
      </c>
      <c r="AF2239">
        <v>-8.1818902361314301</v>
      </c>
      <c r="AG2239">
        <v>-1.0482871499999999</v>
      </c>
      <c r="AH2239">
        <v>78.058843093904301</v>
      </c>
      <c r="AI2239">
        <v>90.765212865635903</v>
      </c>
      <c r="AJ2239">
        <v>95.983719406471707</v>
      </c>
      <c r="AK2239">
        <v>78.493472460732207</v>
      </c>
      <c r="AL2239">
        <v>89.723851776885198</v>
      </c>
      <c r="AM2239">
        <v>94.784481988449002</v>
      </c>
      <c r="AN2239">
        <v>0.99999998815715696</v>
      </c>
    </row>
    <row r="2240" spans="1:40" x14ac:dyDescent="0.25">
      <c r="A2240" t="str">
        <f>"20190312151541589"</f>
        <v>20190312151541589</v>
      </c>
      <c r="B2240" t="str">
        <f>"1552374941579977"</f>
        <v>1552374941579977</v>
      </c>
      <c r="C2240" t="s">
        <v>40</v>
      </c>
      <c r="D2240">
        <v>4.211106</v>
      </c>
      <c r="E2240">
        <v>0.49228529999999998</v>
      </c>
      <c r="F2240" t="s">
        <v>50</v>
      </c>
      <c r="G2240">
        <v>-499.96199999999999</v>
      </c>
      <c r="H2240">
        <v>5.4266000000000002E-2</v>
      </c>
      <c r="I2240">
        <v>275.87720000000002</v>
      </c>
      <c r="J2240">
        <v>-422.12549999999999</v>
      </c>
      <c r="K2240">
        <v>1.1099349999999999</v>
      </c>
      <c r="L2240">
        <v>284.17950000000002</v>
      </c>
      <c r="M2240">
        <v>-0.99989309999999998</v>
      </c>
      <c r="N2240">
        <v>0</v>
      </c>
      <c r="O2240">
        <v>-1.868661E-3</v>
      </c>
      <c r="P2240">
        <v>-0.99626389999999998</v>
      </c>
      <c r="Q2240">
        <v>-9.8105190000000002E-3</v>
      </c>
      <c r="R2240">
        <v>-8.5801329999999995E-2</v>
      </c>
      <c r="S2240">
        <v>-2.9835820000000002</v>
      </c>
      <c r="T2240">
        <v>-4.0354010000000003E-2</v>
      </c>
      <c r="U2240">
        <v>-0.31738280000000002</v>
      </c>
      <c r="V2240">
        <v>-8.3941650000000007E-2</v>
      </c>
      <c r="W2240">
        <v>4.5993809999999996E-3</v>
      </c>
      <c r="X2240">
        <v>0.99646009999999996</v>
      </c>
      <c r="Y2240">
        <v>-0.1039118</v>
      </c>
      <c r="Z2240">
        <v>-6.7550970000000005E-4</v>
      </c>
      <c r="AA2240">
        <v>0.99458630000000003</v>
      </c>
      <c r="AB2240">
        <v>33</v>
      </c>
      <c r="AC2240">
        <v>-77.836500000000001</v>
      </c>
      <c r="AD2240">
        <v>-1.055669</v>
      </c>
      <c r="AE2240">
        <v>-8.3023000000000007</v>
      </c>
      <c r="AF2240">
        <v>-8.1553369118233601</v>
      </c>
      <c r="AG2240">
        <v>-1.055669</v>
      </c>
      <c r="AH2240">
        <v>77.837723060485104</v>
      </c>
      <c r="AI2240">
        <v>90.772793027748904</v>
      </c>
      <c r="AJ2240">
        <v>95.981261209482795</v>
      </c>
      <c r="AK2240">
        <v>78.270908314799001</v>
      </c>
      <c r="AL2240">
        <v>89.736473962508995</v>
      </c>
      <c r="AM2240">
        <v>94.815219219234294</v>
      </c>
      <c r="AN2240">
        <v>1.00000004290115</v>
      </c>
    </row>
    <row r="2241" spans="1:40" x14ac:dyDescent="0.25">
      <c r="A2241" t="str">
        <f>"20190312151541609"</f>
        <v>20190312151541609</v>
      </c>
      <c r="B2241" t="str">
        <f>"1552374941599496"</f>
        <v>1552374941599496</v>
      </c>
      <c r="C2241" t="s">
        <v>40</v>
      </c>
      <c r="D2241">
        <v>4.2254440000000004</v>
      </c>
      <c r="E2241">
        <v>0.49236770000000002</v>
      </c>
      <c r="F2241" t="s">
        <v>50</v>
      </c>
      <c r="G2241">
        <v>-499.95780000000002</v>
      </c>
      <c r="H2241">
        <v>4.0987389999999999E-2</v>
      </c>
      <c r="I2241">
        <v>275.85419999999999</v>
      </c>
      <c r="J2241">
        <v>-422.4058</v>
      </c>
      <c r="K2241">
        <v>1.1099330000000001</v>
      </c>
      <c r="L2241">
        <v>284.17869999999999</v>
      </c>
      <c r="M2241">
        <v>-0.99989300000000003</v>
      </c>
      <c r="N2241">
        <v>0</v>
      </c>
      <c r="O2241">
        <v>-2.0519660000000001E-3</v>
      </c>
      <c r="P2241">
        <v>-0.99620929999999996</v>
      </c>
      <c r="Q2241">
        <v>-9.6255300000000002E-3</v>
      </c>
      <c r="R2241">
        <v>-8.6459610000000006E-2</v>
      </c>
      <c r="S2241">
        <v>-2.9834290000000001</v>
      </c>
      <c r="T2241">
        <v>-4.0974379999999998E-2</v>
      </c>
      <c r="U2241">
        <v>-0.31912230000000003</v>
      </c>
      <c r="V2241">
        <v>-8.4417190000000003E-2</v>
      </c>
      <c r="W2241">
        <v>4.7805770000000003E-3</v>
      </c>
      <c r="X2241">
        <v>0.99641900000000005</v>
      </c>
      <c r="Y2241">
        <v>-0.1043079</v>
      </c>
      <c r="Z2241">
        <v>-6.8610909999999999E-4</v>
      </c>
      <c r="AA2241">
        <v>0.99454480000000001</v>
      </c>
      <c r="AB2241">
        <v>33</v>
      </c>
      <c r="AC2241">
        <v>-77.552000000000007</v>
      </c>
      <c r="AD2241">
        <v>-1.0689456100000001</v>
      </c>
      <c r="AE2241">
        <v>-8.3245000000000005</v>
      </c>
      <c r="AF2241">
        <v>-8.1637983567081491</v>
      </c>
      <c r="AG2241">
        <v>-1.0689456100000001</v>
      </c>
      <c r="AH2241">
        <v>77.554353552150701</v>
      </c>
      <c r="AI2241">
        <v>90.785329519919202</v>
      </c>
      <c r="AJ2241">
        <v>96.009139083573402</v>
      </c>
      <c r="AK2241">
        <v>77.990178889512293</v>
      </c>
      <c r="AL2241">
        <v>89.726092062651105</v>
      </c>
      <c r="AM2241">
        <v>94.842567477579394</v>
      </c>
      <c r="AN2241">
        <v>0.99999996972247396</v>
      </c>
    </row>
    <row r="2242" spans="1:40" x14ac:dyDescent="0.25">
      <c r="A2242" t="str">
        <f>"20190312151541631"</f>
        <v>20190312151541631</v>
      </c>
      <c r="B2242" t="str">
        <f>"1552374941619992"</f>
        <v>1552374941619992</v>
      </c>
      <c r="C2242" t="s">
        <v>40</v>
      </c>
      <c r="D2242">
        <v>4.0912940000000004</v>
      </c>
      <c r="E2242">
        <v>0.4924558</v>
      </c>
      <c r="F2242" t="s">
        <v>50</v>
      </c>
      <c r="G2242">
        <v>-500.49369999999999</v>
      </c>
      <c r="H2242">
        <v>8.0001180000000005E-2</v>
      </c>
      <c r="I2242">
        <v>275.7928</v>
      </c>
      <c r="J2242">
        <v>-422.73390000000001</v>
      </c>
      <c r="K2242">
        <v>1.1099349999999999</v>
      </c>
      <c r="L2242">
        <v>284.17790000000002</v>
      </c>
      <c r="M2242">
        <v>-0.99989249999999996</v>
      </c>
      <c r="N2242">
        <v>0</v>
      </c>
      <c r="O2242">
        <v>-2.2660179999999999E-3</v>
      </c>
      <c r="P2242">
        <v>-0.99618309999999999</v>
      </c>
      <c r="Q2242">
        <v>-9.3634990000000008E-3</v>
      </c>
      <c r="R2242">
        <v>-8.6784440000000004E-2</v>
      </c>
      <c r="S2242">
        <v>-2.9832459999999998</v>
      </c>
      <c r="T2242">
        <v>-3.9347170000000001E-2</v>
      </c>
      <c r="U2242">
        <v>-0.32037349999999998</v>
      </c>
      <c r="V2242">
        <v>-8.4529209999999994E-2</v>
      </c>
      <c r="W2242">
        <v>5.0394960000000001E-3</v>
      </c>
      <c r="X2242">
        <v>0.99640830000000002</v>
      </c>
      <c r="Y2242">
        <v>-0.1045146</v>
      </c>
      <c r="Z2242">
        <v>-6.5743360000000001E-4</v>
      </c>
      <c r="AA2242">
        <v>0.99452309999999999</v>
      </c>
      <c r="AB2242">
        <v>33</v>
      </c>
      <c r="AC2242">
        <v>-77.759799999999899</v>
      </c>
      <c r="AD2242">
        <v>-1.0299338200000001</v>
      </c>
      <c r="AE2242">
        <v>-8.3851000000000209</v>
      </c>
      <c r="AF2242">
        <v>-8.2074315748213102</v>
      </c>
      <c r="AG2242">
        <v>-1.0299338200000001</v>
      </c>
      <c r="AH2242">
        <v>77.765117433062301</v>
      </c>
      <c r="AI2242">
        <v>90.754599624620198</v>
      </c>
      <c r="AJ2242">
        <v>96.024767214298507</v>
      </c>
      <c r="AK2242">
        <v>78.203811838726395</v>
      </c>
      <c r="AL2242">
        <v>89.711256938292095</v>
      </c>
      <c r="AM2242">
        <v>94.849014675652697</v>
      </c>
      <c r="AN2242">
        <v>1.00000004208602</v>
      </c>
    </row>
    <row r="2243" spans="1:40" x14ac:dyDescent="0.25">
      <c r="A2243" t="str">
        <f>"20190312151541644"</f>
        <v>20190312151541644</v>
      </c>
      <c r="B2243" t="str">
        <f>"1552374941639512"</f>
        <v>1552374941639512</v>
      </c>
      <c r="C2243" t="s">
        <v>40</v>
      </c>
      <c r="D2243">
        <v>4.1282949999999996</v>
      </c>
      <c r="E2243">
        <v>0.49253200000000003</v>
      </c>
      <c r="F2243" t="s">
        <v>50</v>
      </c>
      <c r="G2243">
        <v>-504.46089999999998</v>
      </c>
      <c r="H2243">
        <v>8.0000100000000005E-2</v>
      </c>
      <c r="I2243">
        <v>275.39519999999999</v>
      </c>
      <c r="J2243">
        <v>-422.92970000000003</v>
      </c>
      <c r="K2243">
        <v>1.1099399999999999</v>
      </c>
      <c r="L2243">
        <v>284.1773</v>
      </c>
      <c r="M2243">
        <v>-0.99989209999999995</v>
      </c>
      <c r="N2243">
        <v>0</v>
      </c>
      <c r="O2243">
        <v>-2.3936610000000001E-3</v>
      </c>
      <c r="P2243">
        <v>-0.99615659999999895</v>
      </c>
      <c r="Q2243">
        <v>-9.2136900000000001E-3</v>
      </c>
      <c r="R2243">
        <v>-8.7104100000000004E-2</v>
      </c>
      <c r="S2243">
        <v>-2.983215</v>
      </c>
      <c r="T2243">
        <v>-3.7594910000000002E-2</v>
      </c>
      <c r="U2243">
        <v>-0.32058720000000002</v>
      </c>
      <c r="V2243">
        <v>-8.4721560000000001E-2</v>
      </c>
      <c r="W2243">
        <v>5.1868359999999898E-3</v>
      </c>
      <c r="X2243">
        <v>0.99639120000000003</v>
      </c>
      <c r="Y2243">
        <v>-0.10445989999999999</v>
      </c>
      <c r="Z2243">
        <v>-6.2621469999999996E-4</v>
      </c>
      <c r="AA2243">
        <v>0.99452890000000005</v>
      </c>
      <c r="AB2243">
        <v>33</v>
      </c>
      <c r="AC2243">
        <v>-81.531199999999899</v>
      </c>
      <c r="AD2243">
        <v>-1.0299399</v>
      </c>
      <c r="AE2243">
        <v>-8.7821000000000105</v>
      </c>
      <c r="AF2243">
        <v>-8.5855419219216103</v>
      </c>
      <c r="AG2243">
        <v>-1.0299399</v>
      </c>
      <c r="AH2243">
        <v>81.539127253514494</v>
      </c>
      <c r="AI2243">
        <v>90.719699846874704</v>
      </c>
      <c r="AJ2243">
        <v>96.010726644196197</v>
      </c>
      <c r="AK2243">
        <v>81.996351013661098</v>
      </c>
      <c r="AL2243">
        <v>89.702814865938805</v>
      </c>
      <c r="AM2243">
        <v>94.860079041985898</v>
      </c>
      <c r="AN2243">
        <v>1.00000003471698</v>
      </c>
    </row>
    <row r="2244" spans="1:40" x14ac:dyDescent="0.25">
      <c r="A2244" t="str">
        <f>"20190312151541664"</f>
        <v>20190312151541664</v>
      </c>
      <c r="B2244" t="str">
        <f>"1552374941660013"</f>
        <v>1552374941660013</v>
      </c>
      <c r="C2244" t="s">
        <v>40</v>
      </c>
      <c r="D2244">
        <v>4.1153740000000001</v>
      </c>
      <c r="E2244">
        <v>0.49267660000000002</v>
      </c>
      <c r="F2244" t="s">
        <v>55</v>
      </c>
      <c r="G2244">
        <v>-512.82510000000002</v>
      </c>
      <c r="H2244">
        <v>-6.4538719999999898E-3</v>
      </c>
      <c r="I2244">
        <v>274.50560000000002</v>
      </c>
      <c r="J2244">
        <v>-423.2269</v>
      </c>
      <c r="K2244">
        <v>1.1099429999999999</v>
      </c>
      <c r="L2244">
        <v>284.1764</v>
      </c>
      <c r="M2244">
        <v>-0.9998918</v>
      </c>
      <c r="N2244">
        <v>0</v>
      </c>
      <c r="O2244">
        <v>-2.5869740000000001E-3</v>
      </c>
      <c r="P2244">
        <v>-0.99613600000000002</v>
      </c>
      <c r="Q2244">
        <v>-9.1489940000000006E-3</v>
      </c>
      <c r="R2244">
        <v>-8.7347750000000002E-2</v>
      </c>
      <c r="S2244">
        <v>-2.9831850000000002</v>
      </c>
      <c r="T2244">
        <v>-3.7044880000000002E-2</v>
      </c>
      <c r="U2244">
        <v>-0.3209534</v>
      </c>
      <c r="V2244">
        <v>-8.477237E-2</v>
      </c>
      <c r="W2244">
        <v>5.2478710000000003E-3</v>
      </c>
      <c r="X2244">
        <v>0.99638649999999995</v>
      </c>
      <c r="Y2244">
        <v>-0.1043897</v>
      </c>
      <c r="Z2244">
        <v>-6.1422739999999999E-4</v>
      </c>
      <c r="AA2244">
        <v>0.99453630000000004</v>
      </c>
      <c r="AB2244">
        <v>33</v>
      </c>
      <c r="AC2244">
        <v>-89.598200000000006</v>
      </c>
      <c r="AD2244">
        <v>-1.1163968719999999</v>
      </c>
      <c r="AE2244">
        <v>-9.6707999999999803</v>
      </c>
      <c r="AF2244">
        <v>-9.4375067886692303</v>
      </c>
      <c r="AG2244">
        <v>-1.1163968719999999</v>
      </c>
      <c r="AH2244">
        <v>89.609169013182594</v>
      </c>
      <c r="AI2244">
        <v>90.709857599139397</v>
      </c>
      <c r="AJ2244">
        <v>96.012144286453804</v>
      </c>
      <c r="AK2244">
        <v>90.111686520645705</v>
      </c>
      <c r="AL2244">
        <v>89.699317752941894</v>
      </c>
      <c r="AM2244">
        <v>94.863002628846999</v>
      </c>
      <c r="AN2244">
        <v>0.99999997612384905</v>
      </c>
    </row>
    <row r="2245" spans="1:40" x14ac:dyDescent="0.25">
      <c r="A2245" t="str">
        <f>"20190312151541686"</f>
        <v>20190312151541686</v>
      </c>
      <c r="B2245" t="str">
        <f>"1552374941679528"</f>
        <v>1552374941679528</v>
      </c>
      <c r="C2245" t="s">
        <v>40</v>
      </c>
      <c r="D2245">
        <v>4.1049040000000003</v>
      </c>
      <c r="E2245">
        <v>0.4927724</v>
      </c>
      <c r="F2245" t="s">
        <v>55</v>
      </c>
      <c r="G2245">
        <v>-512.82510000000002</v>
      </c>
      <c r="H2245">
        <v>1.116699E-2</v>
      </c>
      <c r="I2245">
        <v>274.5496</v>
      </c>
      <c r="J2245">
        <v>-423.54160000000002</v>
      </c>
      <c r="K2245">
        <v>1.10995</v>
      </c>
      <c r="L2245">
        <v>284.17540000000002</v>
      </c>
      <c r="M2245">
        <v>-0.99989130000000004</v>
      </c>
      <c r="N2245">
        <v>0</v>
      </c>
      <c r="O2245">
        <v>-2.79137E-3</v>
      </c>
      <c r="P2245">
        <v>-0.9961063</v>
      </c>
      <c r="Q2245">
        <v>-8.8944169999999999E-3</v>
      </c>
      <c r="R2245">
        <v>-8.7710560000000007E-2</v>
      </c>
      <c r="S2245">
        <v>-2.983215</v>
      </c>
      <c r="T2245">
        <v>-3.6581519999999999E-2</v>
      </c>
      <c r="U2245">
        <v>-0.32052609999999998</v>
      </c>
      <c r="V2245">
        <v>-8.4931430000000002E-2</v>
      </c>
      <c r="W2245">
        <v>5.4996380000000003E-3</v>
      </c>
      <c r="X2245">
        <v>0.99637160000000002</v>
      </c>
      <c r="Y2245">
        <v>-0.1040447</v>
      </c>
      <c r="Z2245">
        <v>-6.0193509999999998E-4</v>
      </c>
      <c r="AA2245">
        <v>0.99457249999999997</v>
      </c>
      <c r="AB2245">
        <v>33</v>
      </c>
      <c r="AC2245">
        <v>-89.283500000000004</v>
      </c>
      <c r="AD2245">
        <v>-1.09878301</v>
      </c>
      <c r="AE2245">
        <v>-9.6258000000000195</v>
      </c>
      <c r="AF2245">
        <v>-9.3751094997228108</v>
      </c>
      <c r="AG2245">
        <v>-1.09878301</v>
      </c>
      <c r="AH2245">
        <v>89.296655109270802</v>
      </c>
      <c r="AI2245">
        <v>90.701127942625405</v>
      </c>
      <c r="AJ2245">
        <v>95.993433378245598</v>
      </c>
      <c r="AK2245">
        <v>89.794168050820105</v>
      </c>
      <c r="AL2245">
        <v>89.6848923588351</v>
      </c>
      <c r="AM2245">
        <v>94.872155799707798</v>
      </c>
      <c r="AN2245">
        <v>0.99999997955326703</v>
      </c>
    </row>
    <row r="2246" spans="1:40" x14ac:dyDescent="0.25">
      <c r="A2246" t="str">
        <f>"20190312151541708"</f>
        <v>20190312151541708</v>
      </c>
      <c r="B2246" t="str">
        <f>"1552374941700079"</f>
        <v>1552374941700079</v>
      </c>
      <c r="C2246" t="s">
        <v>40</v>
      </c>
      <c r="D2246">
        <v>4.1483309999999998</v>
      </c>
      <c r="E2246">
        <v>0.49283840000000001</v>
      </c>
      <c r="F2246" t="s">
        <v>55</v>
      </c>
      <c r="G2246">
        <v>-512.8252</v>
      </c>
      <c r="H2246">
        <v>4.9408019999999997E-2</v>
      </c>
      <c r="I2246">
        <v>274.57209999999998</v>
      </c>
      <c r="J2246">
        <v>-423.86649999999997</v>
      </c>
      <c r="K2246">
        <v>1.1099509999999999</v>
      </c>
      <c r="L2246">
        <v>284.17419999999998</v>
      </c>
      <c r="M2246">
        <v>-0.99989059999999996</v>
      </c>
      <c r="N2246">
        <v>0</v>
      </c>
      <c r="O2246">
        <v>-3.0022009999999999E-3</v>
      </c>
      <c r="P2246">
        <v>-0.99609800000000004</v>
      </c>
      <c r="Q2246">
        <v>-7.85193E-3</v>
      </c>
      <c r="R2246">
        <v>-8.7903369999999995E-2</v>
      </c>
      <c r="S2246">
        <v>-2.9831240000000001</v>
      </c>
      <c r="T2246">
        <v>-3.5431860000000003E-2</v>
      </c>
      <c r="U2246">
        <v>-0.32086179999999997</v>
      </c>
      <c r="V2246">
        <v>-8.491522E-2</v>
      </c>
      <c r="W2246">
        <v>6.5391240000000003E-3</v>
      </c>
      <c r="X2246">
        <v>0.99636670000000005</v>
      </c>
      <c r="Y2246">
        <v>-0.1039494</v>
      </c>
      <c r="Z2246">
        <v>-5.7997229999999999E-4</v>
      </c>
      <c r="AA2246">
        <v>0.99458239999999998</v>
      </c>
      <c r="AB2246">
        <v>33</v>
      </c>
      <c r="AC2246">
        <v>-88.958699999999993</v>
      </c>
      <c r="AD2246">
        <v>-1.0605429799999999</v>
      </c>
      <c r="AE2246">
        <v>-9.6021000000000001</v>
      </c>
      <c r="AF2246">
        <v>-9.3336455080772094</v>
      </c>
      <c r="AG2246">
        <v>-1.0605429799999999</v>
      </c>
      <c r="AH2246">
        <v>88.974629320772493</v>
      </c>
      <c r="AI2246">
        <v>90.679184603271196</v>
      </c>
      <c r="AJ2246">
        <v>95.988557571575001</v>
      </c>
      <c r="AK2246">
        <v>89.469136313321698</v>
      </c>
      <c r="AL2246">
        <v>89.625333114602199</v>
      </c>
      <c r="AM2246">
        <v>94.871254216543406</v>
      </c>
      <c r="AN2246">
        <v>0.99999997779961203</v>
      </c>
    </row>
    <row r="2247" spans="1:40" x14ac:dyDescent="0.25">
      <c r="A2247" t="str">
        <f>"20190312151541732"</f>
        <v>20190312151541732</v>
      </c>
      <c r="B2247" t="str">
        <f>"1552374941719599"</f>
        <v>1552374941719599</v>
      </c>
      <c r="C2247" t="s">
        <v>40</v>
      </c>
      <c r="D2247">
        <v>4.1744690000000002</v>
      </c>
      <c r="E2247">
        <v>0.49290790000000001</v>
      </c>
      <c r="F2247" t="s">
        <v>55</v>
      </c>
      <c r="G2247">
        <v>-512.8252</v>
      </c>
      <c r="H2247">
        <v>0.156226799999999</v>
      </c>
      <c r="I2247">
        <v>274.60509999999999</v>
      </c>
      <c r="J2247">
        <v>-424.20760000000001</v>
      </c>
      <c r="K2247">
        <v>1.109955</v>
      </c>
      <c r="L2247">
        <v>284.173</v>
      </c>
      <c r="M2247">
        <v>-0.9998901</v>
      </c>
      <c r="N2247">
        <v>0</v>
      </c>
      <c r="O2247">
        <v>-3.223273E-3</v>
      </c>
      <c r="P2247">
        <v>-0.99603940000000002</v>
      </c>
      <c r="Q2247">
        <v>-6.0967259999999898E-3</v>
      </c>
      <c r="R2247">
        <v>-8.8704740000000004E-2</v>
      </c>
      <c r="S2247">
        <v>-2.9831850000000002</v>
      </c>
      <c r="T2247">
        <v>-3.1979920000000002E-2</v>
      </c>
      <c r="U2247">
        <v>-0.32089230000000002</v>
      </c>
      <c r="V2247">
        <v>-8.5496569999999994E-2</v>
      </c>
      <c r="W2247">
        <v>8.2900219999999993E-3</v>
      </c>
      <c r="X2247">
        <v>0.99630399999999997</v>
      </c>
      <c r="Y2247">
        <v>-0.1037387</v>
      </c>
      <c r="Z2247">
        <v>-5.1997209999999998E-4</v>
      </c>
      <c r="AA2247">
        <v>0.9946045</v>
      </c>
      <c r="AB2247">
        <v>33</v>
      </c>
      <c r="AC2247">
        <v>-88.617599999999896</v>
      </c>
      <c r="AD2247">
        <v>-0.95372819999999903</v>
      </c>
      <c r="AE2247">
        <v>-9.5678999999999998</v>
      </c>
      <c r="AF2247">
        <v>-9.2811190426417305</v>
      </c>
      <c r="AG2247">
        <v>-0.95372819999999903</v>
      </c>
      <c r="AH2247">
        <v>88.637834398777599</v>
      </c>
      <c r="AI2247">
        <v>90.613117528970506</v>
      </c>
      <c r="AJ2247">
        <v>95.977562857779006</v>
      </c>
      <c r="AK2247">
        <v>89.127517945179505</v>
      </c>
      <c r="AL2247">
        <v>89.525011298151995</v>
      </c>
      <c r="AM2247">
        <v>94.904749018942795</v>
      </c>
      <c r="AN2247">
        <v>1.0000000241812601</v>
      </c>
    </row>
    <row r="2248" spans="1:40" x14ac:dyDescent="0.25">
      <c r="A2248" t="str">
        <f>"20190312151541753"</f>
        <v>20190312151541753</v>
      </c>
      <c r="B2248" t="str">
        <f>"1552374941749855"</f>
        <v>1552374941749855</v>
      </c>
      <c r="C2248" t="s">
        <v>40</v>
      </c>
      <c r="D2248">
        <v>4.1585229999999997</v>
      </c>
      <c r="E2248">
        <v>0.4930157</v>
      </c>
      <c r="F2248" t="s">
        <v>55</v>
      </c>
      <c r="G2248">
        <v>-512.82529999999997</v>
      </c>
      <c r="H2248">
        <v>0.3194109</v>
      </c>
      <c r="I2248">
        <v>274.584</v>
      </c>
      <c r="J2248">
        <v>-424.517</v>
      </c>
      <c r="K2248">
        <v>1.109961</v>
      </c>
      <c r="L2248">
        <v>284.17180000000002</v>
      </c>
      <c r="M2248">
        <v>-0.99988940000000004</v>
      </c>
      <c r="N2248">
        <v>0</v>
      </c>
      <c r="O2248">
        <v>-3.4225359999999999E-3</v>
      </c>
      <c r="P2248">
        <v>-0.99604539999999997</v>
      </c>
      <c r="Q2248">
        <v>-5.0158570000000003E-3</v>
      </c>
      <c r="R2248">
        <v>-8.8703199999999996E-2</v>
      </c>
      <c r="S2248">
        <v>-2.983063</v>
      </c>
      <c r="T2248">
        <v>-2.6608710000000001E-2</v>
      </c>
      <c r="U2248">
        <v>-0.32278440000000003</v>
      </c>
      <c r="V2248">
        <v>-8.5297639999999994E-2</v>
      </c>
      <c r="W2248">
        <v>9.3685839999999992E-3</v>
      </c>
      <c r="X2248">
        <v>0.99631150000000002</v>
      </c>
      <c r="Y2248">
        <v>-0.1041701</v>
      </c>
      <c r="Z2248">
        <v>-4.3279290000000002E-4</v>
      </c>
      <c r="AA2248">
        <v>0.99455939999999998</v>
      </c>
      <c r="AB2248">
        <v>33</v>
      </c>
      <c r="AC2248">
        <v>-88.308299999999903</v>
      </c>
      <c r="AD2248">
        <v>-0.79055009999999903</v>
      </c>
      <c r="AE2248">
        <v>-9.5878000000000103</v>
      </c>
      <c r="AF2248">
        <v>-9.2847384162686204</v>
      </c>
      <c r="AG2248">
        <v>-0.79055009999999903</v>
      </c>
      <c r="AH2248">
        <v>88.333604023844401</v>
      </c>
      <c r="AI2248">
        <v>90.509951301500294</v>
      </c>
      <c r="AJ2248">
        <v>96.000322385835403</v>
      </c>
      <c r="AK2248">
        <v>88.823740839712897</v>
      </c>
      <c r="AL2248">
        <v>89.463211841094207</v>
      </c>
      <c r="AM2248">
        <v>94.893355665588203</v>
      </c>
      <c r="AN2248">
        <v>1.0000000313939901</v>
      </c>
    </row>
    <row r="2249" spans="1:40" x14ac:dyDescent="0.25">
      <c r="A2249" t="str">
        <f>"20190312151541777"</f>
        <v>20190312151541777</v>
      </c>
      <c r="B2249" t="str">
        <f>"1552374941770351"</f>
        <v>1552374941770351</v>
      </c>
      <c r="C2249" t="s">
        <v>40</v>
      </c>
      <c r="D2249">
        <v>4.1559879999999998</v>
      </c>
      <c r="E2249">
        <v>0.49312529999999999</v>
      </c>
      <c r="F2249" t="s">
        <v>55</v>
      </c>
      <c r="G2249">
        <v>-512.82529999999997</v>
      </c>
      <c r="H2249">
        <v>0.4142402</v>
      </c>
      <c r="I2249">
        <v>274.64170000000001</v>
      </c>
      <c r="J2249">
        <v>-424.85070000000002</v>
      </c>
      <c r="K2249">
        <v>1.1099619999999999</v>
      </c>
      <c r="L2249">
        <v>284.17039999999997</v>
      </c>
      <c r="M2249">
        <v>-0.99988880000000002</v>
      </c>
      <c r="N2249">
        <v>0</v>
      </c>
      <c r="O2249">
        <v>-3.636813E-3</v>
      </c>
      <c r="P2249">
        <v>-0.99602950000000001</v>
      </c>
      <c r="Q2249">
        <v>-4.4259049999999999E-3</v>
      </c>
      <c r="R2249">
        <v>-8.8915389999999997E-2</v>
      </c>
      <c r="S2249">
        <v>-2.9830930000000002</v>
      </c>
      <c r="T2249">
        <v>-2.3499010000000001E-2</v>
      </c>
      <c r="U2249">
        <v>-0.32192989999999999</v>
      </c>
      <c r="V2249">
        <v>-8.5296220000000006E-2</v>
      </c>
      <c r="W2249">
        <v>9.9545899999999993E-3</v>
      </c>
      <c r="X2249">
        <v>0.99630589999999997</v>
      </c>
      <c r="Y2249">
        <v>-0.1036752</v>
      </c>
      <c r="Z2249">
        <v>-3.7859020000000001E-4</v>
      </c>
      <c r="AA2249">
        <v>0.99461109999999997</v>
      </c>
      <c r="AB2249">
        <v>33</v>
      </c>
      <c r="AC2249">
        <v>-87.974599999999896</v>
      </c>
      <c r="AD2249">
        <v>-0.69572179999999995</v>
      </c>
      <c r="AE2249">
        <v>-9.5286999999999509</v>
      </c>
      <c r="AF2249">
        <v>-9.2080871422846897</v>
      </c>
      <c r="AG2249">
        <v>-0.69572179999999995</v>
      </c>
      <c r="AH2249">
        <v>88.003235918555305</v>
      </c>
      <c r="AI2249">
        <v>90.450491092194596</v>
      </c>
      <c r="AJ2249">
        <v>95.973322603133099</v>
      </c>
      <c r="AK2249">
        <v>88.486396862906503</v>
      </c>
      <c r="AL2249">
        <v>89.429634581831806</v>
      </c>
      <c r="AM2249">
        <v>94.893301968952699</v>
      </c>
      <c r="AN2249">
        <v>0.99999999269158302</v>
      </c>
    </row>
    <row r="2250" spans="1:40" x14ac:dyDescent="0.25">
      <c r="A2250" t="str">
        <f>"20190312151541798"</f>
        <v>20190312151541798</v>
      </c>
      <c r="B2250" t="str">
        <f>"1552374941789872"</f>
        <v>1552374941789872</v>
      </c>
      <c r="C2250" t="s">
        <v>40</v>
      </c>
      <c r="D2250">
        <v>4.106751</v>
      </c>
      <c r="E2250">
        <v>0.49322519999999997</v>
      </c>
      <c r="F2250" t="s">
        <v>55</v>
      </c>
      <c r="G2250">
        <v>-512.82529999999997</v>
      </c>
      <c r="H2250">
        <v>0.48162880000000002</v>
      </c>
      <c r="I2250">
        <v>274.68639999999999</v>
      </c>
      <c r="J2250">
        <v>-425.17500000000001</v>
      </c>
      <c r="K2250">
        <v>1.1099619999999999</v>
      </c>
      <c r="L2250">
        <v>284.16899999999998</v>
      </c>
      <c r="M2250">
        <v>-0.99988809999999995</v>
      </c>
      <c r="N2250">
        <v>0</v>
      </c>
      <c r="O2250">
        <v>-3.8443000000000001E-3</v>
      </c>
      <c r="P2250">
        <v>-0.99601139999999999</v>
      </c>
      <c r="Q2250">
        <v>-3.7479480000000001E-3</v>
      </c>
      <c r="R2250">
        <v>-8.9148389999999994E-2</v>
      </c>
      <c r="S2250">
        <v>-2.9831539999999999</v>
      </c>
      <c r="T2250">
        <v>-2.1303530000000001E-2</v>
      </c>
      <c r="U2250">
        <v>-0.3215942</v>
      </c>
      <c r="V2250">
        <v>-8.5322709999999996E-2</v>
      </c>
      <c r="W2250">
        <v>1.062976E-2</v>
      </c>
      <c r="X2250">
        <v>0.99629659999999998</v>
      </c>
      <c r="Y2250">
        <v>-0.10335660000000001</v>
      </c>
      <c r="Z2250">
        <v>-3.4060330000000003E-4</v>
      </c>
      <c r="AA2250">
        <v>0.99464430000000004</v>
      </c>
      <c r="AB2250">
        <v>33</v>
      </c>
      <c r="AC2250">
        <v>-87.650299999999902</v>
      </c>
      <c r="AD2250">
        <v>-0.62833320000000004</v>
      </c>
      <c r="AE2250">
        <v>-9.4826000000000406</v>
      </c>
      <c r="AF2250">
        <v>-9.1450761254615394</v>
      </c>
      <c r="AG2250">
        <v>-0.62833320000000004</v>
      </c>
      <c r="AH2250">
        <v>87.681656179880505</v>
      </c>
      <c r="AI2250">
        <v>90.408363695816107</v>
      </c>
      <c r="AJ2250">
        <v>95.954342416552095</v>
      </c>
      <c r="AK2250">
        <v>88.159514803550806</v>
      </c>
      <c r="AL2250">
        <v>89.390948105713406</v>
      </c>
      <c r="AM2250">
        <v>94.894859742832594</v>
      </c>
      <c r="AN2250">
        <v>0.99999993590547798</v>
      </c>
    </row>
    <row r="2251" spans="1:40" x14ac:dyDescent="0.25">
      <c r="A2251" t="str">
        <f>"20190312151541821"</f>
        <v>20190312151541821</v>
      </c>
      <c r="B2251" t="str">
        <f>"1552374941810368"</f>
        <v>1552374941810368</v>
      </c>
      <c r="C2251" t="s">
        <v>40</v>
      </c>
      <c r="D2251">
        <v>4.1792980000000002</v>
      </c>
      <c r="E2251">
        <v>0.49328889999999997</v>
      </c>
      <c r="F2251" t="s">
        <v>55</v>
      </c>
      <c r="G2251">
        <v>-512.82529999999997</v>
      </c>
      <c r="H2251">
        <v>0.55247760000000001</v>
      </c>
      <c r="I2251">
        <v>274.71809999999999</v>
      </c>
      <c r="J2251">
        <v>-425.4984</v>
      </c>
      <c r="K2251">
        <v>1.109958</v>
      </c>
      <c r="L2251">
        <v>284.16750000000002</v>
      </c>
      <c r="M2251">
        <v>-0.99988730000000003</v>
      </c>
      <c r="N2251">
        <v>0</v>
      </c>
      <c r="O2251">
        <v>-4.0508369999999998E-3</v>
      </c>
      <c r="P2251">
        <v>-0.99603140000000001</v>
      </c>
      <c r="Q2251">
        <v>-3.497553E-3</v>
      </c>
      <c r="R2251">
        <v>-8.8933739999999997E-2</v>
      </c>
      <c r="S2251">
        <v>-2.9831240000000001</v>
      </c>
      <c r="T2251">
        <v>-1.8970850000000001E-2</v>
      </c>
      <c r="U2251">
        <v>-0.32165529999999998</v>
      </c>
      <c r="V2251">
        <v>-8.4902499999999895E-2</v>
      </c>
      <c r="W2251">
        <v>1.087722E-2</v>
      </c>
      <c r="X2251">
        <v>0.99632989999999999</v>
      </c>
      <c r="Y2251">
        <v>-0.1031728</v>
      </c>
      <c r="Z2251">
        <v>-3.0141940000000001E-4</v>
      </c>
      <c r="AA2251">
        <v>0.99466339999999998</v>
      </c>
      <c r="AB2251">
        <v>32</v>
      </c>
      <c r="AC2251">
        <v>-87.326899999999895</v>
      </c>
      <c r="AD2251">
        <v>-0.55748039999999999</v>
      </c>
      <c r="AE2251">
        <v>-9.4494000000000202</v>
      </c>
      <c r="AF2251">
        <v>-9.0951720796373507</v>
      </c>
      <c r="AG2251">
        <v>-0.55748039999999999</v>
      </c>
      <c r="AH2251">
        <v>87.360946295090798</v>
      </c>
      <c r="AI2251">
        <v>90.363653766575197</v>
      </c>
      <c r="AJ2251">
        <v>95.943666672079999</v>
      </c>
      <c r="AK2251">
        <v>87.834889862333995</v>
      </c>
      <c r="AL2251">
        <v>89.376768916894207</v>
      </c>
      <c r="AM2251">
        <v>94.870707060552505</v>
      </c>
      <c r="AN2251">
        <v>1.00000000902759</v>
      </c>
    </row>
    <row r="2252" spans="1:40" x14ac:dyDescent="0.25">
      <c r="A2252" t="str">
        <f>"20190312151541842"</f>
        <v>20190312151541842</v>
      </c>
      <c r="B2252" t="str">
        <f>"1552374941839647"</f>
        <v>1552374941839647</v>
      </c>
      <c r="C2252" t="s">
        <v>40</v>
      </c>
      <c r="D2252">
        <v>4.2066520000000001</v>
      </c>
      <c r="E2252">
        <v>0.4933921</v>
      </c>
      <c r="F2252" t="s">
        <v>55</v>
      </c>
      <c r="G2252">
        <v>-512.82529999999997</v>
      </c>
      <c r="H2252">
        <v>0.56828579999999995</v>
      </c>
      <c r="I2252">
        <v>274.79050000000001</v>
      </c>
      <c r="J2252">
        <v>-425.81290000000001</v>
      </c>
      <c r="K2252">
        <v>1.1099600000000001</v>
      </c>
      <c r="L2252">
        <v>284.166</v>
      </c>
      <c r="M2252">
        <v>-0.99988650000000001</v>
      </c>
      <c r="N2252">
        <v>0</v>
      </c>
      <c r="O2252">
        <v>-4.2512979999999997E-3</v>
      </c>
      <c r="P2252">
        <v>-0.99601589999999995</v>
      </c>
      <c r="Q2252">
        <v>-3.682669E-3</v>
      </c>
      <c r="R2252">
        <v>-8.9100670000000007E-2</v>
      </c>
      <c r="S2252">
        <v>-2.9833069999999999</v>
      </c>
      <c r="T2252">
        <v>-1.850212E-2</v>
      </c>
      <c r="U2252">
        <v>-0.32034299999999999</v>
      </c>
      <c r="V2252">
        <v>-8.4869420000000001E-2</v>
      </c>
      <c r="W2252">
        <v>1.068936E-2</v>
      </c>
      <c r="X2252">
        <v>0.99633470000000002</v>
      </c>
      <c r="Y2252">
        <v>-0.1025345</v>
      </c>
      <c r="Z2252">
        <v>-2.9074770000000002E-4</v>
      </c>
      <c r="AA2252">
        <v>0.99472939999999999</v>
      </c>
      <c r="AB2252">
        <v>32</v>
      </c>
      <c r="AC2252">
        <v>-87.0123999999999</v>
      </c>
      <c r="AD2252">
        <v>-0.541674199999999</v>
      </c>
      <c r="AE2252">
        <v>-9.3754999999999793</v>
      </c>
      <c r="AF2252">
        <v>-9.0051159922485695</v>
      </c>
      <c r="AG2252">
        <v>-0.541674199999999</v>
      </c>
      <c r="AH2252">
        <v>87.048141001502003</v>
      </c>
      <c r="AI2252">
        <v>90.354637128441894</v>
      </c>
      <c r="AJ2252">
        <v>95.906229609701001</v>
      </c>
      <c r="AK2252">
        <v>87.514366687934</v>
      </c>
      <c r="AL2252">
        <v>89.387533096327402</v>
      </c>
      <c r="AM2252">
        <v>94.868795100003595</v>
      </c>
      <c r="AN2252">
        <v>0.99999995764621696</v>
      </c>
    </row>
    <row r="2253" spans="1:40" x14ac:dyDescent="0.25">
      <c r="A2253" t="str">
        <f>"20190312151541865"</f>
        <v>20190312151541865</v>
      </c>
      <c r="B2253" t="str">
        <f>"1552374941860143"</f>
        <v>1552374941860143</v>
      </c>
      <c r="C2253" t="s">
        <v>40</v>
      </c>
      <c r="D2253">
        <v>4.2668990000000004</v>
      </c>
      <c r="E2253">
        <v>0.49356070000000002</v>
      </c>
      <c r="F2253" t="s">
        <v>55</v>
      </c>
      <c r="G2253">
        <v>-512.82529999999997</v>
      </c>
      <c r="H2253">
        <v>0.53998159999999995</v>
      </c>
      <c r="I2253">
        <v>274.82990000000001</v>
      </c>
      <c r="J2253">
        <v>-426.14069999999998</v>
      </c>
      <c r="K2253">
        <v>1.109964</v>
      </c>
      <c r="L2253">
        <v>284.16449999999998</v>
      </c>
      <c r="M2253">
        <v>-0.99988560000000004</v>
      </c>
      <c r="N2253">
        <v>0</v>
      </c>
      <c r="O2253">
        <v>-4.4601060000000001E-3</v>
      </c>
      <c r="P2253">
        <v>-0.99599110000000002</v>
      </c>
      <c r="Q2253">
        <v>-3.8584629999999999E-3</v>
      </c>
      <c r="R2253">
        <v>-8.9370379999999999E-2</v>
      </c>
      <c r="S2253">
        <v>-2.9833069999999999</v>
      </c>
      <c r="T2253">
        <v>-1.9539480000000001E-2</v>
      </c>
      <c r="U2253">
        <v>-0.32009890000000002</v>
      </c>
      <c r="V2253">
        <v>-8.4931339999999994E-2</v>
      </c>
      <c r="W2253">
        <v>1.0509599999999999E-2</v>
      </c>
      <c r="X2253">
        <v>0.99633139999999998</v>
      </c>
      <c r="Y2253">
        <v>-0.10224610000000001</v>
      </c>
      <c r="Z2253">
        <v>-3.0474469999999999E-4</v>
      </c>
      <c r="AA2253">
        <v>0.99475910000000001</v>
      </c>
      <c r="AB2253">
        <v>32</v>
      </c>
      <c r="AC2253">
        <v>-86.684599999999904</v>
      </c>
      <c r="AD2253">
        <v>-0.5699824</v>
      </c>
      <c r="AE2253">
        <v>-9.3345999999999592</v>
      </c>
      <c r="AF2253">
        <v>-8.9474618309238494</v>
      </c>
      <c r="AG2253">
        <v>-0.5699824</v>
      </c>
      <c r="AH2253">
        <v>86.721668819765</v>
      </c>
      <c r="AI2253">
        <v>90.374585493374894</v>
      </c>
      <c r="AJ2253">
        <v>95.890618613192004</v>
      </c>
      <c r="AK2253">
        <v>87.183884956092399</v>
      </c>
      <c r="AL2253">
        <v>89.397833203121706</v>
      </c>
      <c r="AM2253">
        <v>94.872346296941103</v>
      </c>
      <c r="AN2253">
        <v>1.00000002141615</v>
      </c>
    </row>
    <row r="2254" spans="1:40" x14ac:dyDescent="0.25">
      <c r="A2254" t="str">
        <f>"20190312151541887"</f>
        <v>20190312151541887</v>
      </c>
      <c r="B2254" t="str">
        <f>"1552374941879663"</f>
        <v>1552374941879663</v>
      </c>
      <c r="C2254" t="s">
        <v>40</v>
      </c>
      <c r="D2254">
        <v>4.2582559999999896</v>
      </c>
      <c r="E2254">
        <v>0.4937628</v>
      </c>
      <c r="F2254" t="s">
        <v>55</v>
      </c>
      <c r="G2254">
        <v>-512.82529999999997</v>
      </c>
      <c r="H2254">
        <v>0.51031780000000004</v>
      </c>
      <c r="I2254">
        <v>274.88029999999998</v>
      </c>
      <c r="J2254">
        <v>-426.46190000000001</v>
      </c>
      <c r="K2254">
        <v>1.109964</v>
      </c>
      <c r="L2254">
        <v>284.1628</v>
      </c>
      <c r="M2254">
        <v>-0.99988469999999996</v>
      </c>
      <c r="N2254">
        <v>0</v>
      </c>
      <c r="O2254">
        <v>-4.6642690000000004E-3</v>
      </c>
      <c r="P2254">
        <v>-0.99594159999999998</v>
      </c>
      <c r="Q2254">
        <v>-4.1573590000000002E-3</v>
      </c>
      <c r="R2254">
        <v>-8.9905070000000004E-2</v>
      </c>
      <c r="S2254">
        <v>-2.9833069999999999</v>
      </c>
      <c r="T2254">
        <v>-2.0634409999999999E-2</v>
      </c>
      <c r="U2254">
        <v>-0.319519</v>
      </c>
      <c r="V2254">
        <v>-8.5262260000000006E-2</v>
      </c>
      <c r="W2254">
        <v>1.0207300000000001E-2</v>
      </c>
      <c r="X2254">
        <v>0.99630620000000003</v>
      </c>
      <c r="Y2254">
        <v>-0.1018516</v>
      </c>
      <c r="Z2254">
        <v>-3.190561E-4</v>
      </c>
      <c r="AA2254">
        <v>0.99479960000000001</v>
      </c>
      <c r="AB2254">
        <v>32</v>
      </c>
      <c r="AC2254">
        <v>-86.363399999999899</v>
      </c>
      <c r="AD2254">
        <v>-0.59964619999999902</v>
      </c>
      <c r="AE2254">
        <v>-9.2825000000000202</v>
      </c>
      <c r="AF2254">
        <v>-8.8791116421407708</v>
      </c>
      <c r="AG2254">
        <v>-0.59964619999999902</v>
      </c>
      <c r="AH2254">
        <v>86.401643170332704</v>
      </c>
      <c r="AI2254">
        <v>90.395555658916294</v>
      </c>
      <c r="AJ2254">
        <v>95.867434802719401</v>
      </c>
      <c r="AK2254">
        <v>86.858748216010298</v>
      </c>
      <c r="AL2254">
        <v>89.415154600432004</v>
      </c>
      <c r="AM2254">
        <v>94.891361728661906</v>
      </c>
      <c r="AN2254">
        <v>0.99999994305601703</v>
      </c>
    </row>
    <row r="2255" spans="1:40" x14ac:dyDescent="0.25">
      <c r="A2255" t="str">
        <f>"20190312151541909"</f>
        <v>20190312151541909</v>
      </c>
      <c r="B2255" t="str">
        <f>"1552374941900159"</f>
        <v>1552374941900159</v>
      </c>
      <c r="C2255" t="s">
        <v>40</v>
      </c>
      <c r="D2255">
        <v>4.2713130000000001</v>
      </c>
      <c r="E2255">
        <v>0.49395610000000001</v>
      </c>
      <c r="F2255" t="s">
        <v>55</v>
      </c>
      <c r="G2255">
        <v>-512.82529999999997</v>
      </c>
      <c r="H2255">
        <v>0.4722731</v>
      </c>
      <c r="I2255">
        <v>274.90940000000001</v>
      </c>
      <c r="J2255">
        <v>-426.78219999999999</v>
      </c>
      <c r="K2255">
        <v>1.1099600000000001</v>
      </c>
      <c r="L2255">
        <v>284.16109999999998</v>
      </c>
      <c r="M2255">
        <v>-0.99988390000000005</v>
      </c>
      <c r="N2255">
        <v>0</v>
      </c>
      <c r="O2255">
        <v>-4.8681920000000004E-3</v>
      </c>
      <c r="P2255">
        <v>-0.99589070000000002</v>
      </c>
      <c r="Q2255">
        <v>-4.1591709999999997E-3</v>
      </c>
      <c r="R2255">
        <v>-9.0470049999999996E-2</v>
      </c>
      <c r="S2255">
        <v>-2.983276</v>
      </c>
      <c r="T2255">
        <v>-2.2025110000000001E-2</v>
      </c>
      <c r="U2255">
        <v>-0.31964110000000001</v>
      </c>
      <c r="V2255">
        <v>-8.5624290000000006E-2</v>
      </c>
      <c r="W2255">
        <v>1.020158E-2</v>
      </c>
      <c r="X2255">
        <v>0.99627520000000003</v>
      </c>
      <c r="Y2255">
        <v>-0.10168969999999999</v>
      </c>
      <c r="Z2255">
        <v>-3.3846460000000001E-4</v>
      </c>
      <c r="AA2255">
        <v>0.99481609999999998</v>
      </c>
      <c r="AB2255">
        <v>32</v>
      </c>
      <c r="AC2255">
        <v>-86.043099999999896</v>
      </c>
      <c r="AD2255">
        <v>-0.63768689999999995</v>
      </c>
      <c r="AE2255">
        <v>-9.2516999999999694</v>
      </c>
      <c r="AF2255">
        <v>-8.8321927663181796</v>
      </c>
      <c r="AG2255">
        <v>-0.63768689999999995</v>
      </c>
      <c r="AH2255">
        <v>86.082449770611902</v>
      </c>
      <c r="AI2255">
        <v>90.422215012295197</v>
      </c>
      <c r="AJ2255">
        <v>95.8581368169055</v>
      </c>
      <c r="AK2255">
        <v>86.536711470645599</v>
      </c>
      <c r="AL2255">
        <v>89.415482343322907</v>
      </c>
      <c r="AM2255">
        <v>94.912181511215906</v>
      </c>
      <c r="AN2255">
        <v>0.99999993270376797</v>
      </c>
    </row>
    <row r="2256" spans="1:40" x14ac:dyDescent="0.25">
      <c r="A2256" t="str">
        <f>"20190312151541932"</f>
        <v>20190312151541932</v>
      </c>
      <c r="B2256" t="str">
        <f>"1552374941919680"</f>
        <v>1552374941919680</v>
      </c>
      <c r="C2256" t="s">
        <v>40</v>
      </c>
      <c r="D2256">
        <v>4.2710339999999896</v>
      </c>
      <c r="E2256">
        <v>0.49413040000000003</v>
      </c>
      <c r="F2256" t="s">
        <v>55</v>
      </c>
      <c r="G2256">
        <v>-512.82529999999997</v>
      </c>
      <c r="H2256">
        <v>0.46871790000000002</v>
      </c>
      <c r="I2256">
        <v>274.9436</v>
      </c>
      <c r="J2256">
        <v>-427.10809999999998</v>
      </c>
      <c r="K2256">
        <v>1.109961</v>
      </c>
      <c r="L2256">
        <v>284.15929999999997</v>
      </c>
      <c r="M2256">
        <v>-0.99988279999999996</v>
      </c>
      <c r="N2256">
        <v>0</v>
      </c>
      <c r="O2256">
        <v>-5.0756899999999999E-3</v>
      </c>
      <c r="P2256">
        <v>-0.99587250000000005</v>
      </c>
      <c r="Q2256">
        <v>-3.9255699999999998E-3</v>
      </c>
      <c r="R2256">
        <v>-9.0678949999999994E-2</v>
      </c>
      <c r="S2256">
        <v>-2.983215</v>
      </c>
      <c r="T2256">
        <v>-2.2229789999999999E-2</v>
      </c>
      <c r="U2256">
        <v>-0.31958009999999998</v>
      </c>
      <c r="V2256">
        <v>-8.5626450000000007E-2</v>
      </c>
      <c r="W2256">
        <v>1.0431879999999999E-2</v>
      </c>
      <c r="X2256">
        <v>0.99627270000000001</v>
      </c>
      <c r="Y2256">
        <v>-0.10146520000000001</v>
      </c>
      <c r="Z2256">
        <v>-3.3924170000000002E-4</v>
      </c>
      <c r="AA2256">
        <v>0.99483900000000003</v>
      </c>
      <c r="AB2256">
        <v>32</v>
      </c>
      <c r="AC2256">
        <v>-85.717199999999906</v>
      </c>
      <c r="AD2256">
        <v>-0.64124309999999995</v>
      </c>
      <c r="AE2256">
        <v>-9.2156999999999698</v>
      </c>
      <c r="AF2256">
        <v>-8.7799761901943896</v>
      </c>
      <c r="AG2256">
        <v>-0.64124309999999995</v>
      </c>
      <c r="AH2256">
        <v>85.758131994844604</v>
      </c>
      <c r="AI2256">
        <v>90.426184613411493</v>
      </c>
      <c r="AJ2256">
        <v>95.845613666450305</v>
      </c>
      <c r="AK2256">
        <v>86.208795246534294</v>
      </c>
      <c r="AL2256">
        <v>89.402286464078003</v>
      </c>
      <c r="AM2256">
        <v>94.912317088339293</v>
      </c>
      <c r="AN2256">
        <v>1.0000000029126099</v>
      </c>
    </row>
    <row r="2257" spans="1:40" x14ac:dyDescent="0.25">
      <c r="A2257" t="str">
        <f>"20190312151541955"</f>
        <v>20190312151541955</v>
      </c>
      <c r="B2257" t="str">
        <f>"1552374941949936"</f>
        <v>1552374941949936</v>
      </c>
      <c r="C2257" t="s">
        <v>40</v>
      </c>
      <c r="D2257">
        <v>4.2549320000000002</v>
      </c>
      <c r="E2257">
        <v>0.49440079999999997</v>
      </c>
      <c r="F2257" t="s">
        <v>55</v>
      </c>
      <c r="G2257">
        <v>-512.82529999999997</v>
      </c>
      <c r="H2257">
        <v>0.47033409999999898</v>
      </c>
      <c r="I2257">
        <v>274.99110000000002</v>
      </c>
      <c r="J2257">
        <v>-427.43700000000001</v>
      </c>
      <c r="K2257">
        <v>1.109969</v>
      </c>
      <c r="L2257">
        <v>284.1574</v>
      </c>
      <c r="M2257">
        <v>-0.99988180000000004</v>
      </c>
      <c r="N2257">
        <v>0</v>
      </c>
      <c r="O2257">
        <v>-5.284609E-3</v>
      </c>
      <c r="P2257">
        <v>-0.99583880000000002</v>
      </c>
      <c r="Q2257">
        <v>-3.9115369999999997E-3</v>
      </c>
      <c r="R2257">
        <v>-9.1049340000000006E-2</v>
      </c>
      <c r="S2257">
        <v>-2.9833370000000001</v>
      </c>
      <c r="T2257">
        <v>-2.2259000000000001E-2</v>
      </c>
      <c r="U2257">
        <v>-0.31909179999999998</v>
      </c>
      <c r="V2257">
        <v>-8.5788909999999996E-2</v>
      </c>
      <c r="W2257">
        <v>1.0441890000000001E-2</v>
      </c>
      <c r="X2257">
        <v>0.99625859999999999</v>
      </c>
      <c r="Y2257">
        <v>-0.1010921</v>
      </c>
      <c r="Z2257">
        <v>-3.3673410000000003E-4</v>
      </c>
      <c r="AA2257">
        <v>0.99487700000000001</v>
      </c>
      <c r="AB2257">
        <v>32</v>
      </c>
      <c r="AC2257">
        <v>-85.388300000000001</v>
      </c>
      <c r="AD2257">
        <v>-0.63963490000000001</v>
      </c>
      <c r="AE2257">
        <v>-9.1662999999999695</v>
      </c>
      <c r="AF2257">
        <v>-8.7143977346773802</v>
      </c>
      <c r="AG2257">
        <v>-0.63963490000000001</v>
      </c>
      <c r="AH2257">
        <v>85.430813569667194</v>
      </c>
      <c r="AI2257">
        <v>90.426760729485494</v>
      </c>
      <c r="AJ2257">
        <v>95.824329362581693</v>
      </c>
      <c r="AK2257">
        <v>85.876503002035903</v>
      </c>
      <c r="AL2257">
        <v>89.401712890837402</v>
      </c>
      <c r="AM2257">
        <v>94.921660859004206</v>
      </c>
      <c r="AN2257">
        <v>0.99999998410985902</v>
      </c>
    </row>
    <row r="2258" spans="1:40" x14ac:dyDescent="0.25">
      <c r="A2258" t="str">
        <f>"20190312151541978"</f>
        <v>20190312151541978</v>
      </c>
      <c r="B2258" t="str">
        <f>"1552374941969456"</f>
        <v>1552374941969456</v>
      </c>
      <c r="C2258" t="s">
        <v>40</v>
      </c>
      <c r="D2258">
        <v>4.2484780000000004</v>
      </c>
      <c r="E2258">
        <v>0.49455880000000002</v>
      </c>
      <c r="F2258" t="s">
        <v>55</v>
      </c>
      <c r="G2258">
        <v>-512.82529999999997</v>
      </c>
      <c r="H2258">
        <v>0.40446850000000001</v>
      </c>
      <c r="I2258">
        <v>275.04809999999998</v>
      </c>
      <c r="J2258">
        <v>-427.75670000000002</v>
      </c>
      <c r="K2258">
        <v>1.109966</v>
      </c>
      <c r="L2258">
        <v>284.15550000000002</v>
      </c>
      <c r="M2258">
        <v>-0.99988089999999996</v>
      </c>
      <c r="N2258">
        <v>0</v>
      </c>
      <c r="O2258">
        <v>-5.4869690000000004E-3</v>
      </c>
      <c r="P2258">
        <v>-0.99578610000000001</v>
      </c>
      <c r="Q2258">
        <v>-3.6018949999999999E-3</v>
      </c>
      <c r="R2258">
        <v>-9.1637789999999997E-2</v>
      </c>
      <c r="S2258">
        <v>-2.983368</v>
      </c>
      <c r="T2258">
        <v>-2.4646520000000002E-2</v>
      </c>
      <c r="U2258">
        <v>-0.31826779999999999</v>
      </c>
      <c r="V2258">
        <v>-8.6176260000000005E-2</v>
      </c>
      <c r="W2258">
        <v>1.0748479999999999E-2</v>
      </c>
      <c r="X2258">
        <v>0.99622189999999999</v>
      </c>
      <c r="Y2258">
        <v>-0.1006174</v>
      </c>
      <c r="Z2258">
        <v>-3.6923110000000001E-4</v>
      </c>
      <c r="AA2258">
        <v>0.99492510000000001</v>
      </c>
      <c r="AB2258">
        <v>32</v>
      </c>
      <c r="AC2258">
        <v>-85.068599999999904</v>
      </c>
      <c r="AD2258">
        <v>-0.7054975</v>
      </c>
      <c r="AE2258">
        <v>-9.1074000000000392</v>
      </c>
      <c r="AF2258">
        <v>-8.6398580296745902</v>
      </c>
      <c r="AG2258">
        <v>-0.7054975</v>
      </c>
      <c r="AH2258">
        <v>85.111508869410201</v>
      </c>
      <c r="AI2258">
        <v>90.472491264477696</v>
      </c>
      <c r="AJ2258">
        <v>95.796366073044695</v>
      </c>
      <c r="AK2258">
        <v>85.551819475234595</v>
      </c>
      <c r="AL2258">
        <v>89.384145586283793</v>
      </c>
      <c r="AM2258">
        <v>94.943954242019899</v>
      </c>
      <c r="AN2258">
        <v>0.99999997582475297</v>
      </c>
    </row>
    <row r="2259" spans="1:40" x14ac:dyDescent="0.25">
      <c r="A2259" t="str">
        <f>"20190312151541999"</f>
        <v>20190312151541999</v>
      </c>
      <c r="B2259" t="str">
        <f>"1552374941989953"</f>
        <v>1552374941989953</v>
      </c>
      <c r="C2259" t="s">
        <v>40</v>
      </c>
      <c r="D2259">
        <v>4.2750059999999896</v>
      </c>
      <c r="E2259">
        <v>0.49472109999999903</v>
      </c>
      <c r="F2259" t="s">
        <v>55</v>
      </c>
      <c r="G2259">
        <v>-512.82529999999997</v>
      </c>
      <c r="H2259">
        <v>0.3882391</v>
      </c>
      <c r="I2259">
        <v>275.06610000000001</v>
      </c>
      <c r="J2259">
        <v>-428.07310000000001</v>
      </c>
      <c r="K2259">
        <v>1.1099669999999999</v>
      </c>
      <c r="L2259">
        <v>284.15359999999998</v>
      </c>
      <c r="M2259">
        <v>-0.99987959999999998</v>
      </c>
      <c r="N2259">
        <v>0</v>
      </c>
      <c r="O2259">
        <v>-5.6868259999999999E-3</v>
      </c>
      <c r="P2259">
        <v>-0.99574850000000004</v>
      </c>
      <c r="Q2259">
        <v>-2.8414909999999998E-3</v>
      </c>
      <c r="R2259">
        <v>-9.2070550000000001E-2</v>
      </c>
      <c r="S2259">
        <v>-2.983276</v>
      </c>
      <c r="T2259">
        <v>-2.5307420000000001E-2</v>
      </c>
      <c r="U2259">
        <v>-0.31875609999999999</v>
      </c>
      <c r="V2259">
        <v>-8.6410199999999895E-2</v>
      </c>
      <c r="W2259">
        <v>1.150518E-2</v>
      </c>
      <c r="X2259">
        <v>0.9961932</v>
      </c>
      <c r="Y2259">
        <v>-0.10058259999999999</v>
      </c>
      <c r="Z2259">
        <v>-3.7730229999999998E-4</v>
      </c>
      <c r="AA2259">
        <v>0.9949287</v>
      </c>
      <c r="AB2259">
        <v>32</v>
      </c>
      <c r="AC2259">
        <v>-84.752199999999903</v>
      </c>
      <c r="AD2259">
        <v>-0.72172789999999998</v>
      </c>
      <c r="AE2259">
        <v>-9.0874999999999702</v>
      </c>
      <c r="AF2259">
        <v>-8.6047148656215793</v>
      </c>
      <c r="AG2259">
        <v>-0.72172789999999998</v>
      </c>
      <c r="AH2259">
        <v>84.796434316963101</v>
      </c>
      <c r="AI2259">
        <v>90.485158437215006</v>
      </c>
      <c r="AJ2259">
        <v>95.794253178002094</v>
      </c>
      <c r="AK2259">
        <v>85.234953404993007</v>
      </c>
      <c r="AL2259">
        <v>89.340787194254702</v>
      </c>
      <c r="AM2259">
        <v>94.957450756609802</v>
      </c>
      <c r="AN2259">
        <v>0.99999999177855603</v>
      </c>
    </row>
    <row r="2260" spans="1:40" x14ac:dyDescent="0.25">
      <c r="A2260" t="str">
        <f>"20190312151542023"</f>
        <v>20190312151542023</v>
      </c>
      <c r="B2260" t="str">
        <f>"1552374942010448"</f>
        <v>1552374942010448</v>
      </c>
      <c r="C2260" t="s">
        <v>40</v>
      </c>
      <c r="D2260">
        <v>4.2686199999999896</v>
      </c>
      <c r="E2260">
        <v>0.494867</v>
      </c>
      <c r="F2260" t="s">
        <v>55</v>
      </c>
      <c r="G2260">
        <v>-512.82529999999997</v>
      </c>
      <c r="H2260">
        <v>0.40964539999999999</v>
      </c>
      <c r="I2260">
        <v>275.09949999999998</v>
      </c>
      <c r="J2260">
        <v>-428.3963</v>
      </c>
      <c r="K2260">
        <v>1.1099749999999999</v>
      </c>
      <c r="L2260">
        <v>284.1515</v>
      </c>
      <c r="M2260">
        <v>-0.99987859999999995</v>
      </c>
      <c r="N2260">
        <v>0</v>
      </c>
      <c r="O2260">
        <v>-5.8904980000000001E-3</v>
      </c>
      <c r="P2260">
        <v>-0.99576010000000004</v>
      </c>
      <c r="Q2260">
        <v>-2.8427410000000002E-3</v>
      </c>
      <c r="R2260">
        <v>-9.1947619999999994E-2</v>
      </c>
      <c r="S2260">
        <v>-2.983215</v>
      </c>
      <c r="T2260">
        <v>-2.4647949999999998E-2</v>
      </c>
      <c r="U2260">
        <v>-0.31869509999999901</v>
      </c>
      <c r="V2260">
        <v>-8.6083850000000003E-2</v>
      </c>
      <c r="W2260">
        <v>1.150088E-2</v>
      </c>
      <c r="X2260">
        <v>0.99622149999999998</v>
      </c>
      <c r="Y2260">
        <v>-0.1003622</v>
      </c>
      <c r="Z2260">
        <v>-3.6489269999999998E-4</v>
      </c>
      <c r="AA2260">
        <v>0.99495089999999997</v>
      </c>
      <c r="AB2260">
        <v>32</v>
      </c>
      <c r="AC2260">
        <v>-84.428999999999903</v>
      </c>
      <c r="AD2260">
        <v>-0.700329599999999</v>
      </c>
      <c r="AE2260">
        <v>-9.0520000000000191</v>
      </c>
      <c r="AF2260">
        <v>-8.5538804517853499</v>
      </c>
      <c r="AG2260">
        <v>-0.700329599999999</v>
      </c>
      <c r="AH2260">
        <v>84.475114981861395</v>
      </c>
      <c r="AI2260">
        <v>90.472575617145296</v>
      </c>
      <c r="AJ2260">
        <v>95.782015298855001</v>
      </c>
      <c r="AK2260">
        <v>84.909978115241401</v>
      </c>
      <c r="AL2260">
        <v>89.341033580095996</v>
      </c>
      <c r="AM2260">
        <v>94.938680864398194</v>
      </c>
      <c r="AN2260">
        <v>0.99999998826692305</v>
      </c>
    </row>
    <row r="2261" spans="1:40" x14ac:dyDescent="0.25">
      <c r="A2261" t="str">
        <f>"20190312151542044"</f>
        <v>20190312151542044</v>
      </c>
      <c r="B2261" t="str">
        <f>"1552374942039732"</f>
        <v>1552374942039732</v>
      </c>
      <c r="C2261" t="s">
        <v>40</v>
      </c>
      <c r="D2261">
        <v>4.2831919999999997</v>
      </c>
      <c r="E2261">
        <v>0.49508730000000001</v>
      </c>
      <c r="F2261" t="s">
        <v>55</v>
      </c>
      <c r="G2261">
        <v>-512.82529999999997</v>
      </c>
      <c r="H2261">
        <v>0.37995980000000001</v>
      </c>
      <c r="I2261">
        <v>275.18</v>
      </c>
      <c r="J2261">
        <v>-428.71010000000001</v>
      </c>
      <c r="K2261">
        <v>1.109979</v>
      </c>
      <c r="L2261">
        <v>284.14940000000001</v>
      </c>
      <c r="M2261">
        <v>-0.99987740000000003</v>
      </c>
      <c r="N2261">
        <v>0</v>
      </c>
      <c r="O2261">
        <v>-6.0869019999999999E-3</v>
      </c>
      <c r="P2261">
        <v>-0.99572439999999995</v>
      </c>
      <c r="Q2261">
        <v>-2.760064E-3</v>
      </c>
      <c r="R2261">
        <v>-9.233326E-2</v>
      </c>
      <c r="S2261">
        <v>-2.9833980000000002</v>
      </c>
      <c r="T2261">
        <v>-2.5793079999999999E-2</v>
      </c>
      <c r="U2261">
        <v>-0.31701659999999998</v>
      </c>
      <c r="V2261">
        <v>-8.627427E-2</v>
      </c>
      <c r="W2261">
        <v>1.158051E-2</v>
      </c>
      <c r="X2261">
        <v>0.99620410000000004</v>
      </c>
      <c r="Y2261">
        <v>-9.9606500000000001E-2</v>
      </c>
      <c r="Z2261">
        <v>-3.7688240000000002E-4</v>
      </c>
      <c r="AA2261">
        <v>0.99502679999999999</v>
      </c>
      <c r="AB2261">
        <v>32</v>
      </c>
      <c r="AC2261">
        <v>-84.115199999999902</v>
      </c>
      <c r="AD2261">
        <v>-0.73001919999999998</v>
      </c>
      <c r="AE2261">
        <v>-8.9694000000000091</v>
      </c>
      <c r="AF2261">
        <v>-8.4565497342207401</v>
      </c>
      <c r="AG2261">
        <v>-0.73001919999999998</v>
      </c>
      <c r="AH2261">
        <v>84.161975006443399</v>
      </c>
      <c r="AI2261">
        <v>90.494480149756996</v>
      </c>
      <c r="AJ2261">
        <v>95.737790843220196</v>
      </c>
      <c r="AK2261">
        <v>84.588912975784993</v>
      </c>
      <c r="AL2261">
        <v>89.336470810004698</v>
      </c>
      <c r="AM2261">
        <v>94.949637182946404</v>
      </c>
      <c r="AN2261">
        <v>0.99999998336635099</v>
      </c>
    </row>
    <row r="2262" spans="1:40" x14ac:dyDescent="0.25">
      <c r="A2262" t="str">
        <f>"20190312151542066"</f>
        <v>20190312151542066</v>
      </c>
      <c r="B2262" t="str">
        <f>"1552374942060223"</f>
        <v>1552374942060223</v>
      </c>
      <c r="C2262" t="s">
        <v>40</v>
      </c>
      <c r="D2262">
        <v>4.6043969999999996</v>
      </c>
      <c r="E2262">
        <v>0.49522509999999997</v>
      </c>
      <c r="F2262" t="s">
        <v>55</v>
      </c>
      <c r="G2262">
        <v>-512.82529999999997</v>
      </c>
      <c r="H2262">
        <v>0.32514739999999998</v>
      </c>
      <c r="I2262">
        <v>275.22089999999997</v>
      </c>
      <c r="J2262">
        <v>-429.02359999999999</v>
      </c>
      <c r="K2262">
        <v>1.1099779999999999</v>
      </c>
      <c r="L2262">
        <v>284.14729999999997</v>
      </c>
      <c r="M2262">
        <v>-0.99987630000000005</v>
      </c>
      <c r="N2262">
        <v>0</v>
      </c>
      <c r="O2262">
        <v>-6.280908E-3</v>
      </c>
      <c r="P2262">
        <v>-0.99571500000000002</v>
      </c>
      <c r="Q2262">
        <v>-3.0850500000000002E-3</v>
      </c>
      <c r="R2262">
        <v>-9.2423569999999997E-2</v>
      </c>
      <c r="S2262">
        <v>-2.9834290000000001</v>
      </c>
      <c r="T2262">
        <v>-2.7833819999999999E-2</v>
      </c>
      <c r="U2262">
        <v>-0.31668089999999999</v>
      </c>
      <c r="V2262">
        <v>-8.6171979999999995E-2</v>
      </c>
      <c r="W2262">
        <v>1.125199E-2</v>
      </c>
      <c r="X2262">
        <v>0.99621669999999996</v>
      </c>
      <c r="Y2262">
        <v>-9.9301089999999995E-2</v>
      </c>
      <c r="Z2262">
        <v>-4.0347290000000002E-4</v>
      </c>
      <c r="AA2262">
        <v>0.99505730000000003</v>
      </c>
      <c r="AB2262">
        <v>32</v>
      </c>
      <c r="AC2262">
        <v>-83.801699999999897</v>
      </c>
      <c r="AD2262">
        <v>-0.78483059999999905</v>
      </c>
      <c r="AE2262">
        <v>-8.9263999999999992</v>
      </c>
      <c r="AF2262">
        <v>-8.3990899748809902</v>
      </c>
      <c r="AG2262">
        <v>-0.78483059999999905</v>
      </c>
      <c r="AH2262">
        <v>83.848846560592804</v>
      </c>
      <c r="AI2262">
        <v>90.533606281028298</v>
      </c>
      <c r="AJ2262">
        <v>95.720203679089494</v>
      </c>
      <c r="AK2262">
        <v>84.272117221645004</v>
      </c>
      <c r="AL2262">
        <v>89.355294835012103</v>
      </c>
      <c r="AM2262">
        <v>94.943735591274205</v>
      </c>
      <c r="AN2262">
        <v>0.99999996538748404</v>
      </c>
    </row>
    <row r="2263" spans="1:40" x14ac:dyDescent="0.25">
      <c r="A2263" t="str">
        <f>"20190312151542088"</f>
        <v>20190312151542088</v>
      </c>
      <c r="B2263" t="str">
        <f>"1552374942079743"</f>
        <v>1552374942079743</v>
      </c>
      <c r="C2263" t="s">
        <v>40</v>
      </c>
      <c r="D2263">
        <v>4.2863980000000002</v>
      </c>
      <c r="E2263">
        <v>0.49536330000000001</v>
      </c>
      <c r="F2263" t="s">
        <v>55</v>
      </c>
      <c r="G2263">
        <v>-512.82529999999997</v>
      </c>
      <c r="H2263">
        <v>0.26739839999999998</v>
      </c>
      <c r="I2263">
        <v>275.27289999999999</v>
      </c>
      <c r="J2263">
        <v>-429.34089999999998</v>
      </c>
      <c r="K2263">
        <v>1.109974</v>
      </c>
      <c r="L2263">
        <v>284.14510000000001</v>
      </c>
      <c r="M2263">
        <v>-0.99987519999999996</v>
      </c>
      <c r="N2263">
        <v>0</v>
      </c>
      <c r="O2263">
        <v>-6.4714200000000003E-3</v>
      </c>
      <c r="P2263">
        <v>-0.99566460000000001</v>
      </c>
      <c r="Q2263">
        <v>-3.375E-3</v>
      </c>
      <c r="R2263">
        <v>-9.295697E-2</v>
      </c>
      <c r="S2263">
        <v>-2.9835210000000001</v>
      </c>
      <c r="T2263">
        <v>-2.9994730000000001E-2</v>
      </c>
      <c r="U2263">
        <v>-0.31594850000000002</v>
      </c>
      <c r="V2263">
        <v>-8.6514759999999996E-2</v>
      </c>
      <c r="W2263">
        <v>1.095923E-2</v>
      </c>
      <c r="X2263">
        <v>0.99619029999999997</v>
      </c>
      <c r="Y2263">
        <v>-9.8866129999999997E-2</v>
      </c>
      <c r="Z2263">
        <v>-4.306976E-4</v>
      </c>
      <c r="AA2263">
        <v>0.99510069999999995</v>
      </c>
      <c r="AB2263">
        <v>32</v>
      </c>
      <c r="AC2263">
        <v>-83.484399999999994</v>
      </c>
      <c r="AD2263">
        <v>-0.84257559999999998</v>
      </c>
      <c r="AE2263">
        <v>-8.8722000000000101</v>
      </c>
      <c r="AF2263">
        <v>-8.3308563358361898</v>
      </c>
      <c r="AG2263">
        <v>-0.84257559999999998</v>
      </c>
      <c r="AH2263">
        <v>83.531659603528993</v>
      </c>
      <c r="AI2263">
        <v>90.575064554424003</v>
      </c>
      <c r="AJ2263">
        <v>95.695441698424702</v>
      </c>
      <c r="AK2263">
        <v>83.950290392886004</v>
      </c>
      <c r="AL2263">
        <v>89.372069811276404</v>
      </c>
      <c r="AM2263">
        <v>94.963433910374405</v>
      </c>
      <c r="AN2263">
        <v>1.0000000111170699</v>
      </c>
    </row>
    <row r="2264" spans="1:40" x14ac:dyDescent="0.25">
      <c r="A2264" t="str">
        <f>"20190312151542111"</f>
        <v>20190312151542111</v>
      </c>
      <c r="B2264" t="str">
        <f>"1552374942100239"</f>
        <v>1552374942100239</v>
      </c>
      <c r="C2264" t="s">
        <v>40</v>
      </c>
      <c r="D2264">
        <v>4.2557970000000003</v>
      </c>
      <c r="E2264">
        <v>0.49549680000000002</v>
      </c>
      <c r="F2264" t="s">
        <v>55</v>
      </c>
      <c r="G2264">
        <v>-512.8252</v>
      </c>
      <c r="H2264">
        <v>0.22336159999999999</v>
      </c>
      <c r="I2264">
        <v>275.2912</v>
      </c>
      <c r="J2264">
        <v>-429.66860000000003</v>
      </c>
      <c r="K2264">
        <v>1.109964</v>
      </c>
      <c r="L2264">
        <v>284.14280000000002</v>
      </c>
      <c r="M2264">
        <v>-0.99987389999999998</v>
      </c>
      <c r="N2264">
        <v>0</v>
      </c>
      <c r="O2264">
        <v>-6.6580579999999997E-3</v>
      </c>
      <c r="P2264">
        <v>-0.99562399999999995</v>
      </c>
      <c r="Q2264">
        <v>-3.4436480000000001E-3</v>
      </c>
      <c r="R2264">
        <v>-9.3386919999999998E-2</v>
      </c>
      <c r="S2264">
        <v>-2.9834290000000001</v>
      </c>
      <c r="T2264">
        <v>-3.1681420000000002E-2</v>
      </c>
      <c r="U2264">
        <v>-0.31640629999999997</v>
      </c>
      <c r="V2264">
        <v>-8.6758979999999999E-2</v>
      </c>
      <c r="W2264">
        <v>1.088771E-2</v>
      </c>
      <c r="X2264">
        <v>0.99616979999999999</v>
      </c>
      <c r="Y2264">
        <v>-9.8834019999999995E-2</v>
      </c>
      <c r="Z2264">
        <v>-4.527798E-4</v>
      </c>
      <c r="AA2264">
        <v>0.99510379999999998</v>
      </c>
      <c r="AB2264">
        <v>32</v>
      </c>
      <c r="AC2264">
        <v>-83.156599999999898</v>
      </c>
      <c r="AD2264">
        <v>-0.88660239999999901</v>
      </c>
      <c r="AE2264">
        <v>-8.8516000000000101</v>
      </c>
      <c r="AF2264">
        <v>-8.2967521816301701</v>
      </c>
      <c r="AG2264">
        <v>-0.88660239999999901</v>
      </c>
      <c r="AH2264">
        <v>83.204344758847995</v>
      </c>
      <c r="AI2264">
        <v>90.607492317938195</v>
      </c>
      <c r="AJ2264">
        <v>95.694446159473003</v>
      </c>
      <c r="AK2264">
        <v>83.621678692360106</v>
      </c>
      <c r="AL2264">
        <v>89.376167822133397</v>
      </c>
      <c r="AM2264">
        <v>94.977476670532695</v>
      </c>
      <c r="AN2264">
        <v>0.99999996663586099</v>
      </c>
    </row>
    <row r="2265" spans="1:40" x14ac:dyDescent="0.25">
      <c r="A2265" t="str">
        <f>"20190312151542133"</f>
        <v>20190312151542133</v>
      </c>
      <c r="B2265" t="str">
        <f>"1552374942129522"</f>
        <v>1552374942129522</v>
      </c>
      <c r="C2265" t="s">
        <v>40</v>
      </c>
      <c r="D2265">
        <v>4.2460180000000003</v>
      </c>
      <c r="E2265">
        <v>0.49568830000000003</v>
      </c>
      <c r="F2265" t="s">
        <v>55</v>
      </c>
      <c r="G2265">
        <v>-512.8252</v>
      </c>
      <c r="H2265">
        <v>0.19779469999999999</v>
      </c>
      <c r="I2265">
        <v>275.315</v>
      </c>
      <c r="J2265">
        <v>-429.97829999999999</v>
      </c>
      <c r="K2265">
        <v>1.109945</v>
      </c>
      <c r="L2265">
        <v>284.14049999999997</v>
      </c>
      <c r="M2265">
        <v>-0.99987289999999995</v>
      </c>
      <c r="N2265">
        <v>0</v>
      </c>
      <c r="O2265">
        <v>-6.8216419999999897E-3</v>
      </c>
      <c r="P2265">
        <v>-0.99555459999999996</v>
      </c>
      <c r="Q2265">
        <v>-3.7209370000000001E-3</v>
      </c>
      <c r="R2265">
        <v>-9.4116400000000003E-2</v>
      </c>
      <c r="S2265">
        <v>-2.9833980000000002</v>
      </c>
      <c r="T2265">
        <v>-3.2722830000000001E-2</v>
      </c>
      <c r="U2265">
        <v>-0.31671139999999998</v>
      </c>
      <c r="V2265">
        <v>-8.7325449999999999E-2</v>
      </c>
      <c r="W2265">
        <v>1.0608299999999999E-2</v>
      </c>
      <c r="X2265">
        <v>0.99612339999999999</v>
      </c>
      <c r="Y2265">
        <v>-9.877263E-2</v>
      </c>
      <c r="Z2265">
        <v>-4.6554000000000002E-4</v>
      </c>
      <c r="AA2265">
        <v>0.99510989999999999</v>
      </c>
      <c r="AB2265">
        <v>32</v>
      </c>
      <c r="AC2265">
        <v>-82.846900000000005</v>
      </c>
      <c r="AD2265">
        <v>-0.91215029999999997</v>
      </c>
      <c r="AE2265">
        <v>-8.8254999999999697</v>
      </c>
      <c r="AF2265">
        <v>-8.2590940830143698</v>
      </c>
      <c r="AG2265">
        <v>-0.91215029999999997</v>
      </c>
      <c r="AH2265">
        <v>82.895246652514899</v>
      </c>
      <c r="AI2265">
        <v>90.627331542045496</v>
      </c>
      <c r="AJ2265">
        <v>95.689767530979495</v>
      </c>
      <c r="AK2265">
        <v>83.310663007943603</v>
      </c>
      <c r="AL2265">
        <v>89.392177811379099</v>
      </c>
      <c r="AM2265">
        <v>95.010043111262405</v>
      </c>
      <c r="AN2265">
        <v>1.00000004913707</v>
      </c>
    </row>
    <row r="2266" spans="1:40" x14ac:dyDescent="0.25">
      <c r="A2266" t="str">
        <f>"20190312151542155"</f>
        <v>20190312151542155</v>
      </c>
      <c r="B2266" t="str">
        <f>"1552374942150016"</f>
        <v>1552374942150016</v>
      </c>
      <c r="C2266" t="s">
        <v>40</v>
      </c>
      <c r="D2266">
        <v>4.3858110000000003</v>
      </c>
      <c r="E2266">
        <v>0.49583709999999998</v>
      </c>
      <c r="F2266" t="s">
        <v>55</v>
      </c>
      <c r="G2266">
        <v>-512.8252</v>
      </c>
      <c r="H2266">
        <v>0.12478930000000001</v>
      </c>
      <c r="I2266">
        <v>275.32580000000002</v>
      </c>
      <c r="J2266">
        <v>-430.29770000000002</v>
      </c>
      <c r="K2266">
        <v>1.1099319999999999</v>
      </c>
      <c r="L2266">
        <v>284.13819999999998</v>
      </c>
      <c r="M2266">
        <v>-0.99987190000000004</v>
      </c>
      <c r="N2266">
        <v>0</v>
      </c>
      <c r="O2266">
        <v>-6.972163E-3</v>
      </c>
      <c r="P2266">
        <v>-0.9955233</v>
      </c>
      <c r="Q2266">
        <v>-3.9946529999999999E-3</v>
      </c>
      <c r="R2266">
        <v>-9.443319E-2</v>
      </c>
      <c r="S2266">
        <v>-2.983276</v>
      </c>
      <c r="T2266">
        <v>-3.5472040000000003E-2</v>
      </c>
      <c r="U2266">
        <v>-0.31741329999999901</v>
      </c>
      <c r="V2266">
        <v>-8.7492420000000001E-2</v>
      </c>
      <c r="W2266">
        <v>1.033414E-2</v>
      </c>
      <c r="X2266">
        <v>0.99611159999999999</v>
      </c>
      <c r="Y2266">
        <v>-9.885766E-2</v>
      </c>
      <c r="Z2266">
        <v>-5.033835E-4</v>
      </c>
      <c r="AA2266">
        <v>0.99510149999999997</v>
      </c>
      <c r="AB2266">
        <v>32</v>
      </c>
      <c r="AC2266">
        <v>-82.527499999999904</v>
      </c>
      <c r="AD2266">
        <v>-0.98514270000000004</v>
      </c>
      <c r="AE2266">
        <v>-8.8123999999999594</v>
      </c>
      <c r="AF2266">
        <v>-8.2355705524531899</v>
      </c>
      <c r="AG2266">
        <v>-0.98514270000000004</v>
      </c>
      <c r="AH2266">
        <v>82.575307601792304</v>
      </c>
      <c r="AI2266">
        <v>90.680145625353205</v>
      </c>
      <c r="AJ2266">
        <v>95.695506275154102</v>
      </c>
      <c r="AK2266">
        <v>82.990822106992098</v>
      </c>
      <c r="AL2266">
        <v>89.407886864867805</v>
      </c>
      <c r="AM2266">
        <v>95.019632792318802</v>
      </c>
      <c r="AN2266">
        <v>1.0000000188307701</v>
      </c>
    </row>
    <row r="2267" spans="1:40" x14ac:dyDescent="0.25">
      <c r="A2267" t="str">
        <f>"20190312151542178"</f>
        <v>20190312151542178</v>
      </c>
      <c r="B2267" t="str">
        <f>"1552374942169536"</f>
        <v>1552374942169536</v>
      </c>
      <c r="C2267" t="s">
        <v>40</v>
      </c>
      <c r="D2267">
        <v>4.2415690000000001</v>
      </c>
      <c r="E2267">
        <v>0.49596410000000002</v>
      </c>
      <c r="F2267" t="s">
        <v>55</v>
      </c>
      <c r="G2267">
        <v>-512.8252</v>
      </c>
      <c r="H2267">
        <v>6.3035309999999997E-2</v>
      </c>
      <c r="I2267">
        <v>275.36399999999998</v>
      </c>
      <c r="J2267">
        <v>-430.61520000000002</v>
      </c>
      <c r="K2267">
        <v>1.1099239999999999</v>
      </c>
      <c r="L2267">
        <v>284.13580000000002</v>
      </c>
      <c r="M2267">
        <v>-0.99987119999999996</v>
      </c>
      <c r="N2267">
        <v>0</v>
      </c>
      <c r="O2267">
        <v>-7.1059900000000004E-3</v>
      </c>
      <c r="P2267">
        <v>-0.99551210000000001</v>
      </c>
      <c r="Q2267">
        <v>-4.1006439999999996E-3</v>
      </c>
      <c r="R2267">
        <v>-9.4547969999999995E-2</v>
      </c>
      <c r="S2267">
        <v>-2.9831850000000002</v>
      </c>
      <c r="T2267">
        <v>-3.784001E-2</v>
      </c>
      <c r="U2267">
        <v>-0.31716919999999998</v>
      </c>
      <c r="V2267">
        <v>-8.7473529999999994E-2</v>
      </c>
      <c r="W2267">
        <v>1.022733E-2</v>
      </c>
      <c r="X2267">
        <v>0.99611430000000001</v>
      </c>
      <c r="Y2267">
        <v>-9.8646289999999998E-2</v>
      </c>
      <c r="Z2267">
        <v>-5.3397429999999999E-4</v>
      </c>
      <c r="AA2267">
        <v>0.99512239999999996</v>
      </c>
      <c r="AB2267">
        <v>32</v>
      </c>
      <c r="AC2267">
        <v>-82.209999999999894</v>
      </c>
      <c r="AD2267">
        <v>-1.0468886899999901</v>
      </c>
      <c r="AE2267">
        <v>-8.7717999999999794</v>
      </c>
      <c r="AF2267">
        <v>-8.1860220220341695</v>
      </c>
      <c r="AG2267">
        <v>-1.0468886899999901</v>
      </c>
      <c r="AH2267">
        <v>82.257073822874901</v>
      </c>
      <c r="AI2267">
        <v>90.725582294485903</v>
      </c>
      <c r="AJ2267">
        <v>95.683222869969995</v>
      </c>
      <c r="AK2267">
        <v>82.670025561725694</v>
      </c>
      <c r="AL2267">
        <v>89.414006914575296</v>
      </c>
      <c r="AM2267">
        <v>95.018541033150399</v>
      </c>
      <c r="AN2267">
        <v>0.99999995769703898</v>
      </c>
    </row>
    <row r="2268" spans="1:40" x14ac:dyDescent="0.25">
      <c r="A2268" t="str">
        <f>"20190312151542201"</f>
        <v>20190312151542201</v>
      </c>
      <c r="B2268" t="str">
        <f>"1552374942190032"</f>
        <v>1552374942190032</v>
      </c>
      <c r="C2268" t="s">
        <v>40</v>
      </c>
      <c r="D2268">
        <v>4.2414259999999997</v>
      </c>
      <c r="E2268">
        <v>0.49609150000000002</v>
      </c>
      <c r="F2268" t="s">
        <v>55</v>
      </c>
      <c r="G2268">
        <v>-512.82510000000002</v>
      </c>
      <c r="H2268">
        <v>2.5157809999999999E-2</v>
      </c>
      <c r="I2268">
        <v>275.4117</v>
      </c>
      <c r="J2268">
        <v>-430.93889999999999</v>
      </c>
      <c r="K2268">
        <v>1.1099129999999999</v>
      </c>
      <c r="L2268">
        <v>284.13339999999999</v>
      </c>
      <c r="M2268">
        <v>-0.99987020000000004</v>
      </c>
      <c r="N2268">
        <v>0</v>
      </c>
      <c r="O2268">
        <v>-7.2260010000000001E-3</v>
      </c>
      <c r="P2268">
        <v>-0.99553840000000005</v>
      </c>
      <c r="Q2268">
        <v>-3.6856279999999998E-3</v>
      </c>
      <c r="R2268">
        <v>-9.4286629999999996E-2</v>
      </c>
      <c r="S2268">
        <v>-2.9833069999999999</v>
      </c>
      <c r="T2268">
        <v>-3.936195E-2</v>
      </c>
      <c r="U2268">
        <v>-0.31658940000000002</v>
      </c>
      <c r="V2268">
        <v>-8.7092210000000003E-2</v>
      </c>
      <c r="W2268">
        <v>1.0641680000000001E-2</v>
      </c>
      <c r="X2268">
        <v>0.99614340000000001</v>
      </c>
      <c r="Y2268">
        <v>-9.833074E-2</v>
      </c>
      <c r="Z2268">
        <v>-5.5177769999999995E-4</v>
      </c>
      <c r="AA2268">
        <v>0.99515370000000003</v>
      </c>
      <c r="AB2268">
        <v>32</v>
      </c>
      <c r="AC2268">
        <v>-81.886200000000002</v>
      </c>
      <c r="AD2268">
        <v>-1.0847551900000001</v>
      </c>
      <c r="AE2268">
        <v>-8.7216999999999896</v>
      </c>
      <c r="AF2268">
        <v>-8.1282907244607703</v>
      </c>
      <c r="AG2268">
        <v>-1.0847551900000001</v>
      </c>
      <c r="AH2268">
        <v>81.932874452035193</v>
      </c>
      <c r="AI2268">
        <v>90.754821641215102</v>
      </c>
      <c r="AJ2268">
        <v>95.665587332289107</v>
      </c>
      <c r="AK2268">
        <v>82.342223190150506</v>
      </c>
      <c r="AL2268">
        <v>89.390265131818694</v>
      </c>
      <c r="AM2268">
        <v>94.996629667742297</v>
      </c>
      <c r="AN2268">
        <v>0.99999998587973304</v>
      </c>
    </row>
    <row r="2269" spans="1:40" x14ac:dyDescent="0.25">
      <c r="A2269" t="str">
        <f>"20190312151542223"</f>
        <v>20190312151542223</v>
      </c>
      <c r="B2269" t="str">
        <f>"1552374942220288"</f>
        <v>1552374942220288</v>
      </c>
      <c r="C2269" t="s">
        <v>40</v>
      </c>
      <c r="D2269">
        <v>4.7062410000000003</v>
      </c>
      <c r="E2269">
        <v>0.49620629999999999</v>
      </c>
      <c r="F2269" t="s">
        <v>55</v>
      </c>
      <c r="G2269">
        <v>-511.95859999999999</v>
      </c>
      <c r="H2269">
        <v>3.9717080000000002E-2</v>
      </c>
      <c r="I2269">
        <v>275.58229999999998</v>
      </c>
      <c r="J2269">
        <v>-431.24799999999999</v>
      </c>
      <c r="K2269">
        <v>1.1099049999999999</v>
      </c>
      <c r="L2269">
        <v>284.13099999999997</v>
      </c>
      <c r="M2269">
        <v>-0.99986949999999997</v>
      </c>
      <c r="N2269">
        <v>0</v>
      </c>
      <c r="O2269">
        <v>-7.3271059999999999E-3</v>
      </c>
      <c r="P2269">
        <v>-0.99552989999999997</v>
      </c>
      <c r="Q2269">
        <v>-3.7427409999999999E-3</v>
      </c>
      <c r="R2269">
        <v>-9.4373879999999993E-2</v>
      </c>
      <c r="S2269">
        <v>-2.9834589999999999</v>
      </c>
      <c r="T2269">
        <v>-3.9405700000000002E-2</v>
      </c>
      <c r="U2269">
        <v>-0.3148804</v>
      </c>
      <c r="V2269">
        <v>-8.7078009999999997E-2</v>
      </c>
      <c r="W2269">
        <v>1.058398E-2</v>
      </c>
      <c r="X2269">
        <v>0.99614519999999995</v>
      </c>
      <c r="Y2269">
        <v>-9.7661079999999997E-2</v>
      </c>
      <c r="Z2269">
        <v>-5.4663789999999997E-4</v>
      </c>
      <c r="AA2269">
        <v>0.99521959999999998</v>
      </c>
      <c r="AB2269">
        <v>32</v>
      </c>
      <c r="AC2269">
        <v>-80.7105999999999</v>
      </c>
      <c r="AD2269">
        <v>-1.07018792</v>
      </c>
      <c r="AE2269">
        <v>-8.5486999999999895</v>
      </c>
      <c r="AF2269">
        <v>-7.9556508337679404</v>
      </c>
      <c r="AG2269">
        <v>-1.07018792</v>
      </c>
      <c r="AH2269">
        <v>80.757035834289496</v>
      </c>
      <c r="AI2269">
        <v>90.755579037236998</v>
      </c>
      <c r="AJ2269">
        <v>95.626248667446802</v>
      </c>
      <c r="AK2269">
        <v>81.155015366357205</v>
      </c>
      <c r="AL2269">
        <v>89.393571250632405</v>
      </c>
      <c r="AM2269">
        <v>94.995810130998507</v>
      </c>
      <c r="AN2269">
        <v>0.99999992997061704</v>
      </c>
    </row>
    <row r="2270" spans="1:40" x14ac:dyDescent="0.25">
      <c r="A2270" t="str">
        <f>"20190312151542238"</f>
        <v>20190312151542238</v>
      </c>
      <c r="B2270" t="str">
        <f>"1552374942230048"</f>
        <v>1552374942230048</v>
      </c>
      <c r="C2270" t="s">
        <v>40</v>
      </c>
      <c r="D2270">
        <v>4.1915319999999996</v>
      </c>
      <c r="E2270">
        <v>0.49613200000000002</v>
      </c>
      <c r="F2270" t="s">
        <v>55</v>
      </c>
      <c r="G2270">
        <v>-511.95859999999999</v>
      </c>
      <c r="H2270">
        <v>2.5591550000000001E-2</v>
      </c>
      <c r="I2270">
        <v>275.63010000000003</v>
      </c>
      <c r="J2270">
        <v>-431.46949999999998</v>
      </c>
      <c r="K2270">
        <v>1.1099000000000001</v>
      </c>
      <c r="L2270">
        <v>284.1293</v>
      </c>
      <c r="M2270">
        <v>-0.99986920000000001</v>
      </c>
      <c r="N2270">
        <v>0</v>
      </c>
      <c r="O2270">
        <v>-7.3938500000000004E-3</v>
      </c>
      <c r="P2270">
        <v>-0.99553409999999998</v>
      </c>
      <c r="Q2270">
        <v>-3.803407E-3</v>
      </c>
      <c r="R2270">
        <v>-9.432662E-2</v>
      </c>
      <c r="S2270">
        <v>-2.9834900000000002</v>
      </c>
      <c r="T2270">
        <v>-4.0078879999999997E-2</v>
      </c>
      <c r="U2270">
        <v>-0.3142395</v>
      </c>
      <c r="V2270">
        <v>-8.6964529999999998E-2</v>
      </c>
      <c r="W2270">
        <v>1.0522E-2</v>
      </c>
      <c r="X2270">
        <v>0.99615589999999998</v>
      </c>
      <c r="Y2270">
        <v>-9.7381910000000002E-2</v>
      </c>
      <c r="Z2270">
        <v>-5.5321210000000001E-4</v>
      </c>
      <c r="AA2270">
        <v>0.99524690000000005</v>
      </c>
      <c r="AB2270">
        <v>32</v>
      </c>
      <c r="AC2270">
        <v>-80.489099999999993</v>
      </c>
      <c r="AD2270">
        <v>-1.08430845</v>
      </c>
      <c r="AE2270">
        <v>-8.4991999999999699</v>
      </c>
      <c r="AF2270">
        <v>-7.9023634003686203</v>
      </c>
      <c r="AG2270">
        <v>-1.08430845</v>
      </c>
      <c r="AH2270">
        <v>80.535293228587506</v>
      </c>
      <c r="AI2270">
        <v>90.767684057377195</v>
      </c>
      <c r="AJ2270">
        <v>95.604093254425607</v>
      </c>
      <c r="AK2270">
        <v>80.929330452814199</v>
      </c>
      <c r="AL2270">
        <v>89.397122719166106</v>
      </c>
      <c r="AM2270">
        <v>94.989279157678993</v>
      </c>
      <c r="AN2270">
        <v>1.0000000595334599</v>
      </c>
    </row>
    <row r="2271" spans="1:40" x14ac:dyDescent="0.25">
      <c r="A2271" t="str">
        <f>"20190312151542256"</f>
        <v>20190312151542256</v>
      </c>
      <c r="B2271" t="str">
        <f>"1552374942249567"</f>
        <v>1552374942249567</v>
      </c>
      <c r="C2271" t="s">
        <v>40</v>
      </c>
      <c r="D2271">
        <v>4.1833239999999998</v>
      </c>
      <c r="E2271">
        <v>0.49599749999999998</v>
      </c>
      <c r="F2271" t="s">
        <v>55</v>
      </c>
      <c r="G2271">
        <v>-511.95859999999999</v>
      </c>
      <c r="H2271">
        <v>1.9113959999999999E-2</v>
      </c>
      <c r="I2271">
        <v>275.63780000000003</v>
      </c>
      <c r="J2271">
        <v>-431.72680000000003</v>
      </c>
      <c r="K2271">
        <v>1.1098939999999999</v>
      </c>
      <c r="L2271">
        <v>284.12740000000002</v>
      </c>
      <c r="M2271">
        <v>-0.9998686</v>
      </c>
      <c r="N2271">
        <v>0</v>
      </c>
      <c r="O2271">
        <v>-7.4666819999999997E-3</v>
      </c>
      <c r="P2271">
        <v>-0.99557830000000003</v>
      </c>
      <c r="Q2271">
        <v>-3.8469960000000001E-3</v>
      </c>
      <c r="R2271">
        <v>-9.3856510000000004E-2</v>
      </c>
      <c r="S2271">
        <v>-2.9835210000000001</v>
      </c>
      <c r="T2271">
        <v>-4.0429470000000002E-2</v>
      </c>
      <c r="U2271">
        <v>-0.31475829999999999</v>
      </c>
      <c r="V2271">
        <v>-8.6421620000000005E-2</v>
      </c>
      <c r="W2271">
        <v>1.0477179999999999E-2</v>
      </c>
      <c r="X2271">
        <v>0.99620350000000002</v>
      </c>
      <c r="Y2271">
        <v>-9.7479369999999996E-2</v>
      </c>
      <c r="Z2271">
        <v>-5.5771469999999997E-4</v>
      </c>
      <c r="AA2271">
        <v>0.99523740000000005</v>
      </c>
      <c r="AB2271">
        <v>32</v>
      </c>
      <c r="AC2271">
        <v>-80.231799999999893</v>
      </c>
      <c r="AD2271">
        <v>-1.0907800400000001</v>
      </c>
      <c r="AE2271">
        <v>-8.4895999999999905</v>
      </c>
      <c r="AF2271">
        <v>-7.8887939647784604</v>
      </c>
      <c r="AG2271">
        <v>-1.0907800400000001</v>
      </c>
      <c r="AH2271">
        <v>80.2782848550724</v>
      </c>
      <c r="AI2271">
        <v>90.774726501816701</v>
      </c>
      <c r="AJ2271">
        <v>95.612327908816297</v>
      </c>
      <c r="AK2271">
        <v>80.672336588117503</v>
      </c>
      <c r="AL2271">
        <v>89.399690785988199</v>
      </c>
      <c r="AM2271">
        <v>94.958051661667596</v>
      </c>
      <c r="AN2271">
        <v>0.99999994055821095</v>
      </c>
    </row>
    <row r="2272" spans="1:40" x14ac:dyDescent="0.25">
      <c r="A2272" t="str">
        <f>"20190312151542278"</f>
        <v>20190312151542278</v>
      </c>
      <c r="B2272" t="str">
        <f>"1552374942270064"</f>
        <v>1552374942270064</v>
      </c>
      <c r="C2272" t="s">
        <v>40</v>
      </c>
      <c r="D2272">
        <v>4.1998889999999998</v>
      </c>
      <c r="E2272">
        <v>0.4958187</v>
      </c>
      <c r="F2272" t="s">
        <v>55</v>
      </c>
      <c r="G2272">
        <v>-511.95859999999999</v>
      </c>
      <c r="H2272">
        <v>-1.105282E-2</v>
      </c>
      <c r="I2272">
        <v>275.678</v>
      </c>
      <c r="J2272">
        <v>-432.03649999999999</v>
      </c>
      <c r="K2272">
        <v>1.1098920000000001</v>
      </c>
      <c r="L2272">
        <v>284.12490000000003</v>
      </c>
      <c r="M2272">
        <v>-0.99986790000000003</v>
      </c>
      <c r="N2272">
        <v>0</v>
      </c>
      <c r="O2272">
        <v>-7.5500180000000004E-3</v>
      </c>
      <c r="P2272">
        <v>-0.99561480000000002</v>
      </c>
      <c r="Q2272">
        <v>-3.7037390000000002E-3</v>
      </c>
      <c r="R2272">
        <v>-9.3474660000000001E-2</v>
      </c>
      <c r="S2272">
        <v>-2.9836119999999999</v>
      </c>
      <c r="T2272">
        <v>-4.1681999999999997E-2</v>
      </c>
      <c r="U2272">
        <v>-0.31420900000000002</v>
      </c>
      <c r="V2272">
        <v>-8.5955970000000007E-2</v>
      </c>
      <c r="W2272">
        <v>1.0618789999999999E-2</v>
      </c>
      <c r="X2272">
        <v>0.99624230000000003</v>
      </c>
      <c r="Y2272">
        <v>-9.7211519999999996E-2</v>
      </c>
      <c r="Z2272">
        <v>-5.7195279999999998E-4</v>
      </c>
      <c r="AA2272">
        <v>0.99526360000000003</v>
      </c>
      <c r="AB2272">
        <v>32</v>
      </c>
      <c r="AC2272">
        <v>-79.9221</v>
      </c>
      <c r="AD2272">
        <v>-1.1209448200000001</v>
      </c>
      <c r="AE2272">
        <v>-8.4469000000000207</v>
      </c>
      <c r="AF2272">
        <v>-7.8416578660271901</v>
      </c>
      <c r="AG2272">
        <v>-1.1209448200000001</v>
      </c>
      <c r="AH2272">
        <v>79.968045421244497</v>
      </c>
      <c r="AI2272">
        <v>90.799252783859998</v>
      </c>
      <c r="AJ2272">
        <v>95.600512699139202</v>
      </c>
      <c r="AK2272">
        <v>80.359420131503697</v>
      </c>
      <c r="AL2272">
        <v>89.391576686876306</v>
      </c>
      <c r="AM2272">
        <v>94.931278067106405</v>
      </c>
      <c r="AN2272">
        <v>0.99999995389449603</v>
      </c>
    </row>
    <row r="2273" spans="1:40" x14ac:dyDescent="0.25">
      <c r="A2273" t="str">
        <f>"20190312151542293"</f>
        <v>20190312151542293</v>
      </c>
      <c r="B2273" t="str">
        <f>"1552374942289585"</f>
        <v>1552374942289585</v>
      </c>
      <c r="C2273" t="s">
        <v>40</v>
      </c>
      <c r="D2273">
        <v>4.2109480000000001</v>
      </c>
      <c r="E2273">
        <v>0.49566779999999999</v>
      </c>
      <c r="F2273" t="s">
        <v>55</v>
      </c>
      <c r="G2273">
        <v>-511.95859999999999</v>
      </c>
      <c r="H2273">
        <v>-1.1621920000000001E-2</v>
      </c>
      <c r="I2273">
        <v>275.69319999999999</v>
      </c>
      <c r="J2273">
        <v>-432.24740000000003</v>
      </c>
      <c r="K2273">
        <v>1.1098920000000001</v>
      </c>
      <c r="L2273">
        <v>284.1234</v>
      </c>
      <c r="M2273">
        <v>-0.99986770000000003</v>
      </c>
      <c r="N2273">
        <v>0</v>
      </c>
      <c r="O2273">
        <v>-7.6059859999999899E-3</v>
      </c>
      <c r="P2273">
        <v>-0.99560479999999996</v>
      </c>
      <c r="Q2273">
        <v>-3.83271E-3</v>
      </c>
      <c r="R2273">
        <v>-9.3577740000000006E-2</v>
      </c>
      <c r="S2273">
        <v>-2.9835210000000001</v>
      </c>
      <c r="T2273">
        <v>-4.1863440000000002E-2</v>
      </c>
      <c r="U2273">
        <v>-0.31475829999999999</v>
      </c>
      <c r="V2273">
        <v>-8.6003109999999994E-2</v>
      </c>
      <c r="W2273">
        <v>1.048814E-2</v>
      </c>
      <c r="X2273">
        <v>0.99623969999999995</v>
      </c>
      <c r="Y2273">
        <v>-9.734015E-2</v>
      </c>
      <c r="Z2273">
        <v>-5.7457099999999996E-4</v>
      </c>
      <c r="AA2273">
        <v>0.995251</v>
      </c>
      <c r="AB2273">
        <v>32</v>
      </c>
      <c r="AC2273">
        <v>-79.711199999999906</v>
      </c>
      <c r="AD2273">
        <v>-1.1215139199999999</v>
      </c>
      <c r="AE2273">
        <v>-8.4302000000000099</v>
      </c>
      <c r="AF2273">
        <v>-7.8220798414682804</v>
      </c>
      <c r="AG2273">
        <v>-1.1215139199999999</v>
      </c>
      <c r="AH2273">
        <v>79.7574065275424</v>
      </c>
      <c r="AI2273">
        <v>90.801769076128906</v>
      </c>
      <c r="AJ2273">
        <v>95.601279164069595</v>
      </c>
      <c r="AK2273">
        <v>80.147904667051193</v>
      </c>
      <c r="AL2273">
        <v>89.399062848220794</v>
      </c>
      <c r="AM2273">
        <v>94.933981946852299</v>
      </c>
      <c r="AN2273">
        <v>1.0000000379332099</v>
      </c>
    </row>
    <row r="2274" spans="1:40" x14ac:dyDescent="0.25">
      <c r="A2274" t="str">
        <f>"20190312151542312"</f>
        <v>20190312151542312</v>
      </c>
      <c r="B2274" t="str">
        <f>"1552374942300319"</f>
        <v>1552374942300319</v>
      </c>
      <c r="C2274" t="s">
        <v>40</v>
      </c>
      <c r="D2274">
        <v>4.2362320000000002</v>
      </c>
      <c r="E2274">
        <v>0.49558950000000002</v>
      </c>
      <c r="F2274" t="s">
        <v>50</v>
      </c>
      <c r="G2274">
        <v>-504.32389999999998</v>
      </c>
      <c r="H2274">
        <v>8.0000059999999998E-2</v>
      </c>
      <c r="I2274">
        <v>276.48500000000001</v>
      </c>
      <c r="J2274">
        <v>-432.50979999999998</v>
      </c>
      <c r="K2274">
        <v>1.109891</v>
      </c>
      <c r="L2274">
        <v>284.12119999999999</v>
      </c>
      <c r="M2274">
        <v>-0.99986710000000001</v>
      </c>
      <c r="N2274">
        <v>0</v>
      </c>
      <c r="O2274">
        <v>-7.6749490000000004E-3</v>
      </c>
      <c r="P2274">
        <v>-0.99556299999999998</v>
      </c>
      <c r="Q2274">
        <v>-4.0396140000000004E-3</v>
      </c>
      <c r="R2274">
        <v>-9.4010789999999997E-2</v>
      </c>
      <c r="S2274">
        <v>-2.9833370000000001</v>
      </c>
      <c r="T2274">
        <v>-4.2628529999999998E-2</v>
      </c>
      <c r="U2274">
        <v>-0.316162099999999</v>
      </c>
      <c r="V2274">
        <v>-8.6368130000000001E-2</v>
      </c>
      <c r="W2274">
        <v>1.027787E-2</v>
      </c>
      <c r="X2274">
        <v>0.99621029999999999</v>
      </c>
      <c r="Y2274">
        <v>-9.7740649999999998E-2</v>
      </c>
      <c r="Z2274">
        <v>-5.8696289999999999E-4</v>
      </c>
      <c r="AA2274">
        <v>0.99521170000000003</v>
      </c>
      <c r="AB2274">
        <v>32</v>
      </c>
      <c r="AC2274">
        <v>-71.814099999999996</v>
      </c>
      <c r="AD2274">
        <v>-1.02989094</v>
      </c>
      <c r="AE2274">
        <v>-7.6361999999999703</v>
      </c>
      <c r="AF2274">
        <v>-7.0833079594507096</v>
      </c>
      <c r="AG2274">
        <v>-1.02989094</v>
      </c>
      <c r="AH2274">
        <v>71.855984815797797</v>
      </c>
      <c r="AI2274">
        <v>90.817187231386498</v>
      </c>
      <c r="AJ2274">
        <v>95.629826010148804</v>
      </c>
      <c r="AK2274">
        <v>72.211609044840401</v>
      </c>
      <c r="AL2274">
        <v>89.411111073279301</v>
      </c>
      <c r="AM2274">
        <v>94.954964542310606</v>
      </c>
      <c r="AN2274">
        <v>1.00000002515876</v>
      </c>
    </row>
    <row r="2275" spans="1:40" x14ac:dyDescent="0.25">
      <c r="A2275" t="str">
        <f>"20190312151542327"</f>
        <v>20190312151542327</v>
      </c>
      <c r="B2275" t="str">
        <f>"1552374942319840"</f>
        <v>1552374942319840</v>
      </c>
      <c r="C2275" t="s">
        <v>40</v>
      </c>
      <c r="D2275">
        <v>4.1987110000000003</v>
      </c>
      <c r="E2275">
        <v>0.49551099999999998</v>
      </c>
      <c r="F2275" t="s">
        <v>50</v>
      </c>
      <c r="G2275">
        <v>-503.4239</v>
      </c>
      <c r="H2275">
        <v>8.0000210000000002E-2</v>
      </c>
      <c r="I2275">
        <v>276.5591</v>
      </c>
      <c r="J2275">
        <v>-432.72239999999999</v>
      </c>
      <c r="K2275">
        <v>1.1098889999999999</v>
      </c>
      <c r="L2275">
        <v>284.11950000000002</v>
      </c>
      <c r="M2275">
        <v>-0.99986660000000005</v>
      </c>
      <c r="N2275">
        <v>0</v>
      </c>
      <c r="O2275">
        <v>-7.7310579999999999E-3</v>
      </c>
      <c r="P2275">
        <v>-0.99554109999999996</v>
      </c>
      <c r="Q2275">
        <v>-4.05289E-3</v>
      </c>
      <c r="R2275">
        <v>-9.4240980000000002E-2</v>
      </c>
      <c r="S2275">
        <v>-2.9831539999999999</v>
      </c>
      <c r="T2275">
        <v>-4.3324590000000003E-2</v>
      </c>
      <c r="U2275">
        <v>-0.31811519999999999</v>
      </c>
      <c r="V2275">
        <v>-8.6542469999999996E-2</v>
      </c>
      <c r="W2275">
        <v>1.026261E-2</v>
      </c>
      <c r="X2275">
        <v>0.99619530000000001</v>
      </c>
      <c r="Y2275">
        <v>-9.8335140000000001E-2</v>
      </c>
      <c r="Z2275">
        <v>-6.0005400000000004E-4</v>
      </c>
      <c r="AA2275">
        <v>0.99515319999999996</v>
      </c>
      <c r="AB2275">
        <v>32</v>
      </c>
      <c r="AC2275">
        <v>-70.701499999999996</v>
      </c>
      <c r="AD2275">
        <v>-1.02988879</v>
      </c>
      <c r="AE2275">
        <v>-7.5604000000000102</v>
      </c>
      <c r="AF2275">
        <v>-7.0120489676632101</v>
      </c>
      <c r="AG2275">
        <v>-1.02988879</v>
      </c>
      <c r="AH2275">
        <v>70.7430013868114</v>
      </c>
      <c r="AI2275">
        <v>90.829996172144405</v>
      </c>
      <c r="AJ2275">
        <v>95.660669866572803</v>
      </c>
      <c r="AK2275">
        <v>71.097128963545799</v>
      </c>
      <c r="AL2275">
        <v>89.411985437003196</v>
      </c>
      <c r="AM2275">
        <v>94.964990918721398</v>
      </c>
      <c r="AN2275">
        <v>0.99999999800990103</v>
      </c>
    </row>
    <row r="2276" spans="1:40" x14ac:dyDescent="0.25">
      <c r="A2276" t="str">
        <f>"20190312151542346"</f>
        <v>20190312151542346</v>
      </c>
      <c r="B2276" t="str">
        <f>"1552374942340336"</f>
        <v>1552374942340336</v>
      </c>
      <c r="C2276" t="s">
        <v>40</v>
      </c>
      <c r="D2276">
        <v>4.2056690000000003</v>
      </c>
      <c r="E2276">
        <v>0.47925859999999898</v>
      </c>
      <c r="F2276" t="s">
        <v>50</v>
      </c>
      <c r="G2276">
        <v>-503.46780000000001</v>
      </c>
      <c r="H2276">
        <v>8.0000210000000002E-2</v>
      </c>
      <c r="I2276">
        <v>276.54180000000002</v>
      </c>
      <c r="J2276">
        <v>-432.98309999999998</v>
      </c>
      <c r="K2276">
        <v>1.1098870000000001</v>
      </c>
      <c r="L2276">
        <v>284.11739999999998</v>
      </c>
      <c r="M2276">
        <v>-0.99986629999999999</v>
      </c>
      <c r="N2276">
        <v>0</v>
      </c>
      <c r="O2276">
        <v>-7.8006339999999999E-3</v>
      </c>
      <c r="P2276">
        <v>-0.99545649999999997</v>
      </c>
      <c r="Q2276">
        <v>-4.4987959999999898E-3</v>
      </c>
      <c r="R2276">
        <v>-9.5113550000000005E-2</v>
      </c>
      <c r="S2276">
        <v>-2.9830320000000001</v>
      </c>
      <c r="T2276">
        <v>-4.3426039999999999E-2</v>
      </c>
      <c r="U2276">
        <v>-0.319519</v>
      </c>
      <c r="V2276">
        <v>-8.7346110000000005E-2</v>
      </c>
      <c r="W2276">
        <v>9.8129770000000005E-3</v>
      </c>
      <c r="X2276">
        <v>0.99612970000000001</v>
      </c>
      <c r="Y2276">
        <v>-9.8733130000000002E-2</v>
      </c>
      <c r="Z2276">
        <v>-6.0334729999999995E-4</v>
      </c>
      <c r="AA2276">
        <v>0.99511380000000005</v>
      </c>
      <c r="AB2276">
        <v>32</v>
      </c>
      <c r="AC2276">
        <v>-70.484700000000004</v>
      </c>
      <c r="AD2276">
        <v>-1.0298867899999999</v>
      </c>
      <c r="AE2276">
        <v>-7.5755999999999499</v>
      </c>
      <c r="AF2276">
        <v>-7.0240048569410396</v>
      </c>
      <c r="AG2276">
        <v>-1.0298867899999999</v>
      </c>
      <c r="AH2276">
        <v>70.526770399728207</v>
      </c>
      <c r="AI2276">
        <v>90.832500146828707</v>
      </c>
      <c r="AJ2276">
        <v>95.687529623380399</v>
      </c>
      <c r="AK2276">
        <v>70.883161992440193</v>
      </c>
      <c r="AL2276">
        <v>89.437748814263998</v>
      </c>
      <c r="AM2276">
        <v>95.011190851699794</v>
      </c>
      <c r="AN2276">
        <v>1.00000000833591</v>
      </c>
    </row>
    <row r="2277" spans="1:40" x14ac:dyDescent="0.25">
      <c r="A2277" t="str">
        <f>"20190312151542367"</f>
        <v>20190312151542367</v>
      </c>
      <c r="B2277" t="str">
        <f>"1552374942359856"</f>
        <v>1552374942359856</v>
      </c>
      <c r="C2277" t="s">
        <v>40</v>
      </c>
      <c r="D2277">
        <v>4.2479060000000004</v>
      </c>
      <c r="E2277">
        <v>0.47931699999999999</v>
      </c>
      <c r="F2277" t="s">
        <v>51</v>
      </c>
      <c r="G2277">
        <v>-467.61759999999998</v>
      </c>
      <c r="H2277">
        <v>8.0000940000000006E-2</v>
      </c>
      <c r="I2277">
        <v>278.84190000000001</v>
      </c>
      <c r="J2277">
        <v>-433.29500000000002</v>
      </c>
      <c r="K2277">
        <v>1.109877</v>
      </c>
      <c r="L2277">
        <v>284.11489999999998</v>
      </c>
      <c r="M2277">
        <v>-0.99986560000000002</v>
      </c>
      <c r="N2277">
        <v>0</v>
      </c>
      <c r="O2277">
        <v>-7.8842749999999996E-3</v>
      </c>
      <c r="P2277">
        <v>-0.99537969999999998</v>
      </c>
      <c r="Q2277">
        <v>-4.908875E-3</v>
      </c>
      <c r="R2277">
        <v>-9.5891980000000002E-2</v>
      </c>
      <c r="S2277">
        <v>-2.9700319999999998</v>
      </c>
      <c r="T2277">
        <v>-8.8316439999999996E-2</v>
      </c>
      <c r="U2277">
        <v>-0.45239259999999898</v>
      </c>
      <c r="V2277">
        <v>-8.8041820000000007E-2</v>
      </c>
      <c r="W2277">
        <v>9.3991000000000005E-3</v>
      </c>
      <c r="X2277">
        <v>0.99607239999999997</v>
      </c>
      <c r="Y2277">
        <v>-0.1427242</v>
      </c>
      <c r="Z2277">
        <v>-1.876349E-3</v>
      </c>
      <c r="AA2277">
        <v>0.98976070000000005</v>
      </c>
      <c r="AB2277">
        <v>31</v>
      </c>
      <c r="AC2277">
        <v>-34.322599999999902</v>
      </c>
      <c r="AD2277">
        <v>-1.0298760600000001</v>
      </c>
      <c r="AE2277">
        <v>-5.2729999999999597</v>
      </c>
      <c r="AF2277">
        <v>-4.9978032982763798</v>
      </c>
      <c r="AG2277">
        <v>-1.0298760600000001</v>
      </c>
      <c r="AH2277">
        <v>34.332912315439401</v>
      </c>
      <c r="AI2277">
        <v>91.700262994616807</v>
      </c>
      <c r="AJ2277">
        <v>98.282307402287501</v>
      </c>
      <c r="AK2277">
        <v>34.710049705623803</v>
      </c>
      <c r="AL2277">
        <v>89.461463290719806</v>
      </c>
      <c r="AM2277">
        <v>95.051188281773804</v>
      </c>
      <c r="AN2277">
        <v>0.99999996559574</v>
      </c>
    </row>
    <row r="2278" spans="1:40" x14ac:dyDescent="0.25">
      <c r="A2278" t="str">
        <f>"20190312151542391"</f>
        <v>20190312151542391</v>
      </c>
      <c r="B2278" t="str">
        <f>"1552374942380352"</f>
        <v>1552374942380352</v>
      </c>
      <c r="C2278" t="s">
        <v>40</v>
      </c>
      <c r="D2278">
        <v>4.1528280000000004</v>
      </c>
      <c r="E2278">
        <v>0.47908620000000002</v>
      </c>
      <c r="F2278" t="s">
        <v>51</v>
      </c>
      <c r="G2278">
        <v>-468.90539999999999</v>
      </c>
      <c r="H2278">
        <v>8.0000569999999993E-2</v>
      </c>
      <c r="I2278">
        <v>278.66640000000001</v>
      </c>
      <c r="J2278">
        <v>-433.61849999999998</v>
      </c>
      <c r="K2278">
        <v>1.109872</v>
      </c>
      <c r="L2278">
        <v>284.11219999999997</v>
      </c>
      <c r="M2278">
        <v>-0.999865</v>
      </c>
      <c r="N2278">
        <v>0</v>
      </c>
      <c r="O2278">
        <v>-7.9720920000000001E-3</v>
      </c>
      <c r="P2278">
        <v>-0.99528130000000004</v>
      </c>
      <c r="Q2278">
        <v>-5.5355450000000002E-3</v>
      </c>
      <c r="R2278">
        <v>-9.6875349999999999E-2</v>
      </c>
      <c r="S2278">
        <v>-2.9697269999999998</v>
      </c>
      <c r="T2278">
        <v>-8.5886599999999994E-2</v>
      </c>
      <c r="U2278">
        <v>-0.45437620000000001</v>
      </c>
      <c r="V2278">
        <v>-8.8938089999999997E-2</v>
      </c>
      <c r="W2278">
        <v>8.7677959999999996E-3</v>
      </c>
      <c r="X2278">
        <v>0.99599859999999896</v>
      </c>
      <c r="Y2278">
        <v>-0.1433014</v>
      </c>
      <c r="Z2278">
        <v>-1.8306139999999999E-3</v>
      </c>
      <c r="AA2278">
        <v>0.98967740000000004</v>
      </c>
      <c r="AB2278">
        <v>31</v>
      </c>
      <c r="AC2278">
        <v>-35.286900000000003</v>
      </c>
      <c r="AD2278">
        <v>-1.02987143</v>
      </c>
      <c r="AE2278">
        <v>-5.4457999999999602</v>
      </c>
      <c r="AF2278">
        <v>-5.1599944094337404</v>
      </c>
      <c r="AG2278">
        <v>-1.02987143</v>
      </c>
      <c r="AH2278">
        <v>35.299828342214099</v>
      </c>
      <c r="AI2278">
        <v>91.6535656321538</v>
      </c>
      <c r="AJ2278">
        <v>98.316379177940405</v>
      </c>
      <c r="AK2278">
        <v>35.689831303292799</v>
      </c>
      <c r="AL2278">
        <v>89.497635874358295</v>
      </c>
      <c r="AM2278">
        <v>95.102715620126105</v>
      </c>
      <c r="AN2278">
        <v>1.00000003465075</v>
      </c>
    </row>
    <row r="2279" spans="1:40" x14ac:dyDescent="0.25">
      <c r="A2279" t="str">
        <f>"20190312151542414"</f>
        <v>20190312151542414</v>
      </c>
      <c r="B2279" t="str">
        <f>"1552374942409632"</f>
        <v>1552374942409632</v>
      </c>
      <c r="C2279" t="s">
        <v>40</v>
      </c>
      <c r="D2279">
        <v>4.1856099999999996</v>
      </c>
      <c r="E2279">
        <v>0.47908600000000001</v>
      </c>
      <c r="F2279" t="s">
        <v>51</v>
      </c>
      <c r="G2279">
        <v>-467.6037</v>
      </c>
      <c r="H2279">
        <v>8.0000950000000001E-2</v>
      </c>
      <c r="I2279">
        <v>278.8578</v>
      </c>
      <c r="J2279">
        <v>-433.92930000000001</v>
      </c>
      <c r="K2279">
        <v>1.109869</v>
      </c>
      <c r="L2279">
        <v>284.10969999999998</v>
      </c>
      <c r="M2279">
        <v>-0.99986430000000004</v>
      </c>
      <c r="N2279">
        <v>0</v>
      </c>
      <c r="O2279">
        <v>-8.0563430000000005E-3</v>
      </c>
      <c r="P2279">
        <v>-0.99521660000000001</v>
      </c>
      <c r="Q2279">
        <v>-6.0621009999999899E-3</v>
      </c>
      <c r="R2279">
        <v>-9.7506490000000001E-2</v>
      </c>
      <c r="S2279">
        <v>-2.969055</v>
      </c>
      <c r="T2279">
        <v>-8.9972969999999999E-2</v>
      </c>
      <c r="U2279">
        <v>-0.45904539999999999</v>
      </c>
      <c r="V2279">
        <v>-8.9485590000000004E-2</v>
      </c>
      <c r="W2279">
        <v>8.2370949999999998E-3</v>
      </c>
      <c r="X2279">
        <v>0.99595400000000001</v>
      </c>
      <c r="Y2279">
        <v>-0.1447657</v>
      </c>
      <c r="Z2279">
        <v>-1.9373890000000001E-3</v>
      </c>
      <c r="AA2279">
        <v>0.98946400000000001</v>
      </c>
      <c r="AB2279">
        <v>31</v>
      </c>
      <c r="AC2279">
        <v>-33.674399999999899</v>
      </c>
      <c r="AD2279">
        <v>-1.0298680499999999</v>
      </c>
      <c r="AE2279">
        <v>-5.2518999999999698</v>
      </c>
      <c r="AF2279">
        <v>-4.9758654525173496</v>
      </c>
      <c r="AG2279">
        <v>-1.0298680499999999</v>
      </c>
      <c r="AH2279">
        <v>33.684864219189997</v>
      </c>
      <c r="AI2279">
        <v>91.7324060947969</v>
      </c>
      <c r="AJ2279">
        <v>98.402858938617698</v>
      </c>
      <c r="AK2279">
        <v>34.0659645785531</v>
      </c>
      <c r="AL2279">
        <v>89.528043858132307</v>
      </c>
      <c r="AM2279">
        <v>95.134189089093894</v>
      </c>
      <c r="AN2279">
        <v>0.99999994533384196</v>
      </c>
    </row>
    <row r="2280" spans="1:40" x14ac:dyDescent="0.25">
      <c r="A2280" t="str">
        <f>"20190312151542435"</f>
        <v>20190312151542435</v>
      </c>
      <c r="B2280" t="str">
        <f>"1552374942430128"</f>
        <v>1552374942430128</v>
      </c>
      <c r="C2280" t="s">
        <v>40</v>
      </c>
      <c r="D2280">
        <v>4.2511609999999997</v>
      </c>
      <c r="E2280">
        <v>0.47818889999999997</v>
      </c>
      <c r="F2280" t="s">
        <v>51</v>
      </c>
      <c r="G2280">
        <v>-465.20229999999998</v>
      </c>
      <c r="H2280">
        <v>8.0001639999999999E-2</v>
      </c>
      <c r="I2280">
        <v>279.25040000000001</v>
      </c>
      <c r="J2280">
        <v>-434.2371</v>
      </c>
      <c r="K2280">
        <v>1.1098709999999901</v>
      </c>
      <c r="L2280">
        <v>284.1071</v>
      </c>
      <c r="M2280">
        <v>-0.99986370000000002</v>
      </c>
      <c r="N2280">
        <v>0</v>
      </c>
      <c r="O2280">
        <v>-8.1411820000000003E-3</v>
      </c>
      <c r="P2280">
        <v>-0.99516450000000001</v>
      </c>
      <c r="Q2280">
        <v>-6.1232619999999896E-3</v>
      </c>
      <c r="R2280">
        <v>-9.8032649999999999E-2</v>
      </c>
      <c r="S2280">
        <v>-2.9686279999999998</v>
      </c>
      <c r="T2280">
        <v>-9.7761509999999996E-2</v>
      </c>
      <c r="U2280">
        <v>-0.46127319999999999</v>
      </c>
      <c r="V2280">
        <v>-8.9928250000000001E-2</v>
      </c>
      <c r="W2280">
        <v>8.172248E-3</v>
      </c>
      <c r="X2280">
        <v>0.99591470000000004</v>
      </c>
      <c r="Y2280">
        <v>-0.14541699999999999</v>
      </c>
      <c r="Z2280">
        <v>-2.113073E-3</v>
      </c>
      <c r="AA2280">
        <v>0.98936820000000003</v>
      </c>
      <c r="AB2280">
        <v>31</v>
      </c>
      <c r="AC2280">
        <v>-30.9651999999999</v>
      </c>
      <c r="AD2280">
        <v>-1.02986935999999</v>
      </c>
      <c r="AE2280">
        <v>-4.8566999999999796</v>
      </c>
      <c r="AF2280">
        <v>-4.5994541168525398</v>
      </c>
      <c r="AG2280">
        <v>-1.02986935999999</v>
      </c>
      <c r="AH2280">
        <v>30.9702814999659</v>
      </c>
      <c r="AI2280">
        <v>91.883934360784707</v>
      </c>
      <c r="AJ2280">
        <v>98.447359559166998</v>
      </c>
      <c r="AK2280">
        <v>31.326888534593198</v>
      </c>
      <c r="AL2280">
        <v>89.531759460323698</v>
      </c>
      <c r="AM2280">
        <v>95.159652235629494</v>
      </c>
      <c r="AN2280">
        <v>0.99999998273076296</v>
      </c>
    </row>
    <row r="2281" spans="1:40" x14ac:dyDescent="0.25">
      <c r="A2281" t="str">
        <f>"20190312151542457"</f>
        <v>20190312151542457</v>
      </c>
      <c r="B2281" t="str">
        <f>"1552374942449648"</f>
        <v>1552374942449648</v>
      </c>
      <c r="C2281" t="s">
        <v>40</v>
      </c>
      <c r="D2281">
        <v>4.1971360000000004</v>
      </c>
      <c r="E2281">
        <v>0.4778308</v>
      </c>
      <c r="F2281" t="s">
        <v>51</v>
      </c>
      <c r="G2281">
        <v>-462.74790000000002</v>
      </c>
      <c r="H2281">
        <v>7.6249380000000005E-2</v>
      </c>
      <c r="I2281">
        <v>279.59010000000001</v>
      </c>
      <c r="J2281">
        <v>-434.54199999999997</v>
      </c>
      <c r="K2281">
        <v>1.109872</v>
      </c>
      <c r="L2281">
        <v>284.10449999999997</v>
      </c>
      <c r="M2281">
        <v>-0.99986299999999995</v>
      </c>
      <c r="N2281">
        <v>0</v>
      </c>
      <c r="O2281">
        <v>-8.224716E-3</v>
      </c>
      <c r="P2281">
        <v>-0.99515909999999996</v>
      </c>
      <c r="Q2281">
        <v>-6.1078240000000004E-3</v>
      </c>
      <c r="R2281">
        <v>-9.8086909999999999E-2</v>
      </c>
      <c r="S2281">
        <v>-2.9675600000000002</v>
      </c>
      <c r="T2281">
        <v>-0.10758479999999999</v>
      </c>
      <c r="U2281">
        <v>-0.47015380000000001</v>
      </c>
      <c r="V2281">
        <v>-8.9899270000000003E-2</v>
      </c>
      <c r="W2281">
        <v>8.1841680000000003E-3</v>
      </c>
      <c r="X2281">
        <v>0.99591730000000001</v>
      </c>
      <c r="Y2281">
        <v>-0.14826020000000001</v>
      </c>
      <c r="Z2281">
        <v>-2.3737559999999999E-3</v>
      </c>
      <c r="AA2281">
        <v>0.98894550000000003</v>
      </c>
      <c r="AB2281">
        <v>31</v>
      </c>
      <c r="AC2281">
        <v>-28.2059</v>
      </c>
      <c r="AD2281">
        <v>-1.03362262</v>
      </c>
      <c r="AE2281">
        <v>-4.5143999999999602</v>
      </c>
      <c r="AF2281">
        <v>-4.2766381622757903</v>
      </c>
      <c r="AG2281">
        <v>-1.03362262</v>
      </c>
      <c r="AH2281">
        <v>28.205148574481498</v>
      </c>
      <c r="AI2281">
        <v>92.075059286190907</v>
      </c>
      <c r="AJ2281">
        <v>98.621865249915402</v>
      </c>
      <c r="AK2281">
        <v>28.546250468322199</v>
      </c>
      <c r="AL2281">
        <v>89.531076509840602</v>
      </c>
      <c r="AM2281">
        <v>95.1579850793498</v>
      </c>
      <c r="AN2281">
        <v>1.00000006389583</v>
      </c>
    </row>
    <row r="2282" spans="1:40" x14ac:dyDescent="0.25">
      <c r="A2282" t="str">
        <f>"20190312151542480"</f>
        <v>20190312151542480</v>
      </c>
      <c r="B2282" t="str">
        <f>"1552374942470144"</f>
        <v>1552374942470144</v>
      </c>
      <c r="C2282" t="s">
        <v>40</v>
      </c>
      <c r="D2282">
        <v>4.7763970000000002</v>
      </c>
      <c r="E2282">
        <v>0.4784253</v>
      </c>
      <c r="F2282" t="s">
        <v>51</v>
      </c>
      <c r="G2282">
        <v>-462.67</v>
      </c>
      <c r="H2282">
        <v>5.014267E-2</v>
      </c>
      <c r="I2282">
        <v>279.61619999999999</v>
      </c>
      <c r="J2282">
        <v>-434.86450000000002</v>
      </c>
      <c r="K2282">
        <v>1.109872</v>
      </c>
      <c r="L2282">
        <v>284.10180000000003</v>
      </c>
      <c r="M2282">
        <v>-0.99986240000000004</v>
      </c>
      <c r="N2282">
        <v>0</v>
      </c>
      <c r="O2282">
        <v>-8.3132589999999999E-3</v>
      </c>
      <c r="P2282">
        <v>-0.99517500000000003</v>
      </c>
      <c r="Q2282">
        <v>-6.2724259999999898E-3</v>
      </c>
      <c r="R2282">
        <v>-9.7915470000000004E-2</v>
      </c>
      <c r="S2282">
        <v>-2.9672550000000002</v>
      </c>
      <c r="T2282">
        <v>-0.11179219999999999</v>
      </c>
      <c r="U2282">
        <v>-0.47348020000000002</v>
      </c>
      <c r="V2282">
        <v>-8.96396E-2</v>
      </c>
      <c r="W2282">
        <v>8.016802E-3</v>
      </c>
      <c r="X2282">
        <v>0.99594199999999999</v>
      </c>
      <c r="Y2282">
        <v>-0.1492618</v>
      </c>
      <c r="Z2282">
        <v>-2.4819899999999999E-3</v>
      </c>
      <c r="AA2282">
        <v>0.98879459999999997</v>
      </c>
      <c r="AB2282">
        <v>31</v>
      </c>
      <c r="AC2282">
        <v>-27.805499999999899</v>
      </c>
      <c r="AD2282">
        <v>-1.0597293299999999</v>
      </c>
      <c r="AE2282">
        <v>-4.48560000000003</v>
      </c>
      <c r="AF2282">
        <v>-4.2482525753786398</v>
      </c>
      <c r="AG2282">
        <v>-1.0597293299999999</v>
      </c>
      <c r="AH2282">
        <v>27.802472835581501</v>
      </c>
      <c r="AI2282">
        <v>92.157829094000803</v>
      </c>
      <c r="AJ2282">
        <v>98.687668707096705</v>
      </c>
      <c r="AK2282">
        <v>28.145126966676099</v>
      </c>
      <c r="AL2282">
        <v>89.540666158661296</v>
      </c>
      <c r="AM2282">
        <v>95.143039620659593</v>
      </c>
      <c r="AN2282">
        <v>0.99999999718323296</v>
      </c>
    </row>
    <row r="2283" spans="1:40" x14ac:dyDescent="0.25">
      <c r="A2283" t="str">
        <f>"20190312151542496"</f>
        <v>20190312151542496</v>
      </c>
      <c r="B2283" t="str">
        <f>"1552374942489665"</f>
        <v>1552374942489665</v>
      </c>
      <c r="C2283" t="s">
        <v>40</v>
      </c>
      <c r="D2283">
        <v>4.2080890000000002</v>
      </c>
      <c r="E2283">
        <v>0.53684290000000001</v>
      </c>
      <c r="F2283" t="s">
        <v>51</v>
      </c>
      <c r="G2283">
        <v>-463.40249999999997</v>
      </c>
      <c r="H2283">
        <v>6.4622990000000005E-2</v>
      </c>
      <c r="I2283">
        <v>279.60169999999999</v>
      </c>
      <c r="J2283">
        <v>-435.08819999999997</v>
      </c>
      <c r="K2283">
        <v>1.1098709999999901</v>
      </c>
      <c r="L2283">
        <v>284.09989999999999</v>
      </c>
      <c r="M2283">
        <v>-0.99986200000000003</v>
      </c>
      <c r="N2283">
        <v>0</v>
      </c>
      <c r="O2283">
        <v>-8.3742750000000005E-3</v>
      </c>
      <c r="P2283">
        <v>-0.99514089999999999</v>
      </c>
      <c r="Q2283">
        <v>-6.290871E-3</v>
      </c>
      <c r="R2283">
        <v>-9.8260239999999999E-2</v>
      </c>
      <c r="S2283">
        <v>-2.9678040000000001</v>
      </c>
      <c r="T2283">
        <v>-0.10870050000000001</v>
      </c>
      <c r="U2283">
        <v>-0.46798709999999999</v>
      </c>
      <c r="V2283">
        <v>-8.9923630000000004E-2</v>
      </c>
      <c r="W2283">
        <v>7.9953460000000004E-3</v>
      </c>
      <c r="X2283">
        <v>0.99591649999999998</v>
      </c>
      <c r="Y2283">
        <v>-0.147394</v>
      </c>
      <c r="Z2283">
        <v>-2.3770969999999999E-3</v>
      </c>
      <c r="AA2283">
        <v>0.98907500000000004</v>
      </c>
      <c r="AB2283">
        <v>31</v>
      </c>
      <c r="AC2283">
        <v>-28.314299999999999</v>
      </c>
      <c r="AD2283">
        <v>-1.0452480099999999</v>
      </c>
      <c r="AE2283">
        <v>-4.49819999999999</v>
      </c>
      <c r="AF2283">
        <v>-4.2552498643008896</v>
      </c>
      <c r="AG2283">
        <v>-1.0452480099999999</v>
      </c>
      <c r="AH2283">
        <v>28.313344884572</v>
      </c>
      <c r="AI2283">
        <v>92.090777125572401</v>
      </c>
      <c r="AJ2283">
        <v>98.547088804152907</v>
      </c>
      <c r="AK2283">
        <v>28.650396041987999</v>
      </c>
      <c r="AL2283">
        <v>89.541895505478394</v>
      </c>
      <c r="AM2283">
        <v>95.159379318156596</v>
      </c>
      <c r="AN2283">
        <v>0.99999992988113995</v>
      </c>
    </row>
    <row r="2284" spans="1:40" x14ac:dyDescent="0.25">
      <c r="A2284" t="str">
        <f>"20190312151542514"</f>
        <v>20190312151542514</v>
      </c>
      <c r="B2284" t="str">
        <f>"1552374942510160"</f>
        <v>1552374942510160</v>
      </c>
      <c r="C2284" t="s">
        <v>40</v>
      </c>
      <c r="D2284">
        <v>4.2731949999999896</v>
      </c>
      <c r="E2284">
        <v>0.55366949999999904</v>
      </c>
      <c r="F2284" t="s">
        <v>41</v>
      </c>
      <c r="G2284">
        <v>-436.02640000000002</v>
      </c>
      <c r="H2284">
        <v>0.99568920000000005</v>
      </c>
      <c r="I2284">
        <v>284.09559999999999</v>
      </c>
      <c r="J2284">
        <v>-435.33109999999999</v>
      </c>
      <c r="K2284">
        <v>1.1098779999999999</v>
      </c>
      <c r="L2284">
        <v>284.09769999999997</v>
      </c>
      <c r="M2284">
        <v>-0.99986149999999996</v>
      </c>
      <c r="N2284">
        <v>0</v>
      </c>
      <c r="O2284">
        <v>-8.4407690000000007E-3</v>
      </c>
      <c r="P2284">
        <v>-0.99512239999999996</v>
      </c>
      <c r="Q2284">
        <v>-6.1576230000000001E-3</v>
      </c>
      <c r="R2284">
        <v>-9.8457719999999999E-2</v>
      </c>
      <c r="S2284">
        <v>-3.011047</v>
      </c>
      <c r="T2284">
        <v>-0.36644379999999999</v>
      </c>
      <c r="U2284">
        <v>-1.3427730000000001E-2</v>
      </c>
      <c r="V2284">
        <v>-9.0055079999999996E-2</v>
      </c>
      <c r="W2284">
        <v>8.1259950000000004E-3</v>
      </c>
      <c r="X2284">
        <v>0.9959036</v>
      </c>
      <c r="Y2284">
        <v>3.8912759999999999E-3</v>
      </c>
      <c r="Z2284">
        <v>1.2594629999999999E-3</v>
      </c>
      <c r="AA2284">
        <v>0.99999170000000004</v>
      </c>
      <c r="AB2284">
        <v>31</v>
      </c>
      <c r="AC2284">
        <v>-0.695300000000031</v>
      </c>
      <c r="AD2284">
        <v>-0.11418879999999999</v>
      </c>
      <c r="AE2284">
        <v>-2.0999999999844398E-3</v>
      </c>
      <c r="AF2284">
        <v>3.67054665119316E-3</v>
      </c>
      <c r="AG2284">
        <v>-0.11418879999999999</v>
      </c>
      <c r="AH2284">
        <v>0.67703264056619195</v>
      </c>
      <c r="AI2284">
        <v>99.573309987067105</v>
      </c>
      <c r="AJ2284">
        <v>89.689372773857301</v>
      </c>
      <c r="AK2284">
        <v>0.68660450868763501</v>
      </c>
      <c r="AL2284">
        <v>89.534409641737895</v>
      </c>
      <c r="AM2284">
        <v>95.166947049883404</v>
      </c>
      <c r="AN2284">
        <v>0.99999996486075204</v>
      </c>
    </row>
    <row r="2285" spans="1:40" x14ac:dyDescent="0.25">
      <c r="A2285" t="str">
        <f>"20190312151542529"</f>
        <v>20190312151542529</v>
      </c>
      <c r="B2285" t="str">
        <f>"1552374942520375"</f>
        <v>1552374942520375</v>
      </c>
      <c r="C2285" t="s">
        <v>40</v>
      </c>
      <c r="D2285">
        <v>4.192952</v>
      </c>
      <c r="E2285">
        <v>0.55874480000000004</v>
      </c>
      <c r="F2285" t="s">
        <v>41</v>
      </c>
      <c r="G2285">
        <v>-436.27859999999998</v>
      </c>
      <c r="H2285">
        <v>0.9439265</v>
      </c>
      <c r="I2285">
        <v>284.13400000000001</v>
      </c>
      <c r="J2285">
        <v>-435.54349999999999</v>
      </c>
      <c r="K2285">
        <v>1.109877</v>
      </c>
      <c r="L2285">
        <v>284.09589999999997</v>
      </c>
      <c r="M2285">
        <v>-0.99986090000000005</v>
      </c>
      <c r="N2285">
        <v>0</v>
      </c>
      <c r="O2285">
        <v>-8.4995139999999997E-3</v>
      </c>
      <c r="P2285">
        <v>-0.99510030000000005</v>
      </c>
      <c r="Q2285">
        <v>-5.9599090000000002E-3</v>
      </c>
      <c r="R2285">
        <v>-9.8692299999999997E-2</v>
      </c>
      <c r="S2285">
        <v>-3.0227970000000002</v>
      </c>
      <c r="T2285">
        <v>-0.52954069999999998</v>
      </c>
      <c r="U2285">
        <v>0.1145935</v>
      </c>
      <c r="V2285">
        <v>-9.0231580000000006E-2</v>
      </c>
      <c r="W2285">
        <v>8.3214910000000003E-3</v>
      </c>
      <c r="X2285">
        <v>0.99588600000000005</v>
      </c>
      <c r="Y2285">
        <v>4.5553419999999997E-2</v>
      </c>
      <c r="Z2285">
        <v>5.4359279999999996E-3</v>
      </c>
      <c r="AA2285">
        <v>0.99894709999999998</v>
      </c>
      <c r="AB2285">
        <v>31</v>
      </c>
      <c r="AC2285">
        <v>-0.73509999999998799</v>
      </c>
      <c r="AD2285">
        <v>-0.1659505</v>
      </c>
      <c r="AE2285">
        <v>3.81000000000426E-2</v>
      </c>
      <c r="AF2285">
        <v>4.22022239305428E-2</v>
      </c>
      <c r="AG2285">
        <v>-0.1659505</v>
      </c>
      <c r="AH2285">
        <v>0.69921042236821596</v>
      </c>
      <c r="AI2285">
        <v>103.328145331068</v>
      </c>
      <c r="AJ2285">
        <v>86.545990447247704</v>
      </c>
      <c r="AK2285">
        <v>0.71987207954140897</v>
      </c>
      <c r="AL2285">
        <v>89.523208162185796</v>
      </c>
      <c r="AM2285">
        <v>95.177109829611993</v>
      </c>
      <c r="AN2285">
        <v>0.99999995511887796</v>
      </c>
    </row>
    <row r="2286" spans="1:40" x14ac:dyDescent="0.25">
      <c r="A2286" t="str">
        <f>"20190312151542546"</f>
        <v>20190312151542546</v>
      </c>
      <c r="B2286" t="str">
        <f>"1552374942539910"</f>
        <v>1552374942539910</v>
      </c>
      <c r="C2286" t="s">
        <v>40</v>
      </c>
      <c r="D2286">
        <v>4.2734709999999998</v>
      </c>
      <c r="E2286">
        <v>0.56653240000000005</v>
      </c>
      <c r="F2286" t="s">
        <v>41</v>
      </c>
      <c r="G2286">
        <v>-436.2901</v>
      </c>
      <c r="H2286">
        <v>0.96746120000000002</v>
      </c>
      <c r="I2286">
        <v>284.13389999999998</v>
      </c>
      <c r="J2286">
        <v>-435.78769999999997</v>
      </c>
      <c r="K2286">
        <v>1.109882</v>
      </c>
      <c r="L2286">
        <v>284.09379999999999</v>
      </c>
      <c r="M2286">
        <v>-0.99986039999999998</v>
      </c>
      <c r="N2286">
        <v>0</v>
      </c>
      <c r="O2286">
        <v>-8.5668410000000004E-3</v>
      </c>
      <c r="P2286">
        <v>-0.9950734</v>
      </c>
      <c r="Q2286">
        <v>-6.3836269999999898E-3</v>
      </c>
      <c r="R2286">
        <v>-9.8935430000000005E-2</v>
      </c>
      <c r="S2286">
        <v>-3.026459</v>
      </c>
      <c r="T2286">
        <v>-0.57748100000000002</v>
      </c>
      <c r="U2286">
        <v>0.15237429999999999</v>
      </c>
      <c r="V2286">
        <v>-9.0407119999999994E-2</v>
      </c>
      <c r="W2286">
        <v>7.8947359999999994E-3</v>
      </c>
      <c r="X2286">
        <v>0.99587360000000003</v>
      </c>
      <c r="Y2286">
        <v>5.7646969999999999E-2</v>
      </c>
      <c r="Z2286">
        <v>7.0665759999999998E-3</v>
      </c>
      <c r="AA2286">
        <v>0.99831199999999998</v>
      </c>
      <c r="AB2286">
        <v>31</v>
      </c>
      <c r="AC2286">
        <v>-0.50240000000002205</v>
      </c>
      <c r="AD2286">
        <v>-0.14242079999999999</v>
      </c>
      <c r="AE2286">
        <v>4.0099999999995299E-2</v>
      </c>
      <c r="AF2286">
        <v>4.1119452873082399E-2</v>
      </c>
      <c r="AG2286">
        <v>-0.14242079999999999</v>
      </c>
      <c r="AH2286">
        <v>0.46491340572776502</v>
      </c>
      <c r="AI2286">
        <v>106.96941870622599</v>
      </c>
      <c r="AJ2286">
        <v>84.945603878983604</v>
      </c>
      <c r="AK2286">
        <v>0.48797435230000602</v>
      </c>
      <c r="AL2286">
        <v>89.547660248240007</v>
      </c>
      <c r="AM2286">
        <v>95.187190923688206</v>
      </c>
      <c r="AN2286">
        <v>1.00000000069008</v>
      </c>
    </row>
    <row r="2287" spans="1:40" x14ac:dyDescent="0.25">
      <c r="A2287" t="str">
        <f>"20190312151542569"</f>
        <v>20190312151542569</v>
      </c>
      <c r="B2287" t="str">
        <f>"1552374942560390"</f>
        <v>1552374942560390</v>
      </c>
      <c r="C2287" t="s">
        <v>40</v>
      </c>
      <c r="D2287">
        <v>4.1786919999999999</v>
      </c>
      <c r="E2287">
        <v>0.570496</v>
      </c>
      <c r="F2287" t="s">
        <v>41</v>
      </c>
      <c r="G2287">
        <v>-436.55610000000001</v>
      </c>
      <c r="H2287">
        <v>0.94393300000000002</v>
      </c>
      <c r="I2287">
        <v>284.14710000000002</v>
      </c>
      <c r="J2287">
        <v>-436.09769999999997</v>
      </c>
      <c r="K2287">
        <v>1.109877</v>
      </c>
      <c r="L2287">
        <v>284.09100000000001</v>
      </c>
      <c r="M2287">
        <v>-0.99985979999999997</v>
      </c>
      <c r="N2287">
        <v>0</v>
      </c>
      <c r="O2287">
        <v>-8.6518089999999999E-3</v>
      </c>
      <c r="P2287">
        <v>-0.994977</v>
      </c>
      <c r="Q2287">
        <v>-6.6914469999999997E-3</v>
      </c>
      <c r="R2287">
        <v>-9.9881800000000007E-2</v>
      </c>
      <c r="S2287">
        <v>-3.0316160000000001</v>
      </c>
      <c r="T2287">
        <v>-0.65455010000000002</v>
      </c>
      <c r="U2287">
        <v>0.21081539999999999</v>
      </c>
      <c r="V2287">
        <v>-9.1270160000000003E-2</v>
      </c>
      <c r="W2287">
        <v>7.581941E-3</v>
      </c>
      <c r="X2287">
        <v>0.9957973</v>
      </c>
      <c r="Y2287">
        <v>7.6057730000000004E-2</v>
      </c>
      <c r="Z2287">
        <v>9.9526279999999998E-3</v>
      </c>
      <c r="AA2287">
        <v>0.99705370000000004</v>
      </c>
      <c r="AB2287">
        <v>31</v>
      </c>
      <c r="AC2287">
        <v>-0.45840000000004</v>
      </c>
      <c r="AD2287">
        <v>-0.16594399999999901</v>
      </c>
      <c r="AE2287">
        <v>5.6100000000014902E-2</v>
      </c>
      <c r="AF2287">
        <v>5.3195895733314298E-2</v>
      </c>
      <c r="AG2287">
        <v>-0.16594399999999901</v>
      </c>
      <c r="AH2287">
        <v>0.405536481826138</v>
      </c>
      <c r="AI2287">
        <v>112.083406656638</v>
      </c>
      <c r="AJ2287">
        <v>82.526943073807303</v>
      </c>
      <c r="AK2287">
        <v>0.441392175452614</v>
      </c>
      <c r="AL2287">
        <v>89.565582615937601</v>
      </c>
      <c r="AM2287">
        <v>95.236833638978595</v>
      </c>
      <c r="AN2287">
        <v>0.99999999531152095</v>
      </c>
    </row>
    <row r="2288" spans="1:40" x14ac:dyDescent="0.25">
      <c r="A2288" t="str">
        <f>"20190312151542592"</f>
        <v>20190312151542592</v>
      </c>
      <c r="B2288" t="str">
        <f>"1552374942579911"</f>
        <v>1552374942579911</v>
      </c>
      <c r="C2288" t="s">
        <v>40</v>
      </c>
      <c r="D2288">
        <v>4.1749720000000003</v>
      </c>
      <c r="E2288">
        <v>0.57284000000000002</v>
      </c>
      <c r="F2288" t="s">
        <v>41</v>
      </c>
      <c r="G2288">
        <v>-436.83300000000003</v>
      </c>
      <c r="H2288">
        <v>0.9429305</v>
      </c>
      <c r="I2288">
        <v>284.149</v>
      </c>
      <c r="J2288">
        <v>-436.41660000000002</v>
      </c>
      <c r="K2288">
        <v>1.1098779999999999</v>
      </c>
      <c r="L2288">
        <v>284.0881</v>
      </c>
      <c r="M2288">
        <v>-0.99985900000000005</v>
      </c>
      <c r="N2288">
        <v>0</v>
      </c>
      <c r="O2288">
        <v>-8.7395110000000002E-3</v>
      </c>
      <c r="P2288">
        <v>-0.99488160000000003</v>
      </c>
      <c r="Q2288">
        <v>-6.7588329999999997E-3</v>
      </c>
      <c r="R2288">
        <v>-0.1008222</v>
      </c>
      <c r="S2288">
        <v>-3.034424</v>
      </c>
      <c r="T2288">
        <v>-0.68902330000000001</v>
      </c>
      <c r="U2288">
        <v>0.23834230000000001</v>
      </c>
      <c r="V2288">
        <v>-9.2123930000000007E-2</v>
      </c>
      <c r="W2288">
        <v>7.5099399999999997E-3</v>
      </c>
      <c r="X2288">
        <v>0.99571929999999997</v>
      </c>
      <c r="Y2288">
        <v>8.4652130000000006E-2</v>
      </c>
      <c r="Z2288">
        <v>1.143306E-2</v>
      </c>
      <c r="AA2288">
        <v>0.99634500000000004</v>
      </c>
      <c r="AB2288">
        <v>31</v>
      </c>
      <c r="AC2288">
        <v>-0.41640000000000998</v>
      </c>
      <c r="AD2288">
        <v>-0.1669475</v>
      </c>
      <c r="AE2288">
        <v>6.0900000000003701E-2</v>
      </c>
      <c r="AF2288">
        <v>5.57614929656585E-2</v>
      </c>
      <c r="AG2288">
        <v>-0.1669475</v>
      </c>
      <c r="AH2288">
        <v>0.35930478072016497</v>
      </c>
      <c r="AI2288">
        <v>114.66194007431</v>
      </c>
      <c r="AJ2288">
        <v>81.178483298195999</v>
      </c>
      <c r="AK2288">
        <v>0.40010090889971101</v>
      </c>
      <c r="AL2288">
        <v>89.569708119418706</v>
      </c>
      <c r="AM2288">
        <v>95.285956164147905</v>
      </c>
      <c r="AN2288">
        <v>1.0000000710349599</v>
      </c>
    </row>
    <row r="2289" spans="1:40" x14ac:dyDescent="0.25">
      <c r="A2289" t="str">
        <f>"20190312151542615"</f>
        <v>20190312151542615</v>
      </c>
      <c r="B2289" t="str">
        <f>"1552374942610167"</f>
        <v>1552374942610167</v>
      </c>
      <c r="C2289" t="s">
        <v>40</v>
      </c>
      <c r="D2289">
        <v>4.2291030000000003</v>
      </c>
      <c r="E2289">
        <v>0.57541419999999999</v>
      </c>
      <c r="F2289" t="s">
        <v>41</v>
      </c>
      <c r="G2289">
        <v>-437.11200000000002</v>
      </c>
      <c r="H2289">
        <v>0.94688870000000003</v>
      </c>
      <c r="I2289">
        <v>284.1463</v>
      </c>
      <c r="J2289">
        <v>-436.72640000000001</v>
      </c>
      <c r="K2289">
        <v>1.109877</v>
      </c>
      <c r="L2289">
        <v>284.08530000000002</v>
      </c>
      <c r="M2289">
        <v>-0.99985829999999998</v>
      </c>
      <c r="N2289">
        <v>0</v>
      </c>
      <c r="O2289">
        <v>-8.8244740000000006E-3</v>
      </c>
      <c r="P2289">
        <v>-0.9948207</v>
      </c>
      <c r="Q2289">
        <v>-6.9964989999999998E-3</v>
      </c>
      <c r="R2289">
        <v>-0.1014055</v>
      </c>
      <c r="S2289">
        <v>-3.0362849999999999</v>
      </c>
      <c r="T2289">
        <v>-0.71164259999999901</v>
      </c>
      <c r="U2289">
        <v>0.25372309999999998</v>
      </c>
      <c r="V2289">
        <v>-9.2623079999999997E-2</v>
      </c>
      <c r="W2289">
        <v>7.2681899999999999E-3</v>
      </c>
      <c r="X2289">
        <v>0.99567470000000002</v>
      </c>
      <c r="Y2289">
        <v>8.942021E-2</v>
      </c>
      <c r="Z2289">
        <v>1.235934E-2</v>
      </c>
      <c r="AA2289">
        <v>0.99591730000000001</v>
      </c>
      <c r="AB2289">
        <v>31</v>
      </c>
      <c r="AC2289">
        <v>-0.38559999999995398</v>
      </c>
      <c r="AD2289">
        <v>-0.1629883</v>
      </c>
      <c r="AE2289">
        <v>6.0999999999978599E-2</v>
      </c>
      <c r="AF2289">
        <v>5.4841645376586201E-2</v>
      </c>
      <c r="AG2289">
        <v>-0.1629883</v>
      </c>
      <c r="AH2289">
        <v>0.32789385618433697</v>
      </c>
      <c r="AI2289">
        <v>116.117158864419</v>
      </c>
      <c r="AJ2289">
        <v>80.504924019697796</v>
      </c>
      <c r="AK2289">
        <v>0.37025284999299601</v>
      </c>
      <c r="AL2289">
        <v>89.583559715428393</v>
      </c>
      <c r="AM2289">
        <v>95.314669908415596</v>
      </c>
      <c r="AN2289">
        <v>0.999999984877326</v>
      </c>
    </row>
    <row r="2290" spans="1:40" x14ac:dyDescent="0.25">
      <c r="A2290" t="str">
        <f>"20190312151542636"</f>
        <v>20190312151542636</v>
      </c>
      <c r="B2290" t="str">
        <f>"1552374942629686"</f>
        <v>1552374942629686</v>
      </c>
      <c r="C2290" t="s">
        <v>40</v>
      </c>
      <c r="D2290">
        <v>4.2690279999999996</v>
      </c>
      <c r="E2290">
        <v>0.57664069999999901</v>
      </c>
      <c r="F2290" t="s">
        <v>41</v>
      </c>
      <c r="G2290">
        <v>-437.63869999999997</v>
      </c>
      <c r="H2290">
        <v>0.88901509999999995</v>
      </c>
      <c r="I2290">
        <v>284.16699999999997</v>
      </c>
      <c r="J2290">
        <v>-437.0283</v>
      </c>
      <c r="K2290">
        <v>1.1098809999999999</v>
      </c>
      <c r="L2290">
        <v>284.08260000000001</v>
      </c>
      <c r="M2290">
        <v>-0.99985760000000001</v>
      </c>
      <c r="N2290">
        <v>0</v>
      </c>
      <c r="O2290">
        <v>-8.9078850000000008E-3</v>
      </c>
      <c r="P2290">
        <v>-0.99472260000000001</v>
      </c>
      <c r="Q2290">
        <v>-7.4887460000000001E-3</v>
      </c>
      <c r="R2290">
        <v>-0.1023292</v>
      </c>
      <c r="S2290">
        <v>-3.038116</v>
      </c>
      <c r="T2290">
        <v>-0.73545319999999903</v>
      </c>
      <c r="U2290">
        <v>0.271698</v>
      </c>
      <c r="V2290">
        <v>-9.3463710000000005E-2</v>
      </c>
      <c r="W2290">
        <v>6.7718149999999996E-3</v>
      </c>
      <c r="X2290">
        <v>0.99559960000000003</v>
      </c>
      <c r="Y2290">
        <v>9.4966750000000003E-2</v>
      </c>
      <c r="Z2290">
        <v>1.343133E-2</v>
      </c>
      <c r="AA2290">
        <v>0.99538979999999999</v>
      </c>
      <c r="AB2290">
        <v>31</v>
      </c>
      <c r="AC2290">
        <v>-0.61039999999996997</v>
      </c>
      <c r="AD2290">
        <v>-0.220865899999999</v>
      </c>
      <c r="AE2290">
        <v>8.4400000000016406E-2</v>
      </c>
      <c r="AF2290">
        <v>7.9607378918442301E-2</v>
      </c>
      <c r="AG2290">
        <v>-0.220865899999999</v>
      </c>
      <c r="AH2290">
        <v>0.54022134379974396</v>
      </c>
      <c r="AI2290">
        <v>112.02211610687699</v>
      </c>
      <c r="AJ2290">
        <v>81.617186208568697</v>
      </c>
      <c r="AK2290">
        <v>0.58903156185205896</v>
      </c>
      <c r="AL2290">
        <v>89.612000593272796</v>
      </c>
      <c r="AM2290">
        <v>95.363027077741094</v>
      </c>
      <c r="AN2290">
        <v>0.99999994304275697</v>
      </c>
    </row>
    <row r="2291" spans="1:40" x14ac:dyDescent="0.25">
      <c r="A2291" t="str">
        <f>"20190312151542669"</f>
        <v>20190312151542669</v>
      </c>
      <c r="B2291" t="str">
        <f>"1552374942659943"</f>
        <v>1552374942659943</v>
      </c>
      <c r="C2291" t="s">
        <v>40</v>
      </c>
      <c r="D2291">
        <v>4.3164769999999999</v>
      </c>
      <c r="E2291">
        <v>0.57785249999999999</v>
      </c>
      <c r="F2291" t="s">
        <v>41</v>
      </c>
      <c r="G2291">
        <v>-437.91570000000002</v>
      </c>
      <c r="H2291">
        <v>0.89129629999999904</v>
      </c>
      <c r="I2291">
        <v>284.16410000000002</v>
      </c>
      <c r="J2291">
        <v>-437.48669999999998</v>
      </c>
      <c r="K2291">
        <v>1.1098809999999999</v>
      </c>
      <c r="L2291">
        <v>284.07830000000001</v>
      </c>
      <c r="M2291">
        <v>-0.99985650000000004</v>
      </c>
      <c r="N2291">
        <v>0</v>
      </c>
      <c r="O2291">
        <v>-9.0334899999999999E-3</v>
      </c>
      <c r="P2291">
        <v>-0.99463159999999895</v>
      </c>
      <c r="Q2291">
        <v>-7.3057440000000003E-3</v>
      </c>
      <c r="R2291">
        <v>-0.1032218</v>
      </c>
      <c r="S2291">
        <v>-3.03891</v>
      </c>
      <c r="T2291">
        <v>-0.74859129999999996</v>
      </c>
      <c r="U2291">
        <v>0.27844239999999998</v>
      </c>
      <c r="V2291">
        <v>-9.4232659999999996E-2</v>
      </c>
      <c r="W2291">
        <v>6.9487169999999897E-3</v>
      </c>
      <c r="X2291">
        <v>0.99552600000000002</v>
      </c>
      <c r="Y2291">
        <v>9.7089499999999995E-2</v>
      </c>
      <c r="Z2291">
        <v>1.394716E-2</v>
      </c>
      <c r="AA2291">
        <v>0.99517789999999995</v>
      </c>
      <c r="AB2291">
        <v>31</v>
      </c>
      <c r="AC2291">
        <v>-0.42900000000003002</v>
      </c>
      <c r="AD2291">
        <v>-0.21858469999999999</v>
      </c>
      <c r="AE2291">
        <v>8.5800000000006094E-2</v>
      </c>
      <c r="AF2291">
        <v>7.1759222574124606E-2</v>
      </c>
      <c r="AG2291">
        <v>-0.21858469999999999</v>
      </c>
      <c r="AH2291">
        <v>0.34266811723204499</v>
      </c>
      <c r="AI2291">
        <v>121.978481233414</v>
      </c>
      <c r="AJ2291">
        <v>78.1724264754464</v>
      </c>
      <c r="AK2291">
        <v>0.41273489756245202</v>
      </c>
      <c r="AL2291">
        <v>89.601864657875197</v>
      </c>
      <c r="AM2291">
        <v>95.407287018153497</v>
      </c>
      <c r="AN2291">
        <v>1.0000000477772999</v>
      </c>
    </row>
    <row r="2292" spans="1:40" x14ac:dyDescent="0.25">
      <c r="A2292" t="str">
        <f>"20190312151542692"</f>
        <v>20190312151542692</v>
      </c>
      <c r="B2292" t="str">
        <f>"1552374942679463"</f>
        <v>1552374942679463</v>
      </c>
      <c r="C2292" t="s">
        <v>40</v>
      </c>
      <c r="D2292">
        <v>4.4072230000000001</v>
      </c>
      <c r="E2292">
        <v>0.59280369999999905</v>
      </c>
      <c r="F2292" t="s">
        <v>41</v>
      </c>
      <c r="G2292">
        <v>-438.20870000000002</v>
      </c>
      <c r="H2292">
        <v>0.92988539999999997</v>
      </c>
      <c r="I2292">
        <v>284.1463</v>
      </c>
      <c r="J2292">
        <v>-437.7996</v>
      </c>
      <c r="K2292">
        <v>1.1098809999999999</v>
      </c>
      <c r="L2292">
        <v>284.0754</v>
      </c>
      <c r="M2292">
        <v>-0.99985590000000002</v>
      </c>
      <c r="N2292">
        <v>0</v>
      </c>
      <c r="O2292">
        <v>-9.1191250000000005E-3</v>
      </c>
      <c r="P2292">
        <v>-0.99458310000000005</v>
      </c>
      <c r="Q2292">
        <v>-7.4599200000000001E-3</v>
      </c>
      <c r="R2292">
        <v>-0.1036762</v>
      </c>
      <c r="S2292">
        <v>-3.0402529999999999</v>
      </c>
      <c r="T2292">
        <v>-0.75807259999999999</v>
      </c>
      <c r="U2292">
        <v>0.28536990000000001</v>
      </c>
      <c r="V2292">
        <v>-9.4602560000000002E-2</v>
      </c>
      <c r="W2292">
        <v>6.7842129999999999E-3</v>
      </c>
      <c r="X2292">
        <v>0.99549200000000004</v>
      </c>
      <c r="Y2292">
        <v>9.9239480000000005E-2</v>
      </c>
      <c r="Z2292">
        <v>1.439562E-2</v>
      </c>
      <c r="AA2292">
        <v>0.99495940000000005</v>
      </c>
      <c r="AB2292">
        <v>31</v>
      </c>
      <c r="AC2292">
        <v>-0.409100000000023</v>
      </c>
      <c r="AD2292">
        <v>-0.17999559999999901</v>
      </c>
      <c r="AE2292">
        <v>7.0899999999994606E-2</v>
      </c>
      <c r="AF2292">
        <v>6.2821561822640301E-2</v>
      </c>
      <c r="AG2292">
        <v>-0.17999559999999901</v>
      </c>
      <c r="AH2292">
        <v>0.34381984734349502</v>
      </c>
      <c r="AI2292">
        <v>117.248068559551</v>
      </c>
      <c r="AJ2292">
        <v>79.6453381810759</v>
      </c>
      <c r="AK2292">
        <v>0.39313744680009799</v>
      </c>
      <c r="AL2292">
        <v>89.611290244419195</v>
      </c>
      <c r="AM2292">
        <v>95.428570480070107</v>
      </c>
      <c r="AN2292">
        <v>0.99999999598429101</v>
      </c>
    </row>
    <row r="2293" spans="1:40" x14ac:dyDescent="0.25">
      <c r="A2293" t="str">
        <f>"20190312151542714"</f>
        <v>20190312151542714</v>
      </c>
      <c r="B2293" t="str">
        <f>"1552374942709732"</f>
        <v>1552374942709732</v>
      </c>
      <c r="C2293" t="s">
        <v>40</v>
      </c>
      <c r="D2293">
        <v>4.3517839999999897</v>
      </c>
      <c r="E2293">
        <v>0.59283529999999995</v>
      </c>
      <c r="F2293" t="s">
        <v>41</v>
      </c>
      <c r="G2293">
        <v>-438.46510000000001</v>
      </c>
      <c r="H2293">
        <v>0.88643680000000002</v>
      </c>
      <c r="I2293">
        <v>284.16199999999998</v>
      </c>
      <c r="J2293">
        <v>-438.10939999999999</v>
      </c>
      <c r="K2293">
        <v>1.1098680000000001</v>
      </c>
      <c r="L2293">
        <v>284.07240000000002</v>
      </c>
      <c r="M2293">
        <v>-0.99985570000000001</v>
      </c>
      <c r="N2293">
        <v>0</v>
      </c>
      <c r="O2293">
        <v>-9.2045479999999999E-3</v>
      </c>
      <c r="P2293">
        <v>-0.99455979999999999</v>
      </c>
      <c r="Q2293">
        <v>-7.8642399999999998E-3</v>
      </c>
      <c r="R2293">
        <v>-0.10387150000000001</v>
      </c>
      <c r="S2293">
        <v>-3.0497740000000002</v>
      </c>
      <c r="T2293">
        <v>-1.024008</v>
      </c>
      <c r="U2293">
        <v>0.39456180000000002</v>
      </c>
      <c r="V2293">
        <v>-9.4712500000000005E-2</v>
      </c>
      <c r="W2293">
        <v>6.3402880000000003E-3</v>
      </c>
      <c r="X2293">
        <v>0.99548449999999999</v>
      </c>
      <c r="Y2293">
        <v>0.12991610000000001</v>
      </c>
      <c r="Z2293">
        <v>2.4144200000000001E-2</v>
      </c>
      <c r="AA2293">
        <v>0.99123099999999997</v>
      </c>
      <c r="AB2293">
        <v>31</v>
      </c>
      <c r="AC2293">
        <v>-0.35570000000001201</v>
      </c>
      <c r="AD2293">
        <v>-0.2234312</v>
      </c>
      <c r="AE2293">
        <v>8.9600000000018498E-2</v>
      </c>
      <c r="AF2293">
        <v>6.7738132007825497E-2</v>
      </c>
      <c r="AG2293">
        <v>-0.2234312</v>
      </c>
      <c r="AH2293">
        <v>0.25882854998698201</v>
      </c>
      <c r="AI2293">
        <v>129.865740424889</v>
      </c>
      <c r="AJ2293">
        <v>75.334026843465693</v>
      </c>
      <c r="AK2293">
        <v>0.34857161954139798</v>
      </c>
      <c r="AL2293">
        <v>89.6367258312563</v>
      </c>
      <c r="AM2293">
        <v>95.434882106191907</v>
      </c>
      <c r="AN2293">
        <v>1.0000000233242099</v>
      </c>
    </row>
    <row r="2294" spans="1:40" x14ac:dyDescent="0.25">
      <c r="A2294" t="str">
        <f>"20190312151542737"</f>
        <v>20190312151542737</v>
      </c>
      <c r="B2294" t="str">
        <f>"1552374942730215"</f>
        <v>1552374942730215</v>
      </c>
      <c r="C2294" t="s">
        <v>40</v>
      </c>
      <c r="D2294">
        <v>4.4935010000000002</v>
      </c>
      <c r="E2294">
        <v>0.59311369999999997</v>
      </c>
      <c r="F2294" t="s">
        <v>41</v>
      </c>
      <c r="G2294">
        <v>-438.98719999999997</v>
      </c>
      <c r="H2294">
        <v>0.81497410000000003</v>
      </c>
      <c r="I2294">
        <v>284.18599999999998</v>
      </c>
      <c r="J2294">
        <v>-438.40879999999999</v>
      </c>
      <c r="K2294">
        <v>1.1098490000000001</v>
      </c>
      <c r="L2294">
        <v>284.06959999999998</v>
      </c>
      <c r="M2294">
        <v>-0.99985599999999997</v>
      </c>
      <c r="N2294">
        <v>0</v>
      </c>
      <c r="O2294">
        <v>-9.2869809999999997E-3</v>
      </c>
      <c r="P2294">
        <v>-0.99454299999999995</v>
      </c>
      <c r="Q2294">
        <v>-8.2345400000000003E-3</v>
      </c>
      <c r="R2294">
        <v>-0.1040037</v>
      </c>
      <c r="S2294">
        <v>-3.0494379999999999</v>
      </c>
      <c r="T2294">
        <v>-1.0244150000000001</v>
      </c>
      <c r="U2294">
        <v>0.39382929999999999</v>
      </c>
      <c r="V2294">
        <v>-9.4763059999999996E-2</v>
      </c>
      <c r="W2294">
        <v>5.894453E-3</v>
      </c>
      <c r="X2294">
        <v>0.99548239999999999</v>
      </c>
      <c r="Y2294">
        <v>0.1297731</v>
      </c>
      <c r="Z2294">
        <v>2.4159710000000001E-2</v>
      </c>
      <c r="AA2294">
        <v>0.9912493</v>
      </c>
      <c r="AB2294">
        <v>31</v>
      </c>
      <c r="AC2294">
        <v>-0.57839999999998704</v>
      </c>
      <c r="AD2294">
        <v>-0.2948749</v>
      </c>
      <c r="AE2294">
        <v>0.11639999999999801</v>
      </c>
      <c r="AF2294">
        <v>9.7429961443135898E-2</v>
      </c>
      <c r="AG2294">
        <v>-0.2948749</v>
      </c>
      <c r="AH2294">
        <v>0.46191229857134403</v>
      </c>
      <c r="AI2294">
        <v>121.990327136376</v>
      </c>
      <c r="AJ2294">
        <v>78.089338453209095</v>
      </c>
      <c r="AK2294">
        <v>0.55660288860935903</v>
      </c>
      <c r="AL2294">
        <v>89.662270763283502</v>
      </c>
      <c r="AM2294">
        <v>95.437777404321906</v>
      </c>
      <c r="AN2294">
        <v>0.99999999541324602</v>
      </c>
    </row>
    <row r="2295" spans="1:40" x14ac:dyDescent="0.25">
      <c r="A2295" t="str">
        <f>"20190312151542758"</f>
        <v>20190312151542758</v>
      </c>
      <c r="B2295" t="str">
        <f>"1552374942749735"</f>
        <v>1552374942749735</v>
      </c>
      <c r="C2295" t="s">
        <v>40</v>
      </c>
      <c r="D2295">
        <v>4.3588699999999996</v>
      </c>
      <c r="E2295">
        <v>0.59301280000000001</v>
      </c>
      <c r="F2295" t="s">
        <v>41</v>
      </c>
      <c r="G2295">
        <v>-439.2647</v>
      </c>
      <c r="H2295">
        <v>0.8214591</v>
      </c>
      <c r="I2295">
        <v>284.1807</v>
      </c>
      <c r="J2295">
        <v>-438.7124</v>
      </c>
      <c r="K2295">
        <v>1.109828</v>
      </c>
      <c r="L2295">
        <v>284.06670000000003</v>
      </c>
      <c r="M2295">
        <v>-0.99985650000000004</v>
      </c>
      <c r="N2295">
        <v>0</v>
      </c>
      <c r="O2295">
        <v>-9.3688190000000005E-3</v>
      </c>
      <c r="P2295">
        <v>-0.99455059999999995</v>
      </c>
      <c r="Q2295">
        <v>-8.3680649999999992E-3</v>
      </c>
      <c r="R2295">
        <v>-0.10391830000000001</v>
      </c>
      <c r="S2295">
        <v>-3.0492859999999999</v>
      </c>
      <c r="T2295">
        <v>-1.027452</v>
      </c>
      <c r="U2295">
        <v>0.39566040000000002</v>
      </c>
      <c r="V2295">
        <v>-9.459563E-2</v>
      </c>
      <c r="W2295">
        <v>5.6660510000000001E-3</v>
      </c>
      <c r="X2295">
        <v>0.99549969999999999</v>
      </c>
      <c r="Y2295">
        <v>0.1303656</v>
      </c>
      <c r="Z2295">
        <v>2.435143E-2</v>
      </c>
      <c r="AA2295">
        <v>0.99116689999999996</v>
      </c>
      <c r="AB2295">
        <v>31</v>
      </c>
      <c r="AC2295">
        <v>-0.55230000000000201</v>
      </c>
      <c r="AD2295">
        <v>-0.28836889999999998</v>
      </c>
      <c r="AE2295">
        <v>0.113999999999975</v>
      </c>
      <c r="AF2295">
        <v>9.4468848643596698E-2</v>
      </c>
      <c r="AG2295">
        <v>-0.28836889999999998</v>
      </c>
      <c r="AH2295">
        <v>0.43695550105458802</v>
      </c>
      <c r="AI2295">
        <v>122.82392524284801</v>
      </c>
      <c r="AJ2295">
        <v>77.800535486856106</v>
      </c>
      <c r="AK2295">
        <v>0.53198787181017804</v>
      </c>
      <c r="AL2295">
        <v>89.675357468734006</v>
      </c>
      <c r="AM2295">
        <v>95.428133456688002</v>
      </c>
      <c r="AN2295">
        <v>1.0000000450245501</v>
      </c>
    </row>
    <row r="2296" spans="1:40" x14ac:dyDescent="0.25">
      <c r="A2296" t="str">
        <f>"20190312151542781"</f>
        <v>20190312151542781</v>
      </c>
      <c r="B2296" t="str">
        <f>"1552374942770230"</f>
        <v>1552374942770230</v>
      </c>
      <c r="C2296" t="s">
        <v>40</v>
      </c>
      <c r="D2296">
        <v>4.385141</v>
      </c>
      <c r="E2296">
        <v>0.59327019999999997</v>
      </c>
      <c r="F2296" t="s">
        <v>41</v>
      </c>
      <c r="G2296">
        <v>-439.54259999999999</v>
      </c>
      <c r="H2296">
        <v>0.82941730000000002</v>
      </c>
      <c r="I2296">
        <v>284.17469999999997</v>
      </c>
      <c r="J2296">
        <v>-439.0308</v>
      </c>
      <c r="K2296">
        <v>1.1098049999999999</v>
      </c>
      <c r="L2296">
        <v>284.06360000000001</v>
      </c>
      <c r="M2296">
        <v>-0.99985769999999996</v>
      </c>
      <c r="N2296">
        <v>0</v>
      </c>
      <c r="O2296">
        <v>-9.4505160000000008E-3</v>
      </c>
      <c r="P2296">
        <v>-0.99457819999999997</v>
      </c>
      <c r="Q2296">
        <v>-8.7088359999999993E-3</v>
      </c>
      <c r="R2296">
        <v>-0.103628</v>
      </c>
      <c r="S2296">
        <v>-3.049042</v>
      </c>
      <c r="T2296">
        <v>-1.0296959999999999</v>
      </c>
      <c r="U2296">
        <v>0.39523320000000001</v>
      </c>
      <c r="V2296">
        <v>-9.4224150000000007E-2</v>
      </c>
      <c r="W2296">
        <v>5.2049569999999996E-3</v>
      </c>
      <c r="X2296">
        <v>0.99553740000000002</v>
      </c>
      <c r="Y2296">
        <v>0.13028619999999999</v>
      </c>
      <c r="Z2296">
        <v>2.4417640000000001E-2</v>
      </c>
      <c r="AA2296">
        <v>0.99117569999999999</v>
      </c>
      <c r="AB2296">
        <v>31</v>
      </c>
      <c r="AC2296">
        <v>-0.51179999999999304</v>
      </c>
      <c r="AD2296">
        <v>-0.28038769999999902</v>
      </c>
      <c r="AE2296">
        <v>0.11109999999996401</v>
      </c>
      <c r="AF2296">
        <v>9.0105459949061897E-2</v>
      </c>
      <c r="AG2296">
        <v>-0.28038769999999902</v>
      </c>
      <c r="AH2296">
        <v>0.39694981694223402</v>
      </c>
      <c r="AI2296">
        <v>124.560309066548</v>
      </c>
      <c r="AJ2296">
        <v>77.210888358436193</v>
      </c>
      <c r="AK2296">
        <v>0.49427261040279702</v>
      </c>
      <c r="AL2296">
        <v>89.701776584311105</v>
      </c>
      <c r="AM2296">
        <v>95.406740041820896</v>
      </c>
      <c r="AN2296">
        <v>0.99999999840967702</v>
      </c>
    </row>
    <row r="2297" spans="1:40" x14ac:dyDescent="0.25">
      <c r="A2297" t="str">
        <f>"20190312151542804"</f>
        <v>20190312151542804</v>
      </c>
      <c r="B2297" t="str">
        <f>"1552374942799511"</f>
        <v>1552374942799511</v>
      </c>
      <c r="C2297" t="s">
        <v>40</v>
      </c>
      <c r="D2297">
        <v>4.3574279999999996</v>
      </c>
      <c r="E2297">
        <v>0.59314419999999901</v>
      </c>
      <c r="F2297" t="s">
        <v>41</v>
      </c>
      <c r="G2297">
        <v>-439.82220000000001</v>
      </c>
      <c r="H2297">
        <v>0.84155809999999998</v>
      </c>
      <c r="I2297">
        <v>284.16719999999998</v>
      </c>
      <c r="J2297">
        <v>-439.33629999999999</v>
      </c>
      <c r="K2297">
        <v>1.1097760000000001</v>
      </c>
      <c r="L2297">
        <v>284.06060000000002</v>
      </c>
      <c r="M2297">
        <v>-0.99985880000000005</v>
      </c>
      <c r="N2297">
        <v>0</v>
      </c>
      <c r="O2297">
        <v>-9.5288060000000008E-3</v>
      </c>
      <c r="P2297">
        <v>-0.99453689999999995</v>
      </c>
      <c r="Q2297">
        <v>-8.6609859999999903E-3</v>
      </c>
      <c r="R2297">
        <v>-0.1040262</v>
      </c>
      <c r="S2297">
        <v>-3.0488279999999999</v>
      </c>
      <c r="T2297">
        <v>-1.0333380000000001</v>
      </c>
      <c r="U2297">
        <v>0.39889530000000001</v>
      </c>
      <c r="V2297">
        <v>-9.4544630000000004E-2</v>
      </c>
      <c r="W2297">
        <v>5.1072060000000004E-3</v>
      </c>
      <c r="X2297">
        <v>0.99550749999999999</v>
      </c>
      <c r="Y2297">
        <v>0.13142400000000001</v>
      </c>
      <c r="Z2297">
        <v>2.471193E-2</v>
      </c>
      <c r="AA2297">
        <v>0.99101819999999896</v>
      </c>
      <c r="AB2297">
        <v>31</v>
      </c>
      <c r="AC2297">
        <v>-0.48590000000001499</v>
      </c>
      <c r="AD2297">
        <v>-0.26821790000000001</v>
      </c>
      <c r="AE2297">
        <v>0.10659999999995701</v>
      </c>
      <c r="AF2297">
        <v>8.6173719893153505E-2</v>
      </c>
      <c r="AG2297">
        <v>-0.26821790000000001</v>
      </c>
      <c r="AH2297">
        <v>0.375654069730186</v>
      </c>
      <c r="AI2297">
        <v>124.835074225336</v>
      </c>
      <c r="AJ2297">
        <v>77.080081833007995</v>
      </c>
      <c r="AK2297">
        <v>0.46955588803196202</v>
      </c>
      <c r="AL2297">
        <v>89.707377372128704</v>
      </c>
      <c r="AM2297">
        <v>95.425182160931996</v>
      </c>
      <c r="AN2297">
        <v>0.99999997658560602</v>
      </c>
    </row>
    <row r="2298" spans="1:40" x14ac:dyDescent="0.25">
      <c r="A2298" t="str">
        <f>"20190312151542826"</f>
        <v>20190312151542826</v>
      </c>
      <c r="B2298" t="str">
        <f>"1552374942820006"</f>
        <v>1552374942820006</v>
      </c>
      <c r="C2298" t="s">
        <v>40</v>
      </c>
      <c r="D2298">
        <v>4.3578000000000001</v>
      </c>
      <c r="E2298">
        <v>0.59307189999999999</v>
      </c>
      <c r="F2298" t="s">
        <v>41</v>
      </c>
      <c r="G2298">
        <v>-440.10059999999999</v>
      </c>
      <c r="H2298">
        <v>0.85086249999999997</v>
      </c>
      <c r="I2298">
        <v>284.16070000000002</v>
      </c>
      <c r="J2298">
        <v>-439.64339999999999</v>
      </c>
      <c r="K2298">
        <v>1.1097410000000001</v>
      </c>
      <c r="L2298">
        <v>284.05759999999998</v>
      </c>
      <c r="M2298">
        <v>-0.99986050000000004</v>
      </c>
      <c r="N2298">
        <v>0</v>
      </c>
      <c r="O2298">
        <v>-9.6147839999999995E-3</v>
      </c>
      <c r="P2298">
        <v>-0.99448959999999997</v>
      </c>
      <c r="Q2298">
        <v>-8.4585930000000004E-3</v>
      </c>
      <c r="R2298">
        <v>-0.1044964</v>
      </c>
      <c r="S2298">
        <v>-3.049042</v>
      </c>
      <c r="T2298">
        <v>-1.0328599999999999</v>
      </c>
      <c r="U2298">
        <v>0.39688109999999999</v>
      </c>
      <c r="V2298">
        <v>-9.4929589999999994E-2</v>
      </c>
      <c r="W2298">
        <v>5.134385E-3</v>
      </c>
      <c r="X2298">
        <v>0.99547079999999999</v>
      </c>
      <c r="Y2298">
        <v>0.13088839999999999</v>
      </c>
      <c r="Z2298">
        <v>2.4640740000000001E-2</v>
      </c>
      <c r="AA2298">
        <v>0.99109080000000005</v>
      </c>
      <c r="AB2298">
        <v>31</v>
      </c>
      <c r="AC2298">
        <v>-0.4572</v>
      </c>
      <c r="AD2298">
        <v>-0.25887850000000001</v>
      </c>
      <c r="AE2298">
        <v>0.10310000000004001</v>
      </c>
      <c r="AF2298">
        <v>8.2362852857990998E-2</v>
      </c>
      <c r="AG2298">
        <v>-0.25887850000000001</v>
      </c>
      <c r="AH2298">
        <v>0.34954293898455002</v>
      </c>
      <c r="AI2298">
        <v>125.787011889087</v>
      </c>
      <c r="AJ2298">
        <v>76.741238577345598</v>
      </c>
      <c r="AK2298">
        <v>0.44269852437874002</v>
      </c>
      <c r="AL2298">
        <v>89.705820131665604</v>
      </c>
      <c r="AM2298">
        <v>95.447339040164707</v>
      </c>
      <c r="AN2298">
        <v>1.00000005130976</v>
      </c>
    </row>
    <row r="2299" spans="1:40" x14ac:dyDescent="0.25">
      <c r="A2299" t="str">
        <f>"20190312151542848"</f>
        <v>20190312151542848</v>
      </c>
      <c r="B2299" t="str">
        <f>"1552374942839527"</f>
        <v>1552374942839527</v>
      </c>
      <c r="C2299" t="s">
        <v>40</v>
      </c>
      <c r="D2299">
        <v>4.3728009999999999</v>
      </c>
      <c r="E2299">
        <v>0.59294060000000004</v>
      </c>
      <c r="F2299" t="s">
        <v>41</v>
      </c>
      <c r="G2299">
        <v>-440.37939999999998</v>
      </c>
      <c r="H2299">
        <v>0.86100200000000005</v>
      </c>
      <c r="I2299">
        <v>284.15300000000002</v>
      </c>
      <c r="J2299">
        <v>-439.94569999999999</v>
      </c>
      <c r="K2299">
        <v>1.109702</v>
      </c>
      <c r="L2299">
        <v>284.05459999999999</v>
      </c>
      <c r="M2299">
        <v>-0.99986220000000003</v>
      </c>
      <c r="N2299">
        <v>0</v>
      </c>
      <c r="O2299">
        <v>-9.7043010000000002E-3</v>
      </c>
      <c r="P2299">
        <v>-0.99440969999999995</v>
      </c>
      <c r="Q2299">
        <v>-7.9780440000000001E-3</v>
      </c>
      <c r="R2299">
        <v>-0.10528899999999999</v>
      </c>
      <c r="S2299">
        <v>-3.0493769999999998</v>
      </c>
      <c r="T2299">
        <v>-1.0306070000000001</v>
      </c>
      <c r="U2299">
        <v>0.3950806</v>
      </c>
      <c r="V2299">
        <v>-9.5633850000000006E-2</v>
      </c>
      <c r="W2299">
        <v>5.4176229999999999E-3</v>
      </c>
      <c r="X2299">
        <v>0.99540189999999995</v>
      </c>
      <c r="Y2299">
        <v>0.1304408</v>
      </c>
      <c r="Z2299">
        <v>2.4544139999999999E-2</v>
      </c>
      <c r="AA2299">
        <v>0.99115220000000004</v>
      </c>
      <c r="AB2299">
        <v>31</v>
      </c>
      <c r="AC2299">
        <v>-0.43369999999998698</v>
      </c>
      <c r="AD2299">
        <v>-0.24869999999999901</v>
      </c>
      <c r="AE2299">
        <v>9.8400000000026397E-2</v>
      </c>
      <c r="AF2299">
        <v>7.81610126247997E-2</v>
      </c>
      <c r="AG2299">
        <v>-0.24869999999999901</v>
      </c>
      <c r="AH2299">
        <v>0.329636524376405</v>
      </c>
      <c r="AI2299">
        <v>126.282866874392</v>
      </c>
      <c r="AJ2299">
        <v>76.660788142031507</v>
      </c>
      <c r="AK2299">
        <v>0.42026309866259998</v>
      </c>
      <c r="AL2299">
        <v>89.689591568268995</v>
      </c>
      <c r="AM2299">
        <v>95.487883287246902</v>
      </c>
      <c r="AN2299">
        <v>1.0000000632141901</v>
      </c>
    </row>
    <row r="2300" spans="1:40" x14ac:dyDescent="0.25">
      <c r="A2300" t="str">
        <f>"20190312151542870"</f>
        <v>20190312151542870</v>
      </c>
      <c r="B2300" t="str">
        <f>"1552374942860023"</f>
        <v>1552374942860023</v>
      </c>
      <c r="C2300" t="s">
        <v>40</v>
      </c>
      <c r="D2300">
        <v>4.2846469999999997</v>
      </c>
      <c r="E2300">
        <v>0.59295019999999998</v>
      </c>
      <c r="F2300" t="s">
        <v>41</v>
      </c>
      <c r="G2300">
        <v>-440.65780000000001</v>
      </c>
      <c r="H2300">
        <v>0.86979819999999997</v>
      </c>
      <c r="I2300">
        <v>284.1465</v>
      </c>
      <c r="J2300">
        <v>-440.2516</v>
      </c>
      <c r="K2300">
        <v>1.1096680000000001</v>
      </c>
      <c r="L2300">
        <v>284.05149999999998</v>
      </c>
      <c r="M2300">
        <v>-0.99986430000000004</v>
      </c>
      <c r="N2300">
        <v>0</v>
      </c>
      <c r="O2300">
        <v>-9.7956510000000007E-3</v>
      </c>
      <c r="P2300">
        <v>-0.99432949999999998</v>
      </c>
      <c r="Q2300">
        <v>-7.7488280000000001E-3</v>
      </c>
      <c r="R2300">
        <v>-0.10606160000000001</v>
      </c>
      <c r="S2300">
        <v>-3.0500790000000002</v>
      </c>
      <c r="T2300">
        <v>-1.027455</v>
      </c>
      <c r="U2300">
        <v>0.39154050000000001</v>
      </c>
      <c r="V2300">
        <v>-9.6316360000000004E-2</v>
      </c>
      <c r="W2300">
        <v>5.4300199999999998E-3</v>
      </c>
      <c r="X2300">
        <v>0.99533590000000005</v>
      </c>
      <c r="Y2300">
        <v>0.12946630000000001</v>
      </c>
      <c r="Z2300">
        <v>2.434002E-2</v>
      </c>
      <c r="AA2300">
        <v>0.99128499999999997</v>
      </c>
      <c r="AB2300">
        <v>31</v>
      </c>
      <c r="AC2300">
        <v>-0.406200000000012</v>
      </c>
      <c r="AD2300">
        <v>-0.23986979999999999</v>
      </c>
      <c r="AE2300">
        <v>9.5000000000027202E-2</v>
      </c>
      <c r="AF2300">
        <v>7.4381848596192707E-2</v>
      </c>
      <c r="AG2300">
        <v>-0.23986979999999999</v>
      </c>
      <c r="AH2300">
        <v>0.30455466582102902</v>
      </c>
      <c r="AI2300">
        <v>127.420308909238</v>
      </c>
      <c r="AJ2300">
        <v>76.275244129693704</v>
      </c>
      <c r="AK2300">
        <v>0.39474513907835002</v>
      </c>
      <c r="AL2300">
        <v>89.688881223775994</v>
      </c>
      <c r="AM2300">
        <v>95.527171221458403</v>
      </c>
      <c r="AN2300">
        <v>0.99999994007482795</v>
      </c>
    </row>
    <row r="2301" spans="1:40" x14ac:dyDescent="0.25">
      <c r="A2301" t="str">
        <f>"20190312151542893"</f>
        <v>20190312151542893</v>
      </c>
      <c r="B2301" t="str">
        <f>"1552374942879543"</f>
        <v>1552374942879543</v>
      </c>
      <c r="C2301" t="s">
        <v>40</v>
      </c>
      <c r="D2301">
        <v>4.3038220000000003</v>
      </c>
      <c r="E2301">
        <v>0.59292769999999995</v>
      </c>
      <c r="F2301" t="s">
        <v>41</v>
      </c>
      <c r="G2301">
        <v>-440.9366</v>
      </c>
      <c r="H2301">
        <v>0.8794225</v>
      </c>
      <c r="I2301">
        <v>284.13889999999998</v>
      </c>
      <c r="J2301">
        <v>-440.55529999999999</v>
      </c>
      <c r="K2301">
        <v>1.109632</v>
      </c>
      <c r="L2301">
        <v>284.04849999999999</v>
      </c>
      <c r="M2301">
        <v>-0.99986620000000004</v>
      </c>
      <c r="N2301">
        <v>0</v>
      </c>
      <c r="O2301">
        <v>-9.8823769999999995E-3</v>
      </c>
      <c r="P2301">
        <v>-0.9942394</v>
      </c>
      <c r="Q2301">
        <v>-7.5104480000000003E-3</v>
      </c>
      <c r="R2301">
        <v>-0.1069184</v>
      </c>
      <c r="S2301">
        <v>-3.050659</v>
      </c>
      <c r="T2301">
        <v>-1.0254490000000001</v>
      </c>
      <c r="U2301">
        <v>0.38928220000000002</v>
      </c>
      <c r="V2301">
        <v>-9.7087580000000007E-2</v>
      </c>
      <c r="W2301">
        <v>5.4433719999999897E-3</v>
      </c>
      <c r="X2301">
        <v>0.99526099999999995</v>
      </c>
      <c r="Y2301">
        <v>0.12886489999999901</v>
      </c>
      <c r="Z2301">
        <v>2.4221929999999999E-2</v>
      </c>
      <c r="AA2301">
        <v>0.99136630000000003</v>
      </c>
      <c r="AB2301">
        <v>31</v>
      </c>
      <c r="AC2301">
        <v>-0.38130000000001002</v>
      </c>
      <c r="AD2301">
        <v>-0.23020950000000001</v>
      </c>
      <c r="AE2301">
        <v>9.0399999999988198E-2</v>
      </c>
      <c r="AF2301">
        <v>7.0004493045432603E-2</v>
      </c>
      <c r="AG2301">
        <v>-0.23020950000000001</v>
      </c>
      <c r="AH2301">
        <v>0.28279224385148599</v>
      </c>
      <c r="AI2301">
        <v>128.31603365708401</v>
      </c>
      <c r="AJ2301">
        <v>76.096088605194794</v>
      </c>
      <c r="AK2301">
        <v>0.37130647195996502</v>
      </c>
      <c r="AL2301">
        <v>89.688116231372007</v>
      </c>
      <c r="AM2301">
        <v>95.571567431559103</v>
      </c>
      <c r="AN2301">
        <v>1.00000004330499</v>
      </c>
    </row>
    <row r="2302" spans="1:40" x14ac:dyDescent="0.25">
      <c r="A2302" t="str">
        <f>"20190312151542915"</f>
        <v>20190312151542915</v>
      </c>
      <c r="B2302" t="str">
        <f>"1552374942909798"</f>
        <v>1552374942909798</v>
      </c>
      <c r="C2302" t="s">
        <v>40</v>
      </c>
      <c r="D2302">
        <v>4.2889390000000001</v>
      </c>
      <c r="E2302">
        <v>0.59293719999999905</v>
      </c>
      <c r="F2302" t="s">
        <v>41</v>
      </c>
      <c r="G2302">
        <v>-441.21530000000001</v>
      </c>
      <c r="H2302">
        <v>0.88829820000000004</v>
      </c>
      <c r="I2302">
        <v>284.1327</v>
      </c>
      <c r="J2302">
        <v>-440.86860000000001</v>
      </c>
      <c r="K2302">
        <v>1.109607</v>
      </c>
      <c r="L2302">
        <v>284.04520000000002</v>
      </c>
      <c r="M2302">
        <v>-0.99986850000000005</v>
      </c>
      <c r="N2302">
        <v>0</v>
      </c>
      <c r="O2302">
        <v>-9.9689489999999995E-3</v>
      </c>
      <c r="P2302">
        <v>-0.99418830000000002</v>
      </c>
      <c r="Q2302">
        <v>-7.0812289999999996E-3</v>
      </c>
      <c r="R2302">
        <v>-0.10742210000000001</v>
      </c>
      <c r="S2302">
        <v>-3.0512700000000001</v>
      </c>
      <c r="T2302">
        <v>-1.0232399999999999</v>
      </c>
      <c r="U2302">
        <v>0.3869629</v>
      </c>
      <c r="V2302">
        <v>-9.7505560000000005E-2</v>
      </c>
      <c r="W2302">
        <v>5.6341029999999997E-3</v>
      </c>
      <c r="X2302">
        <v>0.99521910000000002</v>
      </c>
      <c r="Y2302">
        <v>0.12824639999999901</v>
      </c>
      <c r="Z2302">
        <v>2.40965E-2</v>
      </c>
      <c r="AA2302">
        <v>0.99144949999999998</v>
      </c>
      <c r="AB2302">
        <v>31</v>
      </c>
      <c r="AC2302">
        <v>-0.34669999999999801</v>
      </c>
      <c r="AD2302">
        <v>-0.2213088</v>
      </c>
      <c r="AE2302">
        <v>8.7499999999977193E-2</v>
      </c>
      <c r="AF2302">
        <v>6.5761315645143703E-2</v>
      </c>
      <c r="AG2302">
        <v>-0.2213088</v>
      </c>
      <c r="AH2302">
        <v>0.25003194725591499</v>
      </c>
      <c r="AI2302">
        <v>130.56385083535599</v>
      </c>
      <c r="AJ2302">
        <v>75.264273818877399</v>
      </c>
      <c r="AK2302">
        <v>0.34032059920228902</v>
      </c>
      <c r="AL2302">
        <v>89.677187990584798</v>
      </c>
      <c r="AM2302">
        <v>95.595636243716896</v>
      </c>
      <c r="AN2302">
        <v>1.00000006717616</v>
      </c>
    </row>
    <row r="2303" spans="1:40" x14ac:dyDescent="0.25">
      <c r="A2303" t="str">
        <f>"20190312151542938"</f>
        <v>20190312151542938</v>
      </c>
      <c r="B2303" t="str">
        <f>"1552374942929319"</f>
        <v>1552374942929319</v>
      </c>
      <c r="C2303" t="s">
        <v>40</v>
      </c>
      <c r="D2303">
        <v>4.3357289999999997</v>
      </c>
      <c r="E2303">
        <v>0.59294840000000004</v>
      </c>
      <c r="F2303" t="s">
        <v>41</v>
      </c>
      <c r="G2303">
        <v>-441.73930000000001</v>
      </c>
      <c r="H2303">
        <v>0.8194053</v>
      </c>
      <c r="I2303">
        <v>284.15539999999999</v>
      </c>
      <c r="J2303">
        <v>-441.17259999999999</v>
      </c>
      <c r="K2303">
        <v>1.1095790000000001</v>
      </c>
      <c r="L2303">
        <v>284.0421</v>
      </c>
      <c r="M2303">
        <v>-0.9998707</v>
      </c>
      <c r="N2303">
        <v>0</v>
      </c>
      <c r="O2303">
        <v>-1.00524E-2</v>
      </c>
      <c r="P2303">
        <v>-0.9941816</v>
      </c>
      <c r="Q2303">
        <v>-6.594758E-3</v>
      </c>
      <c r="R2303">
        <v>-0.107516</v>
      </c>
      <c r="S2303">
        <v>-3.0519099999999999</v>
      </c>
      <c r="T2303">
        <v>-1.0172920000000001</v>
      </c>
      <c r="U2303">
        <v>0.3855286</v>
      </c>
      <c r="V2303">
        <v>-9.7516800000000001E-2</v>
      </c>
      <c r="W2303">
        <v>5.893499E-3</v>
      </c>
      <c r="X2303">
        <v>0.9952164</v>
      </c>
      <c r="Y2303">
        <v>0.1279428</v>
      </c>
      <c r="Z2303">
        <v>2.3937380000000001E-2</v>
      </c>
      <c r="AA2303">
        <v>0.99149259999999995</v>
      </c>
      <c r="AB2303">
        <v>31</v>
      </c>
      <c r="AC2303">
        <v>-0.56670000000002496</v>
      </c>
      <c r="AD2303">
        <v>-0.29017369999999998</v>
      </c>
      <c r="AE2303">
        <v>0.113299999999981</v>
      </c>
      <c r="AF2303">
        <v>9.5032805472544002E-2</v>
      </c>
      <c r="AG2303">
        <v>-0.29017369999999998</v>
      </c>
      <c r="AH2303">
        <v>0.45166386954553001</v>
      </c>
      <c r="AI2303">
        <v>122.157140587499</v>
      </c>
      <c r="AJ2303">
        <v>78.117941035332507</v>
      </c>
      <c r="AK2303">
        <v>0.54519011485949898</v>
      </c>
      <c r="AL2303">
        <v>89.662325416237607</v>
      </c>
      <c r="AM2303">
        <v>95.596292275111495</v>
      </c>
      <c r="AN2303">
        <v>0.99999997122083095</v>
      </c>
    </row>
    <row r="2304" spans="1:40" x14ac:dyDescent="0.25">
      <c r="A2304" t="str">
        <f>"20190312151542960"</f>
        <v>20190312151542960</v>
      </c>
      <c r="B2304" t="str">
        <f>"1552374942949815"</f>
        <v>1552374942949815</v>
      </c>
      <c r="C2304" t="s">
        <v>40</v>
      </c>
      <c r="D2304">
        <v>4.3561399999999999</v>
      </c>
      <c r="E2304">
        <v>0.59314440000000002</v>
      </c>
      <c r="F2304" t="s">
        <v>41</v>
      </c>
      <c r="G2304">
        <v>-442.0188</v>
      </c>
      <c r="H2304">
        <v>0.82847800000000005</v>
      </c>
      <c r="I2304">
        <v>284.14949999999999</v>
      </c>
      <c r="J2304">
        <v>-441.48739999999998</v>
      </c>
      <c r="K2304">
        <v>1.1095549999999901</v>
      </c>
      <c r="L2304">
        <v>284.03890000000001</v>
      </c>
      <c r="M2304">
        <v>-0.99987239999999999</v>
      </c>
      <c r="N2304">
        <v>0</v>
      </c>
      <c r="O2304">
        <v>-1.013877E-2</v>
      </c>
      <c r="P2304">
        <v>-0.99410980000000004</v>
      </c>
      <c r="Q2304">
        <v>-6.4945990000000002E-3</v>
      </c>
      <c r="R2304">
        <v>-0.108183</v>
      </c>
      <c r="S2304">
        <v>-3.052673</v>
      </c>
      <c r="T2304">
        <v>-1.0141579999999999</v>
      </c>
      <c r="U2304">
        <v>0.3864746</v>
      </c>
      <c r="V2304">
        <v>-9.8098179999999993E-2</v>
      </c>
      <c r="W2304">
        <v>5.7723840000000002E-3</v>
      </c>
      <c r="X2304">
        <v>0.99516000000000004</v>
      </c>
      <c r="Y2304">
        <v>0.1283232</v>
      </c>
      <c r="Z2304">
        <v>2.3950470000000001E-2</v>
      </c>
      <c r="AA2304">
        <v>0.99144319999999997</v>
      </c>
      <c r="AB2304">
        <v>31</v>
      </c>
      <c r="AC2304">
        <v>-0.53140000000001897</v>
      </c>
      <c r="AD2304">
        <v>-0.28107699999999902</v>
      </c>
      <c r="AE2304">
        <v>0.110599999999976</v>
      </c>
      <c r="AF2304">
        <v>9.1457421731771002E-2</v>
      </c>
      <c r="AG2304">
        <v>-0.28107699999999902</v>
      </c>
      <c r="AH2304">
        <v>0.41812709467172998</v>
      </c>
      <c r="AI2304">
        <v>123.293015506738</v>
      </c>
      <c r="AJ2304">
        <v>77.661943238363904</v>
      </c>
      <c r="AK2304">
        <v>0.51205371516809195</v>
      </c>
      <c r="AL2304">
        <v>89.6692649221728</v>
      </c>
      <c r="AM2304">
        <v>95.629759816181902</v>
      </c>
      <c r="AN2304">
        <v>0.99999999946817697</v>
      </c>
    </row>
    <row r="2305" spans="1:40" x14ac:dyDescent="0.25">
      <c r="A2305" t="str">
        <f>"20190312151542983"</f>
        <v>20190312151542983</v>
      </c>
      <c r="B2305" t="str">
        <f>"1552374942980072"</f>
        <v>1552374942980072</v>
      </c>
      <c r="C2305" t="s">
        <v>40</v>
      </c>
      <c r="D2305">
        <v>4.3642180000000002</v>
      </c>
      <c r="E2305">
        <v>0.56439819999999996</v>
      </c>
      <c r="F2305" t="s">
        <v>41</v>
      </c>
      <c r="G2305">
        <v>-442.29930000000002</v>
      </c>
      <c r="H2305">
        <v>0.83986539999999998</v>
      </c>
      <c r="I2305">
        <v>284.1422</v>
      </c>
      <c r="J2305">
        <v>-441.80669999999998</v>
      </c>
      <c r="K2305">
        <v>1.109537</v>
      </c>
      <c r="L2305">
        <v>284.03550000000001</v>
      </c>
      <c r="M2305">
        <v>-0.99987420000000005</v>
      </c>
      <c r="N2305">
        <v>0</v>
      </c>
      <c r="O2305">
        <v>-1.0227160000000001E-2</v>
      </c>
      <c r="P2305">
        <v>-0.99402520000000005</v>
      </c>
      <c r="Q2305">
        <v>-6.0123629999999997E-3</v>
      </c>
      <c r="R2305">
        <v>-0.1089881</v>
      </c>
      <c r="S2305">
        <v>-3.0532530000000002</v>
      </c>
      <c r="T2305">
        <v>-1.014283</v>
      </c>
      <c r="U2305">
        <v>0.38699339999999999</v>
      </c>
      <c r="V2305">
        <v>-9.881645E-2</v>
      </c>
      <c r="W2305">
        <v>6.0470369999999999E-3</v>
      </c>
      <c r="X2305">
        <v>0.99508730000000001</v>
      </c>
      <c r="Y2305">
        <v>0.12853809999999999</v>
      </c>
      <c r="Z2305">
        <v>2.4011879999999999E-2</v>
      </c>
      <c r="AA2305">
        <v>0.99141380000000001</v>
      </c>
      <c r="AB2305">
        <v>31</v>
      </c>
      <c r="AC2305">
        <v>-0.49260000000003801</v>
      </c>
      <c r="AD2305">
        <v>-0.26967159999999901</v>
      </c>
      <c r="AE2305">
        <v>0.106699999999989</v>
      </c>
      <c r="AF2305">
        <v>8.6865964720526698E-2</v>
      </c>
      <c r="AG2305">
        <v>-0.26967159999999901</v>
      </c>
      <c r="AH2305">
        <v>0.38210069312508099</v>
      </c>
      <c r="AI2305">
        <v>124.535772686985</v>
      </c>
      <c r="AJ2305">
        <v>77.192183900834493</v>
      </c>
      <c r="AK2305">
        <v>0.47567783988751799</v>
      </c>
      <c r="AL2305">
        <v>89.653528188392002</v>
      </c>
      <c r="AM2305">
        <v>95.671124538828295</v>
      </c>
      <c r="AN2305">
        <v>0.99999999603418599</v>
      </c>
    </row>
    <row r="2306" spans="1:40" x14ac:dyDescent="0.25">
      <c r="A2306" t="str">
        <f>"20190312151543005"</f>
        <v>20190312151543005</v>
      </c>
      <c r="B2306" t="str">
        <f>"1552374942999591"</f>
        <v>1552374942999591</v>
      </c>
      <c r="C2306" t="s">
        <v>40</v>
      </c>
      <c r="D2306">
        <v>4.8480299999999996</v>
      </c>
      <c r="E2306">
        <v>0.5566257</v>
      </c>
      <c r="F2306" t="s">
        <v>41</v>
      </c>
      <c r="G2306">
        <v>-442.62889999999999</v>
      </c>
      <c r="H2306">
        <v>0.96286070000000001</v>
      </c>
      <c r="I2306">
        <v>284.08159999999998</v>
      </c>
      <c r="J2306">
        <v>-442.11110000000002</v>
      </c>
      <c r="K2306">
        <v>1.109524</v>
      </c>
      <c r="L2306">
        <v>284.03230000000002</v>
      </c>
      <c r="M2306">
        <v>-0.99987550000000003</v>
      </c>
      <c r="N2306">
        <v>0</v>
      </c>
      <c r="O2306">
        <v>-1.031235E-2</v>
      </c>
      <c r="P2306">
        <v>-0.99390400000000001</v>
      </c>
      <c r="Q2306">
        <v>-5.2956280000000001E-3</v>
      </c>
      <c r="R2306">
        <v>-0.1101232</v>
      </c>
      <c r="S2306">
        <v>-3.0333860000000001</v>
      </c>
      <c r="T2306">
        <v>-0.54124240000000001</v>
      </c>
      <c r="U2306">
        <v>0.16922000000000001</v>
      </c>
      <c r="V2306">
        <v>-9.9867990000000004E-2</v>
      </c>
      <c r="W2306">
        <v>6.5772690000000002E-3</v>
      </c>
      <c r="X2306">
        <v>0.99497899999999995</v>
      </c>
      <c r="Y2306">
        <v>6.4810359999999997E-2</v>
      </c>
      <c r="Z2306">
        <v>7.5568010000000001E-3</v>
      </c>
      <c r="AA2306">
        <v>0.99786900000000001</v>
      </c>
      <c r="AB2306">
        <v>31</v>
      </c>
      <c r="AC2306">
        <v>-0.51779999999996495</v>
      </c>
      <c r="AD2306">
        <v>-0.146663299999999</v>
      </c>
      <c r="AE2306">
        <v>4.9299999999959702E-2</v>
      </c>
      <c r="AF2306">
        <v>5.0613425208183002E-2</v>
      </c>
      <c r="AG2306">
        <v>-0.146663299999999</v>
      </c>
      <c r="AH2306">
        <v>0.47916736884163003</v>
      </c>
      <c r="AI2306">
        <v>106.92952199210301</v>
      </c>
      <c r="AJ2306">
        <v>83.970327760599901</v>
      </c>
      <c r="AK2306">
        <v>0.50365981549137395</v>
      </c>
      <c r="AL2306">
        <v>89.623147544676797</v>
      </c>
      <c r="AM2306">
        <v>95.731692954132697</v>
      </c>
      <c r="AN2306">
        <v>1.00000004316756</v>
      </c>
    </row>
    <row r="2307" spans="1:40" x14ac:dyDescent="0.25">
      <c r="A2307" t="str">
        <f>"20190312151543027"</f>
        <v>20190312151543027</v>
      </c>
      <c r="B2307" t="str">
        <f>"1552374943020087"</f>
        <v>1552374943020087</v>
      </c>
      <c r="C2307" t="s">
        <v>40</v>
      </c>
      <c r="D2307">
        <v>4.3023730000000002</v>
      </c>
      <c r="E2307">
        <v>0.49276029999999998</v>
      </c>
      <c r="F2307" t="s">
        <v>41</v>
      </c>
      <c r="G2307">
        <v>-442.91300000000001</v>
      </c>
      <c r="H2307">
        <v>0.97817600000000005</v>
      </c>
      <c r="I2307">
        <v>284.06029999999998</v>
      </c>
      <c r="J2307">
        <v>-442.41820000000001</v>
      </c>
      <c r="K2307">
        <v>1.10951</v>
      </c>
      <c r="L2307">
        <v>284.02910000000003</v>
      </c>
      <c r="M2307">
        <v>-0.99987669999999995</v>
      </c>
      <c r="N2307">
        <v>0</v>
      </c>
      <c r="O2307">
        <v>-1.0398569999999999E-2</v>
      </c>
      <c r="P2307">
        <v>-0.99366770000000004</v>
      </c>
      <c r="Q2307">
        <v>-4.7208720000000001E-3</v>
      </c>
      <c r="R2307">
        <v>-0.11225930000000001</v>
      </c>
      <c r="S2307">
        <v>-3.0274049999999999</v>
      </c>
      <c r="T2307">
        <v>-0.49593589999999999</v>
      </c>
      <c r="U2307">
        <v>0.1047058</v>
      </c>
      <c r="V2307">
        <v>-0.10192089999999999</v>
      </c>
      <c r="W2307">
        <v>6.9744660000000003E-3</v>
      </c>
      <c r="X2307">
        <v>0.99476810000000004</v>
      </c>
      <c r="Y2307">
        <v>4.4229209999999998E-2</v>
      </c>
      <c r="Z2307">
        <v>5.2895219999999996E-3</v>
      </c>
      <c r="AA2307">
        <v>0.99900739999999999</v>
      </c>
      <c r="AB2307">
        <v>31</v>
      </c>
      <c r="AC2307">
        <v>-0.49479999999999702</v>
      </c>
      <c r="AD2307">
        <v>-0.13133399999999901</v>
      </c>
      <c r="AE2307">
        <v>3.1199999999955701E-2</v>
      </c>
      <c r="AF2307">
        <v>3.3960745523599602E-2</v>
      </c>
      <c r="AG2307">
        <v>-0.13133399999999901</v>
      </c>
      <c r="AH2307">
        <v>0.46202685815373001</v>
      </c>
      <c r="AI2307">
        <v>105.827577573952</v>
      </c>
      <c r="AJ2307">
        <v>85.796100613541299</v>
      </c>
      <c r="AK2307">
        <v>0.481529614300019</v>
      </c>
      <c r="AL2307">
        <v>89.600389311221207</v>
      </c>
      <c r="AM2307">
        <v>95.849937727515893</v>
      </c>
      <c r="AN2307">
        <v>1.0000000429052001</v>
      </c>
    </row>
    <row r="2308" spans="1:40" x14ac:dyDescent="0.25">
      <c r="A2308" t="str">
        <f>"20190312151543050"</f>
        <v>20190312151543050</v>
      </c>
      <c r="B2308" t="str">
        <f>"1552374943039608"</f>
        <v>1552374943039608</v>
      </c>
      <c r="C2308" t="s">
        <v>40</v>
      </c>
      <c r="D2308">
        <v>4.341119</v>
      </c>
      <c r="E2308">
        <v>0.48108800000000002</v>
      </c>
      <c r="F2308" t="s">
        <v>51</v>
      </c>
      <c r="G2308">
        <v>-469.31990000000002</v>
      </c>
      <c r="H2308" s="1">
        <v>3.605652E-6</v>
      </c>
      <c r="I2308">
        <v>280.43369999999999</v>
      </c>
      <c r="J2308">
        <v>-442.72340000000003</v>
      </c>
      <c r="K2308">
        <v>1.109505</v>
      </c>
      <c r="L2308">
        <v>284.0258</v>
      </c>
      <c r="M2308">
        <v>-0.99987769999999998</v>
      </c>
      <c r="N2308">
        <v>0</v>
      </c>
      <c r="O2308">
        <v>-1.048381E-2</v>
      </c>
      <c r="P2308">
        <v>-0.99341460000000004</v>
      </c>
      <c r="Q2308">
        <v>-3.756746E-3</v>
      </c>
      <c r="R2308">
        <v>-0.114514</v>
      </c>
      <c r="S2308">
        <v>-2.9736630000000002</v>
      </c>
      <c r="T2308">
        <v>-0.1226423</v>
      </c>
      <c r="U2308">
        <v>-0.39743040000000002</v>
      </c>
      <c r="V2308">
        <v>-0.104093</v>
      </c>
      <c r="W2308">
        <v>7.7736230000000003E-3</v>
      </c>
      <c r="X2308">
        <v>0.99453720000000001</v>
      </c>
      <c r="Y2308">
        <v>-0.1219797</v>
      </c>
      <c r="Z2308">
        <v>-2.0729749999999999E-3</v>
      </c>
      <c r="AA2308">
        <v>0.99253040000000003</v>
      </c>
      <c r="AB2308">
        <v>31</v>
      </c>
      <c r="AC2308">
        <v>-26.596499999999899</v>
      </c>
      <c r="AD2308">
        <v>-1.1095013943480001</v>
      </c>
      <c r="AE2308">
        <v>-3.5921000000000101</v>
      </c>
      <c r="AF2308">
        <v>-3.3073986055097002</v>
      </c>
      <c r="AG2308">
        <v>-1.1095013943480001</v>
      </c>
      <c r="AH2308">
        <v>26.587260475503701</v>
      </c>
      <c r="AI2308">
        <v>92.3713422516403</v>
      </c>
      <c r="AJ2308">
        <v>97.091045159771099</v>
      </c>
      <c r="AK2308">
        <v>26.815150539798701</v>
      </c>
      <c r="AL2308">
        <v>89.554599729987999</v>
      </c>
      <c r="AM2308">
        <v>95.975094059409301</v>
      </c>
      <c r="AN2308">
        <v>1.00000001202369</v>
      </c>
    </row>
    <row r="2309" spans="1:40" x14ac:dyDescent="0.25">
      <c r="A2309" t="str">
        <f>"20190312151543071"</f>
        <v>20190312151543071</v>
      </c>
      <c r="B2309" t="str">
        <f>"1552374943060104"</f>
        <v>1552374943060104</v>
      </c>
      <c r="C2309" t="s">
        <v>40</v>
      </c>
      <c r="D2309">
        <v>4.2929639999999996</v>
      </c>
      <c r="E2309">
        <v>0.47682340000000001</v>
      </c>
      <c r="F2309" t="s">
        <v>51</v>
      </c>
      <c r="G2309">
        <v>-463.9966</v>
      </c>
      <c r="H2309" s="1">
        <v>7.7207439999999998E-7</v>
      </c>
      <c r="I2309">
        <v>280.45069999999998</v>
      </c>
      <c r="J2309">
        <v>-443.0292</v>
      </c>
      <c r="K2309">
        <v>1.109499</v>
      </c>
      <c r="L2309">
        <v>284.02249999999998</v>
      </c>
      <c r="M2309">
        <v>-0.9998785</v>
      </c>
      <c r="N2309">
        <v>0</v>
      </c>
      <c r="O2309">
        <v>-1.056961E-2</v>
      </c>
      <c r="P2309">
        <v>-0.99321579999999998</v>
      </c>
      <c r="Q2309">
        <v>-2.986818E-3</v>
      </c>
      <c r="R2309">
        <v>-0.1162484</v>
      </c>
      <c r="S2309">
        <v>-2.9619450000000001</v>
      </c>
      <c r="T2309">
        <v>-0.15448020000000001</v>
      </c>
      <c r="U2309">
        <v>-0.4977722</v>
      </c>
      <c r="V2309">
        <v>-0.10574450000000001</v>
      </c>
      <c r="W2309">
        <v>8.3920609999999993E-3</v>
      </c>
      <c r="X2309">
        <v>0.99435790000000002</v>
      </c>
      <c r="Y2309">
        <v>-0.15510750000000001</v>
      </c>
      <c r="Z2309">
        <v>-3.4670170000000002E-3</v>
      </c>
      <c r="AA2309">
        <v>0.98789150000000003</v>
      </c>
      <c r="AB2309">
        <v>31</v>
      </c>
      <c r="AC2309">
        <v>-20.967400000000001</v>
      </c>
      <c r="AD2309">
        <v>-1.1094982279256</v>
      </c>
      <c r="AE2309">
        <v>-3.5717999999999899</v>
      </c>
      <c r="AF2309">
        <v>-3.3408778845734699</v>
      </c>
      <c r="AG2309">
        <v>-1.1094982279256</v>
      </c>
      <c r="AH2309">
        <v>20.946985291695899</v>
      </c>
      <c r="AI2309">
        <v>92.994177067534196</v>
      </c>
      <c r="AJ2309">
        <v>99.061898423857798</v>
      </c>
      <c r="AK2309">
        <v>21.240730782341899</v>
      </c>
      <c r="AL2309">
        <v>89.519164669436407</v>
      </c>
      <c r="AM2309">
        <v>96.070276760841097</v>
      </c>
      <c r="AN2309">
        <v>0.99999997963024301</v>
      </c>
    </row>
    <row r="2310" spans="1:40" x14ac:dyDescent="0.25">
      <c r="A2310" t="str">
        <f>"20190312151543094"</f>
        <v>20190312151543094</v>
      </c>
      <c r="B2310" t="str">
        <f>"1552374943089383"</f>
        <v>1552374943089383</v>
      </c>
      <c r="C2310" t="s">
        <v>40</v>
      </c>
      <c r="D2310">
        <v>4.2923710000000002</v>
      </c>
      <c r="E2310">
        <v>0.47447549999999999</v>
      </c>
      <c r="F2310" t="s">
        <v>51</v>
      </c>
      <c r="G2310">
        <v>-462.62079999999997</v>
      </c>
      <c r="H2310" s="1">
        <v>3.9393710000000002E-8</v>
      </c>
      <c r="I2310">
        <v>280.46300000000002</v>
      </c>
      <c r="J2310">
        <v>-443.3365</v>
      </c>
      <c r="K2310">
        <v>1.1094889999999999</v>
      </c>
      <c r="L2310">
        <v>284.01920000000001</v>
      </c>
      <c r="M2310">
        <v>-0.99987919999999997</v>
      </c>
      <c r="N2310">
        <v>0</v>
      </c>
      <c r="O2310">
        <v>-1.0655980000000001E-2</v>
      </c>
      <c r="P2310">
        <v>-0.99305949999999998</v>
      </c>
      <c r="Q2310">
        <v>-2.170398E-3</v>
      </c>
      <c r="R2310">
        <v>-0.1175943</v>
      </c>
      <c r="S2310">
        <v>-2.9571230000000002</v>
      </c>
      <c r="T2310">
        <v>-0.16746629999999901</v>
      </c>
      <c r="U2310">
        <v>-0.53726200000000002</v>
      </c>
      <c r="V2310">
        <v>-0.107006</v>
      </c>
      <c r="W2310">
        <v>9.0724819999999998E-3</v>
      </c>
      <c r="X2310">
        <v>0.99421700000000002</v>
      </c>
      <c r="Y2310">
        <v>-0.16801849999999999</v>
      </c>
      <c r="Z2310">
        <v>-4.1172750000000001E-3</v>
      </c>
      <c r="AA2310">
        <v>0.98577519999999996</v>
      </c>
      <c r="AB2310">
        <v>31</v>
      </c>
      <c r="AC2310">
        <v>-19.284299999999899</v>
      </c>
      <c r="AD2310">
        <v>-1.1094889606062901</v>
      </c>
      <c r="AE2310">
        <v>-3.55620000000004</v>
      </c>
      <c r="AF2310">
        <v>-3.3398003743571101</v>
      </c>
      <c r="AG2310">
        <v>-1.1094889606062901</v>
      </c>
      <c r="AH2310">
        <v>19.2594485482573</v>
      </c>
      <c r="AI2310">
        <v>93.248645814887695</v>
      </c>
      <c r="AJ2310">
        <v>99.837884493247202</v>
      </c>
      <c r="AK2310">
        <v>19.578344942237401</v>
      </c>
      <c r="AL2310">
        <v>89.4801779500702</v>
      </c>
      <c r="AM2310">
        <v>96.143006830140195</v>
      </c>
      <c r="AN2310">
        <v>1.0000000185273199</v>
      </c>
    </row>
    <row r="2311" spans="1:40" x14ac:dyDescent="0.25">
      <c r="A2311" t="str">
        <f>"20190312151543115"</f>
        <v>20190312151543115</v>
      </c>
      <c r="B2311" t="str">
        <f>"1552374943109879"</f>
        <v>1552374943109879</v>
      </c>
      <c r="C2311" t="s">
        <v>40</v>
      </c>
      <c r="D2311">
        <v>4.3023610000000003</v>
      </c>
      <c r="E2311">
        <v>0.47368510000000003</v>
      </c>
      <c r="F2311" t="s">
        <v>51</v>
      </c>
      <c r="G2311">
        <v>-462.2842</v>
      </c>
      <c r="H2311" s="1">
        <v>-1.381409E-7</v>
      </c>
      <c r="I2311">
        <v>280.42770000000002</v>
      </c>
      <c r="J2311">
        <v>-443.64519999999999</v>
      </c>
      <c r="K2311">
        <v>1.109475</v>
      </c>
      <c r="L2311">
        <v>284.01580000000001</v>
      </c>
      <c r="M2311">
        <v>-0.99987959999999998</v>
      </c>
      <c r="N2311">
        <v>0</v>
      </c>
      <c r="O2311">
        <v>-1.0742689999999999E-2</v>
      </c>
      <c r="P2311">
        <v>-0.99288949999999998</v>
      </c>
      <c r="Q2311">
        <v>-2.0409080000000001E-3</v>
      </c>
      <c r="R2311">
        <v>-0.119022</v>
      </c>
      <c r="S2311">
        <v>-2.9542540000000002</v>
      </c>
      <c r="T2311">
        <v>-0.17298749999999999</v>
      </c>
      <c r="U2311">
        <v>-0.55996699999999999</v>
      </c>
      <c r="V2311">
        <v>-0.108349399999999</v>
      </c>
      <c r="W2311">
        <v>9.0805880000000005E-3</v>
      </c>
      <c r="X2311">
        <v>0.99407140000000005</v>
      </c>
      <c r="Y2311">
        <v>-0.17539179999999999</v>
      </c>
      <c r="Z2311">
        <v>-4.4626680000000004E-3</v>
      </c>
      <c r="AA2311">
        <v>0.98448860000000005</v>
      </c>
      <c r="AB2311">
        <v>31</v>
      </c>
      <c r="AC2311">
        <v>-18.638999999999999</v>
      </c>
      <c r="AD2311">
        <v>-1.10947513814089</v>
      </c>
      <c r="AE2311">
        <v>-3.5880999999999901</v>
      </c>
      <c r="AF2311">
        <v>-3.3761127398697601</v>
      </c>
      <c r="AG2311">
        <v>-1.10947513814089</v>
      </c>
      <c r="AH2311">
        <v>18.612880878843399</v>
      </c>
      <c r="AI2311">
        <v>93.356603622161998</v>
      </c>
      <c r="AJ2311">
        <v>100.280865093833</v>
      </c>
      <c r="AK2311">
        <v>18.9491004252043</v>
      </c>
      <c r="AL2311">
        <v>89.479713481160502</v>
      </c>
      <c r="AM2311">
        <v>96.220431929399695</v>
      </c>
      <c r="AN2311">
        <v>0.99999999892837199</v>
      </c>
    </row>
    <row r="2312" spans="1:40" x14ac:dyDescent="0.25">
      <c r="A2312" t="str">
        <f>"20190312151543138"</f>
        <v>20190312151543138</v>
      </c>
      <c r="B2312" t="str">
        <f>"1552374943129399"</f>
        <v>1552374943129399</v>
      </c>
      <c r="C2312" t="s">
        <v>40</v>
      </c>
      <c r="D2312">
        <v>4.3214899999999998</v>
      </c>
      <c r="E2312">
        <v>0.47296779999999999</v>
      </c>
      <c r="F2312" t="s">
        <v>51</v>
      </c>
      <c r="G2312">
        <v>-462.1377</v>
      </c>
      <c r="H2312" s="1">
        <v>-2.167419E-7</v>
      </c>
      <c r="I2312">
        <v>280.44150000000002</v>
      </c>
      <c r="J2312">
        <v>-443.9563</v>
      </c>
      <c r="K2312">
        <v>1.109472</v>
      </c>
      <c r="L2312">
        <v>284.01240000000001</v>
      </c>
      <c r="M2312">
        <v>-0.99987990000000004</v>
      </c>
      <c r="N2312">
        <v>0</v>
      </c>
      <c r="O2312">
        <v>-1.082936E-2</v>
      </c>
      <c r="P2312">
        <v>-0.99282349999999997</v>
      </c>
      <c r="Q2312">
        <v>-2.284889E-3</v>
      </c>
      <c r="R2312">
        <v>-0.11957089999999899</v>
      </c>
      <c r="S2312">
        <v>-2.9526669999999999</v>
      </c>
      <c r="T2312">
        <v>-0.1771488</v>
      </c>
      <c r="U2312">
        <v>-0.57070919999999903</v>
      </c>
      <c r="V2312">
        <v>-0.1088124</v>
      </c>
      <c r="W2312">
        <v>8.7301259999999995E-3</v>
      </c>
      <c r="X2312">
        <v>0.99402400000000002</v>
      </c>
      <c r="Y2312">
        <v>-0.1788382</v>
      </c>
      <c r="Z2312">
        <v>-4.6679039999999996E-3</v>
      </c>
      <c r="AA2312">
        <v>0.98386739999999995</v>
      </c>
      <c r="AB2312">
        <v>31</v>
      </c>
      <c r="AC2312">
        <v>-18.1814</v>
      </c>
      <c r="AD2312">
        <v>-1.10947221674189</v>
      </c>
      <c r="AE2312">
        <v>-3.5708999999999902</v>
      </c>
      <c r="AF2312">
        <v>-3.3617323158067198</v>
      </c>
      <c r="AG2312">
        <v>-1.10947221674189</v>
      </c>
      <c r="AH2312">
        <v>18.1539171695219</v>
      </c>
      <c r="AI2312">
        <v>93.438945520372698</v>
      </c>
      <c r="AJ2312">
        <v>100.491159058246</v>
      </c>
      <c r="AK2312">
        <v>18.495861195432902</v>
      </c>
      <c r="AL2312">
        <v>89.4997942880984</v>
      </c>
      <c r="AM2312">
        <v>96.247098974965695</v>
      </c>
      <c r="AN2312">
        <v>1.00000003303486</v>
      </c>
    </row>
    <row r="2313" spans="1:40" x14ac:dyDescent="0.25">
      <c r="A2313" t="str">
        <f>"20190312151543161"</f>
        <v>20190312151543161</v>
      </c>
      <c r="B2313" t="str">
        <f>"1552374943149896"</f>
        <v>1552374943149896</v>
      </c>
      <c r="C2313" t="s">
        <v>40</v>
      </c>
      <c r="D2313">
        <v>4.2360410000000002</v>
      </c>
      <c r="E2313">
        <v>0.47226089999999998</v>
      </c>
      <c r="F2313" t="s">
        <v>51</v>
      </c>
      <c r="G2313">
        <v>-462.86810000000003</v>
      </c>
      <c r="H2313" s="1">
        <v>1.7769E-7</v>
      </c>
      <c r="I2313">
        <v>280.31060000000002</v>
      </c>
      <c r="J2313">
        <v>-444.27379999999999</v>
      </c>
      <c r="K2313">
        <v>1.1094649999999999</v>
      </c>
      <c r="L2313">
        <v>284.00889999999998</v>
      </c>
      <c r="M2313">
        <v>-0.99987990000000004</v>
      </c>
      <c r="N2313">
        <v>0</v>
      </c>
      <c r="O2313">
        <v>-1.0918000000000001E-2</v>
      </c>
      <c r="P2313">
        <v>-0.99280299999999999</v>
      </c>
      <c r="Q2313">
        <v>-2.1590659999999998E-3</v>
      </c>
      <c r="R2313">
        <v>-0.1197405</v>
      </c>
      <c r="S2313">
        <v>-2.951721</v>
      </c>
      <c r="T2313">
        <v>-0.17316419999999999</v>
      </c>
      <c r="U2313">
        <v>-0.57775880000000002</v>
      </c>
      <c r="V2313">
        <v>-0.1088944</v>
      </c>
      <c r="W2313">
        <v>8.7611200000000007E-3</v>
      </c>
      <c r="X2313">
        <v>0.99401470000000003</v>
      </c>
      <c r="Y2313">
        <v>-0.18108270000000001</v>
      </c>
      <c r="Z2313">
        <v>-4.6235139999999996E-3</v>
      </c>
      <c r="AA2313">
        <v>0.98345700000000003</v>
      </c>
      <c r="AB2313">
        <v>31</v>
      </c>
      <c r="AC2313">
        <v>-18.5943</v>
      </c>
      <c r="AD2313">
        <v>-1.1094648223100001</v>
      </c>
      <c r="AE2313">
        <v>-3.6982999999999602</v>
      </c>
      <c r="AF2313">
        <v>-3.4831261484488998</v>
      </c>
      <c r="AG2313">
        <v>-1.1094648223100001</v>
      </c>
      <c r="AH2313">
        <v>18.569976093722801</v>
      </c>
      <c r="AI2313">
        <v>93.360610049225997</v>
      </c>
      <c r="AJ2313">
        <v>100.623397778197</v>
      </c>
      <c r="AK2313">
        <v>18.9263597154706</v>
      </c>
      <c r="AL2313">
        <v>89.498018371085905</v>
      </c>
      <c r="AM2313">
        <v>96.251827494472295</v>
      </c>
      <c r="AN2313">
        <v>0.99999998569555204</v>
      </c>
    </row>
    <row r="2314" spans="1:40" x14ac:dyDescent="0.25">
      <c r="A2314" t="str">
        <f>"20190312151543183"</f>
        <v>20190312151543183</v>
      </c>
      <c r="B2314" t="str">
        <f>"1552374943180151"</f>
        <v>1552374943180151</v>
      </c>
      <c r="C2314" t="s">
        <v>40</v>
      </c>
      <c r="D2314">
        <v>4.2946790000000004</v>
      </c>
      <c r="E2314">
        <v>0.47174719999999998</v>
      </c>
      <c r="F2314" t="s">
        <v>51</v>
      </c>
      <c r="G2314">
        <v>-463.24889999999999</v>
      </c>
      <c r="H2314" s="1">
        <v>3.8279590000000002E-7</v>
      </c>
      <c r="I2314">
        <v>280.25369999999998</v>
      </c>
      <c r="J2314">
        <v>-444.5752</v>
      </c>
      <c r="K2314">
        <v>1.1094649999999999</v>
      </c>
      <c r="L2314">
        <v>284.00549999999998</v>
      </c>
      <c r="M2314">
        <v>-0.99987999999999999</v>
      </c>
      <c r="N2314">
        <v>0</v>
      </c>
      <c r="O2314">
        <v>-1.1002329999999999E-2</v>
      </c>
      <c r="P2314">
        <v>-0.9927648</v>
      </c>
      <c r="Q2314">
        <v>-2.0153910000000001E-3</v>
      </c>
      <c r="R2314">
        <v>-0.1200605</v>
      </c>
      <c r="S2314">
        <v>-2.9508969999999999</v>
      </c>
      <c r="T2314">
        <v>-0.17253779999999999</v>
      </c>
      <c r="U2314">
        <v>-0.58398439999999996</v>
      </c>
      <c r="V2314">
        <v>-0.1091313</v>
      </c>
      <c r="W2314">
        <v>8.8259669999999901E-3</v>
      </c>
      <c r="X2314">
        <v>0.99398819999999999</v>
      </c>
      <c r="Y2314">
        <v>-0.1830475</v>
      </c>
      <c r="Z2314">
        <v>-4.6591169999999999E-3</v>
      </c>
      <c r="AA2314">
        <v>0.98309299999999999</v>
      </c>
      <c r="AB2314">
        <v>31</v>
      </c>
      <c r="AC2314">
        <v>-18.6737</v>
      </c>
      <c r="AD2314">
        <v>-1.1094646172040901</v>
      </c>
      <c r="AE2314">
        <v>-3.7517999999999998</v>
      </c>
      <c r="AF2314">
        <v>-3.5341153136576402</v>
      </c>
      <c r="AG2314">
        <v>-1.1094646172040901</v>
      </c>
      <c r="AH2314">
        <v>18.650569784849299</v>
      </c>
      <c r="AI2314">
        <v>93.344951635139395</v>
      </c>
      <c r="AJ2314">
        <v>100.729817610526</v>
      </c>
      <c r="AK2314">
        <v>19.014853038784999</v>
      </c>
      <c r="AL2314">
        <v>89.494302795438799</v>
      </c>
      <c r="AM2314">
        <v>96.265486018426003</v>
      </c>
      <c r="AN2314">
        <v>1.0000000400361999</v>
      </c>
    </row>
    <row r="2315" spans="1:40" x14ac:dyDescent="0.25">
      <c r="A2315" t="str">
        <f>"20190312151543205"</f>
        <v>20190312151543205</v>
      </c>
      <c r="B2315" t="str">
        <f>"1552374943199676"</f>
        <v>1552374943199676</v>
      </c>
      <c r="C2315" t="s">
        <v>40</v>
      </c>
      <c r="D2315">
        <v>4.3117340000000004</v>
      </c>
      <c r="E2315">
        <v>0.47174559999999999</v>
      </c>
      <c r="F2315" t="s">
        <v>51</v>
      </c>
      <c r="G2315">
        <v>-463.94009999999997</v>
      </c>
      <c r="H2315" s="1">
        <v>7.555887E-7</v>
      </c>
      <c r="I2315">
        <v>280.1397</v>
      </c>
      <c r="J2315">
        <v>-444.89019999999999</v>
      </c>
      <c r="K2315">
        <v>1.1094619999999999</v>
      </c>
      <c r="L2315">
        <v>284.00189999999998</v>
      </c>
      <c r="M2315">
        <v>-0.99987969999999904</v>
      </c>
      <c r="N2315">
        <v>0</v>
      </c>
      <c r="O2315">
        <v>-1.1090269999999999E-2</v>
      </c>
      <c r="P2315">
        <v>-0.99275340000000001</v>
      </c>
      <c r="Q2315">
        <v>-1.7199079999999901E-3</v>
      </c>
      <c r="R2315">
        <v>-0.1201578</v>
      </c>
      <c r="S2315">
        <v>-2.9502869999999999</v>
      </c>
      <c r="T2315">
        <v>-0.16902979999999901</v>
      </c>
      <c r="U2315">
        <v>-0.58895869999999995</v>
      </c>
      <c r="V2315">
        <v>-0.109141</v>
      </c>
      <c r="W2315">
        <v>9.0500709999999998E-3</v>
      </c>
      <c r="X2315">
        <v>0.99398509999999995</v>
      </c>
      <c r="Y2315">
        <v>-0.1846032</v>
      </c>
      <c r="Z2315">
        <v>-4.6038390000000002E-3</v>
      </c>
      <c r="AA2315">
        <v>0.98280239999999996</v>
      </c>
      <c r="AB2315">
        <v>31</v>
      </c>
      <c r="AC2315">
        <v>-19.049899999999901</v>
      </c>
      <c r="AD2315">
        <v>-1.1094612444112999</v>
      </c>
      <c r="AE2315">
        <v>-3.8621999999999699</v>
      </c>
      <c r="AF2315">
        <v>-3.6388263699556398</v>
      </c>
      <c r="AG2315">
        <v>-1.1094612444112999</v>
      </c>
      <c r="AH2315">
        <v>19.029566249078002</v>
      </c>
      <c r="AI2315">
        <v>93.2774311657532</v>
      </c>
      <c r="AJ2315">
        <v>100.82539614900701</v>
      </c>
      <c r="AK2315">
        <v>19.406090622059502</v>
      </c>
      <c r="AL2315">
        <v>89.481462059421304</v>
      </c>
      <c r="AM2315">
        <v>96.266057875537101</v>
      </c>
      <c r="AN2315">
        <v>1.00000002034405</v>
      </c>
    </row>
    <row r="2316" spans="1:40" x14ac:dyDescent="0.25">
      <c r="A2316" t="str">
        <f>"20190312151543228"</f>
        <v>20190312151543228</v>
      </c>
      <c r="B2316" t="str">
        <f>"1552374943220167"</f>
        <v>1552374943220167</v>
      </c>
      <c r="C2316" t="s">
        <v>40</v>
      </c>
      <c r="D2316">
        <v>4.5933140000000003</v>
      </c>
      <c r="E2316">
        <v>0.4717208</v>
      </c>
      <c r="F2316" t="s">
        <v>51</v>
      </c>
      <c r="G2316">
        <v>-464.89280000000002</v>
      </c>
      <c r="H2316" s="1">
        <v>1.268317E-6</v>
      </c>
      <c r="I2316">
        <v>280.00830000000002</v>
      </c>
      <c r="J2316">
        <v>-445.21039999999999</v>
      </c>
      <c r="K2316">
        <v>1.1094580000000001</v>
      </c>
      <c r="L2316">
        <v>283.99829999999997</v>
      </c>
      <c r="M2316">
        <v>-0.99987939999999997</v>
      </c>
      <c r="N2316">
        <v>0</v>
      </c>
      <c r="O2316">
        <v>-1.117957E-2</v>
      </c>
      <c r="P2316">
        <v>-0.99268849999999997</v>
      </c>
      <c r="Q2316">
        <v>-1.1182480000000001E-3</v>
      </c>
      <c r="R2316">
        <v>-0.12069969999999999</v>
      </c>
      <c r="S2316">
        <v>-2.950348</v>
      </c>
      <c r="T2316">
        <v>-0.1636435</v>
      </c>
      <c r="U2316">
        <v>-0.58905030000000003</v>
      </c>
      <c r="V2316">
        <v>-0.1095951</v>
      </c>
      <c r="W2316">
        <v>9.5883979999999997E-3</v>
      </c>
      <c r="X2316">
        <v>0.99393010000000004</v>
      </c>
      <c r="Y2316">
        <v>-0.18455820000000001</v>
      </c>
      <c r="Z2316">
        <v>-4.4511179999999996E-3</v>
      </c>
      <c r="AA2316">
        <v>0.98281149999999995</v>
      </c>
      <c r="AB2316">
        <v>31</v>
      </c>
      <c r="AC2316">
        <v>-19.682400000000001</v>
      </c>
      <c r="AD2316">
        <v>-1.109456731683</v>
      </c>
      <c r="AE2316">
        <v>-3.98999999999995</v>
      </c>
      <c r="AF2316">
        <v>-3.7582272303698598</v>
      </c>
      <c r="AG2316">
        <v>-1.109456731683</v>
      </c>
      <c r="AH2316">
        <v>19.665760434865401</v>
      </c>
      <c r="AI2316">
        <v>93.171679161735597</v>
      </c>
      <c r="AJ2316">
        <v>100.81906645190401</v>
      </c>
      <c r="AK2316">
        <v>20.052363941343401</v>
      </c>
      <c r="AL2316">
        <v>89.450616862354593</v>
      </c>
      <c r="AM2316">
        <v>96.2922656032855</v>
      </c>
      <c r="AN2316">
        <v>1.0000000335031101</v>
      </c>
    </row>
    <row r="2317" spans="1:40" x14ac:dyDescent="0.25">
      <c r="A2317" t="str">
        <f>"20190312151543251"</f>
        <v>20190312151543251</v>
      </c>
      <c r="B2317" t="str">
        <f>"1552374943239687"</f>
        <v>1552374943239687</v>
      </c>
      <c r="C2317" t="s">
        <v>40</v>
      </c>
      <c r="D2317">
        <v>4.25868</v>
      </c>
      <c r="E2317">
        <v>0.47170509999999899</v>
      </c>
      <c r="F2317" t="s">
        <v>51</v>
      </c>
      <c r="G2317">
        <v>-466.1551</v>
      </c>
      <c r="H2317" s="1">
        <v>1.9489679999999999E-6</v>
      </c>
      <c r="I2317">
        <v>279.80500000000001</v>
      </c>
      <c r="J2317">
        <v>-445.52199999999999</v>
      </c>
      <c r="K2317">
        <v>1.109456</v>
      </c>
      <c r="L2317">
        <v>283.99470000000002</v>
      </c>
      <c r="M2317">
        <v>-0.99987890000000001</v>
      </c>
      <c r="N2317">
        <v>0</v>
      </c>
      <c r="O2317">
        <v>-1.126666E-2</v>
      </c>
      <c r="P2317">
        <v>-0.99263690000000004</v>
      </c>
      <c r="Q2317">
        <v>-5.1774549999999996E-4</v>
      </c>
      <c r="R2317">
        <v>-0.1211265</v>
      </c>
      <c r="S2317">
        <v>-2.9501339999999998</v>
      </c>
      <c r="T2317">
        <v>-0.1562704</v>
      </c>
      <c r="U2317">
        <v>-0.59063719999999997</v>
      </c>
      <c r="V2317">
        <v>-0.10993609999999999</v>
      </c>
      <c r="W2317">
        <v>1.013578E-2</v>
      </c>
      <c r="X2317">
        <v>0.99388690000000002</v>
      </c>
      <c r="Y2317">
        <v>-0.1850166</v>
      </c>
      <c r="Z2317">
        <v>-4.2583789999999996E-3</v>
      </c>
      <c r="AA2317">
        <v>0.98272619999999999</v>
      </c>
      <c r="AB2317">
        <v>31</v>
      </c>
      <c r="AC2317">
        <v>-20.633099999999999</v>
      </c>
      <c r="AD2317">
        <v>-1.1094540510319999</v>
      </c>
      <c r="AE2317">
        <v>-4.18970000000001</v>
      </c>
      <c r="AF2317">
        <v>-3.9459973448613499</v>
      </c>
      <c r="AG2317">
        <v>-1.1094540510319999</v>
      </c>
      <c r="AH2317">
        <v>20.621734795400599</v>
      </c>
      <c r="AI2317">
        <v>93.024782904520706</v>
      </c>
      <c r="AJ2317">
        <v>100.832678949673</v>
      </c>
      <c r="AK2317">
        <v>21.025168948401799</v>
      </c>
      <c r="AL2317">
        <v>89.419252596358703</v>
      </c>
      <c r="AM2317">
        <v>96.3119580565658</v>
      </c>
      <c r="AN2317">
        <v>0.99999992505551105</v>
      </c>
    </row>
    <row r="2318" spans="1:40" x14ac:dyDescent="0.25">
      <c r="A2318" t="str">
        <f>"20190312151543272"</f>
        <v>20190312151543272</v>
      </c>
      <c r="B2318" t="str">
        <f>"1552374943269944"</f>
        <v>1552374943269944</v>
      </c>
      <c r="C2318" t="s">
        <v>40</v>
      </c>
      <c r="D2318">
        <v>4.2477669999999996</v>
      </c>
      <c r="E2318">
        <v>0.47157139999999997</v>
      </c>
      <c r="F2318" t="s">
        <v>51</v>
      </c>
      <c r="G2318">
        <v>-467.35079999999999</v>
      </c>
      <c r="H2318">
        <v>1.340191E-2</v>
      </c>
      <c r="I2318">
        <v>279.61630000000002</v>
      </c>
      <c r="J2318">
        <v>-445.82780000000002</v>
      </c>
      <c r="K2318">
        <v>1.10945</v>
      </c>
      <c r="L2318">
        <v>283.99110000000002</v>
      </c>
      <c r="M2318">
        <v>-0.9998785</v>
      </c>
      <c r="N2318">
        <v>0</v>
      </c>
      <c r="O2318">
        <v>-1.135166E-2</v>
      </c>
      <c r="P2318">
        <v>-0.99258460000000004</v>
      </c>
      <c r="Q2318">
        <v>-2.4815740000000002E-4</v>
      </c>
      <c r="R2318">
        <v>-0.1215562</v>
      </c>
      <c r="S2318">
        <v>-2.9500120000000001</v>
      </c>
      <c r="T2318">
        <v>-0.14812420000000001</v>
      </c>
      <c r="U2318">
        <v>-0.59170529999999999</v>
      </c>
      <c r="V2318">
        <v>-0.1102814</v>
      </c>
      <c r="W2318">
        <v>1.036083E-2</v>
      </c>
      <c r="X2318">
        <v>0.99384640000000002</v>
      </c>
      <c r="Y2318">
        <v>-0.18530650000000001</v>
      </c>
      <c r="Z2318">
        <v>-4.0396779999999997E-3</v>
      </c>
      <c r="AA2318">
        <v>0.98267249999999995</v>
      </c>
      <c r="AB2318">
        <v>31</v>
      </c>
      <c r="AC2318">
        <v>-21.5229999999999</v>
      </c>
      <c r="AD2318">
        <v>-1.09604809</v>
      </c>
      <c r="AE2318">
        <v>-4.3747999999999898</v>
      </c>
      <c r="AF2318">
        <v>-4.1199220618034396</v>
      </c>
      <c r="AG2318">
        <v>-1.09604809</v>
      </c>
      <c r="AH2318">
        <v>21.5176892128781</v>
      </c>
      <c r="AI2318">
        <v>92.864023730566501</v>
      </c>
      <c r="AJ2318">
        <v>100.839055823872</v>
      </c>
      <c r="AK2318">
        <v>21.935952869044399</v>
      </c>
      <c r="AL2318">
        <v>89.406357547718997</v>
      </c>
      <c r="AM2318">
        <v>96.331878545001103</v>
      </c>
      <c r="AN2318">
        <v>1.0000000003886</v>
      </c>
    </row>
    <row r="2319" spans="1:40" x14ac:dyDescent="0.25">
      <c r="A2319" t="str">
        <f>"20190312151543295"</f>
        <v>20190312151543295</v>
      </c>
      <c r="B2319" t="str">
        <f>"1552374943289467"</f>
        <v>1552374943289467</v>
      </c>
      <c r="C2319" t="s">
        <v>40</v>
      </c>
      <c r="D2319">
        <v>4.2480060000000002</v>
      </c>
      <c r="E2319">
        <v>0.47148659999999998</v>
      </c>
      <c r="F2319" t="s">
        <v>51</v>
      </c>
      <c r="G2319">
        <v>-467.57130000000001</v>
      </c>
      <c r="H2319">
        <v>5.592983E-2</v>
      </c>
      <c r="I2319">
        <v>279.61040000000003</v>
      </c>
      <c r="J2319">
        <v>-446.14400000000001</v>
      </c>
      <c r="K2319">
        <v>1.109448</v>
      </c>
      <c r="L2319">
        <v>283.98739999999998</v>
      </c>
      <c r="M2319">
        <v>-0.99987789999999999</v>
      </c>
      <c r="N2319">
        <v>0</v>
      </c>
      <c r="O2319">
        <v>-1.143979E-2</v>
      </c>
      <c r="P2319">
        <v>-0.99252890000000005</v>
      </c>
      <c r="Q2319">
        <v>3.9385720000000002E-4</v>
      </c>
      <c r="R2319">
        <v>-0.1220108</v>
      </c>
      <c r="S2319">
        <v>-2.9496150000000001</v>
      </c>
      <c r="T2319">
        <v>-0.14291489999999901</v>
      </c>
      <c r="U2319">
        <v>-0.59426880000000004</v>
      </c>
      <c r="V2319">
        <v>-0.11064980000000001</v>
      </c>
      <c r="W2319">
        <v>1.096305E-2</v>
      </c>
      <c r="X2319">
        <v>0.99379899999999999</v>
      </c>
      <c r="Y2319">
        <v>-0.18607989999999999</v>
      </c>
      <c r="Z2319">
        <v>-3.9122749999999998E-3</v>
      </c>
      <c r="AA2319">
        <v>0.98252680000000003</v>
      </c>
      <c r="AB2319">
        <v>31</v>
      </c>
      <c r="AC2319">
        <v>-21.427299999999999</v>
      </c>
      <c r="AD2319">
        <v>-1.05351817</v>
      </c>
      <c r="AE2319">
        <v>-4.37699999999995</v>
      </c>
      <c r="AF2319">
        <v>-4.1220104248077503</v>
      </c>
      <c r="AG2319">
        <v>-1.05351817</v>
      </c>
      <c r="AH2319">
        <v>21.4262513346447</v>
      </c>
      <c r="AI2319">
        <v>92.764328925977097</v>
      </c>
      <c r="AJ2319">
        <v>100.889594876285</v>
      </c>
      <c r="AK2319">
        <v>21.8445672132022</v>
      </c>
      <c r="AL2319">
        <v>89.371850927269307</v>
      </c>
      <c r="AM2319">
        <v>96.353158347086804</v>
      </c>
      <c r="AN2319">
        <v>1.00000000955317</v>
      </c>
    </row>
    <row r="2320" spans="1:40" x14ac:dyDescent="0.25">
      <c r="A2320" t="str">
        <f>"20190312151543316"</f>
        <v>20190312151543316</v>
      </c>
      <c r="B2320" t="str">
        <f>"1552374943309963"</f>
        <v>1552374943309963</v>
      </c>
      <c r="C2320" t="s">
        <v>40</v>
      </c>
      <c r="D2320">
        <v>4.1992960000000004</v>
      </c>
      <c r="E2320">
        <v>0.4713466</v>
      </c>
      <c r="F2320" t="s">
        <v>51</v>
      </c>
      <c r="G2320">
        <v>-467.93459999999999</v>
      </c>
      <c r="H2320">
        <v>8.0000829999999995E-2</v>
      </c>
      <c r="I2320">
        <v>279.58370000000002</v>
      </c>
      <c r="J2320">
        <v>-446.45420000000001</v>
      </c>
      <c r="K2320">
        <v>1.1094469999999901</v>
      </c>
      <c r="L2320">
        <v>283.98379999999997</v>
      </c>
      <c r="M2320">
        <v>-0.99987729999999997</v>
      </c>
      <c r="N2320">
        <v>0</v>
      </c>
      <c r="O2320">
        <v>-1.1527020000000001E-2</v>
      </c>
      <c r="P2320">
        <v>-0.99246389999999995</v>
      </c>
      <c r="Q2320">
        <v>6.7847410000000002E-4</v>
      </c>
      <c r="R2320">
        <v>-0.1225371</v>
      </c>
      <c r="S2320">
        <v>-2.9493710000000002</v>
      </c>
      <c r="T2320">
        <v>-0.13933609999999999</v>
      </c>
      <c r="U2320">
        <v>-0.59603879999999998</v>
      </c>
      <c r="V2320">
        <v>-0.1110897</v>
      </c>
      <c r="W2320">
        <v>1.1220040000000001E-2</v>
      </c>
      <c r="X2320">
        <v>0.99374709999999999</v>
      </c>
      <c r="Y2320">
        <v>-0.1865858</v>
      </c>
      <c r="Z2320">
        <v>-3.8222479999999999E-3</v>
      </c>
      <c r="AA2320">
        <v>0.98243119999999995</v>
      </c>
      <c r="AB2320">
        <v>31</v>
      </c>
      <c r="AC2320">
        <v>-21.4803999999999</v>
      </c>
      <c r="AD2320">
        <v>-1.0294461699999999</v>
      </c>
      <c r="AE2320">
        <v>-4.4000999999999504</v>
      </c>
      <c r="AF2320">
        <v>-4.1430561494648002</v>
      </c>
      <c r="AG2320">
        <v>-1.0294461699999999</v>
      </c>
      <c r="AH2320">
        <v>21.482342019220201</v>
      </c>
      <c r="AI2320">
        <v>92.693979859727193</v>
      </c>
      <c r="AJ2320">
        <v>100.915967407765</v>
      </c>
      <c r="AK2320">
        <v>21.902412933403099</v>
      </c>
      <c r="AL2320">
        <v>89.357125608248694</v>
      </c>
      <c r="AM2320">
        <v>96.378538623769501</v>
      </c>
      <c r="AN2320">
        <v>1.0000000547510399</v>
      </c>
    </row>
    <row r="2321" spans="1:40" x14ac:dyDescent="0.25">
      <c r="A2321" t="str">
        <f>"20190312151543339"</f>
        <v>20190312151543339</v>
      </c>
      <c r="B2321" t="str">
        <f>"1552374943329479"</f>
        <v>1552374943329479</v>
      </c>
      <c r="C2321" t="s">
        <v>40</v>
      </c>
      <c r="D2321">
        <v>4.2545019999999996</v>
      </c>
      <c r="E2321">
        <v>0.47122890000000001</v>
      </c>
      <c r="F2321" t="s">
        <v>51</v>
      </c>
      <c r="G2321">
        <v>-468.51909999999998</v>
      </c>
      <c r="H2321">
        <v>8.0000650000000006E-2</v>
      </c>
      <c r="I2321">
        <v>279.50599999999997</v>
      </c>
      <c r="J2321">
        <v>-446.76760000000002</v>
      </c>
      <c r="K2321">
        <v>1.1094469999999901</v>
      </c>
      <c r="L2321">
        <v>283.98009999999999</v>
      </c>
      <c r="M2321">
        <v>-0.99987630000000005</v>
      </c>
      <c r="N2321">
        <v>0</v>
      </c>
      <c r="O2321">
        <v>-1.161419E-2</v>
      </c>
      <c r="P2321">
        <v>-0.99242759999999997</v>
      </c>
      <c r="Q2321">
        <v>6.7222119999999896E-4</v>
      </c>
      <c r="R2321">
        <v>-0.1228289</v>
      </c>
      <c r="S2321">
        <v>-2.948944</v>
      </c>
      <c r="T2321">
        <v>-0.13758409999999999</v>
      </c>
      <c r="U2321">
        <v>-0.59844969999999997</v>
      </c>
      <c r="V2321">
        <v>-0.1112954</v>
      </c>
      <c r="W2321">
        <v>1.119621E-2</v>
      </c>
      <c r="X2321">
        <v>0.9937243</v>
      </c>
      <c r="Y2321">
        <v>-0.18730330000000001</v>
      </c>
      <c r="Z2321">
        <v>-3.7870080000000001E-3</v>
      </c>
      <c r="AA2321">
        <v>0.98229489999999997</v>
      </c>
      <c r="AB2321">
        <v>31</v>
      </c>
      <c r="AC2321">
        <v>-21.751499999999901</v>
      </c>
      <c r="AD2321">
        <v>-1.02944634999999</v>
      </c>
      <c r="AE2321">
        <v>-4.4741000000000204</v>
      </c>
      <c r="AF2321">
        <v>-4.2121062019284103</v>
      </c>
      <c r="AG2321">
        <v>-1.02944634999999</v>
      </c>
      <c r="AH2321">
        <v>21.755247126031801</v>
      </c>
      <c r="AI2321">
        <v>92.6598615821202</v>
      </c>
      <c r="AJ2321">
        <v>100.957650112881</v>
      </c>
      <c r="AK2321">
        <v>22.183155230006498</v>
      </c>
      <c r="AL2321">
        <v>89.358491019035796</v>
      </c>
      <c r="AM2321">
        <v>96.390397281000901</v>
      </c>
      <c r="AN2321">
        <v>1.000000002795</v>
      </c>
    </row>
    <row r="2322" spans="1:40" x14ac:dyDescent="0.25">
      <c r="A2322" t="str">
        <f>"20190312151543354"</f>
        <v>20190312151543354</v>
      </c>
      <c r="B2322" t="str">
        <f>"1552374943349975"</f>
        <v>1552374943349975</v>
      </c>
      <c r="C2322" t="s">
        <v>40</v>
      </c>
      <c r="D2322">
        <v>4.2875969999999999</v>
      </c>
      <c r="E2322">
        <v>0.4715027</v>
      </c>
      <c r="F2322" t="s">
        <v>51</v>
      </c>
      <c r="G2322">
        <v>-468.95139999999998</v>
      </c>
      <c r="H2322">
        <v>8.0000520000000006E-2</v>
      </c>
      <c r="I2322">
        <v>279.46460000000002</v>
      </c>
      <c r="J2322">
        <v>-446.99020000000002</v>
      </c>
      <c r="K2322">
        <v>1.1094459999999999</v>
      </c>
      <c r="L2322">
        <v>283.97750000000002</v>
      </c>
      <c r="M2322">
        <v>-0.99987570000000003</v>
      </c>
      <c r="N2322">
        <v>0</v>
      </c>
      <c r="O2322">
        <v>-1.167602E-2</v>
      </c>
      <c r="P2322">
        <v>-0.99238380000000004</v>
      </c>
      <c r="Q2322">
        <v>6.7190550000000005E-4</v>
      </c>
      <c r="R2322">
        <v>-0.1231836</v>
      </c>
      <c r="S2322">
        <v>-2.9487299999999999</v>
      </c>
      <c r="T2322">
        <v>-0.13683719999999999</v>
      </c>
      <c r="U2322">
        <v>-0.60021969999999902</v>
      </c>
      <c r="V2322">
        <v>-0.1115887</v>
      </c>
      <c r="W2322">
        <v>1.1188099999999999E-2</v>
      </c>
      <c r="X2322">
        <v>0.99369149999999995</v>
      </c>
      <c r="Y2322">
        <v>-0.18782409999999999</v>
      </c>
      <c r="Z2322">
        <v>-3.7756370000000001E-3</v>
      </c>
      <c r="AA2322">
        <v>0.98219540000000005</v>
      </c>
      <c r="AB2322">
        <v>31</v>
      </c>
      <c r="AC2322">
        <v>-21.961199999999899</v>
      </c>
      <c r="AD2322">
        <v>-1.0294454799999999</v>
      </c>
      <c r="AE2322">
        <v>-4.5129000000000001</v>
      </c>
      <c r="AF2322">
        <v>-4.2472041609198001</v>
      </c>
      <c r="AG2322">
        <v>-1.0294454799999999</v>
      </c>
      <c r="AH2322">
        <v>21.966087424379101</v>
      </c>
      <c r="AI2322">
        <v>92.634492802029996</v>
      </c>
      <c r="AJ2322">
        <v>100.943259701402</v>
      </c>
      <c r="AK2322">
        <v>22.396595676939199</v>
      </c>
      <c r="AL2322">
        <v>89.358955717916004</v>
      </c>
      <c r="AM2322">
        <v>96.407307946969397</v>
      </c>
      <c r="AN2322">
        <v>1.00000000436077</v>
      </c>
    </row>
    <row r="2323" spans="1:40" x14ac:dyDescent="0.25">
      <c r="A2323" t="str">
        <f>"20190312151543373"</f>
        <v>20190312151543373</v>
      </c>
      <c r="B2323" t="str">
        <f>"1552374943369495"</f>
        <v>1552374943369495</v>
      </c>
      <c r="C2323" t="s">
        <v>40</v>
      </c>
      <c r="D2323">
        <v>4.2623530000000001</v>
      </c>
      <c r="E2323">
        <v>0.49001</v>
      </c>
      <c r="F2323" t="s">
        <v>51</v>
      </c>
      <c r="G2323">
        <v>-469.274</v>
      </c>
      <c r="H2323">
        <v>8.0000429999999997E-2</v>
      </c>
      <c r="I2323">
        <v>279.44869999999997</v>
      </c>
      <c r="J2323">
        <v>-447.23950000000002</v>
      </c>
      <c r="K2323">
        <v>1.1094379999999999</v>
      </c>
      <c r="L2323">
        <v>283.97449999999998</v>
      </c>
      <c r="M2323">
        <v>-0.99987490000000001</v>
      </c>
      <c r="N2323">
        <v>0</v>
      </c>
      <c r="O2323">
        <v>-1.174562E-2</v>
      </c>
      <c r="P2323">
        <v>-0.99231259999999999</v>
      </c>
      <c r="Q2323">
        <v>7.2370379999999997E-4</v>
      </c>
      <c r="R2323">
        <v>-0.1237548</v>
      </c>
      <c r="S2323">
        <v>-2.9487299999999999</v>
      </c>
      <c r="T2323">
        <v>-0.13622239999999999</v>
      </c>
      <c r="U2323">
        <v>-0.59927369999999902</v>
      </c>
      <c r="V2323">
        <v>-0.11209230000000001</v>
      </c>
      <c r="W2323">
        <v>1.123626E-2</v>
      </c>
      <c r="X2323">
        <v>0.99363429999999997</v>
      </c>
      <c r="Y2323">
        <v>-0.18745519999999999</v>
      </c>
      <c r="Z2323">
        <v>-3.7471990000000001E-3</v>
      </c>
      <c r="AA2323">
        <v>0.98226599999999997</v>
      </c>
      <c r="AB2323">
        <v>31</v>
      </c>
      <c r="AC2323">
        <v>-22.034499999999898</v>
      </c>
      <c r="AD2323">
        <v>-1.02943757</v>
      </c>
      <c r="AE2323">
        <v>-4.5258000000000003</v>
      </c>
      <c r="AF2323">
        <v>-4.2577471961950897</v>
      </c>
      <c r="AG2323">
        <v>-1.02943757</v>
      </c>
      <c r="AH2323">
        <v>22.0399818766819</v>
      </c>
      <c r="AI2323">
        <v>92.625735251585994</v>
      </c>
      <c r="AJ2323">
        <v>100.93387549012</v>
      </c>
      <c r="AK2323">
        <v>22.4710692674314</v>
      </c>
      <c r="AL2323">
        <v>89.356196196038496</v>
      </c>
      <c r="AM2323">
        <v>96.4363494379824</v>
      </c>
      <c r="AN2323">
        <v>1.00000002969728</v>
      </c>
    </row>
    <row r="2324" spans="1:40" x14ac:dyDescent="0.25">
      <c r="A2324" t="str">
        <f>"20190312151543395"</f>
        <v>20190312151543395</v>
      </c>
      <c r="B2324" t="str">
        <f>"1552374943389991"</f>
        <v>1552374943389991</v>
      </c>
      <c r="C2324" t="s">
        <v>40</v>
      </c>
      <c r="D2324">
        <v>4.2433319999999997</v>
      </c>
      <c r="E2324">
        <v>0.4888478</v>
      </c>
      <c r="F2324" t="s">
        <v>50</v>
      </c>
      <c r="G2324">
        <v>-475.15800000000002</v>
      </c>
      <c r="H2324" s="1">
        <v>3.8973279999999999E-6</v>
      </c>
      <c r="I2324">
        <v>279.70429999999999</v>
      </c>
      <c r="J2324">
        <v>-447.55610000000001</v>
      </c>
      <c r="K2324">
        <v>1.1094379999999999</v>
      </c>
      <c r="L2324">
        <v>283.97070000000002</v>
      </c>
      <c r="M2324">
        <v>-0.99987389999999998</v>
      </c>
      <c r="N2324">
        <v>0</v>
      </c>
      <c r="O2324">
        <v>-1.1833349999999999E-2</v>
      </c>
      <c r="P2324">
        <v>-0.99222840000000001</v>
      </c>
      <c r="Q2324">
        <v>5.1598249999999996E-4</v>
      </c>
      <c r="R2324">
        <v>-0.1244291</v>
      </c>
      <c r="S2324">
        <v>-2.966736</v>
      </c>
      <c r="T2324">
        <v>-0.1178932</v>
      </c>
      <c r="U2324">
        <v>-0.4537659</v>
      </c>
      <c r="V2324">
        <v>-0.11268010000000001</v>
      </c>
      <c r="W2324">
        <v>1.1026940000000001E-2</v>
      </c>
      <c r="X2324">
        <v>0.99357010000000001</v>
      </c>
      <c r="Y2324">
        <v>-0.13938610000000001</v>
      </c>
      <c r="Z2324">
        <v>-2.2851579999999998E-3</v>
      </c>
      <c r="AA2324">
        <v>0.99023550000000005</v>
      </c>
      <c r="AB2324">
        <v>31</v>
      </c>
      <c r="AC2324">
        <v>-27.601900000000001</v>
      </c>
      <c r="AD2324">
        <v>-1.1094341026719901</v>
      </c>
      <c r="AE2324">
        <v>-4.2664000000000302</v>
      </c>
      <c r="AF2324">
        <v>-3.93325382534479</v>
      </c>
      <c r="AG2324">
        <v>-1.1094341026719901</v>
      </c>
      <c r="AH2324">
        <v>27.606895750146201</v>
      </c>
      <c r="AI2324">
        <v>92.278315746883194</v>
      </c>
      <c r="AJ2324">
        <v>98.108565325576294</v>
      </c>
      <c r="AK2324">
        <v>27.907741267293598</v>
      </c>
      <c r="AL2324">
        <v>89.368190054290807</v>
      </c>
      <c r="AM2324">
        <v>96.4702300298528</v>
      </c>
      <c r="AN2324">
        <v>0.99999997097789095</v>
      </c>
    </row>
    <row r="2325" spans="1:40" x14ac:dyDescent="0.25">
      <c r="A2325" t="str">
        <f>"20190312151543418"</f>
        <v>20190312151543418</v>
      </c>
      <c r="B2325" t="str">
        <f>"1552374943409512"</f>
        <v>1552374943409512</v>
      </c>
      <c r="C2325" t="s">
        <v>40</v>
      </c>
      <c r="D2325">
        <v>4.2447679999999997</v>
      </c>
      <c r="E2325">
        <v>0.4884674</v>
      </c>
      <c r="F2325" t="s">
        <v>50</v>
      </c>
      <c r="G2325">
        <v>-474.69639999999998</v>
      </c>
      <c r="H2325" s="1">
        <v>4.1028589999999996E-6</v>
      </c>
      <c r="I2325">
        <v>279.71379999999999</v>
      </c>
      <c r="J2325">
        <v>-447.8716</v>
      </c>
      <c r="K2325">
        <v>1.1094329999999999</v>
      </c>
      <c r="L2325">
        <v>283.96690000000001</v>
      </c>
      <c r="M2325">
        <v>-0.99987289999999995</v>
      </c>
      <c r="N2325">
        <v>0</v>
      </c>
      <c r="O2325">
        <v>-1.192122E-2</v>
      </c>
      <c r="P2325">
        <v>-0.99213459999999998</v>
      </c>
      <c r="Q2325">
        <v>4.859148E-4</v>
      </c>
      <c r="R2325">
        <v>-0.12517590000000001</v>
      </c>
      <c r="S2325">
        <v>-2.9652400000000001</v>
      </c>
      <c r="T2325">
        <v>-0.12121220000000001</v>
      </c>
      <c r="U2325">
        <v>-0.4650879</v>
      </c>
      <c r="V2325">
        <v>-0.1133405</v>
      </c>
      <c r="W2325">
        <v>1.099785E-2</v>
      </c>
      <c r="X2325">
        <v>0.99349529999999997</v>
      </c>
      <c r="Y2325">
        <v>-0.1430565</v>
      </c>
      <c r="Z2325">
        <v>-2.4208960000000001E-3</v>
      </c>
      <c r="AA2325">
        <v>0.98971160000000002</v>
      </c>
      <c r="AB2325">
        <v>31</v>
      </c>
      <c r="AC2325">
        <v>-26.8247999999999</v>
      </c>
      <c r="AD2325">
        <v>-1.10942889714099</v>
      </c>
      <c r="AE2325">
        <v>-4.2531000000000097</v>
      </c>
      <c r="AF2325">
        <v>-3.9264439453631002</v>
      </c>
      <c r="AG2325">
        <v>-1.10942889714099</v>
      </c>
      <c r="AH2325">
        <v>26.828832906710499</v>
      </c>
      <c r="AI2325">
        <v>92.343021209702997</v>
      </c>
      <c r="AJ2325">
        <v>98.326221702840996</v>
      </c>
      <c r="AK2325">
        <v>27.137318763468201</v>
      </c>
      <c r="AL2325">
        <v>89.369856886744003</v>
      </c>
      <c r="AM2325">
        <v>96.508312406632001</v>
      </c>
      <c r="AN2325">
        <v>0.99999996638347999</v>
      </c>
    </row>
    <row r="2326" spans="1:40" x14ac:dyDescent="0.25">
      <c r="A2326" t="str">
        <f>"20190312151543440"</f>
        <v>20190312151543440</v>
      </c>
      <c r="B2326" t="str">
        <f>"1552374943430108"</f>
        <v>1552374943430108</v>
      </c>
      <c r="C2326" t="s">
        <v>40</v>
      </c>
      <c r="D2326">
        <v>4.2550239999999997</v>
      </c>
      <c r="E2326">
        <v>0.48851149999999999</v>
      </c>
      <c r="F2326" t="s">
        <v>50</v>
      </c>
      <c r="G2326">
        <v>-475.30290000000002</v>
      </c>
      <c r="H2326">
        <v>1.584114E-2</v>
      </c>
      <c r="I2326">
        <v>279.61610000000002</v>
      </c>
      <c r="J2326">
        <v>-448.18729999999999</v>
      </c>
      <c r="K2326">
        <v>1.109432</v>
      </c>
      <c r="L2326">
        <v>283.96300000000002</v>
      </c>
      <c r="M2326">
        <v>-0.99987179999999998</v>
      </c>
      <c r="N2326">
        <v>0</v>
      </c>
      <c r="O2326">
        <v>-1.200933E-2</v>
      </c>
      <c r="P2326">
        <v>-0.99206950000000005</v>
      </c>
      <c r="Q2326">
        <v>3.032442E-4</v>
      </c>
      <c r="R2326">
        <v>-0.12569130000000001</v>
      </c>
      <c r="S2326">
        <v>-2.9645079999999999</v>
      </c>
      <c r="T2326">
        <v>-0.1181849</v>
      </c>
      <c r="U2326">
        <v>-0.4701843</v>
      </c>
      <c r="V2326">
        <v>-0.113769</v>
      </c>
      <c r="W2326">
        <v>1.081762E-2</v>
      </c>
      <c r="X2326">
        <v>0.99344829999999995</v>
      </c>
      <c r="Y2326">
        <v>-0.14467070000000001</v>
      </c>
      <c r="Z2326">
        <v>-2.389221E-3</v>
      </c>
      <c r="AA2326">
        <v>0.98947700000000005</v>
      </c>
      <c r="AB2326">
        <v>31</v>
      </c>
      <c r="AC2326">
        <v>-27.115600000000001</v>
      </c>
      <c r="AD2326">
        <v>-1.0935908599999999</v>
      </c>
      <c r="AE2326">
        <v>-4.3468999999999403</v>
      </c>
      <c r="AF2326">
        <v>-4.01456170430321</v>
      </c>
      <c r="AG2326">
        <v>-1.0935908599999999</v>
      </c>
      <c r="AH2326">
        <v>27.122838954553401</v>
      </c>
      <c r="AI2326">
        <v>92.284053566472494</v>
      </c>
      <c r="AJ2326">
        <v>98.419451584396995</v>
      </c>
      <c r="AK2326">
        <v>27.440135560914602</v>
      </c>
      <c r="AL2326">
        <v>89.380183919277201</v>
      </c>
      <c r="AM2326">
        <v>96.533012105895907</v>
      </c>
      <c r="AN2326">
        <v>0.99999996551817605</v>
      </c>
    </row>
    <row r="2327" spans="1:40" x14ac:dyDescent="0.25">
      <c r="A2327" t="str">
        <f>"20190312151543463"</f>
        <v>20190312151543463</v>
      </c>
      <c r="B2327" t="str">
        <f>"1552374943460364"</f>
        <v>1552374943460364</v>
      </c>
      <c r="C2327" t="s">
        <v>40</v>
      </c>
      <c r="D2327">
        <v>4.2587970000000004</v>
      </c>
      <c r="E2327">
        <v>0.48885420000000002</v>
      </c>
      <c r="F2327" t="s">
        <v>50</v>
      </c>
      <c r="G2327">
        <v>-475.5222</v>
      </c>
      <c r="H2327">
        <v>2.7074109999999998E-2</v>
      </c>
      <c r="I2327">
        <v>279.61599999999999</v>
      </c>
      <c r="J2327">
        <v>-448.50639999999999</v>
      </c>
      <c r="K2327">
        <v>1.109432</v>
      </c>
      <c r="L2327">
        <v>283.95909999999998</v>
      </c>
      <c r="M2327">
        <v>-0.9998707</v>
      </c>
      <c r="N2327">
        <v>0</v>
      </c>
      <c r="O2327">
        <v>-1.20984E-2</v>
      </c>
      <c r="P2327">
        <v>-0.99204990000000004</v>
      </c>
      <c r="Q2327">
        <v>2.8982569999999998E-4</v>
      </c>
      <c r="R2327">
        <v>-0.1258464</v>
      </c>
      <c r="S2327">
        <v>-2.9642940000000002</v>
      </c>
      <c r="T2327">
        <v>-0.1173747</v>
      </c>
      <c r="U2327">
        <v>-0.47140500000000002</v>
      </c>
      <c r="V2327">
        <v>-0.1138358</v>
      </c>
      <c r="W2327">
        <v>1.0808079999999999E-2</v>
      </c>
      <c r="X2327">
        <v>0.99344080000000001</v>
      </c>
      <c r="Y2327">
        <v>-0.14499229999999999</v>
      </c>
      <c r="Z2327">
        <v>-2.3757679999999999E-3</v>
      </c>
      <c r="AA2327">
        <v>0.98943000000000003</v>
      </c>
      <c r="AB2327">
        <v>32</v>
      </c>
      <c r="AC2327">
        <v>-27.015799999999999</v>
      </c>
      <c r="AD2327">
        <v>-1.0823578899999999</v>
      </c>
      <c r="AE2327">
        <v>-4.34309999999999</v>
      </c>
      <c r="AF2327">
        <v>-4.0096420113833</v>
      </c>
      <c r="AG2327">
        <v>-1.0823578899999999</v>
      </c>
      <c r="AH2327">
        <v>27.024086082364601</v>
      </c>
      <c r="AI2327">
        <v>92.268751379922605</v>
      </c>
      <c r="AJ2327">
        <v>98.439569361329504</v>
      </c>
      <c r="AK2327">
        <v>27.341359809792699</v>
      </c>
      <c r="AL2327">
        <v>89.380730582722407</v>
      </c>
      <c r="AM2327">
        <v>96.536863727298595</v>
      </c>
      <c r="AN2327">
        <v>1.00000001352978</v>
      </c>
    </row>
    <row r="2328" spans="1:40" x14ac:dyDescent="0.25">
      <c r="A2328" t="str">
        <f>"20190312151543485"</f>
        <v>20190312151543485</v>
      </c>
      <c r="B2328" t="str">
        <f>"1552374943479896"</f>
        <v>1552374943479896</v>
      </c>
      <c r="C2328" t="s">
        <v>40</v>
      </c>
      <c r="D2328">
        <v>4.2534749999999999</v>
      </c>
      <c r="E2328">
        <v>0.48900300000000002</v>
      </c>
      <c r="F2328" t="s">
        <v>50</v>
      </c>
      <c r="G2328">
        <v>-475.94499999999999</v>
      </c>
      <c r="H2328">
        <v>1.8243889999999999E-2</v>
      </c>
      <c r="I2328">
        <v>279.61579999999998</v>
      </c>
      <c r="J2328">
        <v>-448.8254</v>
      </c>
      <c r="K2328">
        <v>1.109434</v>
      </c>
      <c r="L2328">
        <v>283.95510000000002</v>
      </c>
      <c r="M2328">
        <v>-0.99986949999999997</v>
      </c>
      <c r="N2328">
        <v>0</v>
      </c>
      <c r="O2328">
        <v>-1.2186890000000001E-2</v>
      </c>
      <c r="P2328">
        <v>-0.99200710000000003</v>
      </c>
      <c r="Q2328">
        <v>4.676813E-4</v>
      </c>
      <c r="R2328">
        <v>-0.1261825</v>
      </c>
      <c r="S2328">
        <v>-2.9645389999999998</v>
      </c>
      <c r="T2328">
        <v>-0.117894899999999</v>
      </c>
      <c r="U2328">
        <v>-0.46926879999999999</v>
      </c>
      <c r="V2328">
        <v>-0.1140843</v>
      </c>
      <c r="W2328">
        <v>1.099261E-2</v>
      </c>
      <c r="X2328">
        <v>0.99341029999999997</v>
      </c>
      <c r="Y2328">
        <v>-0.1441963</v>
      </c>
      <c r="Z2328">
        <v>-2.3670119999999999E-3</v>
      </c>
      <c r="AA2328">
        <v>0.98954629999999999</v>
      </c>
      <c r="AB2328">
        <v>32</v>
      </c>
      <c r="AC2328">
        <v>-27.119599999999899</v>
      </c>
      <c r="AD2328">
        <v>-1.0911901100000001</v>
      </c>
      <c r="AE2328">
        <v>-4.3393000000000299</v>
      </c>
      <c r="AF2328">
        <v>-4.0021380135708302</v>
      </c>
      <c r="AG2328">
        <v>-1.0911901100000001</v>
      </c>
      <c r="AH2328">
        <v>27.127649273293599</v>
      </c>
      <c r="AI2328">
        <v>92.278800398261097</v>
      </c>
      <c r="AJ2328">
        <v>98.392300837977203</v>
      </c>
      <c r="AK2328">
        <v>27.4429801521384</v>
      </c>
      <c r="AL2328">
        <v>89.370157184031697</v>
      </c>
      <c r="AM2328">
        <v>96.5512089729976</v>
      </c>
      <c r="AN2328">
        <v>1.0000000445635899</v>
      </c>
    </row>
    <row r="2329" spans="1:40" x14ac:dyDescent="0.25">
      <c r="A2329" t="str">
        <f>"20190312151543507"</f>
        <v>20190312151543507</v>
      </c>
      <c r="B2329" t="str">
        <f>"1552374943499405"</f>
        <v>1552374943499405</v>
      </c>
      <c r="C2329" t="s">
        <v>40</v>
      </c>
      <c r="D2329">
        <v>4.3831730000000002</v>
      </c>
      <c r="E2329">
        <v>0.4889232</v>
      </c>
      <c r="F2329" t="s">
        <v>50</v>
      </c>
      <c r="G2329">
        <v>-476.32560000000001</v>
      </c>
      <c r="H2329">
        <v>1.1863540000000001E-2</v>
      </c>
      <c r="I2329">
        <v>279.6046</v>
      </c>
      <c r="J2329">
        <v>-449.12610000000001</v>
      </c>
      <c r="K2329">
        <v>1.1094299999999999</v>
      </c>
      <c r="L2329">
        <v>283.95139999999998</v>
      </c>
      <c r="M2329">
        <v>-0.99986830000000004</v>
      </c>
      <c r="N2329">
        <v>0</v>
      </c>
      <c r="O2329">
        <v>-1.2270629999999999E-2</v>
      </c>
      <c r="P2329">
        <v>-0.9920312</v>
      </c>
      <c r="Q2329">
        <v>2.882518E-4</v>
      </c>
      <c r="R2329">
        <v>-0.12599169999999901</v>
      </c>
      <c r="S2329">
        <v>-2.964569</v>
      </c>
      <c r="T2329">
        <v>-0.1183203</v>
      </c>
      <c r="U2329">
        <v>-0.46899410000000002</v>
      </c>
      <c r="V2329">
        <v>-0.1138107</v>
      </c>
      <c r="W2329">
        <v>1.082525E-2</v>
      </c>
      <c r="X2329">
        <v>0.99344350000000003</v>
      </c>
      <c r="Y2329">
        <v>-0.14402190000000001</v>
      </c>
      <c r="Z2329">
        <v>-2.3687640000000002E-3</v>
      </c>
      <c r="AA2329">
        <v>0.98957169999999905</v>
      </c>
      <c r="AB2329">
        <v>32</v>
      </c>
      <c r="AC2329">
        <v>-27.1995</v>
      </c>
      <c r="AD2329">
        <v>-1.0975664599999999</v>
      </c>
      <c r="AE2329">
        <v>-4.3467999999999698</v>
      </c>
      <c r="AF2329">
        <v>-4.0063377385276899</v>
      </c>
      <c r="AG2329">
        <v>-1.0975664599999999</v>
      </c>
      <c r="AH2329">
        <v>27.207593611904301</v>
      </c>
      <c r="AI2329">
        <v>92.285466539067698</v>
      </c>
      <c r="AJ2329">
        <v>98.376647918626105</v>
      </c>
      <c r="AK2329">
        <v>27.5228731123734</v>
      </c>
      <c r="AL2329">
        <v>89.379746763501302</v>
      </c>
      <c r="AM2329">
        <v>96.535417256754201</v>
      </c>
      <c r="AN2329">
        <v>1.0000000245821501</v>
      </c>
    </row>
    <row r="2330" spans="1:40" x14ac:dyDescent="0.25">
      <c r="A2330" t="str">
        <f>"20190312151543529"</f>
        <v>20190312151543529</v>
      </c>
      <c r="B2330" t="str">
        <f>"1552374943519901"</f>
        <v>1552374943519901</v>
      </c>
      <c r="C2330" t="s">
        <v>40</v>
      </c>
      <c r="D2330">
        <v>4.2379089999999904</v>
      </c>
      <c r="E2330">
        <v>0.48920560000000002</v>
      </c>
      <c r="F2330" t="s">
        <v>50</v>
      </c>
      <c r="G2330">
        <v>-476.60680000000002</v>
      </c>
      <c r="H2330" s="1">
        <v>3.245487E-6</v>
      </c>
      <c r="I2330">
        <v>279.6037</v>
      </c>
      <c r="J2330">
        <v>-449.4452</v>
      </c>
      <c r="K2330">
        <v>1.1094299999999999</v>
      </c>
      <c r="L2330">
        <v>283.94740000000002</v>
      </c>
      <c r="M2330">
        <v>-0.99986699999999995</v>
      </c>
      <c r="N2330">
        <v>0</v>
      </c>
      <c r="O2330">
        <v>-1.2359520000000001E-2</v>
      </c>
      <c r="P2330">
        <v>-0.99202380000000001</v>
      </c>
      <c r="Q2330">
        <v>-1.8460960000000001E-4</v>
      </c>
      <c r="R2330">
        <v>-0.1260512</v>
      </c>
      <c r="S2330">
        <v>-2.964569</v>
      </c>
      <c r="T2330">
        <v>-0.11968289999999999</v>
      </c>
      <c r="U2330">
        <v>-0.46902470000000002</v>
      </c>
      <c r="V2330">
        <v>-0.1137814</v>
      </c>
      <c r="W2330">
        <v>1.0367029999999999E-2</v>
      </c>
      <c r="X2330">
        <v>0.99345170000000005</v>
      </c>
      <c r="Y2330">
        <v>-0.1439416</v>
      </c>
      <c r="Z2330">
        <v>-2.3908449999999999E-3</v>
      </c>
      <c r="AA2330">
        <v>0.98958330000000005</v>
      </c>
      <c r="AB2330">
        <v>32</v>
      </c>
      <c r="AC2330">
        <v>-27.1616</v>
      </c>
      <c r="AD2330">
        <v>-1.1094267545130001</v>
      </c>
      <c r="AE2330">
        <v>-4.3437000000000099</v>
      </c>
      <c r="AF2330">
        <v>-4.0011360123476898</v>
      </c>
      <c r="AG2330">
        <v>-1.1094267545130001</v>
      </c>
      <c r="AH2330">
        <v>27.169017154426999</v>
      </c>
      <c r="AI2330">
        <v>92.313407321007602</v>
      </c>
      <c r="AJ2330">
        <v>98.377635974030994</v>
      </c>
      <c r="AK2330">
        <v>27.484457612448601</v>
      </c>
      <c r="AL2330">
        <v>89.406002283446796</v>
      </c>
      <c r="AM2330">
        <v>96.533695832730302</v>
      </c>
      <c r="AN2330">
        <v>0.99999998126493495</v>
      </c>
    </row>
    <row r="2331" spans="1:40" x14ac:dyDescent="0.25">
      <c r="A2331" t="str">
        <f>"20190312151543552"</f>
        <v>20190312151543552</v>
      </c>
      <c r="B2331" t="str">
        <f>"1552374943539420"</f>
        <v>1552374943539420</v>
      </c>
      <c r="C2331" t="s">
        <v>40</v>
      </c>
      <c r="D2331">
        <v>4.509995</v>
      </c>
      <c r="E2331">
        <v>0.48944890000000002</v>
      </c>
      <c r="F2331" t="s">
        <v>50</v>
      </c>
      <c r="G2331">
        <v>-476.2824</v>
      </c>
      <c r="H2331" s="1">
        <v>3.400037E-6</v>
      </c>
      <c r="I2331">
        <v>279.71949999999998</v>
      </c>
      <c r="J2331">
        <v>-449.76100000000002</v>
      </c>
      <c r="K2331">
        <v>1.1094280000000001</v>
      </c>
      <c r="L2331">
        <v>283.9434</v>
      </c>
      <c r="M2331">
        <v>-0.99986580000000003</v>
      </c>
      <c r="N2331">
        <v>0</v>
      </c>
      <c r="O2331">
        <v>-1.2447099999999999E-2</v>
      </c>
      <c r="P2331">
        <v>-0.99198609999999998</v>
      </c>
      <c r="Q2331">
        <v>1.7148439999999999E-4</v>
      </c>
      <c r="R2331">
        <v>-0.1263483</v>
      </c>
      <c r="S2331">
        <v>-2.9647830000000002</v>
      </c>
      <c r="T2331">
        <v>-0.1225617</v>
      </c>
      <c r="U2331">
        <v>-0.46707149999999997</v>
      </c>
      <c r="V2331">
        <v>-0.1139922</v>
      </c>
      <c r="W2331">
        <v>1.0736559999999999E-2</v>
      </c>
      <c r="X2331">
        <v>0.99342359999999996</v>
      </c>
      <c r="Y2331">
        <v>-0.14320339999999901</v>
      </c>
      <c r="Z2331">
        <v>-2.4295020000000001E-3</v>
      </c>
      <c r="AA2331">
        <v>0.98969030000000002</v>
      </c>
      <c r="AB2331">
        <v>32</v>
      </c>
      <c r="AC2331">
        <v>-26.5214</v>
      </c>
      <c r="AD2331">
        <v>-1.1094245999629999</v>
      </c>
      <c r="AE2331">
        <v>-4.2239000000000102</v>
      </c>
      <c r="AF2331">
        <v>-3.8868063907589798</v>
      </c>
      <c r="AG2331">
        <v>-1.1094245999629999</v>
      </c>
      <c r="AH2331">
        <v>26.526653888397998</v>
      </c>
      <c r="AI2331">
        <v>92.369613693058</v>
      </c>
      <c r="AJ2331">
        <v>98.335920981451096</v>
      </c>
      <c r="AK2331">
        <v>26.832842812067302</v>
      </c>
      <c r="AL2331">
        <v>89.384828589178994</v>
      </c>
      <c r="AM2331">
        <v>96.545879239940902</v>
      </c>
      <c r="AN2331">
        <v>0.99999997220921599</v>
      </c>
    </row>
    <row r="2332" spans="1:40" x14ac:dyDescent="0.25">
      <c r="A2332" t="str">
        <f>"20190312151543574"</f>
        <v>20190312151543574</v>
      </c>
      <c r="B2332" t="str">
        <f>"1552374943569681"</f>
        <v>1552374943569681</v>
      </c>
      <c r="C2332" t="s">
        <v>40</v>
      </c>
      <c r="D2332">
        <v>4.2498529999999999</v>
      </c>
      <c r="E2332">
        <v>0.48976710000000001</v>
      </c>
      <c r="F2332" t="s">
        <v>50</v>
      </c>
      <c r="G2332">
        <v>-477.00209999999998</v>
      </c>
      <c r="H2332" s="1">
        <v>3.0756490000000001E-6</v>
      </c>
      <c r="I2332">
        <v>279.65960000000001</v>
      </c>
      <c r="J2332">
        <v>-450.08109999999999</v>
      </c>
      <c r="K2332">
        <v>1.109426</v>
      </c>
      <c r="L2332">
        <v>283.9393</v>
      </c>
      <c r="M2332">
        <v>-0.99986459999999999</v>
      </c>
      <c r="N2332">
        <v>0</v>
      </c>
      <c r="O2332">
        <v>-1.25361E-2</v>
      </c>
      <c r="P2332">
        <v>-0.99197150000000001</v>
      </c>
      <c r="Q2332">
        <v>3.7456579999999999E-4</v>
      </c>
      <c r="R2332">
        <v>-0.1264614</v>
      </c>
      <c r="S2332">
        <v>-2.9649049999999999</v>
      </c>
      <c r="T2332">
        <v>-0.1207495</v>
      </c>
      <c r="U2332">
        <v>-0.46624759999999998</v>
      </c>
      <c r="V2332">
        <v>-0.11401699999999999</v>
      </c>
      <c r="W2332">
        <v>1.095399E-2</v>
      </c>
      <c r="X2332">
        <v>0.99341840000000003</v>
      </c>
      <c r="Y2332">
        <v>-0.14284430000000001</v>
      </c>
      <c r="Z2332">
        <v>-2.382697E-3</v>
      </c>
      <c r="AA2332">
        <v>0.98974229999999996</v>
      </c>
      <c r="AB2332">
        <v>32</v>
      </c>
      <c r="AC2332">
        <v>-26.9209999999999</v>
      </c>
      <c r="AD2332">
        <v>-1.1094229243510001</v>
      </c>
      <c r="AE2332">
        <v>-4.2796999999999903</v>
      </c>
      <c r="AF2332">
        <v>-3.9353415277583101</v>
      </c>
      <c r="AG2332">
        <v>-1.1094229243510001</v>
      </c>
      <c r="AH2332">
        <v>26.9279339072155</v>
      </c>
      <c r="AI2332">
        <v>92.334464865408194</v>
      </c>
      <c r="AJ2332">
        <v>98.314543318622597</v>
      </c>
      <c r="AK2332">
        <v>27.236581222255801</v>
      </c>
      <c r="AL2332">
        <v>89.372370047069793</v>
      </c>
      <c r="AM2332">
        <v>96.547324963363195</v>
      </c>
      <c r="AN2332">
        <v>0.99999999182223998</v>
      </c>
    </row>
    <row r="2333" spans="1:40" x14ac:dyDescent="0.25">
      <c r="A2333" t="str">
        <f>"20190312151543590"</f>
        <v>20190312151543590</v>
      </c>
      <c r="B2333" t="str">
        <f>"1552374943579436"</f>
        <v>1552374943579436</v>
      </c>
      <c r="C2333" t="s">
        <v>40</v>
      </c>
      <c r="D2333">
        <v>4.2505050000000004</v>
      </c>
      <c r="E2333">
        <v>0.48985020000000001</v>
      </c>
      <c r="F2333" t="s">
        <v>50</v>
      </c>
      <c r="G2333">
        <v>-477.3766</v>
      </c>
      <c r="H2333" s="1">
        <v>2.9103529999999999E-6</v>
      </c>
      <c r="I2333">
        <v>279.66840000000002</v>
      </c>
      <c r="J2333">
        <v>-450.31060000000002</v>
      </c>
      <c r="K2333">
        <v>1.109429</v>
      </c>
      <c r="L2333">
        <v>283.93639999999999</v>
      </c>
      <c r="M2333">
        <v>-0.99986370000000002</v>
      </c>
      <c r="N2333">
        <v>0</v>
      </c>
      <c r="O2333">
        <v>-1.259995E-2</v>
      </c>
      <c r="P2333">
        <v>-0.99195120000000003</v>
      </c>
      <c r="Q2333">
        <v>2.0990059999999999E-4</v>
      </c>
      <c r="R2333">
        <v>-0.12662080000000001</v>
      </c>
      <c r="S2333">
        <v>-2.9651489999999998</v>
      </c>
      <c r="T2333">
        <v>-0.12051829999999999</v>
      </c>
      <c r="U2333">
        <v>-0.4639587</v>
      </c>
      <c r="V2333">
        <v>-0.1141129</v>
      </c>
      <c r="W2333">
        <v>1.080236E-2</v>
      </c>
      <c r="X2333">
        <v>0.99340899999999999</v>
      </c>
      <c r="Y2333">
        <v>-0.14202400000000001</v>
      </c>
      <c r="Z2333">
        <v>-2.3589470000000001E-3</v>
      </c>
      <c r="AA2333">
        <v>0.98986039999999997</v>
      </c>
      <c r="AB2333">
        <v>32</v>
      </c>
      <c r="AC2333">
        <v>-27.065999999999899</v>
      </c>
      <c r="AD2333">
        <v>-1.1094260896470001</v>
      </c>
      <c r="AE2333">
        <v>-4.2679999999999696</v>
      </c>
      <c r="AF2333">
        <v>-3.9201847977775302</v>
      </c>
      <c r="AG2333">
        <v>-1.1094260896470001</v>
      </c>
      <c r="AH2333">
        <v>27.073247290516498</v>
      </c>
      <c r="AI2333">
        <v>92.322399395342103</v>
      </c>
      <c r="AJ2333">
        <v>98.239119342134202</v>
      </c>
      <c r="AK2333">
        <v>27.378082364376301</v>
      </c>
      <c r="AL2333">
        <v>89.381058290119398</v>
      </c>
      <c r="AM2333">
        <v>96.552845525916396</v>
      </c>
      <c r="AN2333">
        <v>0.99999994310448803</v>
      </c>
    </row>
    <row r="2334" spans="1:40" x14ac:dyDescent="0.25">
      <c r="A2334" t="str">
        <f>"20190312151543607"</f>
        <v>20190312151543607</v>
      </c>
      <c r="B2334" t="str">
        <f>"1552374943599932"</f>
        <v>1552374943599932</v>
      </c>
      <c r="C2334" t="s">
        <v>40</v>
      </c>
      <c r="D2334">
        <v>4.2457269999999996</v>
      </c>
      <c r="E2334">
        <v>0.48977860000000001</v>
      </c>
      <c r="F2334" t="s">
        <v>50</v>
      </c>
      <c r="G2334">
        <v>-477.7321</v>
      </c>
      <c r="H2334" s="1">
        <v>2.7507850000000002E-6</v>
      </c>
      <c r="I2334">
        <v>279.64690000000002</v>
      </c>
      <c r="J2334">
        <v>-450.54770000000002</v>
      </c>
      <c r="K2334">
        <v>1.109432</v>
      </c>
      <c r="L2334">
        <v>283.93329999999997</v>
      </c>
      <c r="M2334">
        <v>-0.99986260000000005</v>
      </c>
      <c r="N2334">
        <v>0</v>
      </c>
      <c r="O2334">
        <v>-1.2666190000000001E-2</v>
      </c>
      <c r="P2334">
        <v>-0.9919116</v>
      </c>
      <c r="Q2334" s="1">
        <v>7.0472250000000003E-5</v>
      </c>
      <c r="R2334">
        <v>-0.1269304</v>
      </c>
      <c r="S2334">
        <v>-2.965179</v>
      </c>
      <c r="T2334">
        <v>-0.119966</v>
      </c>
      <c r="U2334">
        <v>-0.46383669999999999</v>
      </c>
      <c r="V2334">
        <v>-0.114357</v>
      </c>
      <c r="W2334">
        <v>1.0677910000000001E-2</v>
      </c>
      <c r="X2334">
        <v>0.99338230000000005</v>
      </c>
      <c r="Y2334">
        <v>-0.14191809999999999</v>
      </c>
      <c r="Z2334">
        <v>-2.3433400000000002E-3</v>
      </c>
      <c r="AA2334">
        <v>0.98987559999999997</v>
      </c>
      <c r="AB2334">
        <v>32</v>
      </c>
      <c r="AC2334">
        <v>-27.184399999999901</v>
      </c>
      <c r="AD2334">
        <v>-1.109429249215</v>
      </c>
      <c r="AE2334">
        <v>-4.2863999999999498</v>
      </c>
      <c r="AF2334">
        <v>-3.93531815297293</v>
      </c>
      <c r="AG2334">
        <v>-1.109429249215</v>
      </c>
      <c r="AH2334">
        <v>27.192322827131299</v>
      </c>
      <c r="AI2334">
        <v>92.312272615049594</v>
      </c>
      <c r="AJ2334">
        <v>98.234767412420993</v>
      </c>
      <c r="AK2334">
        <v>27.497999617409601</v>
      </c>
      <c r="AL2334">
        <v>89.388189176552999</v>
      </c>
      <c r="AM2334">
        <v>96.566915438661894</v>
      </c>
      <c r="AN2334">
        <v>0.99999996758212795</v>
      </c>
    </row>
    <row r="2335" spans="1:40" x14ac:dyDescent="0.25">
      <c r="A2335" t="str">
        <f>"20190312151543631"</f>
        <v>20190312151543631</v>
      </c>
      <c r="B2335" t="str">
        <f>"1552374943619452"</f>
        <v>1552374943619452</v>
      </c>
      <c r="C2335" t="s">
        <v>40</v>
      </c>
      <c r="D2335">
        <v>4.2462710000000001</v>
      </c>
      <c r="E2335">
        <v>0.4896605</v>
      </c>
      <c r="F2335" t="s">
        <v>50</v>
      </c>
      <c r="G2335">
        <v>-477.58580000000001</v>
      </c>
      <c r="H2335" s="1">
        <v>2.8194979999999998E-6</v>
      </c>
      <c r="I2335">
        <v>279.69060000000002</v>
      </c>
      <c r="J2335">
        <v>-450.87310000000002</v>
      </c>
      <c r="K2335">
        <v>1.1094329999999999</v>
      </c>
      <c r="L2335">
        <v>283.92910000000001</v>
      </c>
      <c r="M2335">
        <v>-0.99986120000000001</v>
      </c>
      <c r="N2335">
        <v>0</v>
      </c>
      <c r="O2335">
        <v>-1.275714E-2</v>
      </c>
      <c r="P2335">
        <v>-0.99189879999999997</v>
      </c>
      <c r="Q2335">
        <v>1.150584E-4</v>
      </c>
      <c r="R2335">
        <v>-0.1270309</v>
      </c>
      <c r="S2335">
        <v>-2.9649049999999999</v>
      </c>
      <c r="T2335">
        <v>-0.1216559</v>
      </c>
      <c r="U2335">
        <v>-0.4652405</v>
      </c>
      <c r="V2335">
        <v>-0.11436780000000001</v>
      </c>
      <c r="W2335">
        <v>1.0744190000000001E-2</v>
      </c>
      <c r="X2335">
        <v>0.99338040000000005</v>
      </c>
      <c r="Y2335">
        <v>-0.14229629999999999</v>
      </c>
      <c r="Z2335">
        <v>-2.3804569999999999E-3</v>
      </c>
      <c r="AA2335">
        <v>0.98982130000000002</v>
      </c>
      <c r="AB2335">
        <v>32</v>
      </c>
      <c r="AC2335">
        <v>-26.712699999999899</v>
      </c>
      <c r="AD2335">
        <v>-1.1094301805019999</v>
      </c>
      <c r="AE2335">
        <v>-4.2384999999999797</v>
      </c>
      <c r="AF2335">
        <v>-3.89081137436159</v>
      </c>
      <c r="AG2335">
        <v>-1.1094301805019999</v>
      </c>
      <c r="AH2335">
        <v>26.7196433102316</v>
      </c>
      <c r="AI2335">
        <v>92.352834994854902</v>
      </c>
      <c r="AJ2335">
        <v>98.284959588042</v>
      </c>
      <c r="AK2335">
        <v>27.0242222293681</v>
      </c>
      <c r="AL2335">
        <v>89.384391429774894</v>
      </c>
      <c r="AM2335">
        <v>96.5675426591785</v>
      </c>
      <c r="AN2335">
        <v>1.00000002519987</v>
      </c>
    </row>
    <row r="2336" spans="1:40" x14ac:dyDescent="0.25">
      <c r="A2336" t="str">
        <f>"20190312151543653"</f>
        <v>20190312151543653</v>
      </c>
      <c r="B2336" t="str">
        <f>"1552374943649710"</f>
        <v>1552374943649710</v>
      </c>
      <c r="C2336" t="s">
        <v>40</v>
      </c>
      <c r="D2336">
        <v>4.2293859999999999</v>
      </c>
      <c r="E2336">
        <v>0.48958590000000002</v>
      </c>
      <c r="F2336" t="s">
        <v>50</v>
      </c>
      <c r="G2336">
        <v>-477.2826</v>
      </c>
      <c r="H2336" s="1">
        <v>2.961286E-6</v>
      </c>
      <c r="I2336">
        <v>279.77449999999999</v>
      </c>
      <c r="J2336">
        <v>-451.1961</v>
      </c>
      <c r="K2336">
        <v>1.1094329999999999</v>
      </c>
      <c r="L2336">
        <v>283.92489999999998</v>
      </c>
      <c r="M2336">
        <v>-0.99985990000000002</v>
      </c>
      <c r="N2336">
        <v>0</v>
      </c>
      <c r="O2336">
        <v>-1.284714E-2</v>
      </c>
      <c r="P2336">
        <v>-0.99184139999999998</v>
      </c>
      <c r="Q2336">
        <v>2.5622919999999998E-4</v>
      </c>
      <c r="R2336">
        <v>-0.1274795</v>
      </c>
      <c r="S2336">
        <v>-2.9648129999999999</v>
      </c>
      <c r="T2336">
        <v>-0.12454800000000001</v>
      </c>
      <c r="U2336">
        <v>-0.46640009999999998</v>
      </c>
      <c r="V2336">
        <v>-0.1147271</v>
      </c>
      <c r="W2336">
        <v>1.0904870000000001E-2</v>
      </c>
      <c r="X2336">
        <v>0.99333720000000003</v>
      </c>
      <c r="Y2336">
        <v>-0.1425845</v>
      </c>
      <c r="Z2336">
        <v>-2.4392580000000001E-3</v>
      </c>
      <c r="AA2336">
        <v>0.98977969999999904</v>
      </c>
      <c r="AB2336">
        <v>32</v>
      </c>
      <c r="AC2336">
        <v>-26.086500000000001</v>
      </c>
      <c r="AD2336">
        <v>-1.1094300387139999</v>
      </c>
      <c r="AE2336">
        <v>-4.1503999999999897</v>
      </c>
      <c r="AF2336">
        <v>-3.8081833876617801</v>
      </c>
      <c r="AG2336">
        <v>-1.1094300387139999</v>
      </c>
      <c r="AH2336">
        <v>26.0916436845561</v>
      </c>
      <c r="AI2336">
        <v>92.409282991438204</v>
      </c>
      <c r="AJ2336">
        <v>98.303922364836794</v>
      </c>
      <c r="AK2336">
        <v>26.391418413694701</v>
      </c>
      <c r="AL2336">
        <v>89.375184594175394</v>
      </c>
      <c r="AM2336">
        <v>96.5882782693172</v>
      </c>
      <c r="AN2336">
        <v>1.0000000082839799</v>
      </c>
    </row>
    <row r="2337" spans="1:40" x14ac:dyDescent="0.25">
      <c r="A2337" t="str">
        <f>"20190312151543685"</f>
        <v>20190312151543685</v>
      </c>
      <c r="B2337" t="str">
        <f>"1552374943679968"</f>
        <v>1552374943679968</v>
      </c>
      <c r="C2337" t="s">
        <v>40</v>
      </c>
      <c r="D2337">
        <v>4.2699860000000003</v>
      </c>
      <c r="E2337">
        <v>0.48961300000000002</v>
      </c>
      <c r="F2337" t="s">
        <v>50</v>
      </c>
      <c r="G2337">
        <v>-477.32819999999998</v>
      </c>
      <c r="H2337" s="1">
        <v>2.9428099999999999E-6</v>
      </c>
      <c r="I2337">
        <v>279.79430000000002</v>
      </c>
      <c r="J2337">
        <v>-451.65989999999999</v>
      </c>
      <c r="K2337">
        <v>1.1094310000000001</v>
      </c>
      <c r="L2337">
        <v>283.91879999999998</v>
      </c>
      <c r="M2337">
        <v>-0.99985800000000002</v>
      </c>
      <c r="N2337">
        <v>0</v>
      </c>
      <c r="O2337">
        <v>-1.297591E-2</v>
      </c>
      <c r="P2337">
        <v>-0.99182400000000004</v>
      </c>
      <c r="Q2337">
        <v>2.137981E-4</v>
      </c>
      <c r="R2337">
        <v>-0.12761539999999999</v>
      </c>
      <c r="S2337">
        <v>-2.9645079999999999</v>
      </c>
      <c r="T2337">
        <v>-0.1258572</v>
      </c>
      <c r="U2337">
        <v>-0.4685974</v>
      </c>
      <c r="V2337">
        <v>-0.1147357</v>
      </c>
      <c r="W2337">
        <v>1.088914E-2</v>
      </c>
      <c r="X2337">
        <v>0.99333640000000001</v>
      </c>
      <c r="Y2337">
        <v>-0.1431857</v>
      </c>
      <c r="Z2337">
        <v>-2.4722350000000001E-3</v>
      </c>
      <c r="AA2337">
        <v>0.98969269999999998</v>
      </c>
      <c r="AB2337">
        <v>32</v>
      </c>
      <c r="AC2337">
        <v>-25.668299999999899</v>
      </c>
      <c r="AD2337">
        <v>-1.1094280571899999</v>
      </c>
      <c r="AE2337">
        <v>-4.1244999999999497</v>
      </c>
      <c r="AF2337">
        <v>-3.7841725649523599</v>
      </c>
      <c r="AG2337">
        <v>-1.1094280571899999</v>
      </c>
      <c r="AH2337">
        <v>25.672908094063501</v>
      </c>
      <c r="AI2337">
        <v>92.448020097891003</v>
      </c>
      <c r="AJ2337">
        <v>98.384988581534898</v>
      </c>
      <c r="AK2337">
        <v>25.974006287472299</v>
      </c>
      <c r="AL2337">
        <v>89.376085923154307</v>
      </c>
      <c r="AM2337">
        <v>96.588773047405098</v>
      </c>
      <c r="AN2337">
        <v>1.00000002889469</v>
      </c>
    </row>
    <row r="2338" spans="1:40" x14ac:dyDescent="0.25">
      <c r="A2338" t="str">
        <f>"20190312151543708"</f>
        <v>20190312151543708</v>
      </c>
      <c r="B2338" t="str">
        <f>"1552374943699485"</f>
        <v>1552374943699485</v>
      </c>
      <c r="C2338" t="s">
        <v>40</v>
      </c>
      <c r="D2338">
        <v>4.2685839999999997</v>
      </c>
      <c r="E2338">
        <v>0.48945420000000001</v>
      </c>
      <c r="F2338" t="s">
        <v>50</v>
      </c>
      <c r="G2338">
        <v>-478.0813</v>
      </c>
      <c r="H2338" s="1">
        <v>2.6043350000000001E-6</v>
      </c>
      <c r="I2338">
        <v>279.74259999999998</v>
      </c>
      <c r="J2338">
        <v>-451.97609999999997</v>
      </c>
      <c r="K2338">
        <v>1.1094310000000001</v>
      </c>
      <c r="L2338">
        <v>283.91460000000001</v>
      </c>
      <c r="M2338">
        <v>-0.99985670000000004</v>
      </c>
      <c r="N2338">
        <v>0</v>
      </c>
      <c r="O2338">
        <v>-1.3063379999999999E-2</v>
      </c>
      <c r="P2338">
        <v>-0.99179280000000003</v>
      </c>
      <c r="Q2338">
        <v>1.228247E-4</v>
      </c>
      <c r="R2338">
        <v>-0.127857</v>
      </c>
      <c r="S2338">
        <v>-2.9644780000000002</v>
      </c>
      <c r="T2338">
        <v>-0.12447809999999999</v>
      </c>
      <c r="U2338">
        <v>-0.46856690000000001</v>
      </c>
      <c r="V2338">
        <v>-0.1148907</v>
      </c>
      <c r="W2338">
        <v>1.081381E-2</v>
      </c>
      <c r="X2338">
        <v>0.99331930000000002</v>
      </c>
      <c r="Y2338">
        <v>-0.14309340000000001</v>
      </c>
      <c r="Z2338">
        <v>-2.4396230000000001E-3</v>
      </c>
      <c r="AA2338">
        <v>0.98970619999999998</v>
      </c>
      <c r="AB2338">
        <v>32</v>
      </c>
      <c r="AC2338">
        <v>-26.1052</v>
      </c>
      <c r="AD2338">
        <v>-1.109428395665</v>
      </c>
      <c r="AE2338">
        <v>-4.1720000000000201</v>
      </c>
      <c r="AF2338">
        <v>-3.8238677170375701</v>
      </c>
      <c r="AG2338">
        <v>-1.109428395665</v>
      </c>
      <c r="AH2338">
        <v>26.111490032553501</v>
      </c>
      <c r="AI2338">
        <v>92.407281823135193</v>
      </c>
      <c r="AJ2338">
        <v>98.331394829349904</v>
      </c>
      <c r="AK2338">
        <v>26.413305499362501</v>
      </c>
      <c r="AL2338">
        <v>89.380402263719006</v>
      </c>
      <c r="AM2338">
        <v>96.597708179775694</v>
      </c>
      <c r="AN2338">
        <v>1.00000002159284</v>
      </c>
    </row>
    <row r="2339" spans="1:40" x14ac:dyDescent="0.25">
      <c r="A2339" t="str">
        <f>"20190312151543730"</f>
        <v>20190312151543730</v>
      </c>
      <c r="B2339" t="str">
        <f>"1552374943719981"</f>
        <v>1552374943719981</v>
      </c>
      <c r="C2339" t="s">
        <v>40</v>
      </c>
      <c r="D2339">
        <v>4.2951899999999998</v>
      </c>
      <c r="E2339">
        <v>0.48944769999999999</v>
      </c>
      <c r="F2339" t="s">
        <v>50</v>
      </c>
      <c r="G2339">
        <v>-477.90410000000003</v>
      </c>
      <c r="H2339" s="1">
        <v>2.6876910000000001E-6</v>
      </c>
      <c r="I2339">
        <v>279.79750000000001</v>
      </c>
      <c r="J2339">
        <v>-452.30270000000002</v>
      </c>
      <c r="K2339">
        <v>1.109432</v>
      </c>
      <c r="L2339">
        <v>283.91019999999997</v>
      </c>
      <c r="M2339">
        <v>-0.99985520000000006</v>
      </c>
      <c r="N2339">
        <v>0</v>
      </c>
      <c r="O2339">
        <v>-1.31542E-2</v>
      </c>
      <c r="P2339">
        <v>-0.99170919999999896</v>
      </c>
      <c r="Q2339">
        <v>3.587361E-4</v>
      </c>
      <c r="R2339">
        <v>-0.12850249999999999</v>
      </c>
      <c r="S2339">
        <v>-2.964172</v>
      </c>
      <c r="T2339">
        <v>-0.12683359999999999</v>
      </c>
      <c r="U2339">
        <v>-0.4706726</v>
      </c>
      <c r="V2339">
        <v>-0.11544740000000001</v>
      </c>
      <c r="W2339">
        <v>1.10689E-2</v>
      </c>
      <c r="X2339">
        <v>0.99325189999999997</v>
      </c>
      <c r="Y2339">
        <v>-0.1437003</v>
      </c>
      <c r="Z2339">
        <v>-2.4949030000000001E-3</v>
      </c>
      <c r="AA2339">
        <v>0.98961809999999995</v>
      </c>
      <c r="AB2339">
        <v>32</v>
      </c>
      <c r="AC2339">
        <v>-25.601400000000002</v>
      </c>
      <c r="AD2339">
        <v>-1.109429312309</v>
      </c>
      <c r="AE2339">
        <v>-4.1126999999999603</v>
      </c>
      <c r="AF2339">
        <v>-3.7686594503011102</v>
      </c>
      <c r="AG2339">
        <v>-1.109429312309</v>
      </c>
      <c r="AH2339">
        <v>25.6064106354434</v>
      </c>
      <c r="AI2339">
        <v>92.4544512107137</v>
      </c>
      <c r="AJ2339">
        <v>98.372480297634198</v>
      </c>
      <c r="AK2339">
        <v>25.906020402259902</v>
      </c>
      <c r="AL2339">
        <v>89.365785782164195</v>
      </c>
      <c r="AM2339">
        <v>96.629839175046897</v>
      </c>
      <c r="AN2339">
        <v>0.99999997978378896</v>
      </c>
    </row>
    <row r="2340" spans="1:40" x14ac:dyDescent="0.25">
      <c r="A2340" t="str">
        <f>"20190312151543752"</f>
        <v>20190312151543752</v>
      </c>
      <c r="B2340" t="str">
        <f>"1552374943750237"</f>
        <v>1552374943750237</v>
      </c>
      <c r="C2340" t="s">
        <v>40</v>
      </c>
      <c r="D2340">
        <v>4.2551350000000001</v>
      </c>
      <c r="E2340">
        <v>0.4972762</v>
      </c>
      <c r="F2340" t="s">
        <v>50</v>
      </c>
      <c r="G2340">
        <v>-478.19529999999997</v>
      </c>
      <c r="H2340" s="1">
        <v>2.5572420000000002E-6</v>
      </c>
      <c r="I2340">
        <v>279.78219999999999</v>
      </c>
      <c r="J2340">
        <v>-452.6103</v>
      </c>
      <c r="K2340">
        <v>1.109437</v>
      </c>
      <c r="L2340">
        <v>283.90609999999998</v>
      </c>
      <c r="M2340">
        <v>-0.99985380000000001</v>
      </c>
      <c r="N2340">
        <v>0</v>
      </c>
      <c r="O2340">
        <v>-1.323943E-2</v>
      </c>
      <c r="P2340">
        <v>-0.9917108</v>
      </c>
      <c r="Q2340">
        <v>2.2939499999999999E-4</v>
      </c>
      <c r="R2340">
        <v>-0.12848969999999901</v>
      </c>
      <c r="S2340">
        <v>-2.9639280000000001</v>
      </c>
      <c r="T2340">
        <v>-0.1269969</v>
      </c>
      <c r="U2340">
        <v>-0.47253420000000002</v>
      </c>
      <c r="V2340">
        <v>-0.11534990000000001</v>
      </c>
      <c r="W2340">
        <v>1.0960660000000001E-2</v>
      </c>
      <c r="X2340">
        <v>0.99326440000000005</v>
      </c>
      <c r="Y2340">
        <v>-0.144234</v>
      </c>
      <c r="Z2340">
        <v>-2.5059259999999999E-3</v>
      </c>
      <c r="AA2340">
        <v>0.98954050000000005</v>
      </c>
      <c r="AB2340">
        <v>32</v>
      </c>
      <c r="AC2340">
        <v>-25.584999999999901</v>
      </c>
      <c r="AD2340">
        <v>-1.1094344427580001</v>
      </c>
      <c r="AE2340">
        <v>-4.1238999999999901</v>
      </c>
      <c r="AF2340">
        <v>-3.77786414403033</v>
      </c>
      <c r="AG2340">
        <v>-1.1094344427580001</v>
      </c>
      <c r="AH2340">
        <v>25.590458768725</v>
      </c>
      <c r="AI2340">
        <v>92.455830917397194</v>
      </c>
      <c r="AJ2340">
        <v>98.397795589881298</v>
      </c>
      <c r="AK2340">
        <v>25.891594818924201</v>
      </c>
      <c r="AL2340">
        <v>89.371987836202294</v>
      </c>
      <c r="AM2340">
        <v>96.624207166889704</v>
      </c>
      <c r="AN2340">
        <v>0.99999995190250102</v>
      </c>
    </row>
    <row r="2341" spans="1:40" x14ac:dyDescent="0.25">
      <c r="A2341" t="str">
        <f>"20190312151543775"</f>
        <v>20190312151543775</v>
      </c>
      <c r="B2341" t="str">
        <f>"1552374943769757"</f>
        <v>1552374943769757</v>
      </c>
      <c r="C2341" t="s">
        <v>40</v>
      </c>
      <c r="D2341">
        <v>4.2413119999999997</v>
      </c>
      <c r="E2341">
        <v>0.49746240000000003</v>
      </c>
      <c r="F2341" t="s">
        <v>55</v>
      </c>
      <c r="G2341">
        <v>-511.95859999999999</v>
      </c>
      <c r="H2341">
        <v>6.0066579999999998E-3</v>
      </c>
      <c r="I2341">
        <v>275.74529999999999</v>
      </c>
      <c r="J2341">
        <v>-452.93259999999998</v>
      </c>
      <c r="K2341">
        <v>1.1094329999999999</v>
      </c>
      <c r="L2341">
        <v>283.90170000000001</v>
      </c>
      <c r="M2341">
        <v>-0.99985239999999997</v>
      </c>
      <c r="N2341">
        <v>0</v>
      </c>
      <c r="O2341">
        <v>-1.3328950000000001E-2</v>
      </c>
      <c r="P2341">
        <v>-0.99172119999999997</v>
      </c>
      <c r="Q2341">
        <v>-4.7008880000000002E-4</v>
      </c>
      <c r="R2341">
        <v>-0.12840850000000001</v>
      </c>
      <c r="S2341">
        <v>-2.9721679999999999</v>
      </c>
      <c r="T2341">
        <v>-5.5255650000000003E-2</v>
      </c>
      <c r="U2341">
        <v>-0.40869139999999998</v>
      </c>
      <c r="V2341">
        <v>-0.1151793</v>
      </c>
      <c r="W2341">
        <v>1.0284069999999999E-2</v>
      </c>
      <c r="X2341">
        <v>0.99329149999999999</v>
      </c>
      <c r="Y2341">
        <v>-0.12298820000000001</v>
      </c>
      <c r="Z2341">
        <v>-8.9121770000000005E-4</v>
      </c>
      <c r="AA2341">
        <v>0.9924077</v>
      </c>
      <c r="AB2341">
        <v>32</v>
      </c>
      <c r="AC2341">
        <v>-59.026000000000003</v>
      </c>
      <c r="AD2341">
        <v>-1.1034263419999999</v>
      </c>
      <c r="AE2341">
        <v>-8.1564000000000192</v>
      </c>
      <c r="AF2341">
        <v>-7.36634848489176</v>
      </c>
      <c r="AG2341">
        <v>-1.1034263419999999</v>
      </c>
      <c r="AH2341">
        <v>59.109209092556398</v>
      </c>
      <c r="AI2341">
        <v>91.061242441911304</v>
      </c>
      <c r="AJ2341">
        <v>97.103729530680596</v>
      </c>
      <c r="AK2341">
        <v>59.576666902745103</v>
      </c>
      <c r="AL2341">
        <v>89.41075581682</v>
      </c>
      <c r="AM2341">
        <v>96.614318122213007</v>
      </c>
      <c r="AN2341">
        <v>1.0000000186082501</v>
      </c>
    </row>
    <row r="2342" spans="1:40" x14ac:dyDescent="0.25">
      <c r="A2342" t="str">
        <f>"20190312151543797"</f>
        <v>20190312151543797</v>
      </c>
      <c r="B2342" t="str">
        <f>"1552374943790253"</f>
        <v>1552374943790253</v>
      </c>
      <c r="C2342" t="s">
        <v>40</v>
      </c>
      <c r="D2342">
        <v>4.2929659999999998</v>
      </c>
      <c r="E2342">
        <v>0.4975522</v>
      </c>
      <c r="F2342" t="s">
        <v>50</v>
      </c>
      <c r="G2342">
        <v>-500.01609999999999</v>
      </c>
      <c r="H2342">
        <v>8.0001149999999993E-2</v>
      </c>
      <c r="I2342">
        <v>277.4545</v>
      </c>
      <c r="J2342">
        <v>-453.24619999999999</v>
      </c>
      <c r="K2342">
        <v>1.1094329999999999</v>
      </c>
      <c r="L2342">
        <v>283.89749999999998</v>
      </c>
      <c r="M2342">
        <v>-0.99985100000000005</v>
      </c>
      <c r="N2342">
        <v>0</v>
      </c>
      <c r="O2342">
        <v>-1.3415959999999999E-2</v>
      </c>
      <c r="P2342">
        <v>-0.99171699999999996</v>
      </c>
      <c r="Q2342" s="1">
        <v>-7.4335369999999998E-5</v>
      </c>
      <c r="R2342">
        <v>-0.12844239999999901</v>
      </c>
      <c r="S2342">
        <v>-2.9723510000000002</v>
      </c>
      <c r="T2342">
        <v>-6.4987420000000004E-2</v>
      </c>
      <c r="U2342">
        <v>-0.40701290000000001</v>
      </c>
      <c r="V2342">
        <v>-0.1151272</v>
      </c>
      <c r="W2342">
        <v>1.069937E-2</v>
      </c>
      <c r="X2342">
        <v>0.99329319999999999</v>
      </c>
      <c r="Y2342">
        <v>-0.1223365</v>
      </c>
      <c r="Z2342">
        <v>-1.03914E-3</v>
      </c>
      <c r="AA2342">
        <v>0.99248809999999998</v>
      </c>
      <c r="AB2342">
        <v>32</v>
      </c>
      <c r="AC2342">
        <v>-46.7699</v>
      </c>
      <c r="AD2342">
        <v>-1.0294318499999999</v>
      </c>
      <c r="AE2342">
        <v>-6.4429999999999801</v>
      </c>
      <c r="AF2342">
        <v>-5.8121566021946496</v>
      </c>
      <c r="AG2342">
        <v>-1.0294318499999999</v>
      </c>
      <c r="AH2342">
        <v>46.829869542174201</v>
      </c>
      <c r="AI2342">
        <v>91.249709318726403</v>
      </c>
      <c r="AJ2342">
        <v>97.074924421155103</v>
      </c>
      <c r="AK2342">
        <v>47.200398045347903</v>
      </c>
      <c r="AL2342">
        <v>89.386959598523404</v>
      </c>
      <c r="AM2342">
        <v>96.611341491385105</v>
      </c>
      <c r="AN2342">
        <v>1.00000006493223</v>
      </c>
    </row>
    <row r="2343" spans="1:40" x14ac:dyDescent="0.25">
      <c r="A2343" t="str">
        <f>"20190312151543819"</f>
        <v>20190312151543819</v>
      </c>
      <c r="B2343" t="str">
        <f>"1552374943809772"</f>
        <v>1552374943809772</v>
      </c>
      <c r="C2343" t="s">
        <v>40</v>
      </c>
      <c r="D2343">
        <v>4.2956099999999999</v>
      </c>
      <c r="E2343">
        <v>0.49768010000000001</v>
      </c>
      <c r="F2343" t="s">
        <v>50</v>
      </c>
      <c r="G2343">
        <v>-499.95780000000002</v>
      </c>
      <c r="H2343">
        <v>1.81733E-2</v>
      </c>
      <c r="I2343">
        <v>277.50689999999997</v>
      </c>
      <c r="J2343">
        <v>-453.56950000000001</v>
      </c>
      <c r="K2343">
        <v>1.109434</v>
      </c>
      <c r="L2343">
        <v>283.89299999999997</v>
      </c>
      <c r="M2343">
        <v>-0.99984960000000001</v>
      </c>
      <c r="N2343">
        <v>0</v>
      </c>
      <c r="O2343">
        <v>-1.350559E-2</v>
      </c>
      <c r="P2343">
        <v>-0.99175420000000003</v>
      </c>
      <c r="Q2343">
        <v>-1.03185E-4</v>
      </c>
      <c r="R2343">
        <v>-0.1281563</v>
      </c>
      <c r="S2343">
        <v>-2.9723820000000001</v>
      </c>
      <c r="T2343">
        <v>-6.9439769999999998E-2</v>
      </c>
      <c r="U2343">
        <v>-0.40664670000000003</v>
      </c>
      <c r="V2343">
        <v>-0.11475059999999999</v>
      </c>
      <c r="W2343">
        <v>1.0689840000000001E-2</v>
      </c>
      <c r="X2343">
        <v>0.99333680000000002</v>
      </c>
      <c r="Y2343">
        <v>-0.1221226</v>
      </c>
      <c r="Z2343">
        <v>-1.105743E-3</v>
      </c>
      <c r="AA2343">
        <v>0.99251440000000002</v>
      </c>
      <c r="AB2343">
        <v>32</v>
      </c>
      <c r="AC2343">
        <v>-46.388300000000001</v>
      </c>
      <c r="AD2343">
        <v>-1.0912607000000001</v>
      </c>
      <c r="AE2343">
        <v>-6.3860999999999901</v>
      </c>
      <c r="AF2343">
        <v>-5.7558529924640203</v>
      </c>
      <c r="AG2343">
        <v>-1.0912607000000001</v>
      </c>
      <c r="AH2343">
        <v>46.4450971091197</v>
      </c>
      <c r="AI2343">
        <v>91.335743124073801</v>
      </c>
      <c r="AJ2343">
        <v>97.064538327475503</v>
      </c>
      <c r="AK2343">
        <v>46.813115032667802</v>
      </c>
      <c r="AL2343">
        <v>89.387505609876499</v>
      </c>
      <c r="AM2343">
        <v>96.589618534630503</v>
      </c>
      <c r="AN2343">
        <v>0.99999998555691205</v>
      </c>
    </row>
    <row r="2344" spans="1:40" x14ac:dyDescent="0.25">
      <c r="A2344" t="str">
        <f>"20190312151543842"</f>
        <v>20190312151543842</v>
      </c>
      <c r="B2344" t="str">
        <f>"1552374943830270"</f>
        <v>1552374943830270</v>
      </c>
      <c r="C2344" t="s">
        <v>40</v>
      </c>
      <c r="D2344">
        <v>4.2676220000000002</v>
      </c>
      <c r="E2344">
        <v>0.49762679999999998</v>
      </c>
      <c r="F2344" t="s">
        <v>50</v>
      </c>
      <c r="G2344">
        <v>-496.55939999999998</v>
      </c>
      <c r="H2344" s="1">
        <v>2.0856270000000001E-6</v>
      </c>
      <c r="I2344">
        <v>278.03590000000003</v>
      </c>
      <c r="J2344">
        <v>-453.89460000000003</v>
      </c>
      <c r="K2344">
        <v>1.1094360000000001</v>
      </c>
      <c r="L2344">
        <v>283.88850000000002</v>
      </c>
      <c r="M2344">
        <v>-0.99984819999999996</v>
      </c>
      <c r="N2344">
        <v>0</v>
      </c>
      <c r="O2344">
        <v>-1.359604E-2</v>
      </c>
      <c r="P2344">
        <v>-0.99179490000000003</v>
      </c>
      <c r="Q2344">
        <v>-4.5947259999999998E-4</v>
      </c>
      <c r="R2344">
        <v>-0.12783919999999999</v>
      </c>
      <c r="S2344">
        <v>-2.972626</v>
      </c>
      <c r="T2344">
        <v>-7.6714039999999997E-2</v>
      </c>
      <c r="U2344">
        <v>-0.40499879999999999</v>
      </c>
      <c r="V2344">
        <v>-0.11434370000000001</v>
      </c>
      <c r="W2344">
        <v>1.035082E-2</v>
      </c>
      <c r="X2344">
        <v>0.99338729999999997</v>
      </c>
      <c r="Y2344">
        <v>-0.1214755</v>
      </c>
      <c r="Z2344">
        <v>-1.210853E-3</v>
      </c>
      <c r="AA2344">
        <v>0.99259370000000002</v>
      </c>
      <c r="AB2344">
        <v>32</v>
      </c>
      <c r="AC2344">
        <v>-42.6647999999999</v>
      </c>
      <c r="AD2344">
        <v>-1.1094339143729901</v>
      </c>
      <c r="AE2344">
        <v>-5.85259999999999</v>
      </c>
      <c r="AF2344">
        <v>-5.2684555764321397</v>
      </c>
      <c r="AG2344">
        <v>-1.1094339143729901</v>
      </c>
      <c r="AH2344">
        <v>42.712085209665602</v>
      </c>
      <c r="AI2344">
        <v>91.476719994110994</v>
      </c>
      <c r="AJ2344">
        <v>97.031808034687998</v>
      </c>
      <c r="AK2344">
        <v>43.050083515934503</v>
      </c>
      <c r="AL2344">
        <v>89.406931093875201</v>
      </c>
      <c r="AM2344">
        <v>96.5661255994535</v>
      </c>
      <c r="AN2344">
        <v>0.99999997450282596</v>
      </c>
    </row>
    <row r="2345" spans="1:40" x14ac:dyDescent="0.25">
      <c r="A2345" t="str">
        <f>"20190312151543865"</f>
        <v>20190312151543865</v>
      </c>
      <c r="B2345" t="str">
        <f>"1552374943859549"</f>
        <v>1552374943859549</v>
      </c>
      <c r="C2345" t="s">
        <v>40</v>
      </c>
      <c r="D2345">
        <v>4.2432239999999997</v>
      </c>
      <c r="E2345">
        <v>0.4981505</v>
      </c>
      <c r="F2345" t="s">
        <v>50</v>
      </c>
      <c r="G2345">
        <v>-493.69499999999999</v>
      </c>
      <c r="H2345" s="1">
        <v>2.6703960000000002E-6</v>
      </c>
      <c r="I2345">
        <v>278.47129999999999</v>
      </c>
      <c r="J2345">
        <v>-454.21690000000001</v>
      </c>
      <c r="K2345">
        <v>1.1094329999999999</v>
      </c>
      <c r="L2345">
        <v>283.88400000000001</v>
      </c>
      <c r="M2345">
        <v>-0.99984680000000004</v>
      </c>
      <c r="N2345">
        <v>0</v>
      </c>
      <c r="O2345">
        <v>-1.3685889999999999E-2</v>
      </c>
      <c r="P2345">
        <v>-0.99180159999999995</v>
      </c>
      <c r="Q2345">
        <v>-3.7703660000000001E-4</v>
      </c>
      <c r="R2345">
        <v>-0.1277866</v>
      </c>
      <c r="S2345">
        <v>-2.9725950000000001</v>
      </c>
      <c r="T2345">
        <v>-8.2860829999999996E-2</v>
      </c>
      <c r="U2345">
        <v>-0.40460210000000002</v>
      </c>
      <c r="V2345">
        <v>-0.1142019</v>
      </c>
      <c r="W2345">
        <v>1.044952E-2</v>
      </c>
      <c r="X2345">
        <v>0.99340260000000002</v>
      </c>
      <c r="Y2345">
        <v>-0.1212519</v>
      </c>
      <c r="Z2345">
        <v>-1.3022699999999999E-3</v>
      </c>
      <c r="AA2345">
        <v>0.99262090000000003</v>
      </c>
      <c r="AB2345">
        <v>32</v>
      </c>
      <c r="AC2345">
        <v>-39.478099999999898</v>
      </c>
      <c r="AD2345">
        <v>-1.10943032960399</v>
      </c>
      <c r="AE2345">
        <v>-5.4127000000000196</v>
      </c>
      <c r="AF2345">
        <v>-4.8680942806819596</v>
      </c>
      <c r="AG2345">
        <v>-1.10943032960399</v>
      </c>
      <c r="AH2345">
        <v>39.5178509922196</v>
      </c>
      <c r="AI2345">
        <v>91.596050088529907</v>
      </c>
      <c r="AJ2345">
        <v>97.022727019380994</v>
      </c>
      <c r="AK2345">
        <v>39.832018836924703</v>
      </c>
      <c r="AL2345">
        <v>89.401275707335301</v>
      </c>
      <c r="AM2345">
        <v>96.557953662285797</v>
      </c>
      <c r="AN2345">
        <v>0.99999999605930001</v>
      </c>
    </row>
    <row r="2346" spans="1:40" x14ac:dyDescent="0.25">
      <c r="A2346" t="str">
        <f>"20190312151543886"</f>
        <v>20190312151543886</v>
      </c>
      <c r="B2346" t="str">
        <f>"1552374943880044"</f>
        <v>1552374943880044</v>
      </c>
      <c r="C2346" t="s">
        <v>40</v>
      </c>
      <c r="D2346">
        <v>4.2661809999999996</v>
      </c>
      <c r="E2346">
        <v>0.49784450000000002</v>
      </c>
      <c r="F2346" t="s">
        <v>50</v>
      </c>
      <c r="G2346">
        <v>-496.84820000000002</v>
      </c>
      <c r="H2346" s="1">
        <v>2.0539430000000001E-6</v>
      </c>
      <c r="I2346">
        <v>278.14690000000002</v>
      </c>
      <c r="J2346">
        <v>-454.52370000000002</v>
      </c>
      <c r="K2346">
        <v>1.1094389999999901</v>
      </c>
      <c r="L2346">
        <v>283.87979999999999</v>
      </c>
      <c r="M2346">
        <v>-0.99984550000000005</v>
      </c>
      <c r="N2346">
        <v>0</v>
      </c>
      <c r="O2346">
        <v>-1.3770859999999999E-2</v>
      </c>
      <c r="P2346">
        <v>-0.99172070000000001</v>
      </c>
      <c r="Q2346">
        <v>-1.7372150000000001E-4</v>
      </c>
      <c r="R2346">
        <v>-0.12841440000000001</v>
      </c>
      <c r="S2346">
        <v>-2.9731749999999999</v>
      </c>
      <c r="T2346">
        <v>-7.737339E-2</v>
      </c>
      <c r="U2346">
        <v>-0.40011600000000003</v>
      </c>
      <c r="V2346">
        <v>-0.114745899999999</v>
      </c>
      <c r="W2346">
        <v>1.066838E-2</v>
      </c>
      <c r="X2346">
        <v>0.99333760000000004</v>
      </c>
      <c r="Y2346">
        <v>-0.11967650000000001</v>
      </c>
      <c r="Z2346">
        <v>-1.1933410000000001E-3</v>
      </c>
      <c r="AA2346">
        <v>0.99281220000000003</v>
      </c>
      <c r="AB2346">
        <v>32</v>
      </c>
      <c r="AC2346">
        <v>-42.3245</v>
      </c>
      <c r="AD2346">
        <v>-1.1094369460569999</v>
      </c>
      <c r="AE2346">
        <v>-5.7328999999999697</v>
      </c>
      <c r="AF2346">
        <v>-5.1460046502728298</v>
      </c>
      <c r="AG2346">
        <v>-1.1094369460569999</v>
      </c>
      <c r="AH2346">
        <v>42.370849263803798</v>
      </c>
      <c r="AI2346">
        <v>91.488951929500502</v>
      </c>
      <c r="AJ2346">
        <v>96.924745466038701</v>
      </c>
      <c r="AK2346">
        <v>42.696616745755001</v>
      </c>
      <c r="AL2346">
        <v>89.388735263443706</v>
      </c>
      <c r="AM2346">
        <v>96.589345747910698</v>
      </c>
      <c r="AN2346">
        <v>1.00000001173619</v>
      </c>
    </row>
    <row r="2347" spans="1:40" x14ac:dyDescent="0.25">
      <c r="A2347" t="str">
        <f>"20190312151543909"</f>
        <v>20190312151543909</v>
      </c>
      <c r="B2347" t="str">
        <f>"1552374943899566"</f>
        <v>1552374943899566</v>
      </c>
      <c r="C2347" t="s">
        <v>40</v>
      </c>
      <c r="D2347">
        <v>4.2704930000000001</v>
      </c>
      <c r="E2347">
        <v>0.49755450000000001</v>
      </c>
      <c r="F2347" t="s">
        <v>50</v>
      </c>
      <c r="G2347">
        <v>-495.22309999999999</v>
      </c>
      <c r="H2347" s="1">
        <v>2.376622E-6</v>
      </c>
      <c r="I2347">
        <v>278.34230000000002</v>
      </c>
      <c r="J2347">
        <v>-454.84550000000002</v>
      </c>
      <c r="K2347">
        <v>1.1094409999999999</v>
      </c>
      <c r="L2347">
        <v>283.87520000000001</v>
      </c>
      <c r="M2347">
        <v>-0.99984399999999996</v>
      </c>
      <c r="N2347">
        <v>0</v>
      </c>
      <c r="O2347">
        <v>-1.38599E-2</v>
      </c>
      <c r="P2347">
        <v>-0.9916701</v>
      </c>
      <c r="Q2347" s="1">
        <v>-2.5590880000000001E-5</v>
      </c>
      <c r="R2347">
        <v>-0.12880549999999999</v>
      </c>
      <c r="S2347">
        <v>-2.972626</v>
      </c>
      <c r="T2347">
        <v>-8.1031679999999995E-2</v>
      </c>
      <c r="U2347">
        <v>-0.40444950000000002</v>
      </c>
      <c r="V2347">
        <v>-0.11504979999999999</v>
      </c>
      <c r="W2347">
        <v>1.0836220000000001E-2</v>
      </c>
      <c r="X2347">
        <v>0.99330059999999998</v>
      </c>
      <c r="Y2347">
        <v>-0.1210297</v>
      </c>
      <c r="Z2347">
        <v>-1.265792E-3</v>
      </c>
      <c r="AA2347">
        <v>0.99264810000000003</v>
      </c>
      <c r="AB2347">
        <v>32</v>
      </c>
      <c r="AC2347">
        <v>-40.377599999999902</v>
      </c>
      <c r="AD2347">
        <v>-1.10943862337799</v>
      </c>
      <c r="AE2347">
        <v>-5.5328999999999802</v>
      </c>
      <c r="AF2347">
        <v>-4.9690231537007596</v>
      </c>
      <c r="AG2347">
        <v>-1.10943862337799</v>
      </c>
      <c r="AH2347">
        <v>40.420457674490102</v>
      </c>
      <c r="AI2347">
        <v>91.560487062463594</v>
      </c>
      <c r="AJ2347">
        <v>97.008399455166597</v>
      </c>
      <c r="AK2347">
        <v>40.739850806996103</v>
      </c>
      <c r="AL2347">
        <v>89.379118164919205</v>
      </c>
      <c r="AM2347">
        <v>96.606887211738496</v>
      </c>
      <c r="AN2347">
        <v>0.99999998105214405</v>
      </c>
    </row>
    <row r="2348" spans="1:40" x14ac:dyDescent="0.25">
      <c r="A2348" t="str">
        <f>"20190312151543932"</f>
        <v>20190312151543932</v>
      </c>
      <c r="B2348" t="str">
        <f>"1552374943920061"</f>
        <v>1552374943920061</v>
      </c>
      <c r="C2348" t="s">
        <v>40</v>
      </c>
      <c r="D2348">
        <v>4.3081060000000004</v>
      </c>
      <c r="E2348">
        <v>0.49741600000000002</v>
      </c>
      <c r="F2348" t="s">
        <v>50</v>
      </c>
      <c r="G2348">
        <v>-493.74790000000002</v>
      </c>
      <c r="H2348" s="1">
        <v>2.6725470000000001E-6</v>
      </c>
      <c r="I2348">
        <v>278.53680000000003</v>
      </c>
      <c r="J2348">
        <v>-455.16930000000002</v>
      </c>
      <c r="K2348">
        <v>1.109443</v>
      </c>
      <c r="L2348">
        <v>283.8707</v>
      </c>
      <c r="M2348">
        <v>-0.99984260000000003</v>
      </c>
      <c r="N2348">
        <v>0</v>
      </c>
      <c r="O2348">
        <v>-1.3950010000000001E-2</v>
      </c>
      <c r="P2348">
        <v>-0.99157640000000002</v>
      </c>
      <c r="Q2348">
        <v>-1.3643689999999999E-4</v>
      </c>
      <c r="R2348">
        <v>-0.12952439999999901</v>
      </c>
      <c r="S2348">
        <v>-2.972229</v>
      </c>
      <c r="T2348">
        <v>-8.4763530000000004E-2</v>
      </c>
      <c r="U2348">
        <v>-0.40786739999999999</v>
      </c>
      <c r="V2348">
        <v>-0.1156803</v>
      </c>
      <c r="W2348">
        <v>1.074515E-2</v>
      </c>
      <c r="X2348">
        <v>0.99322840000000001</v>
      </c>
      <c r="Y2348">
        <v>-0.1220744</v>
      </c>
      <c r="Z2348">
        <v>-1.3364049999999999E-3</v>
      </c>
      <c r="AA2348">
        <v>0.99251999999999996</v>
      </c>
      <c r="AB2348">
        <v>32</v>
      </c>
      <c r="AC2348">
        <v>-38.578600000000002</v>
      </c>
      <c r="AD2348">
        <v>-1.109440327453</v>
      </c>
      <c r="AE2348">
        <v>-5.3338999999999697</v>
      </c>
      <c r="AF2348">
        <v>-4.7912885650657397</v>
      </c>
      <c r="AG2348">
        <v>-1.109440327453</v>
      </c>
      <c r="AH2348">
        <v>38.617919398639899</v>
      </c>
      <c r="AI2348">
        <v>91.633063122948698</v>
      </c>
      <c r="AJ2348">
        <v>97.072491435986393</v>
      </c>
      <c r="AK2348">
        <v>38.929821507859003</v>
      </c>
      <c r="AL2348">
        <v>89.384336420874305</v>
      </c>
      <c r="AM2348">
        <v>96.643250354315697</v>
      </c>
      <c r="AN2348">
        <v>1.0000000223115799</v>
      </c>
    </row>
    <row r="2349" spans="1:40" x14ac:dyDescent="0.25">
      <c r="A2349" t="str">
        <f>"20190312151543954"</f>
        <v>20190312151543954</v>
      </c>
      <c r="B2349" t="str">
        <f>"1552374943949895"</f>
        <v>1552374943949895</v>
      </c>
      <c r="C2349" t="s">
        <v>40</v>
      </c>
      <c r="D2349">
        <v>4.3293980000000003</v>
      </c>
      <c r="E2349">
        <v>0.49470209999999998</v>
      </c>
      <c r="F2349" t="s">
        <v>50</v>
      </c>
      <c r="G2349">
        <v>-493.18329999999997</v>
      </c>
      <c r="H2349" s="1">
        <v>2.7852489999999999E-6</v>
      </c>
      <c r="I2349">
        <v>278.608</v>
      </c>
      <c r="J2349">
        <v>-455.48509999999999</v>
      </c>
      <c r="K2349">
        <v>1.1094469999999901</v>
      </c>
      <c r="L2349">
        <v>283.86610000000002</v>
      </c>
      <c r="M2349">
        <v>-0.99984119999999999</v>
      </c>
      <c r="N2349">
        <v>0</v>
      </c>
      <c r="O2349">
        <v>-1.403738E-2</v>
      </c>
      <c r="P2349">
        <v>-0.99150450000000001</v>
      </c>
      <c r="Q2349">
        <v>-3.782557E-4</v>
      </c>
      <c r="R2349">
        <v>-0.13007299999999999</v>
      </c>
      <c r="S2349">
        <v>-2.9717410000000002</v>
      </c>
      <c r="T2349">
        <v>-8.6730360000000006E-2</v>
      </c>
      <c r="U2349">
        <v>-0.41140749999999998</v>
      </c>
      <c r="V2349">
        <v>-0.1161428</v>
      </c>
      <c r="W2349">
        <v>1.0522E-2</v>
      </c>
      <c r="X2349">
        <v>0.99317679999999997</v>
      </c>
      <c r="Y2349">
        <v>-0.12316729999999999</v>
      </c>
      <c r="Z2349">
        <v>-1.380849E-3</v>
      </c>
      <c r="AA2349">
        <v>0.99238499999999996</v>
      </c>
      <c r="AB2349">
        <v>32</v>
      </c>
      <c r="AC2349">
        <v>-37.6981999999999</v>
      </c>
      <c r="AD2349">
        <v>-1.10944421475099</v>
      </c>
      <c r="AE2349">
        <v>-5.2581000000000104</v>
      </c>
      <c r="AF2349">
        <v>-4.7243523173215696</v>
      </c>
      <c r="AG2349">
        <v>-1.10944421475099</v>
      </c>
      <c r="AH2349">
        <v>37.736239805951598</v>
      </c>
      <c r="AI2349">
        <v>91.670972320799606</v>
      </c>
      <c r="AJ2349">
        <v>97.135962721682105</v>
      </c>
      <c r="AK2349">
        <v>38.046999434595499</v>
      </c>
      <c r="AL2349">
        <v>89.397122688860605</v>
      </c>
      <c r="AM2349">
        <v>96.6699152296585</v>
      </c>
      <c r="AN2349">
        <v>1.00000000926703</v>
      </c>
    </row>
    <row r="2350" spans="1:40" x14ac:dyDescent="0.25">
      <c r="A2350" t="str">
        <f>"20190312151543976"</f>
        <v>20190312151543976</v>
      </c>
      <c r="B2350" t="str">
        <f>"1552374943970390"</f>
        <v>1552374943970390</v>
      </c>
      <c r="C2350" t="s">
        <v>40</v>
      </c>
      <c r="D2350">
        <v>4.321008</v>
      </c>
      <c r="E2350">
        <v>0.49470829999999999</v>
      </c>
      <c r="F2350" t="s">
        <v>51</v>
      </c>
      <c r="G2350">
        <v>-468.24630000000002</v>
      </c>
      <c r="H2350" s="1">
        <v>2.9667809999999998E-6</v>
      </c>
      <c r="I2350">
        <v>281.97829999999999</v>
      </c>
      <c r="J2350">
        <v>-455.81020000000001</v>
      </c>
      <c r="K2350">
        <v>1.1094469999999901</v>
      </c>
      <c r="L2350">
        <v>283.86149999999998</v>
      </c>
      <c r="M2350">
        <v>-0.9998397</v>
      </c>
      <c r="N2350">
        <v>0</v>
      </c>
      <c r="O2350">
        <v>-1.412772E-2</v>
      </c>
      <c r="P2350">
        <v>-0.99139739999999998</v>
      </c>
      <c r="Q2350">
        <v>-5.1526350000000002E-4</v>
      </c>
      <c r="R2350">
        <v>-0.13088610000000001</v>
      </c>
      <c r="S2350">
        <v>-2.9680179999999998</v>
      </c>
      <c r="T2350">
        <v>-0.25803609999999999</v>
      </c>
      <c r="U2350">
        <v>-0.4390869</v>
      </c>
      <c r="V2350">
        <v>-0.1168675</v>
      </c>
      <c r="W2350">
        <v>1.0401840000000001E-2</v>
      </c>
      <c r="X2350">
        <v>0.993093</v>
      </c>
      <c r="Y2350">
        <v>-0.13192100000000001</v>
      </c>
      <c r="Z2350">
        <v>-4.4738649999999996E-3</v>
      </c>
      <c r="AA2350">
        <v>0.99125019999999997</v>
      </c>
      <c r="AB2350">
        <v>32</v>
      </c>
      <c r="AC2350">
        <v>-12.4361</v>
      </c>
      <c r="AD2350">
        <v>-1.1094440332190001</v>
      </c>
      <c r="AE2350">
        <v>-1.88319999999998</v>
      </c>
      <c r="AF2350">
        <v>-1.69412685889949</v>
      </c>
      <c r="AG2350">
        <v>-1.1094440332190001</v>
      </c>
      <c r="AH2350">
        <v>12.3652602823317</v>
      </c>
      <c r="AI2350">
        <v>95.079798572680104</v>
      </c>
      <c r="AJ2350">
        <v>97.801350358565998</v>
      </c>
      <c r="AK2350">
        <v>12.529987778393901</v>
      </c>
      <c r="AL2350">
        <v>89.404007696352593</v>
      </c>
      <c r="AM2350">
        <v>96.711716393304698</v>
      </c>
      <c r="AN2350">
        <v>0.999999958740316</v>
      </c>
    </row>
    <row r="2351" spans="1:40" x14ac:dyDescent="0.25">
      <c r="A2351" t="str">
        <f>"20190312151543998"</f>
        <v>20190312151543998</v>
      </c>
      <c r="B2351" t="str">
        <f>"1552374943989911"</f>
        <v>1552374943989911</v>
      </c>
      <c r="C2351" t="s">
        <v>40</v>
      </c>
      <c r="D2351">
        <v>4.7178570000000004</v>
      </c>
      <c r="E2351">
        <v>0.4943013</v>
      </c>
      <c r="F2351" t="s">
        <v>50</v>
      </c>
      <c r="G2351">
        <v>-471.30329999999998</v>
      </c>
      <c r="H2351" s="1">
        <v>5.7692249999999998E-6</v>
      </c>
      <c r="I2351">
        <v>281.56290000000001</v>
      </c>
      <c r="J2351">
        <v>-456.1241</v>
      </c>
      <c r="K2351">
        <v>1.1094520000000001</v>
      </c>
      <c r="L2351">
        <v>283.85700000000003</v>
      </c>
      <c r="M2351">
        <v>-0.99983829999999996</v>
      </c>
      <c r="N2351">
        <v>0</v>
      </c>
      <c r="O2351">
        <v>-1.4214950000000001E-2</v>
      </c>
      <c r="P2351">
        <v>-0.99125030000000003</v>
      </c>
      <c r="Q2351">
        <v>-4.2141139999999998E-4</v>
      </c>
      <c r="R2351">
        <v>-0.13199620000000001</v>
      </c>
      <c r="S2351">
        <v>-2.9678040000000001</v>
      </c>
      <c r="T2351">
        <v>-0.21252070000000001</v>
      </c>
      <c r="U2351">
        <v>-0.44030760000000002</v>
      </c>
      <c r="V2351">
        <v>-0.1178935</v>
      </c>
      <c r="W2351">
        <v>1.051008E-2</v>
      </c>
      <c r="X2351">
        <v>0.99297060000000004</v>
      </c>
      <c r="Y2351">
        <v>-0.13238249999999999</v>
      </c>
      <c r="Z2351">
        <v>-3.6972699999999999E-3</v>
      </c>
      <c r="AA2351">
        <v>0.99119179999999996</v>
      </c>
      <c r="AB2351">
        <v>32</v>
      </c>
      <c r="AC2351">
        <v>-15.1791999999999</v>
      </c>
      <c r="AD2351">
        <v>-1.1094462307749999</v>
      </c>
      <c r="AE2351">
        <v>-2.29410000000001</v>
      </c>
      <c r="AF2351">
        <v>-2.0672864267366902</v>
      </c>
      <c r="AG2351">
        <v>-1.1094462307749999</v>
      </c>
      <c r="AH2351">
        <v>15.131250605294101</v>
      </c>
      <c r="AI2351">
        <v>94.155046595750306</v>
      </c>
      <c r="AJ2351">
        <v>97.779790260604301</v>
      </c>
      <c r="AK2351">
        <v>15.3120635117989</v>
      </c>
      <c r="AL2351">
        <v>89.397805672154803</v>
      </c>
      <c r="AM2351">
        <v>96.770921911373804</v>
      </c>
      <c r="AN2351">
        <v>0.99999997579410704</v>
      </c>
    </row>
    <row r="2352" spans="1:40" x14ac:dyDescent="0.25">
      <c r="A2352" t="str">
        <f>"20190312151544021"</f>
        <v>20190312151544021</v>
      </c>
      <c r="B2352" t="str">
        <f>"1552374944010406"</f>
        <v>1552374944010406</v>
      </c>
      <c r="C2352" t="s">
        <v>40</v>
      </c>
      <c r="D2352">
        <v>4.3598629999999998</v>
      </c>
      <c r="E2352">
        <v>0.49355769999999999</v>
      </c>
      <c r="F2352" t="s">
        <v>50</v>
      </c>
      <c r="G2352">
        <v>-472.22320000000002</v>
      </c>
      <c r="H2352" s="1">
        <v>5.3500359999999997E-6</v>
      </c>
      <c r="I2352">
        <v>281.43430000000001</v>
      </c>
      <c r="J2352">
        <v>-456.45010000000002</v>
      </c>
      <c r="K2352">
        <v>1.1094569999999999</v>
      </c>
      <c r="L2352">
        <v>283.85219999999998</v>
      </c>
      <c r="M2352">
        <v>-0.99983690000000003</v>
      </c>
      <c r="N2352">
        <v>0</v>
      </c>
      <c r="O2352">
        <v>-1.4304799999999999E-2</v>
      </c>
      <c r="P2352">
        <v>-0.9911314</v>
      </c>
      <c r="Q2352">
        <v>4.6516770000000002E-4</v>
      </c>
      <c r="R2352">
        <v>-0.13288529999999901</v>
      </c>
      <c r="S2352">
        <v>-2.9669189999999999</v>
      </c>
      <c r="T2352">
        <v>-0.20446130000000001</v>
      </c>
      <c r="U2352">
        <v>-0.44647219999999999</v>
      </c>
      <c r="V2352">
        <v>-0.1186948</v>
      </c>
      <c r="W2352">
        <v>1.141029E-2</v>
      </c>
      <c r="X2352">
        <v>0.9928652</v>
      </c>
      <c r="Y2352">
        <v>-0.13436809999999999</v>
      </c>
      <c r="Z2352">
        <v>-3.6197099999999999E-3</v>
      </c>
      <c r="AA2352">
        <v>0.9909249</v>
      </c>
      <c r="AB2352">
        <v>32</v>
      </c>
      <c r="AC2352">
        <v>-15.773099999999999</v>
      </c>
      <c r="AD2352">
        <v>-1.1094516499639999</v>
      </c>
      <c r="AE2352">
        <v>-2.4178999999999702</v>
      </c>
      <c r="AF2352">
        <v>-2.1814629005307098</v>
      </c>
      <c r="AG2352">
        <v>-1.1094516499639999</v>
      </c>
      <c r="AH2352">
        <v>15.730038561755901</v>
      </c>
      <c r="AI2352">
        <v>93.996313257547001</v>
      </c>
      <c r="AJ2352">
        <v>97.895496014791405</v>
      </c>
      <c r="AK2352">
        <v>15.9192894472187</v>
      </c>
      <c r="AL2352">
        <v>89.346224338597594</v>
      </c>
      <c r="AM2352">
        <v>96.817227826972697</v>
      </c>
      <c r="AN2352">
        <v>0.999999977817981</v>
      </c>
    </row>
    <row r="2353" spans="1:40" x14ac:dyDescent="0.25">
      <c r="A2353" t="str">
        <f>"20190312151544043"</f>
        <v>20190312151544043</v>
      </c>
      <c r="B2353" t="str">
        <f>"1552374944039687"</f>
        <v>1552374944039687</v>
      </c>
      <c r="C2353" t="s">
        <v>40</v>
      </c>
      <c r="D2353">
        <v>4.3439139999999998</v>
      </c>
      <c r="E2353">
        <v>0.4930503</v>
      </c>
      <c r="F2353" t="s">
        <v>50</v>
      </c>
      <c r="G2353">
        <v>-472.20530000000002</v>
      </c>
      <c r="H2353" s="1">
        <v>5.3579300000000004E-6</v>
      </c>
      <c r="I2353">
        <v>281.43380000000002</v>
      </c>
      <c r="J2353">
        <v>-456.77179999999998</v>
      </c>
      <c r="K2353">
        <v>1.1094630000000001</v>
      </c>
      <c r="L2353">
        <v>283.84750000000003</v>
      </c>
      <c r="M2353">
        <v>-0.99983529999999998</v>
      </c>
      <c r="N2353">
        <v>0</v>
      </c>
      <c r="O2353">
        <v>-1.439405E-2</v>
      </c>
      <c r="P2353">
        <v>-0.9910677</v>
      </c>
      <c r="Q2353">
        <v>9.359336E-4</v>
      </c>
      <c r="R2353">
        <v>-0.13335640000000001</v>
      </c>
      <c r="S2353">
        <v>-2.9659119999999999</v>
      </c>
      <c r="T2353">
        <v>-0.2088544</v>
      </c>
      <c r="U2353">
        <v>-0.45526119999999998</v>
      </c>
      <c r="V2353">
        <v>-0.11907810000000001</v>
      </c>
      <c r="W2353">
        <v>1.189663E-2</v>
      </c>
      <c r="X2353">
        <v>0.99281359999999996</v>
      </c>
      <c r="Y2353">
        <v>-0.13718</v>
      </c>
      <c r="Z2353">
        <v>-3.789798E-3</v>
      </c>
      <c r="AA2353">
        <v>0.9905389</v>
      </c>
      <c r="AB2353">
        <v>32</v>
      </c>
      <c r="AC2353">
        <v>-15.4335</v>
      </c>
      <c r="AD2353">
        <v>-1.10945764207</v>
      </c>
      <c r="AE2353">
        <v>-2.4137</v>
      </c>
      <c r="AF2353">
        <v>-2.1802878140575199</v>
      </c>
      <c r="AG2353">
        <v>-1.10945764207</v>
      </c>
      <c r="AH2353">
        <v>15.389019620567201</v>
      </c>
      <c r="AI2353">
        <v>94.082919794752797</v>
      </c>
      <c r="AJ2353">
        <v>98.063891107620805</v>
      </c>
      <c r="AK2353">
        <v>15.582248749582799</v>
      </c>
      <c r="AL2353">
        <v>89.318357220241893</v>
      </c>
      <c r="AM2353">
        <v>96.839386537170498</v>
      </c>
      <c r="AN2353">
        <v>0.99999998402496304</v>
      </c>
    </row>
    <row r="2354" spans="1:40" x14ac:dyDescent="0.25">
      <c r="A2354" t="str">
        <f>"20190312151544066"</f>
        <v>20190312151544066</v>
      </c>
      <c r="B2354" t="str">
        <f>"1552374944060183"</f>
        <v>1552374944060183</v>
      </c>
      <c r="C2354" t="s">
        <v>40</v>
      </c>
      <c r="D2354">
        <v>4.5405139999999999</v>
      </c>
      <c r="E2354">
        <v>0.49342409999999998</v>
      </c>
      <c r="F2354" t="s">
        <v>50</v>
      </c>
      <c r="G2354">
        <v>-472.71600000000001</v>
      </c>
      <c r="H2354" s="1">
        <v>5.1257680000000001E-6</v>
      </c>
      <c r="I2354">
        <v>281.36869999999999</v>
      </c>
      <c r="J2354">
        <v>-457.0967</v>
      </c>
      <c r="K2354">
        <v>1.1094630000000001</v>
      </c>
      <c r="L2354">
        <v>283.84280000000001</v>
      </c>
      <c r="M2354">
        <v>-0.99983379999999999</v>
      </c>
      <c r="N2354">
        <v>0</v>
      </c>
      <c r="O2354">
        <v>-1.448463E-2</v>
      </c>
      <c r="P2354">
        <v>-0.99099459999999995</v>
      </c>
      <c r="Q2354">
        <v>1.454091E-3</v>
      </c>
      <c r="R2354">
        <v>-0.1338944</v>
      </c>
      <c r="S2354">
        <v>-2.9652099999999999</v>
      </c>
      <c r="T2354">
        <v>-0.2063305</v>
      </c>
      <c r="U2354">
        <v>-0.46099849999999998</v>
      </c>
      <c r="V2354">
        <v>-0.11952749999999999</v>
      </c>
      <c r="W2354">
        <v>1.243351E-2</v>
      </c>
      <c r="X2354">
        <v>0.992753</v>
      </c>
      <c r="Y2354">
        <v>-0.13900009999999999</v>
      </c>
      <c r="Z2354">
        <v>-3.8010549999999998E-3</v>
      </c>
      <c r="AA2354">
        <v>0.99028510000000003</v>
      </c>
      <c r="AB2354">
        <v>32</v>
      </c>
      <c r="AC2354">
        <v>-15.619300000000001</v>
      </c>
      <c r="AD2354">
        <v>-1.10945787423199</v>
      </c>
      <c r="AE2354">
        <v>-2.4741000000000199</v>
      </c>
      <c r="AF2354">
        <v>-2.23657846525311</v>
      </c>
      <c r="AG2354">
        <v>-1.10945787423199</v>
      </c>
      <c r="AH2354">
        <v>15.5768316152471</v>
      </c>
      <c r="AI2354">
        <v>94.032785020347106</v>
      </c>
      <c r="AJ2354">
        <v>98.170891931676493</v>
      </c>
      <c r="AK2354">
        <v>15.7756414505303</v>
      </c>
      <c r="AL2354">
        <v>89.287593972908496</v>
      </c>
      <c r="AM2354">
        <v>96.865367522743696</v>
      </c>
      <c r="AN2354">
        <v>0.99999996721808404</v>
      </c>
    </row>
    <row r="2355" spans="1:40" x14ac:dyDescent="0.25">
      <c r="A2355" t="str">
        <f>"20190312151544087"</f>
        <v>20190312151544087</v>
      </c>
      <c r="B2355" t="str">
        <f>"1552374944079703"</f>
        <v>1552374944079703</v>
      </c>
      <c r="C2355" t="s">
        <v>40</v>
      </c>
      <c r="D2355">
        <v>4.257212</v>
      </c>
      <c r="E2355">
        <v>0.4933961</v>
      </c>
      <c r="F2355" t="s">
        <v>50</v>
      </c>
      <c r="G2355">
        <v>-474.42</v>
      </c>
      <c r="H2355" s="1">
        <v>4.3519429999999999E-6</v>
      </c>
      <c r="I2355">
        <v>281.16070000000002</v>
      </c>
      <c r="J2355">
        <v>-457.40370000000001</v>
      </c>
      <c r="K2355">
        <v>1.1094660000000001</v>
      </c>
      <c r="L2355">
        <v>283.8383</v>
      </c>
      <c r="M2355">
        <v>-0.99983219999999995</v>
      </c>
      <c r="N2355">
        <v>0</v>
      </c>
      <c r="O2355">
        <v>-1.4569500000000001E-2</v>
      </c>
      <c r="P2355">
        <v>-0.99096609999999996</v>
      </c>
      <c r="Q2355">
        <v>1.4110419999999999E-3</v>
      </c>
      <c r="R2355">
        <v>-0.13410469999999999</v>
      </c>
      <c r="S2355">
        <v>-2.9655149999999999</v>
      </c>
      <c r="T2355">
        <v>-0.18992529999999999</v>
      </c>
      <c r="U2355">
        <v>-0.45913700000000002</v>
      </c>
      <c r="V2355">
        <v>-0.119654</v>
      </c>
      <c r="W2355">
        <v>1.2409669999999999E-2</v>
      </c>
      <c r="X2355">
        <v>0.99273809999999996</v>
      </c>
      <c r="Y2355">
        <v>-0.13833980000000001</v>
      </c>
      <c r="Z2355">
        <v>-3.4728879999999999E-3</v>
      </c>
      <c r="AA2355">
        <v>0.99037869999999995</v>
      </c>
      <c r="AB2355">
        <v>32</v>
      </c>
      <c r="AC2355">
        <v>-17.016300000000001</v>
      </c>
      <c r="AD2355">
        <v>-1.1094616480570001</v>
      </c>
      <c r="AE2355">
        <v>-2.67759999999998</v>
      </c>
      <c r="AF2355">
        <v>-2.4193452833082199</v>
      </c>
      <c r="AG2355">
        <v>-1.1094616480570001</v>
      </c>
      <c r="AH2355">
        <v>16.983056256606901</v>
      </c>
      <c r="AI2355">
        <v>93.700428523033594</v>
      </c>
      <c r="AJ2355">
        <v>98.107600189799001</v>
      </c>
      <c r="AK2355">
        <v>17.1903559172999</v>
      </c>
      <c r="AL2355">
        <v>89.288960038306399</v>
      </c>
      <c r="AM2355">
        <v>96.872666081024803</v>
      </c>
      <c r="AN2355">
        <v>1.00000000740855</v>
      </c>
    </row>
    <row r="2356" spans="1:40" x14ac:dyDescent="0.25">
      <c r="A2356" t="str">
        <f>"20190312151544109"</f>
        <v>20190312151544109</v>
      </c>
      <c r="B2356" t="str">
        <f>"1552374944100199"</f>
        <v>1552374944100199</v>
      </c>
      <c r="C2356" t="s">
        <v>40</v>
      </c>
      <c r="D2356">
        <v>4.51776</v>
      </c>
      <c r="E2356">
        <v>0.49360029999999999</v>
      </c>
      <c r="F2356" t="s">
        <v>50</v>
      </c>
      <c r="G2356">
        <v>-474.9699</v>
      </c>
      <c r="H2356" s="1">
        <v>4.1040879999999999E-6</v>
      </c>
      <c r="I2356">
        <v>281.11520000000002</v>
      </c>
      <c r="J2356">
        <v>-457.7285</v>
      </c>
      <c r="K2356">
        <v>1.1094599999999999</v>
      </c>
      <c r="L2356">
        <v>283.83339999999998</v>
      </c>
      <c r="M2356">
        <v>-0.99983080000000002</v>
      </c>
      <c r="N2356">
        <v>0</v>
      </c>
      <c r="O2356">
        <v>-1.465997E-2</v>
      </c>
      <c r="P2356">
        <v>-0.99098240000000004</v>
      </c>
      <c r="Q2356">
        <v>1.1461939999999999E-3</v>
      </c>
      <c r="R2356">
        <v>-0.13398879999999999</v>
      </c>
      <c r="S2356">
        <v>-2.9653930000000002</v>
      </c>
      <c r="T2356">
        <v>-0.1872904</v>
      </c>
      <c r="U2356">
        <v>-0.45968629999999999</v>
      </c>
      <c r="V2356">
        <v>-0.1194474</v>
      </c>
      <c r="W2356">
        <v>1.2164599999999999E-2</v>
      </c>
      <c r="X2356">
        <v>0.99276600000000004</v>
      </c>
      <c r="Y2356">
        <v>-0.13844239999999999</v>
      </c>
      <c r="Z2356">
        <v>-3.422437E-3</v>
      </c>
      <c r="AA2356">
        <v>0.99036460000000004</v>
      </c>
      <c r="AB2356">
        <v>32</v>
      </c>
      <c r="AC2356">
        <v>-17.241399999999999</v>
      </c>
      <c r="AD2356">
        <v>-1.109455895912</v>
      </c>
      <c r="AE2356">
        <v>-2.71819999999996</v>
      </c>
      <c r="AF2356">
        <v>-2.4552140709100101</v>
      </c>
      <c r="AG2356">
        <v>-1.109455895912</v>
      </c>
      <c r="AH2356">
        <v>17.209865304920299</v>
      </c>
      <c r="AI2356">
        <v>93.651669275812097</v>
      </c>
      <c r="AJ2356">
        <v>98.1192109371773</v>
      </c>
      <c r="AK2356">
        <v>17.4194842728614</v>
      </c>
      <c r="AL2356">
        <v>89.303002566206601</v>
      </c>
      <c r="AM2356">
        <v>96.8607216576209</v>
      </c>
      <c r="AN2356">
        <v>0.99999999480795998</v>
      </c>
    </row>
    <row r="2357" spans="1:40" x14ac:dyDescent="0.25">
      <c r="A2357" t="str">
        <f>"20190312151544133"</f>
        <v>20190312151544133</v>
      </c>
      <c r="B2357" t="str">
        <f>"1552374944130466"</f>
        <v>1552374944130466</v>
      </c>
      <c r="C2357" t="s">
        <v>40</v>
      </c>
      <c r="D2357">
        <v>4.2685579999999996</v>
      </c>
      <c r="E2357">
        <v>0.4936162</v>
      </c>
      <c r="F2357" t="s">
        <v>50</v>
      </c>
      <c r="G2357">
        <v>-475.79320000000001</v>
      </c>
      <c r="H2357" s="1">
        <v>3.732906E-6</v>
      </c>
      <c r="I2357">
        <v>281.04539999999997</v>
      </c>
      <c r="J2357">
        <v>-458.05419999999998</v>
      </c>
      <c r="K2357">
        <v>1.109464</v>
      </c>
      <c r="L2357">
        <v>283.82859999999999</v>
      </c>
      <c r="M2357">
        <v>-0.99982939999999998</v>
      </c>
      <c r="N2357">
        <v>0</v>
      </c>
      <c r="O2357">
        <v>-1.4752589999999999E-2</v>
      </c>
      <c r="P2357">
        <v>-0.99099369999999998</v>
      </c>
      <c r="Q2357">
        <v>6.1155390000000001E-4</v>
      </c>
      <c r="R2357">
        <v>-0.13390869999999999</v>
      </c>
      <c r="S2357">
        <v>-2.965668</v>
      </c>
      <c r="T2357">
        <v>-0.18213879999999999</v>
      </c>
      <c r="U2357">
        <v>-0.45770260000000001</v>
      </c>
      <c r="V2357">
        <v>-0.1192754</v>
      </c>
      <c r="W2357">
        <v>1.164726E-2</v>
      </c>
      <c r="X2357">
        <v>0.99279289999999998</v>
      </c>
      <c r="Y2357">
        <v>-0.1377043</v>
      </c>
      <c r="Z2357">
        <v>-3.300182E-3</v>
      </c>
      <c r="AA2357">
        <v>0.99046789999999996</v>
      </c>
      <c r="AB2357">
        <v>32</v>
      </c>
      <c r="AC2357">
        <v>-17.739000000000001</v>
      </c>
      <c r="AD2357">
        <v>-1.1094602670939999</v>
      </c>
      <c r="AE2357">
        <v>-2.7832000000000199</v>
      </c>
      <c r="AF2357">
        <v>-2.5115961556857198</v>
      </c>
      <c r="AG2357">
        <v>-1.1094602670939999</v>
      </c>
      <c r="AH2357">
        <v>17.710517499810098</v>
      </c>
      <c r="AI2357">
        <v>93.549142298437602</v>
      </c>
      <c r="AJ2357">
        <v>98.071511427146504</v>
      </c>
      <c r="AK2357">
        <v>17.922093835391902</v>
      </c>
      <c r="AL2357">
        <v>89.332646077146094</v>
      </c>
      <c r="AM2357">
        <v>96.850752560835005</v>
      </c>
      <c r="AN2357">
        <v>1.00000001100053</v>
      </c>
    </row>
    <row r="2358" spans="1:40" x14ac:dyDescent="0.25">
      <c r="A2358" t="str">
        <f>"20190312151544154"</f>
        <v>20190312151544154</v>
      </c>
      <c r="B2358" t="str">
        <f>"1552374944149985"</f>
        <v>1552374944149985</v>
      </c>
      <c r="C2358" t="s">
        <v>40</v>
      </c>
      <c r="D2358">
        <v>4.5384200000000003</v>
      </c>
      <c r="E2358">
        <v>0.4937049</v>
      </c>
      <c r="F2358" t="s">
        <v>50</v>
      </c>
      <c r="G2358">
        <v>-476.30119999999999</v>
      </c>
      <c r="H2358" s="1">
        <v>3.5051219999999999E-6</v>
      </c>
      <c r="I2358">
        <v>281.01710000000003</v>
      </c>
      <c r="J2358">
        <v>-458.37349999999998</v>
      </c>
      <c r="K2358">
        <v>1.109467</v>
      </c>
      <c r="L2358">
        <v>283.82369999999997</v>
      </c>
      <c r="M2358">
        <v>-0.99982760000000004</v>
      </c>
      <c r="N2358">
        <v>0</v>
      </c>
      <c r="O2358">
        <v>-1.484857E-2</v>
      </c>
      <c r="P2358">
        <v>-0.99102749999999995</v>
      </c>
      <c r="Q2358">
        <v>2.9281810000000001E-4</v>
      </c>
      <c r="R2358">
        <v>-0.13365869999999999</v>
      </c>
      <c r="S2358">
        <v>-2.9656069999999999</v>
      </c>
      <c r="T2358">
        <v>-0.18031530000000001</v>
      </c>
      <c r="U2358">
        <v>-0.4569397</v>
      </c>
      <c r="V2358">
        <v>-0.1189298</v>
      </c>
      <c r="W2358">
        <v>1.1344969999999999E-2</v>
      </c>
      <c r="X2358">
        <v>0.99283779999999999</v>
      </c>
      <c r="Y2358">
        <v>-0.13736860000000001</v>
      </c>
      <c r="Z2358">
        <v>-3.2514029999999999E-3</v>
      </c>
      <c r="AA2358">
        <v>0.99051460000000002</v>
      </c>
      <c r="AB2358">
        <v>32</v>
      </c>
      <c r="AC2358">
        <v>-17.927700000000002</v>
      </c>
      <c r="AD2358">
        <v>-1.109463494878</v>
      </c>
      <c r="AE2358">
        <v>-2.80659999999994</v>
      </c>
      <c r="AF2358">
        <v>-2.5306133769122798</v>
      </c>
      <c r="AG2358">
        <v>-1.109463494878</v>
      </c>
      <c r="AH2358">
        <v>17.900484460771001</v>
      </c>
      <c r="AI2358">
        <v>93.511797559074594</v>
      </c>
      <c r="AJ2358">
        <v>98.046650843767495</v>
      </c>
      <c r="AK2358">
        <v>18.112488985232801</v>
      </c>
      <c r="AL2358">
        <v>89.349967124081303</v>
      </c>
      <c r="AM2358">
        <v>96.8307843640698</v>
      </c>
      <c r="AN2358">
        <v>0.99999995139058895</v>
      </c>
    </row>
    <row r="2359" spans="1:40" x14ac:dyDescent="0.25">
      <c r="A2359" t="str">
        <f>"20190312151544177"</f>
        <v>20190312151544177</v>
      </c>
      <c r="B2359" t="str">
        <f>"1552374944170481"</f>
        <v>1552374944170481</v>
      </c>
      <c r="C2359" t="s">
        <v>40</v>
      </c>
      <c r="D2359">
        <v>4.4755570000000002</v>
      </c>
      <c r="E2359">
        <v>0.49382530000000002</v>
      </c>
      <c r="F2359" t="s">
        <v>50</v>
      </c>
      <c r="G2359">
        <v>-476.8449</v>
      </c>
      <c r="H2359" s="1">
        <v>3.2614659999999999E-6</v>
      </c>
      <c r="I2359">
        <v>280.98809999999997</v>
      </c>
      <c r="J2359">
        <v>-458.6902</v>
      </c>
      <c r="K2359">
        <v>1.109478</v>
      </c>
      <c r="L2359">
        <v>283.81889999999999</v>
      </c>
      <c r="M2359">
        <v>-0.99982579999999999</v>
      </c>
      <c r="N2359">
        <v>0</v>
      </c>
      <c r="O2359">
        <v>-1.4953549999999999E-2</v>
      </c>
      <c r="P2359">
        <v>-0.99099300000000001</v>
      </c>
      <c r="Q2359">
        <v>3.4082680000000002E-4</v>
      </c>
      <c r="R2359">
        <v>-0.1339148</v>
      </c>
      <c r="S2359">
        <v>-2.9657589999999998</v>
      </c>
      <c r="T2359">
        <v>-0.1781346</v>
      </c>
      <c r="U2359">
        <v>-0.45529170000000002</v>
      </c>
      <c r="V2359">
        <v>-0.1190821</v>
      </c>
      <c r="W2359">
        <v>1.1410770000000001E-2</v>
      </c>
      <c r="X2359">
        <v>0.9928188</v>
      </c>
      <c r="Y2359">
        <v>-0.13672590000000001</v>
      </c>
      <c r="Z2359">
        <v>-3.1866889999999999E-3</v>
      </c>
      <c r="AA2359">
        <v>0.99060380000000003</v>
      </c>
      <c r="AB2359">
        <v>32</v>
      </c>
      <c r="AC2359">
        <v>-18.154699999999899</v>
      </c>
      <c r="AD2359">
        <v>-1.109474738534</v>
      </c>
      <c r="AE2359">
        <v>-2.8308</v>
      </c>
      <c r="AF2359">
        <v>-2.5496929597873401</v>
      </c>
      <c r="AG2359">
        <v>-1.109474738534</v>
      </c>
      <c r="AH2359">
        <v>18.1289039154695</v>
      </c>
      <c r="AI2359">
        <v>93.468042119068201</v>
      </c>
      <c r="AJ2359">
        <v>98.0057077200902</v>
      </c>
      <c r="AK2359">
        <v>18.340911252196801</v>
      </c>
      <c r="AL2359">
        <v>89.346196823785704</v>
      </c>
      <c r="AM2359">
        <v>96.839578621498305</v>
      </c>
      <c r="AN2359">
        <v>0.99999996092291998</v>
      </c>
    </row>
    <row r="2360" spans="1:40" x14ac:dyDescent="0.25">
      <c r="A2360" t="str">
        <f>"20190312151544199"</f>
        <v>20190312151544199</v>
      </c>
      <c r="B2360" t="str">
        <f>"1552374944190001"</f>
        <v>1552374944190001</v>
      </c>
      <c r="C2360" t="s">
        <v>40</v>
      </c>
      <c r="D2360">
        <v>4.2692370000000004</v>
      </c>
      <c r="E2360">
        <v>0.49365439999999999</v>
      </c>
      <c r="F2360" t="s">
        <v>50</v>
      </c>
      <c r="G2360">
        <v>-477.661</v>
      </c>
      <c r="H2360" s="1">
        <v>2.8925720000000001E-6</v>
      </c>
      <c r="I2360">
        <v>280.90789999999998</v>
      </c>
      <c r="J2360">
        <v>-459.01350000000002</v>
      </c>
      <c r="K2360">
        <v>1.1094889999999999</v>
      </c>
      <c r="L2360">
        <v>283.81400000000002</v>
      </c>
      <c r="M2360">
        <v>-0.99982380000000004</v>
      </c>
      <c r="N2360">
        <v>0</v>
      </c>
      <c r="O2360">
        <v>-1.5069880000000001E-2</v>
      </c>
      <c r="P2360">
        <v>-0.99091700000000005</v>
      </c>
      <c r="Q2360">
        <v>1.663491E-4</v>
      </c>
      <c r="R2360">
        <v>-0.13447579999999901</v>
      </c>
      <c r="S2360">
        <v>-2.965881</v>
      </c>
      <c r="T2360">
        <v>-0.1734549</v>
      </c>
      <c r="U2360">
        <v>-0.45510859999999898</v>
      </c>
      <c r="V2360">
        <v>-0.1195287</v>
      </c>
      <c r="W2360">
        <v>1.1255329999999999E-2</v>
      </c>
      <c r="X2360">
        <v>0.99276690000000001</v>
      </c>
      <c r="Y2360">
        <v>-0.13655639999999999</v>
      </c>
      <c r="Z2360">
        <v>-3.0913249999999998E-3</v>
      </c>
      <c r="AA2360">
        <v>0.99062749999999999</v>
      </c>
      <c r="AB2360">
        <v>32</v>
      </c>
      <c r="AC2360">
        <v>-18.647499999999901</v>
      </c>
      <c r="AD2360">
        <v>-1.109486107428</v>
      </c>
      <c r="AE2360">
        <v>-2.9061000000000301</v>
      </c>
      <c r="AF2360">
        <v>-2.61569676728138</v>
      </c>
      <c r="AG2360">
        <v>-1.109486107428</v>
      </c>
      <c r="AH2360">
        <v>18.624811120376201</v>
      </c>
      <c r="AI2360">
        <v>93.376045726313805</v>
      </c>
      <c r="AJ2360">
        <v>97.994419778088599</v>
      </c>
      <c r="AK2360">
        <v>18.8402871069055</v>
      </c>
      <c r="AL2360">
        <v>89.355103448384497</v>
      </c>
      <c r="AM2360">
        <v>96.865340582565295</v>
      </c>
      <c r="AN2360">
        <v>0.99999995515635298</v>
      </c>
    </row>
    <row r="2361" spans="1:40" x14ac:dyDescent="0.25">
      <c r="A2361" t="str">
        <f>"20190312151544215"</f>
        <v>20190312151544215</v>
      </c>
      <c r="B2361" t="str">
        <f>"1552374944210498"</f>
        <v>1552374944210498</v>
      </c>
      <c r="C2361" t="s">
        <v>40</v>
      </c>
      <c r="D2361">
        <v>4.2862660000000004</v>
      </c>
      <c r="E2361">
        <v>0.49369930000000001</v>
      </c>
      <c r="F2361" t="s">
        <v>50</v>
      </c>
      <c r="G2361">
        <v>-477.87729999999999</v>
      </c>
      <c r="H2361" s="1">
        <v>2.7959670000000001E-6</v>
      </c>
      <c r="I2361">
        <v>280.89980000000003</v>
      </c>
      <c r="J2361">
        <v>-459.2405</v>
      </c>
      <c r="K2361">
        <v>1.1094980000000001</v>
      </c>
      <c r="L2361">
        <v>283.81049999999999</v>
      </c>
      <c r="M2361">
        <v>-0.9998224</v>
      </c>
      <c r="N2361">
        <v>0</v>
      </c>
      <c r="O2361">
        <v>-1.515827E-2</v>
      </c>
      <c r="P2361">
        <v>-0.9908863</v>
      </c>
      <c r="Q2361">
        <v>-1.28194699999999E-4</v>
      </c>
      <c r="R2361">
        <v>-0.13470299999999999</v>
      </c>
      <c r="S2361">
        <v>-2.965363</v>
      </c>
      <c r="T2361">
        <v>-0.1744096</v>
      </c>
      <c r="U2361">
        <v>-0.45809939999999999</v>
      </c>
      <c r="V2361">
        <v>-0.1196692</v>
      </c>
      <c r="W2361">
        <v>1.0974009999999999E-2</v>
      </c>
      <c r="X2361">
        <v>0.99275310000000005</v>
      </c>
      <c r="Y2361">
        <v>-0.13746700000000001</v>
      </c>
      <c r="Z2361">
        <v>-3.1300529999999998E-3</v>
      </c>
      <c r="AA2361">
        <v>0.99050139999999998</v>
      </c>
      <c r="AB2361">
        <v>32</v>
      </c>
      <c r="AC2361">
        <v>-18.636799999999901</v>
      </c>
      <c r="AD2361">
        <v>-1.1094952040329999</v>
      </c>
      <c r="AE2361">
        <v>-2.9106999999999599</v>
      </c>
      <c r="AF2361">
        <v>-2.6187858930763199</v>
      </c>
      <c r="AG2361">
        <v>-1.1094952040329999</v>
      </c>
      <c r="AH2361">
        <v>18.614381747405201</v>
      </c>
      <c r="AI2361">
        <v>93.3778468851783</v>
      </c>
      <c r="AJ2361">
        <v>98.008165097724699</v>
      </c>
      <c r="AK2361">
        <v>18.830406979130299</v>
      </c>
      <c r="AL2361">
        <v>89.371222878951698</v>
      </c>
      <c r="AM2361">
        <v>96.873427922058696</v>
      </c>
      <c r="AN2361">
        <v>0.99999993194186199</v>
      </c>
    </row>
    <row r="2362" spans="1:40" x14ac:dyDescent="0.25">
      <c r="A2362" t="str">
        <f>"20190312151544234"</f>
        <v>20190312151544234</v>
      </c>
      <c r="B2362" t="str">
        <f>"1552374944230465"</f>
        <v>1552374944230465</v>
      </c>
      <c r="C2362" t="s">
        <v>40</v>
      </c>
      <c r="D2362">
        <v>4.47743</v>
      </c>
      <c r="E2362">
        <v>0.49375079999999999</v>
      </c>
      <c r="F2362" t="s">
        <v>50</v>
      </c>
      <c r="G2362">
        <v>-478.17579999999998</v>
      </c>
      <c r="H2362" s="1">
        <v>2.6620819999999998E-6</v>
      </c>
      <c r="I2362">
        <v>280.88240000000002</v>
      </c>
      <c r="J2362">
        <v>-459.505</v>
      </c>
      <c r="K2362">
        <v>1.109504</v>
      </c>
      <c r="L2362">
        <v>283.80630000000002</v>
      </c>
      <c r="M2362">
        <v>-0.9998205</v>
      </c>
      <c r="N2362">
        <v>0</v>
      </c>
      <c r="O2362">
        <v>-1.52709E-2</v>
      </c>
      <c r="P2362">
        <v>-0.99086129999999994</v>
      </c>
      <c r="Q2362">
        <v>-1.063654E-4</v>
      </c>
      <c r="R2362">
        <v>-0.13488530000000001</v>
      </c>
      <c r="S2362">
        <v>-2.9652400000000001</v>
      </c>
      <c r="T2362">
        <v>-0.17374619999999999</v>
      </c>
      <c r="U2362">
        <v>-0.45852660000000001</v>
      </c>
      <c r="V2362">
        <v>-0.1197397</v>
      </c>
      <c r="W2362">
        <v>1.1010249999999999E-2</v>
      </c>
      <c r="X2362">
        <v>0.99274430000000002</v>
      </c>
      <c r="Y2362">
        <v>-0.13750270000000001</v>
      </c>
      <c r="Z2362">
        <v>-3.112746E-3</v>
      </c>
      <c r="AA2362">
        <v>0.9904965</v>
      </c>
      <c r="AB2362">
        <v>32</v>
      </c>
      <c r="AC2362">
        <v>-18.6707999999999</v>
      </c>
      <c r="AD2362">
        <v>-1.1095013379180001</v>
      </c>
      <c r="AE2362">
        <v>-2.9239000000000002</v>
      </c>
      <c r="AF2362">
        <v>-2.6293584658718498</v>
      </c>
      <c r="AG2362">
        <v>-1.1095013379180001</v>
      </c>
      <c r="AH2362">
        <v>18.648997880176001</v>
      </c>
      <c r="AI2362">
        <v>93.371467978053104</v>
      </c>
      <c r="AJ2362">
        <v>98.025344456932302</v>
      </c>
      <c r="AK2362">
        <v>18.866097664745102</v>
      </c>
      <c r="AL2362">
        <v>89.369146418233797</v>
      </c>
      <c r="AM2362">
        <v>96.877498831305701</v>
      </c>
      <c r="AN2362">
        <v>1.00000003327182</v>
      </c>
    </row>
    <row r="2363" spans="1:40" x14ac:dyDescent="0.25">
      <c r="A2363" t="str">
        <f>"20190312151544255"</f>
        <v>20190312151544255</v>
      </c>
      <c r="B2363" t="str">
        <f>"1552374944249985"</f>
        <v>1552374944249985</v>
      </c>
      <c r="C2363" t="s">
        <v>40</v>
      </c>
      <c r="D2363">
        <v>4.4948750000000004</v>
      </c>
      <c r="E2363">
        <v>0.49377670000000001</v>
      </c>
      <c r="F2363" t="s">
        <v>50</v>
      </c>
      <c r="G2363">
        <v>-478.7518</v>
      </c>
      <c r="H2363" s="1">
        <v>2.4020160000000001E-6</v>
      </c>
      <c r="I2363">
        <v>280.82990000000001</v>
      </c>
      <c r="J2363">
        <v>-459.82459999999998</v>
      </c>
      <c r="K2363">
        <v>1.109521</v>
      </c>
      <c r="L2363">
        <v>283.80130000000003</v>
      </c>
      <c r="M2363">
        <v>-0.99981779999999998</v>
      </c>
      <c r="N2363">
        <v>0</v>
      </c>
      <c r="O2363">
        <v>-1.542579E-2</v>
      </c>
      <c r="P2363">
        <v>-0.99081799999999998</v>
      </c>
      <c r="Q2363">
        <v>-1.0974799999999999E-4</v>
      </c>
      <c r="R2363">
        <v>-0.1352025</v>
      </c>
      <c r="S2363">
        <v>-2.9652099999999999</v>
      </c>
      <c r="T2363">
        <v>-0.1709321</v>
      </c>
      <c r="U2363">
        <v>-0.4585571</v>
      </c>
      <c r="V2363">
        <v>-0.119904399999999</v>
      </c>
      <c r="W2363">
        <v>1.1021690000000001E-2</v>
      </c>
      <c r="X2363">
        <v>0.99272419999999995</v>
      </c>
      <c r="Y2363">
        <v>-0.13736779999999901</v>
      </c>
      <c r="Z2363">
        <v>-3.0497129999999999E-3</v>
      </c>
      <c r="AA2363">
        <v>0.99051540000000005</v>
      </c>
      <c r="AB2363">
        <v>32</v>
      </c>
      <c r="AC2363">
        <v>-18.927199999999999</v>
      </c>
      <c r="AD2363">
        <v>-1.1095185979840001</v>
      </c>
      <c r="AE2363">
        <v>-2.9714000000000098</v>
      </c>
      <c r="AF2363">
        <v>-2.67010623608068</v>
      </c>
      <c r="AG2363">
        <v>-1.1095185979840001</v>
      </c>
      <c r="AH2363">
        <v>18.907377337448999</v>
      </c>
      <c r="AI2363">
        <v>93.325445946542601</v>
      </c>
      <c r="AJ2363">
        <v>98.038175050484497</v>
      </c>
      <c r="AK2363">
        <v>19.127190504930699</v>
      </c>
      <c r="AL2363">
        <v>89.368490855876701</v>
      </c>
      <c r="AM2363">
        <v>96.887006028603096</v>
      </c>
      <c r="AN2363">
        <v>0.99999994002772596</v>
      </c>
    </row>
    <row r="2364" spans="1:40" x14ac:dyDescent="0.25">
      <c r="A2364" t="str">
        <f>"20190312151544278"</f>
        <v>20190312151544278</v>
      </c>
      <c r="B2364" t="str">
        <f>"1552374944270480"</f>
        <v>1552374944270480</v>
      </c>
      <c r="C2364" t="s">
        <v>40</v>
      </c>
      <c r="D2364">
        <v>4.2644129999999896</v>
      </c>
      <c r="E2364">
        <v>0.49371409999999999</v>
      </c>
      <c r="F2364" t="s">
        <v>50</v>
      </c>
      <c r="G2364">
        <v>-479.32749999999999</v>
      </c>
      <c r="H2364" s="1">
        <v>2.1424949999999999E-6</v>
      </c>
      <c r="I2364">
        <v>280.78160000000003</v>
      </c>
      <c r="J2364">
        <v>-460.1431</v>
      </c>
      <c r="K2364">
        <v>1.1095330000000001</v>
      </c>
      <c r="L2364">
        <v>283.7962</v>
      </c>
      <c r="M2364">
        <v>-0.99981489999999995</v>
      </c>
      <c r="N2364">
        <v>0</v>
      </c>
      <c r="O2364">
        <v>-1.560074E-2</v>
      </c>
      <c r="P2364">
        <v>-0.99075619999999998</v>
      </c>
      <c r="Q2364">
        <v>1.2891930000000001E-4</v>
      </c>
      <c r="R2364">
        <v>-0.13565569999999999</v>
      </c>
      <c r="S2364">
        <v>-2.9651489999999998</v>
      </c>
      <c r="T2364">
        <v>-0.16868729999999901</v>
      </c>
      <c r="U2364">
        <v>-0.45910640000000003</v>
      </c>
      <c r="V2364">
        <v>-0.12018529999999999</v>
      </c>
      <c r="W2364">
        <v>1.127249E-2</v>
      </c>
      <c r="X2364">
        <v>0.99268749999999994</v>
      </c>
      <c r="Y2364">
        <v>-0.13738210000000001</v>
      </c>
      <c r="Z2364">
        <v>-3.000272E-3</v>
      </c>
      <c r="AA2364">
        <v>0.99051359999999999</v>
      </c>
      <c r="AB2364">
        <v>32</v>
      </c>
      <c r="AC2364">
        <v>-19.184399999999901</v>
      </c>
      <c r="AD2364">
        <v>-1.109530857505</v>
      </c>
      <c r="AE2364">
        <v>-3.01459999999997</v>
      </c>
      <c r="AF2364">
        <v>-2.70608980546251</v>
      </c>
      <c r="AG2364">
        <v>-1.109530857505</v>
      </c>
      <c r="AH2364">
        <v>19.166532821048602</v>
      </c>
      <c r="AI2364">
        <v>93.280631336945007</v>
      </c>
      <c r="AJ2364">
        <v>98.036374125154495</v>
      </c>
      <c r="AK2364">
        <v>19.388397590809799</v>
      </c>
      <c r="AL2364">
        <v>89.354120234860304</v>
      </c>
      <c r="AM2364">
        <v>96.903237461070603</v>
      </c>
      <c r="AN2364">
        <v>1.0000000240115601</v>
      </c>
    </row>
    <row r="2365" spans="1:40" x14ac:dyDescent="0.25">
      <c r="A2365" t="str">
        <f>"20190312151544300"</f>
        <v>20190312151544300</v>
      </c>
      <c r="B2365" t="str">
        <f>"1552374944290000"</f>
        <v>1552374944290000</v>
      </c>
      <c r="C2365" t="s">
        <v>40</v>
      </c>
      <c r="D2365">
        <v>4.2596449999999999</v>
      </c>
      <c r="E2365">
        <v>0.49345689999999998</v>
      </c>
      <c r="F2365" t="s">
        <v>50</v>
      </c>
      <c r="G2365">
        <v>-479.92919999999998</v>
      </c>
      <c r="H2365" s="1">
        <v>1.870233E-6</v>
      </c>
      <c r="I2365">
        <v>280.71929999999998</v>
      </c>
      <c r="J2365">
        <v>-460.46710000000002</v>
      </c>
      <c r="K2365">
        <v>1.109559</v>
      </c>
      <c r="L2365">
        <v>283.791</v>
      </c>
      <c r="M2365">
        <v>-0.99981169999999997</v>
      </c>
      <c r="N2365">
        <v>0</v>
      </c>
      <c r="O2365">
        <v>-1.5802190000000001E-2</v>
      </c>
      <c r="P2365">
        <v>-0.99068650000000003</v>
      </c>
      <c r="Q2365">
        <v>-1.147529E-4</v>
      </c>
      <c r="R2365">
        <v>-0.13616510000000001</v>
      </c>
      <c r="S2365">
        <v>-2.964874</v>
      </c>
      <c r="T2365">
        <v>-0.166259299999999</v>
      </c>
      <c r="U2365">
        <v>-0.46105960000000001</v>
      </c>
      <c r="V2365">
        <v>-0.12049609999999999</v>
      </c>
      <c r="W2365">
        <v>1.103934E-2</v>
      </c>
      <c r="X2365">
        <v>0.99265239999999999</v>
      </c>
      <c r="Y2365">
        <v>-0.13783870000000001</v>
      </c>
      <c r="Z2365">
        <v>-2.9587789999999999E-3</v>
      </c>
      <c r="AA2365">
        <v>0.99045030000000001</v>
      </c>
      <c r="AB2365">
        <v>32</v>
      </c>
      <c r="AC2365">
        <v>-19.4620999999999</v>
      </c>
      <c r="AD2365">
        <v>-1.1095571297669999</v>
      </c>
      <c r="AE2365">
        <v>-3.0717000000000199</v>
      </c>
      <c r="AF2365">
        <v>-2.7550161830056799</v>
      </c>
      <c r="AG2365">
        <v>-1.1095571297669999</v>
      </c>
      <c r="AH2365">
        <v>19.4465419134184</v>
      </c>
      <c r="AI2365">
        <v>93.233355092328907</v>
      </c>
      <c r="AJ2365">
        <v>98.063504418914704</v>
      </c>
      <c r="AK2365">
        <v>19.672041672972799</v>
      </c>
      <c r="AL2365">
        <v>89.367479550446205</v>
      </c>
      <c r="AM2365">
        <v>96.921158705072699</v>
      </c>
      <c r="AN2365">
        <v>0.99999998218430197</v>
      </c>
    </row>
    <row r="2366" spans="1:40" x14ac:dyDescent="0.25">
      <c r="A2366" t="str">
        <f>"20190312151544322"</f>
        <v>20190312151544322</v>
      </c>
      <c r="B2366" t="str">
        <f>"1552374944310497"</f>
        <v>1552374944310497</v>
      </c>
      <c r="C2366" t="s">
        <v>40</v>
      </c>
      <c r="D2366">
        <v>4.4691020000000004</v>
      </c>
      <c r="E2366">
        <v>0.49330459999999898</v>
      </c>
      <c r="F2366" t="s">
        <v>50</v>
      </c>
      <c r="G2366">
        <v>-479.97280000000001</v>
      </c>
      <c r="H2366" s="1">
        <v>1.861357E-6</v>
      </c>
      <c r="I2366">
        <v>280.73219999999998</v>
      </c>
      <c r="J2366">
        <v>-460.78269999999998</v>
      </c>
      <c r="K2366">
        <v>1.1095809999999999</v>
      </c>
      <c r="L2366">
        <v>283.78570000000002</v>
      </c>
      <c r="M2366">
        <v>-0.99980780000000002</v>
      </c>
      <c r="N2366">
        <v>0</v>
      </c>
      <c r="O2366">
        <v>-1.6027039999999999E-2</v>
      </c>
      <c r="P2366">
        <v>-0.99058900000000005</v>
      </c>
      <c r="Q2366" s="1">
        <v>-5.7526859999999997E-5</v>
      </c>
      <c r="R2366">
        <v>-0.1368723</v>
      </c>
      <c r="S2366">
        <v>-2.9642940000000002</v>
      </c>
      <c r="T2366">
        <v>-0.1686202</v>
      </c>
      <c r="U2366">
        <v>-0.46484379999999997</v>
      </c>
      <c r="V2366">
        <v>-0.12098159999999999</v>
      </c>
      <c r="W2366">
        <v>1.110323E-2</v>
      </c>
      <c r="X2366">
        <v>0.99259260000000005</v>
      </c>
      <c r="Y2366">
        <v>-0.13887289999999999</v>
      </c>
      <c r="Z2366">
        <v>-3.0175359999999999E-3</v>
      </c>
      <c r="AA2366">
        <v>0.99030560000000001</v>
      </c>
      <c r="AB2366">
        <v>32</v>
      </c>
      <c r="AC2366">
        <v>-19.190100000000001</v>
      </c>
      <c r="AD2366">
        <v>-1.1095791386429901</v>
      </c>
      <c r="AE2366">
        <v>-3.0535000000000401</v>
      </c>
      <c r="AF2366">
        <v>-2.7366045562197101</v>
      </c>
      <c r="AG2366">
        <v>-1.1095791386429901</v>
      </c>
      <c r="AH2366">
        <v>19.174056823312799</v>
      </c>
      <c r="AI2366">
        <v>93.278789826804797</v>
      </c>
      <c r="AJ2366">
        <v>98.1226452096694</v>
      </c>
      <c r="AK2366">
        <v>19.400119211635399</v>
      </c>
      <c r="AL2366">
        <v>89.363818677810798</v>
      </c>
      <c r="AM2366">
        <v>96.9491877100631</v>
      </c>
      <c r="AN2366">
        <v>0.99999994941487502</v>
      </c>
    </row>
    <row r="2367" spans="1:40" x14ac:dyDescent="0.25">
      <c r="A2367" t="str">
        <f>"20190312151544344"</f>
        <v>20190312151544344</v>
      </c>
      <c r="B2367" t="str">
        <f>"1552374944339776"</f>
        <v>1552374944339776</v>
      </c>
      <c r="C2367" t="s">
        <v>40</v>
      </c>
      <c r="D2367">
        <v>4.2514580000000004</v>
      </c>
      <c r="E2367">
        <v>0.49312919999999999</v>
      </c>
      <c r="F2367" t="s">
        <v>50</v>
      </c>
      <c r="G2367">
        <v>-480.34429999999998</v>
      </c>
      <c r="H2367" s="1">
        <v>1.9239860000000002E-6</v>
      </c>
      <c r="I2367">
        <v>280.69459999999998</v>
      </c>
      <c r="J2367">
        <v>-461.11</v>
      </c>
      <c r="K2367">
        <v>1.1096079999999999</v>
      </c>
      <c r="L2367">
        <v>283.78019999999998</v>
      </c>
      <c r="M2367">
        <v>-0.99980329999999995</v>
      </c>
      <c r="N2367">
        <v>0</v>
      </c>
      <c r="O2367">
        <v>-1.6299060000000001E-2</v>
      </c>
      <c r="P2367">
        <v>-0.99044449999999995</v>
      </c>
      <c r="Q2367">
        <v>-3.3696650000000002E-4</v>
      </c>
      <c r="R2367">
        <v>-0.1379116</v>
      </c>
      <c r="S2367">
        <v>-2.9637760000000002</v>
      </c>
      <c r="T2367">
        <v>-0.16811139999999999</v>
      </c>
      <c r="U2367">
        <v>-0.46832279999999998</v>
      </c>
      <c r="V2367">
        <v>-0.1217539</v>
      </c>
      <c r="W2367">
        <v>1.0827150000000001E-2</v>
      </c>
      <c r="X2367">
        <v>0.99250130000000003</v>
      </c>
      <c r="Y2367">
        <v>-0.13976450000000001</v>
      </c>
      <c r="Z2367">
        <v>-3.0184919999999998E-3</v>
      </c>
      <c r="AA2367">
        <v>0.99018019999999995</v>
      </c>
      <c r="AB2367">
        <v>32</v>
      </c>
      <c r="AC2367">
        <v>-19.234299999999902</v>
      </c>
      <c r="AD2367">
        <v>-1.1096060760140001</v>
      </c>
      <c r="AE2367">
        <v>-3.0855999999999901</v>
      </c>
      <c r="AF2367">
        <v>-2.7627053958875698</v>
      </c>
      <c r="AG2367">
        <v>-1.1096060760140001</v>
      </c>
      <c r="AH2367">
        <v>19.219681683360999</v>
      </c>
      <c r="AI2367">
        <v>93.270635706040395</v>
      </c>
      <c r="AJ2367">
        <v>98.179868159324499</v>
      </c>
      <c r="AK2367">
        <v>19.448905644228802</v>
      </c>
      <c r="AL2367">
        <v>89.379637901557402</v>
      </c>
      <c r="AM2367">
        <v>96.993747697747693</v>
      </c>
      <c r="AN2367">
        <v>1.00000003492201</v>
      </c>
    </row>
    <row r="2368" spans="1:40" x14ac:dyDescent="0.25">
      <c r="A2368" t="str">
        <f>"20190312151544367"</f>
        <v>20190312151544367</v>
      </c>
      <c r="B2368" t="str">
        <f>"1552374944360272"</f>
        <v>1552374944360272</v>
      </c>
      <c r="C2368" t="s">
        <v>40</v>
      </c>
      <c r="D2368">
        <v>4.2741790000000002</v>
      </c>
      <c r="E2368">
        <v>0.49284080000000002</v>
      </c>
      <c r="F2368" t="s">
        <v>50</v>
      </c>
      <c r="G2368">
        <v>-480.53309999999999</v>
      </c>
      <c r="H2368" s="1">
        <v>1.9563089999999998E-6</v>
      </c>
      <c r="I2368">
        <v>280.68130000000002</v>
      </c>
      <c r="J2368">
        <v>-461.4255</v>
      </c>
      <c r="K2368">
        <v>1.1096429999999999</v>
      </c>
      <c r="L2368">
        <v>283.7747</v>
      </c>
      <c r="M2368">
        <v>-0.99979799999999996</v>
      </c>
      <c r="N2368">
        <v>0</v>
      </c>
      <c r="O2368">
        <v>-1.6610779999999999E-2</v>
      </c>
      <c r="P2368">
        <v>-0.99034460000000002</v>
      </c>
      <c r="Q2368">
        <v>-2.4197619999999999E-4</v>
      </c>
      <c r="R2368">
        <v>-0.1386279</v>
      </c>
      <c r="S2368">
        <v>-2.9630429999999999</v>
      </c>
      <c r="T2368">
        <v>-0.16927310000000001</v>
      </c>
      <c r="U2368">
        <v>-0.4727478</v>
      </c>
      <c r="V2368">
        <v>-0.1221636</v>
      </c>
      <c r="W2368">
        <v>1.0922039999999999E-2</v>
      </c>
      <c r="X2368">
        <v>0.9924499</v>
      </c>
      <c r="Y2368">
        <v>-0.14093169999999999</v>
      </c>
      <c r="Z2368">
        <v>-3.0551440000000001E-3</v>
      </c>
      <c r="AA2368">
        <v>0.99001459999999997</v>
      </c>
      <c r="AB2368">
        <v>32</v>
      </c>
      <c r="AC2368">
        <v>-19.107599999999898</v>
      </c>
      <c r="AD2368">
        <v>-1.109641043691</v>
      </c>
      <c r="AE2368">
        <v>-3.0933999999999702</v>
      </c>
      <c r="AF2368">
        <v>-2.7664690464167001</v>
      </c>
      <c r="AG2368">
        <v>-1.109641043691</v>
      </c>
      <c r="AH2368">
        <v>19.093601819147</v>
      </c>
      <c r="AI2368">
        <v>93.291756397766505</v>
      </c>
      <c r="AJ2368">
        <v>98.244205793365296</v>
      </c>
      <c r="AK2368">
        <v>19.324861827675701</v>
      </c>
      <c r="AL2368">
        <v>89.374200774432595</v>
      </c>
      <c r="AM2368">
        <v>97.017407116445099</v>
      </c>
      <c r="AN2368">
        <v>1.0000000200663599</v>
      </c>
    </row>
    <row r="2369" spans="1:40" x14ac:dyDescent="0.25">
      <c r="A2369" t="str">
        <f>"20190312151544383"</f>
        <v>20190312151544383</v>
      </c>
      <c r="B2369" t="str">
        <f>"1552374944379793"</f>
        <v>1552374944379793</v>
      </c>
      <c r="C2369" t="s">
        <v>40</v>
      </c>
      <c r="D2369">
        <v>4.601661</v>
      </c>
      <c r="E2369">
        <v>0.49258079999999999</v>
      </c>
      <c r="F2369" t="s">
        <v>50</v>
      </c>
      <c r="G2369">
        <v>-480.72070000000002</v>
      </c>
      <c r="H2369" s="1">
        <v>1.9883609999999999E-6</v>
      </c>
      <c r="I2369">
        <v>280.66739999999999</v>
      </c>
      <c r="J2369">
        <v>-461.66559999999998</v>
      </c>
      <c r="K2369">
        <v>1.1096809999999999</v>
      </c>
      <c r="L2369">
        <v>283.77050000000003</v>
      </c>
      <c r="M2369">
        <v>-0.9997933</v>
      </c>
      <c r="N2369">
        <v>0</v>
      </c>
      <c r="O2369">
        <v>-1.689243E-2</v>
      </c>
      <c r="P2369">
        <v>-0.99025960000000002</v>
      </c>
      <c r="Q2369">
        <v>-3.5282599999999999E-4</v>
      </c>
      <c r="R2369">
        <v>-0.13923369999999999</v>
      </c>
      <c r="S2369">
        <v>-2.9624329999999999</v>
      </c>
      <c r="T2369">
        <v>-0.1703655</v>
      </c>
      <c r="U2369">
        <v>-0.47708129999999999</v>
      </c>
      <c r="V2369">
        <v>-0.1224917</v>
      </c>
      <c r="W2369">
        <v>1.080761E-2</v>
      </c>
      <c r="X2369">
        <v>0.99241069999999998</v>
      </c>
      <c r="Y2369">
        <v>-0.14209240000000001</v>
      </c>
      <c r="Z2369">
        <v>-3.0921669999999998E-3</v>
      </c>
      <c r="AA2369">
        <v>0.98984859999999997</v>
      </c>
      <c r="AB2369">
        <v>32</v>
      </c>
      <c r="AC2369">
        <v>-19.055099999999999</v>
      </c>
      <c r="AD2369">
        <v>-1.1096790116389901</v>
      </c>
      <c r="AE2369">
        <v>-3.1031000000000399</v>
      </c>
      <c r="AF2369">
        <v>-2.7715930201852501</v>
      </c>
      <c r="AG2369">
        <v>-1.1096790116389901</v>
      </c>
      <c r="AH2369">
        <v>19.041893648502398</v>
      </c>
      <c r="AI2369">
        <v>93.300477775676995</v>
      </c>
      <c r="AJ2369">
        <v>98.281382353955493</v>
      </c>
      <c r="AK2369">
        <v>19.274512421830298</v>
      </c>
      <c r="AL2369">
        <v>89.380757510653893</v>
      </c>
      <c r="AM2369">
        <v>97.036340542914402</v>
      </c>
      <c r="AN2369">
        <v>1.0000000092386401</v>
      </c>
    </row>
    <row r="2370" spans="1:40" x14ac:dyDescent="0.25">
      <c r="A2370" t="str">
        <f>"20190312151544400"</f>
        <v>20190312151544400</v>
      </c>
      <c r="B2370" t="str">
        <f>"1552374944389553"</f>
        <v>1552374944389553</v>
      </c>
      <c r="C2370" t="s">
        <v>40</v>
      </c>
      <c r="D2370">
        <v>4.2415539999999998</v>
      </c>
      <c r="E2370">
        <v>0.49249169999999998</v>
      </c>
      <c r="F2370" t="s">
        <v>50</v>
      </c>
      <c r="G2370">
        <v>-480.92329999999998</v>
      </c>
      <c r="H2370" s="1">
        <v>2.0222170000000001E-6</v>
      </c>
      <c r="I2370">
        <v>280.64350000000002</v>
      </c>
      <c r="J2370">
        <v>-461.916</v>
      </c>
      <c r="K2370">
        <v>1.109723</v>
      </c>
      <c r="L2370">
        <v>283.76600000000002</v>
      </c>
      <c r="M2370">
        <v>-0.99978730000000005</v>
      </c>
      <c r="N2370">
        <v>0</v>
      </c>
      <c r="O2370">
        <v>-1.7234079999999999E-2</v>
      </c>
      <c r="P2370">
        <v>-0.99019190000000001</v>
      </c>
      <c r="Q2370">
        <v>-6.9125179999999901E-4</v>
      </c>
      <c r="R2370">
        <v>-0.1397119</v>
      </c>
      <c r="S2370">
        <v>-2.961792</v>
      </c>
      <c r="T2370">
        <v>-0.17066609999999999</v>
      </c>
      <c r="U2370">
        <v>-0.48092649999999998</v>
      </c>
      <c r="V2370">
        <v>-0.1226327</v>
      </c>
      <c r="W2370">
        <v>1.0462870000000001E-2</v>
      </c>
      <c r="X2370">
        <v>0.99239699999999997</v>
      </c>
      <c r="Y2370">
        <v>-0.14303829999999901</v>
      </c>
      <c r="Z2370">
        <v>-3.1054849999999998E-3</v>
      </c>
      <c r="AA2370">
        <v>0.98971229999999999</v>
      </c>
      <c r="AB2370">
        <v>32</v>
      </c>
      <c r="AC2370">
        <v>-19.007299999999901</v>
      </c>
      <c r="AD2370">
        <v>-1.1097209777829999</v>
      </c>
      <c r="AE2370">
        <v>-3.1224999999999401</v>
      </c>
      <c r="AF2370">
        <v>-2.78519746779777</v>
      </c>
      <c r="AG2370">
        <v>-1.1097209777829999</v>
      </c>
      <c r="AH2370">
        <v>18.995246287489799</v>
      </c>
      <c r="AI2370">
        <v>93.3081828015046</v>
      </c>
      <c r="AJ2370">
        <v>98.341612042424202</v>
      </c>
      <c r="AK2370">
        <v>19.230397476535799</v>
      </c>
      <c r="AL2370">
        <v>89.400510786117195</v>
      </c>
      <c r="AM2370">
        <v>97.044455004015205</v>
      </c>
      <c r="AN2370">
        <v>1.00000002818346</v>
      </c>
    </row>
    <row r="2371" spans="1:40" x14ac:dyDescent="0.25">
      <c r="A2371" t="str">
        <f>"20190312151544422"</f>
        <v>20190312151544422</v>
      </c>
      <c r="B2371" t="str">
        <f>"1552374944419808"</f>
        <v>1552374944419808</v>
      </c>
      <c r="C2371" t="s">
        <v>40</v>
      </c>
      <c r="D2371">
        <v>4.5000710000000002</v>
      </c>
      <c r="E2371">
        <v>0.49218659999999997</v>
      </c>
      <c r="F2371" t="s">
        <v>50</v>
      </c>
      <c r="G2371">
        <v>-481.1542</v>
      </c>
      <c r="H2371" s="1">
        <v>2.0617990000000001E-6</v>
      </c>
      <c r="I2371">
        <v>280.62790000000001</v>
      </c>
      <c r="J2371">
        <v>-462.23509999999999</v>
      </c>
      <c r="K2371">
        <v>1.1097939999999999</v>
      </c>
      <c r="L2371">
        <v>283.75990000000002</v>
      </c>
      <c r="M2371">
        <v>-0.99977800000000006</v>
      </c>
      <c r="N2371">
        <v>0</v>
      </c>
      <c r="O2371">
        <v>-1.7757220000000001E-2</v>
      </c>
      <c r="P2371">
        <v>-0.99013640000000003</v>
      </c>
      <c r="Q2371">
        <v>-1.2887669999999999E-3</v>
      </c>
      <c r="R2371">
        <v>-0.14010020000000001</v>
      </c>
      <c r="S2371">
        <v>-2.9614259999999999</v>
      </c>
      <c r="T2371">
        <v>-0.1708249</v>
      </c>
      <c r="U2371">
        <v>-0.48306270000000001</v>
      </c>
      <c r="V2371">
        <v>-0.1225043</v>
      </c>
      <c r="W2371">
        <v>9.852553E-3</v>
      </c>
      <c r="X2371">
        <v>0.9924191</v>
      </c>
      <c r="Y2371">
        <v>-0.14323540000000001</v>
      </c>
      <c r="Z2371">
        <v>-3.0842830000000002E-3</v>
      </c>
      <c r="AA2371">
        <v>0.9896838</v>
      </c>
      <c r="AB2371">
        <v>32</v>
      </c>
      <c r="AC2371">
        <v>-18.9191</v>
      </c>
      <c r="AD2371">
        <v>-1.109791938201</v>
      </c>
      <c r="AE2371">
        <v>-3.1320000000000001</v>
      </c>
      <c r="AF2371">
        <v>-2.7862023489188399</v>
      </c>
      <c r="AG2371">
        <v>-1.109791938201</v>
      </c>
      <c r="AH2371">
        <v>18.908407890115001</v>
      </c>
      <c r="AI2371">
        <v>93.323207326371403</v>
      </c>
      <c r="AJ2371">
        <v>98.382359145172003</v>
      </c>
      <c r="AK2371">
        <v>19.144776065918901</v>
      </c>
      <c r="AL2371">
        <v>89.435481175269402</v>
      </c>
      <c r="AM2371">
        <v>97.036998107752396</v>
      </c>
      <c r="AN2371">
        <v>1.0000000231819499</v>
      </c>
    </row>
    <row r="2372" spans="1:40" x14ac:dyDescent="0.25">
      <c r="A2372" t="str">
        <f>"20190312151544445"</f>
        <v>20190312151544445</v>
      </c>
      <c r="B2372" t="str">
        <f>"1552374944439836"</f>
        <v>1552374944439836</v>
      </c>
      <c r="C2372" t="s">
        <v>40</v>
      </c>
      <c r="D2372">
        <v>4.2180790000000004</v>
      </c>
      <c r="E2372">
        <v>0.49203799999999998</v>
      </c>
      <c r="F2372" t="s">
        <v>50</v>
      </c>
      <c r="G2372">
        <v>-481.36239999999998</v>
      </c>
      <c r="H2372" s="1">
        <v>2.097798E-6</v>
      </c>
      <c r="I2372">
        <v>280.61720000000003</v>
      </c>
      <c r="J2372">
        <v>-462.56459999999998</v>
      </c>
      <c r="K2372">
        <v>1.10988</v>
      </c>
      <c r="L2372">
        <v>283.7534</v>
      </c>
      <c r="M2372">
        <v>-0.99976600000000004</v>
      </c>
      <c r="N2372">
        <v>0</v>
      </c>
      <c r="O2372">
        <v>-1.8414420000000001E-2</v>
      </c>
      <c r="P2372">
        <v>-0.99004879999999995</v>
      </c>
      <c r="Q2372">
        <v>-1.6316220000000001E-3</v>
      </c>
      <c r="R2372">
        <v>-0.14071539999999999</v>
      </c>
      <c r="S2372">
        <v>-2.9608150000000002</v>
      </c>
      <c r="T2372">
        <v>-0.17179079999999999</v>
      </c>
      <c r="U2372">
        <v>-0.48648069999999999</v>
      </c>
      <c r="V2372">
        <v>-0.1224702</v>
      </c>
      <c r="W2372">
        <v>9.4939880000000001E-3</v>
      </c>
      <c r="X2372">
        <v>0.99242680000000005</v>
      </c>
      <c r="Y2372">
        <v>-0.14372789999999999</v>
      </c>
      <c r="Z2372">
        <v>-3.0784039999999999E-3</v>
      </c>
      <c r="AA2372">
        <v>0.98961250000000001</v>
      </c>
      <c r="AB2372">
        <v>32</v>
      </c>
      <c r="AC2372">
        <v>-18.797799999999899</v>
      </c>
      <c r="AD2372">
        <v>-1.109877902202</v>
      </c>
      <c r="AE2372">
        <v>-3.1361999999999699</v>
      </c>
      <c r="AF2372">
        <v>-2.78006621790112</v>
      </c>
      <c r="AG2372">
        <v>-1.109877902202</v>
      </c>
      <c r="AH2372">
        <v>18.788642489519301</v>
      </c>
      <c r="AI2372">
        <v>93.344305707793296</v>
      </c>
      <c r="AJ2372">
        <v>98.416714620136403</v>
      </c>
      <c r="AK2372">
        <v>19.0256060017199</v>
      </c>
      <c r="AL2372">
        <v>89.456026395349099</v>
      </c>
      <c r="AM2372">
        <v>97.035004900498805</v>
      </c>
      <c r="AN2372">
        <v>1.0000000195272101</v>
      </c>
    </row>
    <row r="2373" spans="1:40" x14ac:dyDescent="0.25">
      <c r="A2373" t="str">
        <f>"20190312151544468"</f>
        <v>20190312151544468</v>
      </c>
      <c r="B2373" t="str">
        <f>"1552374944460332"</f>
        <v>1552374944460332</v>
      </c>
      <c r="C2373" t="s">
        <v>40</v>
      </c>
      <c r="D2373">
        <v>4.2393809999999998</v>
      </c>
      <c r="E2373">
        <v>0.49187059999999999</v>
      </c>
      <c r="F2373" t="s">
        <v>50</v>
      </c>
      <c r="G2373">
        <v>-481.61239999999998</v>
      </c>
      <c r="H2373" s="1">
        <v>2.140797E-6</v>
      </c>
      <c r="I2373">
        <v>280.60169999999999</v>
      </c>
      <c r="J2373">
        <v>-462.88709999999998</v>
      </c>
      <c r="K2373">
        <v>1.109988</v>
      </c>
      <c r="L2373">
        <v>283.74680000000001</v>
      </c>
      <c r="M2373">
        <v>-0.9997511</v>
      </c>
      <c r="N2373">
        <v>0</v>
      </c>
      <c r="O2373">
        <v>-1.9198989999999999E-2</v>
      </c>
      <c r="P2373">
        <v>-0.98992939999999996</v>
      </c>
      <c r="Q2373">
        <v>-1.7976170000000001E-3</v>
      </c>
      <c r="R2373">
        <v>-0.1415506</v>
      </c>
      <c r="S2373">
        <v>-2.9602360000000001</v>
      </c>
      <c r="T2373">
        <v>-0.172487</v>
      </c>
      <c r="U2373">
        <v>-0.4898071</v>
      </c>
      <c r="V2373">
        <v>-0.122531399999999</v>
      </c>
      <c r="W2373">
        <v>9.3113669999999992E-3</v>
      </c>
      <c r="X2373">
        <v>0.992421</v>
      </c>
      <c r="Y2373">
        <v>-0.144064</v>
      </c>
      <c r="Z2373">
        <v>-3.0555640000000002E-3</v>
      </c>
      <c r="AA2373">
        <v>0.98956359999999999</v>
      </c>
      <c r="AB2373">
        <v>32</v>
      </c>
      <c r="AC2373">
        <v>-18.725300000000001</v>
      </c>
      <c r="AD2373">
        <v>-1.1099858592030001</v>
      </c>
      <c r="AE2373">
        <v>-3.14510000000001</v>
      </c>
      <c r="AF2373">
        <v>-2.7755051658465701</v>
      </c>
      <c r="AG2373">
        <v>-1.1099858592030001</v>
      </c>
      <c r="AH2373">
        <v>18.718267068472599</v>
      </c>
      <c r="AI2373">
        <v>93.357024651533095</v>
      </c>
      <c r="AJ2373">
        <v>98.434242957415606</v>
      </c>
      <c r="AK2373">
        <v>18.955448282220601</v>
      </c>
      <c r="AL2373">
        <v>89.466490283009406</v>
      </c>
      <c r="AM2373">
        <v>97.038525856613603</v>
      </c>
      <c r="AN2373">
        <v>1.00000004339118</v>
      </c>
    </row>
    <row r="2374" spans="1:40" x14ac:dyDescent="0.25">
      <c r="A2374" t="str">
        <f>"20190312151544490"</f>
        <v>20190312151544490</v>
      </c>
      <c r="B2374" t="str">
        <f>"1552374944479852"</f>
        <v>1552374944479852</v>
      </c>
      <c r="C2374" t="s">
        <v>40</v>
      </c>
      <c r="D2374">
        <v>4.3336670000000002</v>
      </c>
      <c r="E2374">
        <v>0.49167509999999998</v>
      </c>
      <c r="F2374" t="s">
        <v>50</v>
      </c>
      <c r="G2374">
        <v>-481.95749999999998</v>
      </c>
      <c r="H2374" s="1">
        <v>2.1990660000000002E-6</v>
      </c>
      <c r="I2374">
        <v>280.56810000000002</v>
      </c>
      <c r="J2374">
        <v>-463.21300000000002</v>
      </c>
      <c r="K2374">
        <v>1.110125</v>
      </c>
      <c r="L2374">
        <v>283.7396</v>
      </c>
      <c r="M2374">
        <v>-0.99973199999999995</v>
      </c>
      <c r="N2374">
        <v>0</v>
      </c>
      <c r="O2374">
        <v>-2.0165909999999999E-2</v>
      </c>
      <c r="P2374">
        <v>-0.98976109999999995</v>
      </c>
      <c r="Q2374">
        <v>-1.520967E-3</v>
      </c>
      <c r="R2374">
        <v>-0.1427262</v>
      </c>
      <c r="S2374">
        <v>-2.9596559999999998</v>
      </c>
      <c r="T2374">
        <v>-0.17226649999999999</v>
      </c>
      <c r="U2374">
        <v>-0.4933167</v>
      </c>
      <c r="V2374">
        <v>-0.1227535</v>
      </c>
      <c r="W2374">
        <v>9.5650330000000006E-3</v>
      </c>
      <c r="X2374">
        <v>0.99239109999999997</v>
      </c>
      <c r="Y2374">
        <v>-0.14428170000000001</v>
      </c>
      <c r="Z2374">
        <v>-3.0024539999999999E-3</v>
      </c>
      <c r="AA2374">
        <v>0.98953210000000003</v>
      </c>
      <c r="AB2374">
        <v>32</v>
      </c>
      <c r="AC2374">
        <v>-18.744499999999899</v>
      </c>
      <c r="AD2374">
        <v>-1.1101228009340001</v>
      </c>
      <c r="AE2374">
        <v>-3.17149999999998</v>
      </c>
      <c r="AF2374">
        <v>-2.7833398578720998</v>
      </c>
      <c r="AG2374">
        <v>-1.1101228009340001</v>
      </c>
      <c r="AH2374">
        <v>18.740744810233402</v>
      </c>
      <c r="AI2374">
        <v>93.353303442359504</v>
      </c>
      <c r="AJ2374">
        <v>98.447709495099801</v>
      </c>
      <c r="AK2374">
        <v>18.978800526900098</v>
      </c>
      <c r="AL2374">
        <v>89.451955623141899</v>
      </c>
      <c r="AM2374">
        <v>97.051365860896595</v>
      </c>
      <c r="AN2374">
        <v>1.0000000034888701</v>
      </c>
    </row>
    <row r="2375" spans="1:40" x14ac:dyDescent="0.25">
      <c r="A2375" t="str">
        <f>"20190312151544513"</f>
        <v>20190312151544513</v>
      </c>
      <c r="B2375" t="str">
        <f>"1552374944500349"</f>
        <v>1552374944500349</v>
      </c>
      <c r="C2375" t="s">
        <v>40</v>
      </c>
      <c r="D2375">
        <v>4.2708360000000001</v>
      </c>
      <c r="E2375">
        <v>0.49150690000000002</v>
      </c>
      <c r="F2375" t="s">
        <v>50</v>
      </c>
      <c r="G2375">
        <v>-482.31939999999997</v>
      </c>
      <c r="H2375" s="1">
        <v>2.2590019999999999E-6</v>
      </c>
      <c r="I2375">
        <v>280.51940000000002</v>
      </c>
      <c r="J2375">
        <v>-463.53089999999997</v>
      </c>
      <c r="K2375">
        <v>1.11029</v>
      </c>
      <c r="L2375">
        <v>283.7321</v>
      </c>
      <c r="M2375">
        <v>-0.99970789999999998</v>
      </c>
      <c r="N2375">
        <v>0</v>
      </c>
      <c r="O2375">
        <v>-2.1312439999999998E-2</v>
      </c>
      <c r="P2375">
        <v>-0.98954109999999995</v>
      </c>
      <c r="Q2375">
        <v>-2.0421060000000001E-3</v>
      </c>
      <c r="R2375">
        <v>-0.1442378</v>
      </c>
      <c r="S2375">
        <v>-2.9588619999999999</v>
      </c>
      <c r="T2375">
        <v>-0.17191670000000001</v>
      </c>
      <c r="U2375">
        <v>-0.49868770000000001</v>
      </c>
      <c r="V2375">
        <v>-0.1231337</v>
      </c>
      <c r="W2375">
        <v>9.0133569999999996E-3</v>
      </c>
      <c r="X2375">
        <v>0.99234909999999998</v>
      </c>
      <c r="Y2375">
        <v>-0.1449387</v>
      </c>
      <c r="Z2375">
        <v>-2.9496230000000002E-3</v>
      </c>
      <c r="AA2375">
        <v>0.98943619999999999</v>
      </c>
      <c r="AB2375">
        <v>32</v>
      </c>
      <c r="AC2375">
        <v>-18.788499999999999</v>
      </c>
      <c r="AD2375">
        <v>-1.1102877409980001</v>
      </c>
      <c r="AE2375">
        <v>-3.2126999999999799</v>
      </c>
      <c r="AF2375">
        <v>-2.8020084683754098</v>
      </c>
      <c r="AG2375">
        <v>-1.1102877409980001</v>
      </c>
      <c r="AH2375">
        <v>18.788957807591999</v>
      </c>
      <c r="AI2375">
        <v>93.344916523849307</v>
      </c>
      <c r="AJ2375">
        <v>98.482042338195001</v>
      </c>
      <c r="AK2375">
        <v>19.029159882142199</v>
      </c>
      <c r="AL2375">
        <v>89.483565662213294</v>
      </c>
      <c r="AM2375">
        <v>97.073281256351095</v>
      </c>
      <c r="AN2375">
        <v>0.99999994247545299</v>
      </c>
    </row>
    <row r="2376" spans="1:40" x14ac:dyDescent="0.25">
      <c r="A2376" t="str">
        <f>"20190312151544535"</f>
        <v>20190312151544535</v>
      </c>
      <c r="B2376" t="str">
        <f>"1552374944529628"</f>
        <v>1552374944529628</v>
      </c>
      <c r="C2376" t="s">
        <v>40</v>
      </c>
      <c r="D2376">
        <v>4.2569610000000004</v>
      </c>
      <c r="E2376">
        <v>0.49119560000000001</v>
      </c>
      <c r="F2376" t="s">
        <v>50</v>
      </c>
      <c r="G2376">
        <v>-482.49340000000001</v>
      </c>
      <c r="H2376" s="1">
        <v>2.287988E-6</v>
      </c>
      <c r="I2376">
        <v>280.49790000000002</v>
      </c>
      <c r="J2376">
        <v>-463.85469999999998</v>
      </c>
      <c r="K2376">
        <v>1.1104799999999999</v>
      </c>
      <c r="L2376">
        <v>283.72379999999998</v>
      </c>
      <c r="M2376">
        <v>-0.99967620000000001</v>
      </c>
      <c r="N2376">
        <v>0</v>
      </c>
      <c r="O2376">
        <v>-2.27417E-2</v>
      </c>
      <c r="P2376">
        <v>-0.98929699999999998</v>
      </c>
      <c r="Q2376">
        <v>-1.868946E-3</v>
      </c>
      <c r="R2376">
        <v>-0.14590500000000001</v>
      </c>
      <c r="S2376">
        <v>-2.9577939999999998</v>
      </c>
      <c r="T2376">
        <v>-0.17318459999999999</v>
      </c>
      <c r="U2376">
        <v>-0.50448609999999905</v>
      </c>
      <c r="V2376">
        <v>-0.1233914</v>
      </c>
      <c r="W2376">
        <v>9.1511579999999995E-3</v>
      </c>
      <c r="X2376">
        <v>0.99231590000000003</v>
      </c>
      <c r="Y2376">
        <v>-0.1454666</v>
      </c>
      <c r="Z2376">
        <v>-2.904322E-3</v>
      </c>
      <c r="AA2376">
        <v>0.98935890000000004</v>
      </c>
      <c r="AB2376">
        <v>32</v>
      </c>
      <c r="AC2376">
        <v>-18.6387</v>
      </c>
      <c r="AD2376">
        <v>-1.110477712012</v>
      </c>
      <c r="AE2376">
        <v>-3.2258999999999598</v>
      </c>
      <c r="AF2376">
        <v>-2.7915413781529201</v>
      </c>
      <c r="AG2376">
        <v>-1.110477712012</v>
      </c>
      <c r="AH2376">
        <v>18.642994271992102</v>
      </c>
      <c r="AI2376">
        <v>93.371322494621893</v>
      </c>
      <c r="AJ2376">
        <v>98.516013845709196</v>
      </c>
      <c r="AK2376">
        <v>18.883513959015801</v>
      </c>
      <c r="AL2376">
        <v>89.475669957541101</v>
      </c>
      <c r="AM2376">
        <v>97.088168868565305</v>
      </c>
      <c r="AN2376">
        <v>1.00000001333975</v>
      </c>
    </row>
    <row r="2377" spans="1:40" x14ac:dyDescent="0.25">
      <c r="A2377" t="str">
        <f>"20190312151544556"</f>
        <v>20190312151544556</v>
      </c>
      <c r="B2377" t="str">
        <f>"1552374944550124"</f>
        <v>1552374944550124</v>
      </c>
      <c r="C2377" t="s">
        <v>40</v>
      </c>
      <c r="D2377">
        <v>4.4907979999999998</v>
      </c>
      <c r="E2377">
        <v>0.49096309999999899</v>
      </c>
      <c r="F2377" t="s">
        <v>50</v>
      </c>
      <c r="G2377">
        <v>-482.89479999999998</v>
      </c>
      <c r="H2377" s="1">
        <v>2.353063E-6</v>
      </c>
      <c r="I2377">
        <v>280.42779999999999</v>
      </c>
      <c r="J2377">
        <v>-464.17320000000001</v>
      </c>
      <c r="K2377">
        <v>1.110692</v>
      </c>
      <c r="L2377">
        <v>283.7149</v>
      </c>
      <c r="M2377">
        <v>-0.99963650000000004</v>
      </c>
      <c r="N2377">
        <v>0</v>
      </c>
      <c r="O2377">
        <v>-2.441316E-2</v>
      </c>
      <c r="P2377">
        <v>-0.98901620000000001</v>
      </c>
      <c r="Q2377">
        <v>-1.8723909999999999E-3</v>
      </c>
      <c r="R2377">
        <v>-0.14779610000000001</v>
      </c>
      <c r="S2377">
        <v>-2.956604</v>
      </c>
      <c r="T2377">
        <v>-0.17243889999999901</v>
      </c>
      <c r="U2377">
        <v>-0.51181030000000005</v>
      </c>
      <c r="V2377">
        <v>-0.1236342</v>
      </c>
      <c r="W2377">
        <v>9.1106280000000008E-3</v>
      </c>
      <c r="X2377">
        <v>0.992286</v>
      </c>
      <c r="Y2377">
        <v>-0.146261999999999</v>
      </c>
      <c r="Z2377">
        <v>-2.8188219999999999E-3</v>
      </c>
      <c r="AA2377">
        <v>0.98924190000000001</v>
      </c>
      <c r="AB2377">
        <v>32</v>
      </c>
      <c r="AC2377">
        <v>-18.721599999999899</v>
      </c>
      <c r="AD2377">
        <v>-1.110689646937</v>
      </c>
      <c r="AE2377">
        <v>-3.2871000000000001</v>
      </c>
      <c r="AF2377">
        <v>-2.8194102665314298</v>
      </c>
      <c r="AG2377">
        <v>-1.110689646937</v>
      </c>
      <c r="AH2377">
        <v>18.732313652086901</v>
      </c>
      <c r="AI2377">
        <v>93.355542726001701</v>
      </c>
      <c r="AJ2377">
        <v>98.559370443360706</v>
      </c>
      <c r="AK2377">
        <v>18.975834118767999</v>
      </c>
      <c r="AL2377">
        <v>89.477992225659406</v>
      </c>
      <c r="AM2377">
        <v>97.102185943472307</v>
      </c>
      <c r="AN2377">
        <v>0.99999996237409605</v>
      </c>
    </row>
    <row r="2378" spans="1:40" x14ac:dyDescent="0.25">
      <c r="A2378" t="str">
        <f>"20190312151544579"</f>
        <v>20190312151544579</v>
      </c>
      <c r="B2378" t="str">
        <f>"1552374944569644"</f>
        <v>1552374944569644</v>
      </c>
      <c r="C2378" t="s">
        <v>40</v>
      </c>
      <c r="D2378">
        <v>4.2692209999999999</v>
      </c>
      <c r="E2378">
        <v>0.4907473</v>
      </c>
      <c r="F2378" t="s">
        <v>50</v>
      </c>
      <c r="G2378">
        <v>-483.22359999999998</v>
      </c>
      <c r="H2378" s="1">
        <v>2.4060279999999998E-6</v>
      </c>
      <c r="I2378">
        <v>280.3664</v>
      </c>
      <c r="J2378">
        <v>-464.50020000000001</v>
      </c>
      <c r="K2378">
        <v>1.1109039999999999</v>
      </c>
      <c r="L2378">
        <v>283.70499999999998</v>
      </c>
      <c r="M2378">
        <v>-0.99958639999999999</v>
      </c>
      <c r="N2378">
        <v>0</v>
      </c>
      <c r="O2378">
        <v>-2.6365599999999999E-2</v>
      </c>
      <c r="P2378">
        <v>-0.98872709999999997</v>
      </c>
      <c r="Q2378">
        <v>-1.3973690000000001E-3</v>
      </c>
      <c r="R2378">
        <v>-0.14972260000000001</v>
      </c>
      <c r="S2378">
        <v>-2.9553530000000001</v>
      </c>
      <c r="T2378">
        <v>-0.17230429999999999</v>
      </c>
      <c r="U2378">
        <v>-0.51947019999999999</v>
      </c>
      <c r="V2378">
        <v>-0.1236351</v>
      </c>
      <c r="W2378">
        <v>9.5507290000000009E-3</v>
      </c>
      <c r="X2378">
        <v>0.99228179999999999</v>
      </c>
      <c r="Y2378">
        <v>-0.14689099999999999</v>
      </c>
      <c r="Z2378">
        <v>-2.7226400000000001E-3</v>
      </c>
      <c r="AA2378">
        <v>0.98914899999999994</v>
      </c>
      <c r="AB2378">
        <v>32</v>
      </c>
      <c r="AC2378">
        <v>-18.723399999999899</v>
      </c>
      <c r="AD2378">
        <v>-1.1109015939719999</v>
      </c>
      <c r="AE2378">
        <v>-3.33859999999998</v>
      </c>
      <c r="AF2378">
        <v>-2.8340835769636001</v>
      </c>
      <c r="AG2378">
        <v>-1.1109015939719999</v>
      </c>
      <c r="AH2378">
        <v>18.740979097855899</v>
      </c>
      <c r="AI2378">
        <v>93.354281122653404</v>
      </c>
      <c r="AJ2378">
        <v>98.599333380964794</v>
      </c>
      <c r="AK2378">
        <v>18.9865855176484</v>
      </c>
      <c r="AL2378">
        <v>89.452775224334204</v>
      </c>
      <c r="AM2378">
        <v>97.102266870558793</v>
      </c>
      <c r="AN2378">
        <v>1.00000001249384</v>
      </c>
    </row>
    <row r="2379" spans="1:40" x14ac:dyDescent="0.25">
      <c r="A2379" t="str">
        <f>"20190312151544601"</f>
        <v>20190312151544601</v>
      </c>
      <c r="B2379" t="str">
        <f>"1552374944590141"</f>
        <v>1552374944590141</v>
      </c>
      <c r="C2379" t="s">
        <v>40</v>
      </c>
      <c r="D2379">
        <v>4.6102280000000002</v>
      </c>
      <c r="E2379">
        <v>0.49050129999999997</v>
      </c>
      <c r="F2379" t="s">
        <v>50</v>
      </c>
      <c r="G2379">
        <v>-483.69439999999997</v>
      </c>
      <c r="H2379" s="1">
        <v>2.4820600000000001E-6</v>
      </c>
      <c r="I2379">
        <v>280.28089999999997</v>
      </c>
      <c r="J2379">
        <v>-464.81939999999997</v>
      </c>
      <c r="K2379">
        <v>1.111094</v>
      </c>
      <c r="L2379">
        <v>283.69450000000001</v>
      </c>
      <c r="M2379">
        <v>-0.99952719999999995</v>
      </c>
      <c r="N2379">
        <v>0</v>
      </c>
      <c r="O2379">
        <v>-2.8513219999999999E-2</v>
      </c>
      <c r="P2379">
        <v>-0.98841420000000002</v>
      </c>
      <c r="Q2379">
        <v>-1.28535E-3</v>
      </c>
      <c r="R2379">
        <v>-0.1517743</v>
      </c>
      <c r="S2379">
        <v>-2.9541629999999999</v>
      </c>
      <c r="T2379">
        <v>-0.1709772</v>
      </c>
      <c r="U2379">
        <v>-0.52700809999999998</v>
      </c>
      <c r="V2379">
        <v>-0.12356780000000001</v>
      </c>
      <c r="W2379">
        <v>9.628925E-3</v>
      </c>
      <c r="X2379">
        <v>0.99228939999999999</v>
      </c>
      <c r="Y2379">
        <v>-0.14728669999999999</v>
      </c>
      <c r="Z2379">
        <v>-2.5904970000000002E-3</v>
      </c>
      <c r="AA2379">
        <v>0.98909040000000004</v>
      </c>
      <c r="AB2379">
        <v>32</v>
      </c>
      <c r="AC2379">
        <v>-18.875</v>
      </c>
      <c r="AD2379">
        <v>-1.1110915179400001</v>
      </c>
      <c r="AE2379">
        <v>-3.4136000000000299</v>
      </c>
      <c r="AF2379">
        <v>-2.8643780253956499</v>
      </c>
      <c r="AG2379">
        <v>-1.1110915179400001</v>
      </c>
      <c r="AH2379">
        <v>18.9012420619115</v>
      </c>
      <c r="AI2379">
        <v>93.3263142935443</v>
      </c>
      <c r="AJ2379">
        <v>98.617288273931507</v>
      </c>
      <c r="AK2379">
        <v>19.149311666913299</v>
      </c>
      <c r="AL2379">
        <v>89.448294702621894</v>
      </c>
      <c r="AM2379">
        <v>97.098386432494294</v>
      </c>
      <c r="AN2379">
        <v>0.999999985372927</v>
      </c>
    </row>
    <row r="2380" spans="1:40" x14ac:dyDescent="0.25">
      <c r="A2380" t="str">
        <f>"20190312151544624"</f>
        <v>20190312151544624</v>
      </c>
      <c r="B2380" t="str">
        <f>"1552374944620396"</f>
        <v>1552374944620396</v>
      </c>
      <c r="C2380" t="s">
        <v>40</v>
      </c>
      <c r="D2380">
        <v>4.2715069999999997</v>
      </c>
      <c r="E2380">
        <v>0.49000640000000001</v>
      </c>
      <c r="F2380" t="s">
        <v>50</v>
      </c>
      <c r="G2380">
        <v>-483.8843</v>
      </c>
      <c r="H2380" s="1">
        <v>2.5121550000000001E-6</v>
      </c>
      <c r="I2380">
        <v>280.2398</v>
      </c>
      <c r="J2380">
        <v>-465.14620000000002</v>
      </c>
      <c r="K2380">
        <v>1.111299</v>
      </c>
      <c r="L2380">
        <v>283.68279999999999</v>
      </c>
      <c r="M2380">
        <v>-0.99945390000000001</v>
      </c>
      <c r="N2380">
        <v>0</v>
      </c>
      <c r="O2380">
        <v>-3.0970419999999999E-2</v>
      </c>
      <c r="P2380">
        <v>-0.98795599999999995</v>
      </c>
      <c r="Q2380">
        <v>-1.8117999999999999E-3</v>
      </c>
      <c r="R2380">
        <v>-0.15472520000000001</v>
      </c>
      <c r="S2380">
        <v>-2.95282</v>
      </c>
      <c r="T2380">
        <v>-0.17208809999999999</v>
      </c>
      <c r="U2380">
        <v>-0.53506469999999995</v>
      </c>
      <c r="V2380">
        <v>-0.1240937</v>
      </c>
      <c r="W2380">
        <v>9.0634229999999993E-3</v>
      </c>
      <c r="X2380">
        <v>0.99222909999999997</v>
      </c>
      <c r="Y2380">
        <v>-0.14754809999999999</v>
      </c>
      <c r="Z2380">
        <v>-2.4737050000000001E-3</v>
      </c>
      <c r="AA2380">
        <v>0.98905180000000004</v>
      </c>
      <c r="AB2380">
        <v>32</v>
      </c>
      <c r="AC2380">
        <v>-18.7380999999999</v>
      </c>
      <c r="AD2380">
        <v>-1.111296487845</v>
      </c>
      <c r="AE2380">
        <v>-3.4429999999999801</v>
      </c>
      <c r="AF2380">
        <v>-2.8512815653088301</v>
      </c>
      <c r="AG2380">
        <v>-1.111296487845</v>
      </c>
      <c r="AH2380">
        <v>18.771878518333299</v>
      </c>
      <c r="AI2380">
        <v>93.349629686033296</v>
      </c>
      <c r="AJ2380">
        <v>98.636704732701702</v>
      </c>
      <c r="AK2380">
        <v>19.019679533462899</v>
      </c>
      <c r="AL2380">
        <v>89.480696998768806</v>
      </c>
      <c r="AM2380">
        <v>97.128715520953904</v>
      </c>
      <c r="AN2380">
        <v>0.99999998945148805</v>
      </c>
    </row>
    <row r="2381" spans="1:40" x14ac:dyDescent="0.25">
      <c r="A2381" t="str">
        <f>"20190312151544646"</f>
        <v>20190312151544646</v>
      </c>
      <c r="B2381" t="str">
        <f>"1552374944639917"</f>
        <v>1552374944639917</v>
      </c>
      <c r="C2381" t="s">
        <v>40</v>
      </c>
      <c r="D2381">
        <v>4.2701200000000004</v>
      </c>
      <c r="E2381">
        <v>0.48972359999999998</v>
      </c>
      <c r="F2381" t="s">
        <v>50</v>
      </c>
      <c r="G2381">
        <v>-483.5247</v>
      </c>
      <c r="H2381" s="1">
        <v>2.4509570000000002E-6</v>
      </c>
      <c r="I2381">
        <v>280.26940000000002</v>
      </c>
      <c r="J2381">
        <v>-465.46800000000002</v>
      </c>
      <c r="K2381">
        <v>1.1115060000000001</v>
      </c>
      <c r="L2381">
        <v>283.6703</v>
      </c>
      <c r="M2381">
        <v>-0.99936720000000001</v>
      </c>
      <c r="N2381">
        <v>0</v>
      </c>
      <c r="O2381">
        <v>-3.3640950000000003E-2</v>
      </c>
      <c r="P2381">
        <v>-0.98746049999999996</v>
      </c>
      <c r="Q2381">
        <v>-2.7479259999999999E-3</v>
      </c>
      <c r="R2381">
        <v>-0.15784219999999999</v>
      </c>
      <c r="S2381">
        <v>-2.9504090000000001</v>
      </c>
      <c r="T2381">
        <v>-0.17840309999999901</v>
      </c>
      <c r="U2381">
        <v>-0.54797359999999995</v>
      </c>
      <c r="V2381">
        <v>-0.1245735</v>
      </c>
      <c r="W2381">
        <v>8.0859419999999901E-3</v>
      </c>
      <c r="X2381">
        <v>0.99217739999999999</v>
      </c>
      <c r="Y2381">
        <v>-0.14922060000000001</v>
      </c>
      <c r="Z2381">
        <v>-2.4558240000000001E-3</v>
      </c>
      <c r="AA2381">
        <v>0.98880089999999998</v>
      </c>
      <c r="AB2381">
        <v>32</v>
      </c>
      <c r="AC2381">
        <v>-18.0566999999999</v>
      </c>
      <c r="AD2381">
        <v>-1.1115035490430001</v>
      </c>
      <c r="AE2381">
        <v>-3.4008999999999698</v>
      </c>
      <c r="AF2381">
        <v>-2.7813118523650999</v>
      </c>
      <c r="AG2381">
        <v>-1.1115035490430001</v>
      </c>
      <c r="AH2381">
        <v>18.094680342744802</v>
      </c>
      <c r="AI2381">
        <v>93.474393875906898</v>
      </c>
      <c r="AJ2381">
        <v>98.738475043689903</v>
      </c>
      <c r="AK2381">
        <v>18.340899445385901</v>
      </c>
      <c r="AL2381">
        <v>89.536704585701003</v>
      </c>
      <c r="AM2381">
        <v>97.156362040880396</v>
      </c>
      <c r="AN2381">
        <v>0.99999996621551801</v>
      </c>
    </row>
    <row r="2382" spans="1:40" x14ac:dyDescent="0.25">
      <c r="A2382" t="str">
        <f>"20190312151544669"</f>
        <v>20190312151544669</v>
      </c>
      <c r="B2382" t="str">
        <f>"1552374944660413"</f>
        <v>1552374944660413</v>
      </c>
      <c r="C2382" t="s">
        <v>40</v>
      </c>
      <c r="D2382">
        <v>4.2411529999999997</v>
      </c>
      <c r="E2382">
        <v>0.47948629999999998</v>
      </c>
      <c r="F2382" t="s">
        <v>50</v>
      </c>
      <c r="G2382">
        <v>-483.2131</v>
      </c>
      <c r="H2382" s="1">
        <v>2.3984810000000001E-6</v>
      </c>
      <c r="I2382">
        <v>280.30149999999998</v>
      </c>
      <c r="J2382">
        <v>-465.78829999999999</v>
      </c>
      <c r="K2382">
        <v>1.1117109999999999</v>
      </c>
      <c r="L2382">
        <v>283.6567</v>
      </c>
      <c r="M2382">
        <v>-0.99926530000000002</v>
      </c>
      <c r="N2382">
        <v>0</v>
      </c>
      <c r="O2382">
        <v>-3.653667E-2</v>
      </c>
      <c r="P2382">
        <v>-0.98679539999999999</v>
      </c>
      <c r="Q2382">
        <v>-2.330496E-3</v>
      </c>
      <c r="R2382">
        <v>-0.1619554</v>
      </c>
      <c r="S2382">
        <v>-2.9481510000000002</v>
      </c>
      <c r="T2382">
        <v>-0.18466450000000001</v>
      </c>
      <c r="U2382">
        <v>-0.55969239999999998</v>
      </c>
      <c r="V2382">
        <v>-0.12583949999999999</v>
      </c>
      <c r="W2382">
        <v>8.4573849999999996E-3</v>
      </c>
      <c r="X2382">
        <v>0.99201459999999997</v>
      </c>
      <c r="Y2382">
        <v>-0.15027660000000001</v>
      </c>
      <c r="Z2382">
        <v>-2.3963890000000001E-3</v>
      </c>
      <c r="AA2382">
        <v>0.98864110000000005</v>
      </c>
      <c r="AB2382">
        <v>32</v>
      </c>
      <c r="AC2382">
        <v>-17.424800000000001</v>
      </c>
      <c r="AD2382">
        <v>-1.1117086015189901</v>
      </c>
      <c r="AE2382">
        <v>-3.3552000000000199</v>
      </c>
      <c r="AF2382">
        <v>-2.70565308582152</v>
      </c>
      <c r="AG2382">
        <v>-1.1117086015189901</v>
      </c>
      <c r="AH2382">
        <v>17.467202070694601</v>
      </c>
      <c r="AI2382">
        <v>93.598901179144903</v>
      </c>
      <c r="AJ2382">
        <v>98.805084844144901</v>
      </c>
      <c r="AK2382">
        <v>17.710437679910299</v>
      </c>
      <c r="AL2382">
        <v>89.515421774763993</v>
      </c>
      <c r="AM2382">
        <v>97.229498091039005</v>
      </c>
      <c r="AN2382">
        <v>1.0000000368672199</v>
      </c>
    </row>
    <row r="2383" spans="1:40" x14ac:dyDescent="0.25">
      <c r="A2383" t="str">
        <f>"20190312151544702"</f>
        <v>20190312151544702</v>
      </c>
      <c r="B2383" t="str">
        <f>"1552374944700428"</f>
        <v>1552374944700428</v>
      </c>
      <c r="C2383" t="s">
        <v>40</v>
      </c>
      <c r="D2383">
        <v>4.2333290000000003</v>
      </c>
      <c r="E2383">
        <v>0.4761514</v>
      </c>
      <c r="F2383" t="s">
        <v>50</v>
      </c>
      <c r="G2383">
        <v>-476.53199999999998</v>
      </c>
      <c r="H2383" s="1">
        <v>3.4234289999999999E-6</v>
      </c>
      <c r="I2383">
        <v>281.25330000000002</v>
      </c>
      <c r="J2383">
        <v>-466.27170000000001</v>
      </c>
      <c r="K2383">
        <v>1.112025</v>
      </c>
      <c r="L2383">
        <v>283.63389999999998</v>
      </c>
      <c r="M2383">
        <v>-0.99907699999999999</v>
      </c>
      <c r="N2383">
        <v>0</v>
      </c>
      <c r="O2383">
        <v>-4.1357419999999999E-2</v>
      </c>
      <c r="P2383">
        <v>-0.98562819999999995</v>
      </c>
      <c r="Q2383">
        <v>-2.340469E-3</v>
      </c>
      <c r="R2383">
        <v>-0.16891439999999999</v>
      </c>
      <c r="S2383">
        <v>-2.9317929999999999</v>
      </c>
      <c r="T2383">
        <v>-0.30336879999999999</v>
      </c>
      <c r="U2383">
        <v>-0.65585329999999997</v>
      </c>
      <c r="V2383">
        <v>-0.1280597</v>
      </c>
      <c r="W2383">
        <v>8.3806179999999994E-3</v>
      </c>
      <c r="X2383">
        <v>0.99173100000000003</v>
      </c>
      <c r="Y2383">
        <v>-0.17707000000000001</v>
      </c>
      <c r="Z2383">
        <v>-4.8151679999999999E-3</v>
      </c>
      <c r="AA2383">
        <v>0.98418649999999996</v>
      </c>
      <c r="AB2383">
        <v>32</v>
      </c>
      <c r="AC2383">
        <v>-10.2602999999999</v>
      </c>
      <c r="AD2383">
        <v>-1.112021576571</v>
      </c>
      <c r="AE2383">
        <v>-2.3805999999999501</v>
      </c>
      <c r="AF2383">
        <v>-1.9326526967473701</v>
      </c>
      <c r="AG2383">
        <v>-1.112021576571</v>
      </c>
      <c r="AH2383">
        <v>10.2358891430568</v>
      </c>
      <c r="AI2383">
        <v>96.093434306911604</v>
      </c>
      <c r="AJ2383">
        <v>100.69222458162901</v>
      </c>
      <c r="AK2383">
        <v>10.4759326545159</v>
      </c>
      <c r="AL2383">
        <v>89.519820313375206</v>
      </c>
      <c r="AM2383">
        <v>97.357744348853899</v>
      </c>
      <c r="AN2383">
        <v>0.99999994894157396</v>
      </c>
    </row>
    <row r="2384" spans="1:40" x14ac:dyDescent="0.25">
      <c r="A2384" t="str">
        <f>"20190312151544724"</f>
        <v>20190312151544724</v>
      </c>
      <c r="B2384" t="str">
        <f>"1552374944719949"</f>
        <v>1552374944719949</v>
      </c>
      <c r="C2384" t="s">
        <v>40</v>
      </c>
      <c r="D2384">
        <v>4.2532480000000001</v>
      </c>
      <c r="E2384">
        <v>0.47180549999999999</v>
      </c>
      <c r="F2384" t="s">
        <v>50</v>
      </c>
      <c r="G2384">
        <v>-478.01</v>
      </c>
      <c r="H2384" s="1">
        <v>2.7295919999999999E-6</v>
      </c>
      <c r="I2384">
        <v>280.81389999999999</v>
      </c>
      <c r="J2384">
        <v>-466.59789999999998</v>
      </c>
      <c r="K2384">
        <v>1.1122179999999999</v>
      </c>
      <c r="L2384">
        <v>283.61689999999999</v>
      </c>
      <c r="M2384">
        <v>-0.9989249</v>
      </c>
      <c r="N2384">
        <v>0</v>
      </c>
      <c r="O2384">
        <v>-4.4871099999999997E-2</v>
      </c>
      <c r="P2384">
        <v>-0.98490080000000002</v>
      </c>
      <c r="Q2384">
        <v>-2.1232180000000001E-3</v>
      </c>
      <c r="R2384">
        <v>-0.17310789999999901</v>
      </c>
      <c r="S2384">
        <v>-2.9227599999999998</v>
      </c>
      <c r="T2384">
        <v>-0.27688669999999999</v>
      </c>
      <c r="U2384">
        <v>-0.70214840000000001</v>
      </c>
      <c r="V2384">
        <v>-0.12879769999999999</v>
      </c>
      <c r="W2384">
        <v>8.5608569999999998E-3</v>
      </c>
      <c r="X2384">
        <v>0.99163400000000002</v>
      </c>
      <c r="Y2384">
        <v>-0.18911159999999999</v>
      </c>
      <c r="Z2384">
        <v>-4.6372100000000001E-3</v>
      </c>
      <c r="AA2384">
        <v>0.98194459999999995</v>
      </c>
      <c r="AB2384">
        <v>32</v>
      </c>
      <c r="AC2384">
        <v>-11.412100000000001</v>
      </c>
      <c r="AD2384">
        <v>-1.1122152704079999</v>
      </c>
      <c r="AE2384">
        <v>-2.8029999999999902</v>
      </c>
      <c r="AF2384">
        <v>-2.26775385469614</v>
      </c>
      <c r="AG2384">
        <v>-1.1122152704079999</v>
      </c>
      <c r="AH2384">
        <v>11.424050638859599</v>
      </c>
      <c r="AI2384">
        <v>95.454865182108904</v>
      </c>
      <c r="AJ2384">
        <v>101.227655610534</v>
      </c>
      <c r="AK2384">
        <v>11.699942878170299</v>
      </c>
      <c r="AL2384">
        <v>89.509493064201493</v>
      </c>
      <c r="AM2384">
        <v>97.400393765593194</v>
      </c>
      <c r="AN2384">
        <v>1.0000000628769301</v>
      </c>
    </row>
    <row r="2385" spans="1:40" x14ac:dyDescent="0.25">
      <c r="A2385" t="str">
        <f>"20190312151544746"</f>
        <v>20190312151544746</v>
      </c>
      <c r="B2385" t="str">
        <f>"1552374944740449"</f>
        <v>1552374944740449</v>
      </c>
      <c r="C2385" t="s">
        <v>40</v>
      </c>
      <c r="D2385">
        <v>4.2619389999999999</v>
      </c>
      <c r="E2385">
        <v>0.46880880000000003</v>
      </c>
      <c r="F2385" t="s">
        <v>50</v>
      </c>
      <c r="G2385">
        <v>-478.35879999999997</v>
      </c>
      <c r="H2385" s="1">
        <v>2.5556160000000002E-6</v>
      </c>
      <c r="I2385">
        <v>280.59309999999999</v>
      </c>
      <c r="J2385">
        <v>-466.91129999999998</v>
      </c>
      <c r="K2385">
        <v>1.112387</v>
      </c>
      <c r="L2385">
        <v>283.5994</v>
      </c>
      <c r="M2385">
        <v>-0.9987587</v>
      </c>
      <c r="N2385">
        <v>0</v>
      </c>
      <c r="O2385">
        <v>-4.84225E-2</v>
      </c>
      <c r="P2385">
        <v>-0.98410850000000005</v>
      </c>
      <c r="Q2385">
        <v>-2.2318440000000002E-3</v>
      </c>
      <c r="R2385">
        <v>-0.17755409999999999</v>
      </c>
      <c r="S2385">
        <v>-2.9137270000000002</v>
      </c>
      <c r="T2385">
        <v>-0.27554810000000002</v>
      </c>
      <c r="U2385">
        <v>-0.74914550000000002</v>
      </c>
      <c r="V2385">
        <v>-0.12975339999999999</v>
      </c>
      <c r="W2385">
        <v>8.4182860000000005E-3</v>
      </c>
      <c r="X2385">
        <v>0.99151060000000002</v>
      </c>
      <c r="Y2385">
        <v>-0.20118030000000001</v>
      </c>
      <c r="Z2385">
        <v>-4.8520639999999997E-3</v>
      </c>
      <c r="AA2385">
        <v>0.97954220000000003</v>
      </c>
      <c r="AB2385">
        <v>32</v>
      </c>
      <c r="AC2385">
        <v>-11.4474999999999</v>
      </c>
      <c r="AD2385">
        <v>-1.1123844443840001</v>
      </c>
      <c r="AE2385">
        <v>-3.0063</v>
      </c>
      <c r="AF2385">
        <v>-2.4269803022594099</v>
      </c>
      <c r="AG2385">
        <v>-1.1123844443840001</v>
      </c>
      <c r="AH2385">
        <v>11.4782609004927</v>
      </c>
      <c r="AI2385">
        <v>95.416362085685506</v>
      </c>
      <c r="AJ2385">
        <v>101.938857638062</v>
      </c>
      <c r="AK2385">
        <v>11.7846555248528</v>
      </c>
      <c r="AL2385">
        <v>89.517662064173905</v>
      </c>
      <c r="AM2385">
        <v>97.455607860982099</v>
      </c>
      <c r="AN2385">
        <v>1.00000004113154</v>
      </c>
    </row>
    <row r="2386" spans="1:40" x14ac:dyDescent="0.25">
      <c r="A2386" t="str">
        <f>"20190312151544769"</f>
        <v>20190312151544769</v>
      </c>
      <c r="B2386" t="str">
        <f>"1552374944759965"</f>
        <v>1552374944759965</v>
      </c>
      <c r="C2386" t="s">
        <v>40</v>
      </c>
      <c r="D2386">
        <v>4.3208390000000003</v>
      </c>
      <c r="E2386">
        <v>0.46694760000000002</v>
      </c>
      <c r="F2386" t="s">
        <v>50</v>
      </c>
      <c r="G2386">
        <v>-478.50080000000003</v>
      </c>
      <c r="H2386" s="1">
        <v>2.481474E-6</v>
      </c>
      <c r="I2386">
        <v>280.46519999999998</v>
      </c>
      <c r="J2386">
        <v>-467.23680000000002</v>
      </c>
      <c r="K2386">
        <v>1.1125480000000001</v>
      </c>
      <c r="L2386">
        <v>283.57979999999998</v>
      </c>
      <c r="M2386">
        <v>-0.99856339999999999</v>
      </c>
      <c r="N2386">
        <v>0</v>
      </c>
      <c r="O2386">
        <v>-5.2289170000000003E-2</v>
      </c>
      <c r="P2386">
        <v>-0.98327260000000005</v>
      </c>
      <c r="Q2386">
        <v>-1.97561E-3</v>
      </c>
      <c r="R2386">
        <v>-0.18212990000000001</v>
      </c>
      <c r="S2386">
        <v>-2.9060060000000001</v>
      </c>
      <c r="T2386">
        <v>-0.2789258</v>
      </c>
      <c r="U2386">
        <v>-0.7858887</v>
      </c>
      <c r="V2386">
        <v>-0.1305318</v>
      </c>
      <c r="W2386">
        <v>8.6419140000000005E-3</v>
      </c>
      <c r="X2386">
        <v>0.99140640000000002</v>
      </c>
      <c r="Y2386">
        <v>-0.20955019999999999</v>
      </c>
      <c r="Z2386">
        <v>-4.9479299999999997E-3</v>
      </c>
      <c r="AA2386">
        <v>0.97778529999999997</v>
      </c>
      <c r="AB2386">
        <v>32</v>
      </c>
      <c r="AC2386">
        <v>-11.263999999999999</v>
      </c>
      <c r="AD2386">
        <v>-1.11254551852599</v>
      </c>
      <c r="AE2386">
        <v>-3.11459999999999</v>
      </c>
      <c r="AF2386">
        <v>-2.4986685761513399</v>
      </c>
      <c r="AG2386">
        <v>-1.11254551852599</v>
      </c>
      <c r="AH2386">
        <v>11.3089707455492</v>
      </c>
      <c r="AI2386">
        <v>95.487025224107995</v>
      </c>
      <c r="AJ2386">
        <v>102.45909198539</v>
      </c>
      <c r="AK2386">
        <v>11.6350299315441</v>
      </c>
      <c r="AL2386">
        <v>89.504848608693905</v>
      </c>
      <c r="AM2386">
        <v>97.500606213239294</v>
      </c>
      <c r="AN2386">
        <v>0.99999994172489004</v>
      </c>
    </row>
    <row r="2387" spans="1:40" x14ac:dyDescent="0.25">
      <c r="A2387" t="str">
        <f>"20190312151544792"</f>
        <v>20190312151544792</v>
      </c>
      <c r="B2387" t="str">
        <f>"1552374944780461"</f>
        <v>1552374944780461</v>
      </c>
      <c r="C2387" t="s">
        <v>40</v>
      </c>
      <c r="D2387">
        <v>4.2841839999999998</v>
      </c>
      <c r="E2387">
        <v>0.46567560000000002</v>
      </c>
      <c r="F2387" t="s">
        <v>50</v>
      </c>
      <c r="G2387">
        <v>-478.9264</v>
      </c>
      <c r="H2387" s="1">
        <v>2.2780500000000002E-6</v>
      </c>
      <c r="I2387">
        <v>280.29750000000001</v>
      </c>
      <c r="J2387">
        <v>-467.565</v>
      </c>
      <c r="K2387">
        <v>1.112706</v>
      </c>
      <c r="L2387">
        <v>283.55869999999999</v>
      </c>
      <c r="M2387">
        <v>-0.9983417</v>
      </c>
      <c r="N2387">
        <v>0</v>
      </c>
      <c r="O2387">
        <v>-5.6358640000000002E-2</v>
      </c>
      <c r="P2387">
        <v>-0.98245629999999995</v>
      </c>
      <c r="Q2387">
        <v>-1.925373E-3</v>
      </c>
      <c r="R2387">
        <v>-0.18648339999999999</v>
      </c>
      <c r="S2387">
        <v>-2.8996580000000001</v>
      </c>
      <c r="T2387">
        <v>-0.27597280000000002</v>
      </c>
      <c r="U2387">
        <v>-0.81420899999999996</v>
      </c>
      <c r="V2387">
        <v>-0.13088630000000001</v>
      </c>
      <c r="W2387">
        <v>8.6643229999999998E-3</v>
      </c>
      <c r="X2387">
        <v>0.99135949999999995</v>
      </c>
      <c r="Y2387">
        <v>-0.2149838</v>
      </c>
      <c r="Z2387">
        <v>-4.7759400000000002E-3</v>
      </c>
      <c r="AA2387">
        <v>0.97660599999999997</v>
      </c>
      <c r="AB2387">
        <v>32</v>
      </c>
      <c r="AC2387">
        <v>-11.3614</v>
      </c>
      <c r="AD2387">
        <v>-1.11270372195</v>
      </c>
      <c r="AE2387">
        <v>-3.2611999999999699</v>
      </c>
      <c r="AF2387">
        <v>-2.5926835731051301</v>
      </c>
      <c r="AG2387">
        <v>-1.11270372195</v>
      </c>
      <c r="AH2387">
        <v>11.425897700565599</v>
      </c>
      <c r="AI2387">
        <v>95.425112827856594</v>
      </c>
      <c r="AJ2387">
        <v>102.78466051572801</v>
      </c>
      <c r="AK2387">
        <v>11.7690805055824</v>
      </c>
      <c r="AL2387">
        <v>89.503564636505303</v>
      </c>
      <c r="AM2387">
        <v>97.521095317106003</v>
      </c>
      <c r="AN2387">
        <v>0.99999997613049296</v>
      </c>
    </row>
    <row r="2388" spans="1:40" x14ac:dyDescent="0.25">
      <c r="A2388" t="str">
        <f>"20190312151544814"</f>
        <v>20190312151544814</v>
      </c>
      <c r="B2388" t="str">
        <f>"1552374944809744"</f>
        <v>1552374944809744</v>
      </c>
      <c r="C2388" t="s">
        <v>40</v>
      </c>
      <c r="D2388">
        <v>4.3111430000000004</v>
      </c>
      <c r="E2388">
        <v>0.4650531</v>
      </c>
      <c r="F2388" t="s">
        <v>50</v>
      </c>
      <c r="G2388">
        <v>-479.26089999999999</v>
      </c>
      <c r="H2388" s="1">
        <v>2.119094E-6</v>
      </c>
      <c r="I2388">
        <v>280.17570000000001</v>
      </c>
      <c r="J2388">
        <v>-467.88209999999998</v>
      </c>
      <c r="K2388">
        <v>1.112843</v>
      </c>
      <c r="L2388">
        <v>283.53680000000003</v>
      </c>
      <c r="M2388">
        <v>-0.99810220000000005</v>
      </c>
      <c r="N2388">
        <v>0</v>
      </c>
      <c r="O2388">
        <v>-6.0448189999999999E-2</v>
      </c>
      <c r="P2388">
        <v>-0.98143340000000001</v>
      </c>
      <c r="Q2388">
        <v>-1.3529029999999999E-3</v>
      </c>
      <c r="R2388">
        <v>-0.19179869999999999</v>
      </c>
      <c r="S2388">
        <v>-2.894104</v>
      </c>
      <c r="T2388">
        <v>-0.27533600000000003</v>
      </c>
      <c r="U2388">
        <v>-0.83712770000000003</v>
      </c>
      <c r="V2388">
        <v>-0.13219879999999901</v>
      </c>
      <c r="W2388">
        <v>9.2007449999999998E-3</v>
      </c>
      <c r="X2388">
        <v>0.99118050000000002</v>
      </c>
      <c r="Y2388">
        <v>-0.21862580000000001</v>
      </c>
      <c r="Z2388">
        <v>-4.5599600000000001E-3</v>
      </c>
      <c r="AA2388">
        <v>0.9757981</v>
      </c>
      <c r="AB2388">
        <v>32</v>
      </c>
      <c r="AC2388">
        <v>-11.3788</v>
      </c>
      <c r="AD2388">
        <v>-1.112840880906</v>
      </c>
      <c r="AE2388">
        <v>-3.36110000000002</v>
      </c>
      <c r="AF2388">
        <v>-2.6438193419049001</v>
      </c>
      <c r="AG2388">
        <v>-1.112840880906</v>
      </c>
      <c r="AH2388">
        <v>11.460356746732399</v>
      </c>
      <c r="AI2388">
        <v>95.405142934176297</v>
      </c>
      <c r="AJ2388">
        <v>102.990447373978</v>
      </c>
      <c r="AK2388">
        <v>11.813888957545799</v>
      </c>
      <c r="AL2388">
        <v>89.472828694570197</v>
      </c>
      <c r="AM2388">
        <v>97.596994705621</v>
      </c>
      <c r="AN2388">
        <v>0.99999998000512202</v>
      </c>
    </row>
    <row r="2389" spans="1:40" x14ac:dyDescent="0.25">
      <c r="A2389" t="str">
        <f>"20190312151544836"</f>
        <v>20190312151544836</v>
      </c>
      <c r="B2389" t="str">
        <f>"1552374944830237"</f>
        <v>1552374944830237</v>
      </c>
      <c r="C2389" t="s">
        <v>40</v>
      </c>
      <c r="D2389">
        <v>4.3224470000000004</v>
      </c>
      <c r="E2389">
        <v>0.4644665</v>
      </c>
      <c r="F2389" t="s">
        <v>50</v>
      </c>
      <c r="G2389">
        <v>-479.64909999999998</v>
      </c>
      <c r="H2389" s="1">
        <v>1.9352990000000001E-6</v>
      </c>
      <c r="I2389">
        <v>280.04289999999997</v>
      </c>
      <c r="J2389">
        <v>-468.20030000000003</v>
      </c>
      <c r="K2389">
        <v>1.112984</v>
      </c>
      <c r="L2389">
        <v>283.51330000000002</v>
      </c>
      <c r="M2389">
        <v>-0.9978359</v>
      </c>
      <c r="N2389">
        <v>0</v>
      </c>
      <c r="O2389">
        <v>-6.4693230000000004E-2</v>
      </c>
      <c r="P2389">
        <v>-0.98035660000000002</v>
      </c>
      <c r="Q2389">
        <v>-6.3591730000000005E-4</v>
      </c>
      <c r="R2389">
        <v>-0.19723260000000001</v>
      </c>
      <c r="S2389">
        <v>-2.8887330000000002</v>
      </c>
      <c r="T2389">
        <v>-0.273196299999999</v>
      </c>
      <c r="U2389">
        <v>-0.85772709999999996</v>
      </c>
      <c r="V2389">
        <v>-0.13348289999999999</v>
      </c>
      <c r="W2389">
        <v>9.8811609999999994E-3</v>
      </c>
      <c r="X2389">
        <v>0.99100180000000004</v>
      </c>
      <c r="Y2389">
        <v>-0.22138160000000001</v>
      </c>
      <c r="Z2389">
        <v>-4.2660429999999997E-3</v>
      </c>
      <c r="AA2389">
        <v>0.97517790000000004</v>
      </c>
      <c r="AB2389">
        <v>32</v>
      </c>
      <c r="AC2389">
        <v>-11.448799999999901</v>
      </c>
      <c r="AD2389">
        <v>-1.112982064701</v>
      </c>
      <c r="AE2389">
        <v>-3.4704000000000401</v>
      </c>
      <c r="AF2389">
        <v>-2.6990570889418701</v>
      </c>
      <c r="AG2389">
        <v>-1.112982064701</v>
      </c>
      <c r="AH2389">
        <v>11.549377802170801</v>
      </c>
      <c r="AI2389">
        <v>95.360872085103694</v>
      </c>
      <c r="AJ2389">
        <v>103.153791508859</v>
      </c>
      <c r="AK2389">
        <v>11.912672490377201</v>
      </c>
      <c r="AL2389">
        <v>89.4338419334577</v>
      </c>
      <c r="AM2389">
        <v>97.671279682890997</v>
      </c>
      <c r="AN2389">
        <v>0.99999994476917697</v>
      </c>
    </row>
    <row r="2390" spans="1:40" x14ac:dyDescent="0.25">
      <c r="A2390" t="str">
        <f>"20190312151544859"</f>
        <v>20190312151544859</v>
      </c>
      <c r="B2390" t="str">
        <f>"1552374944849757"</f>
        <v>1552374944849757</v>
      </c>
      <c r="C2390" t="s">
        <v>40</v>
      </c>
      <c r="D2390">
        <v>4.3386310000000003</v>
      </c>
      <c r="E2390">
        <v>0.46412969999999998</v>
      </c>
      <c r="F2390" t="s">
        <v>50</v>
      </c>
      <c r="G2390">
        <v>-479.80540000000002</v>
      </c>
      <c r="H2390" s="1">
        <v>1.860261E-6</v>
      </c>
      <c r="I2390">
        <v>279.97739999999999</v>
      </c>
      <c r="J2390">
        <v>-468.52929999999998</v>
      </c>
      <c r="K2390">
        <v>1.1131120000000001</v>
      </c>
      <c r="L2390">
        <v>283.48750000000001</v>
      </c>
      <c r="M2390">
        <v>-0.99753329999999996</v>
      </c>
      <c r="N2390">
        <v>0</v>
      </c>
      <c r="O2390">
        <v>-6.9198280000000001E-2</v>
      </c>
      <c r="P2390">
        <v>-0.97912730000000003</v>
      </c>
      <c r="Q2390">
        <v>-3.628153E-4</v>
      </c>
      <c r="R2390">
        <v>-0.20324710000000001</v>
      </c>
      <c r="S2390">
        <v>-2.8832089999999999</v>
      </c>
      <c r="T2390">
        <v>-0.2765127</v>
      </c>
      <c r="U2390">
        <v>-0.87847900000000001</v>
      </c>
      <c r="V2390">
        <v>-0.1350971</v>
      </c>
      <c r="W2390">
        <v>1.011623E-2</v>
      </c>
      <c r="X2390">
        <v>0.99078069999999896</v>
      </c>
      <c r="Y2390">
        <v>-0.22391549999999999</v>
      </c>
      <c r="Z2390">
        <v>-4.0212520000000003E-3</v>
      </c>
      <c r="AA2390">
        <v>0.97460029999999997</v>
      </c>
      <c r="AB2390">
        <v>32</v>
      </c>
      <c r="AC2390">
        <v>-11.2761</v>
      </c>
      <c r="AD2390">
        <v>-1.113110139739</v>
      </c>
      <c r="AE2390">
        <v>-3.51010000000002</v>
      </c>
      <c r="AF2390">
        <v>-2.6973813308721599</v>
      </c>
      <c r="AG2390">
        <v>-1.113110139739</v>
      </c>
      <c r="AH2390">
        <v>11.3907845602674</v>
      </c>
      <c r="AI2390">
        <v>95.431948522964007</v>
      </c>
      <c r="AJ2390">
        <v>103.322454334646</v>
      </c>
      <c r="AK2390">
        <v>11.7586076184961</v>
      </c>
      <c r="AL2390">
        <v>89.420372818220699</v>
      </c>
      <c r="AM2390">
        <v>97.764634672014097</v>
      </c>
      <c r="AN2390">
        <v>0.999999980015156</v>
      </c>
    </row>
    <row r="2391" spans="1:40" x14ac:dyDescent="0.25">
      <c r="A2391" t="str">
        <f>"20190312151544880"</f>
        <v>20190312151544880</v>
      </c>
      <c r="B2391" t="str">
        <f>"1552374944870253"</f>
        <v>1552374944870253</v>
      </c>
      <c r="C2391" t="s">
        <v>40</v>
      </c>
      <c r="D2391">
        <v>4.2991349999999997</v>
      </c>
      <c r="E2391">
        <v>0.46393899999999999</v>
      </c>
      <c r="F2391" t="s">
        <v>50</v>
      </c>
      <c r="G2391">
        <v>-480.13549999999998</v>
      </c>
      <c r="H2391" s="1">
        <v>1.8141009999999999E-6</v>
      </c>
      <c r="I2391">
        <v>279.8614</v>
      </c>
      <c r="J2391">
        <v>-468.8519</v>
      </c>
      <c r="K2391">
        <v>1.1132169999999999</v>
      </c>
      <c r="L2391">
        <v>283.4606</v>
      </c>
      <c r="M2391">
        <v>-0.99720850000000005</v>
      </c>
      <c r="N2391">
        <v>0</v>
      </c>
      <c r="O2391">
        <v>-7.3728399999999999E-2</v>
      </c>
      <c r="P2391">
        <v>-0.97791150000000004</v>
      </c>
      <c r="Q2391">
        <v>-3.0980260000000001E-4</v>
      </c>
      <c r="R2391">
        <v>-0.20901939999999999</v>
      </c>
      <c r="S2391">
        <v>-2.8772579999999999</v>
      </c>
      <c r="T2391">
        <v>-0.27594639999999998</v>
      </c>
      <c r="U2391">
        <v>-0.8989258</v>
      </c>
      <c r="V2391">
        <v>-0.13644429999999999</v>
      </c>
      <c r="W2391">
        <v>1.01353E-2</v>
      </c>
      <c r="X2391">
        <v>0.99059589999999997</v>
      </c>
      <c r="Y2391">
        <v>-0.2263839</v>
      </c>
      <c r="Z2391">
        <v>-3.7122520000000001E-3</v>
      </c>
      <c r="AA2391">
        <v>0.97403110000000004</v>
      </c>
      <c r="AB2391">
        <v>33</v>
      </c>
      <c r="AC2391">
        <v>-11.2835999999999</v>
      </c>
      <c r="AD2391">
        <v>-1.11321518589899</v>
      </c>
      <c r="AE2391">
        <v>-3.59919999999999</v>
      </c>
      <c r="AF2391">
        <v>-2.73327606320019</v>
      </c>
      <c r="AG2391">
        <v>-1.11321518589899</v>
      </c>
      <c r="AH2391">
        <v>11.4174006313857</v>
      </c>
      <c r="AI2391">
        <v>95.416724034855804</v>
      </c>
      <c r="AJ2391">
        <v>103.462988045313</v>
      </c>
      <c r="AK2391">
        <v>11.7926707435316</v>
      </c>
      <c r="AL2391">
        <v>89.419280145711596</v>
      </c>
      <c r="AM2391">
        <v>97.8425503760471</v>
      </c>
      <c r="AN2391">
        <v>1.00000000420269</v>
      </c>
    </row>
    <row r="2392" spans="1:40" x14ac:dyDescent="0.25">
      <c r="A2392" t="str">
        <f>"20190312151544903"</f>
        <v>20190312151544903</v>
      </c>
      <c r="B2392" t="str">
        <f>"1552374944899533"</f>
        <v>1552374944899533</v>
      </c>
      <c r="C2392" t="s">
        <v>40</v>
      </c>
      <c r="D2392">
        <v>4.3405750000000003</v>
      </c>
      <c r="E2392">
        <v>0.46339320000000001</v>
      </c>
      <c r="F2392" t="s">
        <v>50</v>
      </c>
      <c r="G2392">
        <v>-480.40699999999998</v>
      </c>
      <c r="H2392" s="1">
        <v>1.8542120000000001E-6</v>
      </c>
      <c r="I2392">
        <v>279.76929999999999</v>
      </c>
      <c r="J2392">
        <v>-469.17110000000002</v>
      </c>
      <c r="K2392">
        <v>1.1133189999999999</v>
      </c>
      <c r="L2392">
        <v>283.43239999999997</v>
      </c>
      <c r="M2392">
        <v>-0.99685749999999995</v>
      </c>
      <c r="N2392">
        <v>0</v>
      </c>
      <c r="O2392">
        <v>-7.8327670000000002E-2</v>
      </c>
      <c r="P2392">
        <v>-0.97648579999999996</v>
      </c>
      <c r="Q2392">
        <v>-8.7076609999999996E-4</v>
      </c>
      <c r="R2392">
        <v>-0.2155803</v>
      </c>
      <c r="S2392">
        <v>-2.8715820000000001</v>
      </c>
      <c r="T2392">
        <v>-0.27664529999999998</v>
      </c>
      <c r="U2392">
        <v>-0.91732789999999997</v>
      </c>
      <c r="V2392">
        <v>-0.1385227</v>
      </c>
      <c r="W2392">
        <v>9.5316570000000007E-3</v>
      </c>
      <c r="X2392">
        <v>0.99031340000000001</v>
      </c>
      <c r="Y2392">
        <v>-0.2281214</v>
      </c>
      <c r="Z2392">
        <v>-3.3790510000000001E-3</v>
      </c>
      <c r="AA2392">
        <v>0.97362689999999996</v>
      </c>
      <c r="AB2392">
        <v>33</v>
      </c>
      <c r="AC2392">
        <v>-11.2358999999999</v>
      </c>
      <c r="AD2392">
        <v>-1.113317145788</v>
      </c>
      <c r="AE2392">
        <v>-3.66309999999998</v>
      </c>
      <c r="AF2392">
        <v>-2.7473190734442099</v>
      </c>
      <c r="AG2392">
        <v>-1.113317145788</v>
      </c>
      <c r="AH2392">
        <v>11.3872583150537</v>
      </c>
      <c r="AI2392">
        <v>95.429181427348396</v>
      </c>
      <c r="AJ2392">
        <v>103.564113111786</v>
      </c>
      <c r="AK2392">
        <v>11.7667705464234</v>
      </c>
      <c r="AL2392">
        <v>89.453868018113397</v>
      </c>
      <c r="AM2392">
        <v>97.962734264665201</v>
      </c>
      <c r="AN2392">
        <v>1.00000001056</v>
      </c>
    </row>
    <row r="2393" spans="1:40" x14ac:dyDescent="0.25">
      <c r="A2393" t="str">
        <f>"20190312151544925"</f>
        <v>20190312151544925</v>
      </c>
      <c r="B2393" t="str">
        <f>"1552374944920029"</f>
        <v>1552374944920029</v>
      </c>
      <c r="C2393" t="s">
        <v>40</v>
      </c>
      <c r="D2393">
        <v>4.3460549999999998</v>
      </c>
      <c r="E2393">
        <v>0.4630398</v>
      </c>
      <c r="F2393" t="s">
        <v>50</v>
      </c>
      <c r="G2393">
        <v>-480.66019999999997</v>
      </c>
      <c r="H2393" s="1">
        <v>1.8896540000000001E-6</v>
      </c>
      <c r="I2393">
        <v>279.66109999999998</v>
      </c>
      <c r="J2393">
        <v>-469.49099999999999</v>
      </c>
      <c r="K2393">
        <v>1.1134219999999999</v>
      </c>
      <c r="L2393">
        <v>283.40260000000001</v>
      </c>
      <c r="M2393">
        <v>-0.99647470000000005</v>
      </c>
      <c r="N2393">
        <v>0</v>
      </c>
      <c r="O2393">
        <v>-8.3054610000000001E-2</v>
      </c>
      <c r="P2393">
        <v>-0.97488750000000002</v>
      </c>
      <c r="Q2393">
        <v>-6.8899520000000004E-4</v>
      </c>
      <c r="R2393">
        <v>-0.2226969</v>
      </c>
      <c r="S2393">
        <v>-2.8643800000000001</v>
      </c>
      <c r="T2393">
        <v>-0.27756439999999999</v>
      </c>
      <c r="U2393">
        <v>-0.94024660000000004</v>
      </c>
      <c r="V2393">
        <v>-0.1410536</v>
      </c>
      <c r="W2393">
        <v>9.6642110000000007E-3</v>
      </c>
      <c r="X2393">
        <v>0.98995480000000002</v>
      </c>
      <c r="Y2393">
        <v>-0.23126350000000001</v>
      </c>
      <c r="Z2393">
        <v>-3.1013939999999999E-3</v>
      </c>
      <c r="AA2393">
        <v>0.97288620000000003</v>
      </c>
      <c r="AB2393">
        <v>33</v>
      </c>
      <c r="AC2393">
        <v>-11.169199999999901</v>
      </c>
      <c r="AD2393">
        <v>-1.113420110346</v>
      </c>
      <c r="AE2393">
        <v>-3.74150000000003</v>
      </c>
      <c r="AF2393">
        <v>-2.7760492638059699</v>
      </c>
      <c r="AG2393">
        <v>-1.113420110346</v>
      </c>
      <c r="AH2393">
        <v>11.3400542673901</v>
      </c>
      <c r="AI2393">
        <v>95.447748333558295</v>
      </c>
      <c r="AJ2393">
        <v>103.755508884392</v>
      </c>
      <c r="AK2393">
        <v>11.727872127737101</v>
      </c>
      <c r="AL2393">
        <v>89.446272883581003</v>
      </c>
      <c r="AM2393">
        <v>98.1091992740253</v>
      </c>
      <c r="AN2393">
        <v>1.0000000105451201</v>
      </c>
    </row>
    <row r="2394" spans="1:40" x14ac:dyDescent="0.25">
      <c r="A2394" t="str">
        <f>"20190312151544949"</f>
        <v>20190312151544949</v>
      </c>
      <c r="B2394" t="str">
        <f>"1552374944939549"</f>
        <v>1552374944939549</v>
      </c>
      <c r="C2394" t="s">
        <v>40</v>
      </c>
      <c r="D2394">
        <v>4.3383120000000002</v>
      </c>
      <c r="E2394">
        <v>0.46281329999999998</v>
      </c>
      <c r="F2394" t="s">
        <v>50</v>
      </c>
      <c r="G2394">
        <v>-481.06920000000002</v>
      </c>
      <c r="H2394" s="1">
        <v>1.9163460000000002E-6</v>
      </c>
      <c r="I2394">
        <v>279.49759999999998</v>
      </c>
      <c r="J2394">
        <v>-469.81619999999998</v>
      </c>
      <c r="K2394">
        <v>1.1135349999999999</v>
      </c>
      <c r="L2394">
        <v>283.37060000000002</v>
      </c>
      <c r="M2394">
        <v>-0.99605160000000004</v>
      </c>
      <c r="N2394">
        <v>0</v>
      </c>
      <c r="O2394">
        <v>-8.7981219999999999E-2</v>
      </c>
      <c r="P2394">
        <v>-0.97325629999999996</v>
      </c>
      <c r="Q2394">
        <v>-8.0343340000000002E-4</v>
      </c>
      <c r="R2394">
        <v>-0.2297206</v>
      </c>
      <c r="S2394">
        <v>-2.8569640000000001</v>
      </c>
      <c r="T2394">
        <v>-0.2747386</v>
      </c>
      <c r="U2394">
        <v>-0.96356200000000003</v>
      </c>
      <c r="V2394">
        <v>-0.1432976</v>
      </c>
      <c r="W2394">
        <v>9.5035250000000005E-3</v>
      </c>
      <c r="X2394">
        <v>0.98963400000000001</v>
      </c>
      <c r="Y2394">
        <v>-0.23436570000000001</v>
      </c>
      <c r="Z2394">
        <v>-2.7635450000000001E-3</v>
      </c>
      <c r="AA2394">
        <v>0.97214460000000003</v>
      </c>
      <c r="AB2394">
        <v>33</v>
      </c>
      <c r="AC2394">
        <v>-11.253</v>
      </c>
      <c r="AD2394">
        <v>-1.1135330836539901</v>
      </c>
      <c r="AE2394">
        <v>-3.8730000000000402</v>
      </c>
      <c r="AF2394">
        <v>-2.8429668190128798</v>
      </c>
      <c r="AG2394">
        <v>-1.1135330836539901</v>
      </c>
      <c r="AH2394">
        <v>11.449888942234301</v>
      </c>
      <c r="AI2394">
        <v>95.391986955806601</v>
      </c>
      <c r="AJ2394">
        <v>103.94434222367801</v>
      </c>
      <c r="AK2394">
        <v>11.8499946435388</v>
      </c>
      <c r="AL2394">
        <v>89.455479922902896</v>
      </c>
      <c r="AM2394">
        <v>98.239084150691696</v>
      </c>
      <c r="AN2394">
        <v>0.99999998655459199</v>
      </c>
    </row>
    <row r="2395" spans="1:40" x14ac:dyDescent="0.25">
      <c r="A2395" t="str">
        <f>"20190312151544970"</f>
        <v>20190312151544970</v>
      </c>
      <c r="B2395" t="str">
        <f>"1552374944960045"</f>
        <v>1552374944960045</v>
      </c>
      <c r="C2395" t="s">
        <v>40</v>
      </c>
      <c r="D2395">
        <v>4.4098769999999998</v>
      </c>
      <c r="E2395">
        <v>0.46257290000000001</v>
      </c>
      <c r="F2395" t="s">
        <v>50</v>
      </c>
      <c r="G2395">
        <v>-481.32479999999998</v>
      </c>
      <c r="H2395" s="1">
        <v>1.9238659999999998E-6</v>
      </c>
      <c r="I2395">
        <v>279.39069999999998</v>
      </c>
      <c r="J2395">
        <v>-470.14060000000001</v>
      </c>
      <c r="K2395">
        <v>1.113661</v>
      </c>
      <c r="L2395">
        <v>283.33710000000002</v>
      </c>
      <c r="M2395">
        <v>-0.99559319999999896</v>
      </c>
      <c r="N2395">
        <v>0</v>
      </c>
      <c r="O2395">
        <v>-9.3020889999999995E-2</v>
      </c>
      <c r="P2395">
        <v>-0.97155369999999996</v>
      </c>
      <c r="Q2395">
        <v>-8.3028899999999903E-4</v>
      </c>
      <c r="R2395">
        <v>-0.236819</v>
      </c>
      <c r="S2395">
        <v>-2.84964</v>
      </c>
      <c r="T2395">
        <v>-0.27572010000000002</v>
      </c>
      <c r="U2395">
        <v>-0.98547359999999995</v>
      </c>
      <c r="V2395">
        <v>-0.14551520000000001</v>
      </c>
      <c r="W2395">
        <v>9.43248E-3</v>
      </c>
      <c r="X2395">
        <v>0.98931100000000005</v>
      </c>
      <c r="Y2395">
        <v>-0.2368999</v>
      </c>
      <c r="Z2395">
        <v>-2.428487E-3</v>
      </c>
      <c r="AA2395">
        <v>0.97153100000000003</v>
      </c>
      <c r="AB2395">
        <v>33</v>
      </c>
      <c r="AC2395">
        <v>-11.184199999999899</v>
      </c>
      <c r="AD2395">
        <v>-1.1136590761339999</v>
      </c>
      <c r="AE2395">
        <v>-3.9464000000000401</v>
      </c>
      <c r="AF2395">
        <v>-2.863599815423</v>
      </c>
      <c r="AG2395">
        <v>-1.1136590761339999</v>
      </c>
      <c r="AH2395">
        <v>11.4022870747567</v>
      </c>
      <c r="AI2395">
        <v>95.411372742292002</v>
      </c>
      <c r="AJ2395">
        <v>104.097841114818</v>
      </c>
      <c r="AK2395">
        <v>11.809004656443699</v>
      </c>
      <c r="AL2395">
        <v>89.459550664273706</v>
      </c>
      <c r="AM2395">
        <v>98.367489745269296</v>
      </c>
      <c r="AN2395">
        <v>0.99999994991549401</v>
      </c>
    </row>
    <row r="2396" spans="1:40" x14ac:dyDescent="0.25">
      <c r="A2396" t="str">
        <f>"20190312151544994"</f>
        <v>20190312151544994</v>
      </c>
      <c r="B2396" t="str">
        <f>"1552374944990302"</f>
        <v>1552374944990302</v>
      </c>
      <c r="C2396" t="s">
        <v>40</v>
      </c>
      <c r="D2396">
        <v>4.3969480000000001</v>
      </c>
      <c r="E2396">
        <v>0.46221760000000001</v>
      </c>
      <c r="F2396" t="s">
        <v>50</v>
      </c>
      <c r="G2396">
        <v>-481.54250000000002</v>
      </c>
      <c r="H2396" s="1">
        <v>1.927699E-6</v>
      </c>
      <c r="I2396">
        <v>279.29230000000001</v>
      </c>
      <c r="J2396">
        <v>-470.46190000000001</v>
      </c>
      <c r="K2396">
        <v>1.1137870000000001</v>
      </c>
      <c r="L2396">
        <v>283.3021</v>
      </c>
      <c r="M2396">
        <v>-0.99510120000000002</v>
      </c>
      <c r="N2396">
        <v>0</v>
      </c>
      <c r="O2396">
        <v>-9.8141980000000004E-2</v>
      </c>
      <c r="P2396">
        <v>-0.96995260000000005</v>
      </c>
      <c r="Q2396">
        <v>-6.2640099999999995E-4</v>
      </c>
      <c r="R2396">
        <v>-0.2432928</v>
      </c>
      <c r="S2396">
        <v>-2.8418580000000002</v>
      </c>
      <c r="T2396">
        <v>-0.2775725</v>
      </c>
      <c r="U2396">
        <v>-1.008148</v>
      </c>
      <c r="V2396">
        <v>-0.14702770000000001</v>
      </c>
      <c r="W2396">
        <v>9.5998390000000006E-3</v>
      </c>
      <c r="X2396">
        <v>0.98908580000000001</v>
      </c>
      <c r="Y2396">
        <v>-0.23962620000000001</v>
      </c>
      <c r="Z2396">
        <v>-2.0988980000000001E-3</v>
      </c>
      <c r="AA2396">
        <v>0.97086300000000003</v>
      </c>
      <c r="AB2396">
        <v>33</v>
      </c>
      <c r="AC2396">
        <v>-11.0806</v>
      </c>
      <c r="AD2396">
        <v>-1.1137850723010001</v>
      </c>
      <c r="AE2396">
        <v>-4.0097999999999798</v>
      </c>
      <c r="AF2396">
        <v>-2.8771866060571498</v>
      </c>
      <c r="AG2396">
        <v>-1.1137850723010001</v>
      </c>
      <c r="AH2396">
        <v>11.3195322706386</v>
      </c>
      <c r="AI2396">
        <v>95.447403710479705</v>
      </c>
      <c r="AJ2396">
        <v>104.261371607532</v>
      </c>
      <c r="AK2396">
        <v>11.7324562977828</v>
      </c>
      <c r="AL2396">
        <v>89.449961298604094</v>
      </c>
      <c r="AM2396">
        <v>98.455108861253393</v>
      </c>
      <c r="AN2396">
        <v>1.00000001061887</v>
      </c>
    </row>
    <row r="2397" spans="1:40" x14ac:dyDescent="0.25">
      <c r="A2397" t="str">
        <f>"20190312151545015"</f>
        <v>20190312151545015</v>
      </c>
      <c r="B2397" t="str">
        <f>"1552374945009821"</f>
        <v>1552374945009821</v>
      </c>
      <c r="C2397" t="s">
        <v>40</v>
      </c>
      <c r="D2397">
        <v>4.3341139999999996</v>
      </c>
      <c r="E2397">
        <v>0.46220070000000002</v>
      </c>
      <c r="F2397" t="s">
        <v>50</v>
      </c>
      <c r="G2397">
        <v>-481.7192</v>
      </c>
      <c r="H2397" s="1">
        <v>1.9308050000000001E-6</v>
      </c>
      <c r="I2397">
        <v>279.2124</v>
      </c>
      <c r="J2397">
        <v>-470.7799</v>
      </c>
      <c r="K2397">
        <v>1.1139079999999999</v>
      </c>
      <c r="L2397">
        <v>283.2654</v>
      </c>
      <c r="M2397">
        <v>-0.99457320000000005</v>
      </c>
      <c r="N2397">
        <v>0</v>
      </c>
      <c r="O2397">
        <v>-0.1033535</v>
      </c>
      <c r="P2397">
        <v>-0.96837850000000003</v>
      </c>
      <c r="Q2397">
        <v>4.3399349999999998E-4</v>
      </c>
      <c r="R2397">
        <v>-0.24948609999999999</v>
      </c>
      <c r="S2397">
        <v>-2.8344420000000001</v>
      </c>
      <c r="T2397">
        <v>-0.28043790000000002</v>
      </c>
      <c r="U2397">
        <v>-1.0297240000000001</v>
      </c>
      <c r="V2397">
        <v>-0.1481816</v>
      </c>
      <c r="W2397">
        <v>1.0627370000000001E-2</v>
      </c>
      <c r="X2397">
        <v>0.98890299999999998</v>
      </c>
      <c r="Y2397">
        <v>-0.24188460000000001</v>
      </c>
      <c r="Z2397">
        <v>-1.739635E-3</v>
      </c>
      <c r="AA2397">
        <v>0.97030349999999999</v>
      </c>
      <c r="AB2397">
        <v>33</v>
      </c>
      <c r="AC2397">
        <v>-10.939299999999999</v>
      </c>
      <c r="AD2397">
        <v>-1.11390606919499</v>
      </c>
      <c r="AE2397">
        <v>-4.0529999999999902</v>
      </c>
      <c r="AF2397">
        <v>-2.8743905002563399</v>
      </c>
      <c r="AG2397">
        <v>-1.11390606919499</v>
      </c>
      <c r="AH2397">
        <v>11.1975411747596</v>
      </c>
      <c r="AI2397">
        <v>95.503676356105203</v>
      </c>
      <c r="AJ2397">
        <v>104.396882521923</v>
      </c>
      <c r="AK2397">
        <v>11.614122258672399</v>
      </c>
      <c r="AL2397">
        <v>89.391085050117695</v>
      </c>
      <c r="AM2397">
        <v>98.522047686913695</v>
      </c>
      <c r="AN2397">
        <v>0.99999993549033594</v>
      </c>
    </row>
    <row r="2398" spans="1:40" x14ac:dyDescent="0.25">
      <c r="A2398" t="str">
        <f>"20190312151545037"</f>
        <v>20190312151545037</v>
      </c>
      <c r="B2398" t="str">
        <f>"1552374945030317"</f>
        <v>1552374945030317</v>
      </c>
      <c r="C2398" t="s">
        <v>40</v>
      </c>
      <c r="D2398">
        <v>4.3640339999999904</v>
      </c>
      <c r="E2398">
        <v>0.46218769999999998</v>
      </c>
      <c r="F2398" t="s">
        <v>50</v>
      </c>
      <c r="G2398">
        <v>-482.0539</v>
      </c>
      <c r="H2398" s="1">
        <v>1.9461030000000002E-6</v>
      </c>
      <c r="I2398">
        <v>279.08769999999998</v>
      </c>
      <c r="J2398">
        <v>-471.0908</v>
      </c>
      <c r="K2398">
        <v>1.1140099999999999</v>
      </c>
      <c r="L2398">
        <v>283.22800000000001</v>
      </c>
      <c r="M2398">
        <v>-0.99401850000000003</v>
      </c>
      <c r="N2398">
        <v>0</v>
      </c>
      <c r="O2398">
        <v>-0.10855620000000001</v>
      </c>
      <c r="P2398">
        <v>-0.9668099</v>
      </c>
      <c r="Q2398">
        <v>6.3345860000000003E-4</v>
      </c>
      <c r="R2398">
        <v>-0.25549699999999997</v>
      </c>
      <c r="S2398">
        <v>-2.8280639999999999</v>
      </c>
      <c r="T2398">
        <v>-0.279422</v>
      </c>
      <c r="U2398">
        <v>-1.047974</v>
      </c>
      <c r="V2398">
        <v>-0.14915539999999999</v>
      </c>
      <c r="W2398">
        <v>1.0799019999999999E-2</v>
      </c>
      <c r="X2398">
        <v>0.98875480000000004</v>
      </c>
      <c r="Y2398">
        <v>-0.24304780000000001</v>
      </c>
      <c r="Z2398">
        <v>-1.301778E-3</v>
      </c>
      <c r="AA2398">
        <v>0.97001340000000003</v>
      </c>
      <c r="AB2398">
        <v>33</v>
      </c>
      <c r="AC2398">
        <v>-10.963099999999899</v>
      </c>
      <c r="AD2398">
        <v>-1.1140080538970001</v>
      </c>
      <c r="AE2398">
        <v>-4.1403000000000203</v>
      </c>
      <c r="AF2398">
        <v>-2.8994301282023098</v>
      </c>
      <c r="AG2398">
        <v>-1.1140080538970001</v>
      </c>
      <c r="AH2398">
        <v>11.2461622619208</v>
      </c>
      <c r="AI2398">
        <v>95.479058341017804</v>
      </c>
      <c r="AJ2398">
        <v>104.456893555985</v>
      </c>
      <c r="AK2398">
        <v>11.667213661964301</v>
      </c>
      <c r="AL2398">
        <v>89.381249706476794</v>
      </c>
      <c r="AM2398">
        <v>98.578487899492501</v>
      </c>
      <c r="AN2398">
        <v>1.00000000335258</v>
      </c>
    </row>
    <row r="2399" spans="1:40" x14ac:dyDescent="0.25">
      <c r="A2399" t="str">
        <f>"20190312151545060"</f>
        <v>20190312151545060</v>
      </c>
      <c r="B2399" t="str">
        <f>"1552374945049837"</f>
        <v>1552374945049837</v>
      </c>
      <c r="C2399" t="s">
        <v>40</v>
      </c>
      <c r="D2399">
        <v>4.3792479999999996</v>
      </c>
      <c r="E2399">
        <v>0.46202850000000001</v>
      </c>
      <c r="F2399" t="s">
        <v>50</v>
      </c>
      <c r="G2399">
        <v>-482.29660000000001</v>
      </c>
      <c r="H2399" s="1">
        <v>1.9574399999999999E-6</v>
      </c>
      <c r="I2399">
        <v>278.99799999999999</v>
      </c>
      <c r="J2399">
        <v>-471.4194</v>
      </c>
      <c r="K2399">
        <v>1.114107</v>
      </c>
      <c r="L2399">
        <v>283.18639999999999</v>
      </c>
      <c r="M2399">
        <v>-0.99338820000000005</v>
      </c>
      <c r="N2399">
        <v>0</v>
      </c>
      <c r="O2399">
        <v>-0.11417620000000001</v>
      </c>
      <c r="P2399">
        <v>-0.96519929999999998</v>
      </c>
      <c r="Q2399">
        <v>-8.7365039999999896E-4</v>
      </c>
      <c r="R2399">
        <v>-0.26151390000000002</v>
      </c>
      <c r="S2399">
        <v>-2.8216860000000001</v>
      </c>
      <c r="T2399">
        <v>-0.28051169999999997</v>
      </c>
      <c r="U2399">
        <v>-1.0651250000000001</v>
      </c>
      <c r="V2399">
        <v>-0.1497079</v>
      </c>
      <c r="W2399">
        <v>9.2741760000000003E-3</v>
      </c>
      <c r="X2399">
        <v>0.98868679999999998</v>
      </c>
      <c r="Y2399">
        <v>-0.24346490000000001</v>
      </c>
      <c r="Z2399">
        <v>-7.9809409999999999E-4</v>
      </c>
      <c r="AA2399">
        <v>0.96990940000000003</v>
      </c>
      <c r="AB2399">
        <v>33</v>
      </c>
      <c r="AC2399">
        <v>-10.8772</v>
      </c>
      <c r="AD2399">
        <v>-1.1141050425600001</v>
      </c>
      <c r="AE2399">
        <v>-4.1883999999999997</v>
      </c>
      <c r="AF2399">
        <v>-2.89257192205292</v>
      </c>
      <c r="AG2399">
        <v>-1.1141050425600001</v>
      </c>
      <c r="AH2399">
        <v>11.1821443908986</v>
      </c>
      <c r="AI2399">
        <v>95.509566535493406</v>
      </c>
      <c r="AJ2399">
        <v>104.503230942489</v>
      </c>
      <c r="AK2399">
        <v>11.603816421721399</v>
      </c>
      <c r="AL2399">
        <v>89.468621253597505</v>
      </c>
      <c r="AM2399">
        <v>98.610372197859803</v>
      </c>
      <c r="AN2399">
        <v>1.0000000270785601</v>
      </c>
    </row>
    <row r="2400" spans="1:40" x14ac:dyDescent="0.25">
      <c r="A2400" t="str">
        <f>"20190312151545083"</f>
        <v>20190312151545083</v>
      </c>
      <c r="B2400" t="str">
        <f>"1552374945080094"</f>
        <v>1552374945080094</v>
      </c>
      <c r="C2400" t="s">
        <v>40</v>
      </c>
      <c r="D2400">
        <v>4.361421</v>
      </c>
      <c r="E2400">
        <v>0.43788369999999999</v>
      </c>
      <c r="F2400" t="s">
        <v>50</v>
      </c>
      <c r="G2400">
        <v>-482.34890000000001</v>
      </c>
      <c r="H2400" s="1">
        <v>1.9594549999999999E-6</v>
      </c>
      <c r="I2400">
        <v>278.97750000000002</v>
      </c>
      <c r="J2400">
        <v>-471.73970000000003</v>
      </c>
      <c r="K2400">
        <v>1.114198</v>
      </c>
      <c r="L2400">
        <v>283.14400000000001</v>
      </c>
      <c r="M2400">
        <v>-0.9927279</v>
      </c>
      <c r="N2400">
        <v>0</v>
      </c>
      <c r="O2400">
        <v>-0.1197792</v>
      </c>
      <c r="P2400">
        <v>-0.96354510000000004</v>
      </c>
      <c r="Q2400">
        <v>-2.8597380000000001E-3</v>
      </c>
      <c r="R2400">
        <v>-0.26753100000000002</v>
      </c>
      <c r="S2400">
        <v>-2.81427</v>
      </c>
      <c r="T2400">
        <v>-0.28687469999999998</v>
      </c>
      <c r="U2400">
        <v>-1.08377099999999</v>
      </c>
      <c r="V2400">
        <v>-0.15027850000000001</v>
      </c>
      <c r="W2400">
        <v>7.2720049999999998E-3</v>
      </c>
      <c r="X2400">
        <v>0.98861690000000002</v>
      </c>
      <c r="Y2400">
        <v>-0.2444404</v>
      </c>
      <c r="Z2400">
        <v>-3.2471680000000001E-4</v>
      </c>
      <c r="AA2400">
        <v>0.96966430000000003</v>
      </c>
      <c r="AB2400">
        <v>33</v>
      </c>
      <c r="AC2400">
        <v>-10.6091999999999</v>
      </c>
      <c r="AD2400">
        <v>-1.114196040545</v>
      </c>
      <c r="AE2400">
        <v>-4.1664999999999797</v>
      </c>
      <c r="AF2400">
        <v>-2.8385218294096601</v>
      </c>
      <c r="AG2400">
        <v>-1.114196040545</v>
      </c>
      <c r="AH2400">
        <v>10.9274844058446</v>
      </c>
      <c r="AI2400">
        <v>95.636132175466699</v>
      </c>
      <c r="AJ2400">
        <v>104.561327699949</v>
      </c>
      <c r="AK2400">
        <v>11.3449792610113</v>
      </c>
      <c r="AL2400">
        <v>89.583341108505707</v>
      </c>
      <c r="AM2400">
        <v>98.643297173255803</v>
      </c>
      <c r="AN2400">
        <v>0.99999994229228795</v>
      </c>
    </row>
    <row r="2401" spans="1:40" x14ac:dyDescent="0.25">
      <c r="A2401" t="str">
        <f>"20190312151545105"</f>
        <v>20190312151545105</v>
      </c>
      <c r="B2401" t="str">
        <f>"1552374945099613"</f>
        <v>1552374945099613</v>
      </c>
      <c r="C2401" t="s">
        <v>40</v>
      </c>
      <c r="D2401">
        <v>4.3704359999999998</v>
      </c>
      <c r="E2401">
        <v>0.43491160000000001</v>
      </c>
      <c r="F2401" t="s">
        <v>50</v>
      </c>
      <c r="G2401">
        <v>-483.1773</v>
      </c>
      <c r="H2401" s="1">
        <v>1.727783E-6</v>
      </c>
      <c r="I2401">
        <v>277.80549999999999</v>
      </c>
      <c r="J2401">
        <v>-472.0659</v>
      </c>
      <c r="K2401">
        <v>1.114298</v>
      </c>
      <c r="L2401">
        <v>283.09879999999998</v>
      </c>
      <c r="M2401">
        <v>-0.99200529999999998</v>
      </c>
      <c r="N2401">
        <v>0</v>
      </c>
      <c r="O2401">
        <v>-0.12562029999999999</v>
      </c>
      <c r="P2401">
        <v>-0.96191700000000002</v>
      </c>
      <c r="Q2401">
        <v>-5.2829869999999899E-3</v>
      </c>
      <c r="R2401">
        <v>-0.27329199999999998</v>
      </c>
      <c r="S2401">
        <v>-2.755585</v>
      </c>
      <c r="T2401">
        <v>-0.26843489999999998</v>
      </c>
      <c r="U2401">
        <v>-1.2861629999999999</v>
      </c>
      <c r="V2401">
        <v>-0.15034990000000001</v>
      </c>
      <c r="W2401">
        <v>4.8397029999999999E-3</v>
      </c>
      <c r="X2401">
        <v>0.98862099999999997</v>
      </c>
      <c r="Y2401">
        <v>-0.30506549999999999</v>
      </c>
      <c r="Z2401">
        <v>-2.5894640000000001E-3</v>
      </c>
      <c r="AA2401">
        <v>0.95232779999999995</v>
      </c>
      <c r="AB2401">
        <v>33</v>
      </c>
      <c r="AC2401">
        <v>-11.1114</v>
      </c>
      <c r="AD2401">
        <v>-1.114296272217</v>
      </c>
      <c r="AE2401">
        <v>-5.2932999999999799</v>
      </c>
      <c r="AF2401">
        <v>-3.82409879634876</v>
      </c>
      <c r="AG2401">
        <v>-1.114296272217</v>
      </c>
      <c r="AH2401">
        <v>11.593333992922499</v>
      </c>
      <c r="AI2401">
        <v>95.215379787956493</v>
      </c>
      <c r="AJ2401">
        <v>108.25530673825099</v>
      </c>
      <c r="AK2401">
        <v>12.2584983117005</v>
      </c>
      <c r="AL2401">
        <v>89.7227043610485</v>
      </c>
      <c r="AM2401">
        <v>98.647306375451393</v>
      </c>
      <c r="AN2401">
        <v>0.99999999839806897</v>
      </c>
    </row>
    <row r="2402" spans="1:40" x14ac:dyDescent="0.25">
      <c r="A2402" t="str">
        <f>"20190312151545125"</f>
        <v>20190312151545125</v>
      </c>
      <c r="B2402" t="str">
        <f>"1552374945120109"</f>
        <v>1552374945120109</v>
      </c>
      <c r="C2402" t="s">
        <v>40</v>
      </c>
      <c r="D2402">
        <v>4.4002109999999997</v>
      </c>
      <c r="E2402">
        <v>0.43376720000000002</v>
      </c>
      <c r="F2402" t="s">
        <v>50</v>
      </c>
      <c r="G2402">
        <v>-483.13889999999998</v>
      </c>
      <c r="H2402" s="1">
        <v>1.7131430000000001E-6</v>
      </c>
      <c r="I2402">
        <v>277.74180000000001</v>
      </c>
      <c r="J2402">
        <v>-472.36930000000001</v>
      </c>
      <c r="K2402">
        <v>1.1144050000000001</v>
      </c>
      <c r="L2402">
        <v>283.05489999999998</v>
      </c>
      <c r="M2402">
        <v>-0.99128439999999995</v>
      </c>
      <c r="N2402">
        <v>0</v>
      </c>
      <c r="O2402">
        <v>-0.13118460000000001</v>
      </c>
      <c r="P2402">
        <v>-0.9602638</v>
      </c>
      <c r="Q2402">
        <v>-7.2062749999999998E-3</v>
      </c>
      <c r="R2402">
        <v>-0.2790009</v>
      </c>
      <c r="S2402">
        <v>-2.7406009999999998</v>
      </c>
      <c r="T2402">
        <v>-0.27579369999999997</v>
      </c>
      <c r="U2402">
        <v>-1.3258970000000001</v>
      </c>
      <c r="V2402">
        <v>-0.15065519999999999</v>
      </c>
      <c r="W2402">
        <v>2.9051900000000002E-3</v>
      </c>
      <c r="X2402">
        <v>0.98858210000000002</v>
      </c>
      <c r="Y2402">
        <v>-0.31290950000000001</v>
      </c>
      <c r="Z2402">
        <v>-2.5227119999999999E-3</v>
      </c>
      <c r="AA2402">
        <v>0.94977959999999995</v>
      </c>
      <c r="AB2402">
        <v>33</v>
      </c>
      <c r="AC2402">
        <v>-10.769599999999899</v>
      </c>
      <c r="AD2402">
        <v>-1.114403286857</v>
      </c>
      <c r="AE2402">
        <v>-5.3130999999999604</v>
      </c>
      <c r="AF2402">
        <v>-3.8213608447270899</v>
      </c>
      <c r="AG2402">
        <v>-1.114403286857</v>
      </c>
      <c r="AH2402">
        <v>11.2764554273044</v>
      </c>
      <c r="AI2402">
        <v>95.347155790333503</v>
      </c>
      <c r="AJ2402">
        <v>108.72047192374799</v>
      </c>
      <c r="AK2402">
        <v>11.958392048906701</v>
      </c>
      <c r="AL2402">
        <v>89.833544639986599</v>
      </c>
      <c r="AM2402">
        <v>98.664935112809502</v>
      </c>
      <c r="AN2402">
        <v>0.99999999892819302</v>
      </c>
    </row>
    <row r="2403" spans="1:40" x14ac:dyDescent="0.25">
      <c r="A2403" t="str">
        <f>"20190312151545149"</f>
        <v>20190312151545149</v>
      </c>
      <c r="B2403" t="str">
        <f>"1552374945139629"</f>
        <v>1552374945139629</v>
      </c>
      <c r="C2403" t="s">
        <v>40</v>
      </c>
      <c r="D2403">
        <v>4.3941059999999998</v>
      </c>
      <c r="E2403">
        <v>0.43347930000000001</v>
      </c>
      <c r="F2403" t="s">
        <v>50</v>
      </c>
      <c r="G2403">
        <v>-483.08109999999999</v>
      </c>
      <c r="H2403" s="1">
        <v>1.7102989999999999E-6</v>
      </c>
      <c r="I2403">
        <v>277.75470000000001</v>
      </c>
      <c r="J2403">
        <v>-472.69349999999997</v>
      </c>
      <c r="K2403">
        <v>1.1145400000000001</v>
      </c>
      <c r="L2403">
        <v>283.00599999999997</v>
      </c>
      <c r="M2403">
        <v>-0.99045740000000004</v>
      </c>
      <c r="N2403">
        <v>0</v>
      </c>
      <c r="O2403">
        <v>-0.1372862</v>
      </c>
      <c r="P2403">
        <v>-0.95838869999999998</v>
      </c>
      <c r="Q2403">
        <v>-8.4346609999999995E-3</v>
      </c>
      <c r="R2403">
        <v>-0.28534229999999999</v>
      </c>
      <c r="S2403">
        <v>-2.7295530000000001</v>
      </c>
      <c r="T2403">
        <v>-0.28396709999999997</v>
      </c>
      <c r="U2403">
        <v>-1.3505860000000001</v>
      </c>
      <c r="V2403">
        <v>-0.15108929999999901</v>
      </c>
      <c r="W2403">
        <v>1.6596950000000001E-3</v>
      </c>
      <c r="X2403">
        <v>0.98851869999999997</v>
      </c>
      <c r="Y2403">
        <v>-0.31546289999999999</v>
      </c>
      <c r="Z2403">
        <v>-2.1433899999999998E-3</v>
      </c>
      <c r="AA2403">
        <v>0.94893550000000004</v>
      </c>
      <c r="AB2403">
        <v>33</v>
      </c>
      <c r="AC2403">
        <v>-10.387600000000001</v>
      </c>
      <c r="AD2403">
        <v>-1.1145382897010001</v>
      </c>
      <c r="AE2403">
        <v>-5.2512999999999499</v>
      </c>
      <c r="AF2403">
        <v>-3.7410897377910701</v>
      </c>
      <c r="AG2403">
        <v>-1.1145382897010001</v>
      </c>
      <c r="AH2403">
        <v>10.9101786306866</v>
      </c>
      <c r="AI2403">
        <v>95.519505194656006</v>
      </c>
      <c r="AJ2403">
        <v>108.926792222974</v>
      </c>
      <c r="AK2403">
        <v>11.58749091818</v>
      </c>
      <c r="AL2403">
        <v>89.904906435253494</v>
      </c>
      <c r="AM2403">
        <v>98.690070628617704</v>
      </c>
      <c r="AN2403">
        <v>0.99999997570583599</v>
      </c>
    </row>
    <row r="2404" spans="1:40" x14ac:dyDescent="0.25">
      <c r="A2404" t="str">
        <f>"20190312151545171"</f>
        <v>20190312151545171</v>
      </c>
      <c r="B2404" t="str">
        <f>"1552374945160125"</f>
        <v>1552374945160125</v>
      </c>
      <c r="C2404" t="s">
        <v>40</v>
      </c>
      <c r="D2404">
        <v>4.3936310000000001</v>
      </c>
      <c r="E2404">
        <v>0.43352039999999997</v>
      </c>
      <c r="F2404" t="s">
        <v>50</v>
      </c>
      <c r="G2404">
        <v>-483.13420000000002</v>
      </c>
      <c r="H2404" s="1">
        <v>1.7130459999999999E-6</v>
      </c>
      <c r="I2404">
        <v>277.74360000000001</v>
      </c>
      <c r="J2404">
        <v>-473.01670000000001</v>
      </c>
      <c r="K2404">
        <v>1.1146860000000001</v>
      </c>
      <c r="L2404">
        <v>282.95499999999998</v>
      </c>
      <c r="M2404">
        <v>-0.98956949999999999</v>
      </c>
      <c r="N2404">
        <v>0</v>
      </c>
      <c r="O2404">
        <v>-0.14354210000000001</v>
      </c>
      <c r="P2404">
        <v>-0.95641390000000004</v>
      </c>
      <c r="Q2404">
        <v>-9.466894E-3</v>
      </c>
      <c r="R2404">
        <v>-0.29186109999999998</v>
      </c>
      <c r="S2404">
        <v>-2.7196039999999999</v>
      </c>
      <c r="T2404">
        <v>-0.29031590000000002</v>
      </c>
      <c r="U2404">
        <v>-1.3707579999999999</v>
      </c>
      <c r="V2404">
        <v>-0.15156259999999999</v>
      </c>
      <c r="W2404">
        <v>6.0493139999999999E-4</v>
      </c>
      <c r="X2404">
        <v>0.98844750000000003</v>
      </c>
      <c r="Y2404">
        <v>-0.31646370000000001</v>
      </c>
      <c r="Z2404">
        <v>-1.6332110000000001E-3</v>
      </c>
      <c r="AA2404">
        <v>0.94860319999999998</v>
      </c>
      <c r="AB2404">
        <v>33</v>
      </c>
      <c r="AC2404">
        <v>-10.1175</v>
      </c>
      <c r="AD2404">
        <v>-1.1146842869539999</v>
      </c>
      <c r="AE2404">
        <v>-5.2113999999999603</v>
      </c>
      <c r="AF2404">
        <v>-3.66982428004511</v>
      </c>
      <c r="AG2404">
        <v>-1.1146842869539999</v>
      </c>
      <c r="AH2404">
        <v>10.6585717023714</v>
      </c>
      <c r="AI2404">
        <v>95.647272259848705</v>
      </c>
      <c r="AJ2404">
        <v>108.99896062227199</v>
      </c>
      <c r="AK2404">
        <v>11.327633558717499</v>
      </c>
      <c r="AL2404">
        <v>89.965339982601506</v>
      </c>
      <c r="AM2404">
        <v>98.717493776630505</v>
      </c>
      <c r="AN2404">
        <v>1.0000000239585001</v>
      </c>
    </row>
    <row r="2405" spans="1:40" x14ac:dyDescent="0.25">
      <c r="A2405" t="str">
        <f>"20190312151545194"</f>
        <v>20190312151545194</v>
      </c>
      <c r="B2405" t="str">
        <f>"1552374945190381"</f>
        <v>1552374945190381</v>
      </c>
      <c r="C2405" t="s">
        <v>40</v>
      </c>
      <c r="D2405">
        <v>4.4027659999999997</v>
      </c>
      <c r="E2405">
        <v>0.43346289999999998</v>
      </c>
      <c r="F2405" t="s">
        <v>50</v>
      </c>
      <c r="G2405">
        <v>-483.36250000000001</v>
      </c>
      <c r="H2405" s="1">
        <v>1.7174479999999999E-6</v>
      </c>
      <c r="I2405">
        <v>277.65359999999998</v>
      </c>
      <c r="J2405">
        <v>-473.3261</v>
      </c>
      <c r="K2405">
        <v>1.1148450000000001</v>
      </c>
      <c r="L2405">
        <v>282.90410000000003</v>
      </c>
      <c r="M2405">
        <v>-0.98865449999999999</v>
      </c>
      <c r="N2405">
        <v>0</v>
      </c>
      <c r="O2405">
        <v>-0.1497107</v>
      </c>
      <c r="P2405">
        <v>-0.95427189999999995</v>
      </c>
      <c r="Q2405">
        <v>-1.0197970000000001E-2</v>
      </c>
      <c r="R2405">
        <v>-0.29876589999999997</v>
      </c>
      <c r="S2405">
        <v>-2.710083</v>
      </c>
      <c r="T2405">
        <v>-0.2919929</v>
      </c>
      <c r="U2405">
        <v>-1.3887020000000001</v>
      </c>
      <c r="V2405">
        <v>-0.152534</v>
      </c>
      <c r="W2405">
        <v>-1.5533969999999999E-4</v>
      </c>
      <c r="X2405">
        <v>0.98829820000000002</v>
      </c>
      <c r="Y2405">
        <v>-0.31689119999999998</v>
      </c>
      <c r="Z2405">
        <v>-1.060224E-3</v>
      </c>
      <c r="AA2405">
        <v>0.94846129999999995</v>
      </c>
      <c r="AB2405">
        <v>33</v>
      </c>
      <c r="AC2405">
        <v>-10.0364</v>
      </c>
      <c r="AD2405">
        <v>-1.114843282552</v>
      </c>
      <c r="AE2405">
        <v>-5.2505000000000397</v>
      </c>
      <c r="AF2405">
        <v>-3.6532579029905201</v>
      </c>
      <c r="AG2405">
        <v>-1.114843282552</v>
      </c>
      <c r="AH2405">
        <v>10.606634284225301</v>
      </c>
      <c r="AI2405">
        <v>95.675333925750195</v>
      </c>
      <c r="AJ2405">
        <v>109.005316104003</v>
      </c>
      <c r="AK2405">
        <v>11.2734138436286</v>
      </c>
      <c r="AL2405">
        <v>90.008900309337093</v>
      </c>
      <c r="AM2405">
        <v>98.7738044431715</v>
      </c>
      <c r="AN2405">
        <v>0.99999998870483098</v>
      </c>
    </row>
    <row r="2406" spans="1:40" x14ac:dyDescent="0.25">
      <c r="A2406" t="str">
        <f>"20190312151545215"</f>
        <v>20190312151545215</v>
      </c>
      <c r="B2406" t="str">
        <f>"1552374945209901"</f>
        <v>1552374945209901</v>
      </c>
      <c r="C2406" t="s">
        <v>40</v>
      </c>
      <c r="D2406">
        <v>4.4523659999999996</v>
      </c>
      <c r="E2406">
        <v>0.43386409999999997</v>
      </c>
      <c r="F2406" t="s">
        <v>50</v>
      </c>
      <c r="G2406">
        <v>-483.65910000000002</v>
      </c>
      <c r="H2406" s="1">
        <v>1.7188200000000001E-6</v>
      </c>
      <c r="I2406">
        <v>277.512</v>
      </c>
      <c r="J2406">
        <v>-473.64350000000002</v>
      </c>
      <c r="K2406">
        <v>1.1150089999999999</v>
      </c>
      <c r="L2406">
        <v>282.84930000000003</v>
      </c>
      <c r="M2406">
        <v>-0.98764280000000004</v>
      </c>
      <c r="N2406">
        <v>0</v>
      </c>
      <c r="O2406">
        <v>-0.15624289999999999</v>
      </c>
      <c r="P2406">
        <v>-0.95180880000000001</v>
      </c>
      <c r="Q2406">
        <v>-1.046796E-2</v>
      </c>
      <c r="R2406">
        <v>-0.30651289999999998</v>
      </c>
      <c r="S2406">
        <v>-2.699646</v>
      </c>
      <c r="T2406">
        <v>-0.2912709</v>
      </c>
      <c r="U2406">
        <v>-1.408752</v>
      </c>
      <c r="V2406">
        <v>-0.15403149999999999</v>
      </c>
      <c r="W2406">
        <v>-4.6245649999999999E-4</v>
      </c>
      <c r="X2406">
        <v>0.98806579999999999</v>
      </c>
      <c r="Y2406">
        <v>-0.317691099999999</v>
      </c>
      <c r="Z2406">
        <v>-4.5925380000000002E-4</v>
      </c>
      <c r="AA2406">
        <v>0.94819410000000004</v>
      </c>
      <c r="AB2406">
        <v>33</v>
      </c>
      <c r="AC2406">
        <v>-10.015599999999999</v>
      </c>
      <c r="AD2406">
        <v>-1.11500728117999</v>
      </c>
      <c r="AE2406">
        <v>-5.3373000000000204</v>
      </c>
      <c r="AF2406">
        <v>-3.6713196152129401</v>
      </c>
      <c r="AG2406">
        <v>-1.11500728117999</v>
      </c>
      <c r="AH2406">
        <v>10.6240052736864</v>
      </c>
      <c r="AI2406">
        <v>95.664969794034207</v>
      </c>
      <c r="AJ2406">
        <v>109.063527914452</v>
      </c>
      <c r="AK2406">
        <v>11.295632652023</v>
      </c>
      <c r="AL2406">
        <v>90.026496807371402</v>
      </c>
      <c r="AM2406">
        <v>98.860631973037798</v>
      </c>
      <c r="AN2406">
        <v>0.99999997099395099</v>
      </c>
    </row>
    <row r="2407" spans="1:40" x14ac:dyDescent="0.25">
      <c r="A2407" t="str">
        <f>"20190312151545229"</f>
        <v>20190312151545229</v>
      </c>
      <c r="B2407" t="str">
        <f>"1552374945219662"</f>
        <v>1552374945219662</v>
      </c>
      <c r="C2407" t="s">
        <v>40</v>
      </c>
      <c r="D2407">
        <v>4.4940930000000003</v>
      </c>
      <c r="E2407">
        <v>0.4341836</v>
      </c>
      <c r="F2407" t="s">
        <v>50</v>
      </c>
      <c r="G2407">
        <v>-484.0283</v>
      </c>
      <c r="H2407" s="1">
        <v>1.720542E-6</v>
      </c>
      <c r="I2407">
        <v>277.33589999999998</v>
      </c>
      <c r="J2407">
        <v>-473.83870000000002</v>
      </c>
      <c r="K2407">
        <v>1.1151059999999999</v>
      </c>
      <c r="L2407">
        <v>282.81450000000001</v>
      </c>
      <c r="M2407">
        <v>-0.98698509999999995</v>
      </c>
      <c r="N2407">
        <v>0</v>
      </c>
      <c r="O2407">
        <v>-0.16034229999999899</v>
      </c>
      <c r="P2407">
        <v>-0.95036109999999896</v>
      </c>
      <c r="Q2407">
        <v>-1.079074E-2</v>
      </c>
      <c r="R2407">
        <v>-0.31096249999999998</v>
      </c>
      <c r="S2407">
        <v>-2.688965</v>
      </c>
      <c r="T2407">
        <v>-0.2887132</v>
      </c>
      <c r="U2407">
        <v>-1.4276120000000001</v>
      </c>
      <c r="V2407">
        <v>-0.15454780000000001</v>
      </c>
      <c r="W2407">
        <v>-8.0061409999999998E-4</v>
      </c>
      <c r="X2407">
        <v>0.987985</v>
      </c>
      <c r="Y2407">
        <v>-0.32051689999999999</v>
      </c>
      <c r="Z2407">
        <v>-2.0022780000000001E-4</v>
      </c>
      <c r="AA2407">
        <v>0.94724280000000005</v>
      </c>
      <c r="AB2407">
        <v>33</v>
      </c>
      <c r="AC2407">
        <v>-10.189599999999899</v>
      </c>
      <c r="AD2407">
        <v>-1.1151042794579999</v>
      </c>
      <c r="AE2407">
        <v>-5.4786000000000197</v>
      </c>
      <c r="AF2407">
        <v>-3.7390200820914599</v>
      </c>
      <c r="AG2407">
        <v>-1.1151042794579999</v>
      </c>
      <c r="AH2407">
        <v>10.8355919169666</v>
      </c>
      <c r="AI2407">
        <v>95.5563805004995</v>
      </c>
      <c r="AJ2407">
        <v>109.037935124114</v>
      </c>
      <c r="AK2407">
        <v>11.5166740389481</v>
      </c>
      <c r="AL2407">
        <v>90.045871813305695</v>
      </c>
      <c r="AM2407">
        <v>98.890573852099394</v>
      </c>
      <c r="AN2407">
        <v>1.0000000118463801</v>
      </c>
    </row>
    <row r="2408" spans="1:40" x14ac:dyDescent="0.25">
      <c r="A2408" t="str">
        <f>"20190312151545243"</f>
        <v>20190312151545243</v>
      </c>
      <c r="B2408" t="str">
        <f>"1552374945240158"</f>
        <v>1552374945240158</v>
      </c>
      <c r="C2408" t="s">
        <v>40</v>
      </c>
      <c r="D2408">
        <v>4.3581510000000003</v>
      </c>
      <c r="E2408">
        <v>0.43469079999999899</v>
      </c>
      <c r="F2408" t="s">
        <v>50</v>
      </c>
      <c r="G2408">
        <v>-484.29860000000002</v>
      </c>
      <c r="H2408" s="1">
        <v>1.722209E-6</v>
      </c>
      <c r="I2408">
        <v>277.20920000000001</v>
      </c>
      <c r="J2408">
        <v>-474.02910000000003</v>
      </c>
      <c r="K2408">
        <v>1.115191</v>
      </c>
      <c r="L2408">
        <v>282.77969999999999</v>
      </c>
      <c r="M2408">
        <v>-0.98631610000000003</v>
      </c>
      <c r="N2408">
        <v>0</v>
      </c>
      <c r="O2408">
        <v>-0.16440679999999999</v>
      </c>
      <c r="P2408">
        <v>-0.94888640000000002</v>
      </c>
      <c r="Q2408">
        <v>-1.0545529999999999E-2</v>
      </c>
      <c r="R2408">
        <v>-0.31544229999999901</v>
      </c>
      <c r="S2408">
        <v>-2.683014</v>
      </c>
      <c r="T2408">
        <v>-0.2860316</v>
      </c>
      <c r="U2408">
        <v>-1.437805</v>
      </c>
      <c r="V2408">
        <v>-0.15514139999999901</v>
      </c>
      <c r="W2408">
        <v>-5.7200600000000001E-4</v>
      </c>
      <c r="X2408">
        <v>0.98789210000000005</v>
      </c>
      <c r="Y2408">
        <v>-0.32031589999999999</v>
      </c>
      <c r="Z2408">
        <v>2.0313540000000001E-4</v>
      </c>
      <c r="AA2408">
        <v>0.94731069999999995</v>
      </c>
      <c r="AB2408">
        <v>33</v>
      </c>
      <c r="AC2408">
        <v>-10.269499999999899</v>
      </c>
      <c r="AD2408">
        <v>-1.115189277791</v>
      </c>
      <c r="AE2408">
        <v>-5.5704999999999796</v>
      </c>
      <c r="AF2408">
        <v>-3.7718188370172401</v>
      </c>
      <c r="AG2408">
        <v>-1.115189277791</v>
      </c>
      <c r="AH2408">
        <v>10.945902191566001</v>
      </c>
      <c r="AI2408">
        <v>95.501957133535896</v>
      </c>
      <c r="AJ2408">
        <v>109.01330058836901</v>
      </c>
      <c r="AK2408">
        <v>11.6311237312612</v>
      </c>
      <c r="AL2408">
        <v>90.032773531731294</v>
      </c>
      <c r="AM2408">
        <v>98.924998629607401</v>
      </c>
      <c r="AN2408">
        <v>0.99999999121361705</v>
      </c>
    </row>
    <row r="2409" spans="1:40" x14ac:dyDescent="0.25">
      <c r="A2409" t="str">
        <f>"20190312151545257"</f>
        <v>20190312151545257</v>
      </c>
      <c r="B2409" t="str">
        <f>"1552374945249917"</f>
        <v>1552374945249917</v>
      </c>
      <c r="C2409" t="s">
        <v>40</v>
      </c>
      <c r="D2409">
        <v>4.3710110000000002</v>
      </c>
      <c r="E2409">
        <v>0.43491550000000001</v>
      </c>
      <c r="F2409" t="s">
        <v>50</v>
      </c>
      <c r="G2409">
        <v>-484.72739999999999</v>
      </c>
      <c r="H2409" s="1">
        <v>1.723603E-6</v>
      </c>
      <c r="I2409">
        <v>277.00119999999998</v>
      </c>
      <c r="J2409">
        <v>-474.23039999999997</v>
      </c>
      <c r="K2409">
        <v>1.115286</v>
      </c>
      <c r="L2409">
        <v>282.74209999999999</v>
      </c>
      <c r="M2409">
        <v>-0.98558000000000001</v>
      </c>
      <c r="N2409">
        <v>0</v>
      </c>
      <c r="O2409">
        <v>-0.16876179999999999</v>
      </c>
      <c r="P2409">
        <v>-0.94717989999999996</v>
      </c>
      <c r="Q2409">
        <v>-1.045137E-2</v>
      </c>
      <c r="R2409">
        <v>-0.32053300000000001</v>
      </c>
      <c r="S2409">
        <v>-2.6777039999999999</v>
      </c>
      <c r="T2409">
        <v>-0.2791227</v>
      </c>
      <c r="U2409">
        <v>-1.4463200000000001</v>
      </c>
      <c r="V2409">
        <v>-0.15608339999999901</v>
      </c>
      <c r="W2409">
        <v>-5.0183669999999999E-4</v>
      </c>
      <c r="X2409">
        <v>0.9877437</v>
      </c>
      <c r="Y2409">
        <v>-0.31930239999999999</v>
      </c>
      <c r="Z2409">
        <v>6.5756309999999896E-4</v>
      </c>
      <c r="AA2409">
        <v>0.94765259999999996</v>
      </c>
      <c r="AB2409">
        <v>33</v>
      </c>
      <c r="AC2409">
        <v>-10.497</v>
      </c>
      <c r="AD2409">
        <v>-1.1152842763969999</v>
      </c>
      <c r="AE2409">
        <v>-5.7409000000000097</v>
      </c>
      <c r="AF2409">
        <v>-3.8534336486484402</v>
      </c>
      <c r="AG2409">
        <v>-1.1152842763969999</v>
      </c>
      <c r="AH2409">
        <v>11.217857496542001</v>
      </c>
      <c r="AI2409">
        <v>95.371588028633496</v>
      </c>
      <c r="AJ2409">
        <v>108.958051603868</v>
      </c>
      <c r="AK2409">
        <v>11.9135694363376</v>
      </c>
      <c r="AL2409">
        <v>90.028753127609804</v>
      </c>
      <c r="AM2409">
        <v>98.979636905980101</v>
      </c>
      <c r="AN2409">
        <v>0.99999994824266003</v>
      </c>
    </row>
    <row r="2410" spans="1:40" x14ac:dyDescent="0.25">
      <c r="A2410" t="str">
        <f>"20190312151545272"</f>
        <v>20190312151545272</v>
      </c>
      <c r="B2410" t="str">
        <f>"1552374945259677"</f>
        <v>1552374945259677</v>
      </c>
      <c r="C2410" t="s">
        <v>40</v>
      </c>
      <c r="D2410">
        <v>4.3395919999999997</v>
      </c>
      <c r="E2410">
        <v>0.43516769999999999</v>
      </c>
      <c r="F2410" t="s">
        <v>50</v>
      </c>
      <c r="G2410">
        <v>-485.0308</v>
      </c>
      <c r="H2410" s="1">
        <v>1.7219880000000001E-6</v>
      </c>
      <c r="I2410">
        <v>276.83920000000001</v>
      </c>
      <c r="J2410">
        <v>-474.44470000000001</v>
      </c>
      <c r="K2410">
        <v>1.1153820000000001</v>
      </c>
      <c r="L2410">
        <v>282.70100000000002</v>
      </c>
      <c r="M2410">
        <v>-0.98475869999999999</v>
      </c>
      <c r="N2410">
        <v>0</v>
      </c>
      <c r="O2410">
        <v>-0.17348710000000001</v>
      </c>
      <c r="P2410">
        <v>-0.94511310000000004</v>
      </c>
      <c r="Q2410">
        <v>-1.057263E-2</v>
      </c>
      <c r="R2410">
        <v>-0.32657249999999999</v>
      </c>
      <c r="S2410">
        <v>-2.6703489999999999</v>
      </c>
      <c r="T2410">
        <v>-0.27574969999999999</v>
      </c>
      <c r="U2410">
        <v>-1.459473</v>
      </c>
      <c r="V2410">
        <v>-0.15764929999999999</v>
      </c>
      <c r="W2410">
        <v>-6.6070789999999897E-4</v>
      </c>
      <c r="X2410">
        <v>0.98749489999999995</v>
      </c>
      <c r="Y2410">
        <v>-0.3194824</v>
      </c>
      <c r="Z2410">
        <v>1.0805260000000001E-3</v>
      </c>
      <c r="AA2410">
        <v>0.94759159999999998</v>
      </c>
      <c r="AB2410">
        <v>33</v>
      </c>
      <c r="AC2410">
        <v>-10.586099999999901</v>
      </c>
      <c r="AD2410">
        <v>-1.1153802780119999</v>
      </c>
      <c r="AE2410">
        <v>-5.8617999999999597</v>
      </c>
      <c r="AF2410">
        <v>-3.9030457247064798</v>
      </c>
      <c r="AG2410">
        <v>-1.1153802780119999</v>
      </c>
      <c r="AH2410">
        <v>11.346173566651199</v>
      </c>
      <c r="AI2410">
        <v>95.310851747706707</v>
      </c>
      <c r="AJ2410">
        <v>108.98304555228</v>
      </c>
      <c r="AK2410">
        <v>12.050456161419801</v>
      </c>
      <c r="AL2410">
        <v>90.037855778507904</v>
      </c>
      <c r="AM2410">
        <v>99.070481814857004</v>
      </c>
      <c r="AN2410">
        <v>0.99999995792571295</v>
      </c>
    </row>
    <row r="2411" spans="1:40" x14ac:dyDescent="0.25">
      <c r="A2411" t="str">
        <f>"20190312151545294"</f>
        <v>20190312151545294</v>
      </c>
      <c r="B2411" t="str">
        <f>"1552374945289933"</f>
        <v>1552374945289933</v>
      </c>
      <c r="C2411" t="s">
        <v>40</v>
      </c>
      <c r="D2411">
        <v>4.3548119999999999</v>
      </c>
      <c r="E2411">
        <v>0.43578929999999999</v>
      </c>
      <c r="F2411" t="s">
        <v>50</v>
      </c>
      <c r="G2411">
        <v>-485.3057</v>
      </c>
      <c r="H2411" s="1">
        <v>1.7189580000000001E-6</v>
      </c>
      <c r="I2411">
        <v>276.68360000000001</v>
      </c>
      <c r="J2411">
        <v>-474.7568</v>
      </c>
      <c r="K2411">
        <v>1.115532</v>
      </c>
      <c r="L2411">
        <v>282.63900000000001</v>
      </c>
      <c r="M2411">
        <v>-0.98348860000000005</v>
      </c>
      <c r="N2411">
        <v>0</v>
      </c>
      <c r="O2411">
        <v>-0.18054539999999999</v>
      </c>
      <c r="P2411">
        <v>-0.94207870000000005</v>
      </c>
      <c r="Q2411">
        <v>-1.0783589999999999E-2</v>
      </c>
      <c r="R2411">
        <v>-0.33521830000000002</v>
      </c>
      <c r="S2411">
        <v>-2.661591</v>
      </c>
      <c r="T2411">
        <v>-0.2733353</v>
      </c>
      <c r="U2411">
        <v>-1.47464</v>
      </c>
      <c r="V2411">
        <v>-0.15961159999999999</v>
      </c>
      <c r="W2411">
        <v>-9.2464649999999995E-4</v>
      </c>
      <c r="X2411">
        <v>0.98717949999999999</v>
      </c>
      <c r="Y2411">
        <v>-0.31818180000000001</v>
      </c>
      <c r="Z2411">
        <v>1.7848629999999901E-3</v>
      </c>
      <c r="AA2411">
        <v>0.94802799999999998</v>
      </c>
      <c r="AB2411">
        <v>33</v>
      </c>
      <c r="AC2411">
        <v>-10.5489</v>
      </c>
      <c r="AD2411">
        <v>-1.115530281042</v>
      </c>
      <c r="AE2411">
        <v>-5.9553999999999903</v>
      </c>
      <c r="AF2411">
        <v>-3.9195780425710498</v>
      </c>
      <c r="AG2411">
        <v>-1.115530281042</v>
      </c>
      <c r="AH2411">
        <v>11.3545354944854</v>
      </c>
      <c r="AI2411">
        <v>95.305717960842301</v>
      </c>
      <c r="AJ2411">
        <v>109.04463971463301</v>
      </c>
      <c r="AK2411">
        <v>12.063704909158499</v>
      </c>
      <c r="AL2411">
        <v>90.052978347340797</v>
      </c>
      <c r="AM2411">
        <v>99.184356398818807</v>
      </c>
      <c r="AN2411">
        <v>1.00000004152297</v>
      </c>
    </row>
    <row r="2412" spans="1:40" x14ac:dyDescent="0.25">
      <c r="A2412" t="str">
        <f>"20190312151545316"</f>
        <v>20190312151545316</v>
      </c>
      <c r="B2412" t="str">
        <f>"1552374945309453"</f>
        <v>1552374945309453</v>
      </c>
      <c r="C2412" t="s">
        <v>40</v>
      </c>
      <c r="D2412">
        <v>4.308465</v>
      </c>
      <c r="E2412">
        <v>0.43620330000000002</v>
      </c>
      <c r="F2412" t="s">
        <v>50</v>
      </c>
      <c r="G2412">
        <v>-485.7681</v>
      </c>
      <c r="H2412" s="1">
        <v>1.714967E-6</v>
      </c>
      <c r="I2412">
        <v>276.428</v>
      </c>
      <c r="J2412">
        <v>-475.06760000000003</v>
      </c>
      <c r="K2412">
        <v>1.1156950000000001</v>
      </c>
      <c r="L2412">
        <v>282.5745</v>
      </c>
      <c r="M2412">
        <v>-0.98213220000000001</v>
      </c>
      <c r="N2412">
        <v>0</v>
      </c>
      <c r="O2412">
        <v>-0.18778120000000001</v>
      </c>
      <c r="P2412">
        <v>-0.93881979999999998</v>
      </c>
      <c r="Q2412">
        <v>-1.0947520000000001E-2</v>
      </c>
      <c r="R2412">
        <v>-0.34423520000000002</v>
      </c>
      <c r="S2412">
        <v>-2.649597</v>
      </c>
      <c r="T2412">
        <v>-0.26842389999999999</v>
      </c>
      <c r="U2412">
        <v>-1.494507</v>
      </c>
      <c r="V2412">
        <v>-0.16180520000000001</v>
      </c>
      <c r="W2412">
        <v>-1.1512110000000001E-3</v>
      </c>
      <c r="X2412">
        <v>0.98682210000000004</v>
      </c>
      <c r="Y2412">
        <v>-0.3184747</v>
      </c>
      <c r="Z2412">
        <v>2.3964360000000001E-3</v>
      </c>
      <c r="AA2412">
        <v>0.94792829999999995</v>
      </c>
      <c r="AB2412">
        <v>33</v>
      </c>
      <c r="AC2412">
        <v>-10.7004999999999</v>
      </c>
      <c r="AD2412">
        <v>-1.1156932850329999</v>
      </c>
      <c r="AE2412">
        <v>-6.1464999999999996</v>
      </c>
      <c r="AF2412">
        <v>-3.9949782794220301</v>
      </c>
      <c r="AG2412">
        <v>-1.1156932850329999</v>
      </c>
      <c r="AH2412">
        <v>11.5698298957329</v>
      </c>
      <c r="AI2412">
        <v>95.208143210403904</v>
      </c>
      <c r="AJ2412">
        <v>109.049421793683</v>
      </c>
      <c r="AK2412">
        <v>12.290874125769699</v>
      </c>
      <c r="AL2412">
        <v>90.0659595427326</v>
      </c>
      <c r="AM2412">
        <v>99.3116977688221</v>
      </c>
      <c r="AN2412">
        <v>1.0000000525410999</v>
      </c>
    </row>
    <row r="2413" spans="1:40" x14ac:dyDescent="0.25">
      <c r="A2413" t="str">
        <f>"20190312151545338"</f>
        <v>20190312151545338</v>
      </c>
      <c r="B2413" t="str">
        <f>"1552374945329950"</f>
        <v>1552374945329950</v>
      </c>
      <c r="C2413" t="s">
        <v>40</v>
      </c>
      <c r="D2413">
        <v>4.4603739999999998</v>
      </c>
      <c r="E2413">
        <v>0.44462689999999999</v>
      </c>
      <c r="F2413" t="s">
        <v>50</v>
      </c>
      <c r="G2413">
        <v>-486.0702</v>
      </c>
      <c r="H2413" s="1">
        <v>1.7090299999999901E-6</v>
      </c>
      <c r="I2413">
        <v>276.24220000000003</v>
      </c>
      <c r="J2413">
        <v>-475.38130000000001</v>
      </c>
      <c r="K2413">
        <v>1.11585</v>
      </c>
      <c r="L2413">
        <v>282.50700000000001</v>
      </c>
      <c r="M2413">
        <v>-0.9806745</v>
      </c>
      <c r="N2413">
        <v>0</v>
      </c>
      <c r="O2413">
        <v>-0.19524929999999999</v>
      </c>
      <c r="P2413">
        <v>-0.93564860000000005</v>
      </c>
      <c r="Q2413">
        <v>-1.1156030000000001E-2</v>
      </c>
      <c r="R2413">
        <v>-0.35275770000000001</v>
      </c>
      <c r="S2413">
        <v>-2.6360779999999999</v>
      </c>
      <c r="T2413">
        <v>-0.26730680000000001</v>
      </c>
      <c r="U2413">
        <v>-1.5171509999999999</v>
      </c>
      <c r="V2413">
        <v>-0.16326650000000001</v>
      </c>
      <c r="W2413">
        <v>-1.410959E-3</v>
      </c>
      <c r="X2413">
        <v>0.98658100000000004</v>
      </c>
      <c r="Y2413">
        <v>-0.31950610000000002</v>
      </c>
      <c r="Z2413">
        <v>3.014896E-3</v>
      </c>
      <c r="AA2413">
        <v>0.94757939999999996</v>
      </c>
      <c r="AB2413">
        <v>33</v>
      </c>
      <c r="AC2413">
        <v>-10.688899999999901</v>
      </c>
      <c r="AD2413">
        <v>-1.11584829097</v>
      </c>
      <c r="AE2413">
        <v>-6.2647999999999797</v>
      </c>
      <c r="AF2413">
        <v>-4.0244003606725904</v>
      </c>
      <c r="AG2413">
        <v>-1.11584829097</v>
      </c>
      <c r="AH2413">
        <v>11.612245436011101</v>
      </c>
      <c r="AI2413">
        <v>95.187911876719596</v>
      </c>
      <c r="AJ2413">
        <v>109.11453714121799</v>
      </c>
      <c r="AK2413">
        <v>12.340387341473599</v>
      </c>
      <c r="AL2413">
        <v>90.080842022169506</v>
      </c>
      <c r="AM2413">
        <v>99.396556100186601</v>
      </c>
      <c r="AN2413">
        <v>1.0000000051942699</v>
      </c>
    </row>
    <row r="2414" spans="1:40" x14ac:dyDescent="0.25">
      <c r="A2414" t="str">
        <f>"20190312151545351"</f>
        <v>20190312151545351</v>
      </c>
      <c r="B2414" t="str">
        <f>"1552374945339710"</f>
        <v>1552374945339710</v>
      </c>
      <c r="C2414" t="s">
        <v>40</v>
      </c>
      <c r="D2414">
        <v>4.3147089999999997</v>
      </c>
      <c r="E2414">
        <v>0.44413809999999898</v>
      </c>
      <c r="F2414" t="s">
        <v>50</v>
      </c>
      <c r="G2414">
        <v>-489.32639999999998</v>
      </c>
      <c r="H2414" s="1">
        <v>1.7309109999999999E-6</v>
      </c>
      <c r="I2414">
        <v>274.72660000000002</v>
      </c>
      <c r="J2414">
        <v>-475.5684</v>
      </c>
      <c r="K2414">
        <v>1.1159410000000001</v>
      </c>
      <c r="L2414">
        <v>282.46559999999999</v>
      </c>
      <c r="M2414">
        <v>-0.97976240000000003</v>
      </c>
      <c r="N2414">
        <v>0</v>
      </c>
      <c r="O2414">
        <v>-0.1997738</v>
      </c>
      <c r="P2414">
        <v>-0.93366680000000002</v>
      </c>
      <c r="Q2414">
        <v>-1.1203909999999999E-2</v>
      </c>
      <c r="R2414">
        <v>-0.35796800000000001</v>
      </c>
      <c r="S2414">
        <v>-2.6470340000000001</v>
      </c>
      <c r="T2414">
        <v>-0.21180779999999999</v>
      </c>
      <c r="U2414">
        <v>-1.4768680000000001</v>
      </c>
      <c r="V2414">
        <v>-0.164211</v>
      </c>
      <c r="W2414">
        <v>-1.4917330000000001E-3</v>
      </c>
      <c r="X2414">
        <v>0.98642410000000003</v>
      </c>
      <c r="Y2414">
        <v>-0.30268539999999999</v>
      </c>
      <c r="Z2414">
        <v>3.3455479999999998E-3</v>
      </c>
      <c r="AA2414">
        <v>0.95308459999999995</v>
      </c>
      <c r="AB2414">
        <v>32</v>
      </c>
      <c r="AC2414">
        <v>-13.7579999999999</v>
      </c>
      <c r="AD2414">
        <v>-1.115939269089</v>
      </c>
      <c r="AE2414">
        <v>-7.7389999999999697</v>
      </c>
      <c r="AF2414">
        <v>-4.8102300509936402</v>
      </c>
      <c r="AG2414">
        <v>-1.115939269089</v>
      </c>
      <c r="AH2414">
        <v>14.9520660384755</v>
      </c>
      <c r="AI2414">
        <v>94.063938970026797</v>
      </c>
      <c r="AJ2414">
        <v>107.83350552114599</v>
      </c>
      <c r="AK2414">
        <v>15.7463618786915</v>
      </c>
      <c r="AL2414">
        <v>90.0854700374923</v>
      </c>
      <c r="AM2414">
        <v>99.451413625498901</v>
      </c>
      <c r="AN2414">
        <v>0.99999999142457596</v>
      </c>
    </row>
    <row r="2415" spans="1:40" x14ac:dyDescent="0.25">
      <c r="A2415" t="str">
        <f>"20190312151545365"</f>
        <v>20190312151545365</v>
      </c>
      <c r="B2415" t="str">
        <f>"1552374945360205"</f>
        <v>1552374945360205</v>
      </c>
      <c r="C2415" t="s">
        <v>40</v>
      </c>
      <c r="D2415">
        <v>4.3473199999999999</v>
      </c>
      <c r="E2415">
        <v>0.44361840000000002</v>
      </c>
      <c r="F2415" t="s">
        <v>50</v>
      </c>
      <c r="G2415">
        <v>-489.14479999999998</v>
      </c>
      <c r="H2415" s="1">
        <v>1.722078E-6</v>
      </c>
      <c r="I2415">
        <v>274.7679</v>
      </c>
      <c r="J2415">
        <v>-475.75099999999998</v>
      </c>
      <c r="K2415">
        <v>1.1160300000000001</v>
      </c>
      <c r="L2415">
        <v>282.42399999999998</v>
      </c>
      <c r="M2415">
        <v>-0.9788327</v>
      </c>
      <c r="N2415">
        <v>0</v>
      </c>
      <c r="O2415">
        <v>-0.2042795</v>
      </c>
      <c r="P2415">
        <v>-0.93178269999999996</v>
      </c>
      <c r="Q2415">
        <v>-1.147069E-2</v>
      </c>
      <c r="R2415">
        <v>-0.36283559999999998</v>
      </c>
      <c r="S2415">
        <v>-2.6372990000000001</v>
      </c>
      <c r="T2415">
        <v>-0.21677850000000001</v>
      </c>
      <c r="U2415">
        <v>-1.495331</v>
      </c>
      <c r="V2415">
        <v>-0.16481670000000001</v>
      </c>
      <c r="W2415">
        <v>-1.7854679999999999E-3</v>
      </c>
      <c r="X2415">
        <v>0.98632260000000005</v>
      </c>
      <c r="Y2415">
        <v>-0.30485319999999999</v>
      </c>
      <c r="Z2415">
        <v>3.6738510000000001E-3</v>
      </c>
      <c r="AA2415">
        <v>0.95239229999999997</v>
      </c>
      <c r="AB2415">
        <v>32</v>
      </c>
      <c r="AC2415">
        <v>-13.393800000000001</v>
      </c>
      <c r="AD2415">
        <v>-1.1160282779220001</v>
      </c>
      <c r="AE2415">
        <v>-7.6561000000000297</v>
      </c>
      <c r="AF2415">
        <v>-4.7335634398622402</v>
      </c>
      <c r="AG2415">
        <v>-1.1160282779220001</v>
      </c>
      <c r="AH2415">
        <v>14.5990240309409</v>
      </c>
      <c r="AI2415">
        <v>94.159139241730301</v>
      </c>
      <c r="AJ2415">
        <v>107.964682407721</v>
      </c>
      <c r="AK2415">
        <v>15.387775817586901</v>
      </c>
      <c r="AL2415">
        <v>90.102299835016595</v>
      </c>
      <c r="AM2415">
        <v>99.486601610695502</v>
      </c>
      <c r="AN2415">
        <v>1.0000000018828099</v>
      </c>
    </row>
    <row r="2416" spans="1:40" x14ac:dyDescent="0.25">
      <c r="A2416" t="str">
        <f>"20190312151545377"</f>
        <v>20190312151545377</v>
      </c>
      <c r="B2416" t="str">
        <f>"1552374945369966"</f>
        <v>1552374945369966</v>
      </c>
      <c r="C2416" t="s">
        <v>40</v>
      </c>
      <c r="D2416">
        <v>4.3009959999999996</v>
      </c>
      <c r="E2416">
        <v>0.44368249999999998</v>
      </c>
      <c r="F2416" t="s">
        <v>50</v>
      </c>
      <c r="G2416">
        <v>-488.78199999999998</v>
      </c>
      <c r="H2416" s="1">
        <v>1.7166439999999999E-6</v>
      </c>
      <c r="I2416">
        <v>274.91969999999998</v>
      </c>
      <c r="J2416">
        <v>-475.93009999999998</v>
      </c>
      <c r="K2416">
        <v>1.11612</v>
      </c>
      <c r="L2416">
        <v>282.38240000000002</v>
      </c>
      <c r="M2416">
        <v>-0.97789060000000005</v>
      </c>
      <c r="N2416">
        <v>0</v>
      </c>
      <c r="O2416">
        <v>-0.2087416</v>
      </c>
      <c r="P2416">
        <v>-0.92984149999999999</v>
      </c>
      <c r="Q2416">
        <v>-1.1555330000000001E-2</v>
      </c>
      <c r="R2416">
        <v>-0.36777880000000002</v>
      </c>
      <c r="S2416">
        <v>-2.6276250000000001</v>
      </c>
      <c r="T2416">
        <v>-0.2250413</v>
      </c>
      <c r="U2416">
        <v>-1.5131840000000001</v>
      </c>
      <c r="V2416">
        <v>-0.1655546</v>
      </c>
      <c r="W2416">
        <v>-1.9005000000000001E-3</v>
      </c>
      <c r="X2416">
        <v>0.98619880000000004</v>
      </c>
      <c r="Y2416">
        <v>-0.30687199999999998</v>
      </c>
      <c r="Z2416">
        <v>4.0758189999999996E-3</v>
      </c>
      <c r="AA2416">
        <v>0.95174210000000004</v>
      </c>
      <c r="AB2416">
        <v>32</v>
      </c>
      <c r="AC2416">
        <v>-12.851900000000001</v>
      </c>
      <c r="AD2416">
        <v>-1.1161182833559999</v>
      </c>
      <c r="AE2416">
        <v>-7.4627000000000399</v>
      </c>
      <c r="AF2416">
        <v>-4.58945455030329</v>
      </c>
      <c r="AG2416">
        <v>-1.1161182833559999</v>
      </c>
      <c r="AH2416">
        <v>14.0474059111445</v>
      </c>
      <c r="AI2416">
        <v>94.319068383525405</v>
      </c>
      <c r="AJ2416">
        <v>108.09283066141199</v>
      </c>
      <c r="AK2416">
        <v>14.820203302390899</v>
      </c>
      <c r="AL2416">
        <v>90.108890693937795</v>
      </c>
      <c r="AM2416">
        <v>99.529471135825702</v>
      </c>
      <c r="AN2416">
        <v>1.00000000530142</v>
      </c>
    </row>
    <row r="2417" spans="1:40" x14ac:dyDescent="0.25">
      <c r="A2417" t="str">
        <f>"20190312151545395"</f>
        <v>20190312151545395</v>
      </c>
      <c r="B2417" t="str">
        <f>"1552374945389486"</f>
        <v>1552374945389486</v>
      </c>
      <c r="C2417" t="s">
        <v>40</v>
      </c>
      <c r="D2417">
        <v>4.317876</v>
      </c>
      <c r="E2417">
        <v>0.44369789999999998</v>
      </c>
      <c r="F2417" t="s">
        <v>50</v>
      </c>
      <c r="G2417">
        <v>-488.76870000000002</v>
      </c>
      <c r="H2417" s="1">
        <v>1.712136E-6</v>
      </c>
      <c r="I2417">
        <v>274.9008</v>
      </c>
      <c r="J2417">
        <v>-476.1653</v>
      </c>
      <c r="K2417">
        <v>1.1162379999999901</v>
      </c>
      <c r="L2417">
        <v>282.32650000000001</v>
      </c>
      <c r="M2417">
        <v>-0.97659799999999997</v>
      </c>
      <c r="N2417">
        <v>0</v>
      </c>
      <c r="O2417">
        <v>-0.2147058</v>
      </c>
      <c r="P2417">
        <v>-0.92679409999999895</v>
      </c>
      <c r="Q2417">
        <v>-1.2288429999999999E-2</v>
      </c>
      <c r="R2417">
        <v>-0.3753686</v>
      </c>
      <c r="S2417">
        <v>-2.61972</v>
      </c>
      <c r="T2417">
        <v>-0.2277439</v>
      </c>
      <c r="U2417">
        <v>-1.5266109999999999</v>
      </c>
      <c r="V2417">
        <v>-0.16758729999999999</v>
      </c>
      <c r="W2417">
        <v>-2.6956580000000001E-3</v>
      </c>
      <c r="X2417">
        <v>0.9858536</v>
      </c>
      <c r="Y2417">
        <v>-0.30596590000000001</v>
      </c>
      <c r="Z2417">
        <v>4.6231079999999999E-3</v>
      </c>
      <c r="AA2417">
        <v>0.95203130000000002</v>
      </c>
      <c r="AB2417">
        <v>32</v>
      </c>
      <c r="AC2417">
        <v>-12.603400000000001</v>
      </c>
      <c r="AD2417">
        <v>-1.11623628786399</v>
      </c>
      <c r="AE2417">
        <v>-7.4257</v>
      </c>
      <c r="AF2417">
        <v>-4.5199410009413201</v>
      </c>
      <c r="AG2417">
        <v>-1.11623628786399</v>
      </c>
      <c r="AH2417">
        <v>13.82340319023</v>
      </c>
      <c r="AI2417">
        <v>94.388905252037503</v>
      </c>
      <c r="AJ2417">
        <v>108.10657705712001</v>
      </c>
      <c r="AK2417">
        <v>14.586374664802699</v>
      </c>
      <c r="AL2417">
        <v>90.154450006489299</v>
      </c>
      <c r="AM2417">
        <v>99.647604050732298</v>
      </c>
      <c r="AN2417">
        <v>1.0000000451631501</v>
      </c>
    </row>
    <row r="2418" spans="1:40" x14ac:dyDescent="0.25">
      <c r="A2418" t="str">
        <f>"20190312151545409"</f>
        <v>20190312151545409</v>
      </c>
      <c r="B2418" t="str">
        <f>"1552374945400222"</f>
        <v>1552374945400222</v>
      </c>
      <c r="C2418" t="s">
        <v>40</v>
      </c>
      <c r="D2418">
        <v>4.5562399999999998</v>
      </c>
      <c r="E2418">
        <v>0.44369789999999998</v>
      </c>
      <c r="F2418" t="s">
        <v>50</v>
      </c>
      <c r="G2418">
        <v>-488.53089999999997</v>
      </c>
      <c r="H2418" s="1">
        <v>1.7057929999999899E-6</v>
      </c>
      <c r="I2418">
        <v>274.9846</v>
      </c>
      <c r="J2418">
        <v>-476.37259999999998</v>
      </c>
      <c r="K2418">
        <v>1.1163419999999999</v>
      </c>
      <c r="L2418">
        <v>282.27569999999997</v>
      </c>
      <c r="M2418">
        <v>-0.97540400000000005</v>
      </c>
      <c r="N2418">
        <v>0</v>
      </c>
      <c r="O2418">
        <v>-0.22006600000000001</v>
      </c>
      <c r="P2418">
        <v>-0.92423770000000005</v>
      </c>
      <c r="Q2418">
        <v>-1.2564270000000001E-2</v>
      </c>
      <c r="R2418">
        <v>-0.3816116</v>
      </c>
      <c r="S2418">
        <v>-2.6069640000000001</v>
      </c>
      <c r="T2418">
        <v>-0.23533029999999999</v>
      </c>
      <c r="U2418">
        <v>-1.547852</v>
      </c>
      <c r="V2418">
        <v>-0.16881869999999999</v>
      </c>
      <c r="W2418">
        <v>-3.0142480000000002E-3</v>
      </c>
      <c r="X2418">
        <v>0.98564249999999998</v>
      </c>
      <c r="Y2418">
        <v>-0.30850609999999901</v>
      </c>
      <c r="Z2418">
        <v>5.1035530000000003E-3</v>
      </c>
      <c r="AA2418">
        <v>0.95120870000000002</v>
      </c>
      <c r="AB2418">
        <v>32</v>
      </c>
      <c r="AC2418">
        <v>-12.158299999999899</v>
      </c>
      <c r="AD2418">
        <v>-1.116340294207</v>
      </c>
      <c r="AE2418">
        <v>-7.2910999999999699</v>
      </c>
      <c r="AF2418">
        <v>-4.40915093510971</v>
      </c>
      <c r="AG2418">
        <v>-1.116340294207</v>
      </c>
      <c r="AH2418">
        <v>13.3818663253649</v>
      </c>
      <c r="AI2418">
        <v>94.530188660195705</v>
      </c>
      <c r="AJ2418">
        <v>108.23637947635299</v>
      </c>
      <c r="AK2418">
        <v>14.133689326251099</v>
      </c>
      <c r="AL2418">
        <v>90.172703952317804</v>
      </c>
      <c r="AM2418">
        <v>99.719187581383096</v>
      </c>
      <c r="AN2418">
        <v>0.99999998848347205</v>
      </c>
    </row>
    <row r="2419" spans="1:40" x14ac:dyDescent="0.25">
      <c r="A2419" t="str">
        <f>"20190312151545428"</f>
        <v>20190312151545428</v>
      </c>
      <c r="B2419" t="str">
        <f>"1552374945419742"</f>
        <v>1552374945419742</v>
      </c>
      <c r="C2419" t="s">
        <v>40</v>
      </c>
      <c r="D2419">
        <v>4.3085339999999999</v>
      </c>
      <c r="E2419">
        <v>0.44448019999999999</v>
      </c>
      <c r="F2419" t="s">
        <v>50</v>
      </c>
      <c r="G2419">
        <v>-488.62909999999999</v>
      </c>
      <c r="H2419" s="1">
        <v>1.697344E-6</v>
      </c>
      <c r="I2419">
        <v>274.88709999999998</v>
      </c>
      <c r="J2419">
        <v>-476.63310000000001</v>
      </c>
      <c r="K2419">
        <v>1.116482</v>
      </c>
      <c r="L2419">
        <v>282.21010000000001</v>
      </c>
      <c r="M2419">
        <v>-0.97383299999999995</v>
      </c>
      <c r="N2419">
        <v>0</v>
      </c>
      <c r="O2419">
        <v>-0.2269139</v>
      </c>
      <c r="P2419">
        <v>-0.92066930000000002</v>
      </c>
      <c r="Q2419">
        <v>-1.304279E-2</v>
      </c>
      <c r="R2419">
        <v>-0.39012560000000002</v>
      </c>
      <c r="S2419">
        <v>-2.5964659999999999</v>
      </c>
      <c r="T2419">
        <v>-0.2364898</v>
      </c>
      <c r="U2419">
        <v>-1.5652159999999999</v>
      </c>
      <c r="V2419">
        <v>-0.170982299999999</v>
      </c>
      <c r="W2419">
        <v>-3.556568E-3</v>
      </c>
      <c r="X2419">
        <v>0.98526769999999997</v>
      </c>
      <c r="Y2419">
        <v>-0.3082067</v>
      </c>
      <c r="Z2419">
        <v>5.6937130000000004E-3</v>
      </c>
      <c r="AA2419">
        <v>0.95130239999999999</v>
      </c>
      <c r="AB2419">
        <v>32</v>
      </c>
      <c r="AC2419">
        <v>-11.995999999999899</v>
      </c>
      <c r="AD2419">
        <v>-1.116480302656</v>
      </c>
      <c r="AE2419">
        <v>-7.3230000000000297</v>
      </c>
      <c r="AF2419">
        <v>-4.3820182980785196</v>
      </c>
      <c r="AG2419">
        <v>-1.116480302656</v>
      </c>
      <c r="AH2419">
        <v>13.261169103463301</v>
      </c>
      <c r="AI2419">
        <v>94.570526769078398</v>
      </c>
      <c r="AJ2419">
        <v>108.28561190630199</v>
      </c>
      <c r="AK2419">
        <v>14.010967797463699</v>
      </c>
      <c r="AL2419">
        <v>90.203776761809493</v>
      </c>
      <c r="AM2419">
        <v>99.844999657922102</v>
      </c>
      <c r="AN2419">
        <v>1.0000000183762501</v>
      </c>
    </row>
    <row r="2420" spans="1:40" x14ac:dyDescent="0.25">
      <c r="A2420" t="str">
        <f>"20190312151545442"</f>
        <v>20190312151545442</v>
      </c>
      <c r="B2420" t="str">
        <f>"1552374945429502"</f>
        <v>1552374945429502</v>
      </c>
      <c r="C2420" t="s">
        <v>40</v>
      </c>
      <c r="D2420">
        <v>4.2820980000000004</v>
      </c>
      <c r="E2420">
        <v>0.44501659999999998</v>
      </c>
      <c r="F2420" t="s">
        <v>50</v>
      </c>
      <c r="G2420">
        <v>-488.71800000000002</v>
      </c>
      <c r="H2420" s="1">
        <v>1.6913020000000001E-6</v>
      </c>
      <c r="I2420">
        <v>274.80810000000002</v>
      </c>
      <c r="J2420">
        <v>-476.82389999999998</v>
      </c>
      <c r="K2420">
        <v>1.1165879999999999</v>
      </c>
      <c r="L2420">
        <v>282.16070000000002</v>
      </c>
      <c r="M2420">
        <v>-0.97263010000000005</v>
      </c>
      <c r="N2420">
        <v>0</v>
      </c>
      <c r="O2420">
        <v>-0.23201469999999999</v>
      </c>
      <c r="P2420">
        <v>-0.91812179999999999</v>
      </c>
      <c r="Q2420">
        <v>-1.270809E-2</v>
      </c>
      <c r="R2420">
        <v>-0.3960941</v>
      </c>
      <c r="S2420">
        <v>-2.5843509999999998</v>
      </c>
      <c r="T2420">
        <v>-0.238759</v>
      </c>
      <c r="U2420">
        <v>-1.582916</v>
      </c>
      <c r="V2420">
        <v>-0.17221889999999901</v>
      </c>
      <c r="W2420">
        <v>-3.2624329999999999E-3</v>
      </c>
      <c r="X2420">
        <v>0.98505330000000002</v>
      </c>
      <c r="Y2420">
        <v>-0.30994670000000002</v>
      </c>
      <c r="Z2420">
        <v>6.0948039999999997E-3</v>
      </c>
      <c r="AA2420">
        <v>0.95073439999999998</v>
      </c>
      <c r="AB2420">
        <v>32</v>
      </c>
      <c r="AC2420">
        <v>-11.8941</v>
      </c>
      <c r="AD2420">
        <v>-1.1165863086979999</v>
      </c>
      <c r="AE2420">
        <v>-7.35259999999999</v>
      </c>
      <c r="AF2420">
        <v>-4.3642770730310199</v>
      </c>
      <c r="AG2420">
        <v>-1.1165863086979999</v>
      </c>
      <c r="AH2420">
        <v>13.1914193856627</v>
      </c>
      <c r="AI2420">
        <v>94.594476048971003</v>
      </c>
      <c r="AJ2420">
        <v>108.30639022747999</v>
      </c>
      <c r="AK2420">
        <v>13.939412640545299</v>
      </c>
      <c r="AL2420">
        <v>90.186923973728298</v>
      </c>
      <c r="AM2420">
        <v>99.916909045030494</v>
      </c>
      <c r="AN2420">
        <v>0.999999998413589</v>
      </c>
    </row>
    <row r="2421" spans="1:40" x14ac:dyDescent="0.25">
      <c r="A2421" t="str">
        <f>"20190312151545461"</f>
        <v>20190312151545461</v>
      </c>
      <c r="B2421" t="str">
        <f>"1552374945449997"</f>
        <v>1552374945449997</v>
      </c>
      <c r="C2421" t="s">
        <v>40</v>
      </c>
      <c r="D2421">
        <v>4.3644699999999998</v>
      </c>
      <c r="E2421">
        <v>0.44519900000000001</v>
      </c>
      <c r="F2421" t="s">
        <v>50</v>
      </c>
      <c r="G2421">
        <v>-488.9495</v>
      </c>
      <c r="H2421" s="1">
        <v>1.6835059999999901E-6</v>
      </c>
      <c r="I2421">
        <v>274.6472</v>
      </c>
      <c r="J2421">
        <v>-477.10090000000002</v>
      </c>
      <c r="K2421">
        <v>1.116741</v>
      </c>
      <c r="L2421">
        <v>282.08699999999999</v>
      </c>
      <c r="M2421">
        <v>-0.97080140000000004</v>
      </c>
      <c r="N2421">
        <v>0</v>
      </c>
      <c r="O2421">
        <v>-0.2395494</v>
      </c>
      <c r="P2421">
        <v>-0.91409149999999995</v>
      </c>
      <c r="Q2421">
        <v>-1.2467229999999999E-2</v>
      </c>
      <c r="R2421">
        <v>-0.40531689999999998</v>
      </c>
      <c r="S2421">
        <v>-2.5757140000000001</v>
      </c>
      <c r="T2421">
        <v>-0.2371838</v>
      </c>
      <c r="U2421">
        <v>-1.5960080000000001</v>
      </c>
      <c r="V2421">
        <v>-0.1744985</v>
      </c>
      <c r="W2421">
        <v>-3.0926590000000002E-3</v>
      </c>
      <c r="X2421">
        <v>0.98465259999999999</v>
      </c>
      <c r="Y2421">
        <v>-0.30752390000000002</v>
      </c>
      <c r="Z2421">
        <v>6.7663069999999896E-3</v>
      </c>
      <c r="AA2421">
        <v>0.95151629999999998</v>
      </c>
      <c r="AB2421">
        <v>32</v>
      </c>
      <c r="AC2421">
        <v>-11.8485999999999</v>
      </c>
      <c r="AD2421">
        <v>-1.116739316494</v>
      </c>
      <c r="AE2421">
        <v>-7.4397999999999902</v>
      </c>
      <c r="AF2421">
        <v>-4.3568371430505097</v>
      </c>
      <c r="AG2421">
        <v>-1.116739316494</v>
      </c>
      <c r="AH2421">
        <v>13.2017930097337</v>
      </c>
      <c r="AI2421">
        <v>94.592629430329595</v>
      </c>
      <c r="AJ2421">
        <v>108.263850575582</v>
      </c>
      <c r="AK2421">
        <v>13.9469163353023</v>
      </c>
      <c r="AL2421">
        <v>90.177196587652901</v>
      </c>
      <c r="AM2421">
        <v>100.049523623672</v>
      </c>
      <c r="AN2421">
        <v>1.0000000168643499</v>
      </c>
    </row>
    <row r="2422" spans="1:40" x14ac:dyDescent="0.25">
      <c r="A2422" t="str">
        <f>"20190312151545485"</f>
        <v>20190312151545485</v>
      </c>
      <c r="B2422" t="str">
        <f>"1552374945480253"</f>
        <v>1552374945480253</v>
      </c>
      <c r="C2422" t="s">
        <v>40</v>
      </c>
      <c r="D2422">
        <v>4.3117210000000004</v>
      </c>
      <c r="E2422">
        <v>0.41431370000000001</v>
      </c>
      <c r="F2422" t="s">
        <v>50</v>
      </c>
      <c r="G2422">
        <v>-489.16180000000003</v>
      </c>
      <c r="H2422" s="1">
        <v>1.6400129999999999E-6</v>
      </c>
      <c r="I2422">
        <v>274.4554</v>
      </c>
      <c r="J2422">
        <v>-477.41719999999998</v>
      </c>
      <c r="K2422">
        <v>1.1169119999999999</v>
      </c>
      <c r="L2422">
        <v>282</v>
      </c>
      <c r="M2422">
        <v>-0.9685899</v>
      </c>
      <c r="N2422">
        <v>0</v>
      </c>
      <c r="O2422">
        <v>-0.248338</v>
      </c>
      <c r="P2422">
        <v>-0.90938249999999998</v>
      </c>
      <c r="Q2422">
        <v>-1.189052E-2</v>
      </c>
      <c r="R2422">
        <v>-0.41579070000000001</v>
      </c>
      <c r="S2422">
        <v>-2.5603639999999999</v>
      </c>
      <c r="T2422">
        <v>-0.23706830000000001</v>
      </c>
      <c r="U2422">
        <v>-1.6200870000000001</v>
      </c>
      <c r="V2422">
        <v>-0.1768932</v>
      </c>
      <c r="W2422">
        <v>-2.595211E-3</v>
      </c>
      <c r="X2422">
        <v>0.98422659999999995</v>
      </c>
      <c r="Y2422">
        <v>-0.30789109999999997</v>
      </c>
      <c r="Z2422">
        <v>7.4623719999999897E-3</v>
      </c>
      <c r="AA2422">
        <v>0.95139240000000003</v>
      </c>
      <c r="AB2422">
        <v>32</v>
      </c>
      <c r="AC2422">
        <v>-11.7446</v>
      </c>
      <c r="AD2422">
        <v>-1.1169103599869901</v>
      </c>
      <c r="AE2422">
        <v>-7.5446</v>
      </c>
      <c r="AF2422">
        <v>-4.3634133088709097</v>
      </c>
      <c r="AG2422">
        <v>-1.1169103599869901</v>
      </c>
      <c r="AH2422">
        <v>13.1660936425077</v>
      </c>
      <c r="AI2422">
        <v>94.603825188649196</v>
      </c>
      <c r="AJ2422">
        <v>108.335862512552</v>
      </c>
      <c r="AK2422">
        <v>13.9152034214222</v>
      </c>
      <c r="AL2422">
        <v>90.148694808659101</v>
      </c>
      <c r="AM2422">
        <v>100.18888450318499</v>
      </c>
      <c r="AN2422">
        <v>0.99999996973696603</v>
      </c>
    </row>
    <row r="2423" spans="1:40" x14ac:dyDescent="0.25">
      <c r="A2423" t="str">
        <f>"20190312151545507"</f>
        <v>20190312151545507</v>
      </c>
      <c r="B2423" t="str">
        <f>"1552374945499774"</f>
        <v>1552374945499774</v>
      </c>
      <c r="C2423" t="s">
        <v>40</v>
      </c>
      <c r="D2423">
        <v>4.2655529999999997</v>
      </c>
      <c r="E2423">
        <v>0.4113733</v>
      </c>
      <c r="F2423" t="s">
        <v>50</v>
      </c>
      <c r="G2423">
        <v>-486.17849999999999</v>
      </c>
      <c r="H2423" s="1">
        <v>1.545413E-6</v>
      </c>
      <c r="I2423">
        <v>275.2586</v>
      </c>
      <c r="J2423">
        <v>-477.72669999999999</v>
      </c>
      <c r="K2423">
        <v>1.1170719999999901</v>
      </c>
      <c r="L2423">
        <v>281.9117</v>
      </c>
      <c r="M2423">
        <v>-0.96629679999999996</v>
      </c>
      <c r="N2423">
        <v>0</v>
      </c>
      <c r="O2423">
        <v>-0.25711460000000003</v>
      </c>
      <c r="P2423">
        <v>-0.90453280000000003</v>
      </c>
      <c r="Q2423">
        <v>-1.107999E-2</v>
      </c>
      <c r="R2423">
        <v>-0.42626009999999998</v>
      </c>
      <c r="S2423">
        <v>-2.4373469999999999</v>
      </c>
      <c r="T2423">
        <v>-0.31071900000000002</v>
      </c>
      <c r="U2423">
        <v>-1.875427</v>
      </c>
      <c r="V2423">
        <v>-0.1793362</v>
      </c>
      <c r="W2423">
        <v>-1.865205E-3</v>
      </c>
      <c r="X2423">
        <v>0.9837861</v>
      </c>
      <c r="Y2423">
        <v>-0.38488349999999999</v>
      </c>
      <c r="Z2423">
        <v>6.4209760000000001E-3</v>
      </c>
      <c r="AA2423">
        <v>0.92294279999999995</v>
      </c>
      <c r="AB2423">
        <v>32</v>
      </c>
      <c r="AC2423">
        <v>-8.4517999999999898</v>
      </c>
      <c r="AD2423">
        <v>-1.1170704545869901</v>
      </c>
      <c r="AE2423">
        <v>-6.6530999999999896</v>
      </c>
      <c r="AF2423">
        <v>-4.2107193371521898</v>
      </c>
      <c r="AG2423">
        <v>-1.1170704545869901</v>
      </c>
      <c r="AH2423">
        <v>9.7729532768315401</v>
      </c>
      <c r="AI2423">
        <v>95.992583971393103</v>
      </c>
      <c r="AJ2423">
        <v>113.309003581974</v>
      </c>
      <c r="AK2423">
        <v>10.6999354898948</v>
      </c>
      <c r="AL2423">
        <v>90.106868434138903</v>
      </c>
      <c r="AM2423">
        <v>100.33111567736999</v>
      </c>
      <c r="AN2423">
        <v>1.00000002108667</v>
      </c>
    </row>
    <row r="2424" spans="1:40" x14ac:dyDescent="0.25">
      <c r="A2424" t="str">
        <f>"20190312151545524"</f>
        <v>20190312151545524</v>
      </c>
      <c r="B2424" t="str">
        <f>"1552374945520269"</f>
        <v>1552374945520269</v>
      </c>
      <c r="C2424" t="s">
        <v>40</v>
      </c>
      <c r="D2424">
        <v>4.3060519999999904</v>
      </c>
      <c r="E2424">
        <v>0.4111573</v>
      </c>
      <c r="F2424" t="s">
        <v>50</v>
      </c>
      <c r="G2424">
        <v>-486.041</v>
      </c>
      <c r="H2424" s="1">
        <v>1.5329369999999999E-6</v>
      </c>
      <c r="I2424">
        <v>275.25700000000001</v>
      </c>
      <c r="J2424">
        <v>-477.9649</v>
      </c>
      <c r="K2424">
        <v>1.117192</v>
      </c>
      <c r="L2424">
        <v>281.84140000000002</v>
      </c>
      <c r="M2424">
        <v>-0.96443760000000001</v>
      </c>
      <c r="N2424">
        <v>0</v>
      </c>
      <c r="O2424">
        <v>-0.26400119999999999</v>
      </c>
      <c r="P2424">
        <v>-0.90095709999999996</v>
      </c>
      <c r="Q2424">
        <v>-1.1004180000000001E-2</v>
      </c>
      <c r="R2424">
        <v>-0.43376890000000001</v>
      </c>
      <c r="S2424">
        <v>-2.4054259999999998</v>
      </c>
      <c r="T2424">
        <v>-0.32318210000000003</v>
      </c>
      <c r="U2424">
        <v>-1.925262</v>
      </c>
      <c r="V2424">
        <v>-0.1805013</v>
      </c>
      <c r="W2424">
        <v>-1.8374929999999999E-3</v>
      </c>
      <c r="X2424">
        <v>0.98357300000000003</v>
      </c>
      <c r="Y2424">
        <v>-0.39586090000000002</v>
      </c>
      <c r="Z2424">
        <v>6.797956E-3</v>
      </c>
      <c r="AA2424">
        <v>0.91828540000000003</v>
      </c>
      <c r="AB2424">
        <v>32</v>
      </c>
      <c r="AC2424">
        <v>-8.0760999999999896</v>
      </c>
      <c r="AD2424">
        <v>-1.117190467063</v>
      </c>
      <c r="AE2424">
        <v>-6.5844000000000102</v>
      </c>
      <c r="AF2424">
        <v>-4.1705467186674703</v>
      </c>
      <c r="AG2424">
        <v>-1.117190467063</v>
      </c>
      <c r="AH2424">
        <v>9.4196824212765708</v>
      </c>
      <c r="AI2424">
        <v>96.189411355565795</v>
      </c>
      <c r="AJ2424">
        <v>113.88127755927199</v>
      </c>
      <c r="AK2424">
        <v>10.362045714529099</v>
      </c>
      <c r="AL2424">
        <v>90.105280656082002</v>
      </c>
      <c r="AM2424">
        <v>100.398978521823</v>
      </c>
      <c r="AN2424">
        <v>0.999999971005607</v>
      </c>
    </row>
    <row r="2425" spans="1:40" x14ac:dyDescent="0.25">
      <c r="A2425" t="str">
        <f>"20190312151545539"</f>
        <v>20190312151545539</v>
      </c>
      <c r="B2425" t="str">
        <f>"1552374945530029"</f>
        <v>1552374945530029</v>
      </c>
      <c r="C2425" t="s">
        <v>40</v>
      </c>
      <c r="D2425">
        <v>4.3569290000000001</v>
      </c>
      <c r="E2425">
        <v>0.4109023</v>
      </c>
      <c r="F2425" t="s">
        <v>50</v>
      </c>
      <c r="G2425">
        <v>-486.17</v>
      </c>
      <c r="H2425" s="1">
        <v>1.526081E-6</v>
      </c>
      <c r="I2425">
        <v>275.15309999999999</v>
      </c>
      <c r="J2425">
        <v>-478.17469999999997</v>
      </c>
      <c r="K2425">
        <v>1.1172959999999901</v>
      </c>
      <c r="L2425">
        <v>281.77800000000002</v>
      </c>
      <c r="M2425">
        <v>-0.96273200000000003</v>
      </c>
      <c r="N2425">
        <v>0</v>
      </c>
      <c r="O2425">
        <v>-0.27015359999999899</v>
      </c>
      <c r="P2425">
        <v>-0.89737829999999996</v>
      </c>
      <c r="Q2425">
        <v>-1.163401E-2</v>
      </c>
      <c r="R2425">
        <v>-0.44110919999999998</v>
      </c>
      <c r="S2425">
        <v>-2.3884889999999999</v>
      </c>
      <c r="T2425">
        <v>-0.32520969999999999</v>
      </c>
      <c r="U2425">
        <v>-1.94693</v>
      </c>
      <c r="V2425">
        <v>-0.18223990000000001</v>
      </c>
      <c r="W2425">
        <v>-2.5261110000000002E-3</v>
      </c>
      <c r="X2425">
        <v>0.98325090000000004</v>
      </c>
      <c r="Y2425">
        <v>-0.39820149999999999</v>
      </c>
      <c r="Z2425">
        <v>7.3891769999999898E-3</v>
      </c>
      <c r="AA2425">
        <v>0.91726819999999998</v>
      </c>
      <c r="AB2425">
        <v>32</v>
      </c>
      <c r="AC2425">
        <v>-7.9953000000000403</v>
      </c>
      <c r="AD2425">
        <v>-1.1172944739189901</v>
      </c>
      <c r="AE2425">
        <v>-6.6249000000000198</v>
      </c>
      <c r="AF2425">
        <v>-4.1701059531316798</v>
      </c>
      <c r="AG2425">
        <v>-1.1172944739189901</v>
      </c>
      <c r="AH2425">
        <v>9.3792508953345308</v>
      </c>
      <c r="AI2425">
        <v>96.212203106807706</v>
      </c>
      <c r="AJ2425">
        <v>113.970395264305</v>
      </c>
      <c r="AK2425">
        <v>10.3251381569172</v>
      </c>
      <c r="AL2425">
        <v>90.144735645957795</v>
      </c>
      <c r="AM2425">
        <v>100.500288289023</v>
      </c>
      <c r="AN2425">
        <v>1.0000000473698001</v>
      </c>
    </row>
    <row r="2426" spans="1:40" x14ac:dyDescent="0.25">
      <c r="A2426" t="str">
        <f>"20190312151545553"</f>
        <v>20190312151545553</v>
      </c>
      <c r="B2426" t="str">
        <f>"1552374945549550"</f>
        <v>1552374945549550</v>
      </c>
      <c r="C2426" t="s">
        <v>40</v>
      </c>
      <c r="D2426">
        <v>4.3473009999999999</v>
      </c>
      <c r="E2426">
        <v>0.41114600000000001</v>
      </c>
      <c r="F2426" t="s">
        <v>41</v>
      </c>
      <c r="G2426">
        <v>-479.02940000000001</v>
      </c>
      <c r="H2426">
        <v>0.99950340000000004</v>
      </c>
      <c r="I2426">
        <v>281.0684</v>
      </c>
      <c r="J2426">
        <v>-478.35770000000002</v>
      </c>
      <c r="K2426">
        <v>1.1173850000000001</v>
      </c>
      <c r="L2426">
        <v>281.7217</v>
      </c>
      <c r="M2426">
        <v>-0.96119500000000002</v>
      </c>
      <c r="N2426">
        <v>0</v>
      </c>
      <c r="O2426">
        <v>-0.27557179999999998</v>
      </c>
      <c r="P2426">
        <v>-0.89453850000000001</v>
      </c>
      <c r="Q2426">
        <v>-1.204417E-2</v>
      </c>
      <c r="R2426">
        <v>-0.44682929999999998</v>
      </c>
      <c r="S2426">
        <v>-2.3713679999999999</v>
      </c>
      <c r="T2426">
        <v>-0.32679209999999997</v>
      </c>
      <c r="U2426">
        <v>-1.9682010000000001</v>
      </c>
      <c r="V2426">
        <v>-0.18297189999999999</v>
      </c>
      <c r="W2426">
        <v>-2.9716389999999999E-3</v>
      </c>
      <c r="X2426">
        <v>0.98311360000000003</v>
      </c>
      <c r="Y2426">
        <v>-0.40116479999999999</v>
      </c>
      <c r="Z2426">
        <v>7.8594670000000002E-3</v>
      </c>
      <c r="AA2426">
        <v>0.91597220000000001</v>
      </c>
      <c r="AB2426">
        <v>32</v>
      </c>
      <c r="AC2426">
        <v>-0.67169999999998697</v>
      </c>
      <c r="AD2426">
        <v>-0.1178816</v>
      </c>
      <c r="AE2426">
        <v>-0.65330000000000099</v>
      </c>
      <c r="AF2426">
        <v>-0.43598308164343003</v>
      </c>
      <c r="AG2426">
        <v>-0.1178816</v>
      </c>
      <c r="AH2426">
        <v>0.81286809939994398</v>
      </c>
      <c r="AI2426">
        <v>97.282793716718103</v>
      </c>
      <c r="AJ2426">
        <v>118.206953999576</v>
      </c>
      <c r="AK2426">
        <v>0.92990960104729503</v>
      </c>
      <c r="AL2426">
        <v>90.170262632265207</v>
      </c>
      <c r="AM2426">
        <v>100.542960291035</v>
      </c>
      <c r="AN2426">
        <v>0.99999994866645603</v>
      </c>
    </row>
    <row r="2427" spans="1:40" x14ac:dyDescent="0.25">
      <c r="A2427" t="str">
        <f>"20190312151545566"</f>
        <v>20190312151545566</v>
      </c>
      <c r="B2427" t="str">
        <f>"1552374945560286"</f>
        <v>1552374945560286</v>
      </c>
      <c r="C2427" t="s">
        <v>40</v>
      </c>
      <c r="D2427">
        <v>4.3624679999999998</v>
      </c>
      <c r="E2427">
        <v>0.41143410000000002</v>
      </c>
      <c r="F2427" t="s">
        <v>41</v>
      </c>
      <c r="G2427">
        <v>-479.20389999999998</v>
      </c>
      <c r="H2427">
        <v>0.99869459999999999</v>
      </c>
      <c r="I2427">
        <v>281.01139999999998</v>
      </c>
      <c r="J2427">
        <v>-478.54899999999998</v>
      </c>
      <c r="K2427">
        <v>1.1174770000000001</v>
      </c>
      <c r="L2427">
        <v>281.66090000000003</v>
      </c>
      <c r="M2427">
        <v>-0.95952280000000001</v>
      </c>
      <c r="N2427">
        <v>0</v>
      </c>
      <c r="O2427">
        <v>-0.2813368</v>
      </c>
      <c r="P2427">
        <v>-0.89154820000000001</v>
      </c>
      <c r="Q2427">
        <v>-1.2190009999999999E-2</v>
      </c>
      <c r="R2427">
        <v>-0.45276169999999999</v>
      </c>
      <c r="S2427">
        <v>-2.359375</v>
      </c>
      <c r="T2427">
        <v>-0.33093450000000002</v>
      </c>
      <c r="U2427">
        <v>-1.981689</v>
      </c>
      <c r="V2427">
        <v>-0.1835986</v>
      </c>
      <c r="W2427">
        <v>-3.1509250000000002E-3</v>
      </c>
      <c r="X2427">
        <v>0.98299630000000005</v>
      </c>
      <c r="Y2427">
        <v>-0.40104200000000001</v>
      </c>
      <c r="Z2427">
        <v>8.6219869999999994E-3</v>
      </c>
      <c r="AA2427">
        <v>0.91601909999999998</v>
      </c>
      <c r="AB2427">
        <v>32</v>
      </c>
      <c r="AC2427">
        <v>-0.65489999999994097</v>
      </c>
      <c r="AD2427">
        <v>-0.1187824</v>
      </c>
      <c r="AE2427">
        <v>-0.64950000000004504</v>
      </c>
      <c r="AF2427">
        <v>-0.43183709106234802</v>
      </c>
      <c r="AG2427">
        <v>-0.1187824</v>
      </c>
      <c r="AH2427">
        <v>0.79795316387346005</v>
      </c>
      <c r="AI2427">
        <v>97.458574243225399</v>
      </c>
      <c r="AJ2427">
        <v>118.421409946154</v>
      </c>
      <c r="AK2427">
        <v>0.91505288563154397</v>
      </c>
      <c r="AL2427">
        <v>90.180534993765605</v>
      </c>
      <c r="AM2427">
        <v>100.579491273399</v>
      </c>
      <c r="AN2427">
        <v>1.0000000500320001</v>
      </c>
    </row>
    <row r="2428" spans="1:40" x14ac:dyDescent="0.25">
      <c r="A2428" t="str">
        <f>"20190312151545579"</f>
        <v>20190312151545579</v>
      </c>
      <c r="B2428" t="str">
        <f>"1552374945570046"</f>
        <v>1552374945570046</v>
      </c>
      <c r="C2428" t="s">
        <v>40</v>
      </c>
      <c r="D2428">
        <v>4.3586799999999997</v>
      </c>
      <c r="E2428">
        <v>0.4117035</v>
      </c>
      <c r="F2428" t="s">
        <v>50</v>
      </c>
      <c r="G2428">
        <v>-486.50369999999998</v>
      </c>
      <c r="H2428" s="1">
        <v>1.5110480000000001E-6</v>
      </c>
      <c r="I2428">
        <v>274.8997</v>
      </c>
      <c r="J2428">
        <v>-478.71530000000001</v>
      </c>
      <c r="K2428">
        <v>1.1175569999999999</v>
      </c>
      <c r="L2428">
        <v>281.60730000000001</v>
      </c>
      <c r="M2428">
        <v>-0.95802549999999997</v>
      </c>
      <c r="N2428">
        <v>0</v>
      </c>
      <c r="O2428">
        <v>-0.28639310000000001</v>
      </c>
      <c r="P2428">
        <v>-0.88889430000000003</v>
      </c>
      <c r="Q2428">
        <v>-1.2457380000000001E-2</v>
      </c>
      <c r="R2428">
        <v>-0.45794259999999898</v>
      </c>
      <c r="S2428">
        <v>-2.347229</v>
      </c>
      <c r="T2428">
        <v>-0.32973530000000001</v>
      </c>
      <c r="U2428">
        <v>-1.9950559999999999</v>
      </c>
      <c r="V2428">
        <v>-0.18413080000000001</v>
      </c>
      <c r="W2428">
        <v>-3.4474979999999998E-3</v>
      </c>
      <c r="X2428">
        <v>0.98289570000000004</v>
      </c>
      <c r="Y2428">
        <v>-0.4016053</v>
      </c>
      <c r="Z2428">
        <v>9.1329500000000008E-3</v>
      </c>
      <c r="AA2428">
        <v>0.91576729999999995</v>
      </c>
      <c r="AB2428">
        <v>32</v>
      </c>
      <c r="AC2428">
        <v>-7.7883999999999602</v>
      </c>
      <c r="AD2428">
        <v>-1.1175554889520001</v>
      </c>
      <c r="AE2428">
        <v>-6.70760000000001</v>
      </c>
      <c r="AF2428">
        <v>-4.1468354961465197</v>
      </c>
      <c r="AG2428">
        <v>-1.1175554889520001</v>
      </c>
      <c r="AH2428">
        <v>9.2736492840515403</v>
      </c>
      <c r="AI2428">
        <v>96.277918845003001</v>
      </c>
      <c r="AJ2428">
        <v>114.092440452136</v>
      </c>
      <c r="AK2428">
        <v>10.219870153117199</v>
      </c>
      <c r="AL2428">
        <v>90.197527477167498</v>
      </c>
      <c r="AM2428">
        <v>100.610524189272</v>
      </c>
      <c r="AN2428">
        <v>0.99999999691479402</v>
      </c>
    </row>
    <row r="2429" spans="1:40" x14ac:dyDescent="0.25">
      <c r="A2429" t="str">
        <f>"20190312151545592"</f>
        <v>20190312151545592</v>
      </c>
      <c r="B2429" t="str">
        <f>"1552374945589565"</f>
        <v>1552374945589565</v>
      </c>
      <c r="C2429" t="s">
        <v>40</v>
      </c>
      <c r="D2429">
        <v>4.373221</v>
      </c>
      <c r="E2429">
        <v>0.41236139999999999</v>
      </c>
      <c r="F2429" t="s">
        <v>41</v>
      </c>
      <c r="G2429">
        <v>-479.55669999999998</v>
      </c>
      <c r="H2429">
        <v>0.99852529999999995</v>
      </c>
      <c r="I2429">
        <v>280.88459999999998</v>
      </c>
      <c r="J2429">
        <v>-478.8999</v>
      </c>
      <c r="K2429">
        <v>1.1176429999999999</v>
      </c>
      <c r="L2429">
        <v>281.54680000000002</v>
      </c>
      <c r="M2429">
        <v>-0.95631829999999995</v>
      </c>
      <c r="N2429">
        <v>0</v>
      </c>
      <c r="O2429">
        <v>-0.29204289999999999</v>
      </c>
      <c r="P2429">
        <v>-0.88585040000000004</v>
      </c>
      <c r="Q2429">
        <v>-1.245132E-2</v>
      </c>
      <c r="R2429">
        <v>-0.46380460000000001</v>
      </c>
      <c r="S2429">
        <v>-2.3362120000000002</v>
      </c>
      <c r="T2429">
        <v>-0.33049729999999999</v>
      </c>
      <c r="U2429">
        <v>-2.0072939999999999</v>
      </c>
      <c r="V2429">
        <v>-0.18482109999999999</v>
      </c>
      <c r="W2429">
        <v>-3.4763680000000001E-3</v>
      </c>
      <c r="X2429">
        <v>0.98276600000000003</v>
      </c>
      <c r="Y2429">
        <v>-0.40112239999999999</v>
      </c>
      <c r="Z2429">
        <v>9.8259950000000006E-3</v>
      </c>
      <c r="AA2429">
        <v>0.9159718</v>
      </c>
      <c r="AB2429">
        <v>32</v>
      </c>
      <c r="AC2429">
        <v>-0.65679999999997496</v>
      </c>
      <c r="AD2429">
        <v>-0.11911769999999899</v>
      </c>
      <c r="AE2429">
        <v>-0.66220000000004098</v>
      </c>
      <c r="AF2429">
        <v>-0.43441113940710602</v>
      </c>
      <c r="AG2429">
        <v>-0.11911769999999899</v>
      </c>
      <c r="AH2429">
        <v>0.80838326962755103</v>
      </c>
      <c r="AI2429">
        <v>97.395556869948607</v>
      </c>
      <c r="AJ2429">
        <v>118.25281256390799</v>
      </c>
      <c r="AK2429">
        <v>0.92541103035786199</v>
      </c>
      <c r="AL2429">
        <v>90.199181622108895</v>
      </c>
      <c r="AM2429">
        <v>100.650767780368</v>
      </c>
      <c r="AN2429">
        <v>0.99999996744784003</v>
      </c>
    </row>
    <row r="2430" spans="1:40" x14ac:dyDescent="0.25">
      <c r="A2430" t="str">
        <f>"20190312151545605"</f>
        <v>20190312151545605</v>
      </c>
      <c r="B2430" t="str">
        <f>"1552374945600301"</f>
        <v>1552374945600301</v>
      </c>
      <c r="C2430" t="s">
        <v>40</v>
      </c>
      <c r="D2430">
        <v>4.3694189999999997</v>
      </c>
      <c r="E2430">
        <v>0.41286590000000001</v>
      </c>
      <c r="F2430" t="s">
        <v>50</v>
      </c>
      <c r="G2430">
        <v>-486.71710000000002</v>
      </c>
      <c r="H2430" s="1">
        <v>1.5060770000000001E-6</v>
      </c>
      <c r="I2430">
        <v>274.76400000000001</v>
      </c>
      <c r="J2430">
        <v>-479.07330000000002</v>
      </c>
      <c r="K2430">
        <v>1.1177269999999999</v>
      </c>
      <c r="L2430">
        <v>281.48829999999998</v>
      </c>
      <c r="M2430">
        <v>-0.95465160000000004</v>
      </c>
      <c r="N2430">
        <v>0</v>
      </c>
      <c r="O2430">
        <v>-0.29744490000000001</v>
      </c>
      <c r="P2430">
        <v>-0.88292490000000001</v>
      </c>
      <c r="Q2430">
        <v>-1.2663519999999999E-2</v>
      </c>
      <c r="R2430">
        <v>-0.46934369999999997</v>
      </c>
      <c r="S2430">
        <v>-2.3254389999999998</v>
      </c>
      <c r="T2430">
        <v>-0.33247300000000002</v>
      </c>
      <c r="U2430">
        <v>-2.0177309999999999</v>
      </c>
      <c r="V2430">
        <v>-0.18541650000000001</v>
      </c>
      <c r="W2430">
        <v>-3.7210059999999998E-3</v>
      </c>
      <c r="X2430">
        <v>0.982653</v>
      </c>
      <c r="Y2430">
        <v>-0.40041179999999998</v>
      </c>
      <c r="Z2430">
        <v>1.0549330000000001E-2</v>
      </c>
      <c r="AA2430">
        <v>0.91627449999999999</v>
      </c>
      <c r="AB2430">
        <v>32</v>
      </c>
      <c r="AC2430">
        <v>-7.6437999999999899</v>
      </c>
      <c r="AD2430">
        <v>-1.1177254939229999</v>
      </c>
      <c r="AE2430">
        <v>-6.7242999999999702</v>
      </c>
      <c r="AF2430">
        <v>-4.0967190077231797</v>
      </c>
      <c r="AG2430">
        <v>-1.1177254939229999</v>
      </c>
      <c r="AH2430">
        <v>9.1873077411378201</v>
      </c>
      <c r="AI2430">
        <v>96.340328543868694</v>
      </c>
      <c r="AJ2430">
        <v>114.032604623605</v>
      </c>
      <c r="AK2430">
        <v>10.121217339746</v>
      </c>
      <c r="AL2430">
        <v>90.213198426772607</v>
      </c>
      <c r="AM2430">
        <v>100.685490831126</v>
      </c>
      <c r="AN2430">
        <v>1.0000000213834499</v>
      </c>
    </row>
    <row r="2431" spans="1:40" x14ac:dyDescent="0.25">
      <c r="A2431" t="str">
        <f>"20190312151545617"</f>
        <v>20190312151545617</v>
      </c>
      <c r="B2431" t="str">
        <f>"1552374945610062"</f>
        <v>1552374945610062</v>
      </c>
      <c r="C2431" t="s">
        <v>40</v>
      </c>
      <c r="D2431">
        <v>4.3676940000000002</v>
      </c>
      <c r="E2431">
        <v>0.41334490000000002</v>
      </c>
      <c r="F2431" t="s">
        <v>50</v>
      </c>
      <c r="G2431">
        <v>-486.803</v>
      </c>
      <c r="H2431" s="1">
        <v>1.504487E-6</v>
      </c>
      <c r="I2431">
        <v>274.71170000000001</v>
      </c>
      <c r="J2431">
        <v>-479.23489999999998</v>
      </c>
      <c r="K2431">
        <v>1.1178060000000001</v>
      </c>
      <c r="L2431">
        <v>281.4332</v>
      </c>
      <c r="M2431">
        <v>-0.95305680000000004</v>
      </c>
      <c r="N2431">
        <v>0</v>
      </c>
      <c r="O2431">
        <v>-0.30251450000000002</v>
      </c>
      <c r="P2431">
        <v>-0.87994519999999998</v>
      </c>
      <c r="Q2431">
        <v>-1.2985210000000001E-2</v>
      </c>
      <c r="R2431">
        <v>-0.47489700000000001</v>
      </c>
      <c r="S2431">
        <v>-2.3143919999999998</v>
      </c>
      <c r="T2431">
        <v>-0.33466459999999998</v>
      </c>
      <c r="U2431">
        <v>-2.0290219999999999</v>
      </c>
      <c r="V2431">
        <v>-0.18637909999999999</v>
      </c>
      <c r="W2431">
        <v>-4.083433E-3</v>
      </c>
      <c r="X2431">
        <v>0.98246940000000005</v>
      </c>
      <c r="Y2431">
        <v>-0.40025539999999998</v>
      </c>
      <c r="Z2431">
        <v>1.121634E-2</v>
      </c>
      <c r="AA2431">
        <v>0.91633500000000001</v>
      </c>
      <c r="AB2431">
        <v>32</v>
      </c>
      <c r="AC2431">
        <v>-7.5681000000000704</v>
      </c>
      <c r="AD2431">
        <v>-1.11780449551299</v>
      </c>
      <c r="AE2431">
        <v>-6.72149999999999</v>
      </c>
      <c r="AF2431">
        <v>-4.0672543102661196</v>
      </c>
      <c r="AG2431">
        <v>-1.11780449551299</v>
      </c>
      <c r="AH2431">
        <v>9.1355432597644892</v>
      </c>
      <c r="AI2431">
        <v>96.378049138184394</v>
      </c>
      <c r="AJ2431">
        <v>113.999206468127</v>
      </c>
      <c r="AK2431">
        <v>10.062315596600801</v>
      </c>
      <c r="AL2431">
        <v>90.233964131092193</v>
      </c>
      <c r="AM2431">
        <v>100.74163836623001</v>
      </c>
      <c r="AN2431">
        <v>0.99999998263911705</v>
      </c>
    </row>
    <row r="2432" spans="1:40" x14ac:dyDescent="0.25">
      <c r="A2432" t="str">
        <f>"20190312151545630"</f>
        <v>20190312151545630</v>
      </c>
      <c r="B2432" t="str">
        <f>"1552374945619822"</f>
        <v>1552374945619822</v>
      </c>
      <c r="C2432" t="s">
        <v>40</v>
      </c>
      <c r="D2432">
        <v>4.3872200000000001</v>
      </c>
      <c r="E2432">
        <v>0.41334490000000002</v>
      </c>
      <c r="F2432" t="s">
        <v>41</v>
      </c>
      <c r="G2432">
        <v>-480.06</v>
      </c>
      <c r="H2432">
        <v>0.99673089999999998</v>
      </c>
      <c r="I2432">
        <v>280.70249999999999</v>
      </c>
      <c r="J2432">
        <v>-479.41770000000002</v>
      </c>
      <c r="K2432">
        <v>1.117899</v>
      </c>
      <c r="L2432">
        <v>281.36950000000002</v>
      </c>
      <c r="M2432">
        <v>-0.95119860000000001</v>
      </c>
      <c r="N2432">
        <v>0</v>
      </c>
      <c r="O2432">
        <v>-0.30830689999999999</v>
      </c>
      <c r="P2432">
        <v>-0.87693770000000004</v>
      </c>
      <c r="Q2432">
        <v>-1.3373650000000001E-2</v>
      </c>
      <c r="R2432">
        <v>-0.48041840000000002</v>
      </c>
      <c r="S2432">
        <v>-2.3032530000000002</v>
      </c>
      <c r="T2432">
        <v>-0.33798979999999901</v>
      </c>
      <c r="U2432">
        <v>-2.0402529999999999</v>
      </c>
      <c r="V2432">
        <v>-0.18656990000000001</v>
      </c>
      <c r="W2432">
        <v>-4.4986059999999996E-3</v>
      </c>
      <c r="X2432">
        <v>0.98243139999999995</v>
      </c>
      <c r="Y2432">
        <v>-0.39940619999999999</v>
      </c>
      <c r="Z2432">
        <v>1.205753E-2</v>
      </c>
      <c r="AA2432">
        <v>0.91669480000000003</v>
      </c>
      <c r="AB2432">
        <v>32</v>
      </c>
      <c r="AC2432">
        <v>-0.642299999999977</v>
      </c>
      <c r="AD2432">
        <v>-0.121168099999999</v>
      </c>
      <c r="AE2432">
        <v>-0.66700000000003001</v>
      </c>
      <c r="AF2432">
        <v>-0.42911302717605998</v>
      </c>
      <c r="AG2432">
        <v>-0.121168099999999</v>
      </c>
      <c r="AH2432">
        <v>0.80291606041396002</v>
      </c>
      <c r="AI2432">
        <v>97.581199966920195</v>
      </c>
      <c r="AJ2432">
        <v>118.121972347748</v>
      </c>
      <c r="AK2432">
        <v>0.91841923903002298</v>
      </c>
      <c r="AL2432">
        <v>90.2577520041974</v>
      </c>
      <c r="AM2432">
        <v>100.752784753659</v>
      </c>
      <c r="AN2432">
        <v>1.0000000103739499</v>
      </c>
    </row>
    <row r="2433" spans="1:40" x14ac:dyDescent="0.25">
      <c r="A2433" t="str">
        <f>"20190312151545643"</f>
        <v>20190312151545643</v>
      </c>
      <c r="B2433" t="str">
        <f>"1552374945640317"</f>
        <v>1552374945640317</v>
      </c>
      <c r="C2433" t="s">
        <v>40</v>
      </c>
      <c r="D2433">
        <v>4.3227659999999997</v>
      </c>
      <c r="E2433">
        <v>0.42431089999999999</v>
      </c>
      <c r="F2433" t="s">
        <v>50</v>
      </c>
      <c r="G2433">
        <v>-486.96620000000001</v>
      </c>
      <c r="H2433" s="1">
        <v>1.4954859999999999E-6</v>
      </c>
      <c r="I2433">
        <v>274.59739999999999</v>
      </c>
      <c r="J2433">
        <v>-479.58190000000002</v>
      </c>
      <c r="K2433">
        <v>1.117982</v>
      </c>
      <c r="L2433">
        <v>281.31099999999998</v>
      </c>
      <c r="M2433">
        <v>-0.94947119999999996</v>
      </c>
      <c r="N2433">
        <v>0</v>
      </c>
      <c r="O2433">
        <v>-0.31358580000000003</v>
      </c>
      <c r="P2433">
        <v>-0.87406289999999998</v>
      </c>
      <c r="Q2433">
        <v>-1.333673E-2</v>
      </c>
      <c r="R2433">
        <v>-0.4856297</v>
      </c>
      <c r="S2433">
        <v>-2.2901919999999998</v>
      </c>
      <c r="T2433">
        <v>-0.3391651</v>
      </c>
      <c r="U2433">
        <v>-2.0546259999999998</v>
      </c>
      <c r="V2433">
        <v>-0.1869606</v>
      </c>
      <c r="W2433">
        <v>-4.4901910000000001E-3</v>
      </c>
      <c r="X2433">
        <v>0.98235709999999998</v>
      </c>
      <c r="Y2433">
        <v>-0.40012049999999999</v>
      </c>
      <c r="Z2433">
        <v>1.2677020000000001E-2</v>
      </c>
      <c r="AA2433">
        <v>0.91637489999999999</v>
      </c>
      <c r="AB2433">
        <v>32</v>
      </c>
      <c r="AC2433">
        <v>-7.3842999999999899</v>
      </c>
      <c r="AD2433">
        <v>-1.1179805045139899</v>
      </c>
      <c r="AE2433">
        <v>-6.71359999999998</v>
      </c>
      <c r="AF2433">
        <v>-4.0087937920730097</v>
      </c>
      <c r="AG2433">
        <v>-1.1179805045139899</v>
      </c>
      <c r="AH2433">
        <v>9.0042435510380905</v>
      </c>
      <c r="AI2433">
        <v>96.471281937201496</v>
      </c>
      <c r="AJ2433">
        <v>113.99918363043599</v>
      </c>
      <c r="AK2433">
        <v>9.9195115808313599</v>
      </c>
      <c r="AL2433">
        <v>90.257269870920794</v>
      </c>
      <c r="AM2433">
        <v>100.775571637619</v>
      </c>
      <c r="AN2433">
        <v>0.99999994984399199</v>
      </c>
    </row>
    <row r="2434" spans="1:40" x14ac:dyDescent="0.25">
      <c r="A2434" t="str">
        <f>"20190312151545662"</f>
        <v>20190312151545662</v>
      </c>
      <c r="B2434" t="str">
        <f>"1552374945659838"</f>
        <v>1552374945659838</v>
      </c>
      <c r="C2434" t="s">
        <v>40</v>
      </c>
      <c r="D2434">
        <v>4.3279120000000004</v>
      </c>
      <c r="E2434">
        <v>0.42467729999999998</v>
      </c>
      <c r="F2434" t="s">
        <v>50</v>
      </c>
      <c r="G2434">
        <v>-486.7079</v>
      </c>
      <c r="H2434" s="1">
        <v>1.580541E-6</v>
      </c>
      <c r="I2434">
        <v>275.19139999999999</v>
      </c>
      <c r="J2434">
        <v>-479.83890000000002</v>
      </c>
      <c r="K2434">
        <v>1.1181129999999999</v>
      </c>
      <c r="L2434">
        <v>281.21749999999997</v>
      </c>
      <c r="M2434">
        <v>-0.94667109999999999</v>
      </c>
      <c r="N2434">
        <v>0</v>
      </c>
      <c r="O2434">
        <v>-0.32193899999999998</v>
      </c>
      <c r="P2434">
        <v>-0.86934739999999999</v>
      </c>
      <c r="Q2434">
        <v>-1.342775E-2</v>
      </c>
      <c r="R2434">
        <v>-0.4940194</v>
      </c>
      <c r="S2434">
        <v>-2.319855</v>
      </c>
      <c r="T2434">
        <v>-0.3639539</v>
      </c>
      <c r="U2434">
        <v>-1.9921880000000001</v>
      </c>
      <c r="V2434">
        <v>-0.1877567</v>
      </c>
      <c r="W2434">
        <v>-4.6317349999999997E-3</v>
      </c>
      <c r="X2434">
        <v>0.98220459999999998</v>
      </c>
      <c r="Y2434">
        <v>-0.37214940000000002</v>
      </c>
      <c r="Z2434">
        <v>1.6510339999999998E-2</v>
      </c>
      <c r="AA2434">
        <v>0.92802600000000002</v>
      </c>
      <c r="AB2434">
        <v>32</v>
      </c>
      <c r="AC2434">
        <v>-6.8689999999999696</v>
      </c>
      <c r="AD2434">
        <v>-1.1181114194589901</v>
      </c>
      <c r="AE2434">
        <v>-6.02609999999998</v>
      </c>
      <c r="AF2434">
        <v>-3.44209382509831</v>
      </c>
      <c r="AG2434">
        <v>-1.1181114194589901</v>
      </c>
      <c r="AH2434">
        <v>8.3188785804270307</v>
      </c>
      <c r="AI2434">
        <v>97.079594649196594</v>
      </c>
      <c r="AJ2434">
        <v>112.47825380928199</v>
      </c>
      <c r="AK2434">
        <v>9.0720407782919601</v>
      </c>
      <c r="AL2434">
        <v>90.265379828450193</v>
      </c>
      <c r="AM2434">
        <v>100.82201462314001</v>
      </c>
      <c r="AN2434">
        <v>0.999999953812579</v>
      </c>
    </row>
    <row r="2435" spans="1:40" x14ac:dyDescent="0.25">
      <c r="A2435" t="str">
        <f>"20190312151545676"</f>
        <v>20190312151545676</v>
      </c>
      <c r="B2435" t="str">
        <f>"1552374945669599"</f>
        <v>1552374945669599</v>
      </c>
      <c r="C2435" t="s">
        <v>40</v>
      </c>
      <c r="D2435">
        <v>4.3248939999999996</v>
      </c>
      <c r="E2435">
        <v>0.4251375</v>
      </c>
      <c r="F2435" t="s">
        <v>50</v>
      </c>
      <c r="G2435">
        <v>-487.07650000000001</v>
      </c>
      <c r="H2435" s="1">
        <v>1.560711E-6</v>
      </c>
      <c r="I2435">
        <v>274.89319999999998</v>
      </c>
      <c r="J2435">
        <v>-480.02569999999997</v>
      </c>
      <c r="K2435">
        <v>1.118204</v>
      </c>
      <c r="L2435">
        <v>281.14789999999999</v>
      </c>
      <c r="M2435">
        <v>-0.94455929999999999</v>
      </c>
      <c r="N2435">
        <v>0</v>
      </c>
      <c r="O2435">
        <v>-0.32808219999999999</v>
      </c>
      <c r="P2435">
        <v>-0.86599509999999902</v>
      </c>
      <c r="Q2435">
        <v>-1.3424439999999999E-2</v>
      </c>
      <c r="R2435">
        <v>-0.49987239999999999</v>
      </c>
      <c r="S2435">
        <v>-2.302216</v>
      </c>
      <c r="T2435">
        <v>-0.35566189999999998</v>
      </c>
      <c r="U2435">
        <v>-2.0116879999999999</v>
      </c>
      <c r="V2435">
        <v>-0.18800069999999999</v>
      </c>
      <c r="W2435">
        <v>-4.6580290000000002E-3</v>
      </c>
      <c r="X2435">
        <v>0.98215779999999997</v>
      </c>
      <c r="Y2435">
        <v>-0.37413950000000001</v>
      </c>
      <c r="Z2435">
        <v>1.6777159999999999E-2</v>
      </c>
      <c r="AA2435">
        <v>0.92722059999999995</v>
      </c>
      <c r="AB2435">
        <v>32</v>
      </c>
      <c r="AC2435">
        <v>-7.0508000000000299</v>
      </c>
      <c r="AD2435">
        <v>-1.118202439289</v>
      </c>
      <c r="AE2435">
        <v>-6.2547000000000104</v>
      </c>
      <c r="AF2435">
        <v>-3.5451000894530398</v>
      </c>
      <c r="AG2435">
        <v>-1.118202439289</v>
      </c>
      <c r="AH2435">
        <v>8.5917628642982997</v>
      </c>
      <c r="AI2435">
        <v>96.860230926549804</v>
      </c>
      <c r="AJ2435">
        <v>112.421834295453</v>
      </c>
      <c r="AK2435">
        <v>9.3614368798709204</v>
      </c>
      <c r="AL2435">
        <v>90.266886380410597</v>
      </c>
      <c r="AM2435">
        <v>100.83624977802</v>
      </c>
      <c r="AN2435">
        <v>0.99999995226774596</v>
      </c>
    </row>
    <row r="2436" spans="1:40" x14ac:dyDescent="0.25">
      <c r="A2436" t="str">
        <f>"20190312151545696"</f>
        <v>20190312151545696</v>
      </c>
      <c r="B2436" t="str">
        <f>"1552374945690094"</f>
        <v>1552374945690094</v>
      </c>
      <c r="C2436" t="s">
        <v>40</v>
      </c>
      <c r="D2436">
        <v>4.346965</v>
      </c>
      <c r="E2436">
        <v>0.4255562</v>
      </c>
      <c r="F2436" t="s">
        <v>50</v>
      </c>
      <c r="G2436">
        <v>-487.17450000000002</v>
      </c>
      <c r="H2436" s="1">
        <v>1.5584059999999999E-6</v>
      </c>
      <c r="I2436">
        <v>274.83080000000001</v>
      </c>
      <c r="J2436">
        <v>-480.2921</v>
      </c>
      <c r="K2436">
        <v>1.1183369999999999</v>
      </c>
      <c r="L2436">
        <v>281.04610000000002</v>
      </c>
      <c r="M2436">
        <v>-0.94142369999999997</v>
      </c>
      <c r="N2436">
        <v>0</v>
      </c>
      <c r="O2436">
        <v>-0.33697300000000002</v>
      </c>
      <c r="P2436">
        <v>-0.86070919999999895</v>
      </c>
      <c r="Q2436">
        <v>-1.2698569999999999E-2</v>
      </c>
      <c r="R2436">
        <v>-0.50893840000000001</v>
      </c>
      <c r="S2436">
        <v>-2.290375</v>
      </c>
      <c r="T2436">
        <v>-0.3582554</v>
      </c>
      <c r="U2436">
        <v>-2.0239259999999999</v>
      </c>
      <c r="V2436">
        <v>-0.18906519999999999</v>
      </c>
      <c r="W2436">
        <v>-3.9906350000000002E-3</v>
      </c>
      <c r="X2436">
        <v>0.98195639999999995</v>
      </c>
      <c r="Y2436">
        <v>-0.37062289999999998</v>
      </c>
      <c r="Z2436">
        <v>1.8228069999999999E-2</v>
      </c>
      <c r="AA2436">
        <v>0.92860450000000005</v>
      </c>
      <c r="AB2436">
        <v>32</v>
      </c>
      <c r="AC2436">
        <v>-6.8824000000000103</v>
      </c>
      <c r="AD2436">
        <v>-1.1183354415939999</v>
      </c>
      <c r="AE2436">
        <v>-6.2153000000000098</v>
      </c>
      <c r="AF2436">
        <v>-3.4817139537832902</v>
      </c>
      <c r="AG2436">
        <v>-1.1183354415939999</v>
      </c>
      <c r="AH2436">
        <v>8.4514632208379403</v>
      </c>
      <c r="AI2436">
        <v>96.975406777873502</v>
      </c>
      <c r="AJ2436">
        <v>112.389986723177</v>
      </c>
      <c r="AK2436">
        <v>9.2087044033930692</v>
      </c>
      <c r="AL2436">
        <v>90.228647156068007</v>
      </c>
      <c r="AM2436">
        <v>100.8983235094</v>
      </c>
      <c r="AN2436">
        <v>0.99999997325985102</v>
      </c>
    </row>
    <row r="2437" spans="1:40" x14ac:dyDescent="0.25">
      <c r="A2437" t="str">
        <f>"20190312151545718"</f>
        <v>20190312151545718</v>
      </c>
      <c r="B2437" t="str">
        <f>"1552374945709614"</f>
        <v>1552374945709614</v>
      </c>
      <c r="C2437" t="s">
        <v>40</v>
      </c>
      <c r="D2437">
        <v>4.3703349999999999</v>
      </c>
      <c r="E2437">
        <v>0.42603609999999997</v>
      </c>
      <c r="F2437" t="s">
        <v>50</v>
      </c>
      <c r="G2437">
        <v>-487.43180000000001</v>
      </c>
      <c r="H2437" s="1">
        <v>1.5431249999999999E-6</v>
      </c>
      <c r="I2437">
        <v>274.61540000000002</v>
      </c>
      <c r="J2437">
        <v>-480.58640000000003</v>
      </c>
      <c r="K2437">
        <v>1.1184810000000001</v>
      </c>
      <c r="L2437">
        <v>280.93</v>
      </c>
      <c r="M2437">
        <v>-0.93778669999999997</v>
      </c>
      <c r="N2437">
        <v>0</v>
      </c>
      <c r="O2437">
        <v>-0.34696539999999998</v>
      </c>
      <c r="P2437">
        <v>-0.85483500000000001</v>
      </c>
      <c r="Q2437">
        <v>-1.32941E-2</v>
      </c>
      <c r="R2437">
        <v>-0.51873000000000002</v>
      </c>
      <c r="S2437">
        <v>-2.2708439999999999</v>
      </c>
      <c r="T2437">
        <v>-0.3556957</v>
      </c>
      <c r="U2437">
        <v>-2.0453489999999999</v>
      </c>
      <c r="V2437">
        <v>-0.1898203</v>
      </c>
      <c r="W2437">
        <v>-4.6409370000000004E-3</v>
      </c>
      <c r="X2437">
        <v>0.98180789999999996</v>
      </c>
      <c r="Y2437">
        <v>-0.36962200000000001</v>
      </c>
      <c r="Z2437">
        <v>1.940064E-2</v>
      </c>
      <c r="AA2437">
        <v>0.92897960000000002</v>
      </c>
      <c r="AB2437">
        <v>32</v>
      </c>
      <c r="AC2437">
        <v>-6.8453999999999802</v>
      </c>
      <c r="AD2437">
        <v>-1.1184794568750001</v>
      </c>
      <c r="AE2437">
        <v>-6.31459999999998</v>
      </c>
      <c r="AF2437">
        <v>-3.4965028960263398</v>
      </c>
      <c r="AG2437">
        <v>-1.1184794568750001</v>
      </c>
      <c r="AH2437">
        <v>8.4887724442572594</v>
      </c>
      <c r="AI2437">
        <v>96.946100520807406</v>
      </c>
      <c r="AJ2437">
        <v>112.386633052945</v>
      </c>
      <c r="AK2437">
        <v>9.2485559093165097</v>
      </c>
      <c r="AL2437">
        <v>90.265907052691304</v>
      </c>
      <c r="AM2437">
        <v>100.942416390817</v>
      </c>
      <c r="AN2437">
        <v>1.0000000185453599</v>
      </c>
    </row>
    <row r="2438" spans="1:40" x14ac:dyDescent="0.25">
      <c r="A2438" t="str">
        <f>"20190312151545732"</f>
        <v>20190312151545732</v>
      </c>
      <c r="B2438" t="str">
        <f>"1552374945720350"</f>
        <v>1552374945720350</v>
      </c>
      <c r="C2438" t="s">
        <v>40</v>
      </c>
      <c r="D2438">
        <v>4.3660629999999996</v>
      </c>
      <c r="E2438">
        <v>0.42631239999999998</v>
      </c>
      <c r="F2438" t="s">
        <v>50</v>
      </c>
      <c r="G2438">
        <v>-487.57819999999998</v>
      </c>
      <c r="H2438" s="1">
        <v>1.516015E-6</v>
      </c>
      <c r="I2438">
        <v>274.50200000000001</v>
      </c>
      <c r="J2438">
        <v>-480.76499999999999</v>
      </c>
      <c r="K2438">
        <v>1.118565</v>
      </c>
      <c r="L2438">
        <v>280.85789999999997</v>
      </c>
      <c r="M2438">
        <v>-0.93549510000000002</v>
      </c>
      <c r="N2438">
        <v>0</v>
      </c>
      <c r="O2438">
        <v>-0.35309639999999998</v>
      </c>
      <c r="P2438">
        <v>-0.85124929999999999</v>
      </c>
      <c r="Q2438">
        <v>-1.3583029999999999E-2</v>
      </c>
      <c r="R2438">
        <v>-0.524586</v>
      </c>
      <c r="S2438">
        <v>-2.2490839999999999</v>
      </c>
      <c r="T2438">
        <v>-0.35978339999999998</v>
      </c>
      <c r="U2438">
        <v>-2.0677189999999999</v>
      </c>
      <c r="V2438">
        <v>-0.19012760000000001</v>
      </c>
      <c r="W2438">
        <v>-4.9593329999999998E-3</v>
      </c>
      <c r="X2438">
        <v>0.98174689999999998</v>
      </c>
      <c r="Y2438">
        <v>-0.37302950000000001</v>
      </c>
      <c r="Z2438">
        <v>2.019025E-2</v>
      </c>
      <c r="AA2438">
        <v>0.92759979999999997</v>
      </c>
      <c r="AB2438">
        <v>32</v>
      </c>
      <c r="AC2438">
        <v>-6.8131999999999904</v>
      </c>
      <c r="AD2438">
        <v>-1.1185634839850001</v>
      </c>
      <c r="AE2438">
        <v>-6.3558999999999601</v>
      </c>
      <c r="AF2438">
        <v>-3.4902013527793199</v>
      </c>
      <c r="AG2438">
        <v>-1.1185634839850001</v>
      </c>
      <c r="AH2438">
        <v>8.4962555932211306</v>
      </c>
      <c r="AI2438">
        <v>96.943229753242605</v>
      </c>
      <c r="AJ2438">
        <v>112.332509698888</v>
      </c>
      <c r="AK2438">
        <v>9.2530561900373591</v>
      </c>
      <c r="AL2438">
        <v>90.284150004240402</v>
      </c>
      <c r="AM2438">
        <v>100.96036691905501</v>
      </c>
      <c r="AN2438">
        <v>1.0000000374625799</v>
      </c>
    </row>
    <row r="2439" spans="1:40" x14ac:dyDescent="0.25">
      <c r="A2439" t="str">
        <f>"20190312151545743"</f>
        <v>20190312151545743</v>
      </c>
      <c r="B2439" t="str">
        <f>"1552374945739870"</f>
        <v>1552374945739870</v>
      </c>
      <c r="C2439" t="s">
        <v>40</v>
      </c>
      <c r="D2439">
        <v>4.3800150000000002</v>
      </c>
      <c r="E2439">
        <v>0.42701879999999998</v>
      </c>
      <c r="F2439" t="s">
        <v>50</v>
      </c>
      <c r="G2439">
        <v>-487.68720000000002</v>
      </c>
      <c r="H2439" s="1">
        <v>1.4947139999999901E-6</v>
      </c>
      <c r="I2439">
        <v>274.4144</v>
      </c>
      <c r="J2439">
        <v>-480.92169999999999</v>
      </c>
      <c r="K2439">
        <v>1.1186449999999999</v>
      </c>
      <c r="L2439">
        <v>280.79300000000001</v>
      </c>
      <c r="M2439">
        <v>-0.93341759999999996</v>
      </c>
      <c r="N2439">
        <v>0</v>
      </c>
      <c r="O2439">
        <v>-0.35855160000000003</v>
      </c>
      <c r="P2439">
        <v>-0.84782679999999999</v>
      </c>
      <c r="Q2439">
        <v>-1.401818E-2</v>
      </c>
      <c r="R2439">
        <v>-0.53008759999999999</v>
      </c>
      <c r="S2439">
        <v>-2.23584</v>
      </c>
      <c r="T2439">
        <v>-0.36129119999999998</v>
      </c>
      <c r="U2439">
        <v>-2.0812379999999999</v>
      </c>
      <c r="V2439">
        <v>-0.190746</v>
      </c>
      <c r="W2439">
        <v>-5.428474E-3</v>
      </c>
      <c r="X2439">
        <v>0.98162439999999995</v>
      </c>
      <c r="Y2439">
        <v>-0.3733861</v>
      </c>
      <c r="Z2439">
        <v>2.0945700000000001E-2</v>
      </c>
      <c r="AA2439">
        <v>0.92743949999999997</v>
      </c>
      <c r="AB2439">
        <v>32</v>
      </c>
      <c r="AC2439">
        <v>-6.7655000000000296</v>
      </c>
      <c r="AD2439">
        <v>-1.118643505286</v>
      </c>
      <c r="AE2439">
        <v>-6.3785999999999996</v>
      </c>
      <c r="AF2439">
        <v>-3.4780804699892398</v>
      </c>
      <c r="AG2439">
        <v>-1.118643505286</v>
      </c>
      <c r="AH2439">
        <v>8.4800980551465095</v>
      </c>
      <c r="AI2439">
        <v>96.958387226865597</v>
      </c>
      <c r="AJ2439">
        <v>112.300802720093</v>
      </c>
      <c r="AK2439">
        <v>9.2336596251182499</v>
      </c>
      <c r="AL2439">
        <v>90.311030182050203</v>
      </c>
      <c r="AM2439">
        <v>100.996487323438</v>
      </c>
      <c r="AN2439">
        <v>0.99999998376066401</v>
      </c>
    </row>
    <row r="2440" spans="1:40" x14ac:dyDescent="0.25">
      <c r="A2440" t="str">
        <f>"20190312151545757"</f>
        <v>20190312151545757</v>
      </c>
      <c r="B2440" t="str">
        <f>"1552374945750433"</f>
        <v>1552374945750433</v>
      </c>
      <c r="C2440" t="s">
        <v>40</v>
      </c>
      <c r="D2440">
        <v>4.3544369999999999</v>
      </c>
      <c r="E2440">
        <v>0.42745040000000001</v>
      </c>
      <c r="F2440" t="s">
        <v>50</v>
      </c>
      <c r="G2440">
        <v>-487.7928</v>
      </c>
      <c r="H2440" s="1">
        <v>1.4766E-6</v>
      </c>
      <c r="I2440">
        <v>274.33659999999998</v>
      </c>
      <c r="J2440">
        <v>-481.089</v>
      </c>
      <c r="K2440">
        <v>1.118722</v>
      </c>
      <c r="L2440">
        <v>280.72309999999999</v>
      </c>
      <c r="M2440">
        <v>-0.93114750000000002</v>
      </c>
      <c r="N2440">
        <v>0</v>
      </c>
      <c r="O2440">
        <v>-0.3644056</v>
      </c>
      <c r="P2440">
        <v>-0.84470409999999996</v>
      </c>
      <c r="Q2440">
        <v>-1.430202E-2</v>
      </c>
      <c r="R2440">
        <v>-0.53504259999999904</v>
      </c>
      <c r="S2440">
        <v>-2.2251889999999999</v>
      </c>
      <c r="T2440">
        <v>-0.36226809999999998</v>
      </c>
      <c r="U2440">
        <v>-2.090881</v>
      </c>
      <c r="V2440">
        <v>-0.1903244</v>
      </c>
      <c r="W2440">
        <v>-5.7224169999999996E-3</v>
      </c>
      <c r="X2440">
        <v>0.98170460000000004</v>
      </c>
      <c r="Y2440">
        <v>-0.3719518</v>
      </c>
      <c r="Z2440">
        <v>2.184171E-2</v>
      </c>
      <c r="AA2440">
        <v>0.92799500000000001</v>
      </c>
      <c r="AB2440">
        <v>32</v>
      </c>
      <c r="AC2440">
        <v>-6.7038000000000002</v>
      </c>
      <c r="AD2440">
        <v>-1.1187205233999999</v>
      </c>
      <c r="AE2440">
        <v>-6.3865000000000096</v>
      </c>
      <c r="AF2440">
        <v>-3.45375332441039</v>
      </c>
      <c r="AG2440">
        <v>-1.1187205233999999</v>
      </c>
      <c r="AH2440">
        <v>8.4469283537390893</v>
      </c>
      <c r="AI2440">
        <v>96.988998378554996</v>
      </c>
      <c r="AJ2440">
        <v>112.23851571309601</v>
      </c>
      <c r="AK2440">
        <v>9.1940495021809401</v>
      </c>
      <c r="AL2440">
        <v>90.327872124780896</v>
      </c>
      <c r="AM2440">
        <v>100.971898035409</v>
      </c>
      <c r="AN2440">
        <v>1.0000000224764201</v>
      </c>
    </row>
    <row r="2441" spans="1:40" x14ac:dyDescent="0.25">
      <c r="A2441" t="str">
        <f>"20190312151545769"</f>
        <v>20190312151545769</v>
      </c>
      <c r="B2441" t="str">
        <f>"1552374945760193"</f>
        <v>1552374945760193</v>
      </c>
      <c r="C2441" t="s">
        <v>40</v>
      </c>
      <c r="D2441">
        <v>4.3131870000000001</v>
      </c>
      <c r="E2441">
        <v>0.42784230000000001</v>
      </c>
      <c r="F2441" t="s">
        <v>50</v>
      </c>
      <c r="G2441">
        <v>-487.90289999999999</v>
      </c>
      <c r="H2441" s="1">
        <v>1.4586760000000001E-6</v>
      </c>
      <c r="I2441">
        <v>274.25830000000002</v>
      </c>
      <c r="J2441">
        <v>-481.25959999999998</v>
      </c>
      <c r="K2441">
        <v>1.118808</v>
      </c>
      <c r="L2441">
        <v>280.65010000000001</v>
      </c>
      <c r="M2441">
        <v>-0.92875790000000003</v>
      </c>
      <c r="N2441">
        <v>0</v>
      </c>
      <c r="O2441">
        <v>-0.37045319999999998</v>
      </c>
      <c r="P2441">
        <v>-0.84097889999999997</v>
      </c>
      <c r="Q2441">
        <v>-1.462426E-2</v>
      </c>
      <c r="R2441">
        <v>-0.54087050000000003</v>
      </c>
      <c r="S2441">
        <v>-2.2145079999999999</v>
      </c>
      <c r="T2441">
        <v>-0.36358489999999999</v>
      </c>
      <c r="U2441">
        <v>-2.1010439999999999</v>
      </c>
      <c r="V2441">
        <v>-0.1907219</v>
      </c>
      <c r="W2441">
        <v>-6.0772389999999999E-3</v>
      </c>
      <c r="X2441">
        <v>0.98162530000000003</v>
      </c>
      <c r="Y2441">
        <v>-0.3704346</v>
      </c>
      <c r="Z2441">
        <v>2.2791220000000001E-2</v>
      </c>
      <c r="AA2441">
        <v>0.92857889999999998</v>
      </c>
      <c r="AB2441">
        <v>32</v>
      </c>
      <c r="AC2441">
        <v>-6.6433000000000098</v>
      </c>
      <c r="AD2441">
        <v>-1.118806541324</v>
      </c>
      <c r="AE2441">
        <v>-6.3917999999999804</v>
      </c>
      <c r="AF2441">
        <v>-3.4252561422365102</v>
      </c>
      <c r="AG2441">
        <v>-1.118806541324</v>
      </c>
      <c r="AH2441">
        <v>8.4146863864661903</v>
      </c>
      <c r="AI2441">
        <v>97.020468108893894</v>
      </c>
      <c r="AJ2441">
        <v>112.14911986002799</v>
      </c>
      <c r="AK2441">
        <v>9.1537453918829197</v>
      </c>
      <c r="AL2441">
        <v>90.348202288193903</v>
      </c>
      <c r="AM2441">
        <v>100.995121987305</v>
      </c>
      <c r="AN2441">
        <v>1.0000000027867799</v>
      </c>
    </row>
    <row r="2442" spans="1:40" x14ac:dyDescent="0.25">
      <c r="A2442" t="str">
        <f>"20190312151545782"</f>
        <v>20190312151545782</v>
      </c>
      <c r="B2442" t="str">
        <f>"1552374945779714"</f>
        <v>1552374945779714</v>
      </c>
      <c r="C2442" t="s">
        <v>40</v>
      </c>
      <c r="D2442">
        <v>4.3358540000000003</v>
      </c>
      <c r="E2442">
        <v>0.42881010000000003</v>
      </c>
      <c r="F2442" t="s">
        <v>50</v>
      </c>
      <c r="G2442">
        <v>-488.03160000000003</v>
      </c>
      <c r="H2442" s="1">
        <v>1.4306980000000001E-6</v>
      </c>
      <c r="I2442">
        <v>274.14690000000002</v>
      </c>
      <c r="J2442">
        <v>-481.42910000000001</v>
      </c>
      <c r="K2442">
        <v>1.1188929999999999</v>
      </c>
      <c r="L2442">
        <v>280.5761</v>
      </c>
      <c r="M2442">
        <v>-0.92630800000000002</v>
      </c>
      <c r="N2442">
        <v>0</v>
      </c>
      <c r="O2442">
        <v>-0.37653639999999999</v>
      </c>
      <c r="P2442">
        <v>-0.83739249999999898</v>
      </c>
      <c r="Q2442">
        <v>-1.473469E-2</v>
      </c>
      <c r="R2442">
        <v>-0.54640339999999998</v>
      </c>
      <c r="S2442">
        <v>-2.2013240000000001</v>
      </c>
      <c r="T2442">
        <v>-0.3636837</v>
      </c>
      <c r="U2442">
        <v>-2.1139830000000002</v>
      </c>
      <c r="V2442">
        <v>-0.19075310000000001</v>
      </c>
      <c r="W2442">
        <v>-6.2108299999999996E-3</v>
      </c>
      <c r="X2442">
        <v>0.9816184</v>
      </c>
      <c r="Y2442">
        <v>-0.36999850000000001</v>
      </c>
      <c r="Z2442">
        <v>2.3606039999999998E-2</v>
      </c>
      <c r="AA2442">
        <v>0.92873240000000001</v>
      </c>
      <c r="AB2442">
        <v>32</v>
      </c>
      <c r="AC2442">
        <v>-6.6025000000000196</v>
      </c>
      <c r="AD2442">
        <v>-1.1188915693020001</v>
      </c>
      <c r="AE2442">
        <v>-6.4291999999999803</v>
      </c>
      <c r="AF2442">
        <v>-3.4192364104438</v>
      </c>
      <c r="AG2442">
        <v>-1.1188915693020001</v>
      </c>
      <c r="AH2442">
        <v>8.4134950953298997</v>
      </c>
      <c r="AI2442">
        <v>97.023576759887305</v>
      </c>
      <c r="AJ2442">
        <v>112.116778113758</v>
      </c>
      <c r="AK2442">
        <v>9.1504095915702095</v>
      </c>
      <c r="AL2442">
        <v>90.355856633628804</v>
      </c>
      <c r="AM2442">
        <v>100.996952237746</v>
      </c>
      <c r="AN2442">
        <v>1.00000000139372</v>
      </c>
    </row>
    <row r="2443" spans="1:40" x14ac:dyDescent="0.25">
      <c r="A2443" t="str">
        <f>"20190312151545795"</f>
        <v>20190312151545795</v>
      </c>
      <c r="B2443" t="str">
        <f>"1552374945789473"</f>
        <v>1552374945789473</v>
      </c>
      <c r="C2443" t="s">
        <v>40</v>
      </c>
      <c r="D2443">
        <v>4.300033</v>
      </c>
      <c r="E2443">
        <v>0.42910930000000003</v>
      </c>
      <c r="F2443" t="s">
        <v>50</v>
      </c>
      <c r="G2443">
        <v>-488.18020000000001</v>
      </c>
      <c r="H2443" s="1">
        <v>1.4053830000000001E-6</v>
      </c>
      <c r="I2443">
        <v>274.03800000000001</v>
      </c>
      <c r="J2443">
        <v>-481.58960000000002</v>
      </c>
      <c r="K2443">
        <v>1.1189770000000001</v>
      </c>
      <c r="L2443">
        <v>280.5052</v>
      </c>
      <c r="M2443">
        <v>-0.92393270000000005</v>
      </c>
      <c r="N2443">
        <v>0</v>
      </c>
      <c r="O2443">
        <v>-0.38232699999999997</v>
      </c>
      <c r="P2443">
        <v>-0.83399619999999997</v>
      </c>
      <c r="Q2443">
        <v>-1.513075E-2</v>
      </c>
      <c r="R2443">
        <v>-0.55156309999999997</v>
      </c>
      <c r="S2443">
        <v>-2.191376</v>
      </c>
      <c r="T2443">
        <v>-0.36318699999999998</v>
      </c>
      <c r="U2443">
        <v>-2.1222530000000002</v>
      </c>
      <c r="V2443">
        <v>-0.19066179999999999</v>
      </c>
      <c r="W2443">
        <v>-6.6265079999999997E-3</v>
      </c>
      <c r="X2443">
        <v>0.98163339999999999</v>
      </c>
      <c r="Y2443">
        <v>-0.36814259999999999</v>
      </c>
      <c r="Z2443">
        <v>2.4438580000000001E-2</v>
      </c>
      <c r="AA2443">
        <v>0.9294481</v>
      </c>
      <c r="AB2443">
        <v>32</v>
      </c>
      <c r="AC2443">
        <v>-6.5905999999999896</v>
      </c>
      <c r="AD2443">
        <v>-1.1189755946169999</v>
      </c>
      <c r="AE2443">
        <v>-6.4671999999999903</v>
      </c>
      <c r="AF2443">
        <v>-3.40577865710942</v>
      </c>
      <c r="AG2443">
        <v>-1.1189755946169999</v>
      </c>
      <c r="AH2443">
        <v>8.4386756305711099</v>
      </c>
      <c r="AI2443">
        <v>97.0101239198423</v>
      </c>
      <c r="AJ2443">
        <v>111.978589410323</v>
      </c>
      <c r="AK2443">
        <v>9.16857028334109</v>
      </c>
      <c r="AL2443">
        <v>90.379673726685098</v>
      </c>
      <c r="AM2443">
        <v>100.99165313029501</v>
      </c>
      <c r="AN2443">
        <v>0.99999998229153597</v>
      </c>
    </row>
    <row r="2444" spans="1:40" x14ac:dyDescent="0.25">
      <c r="A2444" t="str">
        <f>"20190312151545807"</f>
        <v>20190312151545807</v>
      </c>
      <c r="B2444" t="str">
        <f>"1552374945800209"</f>
        <v>1552374945800209</v>
      </c>
      <c r="C2444" t="s">
        <v>40</v>
      </c>
      <c r="D2444">
        <v>4.3390630000000003</v>
      </c>
      <c r="E2444">
        <v>0.42910930000000003</v>
      </c>
      <c r="F2444" t="s">
        <v>50</v>
      </c>
      <c r="G2444">
        <v>-488.28289999999998</v>
      </c>
      <c r="H2444" s="1">
        <v>1.3841180000000001E-6</v>
      </c>
      <c r="I2444">
        <v>273.952</v>
      </c>
      <c r="J2444">
        <v>-481.75510000000003</v>
      </c>
      <c r="K2444">
        <v>1.119054</v>
      </c>
      <c r="L2444">
        <v>280.43040000000002</v>
      </c>
      <c r="M2444">
        <v>-0.92140089999999997</v>
      </c>
      <c r="N2444">
        <v>0</v>
      </c>
      <c r="O2444">
        <v>-0.38838850000000003</v>
      </c>
      <c r="P2444">
        <v>-0.83015319999999904</v>
      </c>
      <c r="Q2444">
        <v>-1.5137289999999999E-2</v>
      </c>
      <c r="R2444">
        <v>-0.55733049999999995</v>
      </c>
      <c r="S2444">
        <v>-2.1793819999999999</v>
      </c>
      <c r="T2444">
        <v>-0.3643441</v>
      </c>
      <c r="U2444">
        <v>-2.133759</v>
      </c>
      <c r="V2444">
        <v>-0.19101560000000001</v>
      </c>
      <c r="W2444">
        <v>-6.6650939999999999E-3</v>
      </c>
      <c r="X2444">
        <v>0.9815644</v>
      </c>
      <c r="Y2444">
        <v>-0.36713770000000001</v>
      </c>
      <c r="Z2444">
        <v>2.5359900000000001E-2</v>
      </c>
      <c r="AA2444">
        <v>0.9298208</v>
      </c>
      <c r="AB2444">
        <v>32</v>
      </c>
      <c r="AC2444">
        <v>-6.5277999999999503</v>
      </c>
      <c r="AD2444">
        <v>-1.119052615882</v>
      </c>
      <c r="AE2444">
        <v>-6.4784000000000201</v>
      </c>
      <c r="AF2444">
        <v>-3.3840781601847998</v>
      </c>
      <c r="AG2444">
        <v>-1.119052615882</v>
      </c>
      <c r="AH2444">
        <v>8.4071303537125992</v>
      </c>
      <c r="AI2444">
        <v>97.039220895609503</v>
      </c>
      <c r="AJ2444">
        <v>111.926006256349</v>
      </c>
      <c r="AK2444">
        <v>9.1314897215989905</v>
      </c>
      <c r="AL2444">
        <v>90.381884573371394</v>
      </c>
      <c r="AM2444">
        <v>101.012306739702</v>
      </c>
      <c r="AN2444">
        <v>1.0000000271343701</v>
      </c>
    </row>
    <row r="2445" spans="1:40" x14ac:dyDescent="0.25">
      <c r="A2445" t="str">
        <f>"20190312151545819"</f>
        <v>20190312151545819</v>
      </c>
      <c r="B2445" t="str">
        <f>"1552374945809970"</f>
        <v>1552374945809970</v>
      </c>
      <c r="C2445" t="s">
        <v>40</v>
      </c>
      <c r="D2445">
        <v>4.3320259999999999</v>
      </c>
      <c r="E2445">
        <v>0.43769130000000001</v>
      </c>
      <c r="F2445" t="s">
        <v>50</v>
      </c>
      <c r="G2445">
        <v>-488.4024</v>
      </c>
      <c r="H2445" s="1">
        <v>1.3522599999999999E-6</v>
      </c>
      <c r="I2445">
        <v>273.83190000000002</v>
      </c>
      <c r="J2445">
        <v>-481.90710000000001</v>
      </c>
      <c r="K2445">
        <v>1.119143</v>
      </c>
      <c r="L2445">
        <v>280.3605</v>
      </c>
      <c r="M2445">
        <v>-0.91901429999999995</v>
      </c>
      <c r="N2445">
        <v>0</v>
      </c>
      <c r="O2445">
        <v>-0.3940015</v>
      </c>
      <c r="P2445">
        <v>-0.82675219999999905</v>
      </c>
      <c r="Q2445">
        <v>-1.549556E-2</v>
      </c>
      <c r="R2445">
        <v>-0.56235279999999999</v>
      </c>
      <c r="S2445">
        <v>-2.164612</v>
      </c>
      <c r="T2445">
        <v>-0.36440729999999999</v>
      </c>
      <c r="U2445">
        <v>-2.1487120000000002</v>
      </c>
      <c r="V2445">
        <v>-0.190972</v>
      </c>
      <c r="W2445">
        <v>-7.0422050000000002E-3</v>
      </c>
      <c r="X2445">
        <v>0.98157019999999995</v>
      </c>
      <c r="Y2445">
        <v>-0.3678999</v>
      </c>
      <c r="Z2445">
        <v>2.60395E-2</v>
      </c>
      <c r="AA2445">
        <v>0.92950069999999996</v>
      </c>
      <c r="AB2445">
        <v>32</v>
      </c>
      <c r="AC2445">
        <v>-6.4952999999999799</v>
      </c>
      <c r="AD2445">
        <v>-1.11914164773999</v>
      </c>
      <c r="AE2445">
        <v>-6.5285999999999804</v>
      </c>
      <c r="AF2445">
        <v>-3.39094412666803</v>
      </c>
      <c r="AG2445">
        <v>-1.11914164773999</v>
      </c>
      <c r="AH2445">
        <v>8.4179865821835396</v>
      </c>
      <c r="AI2445">
        <v>97.030072337782101</v>
      </c>
      <c r="AJ2445">
        <v>111.940624994362</v>
      </c>
      <c r="AK2445">
        <v>9.14404058366501</v>
      </c>
      <c r="AL2445">
        <v>90.403491969138202</v>
      </c>
      <c r="AM2445">
        <v>101.00979110192</v>
      </c>
      <c r="AN2445">
        <v>0.99999997748165004</v>
      </c>
    </row>
    <row r="2446" spans="1:40" x14ac:dyDescent="0.25">
      <c r="A2446" t="str">
        <f>"20190312151545831"</f>
        <v>20190312151545831</v>
      </c>
      <c r="B2446" t="str">
        <f>"1552374945819729"</f>
        <v>1552374945819729</v>
      </c>
      <c r="C2446" t="s">
        <v>40</v>
      </c>
      <c r="D2446">
        <v>4.4626590000000004</v>
      </c>
      <c r="E2446">
        <v>0.43845279999999998</v>
      </c>
      <c r="F2446" t="s">
        <v>50</v>
      </c>
      <c r="G2446">
        <v>-488.89359999999999</v>
      </c>
      <c r="H2446" s="1">
        <v>1.330025E-6</v>
      </c>
      <c r="I2446">
        <v>273.64580000000001</v>
      </c>
      <c r="J2446">
        <v>-482.0677</v>
      </c>
      <c r="K2446">
        <v>1.1192340000000001</v>
      </c>
      <c r="L2446">
        <v>280.28570000000002</v>
      </c>
      <c r="M2446">
        <v>-0.91643220000000003</v>
      </c>
      <c r="N2446">
        <v>0</v>
      </c>
      <c r="O2446">
        <v>-0.39996989999999999</v>
      </c>
      <c r="P2446">
        <v>-0.82304189999999999</v>
      </c>
      <c r="Q2446">
        <v>-1.583501E-2</v>
      </c>
      <c r="R2446">
        <v>-0.56775989999999998</v>
      </c>
      <c r="S2446">
        <v>-2.1902159999999999</v>
      </c>
      <c r="T2446">
        <v>-0.35084690000000002</v>
      </c>
      <c r="U2446">
        <v>-2.1050420000000001</v>
      </c>
      <c r="V2446">
        <v>-0.1910155</v>
      </c>
      <c r="W2446">
        <v>-7.4031339999999996E-3</v>
      </c>
      <c r="X2446">
        <v>0.98155910000000002</v>
      </c>
      <c r="Y2446">
        <v>-0.34690670000000001</v>
      </c>
      <c r="Z2446">
        <v>2.7145840000000001E-2</v>
      </c>
      <c r="AA2446">
        <v>0.93750670000000003</v>
      </c>
      <c r="AB2446">
        <v>32</v>
      </c>
      <c r="AC2446">
        <v>-6.8258999999999901</v>
      </c>
      <c r="AD2446">
        <v>-1.1192326699749999</v>
      </c>
      <c r="AE2446">
        <v>-6.6399000000000097</v>
      </c>
      <c r="AF2446">
        <v>-3.3094419959217598</v>
      </c>
      <c r="AG2446">
        <v>-1.1192326699749999</v>
      </c>
      <c r="AH2446">
        <v>8.7905851416043799</v>
      </c>
      <c r="AI2446">
        <v>96.795162824981801</v>
      </c>
      <c r="AJ2446">
        <v>110.63013819108799</v>
      </c>
      <c r="AK2446">
        <v>9.4593591339850107</v>
      </c>
      <c r="AL2446">
        <v>90.424172209170194</v>
      </c>
      <c r="AM2446">
        <v>101.01235912360499</v>
      </c>
      <c r="AN2446">
        <v>0.99999999721304</v>
      </c>
    </row>
    <row r="2447" spans="1:40" x14ac:dyDescent="0.25">
      <c r="A2447" t="str">
        <f>"20190312151545843"</f>
        <v>20190312151545843</v>
      </c>
      <c r="B2447" t="str">
        <f>"1552374945840225"</f>
        <v>1552374945840225</v>
      </c>
      <c r="C2447" t="s">
        <v>40</v>
      </c>
      <c r="D2447">
        <v>4.3944700000000001</v>
      </c>
      <c r="E2447">
        <v>0.43480269999999999</v>
      </c>
      <c r="F2447" t="s">
        <v>50</v>
      </c>
      <c r="G2447">
        <v>-489.19150000000002</v>
      </c>
      <c r="H2447" s="1">
        <v>1.2616900000000001E-6</v>
      </c>
      <c r="I2447">
        <v>273.3777</v>
      </c>
      <c r="J2447">
        <v>-482.20890000000003</v>
      </c>
      <c r="K2447">
        <v>1.1193139999999999</v>
      </c>
      <c r="L2447">
        <v>280.21839999999997</v>
      </c>
      <c r="M2447">
        <v>-0.91408730000000005</v>
      </c>
      <c r="N2447">
        <v>0</v>
      </c>
      <c r="O2447">
        <v>-0.40529939999999998</v>
      </c>
      <c r="P2447">
        <v>-0.8196909</v>
      </c>
      <c r="Q2447">
        <v>-1.568512E-2</v>
      </c>
      <c r="R2447">
        <v>-0.57259150000000003</v>
      </c>
      <c r="S2447">
        <v>-2.1800839999999999</v>
      </c>
      <c r="T2447">
        <v>-0.34251749999999997</v>
      </c>
      <c r="U2447">
        <v>-2.1140439999999998</v>
      </c>
      <c r="V2447">
        <v>-0.1910751</v>
      </c>
      <c r="W2447">
        <v>-7.2706589999999996E-3</v>
      </c>
      <c r="X2447">
        <v>0.98154850000000005</v>
      </c>
      <c r="Y2447">
        <v>-0.34564139999999999</v>
      </c>
      <c r="Z2447">
        <v>2.7232240000000001E-2</v>
      </c>
      <c r="AA2447">
        <v>0.93797140000000001</v>
      </c>
      <c r="AB2447">
        <v>32</v>
      </c>
      <c r="AC2447">
        <v>-6.9825999999999899</v>
      </c>
      <c r="AD2447">
        <v>-1.1193127383100001</v>
      </c>
      <c r="AE2447">
        <v>-6.8406999999999698</v>
      </c>
      <c r="AF2447">
        <v>-3.3789517625293501</v>
      </c>
      <c r="AG2447">
        <v>-1.1193127383100001</v>
      </c>
      <c r="AH2447">
        <v>9.0375481463907192</v>
      </c>
      <c r="AI2447">
        <v>96.617209529083794</v>
      </c>
      <c r="AJ2447">
        <v>110.499727287146</v>
      </c>
      <c r="AK2447">
        <v>9.7132616827703</v>
      </c>
      <c r="AL2447">
        <v>90.416581742338806</v>
      </c>
      <c r="AM2447">
        <v>101.01582717669</v>
      </c>
      <c r="AN2447">
        <v>1.0000000070872701</v>
      </c>
    </row>
    <row r="2448" spans="1:40" x14ac:dyDescent="0.25">
      <c r="A2448" t="str">
        <f>"20190312151545855"</f>
        <v>20190312151545855</v>
      </c>
      <c r="B2448" t="str">
        <f>"1552374945849986"</f>
        <v>1552374945849986</v>
      </c>
      <c r="C2448" t="s">
        <v>40</v>
      </c>
      <c r="D2448">
        <v>4.5061849999999897</v>
      </c>
      <c r="E2448">
        <v>0.43480269999999999</v>
      </c>
      <c r="F2448" t="s">
        <v>50</v>
      </c>
      <c r="G2448">
        <v>-486.98259999999999</v>
      </c>
      <c r="H2448" s="1">
        <v>1.645899E-6</v>
      </c>
      <c r="I2448">
        <v>275.42419999999998</v>
      </c>
      <c r="J2448">
        <v>-482.36840000000001</v>
      </c>
      <c r="K2448">
        <v>1.1194059999999999</v>
      </c>
      <c r="L2448">
        <v>280.14150000000001</v>
      </c>
      <c r="M2448">
        <v>-0.91138260000000004</v>
      </c>
      <c r="N2448">
        <v>0</v>
      </c>
      <c r="O2448">
        <v>-0.41134500000000002</v>
      </c>
      <c r="P2448">
        <v>-0.81571700000000003</v>
      </c>
      <c r="Q2448">
        <v>-1.622001E-2</v>
      </c>
      <c r="R2448">
        <v>-0.57822399999999996</v>
      </c>
      <c r="S2448">
        <v>-2.1452939999999998</v>
      </c>
      <c r="T2448">
        <v>-0.50301090000000004</v>
      </c>
      <c r="U2448">
        <v>-2.1544490000000001</v>
      </c>
      <c r="V2448">
        <v>-0.1913252</v>
      </c>
      <c r="W2448">
        <v>-7.8311259999999903E-3</v>
      </c>
      <c r="X2448">
        <v>0.98149540000000002</v>
      </c>
      <c r="Y2448">
        <v>-0.35603040000000002</v>
      </c>
      <c r="Z2448">
        <v>3.9992600000000003E-2</v>
      </c>
      <c r="AA2448">
        <v>0.93361819999999895</v>
      </c>
      <c r="AB2448">
        <v>32</v>
      </c>
      <c r="AC2448">
        <v>-4.6141999999999799</v>
      </c>
      <c r="AD2448">
        <v>-1.1194043541009999</v>
      </c>
      <c r="AE2448">
        <v>-4.7173000000000203</v>
      </c>
      <c r="AF2448">
        <v>-2.3342757888918801</v>
      </c>
      <c r="AG2448">
        <v>-1.1194043541009999</v>
      </c>
      <c r="AH2448">
        <v>5.9743583650208301</v>
      </c>
      <c r="AI2448">
        <v>99.899561622247006</v>
      </c>
      <c r="AJ2448">
        <v>111.341369383292</v>
      </c>
      <c r="AK2448">
        <v>6.5111341132157197</v>
      </c>
      <c r="AL2448">
        <v>90.448695082033595</v>
      </c>
      <c r="AM2448">
        <v>101.030474612399</v>
      </c>
      <c r="AN2448">
        <v>0.99999993945531196</v>
      </c>
    </row>
    <row r="2449" spans="1:40" x14ac:dyDescent="0.25">
      <c r="A2449" t="str">
        <f>"20190312151545867"</f>
        <v>20190312151545867</v>
      </c>
      <c r="B2449" t="str">
        <f>"1552374945859745"</f>
        <v>1552374945859745</v>
      </c>
      <c r="C2449" t="s">
        <v>40</v>
      </c>
      <c r="D2449">
        <v>4.4499079999999998</v>
      </c>
      <c r="E2449">
        <v>0.43563750000000001</v>
      </c>
      <c r="F2449" t="s">
        <v>50</v>
      </c>
      <c r="G2449">
        <v>-487.09660000000002</v>
      </c>
      <c r="H2449" s="1">
        <v>1.6388610000000001E-6</v>
      </c>
      <c r="I2449">
        <v>275.32679999999999</v>
      </c>
      <c r="J2449">
        <v>-482.53210000000001</v>
      </c>
      <c r="K2449">
        <v>1.1195010000000001</v>
      </c>
      <c r="L2449">
        <v>280.0609</v>
      </c>
      <c r="M2449">
        <v>-0.90851590000000004</v>
      </c>
      <c r="N2449">
        <v>0</v>
      </c>
      <c r="O2449">
        <v>-0.41763729999999899</v>
      </c>
      <c r="P2449">
        <v>-0.81149209999999905</v>
      </c>
      <c r="Q2449">
        <v>-1.6571249999999999E-2</v>
      </c>
      <c r="R2449">
        <v>-0.58412889999999995</v>
      </c>
      <c r="S2449">
        <v>-2.1301570000000001</v>
      </c>
      <c r="T2449">
        <v>-0.50431490000000001</v>
      </c>
      <c r="U2449">
        <v>-2.1691280000000002</v>
      </c>
      <c r="V2449">
        <v>-0.19165360000000001</v>
      </c>
      <c r="W2449">
        <v>-8.2102340000000003E-3</v>
      </c>
      <c r="X2449">
        <v>0.98142830000000003</v>
      </c>
      <c r="Y2449">
        <v>-0.35611429999999999</v>
      </c>
      <c r="Z2449">
        <v>4.1211079999999997E-2</v>
      </c>
      <c r="AA2449">
        <v>0.93353330000000001</v>
      </c>
      <c r="AB2449">
        <v>32</v>
      </c>
      <c r="AC2449">
        <v>-4.5644999999999998</v>
      </c>
      <c r="AD2449">
        <v>-1.1194993611390001</v>
      </c>
      <c r="AE2449">
        <v>-4.7341000000000104</v>
      </c>
      <c r="AF2449">
        <v>-2.3274629238570101</v>
      </c>
      <c r="AG2449">
        <v>-1.1194993611390001</v>
      </c>
      <c r="AH2449">
        <v>5.9521104597055299</v>
      </c>
      <c r="AI2449">
        <v>99.935612026357205</v>
      </c>
      <c r="AJ2449">
        <v>111.357065872408</v>
      </c>
      <c r="AK2449">
        <v>6.4882957243066199</v>
      </c>
      <c r="AL2449">
        <v>90.470417037767504</v>
      </c>
      <c r="AM2449">
        <v>101.04967916123501</v>
      </c>
      <c r="AN2449">
        <v>1.0000000091880901</v>
      </c>
    </row>
    <row r="2450" spans="1:40" x14ac:dyDescent="0.25">
      <c r="A2450" t="str">
        <f>"20190312151545881"</f>
        <v>20190312151545881</v>
      </c>
      <c r="B2450" t="str">
        <f>"1552374945869506"</f>
        <v>1552374945869506</v>
      </c>
      <c r="C2450" t="s">
        <v>40</v>
      </c>
      <c r="D2450">
        <v>4.4465199999999996</v>
      </c>
      <c r="E2450">
        <v>0.43616060000000001</v>
      </c>
      <c r="F2450" t="s">
        <v>50</v>
      </c>
      <c r="G2450">
        <v>-487.10390000000001</v>
      </c>
      <c r="H2450" s="1">
        <v>1.6444150000000001E-6</v>
      </c>
      <c r="I2450">
        <v>275.35469999999998</v>
      </c>
      <c r="J2450">
        <v>-482.697</v>
      </c>
      <c r="K2450">
        <v>1.11959599999999</v>
      </c>
      <c r="L2450">
        <v>279.97820000000002</v>
      </c>
      <c r="M2450">
        <v>-0.90554369999999995</v>
      </c>
      <c r="N2450">
        <v>0</v>
      </c>
      <c r="O2450">
        <v>-0.42404219999999998</v>
      </c>
      <c r="P2450">
        <v>-0.80727280000000001</v>
      </c>
      <c r="Q2450">
        <v>-1.6826509999999999E-2</v>
      </c>
      <c r="R2450">
        <v>-0.58993859999999998</v>
      </c>
      <c r="S2450">
        <v>-2.1173709999999999</v>
      </c>
      <c r="T2450">
        <v>-0.51848609999999995</v>
      </c>
      <c r="U2450">
        <v>-2.1796259999999998</v>
      </c>
      <c r="V2450">
        <v>-0.19176270000000001</v>
      </c>
      <c r="W2450">
        <v>-8.4868689999999993E-3</v>
      </c>
      <c r="X2450">
        <v>0.98140459999999996</v>
      </c>
      <c r="Y2450">
        <v>-0.3546975</v>
      </c>
      <c r="Z2450">
        <v>4.3663929999999997E-2</v>
      </c>
      <c r="AA2450">
        <v>0.93396100000000004</v>
      </c>
      <c r="AB2450">
        <v>32</v>
      </c>
      <c r="AC2450">
        <v>-4.4069000000000598</v>
      </c>
      <c r="AD2450">
        <v>-1.1195943555850001</v>
      </c>
      <c r="AE2450">
        <v>-4.6235000000000301</v>
      </c>
      <c r="AF2450">
        <v>-2.2491718829060998</v>
      </c>
      <c r="AG2450">
        <v>-1.1195943555850001</v>
      </c>
      <c r="AH2450">
        <v>5.7743176395039697</v>
      </c>
      <c r="AI2450">
        <v>100.241163364908</v>
      </c>
      <c r="AJ2450">
        <v>111.28156116411201</v>
      </c>
      <c r="AK2450">
        <v>6.2972223941829997</v>
      </c>
      <c r="AL2450">
        <v>90.486267624904997</v>
      </c>
      <c r="AM2450">
        <v>101.056074733985</v>
      </c>
      <c r="AN2450">
        <v>0.99999997447893596</v>
      </c>
    </row>
    <row r="2451" spans="1:40" x14ac:dyDescent="0.25">
      <c r="A2451" t="str">
        <f>"20190312151545895"</f>
        <v>20190312151545895</v>
      </c>
      <c r="B2451" t="str">
        <f>"1552374945890001"</f>
        <v>1552374945890001</v>
      </c>
      <c r="C2451" t="s">
        <v>40</v>
      </c>
      <c r="D2451">
        <v>4.3678540000000003</v>
      </c>
      <c r="E2451">
        <v>0.43683230000000001</v>
      </c>
      <c r="F2451" t="s">
        <v>50</v>
      </c>
      <c r="G2451">
        <v>-487.23570000000001</v>
      </c>
      <c r="H2451" s="1">
        <v>1.637675E-6</v>
      </c>
      <c r="I2451">
        <v>275.25009999999997</v>
      </c>
      <c r="J2451">
        <v>-482.88029999999998</v>
      </c>
      <c r="K2451">
        <v>1.119704</v>
      </c>
      <c r="L2451">
        <v>279.88490000000002</v>
      </c>
      <c r="M2451">
        <v>-0.90214879999999997</v>
      </c>
      <c r="N2451">
        <v>0</v>
      </c>
      <c r="O2451">
        <v>-0.43121700000000002</v>
      </c>
      <c r="P2451">
        <v>-0.80243120000000001</v>
      </c>
      <c r="Q2451">
        <v>-1.6911099999999998E-2</v>
      </c>
      <c r="R2451">
        <v>-0.59650550000000002</v>
      </c>
      <c r="S2451">
        <v>-2.1038209999999999</v>
      </c>
      <c r="T2451">
        <v>-0.5189705</v>
      </c>
      <c r="U2451">
        <v>-2.1916500000000001</v>
      </c>
      <c r="V2451">
        <v>-0.19197629999999999</v>
      </c>
      <c r="W2451">
        <v>-8.5977060000000001E-3</v>
      </c>
      <c r="X2451">
        <v>0.98136190000000001</v>
      </c>
      <c r="Y2451">
        <v>-0.35294399999999998</v>
      </c>
      <c r="Z2451">
        <v>4.5181100000000002E-2</v>
      </c>
      <c r="AA2451">
        <v>0.93455299999999997</v>
      </c>
      <c r="AB2451">
        <v>32</v>
      </c>
      <c r="AC2451">
        <v>-4.3554000000000297</v>
      </c>
      <c r="AD2451">
        <v>-1.119702362325</v>
      </c>
      <c r="AE2451">
        <v>-4.6348000000000402</v>
      </c>
      <c r="AF2451">
        <v>-2.2341191816833601</v>
      </c>
      <c r="AG2451">
        <v>-1.119702362325</v>
      </c>
      <c r="AH2451">
        <v>5.7501358168546597</v>
      </c>
      <c r="AI2451">
        <v>100.287618026651</v>
      </c>
      <c r="AJ2451">
        <v>111.23280553978</v>
      </c>
      <c r="AK2451">
        <v>6.2696956712775496</v>
      </c>
      <c r="AL2451">
        <v>90.492618336750496</v>
      </c>
      <c r="AM2451">
        <v>101.06855559930101</v>
      </c>
      <c r="AN2451">
        <v>0.99999999954088103</v>
      </c>
    </row>
    <row r="2452" spans="1:40" x14ac:dyDescent="0.25">
      <c r="A2452" t="str">
        <f>"20190312151545908"</f>
        <v>20190312151545908</v>
      </c>
      <c r="B2452" t="str">
        <f>"1552374945899761"</f>
        <v>1552374945899761</v>
      </c>
      <c r="C2452" t="s">
        <v>40</v>
      </c>
      <c r="D2452">
        <v>4.3728350000000002</v>
      </c>
      <c r="E2452">
        <v>0.44333610000000001</v>
      </c>
      <c r="F2452" t="s">
        <v>50</v>
      </c>
      <c r="G2452">
        <v>-487.35250000000002</v>
      </c>
      <c r="H2452" s="1">
        <v>1.6332150000000001E-6</v>
      </c>
      <c r="I2452">
        <v>275.166</v>
      </c>
      <c r="J2452">
        <v>-483.04399999999998</v>
      </c>
      <c r="K2452">
        <v>1.119799</v>
      </c>
      <c r="L2452">
        <v>279.7996</v>
      </c>
      <c r="M2452">
        <v>-0.8990148</v>
      </c>
      <c r="N2452">
        <v>0</v>
      </c>
      <c r="O2452">
        <v>-0.43771270000000001</v>
      </c>
      <c r="P2452">
        <v>-0.797763</v>
      </c>
      <c r="Q2452">
        <v>-1.7402790000000001E-2</v>
      </c>
      <c r="R2452">
        <v>-0.60272040000000005</v>
      </c>
      <c r="S2452">
        <v>-2.0889890000000002</v>
      </c>
      <c r="T2452">
        <v>-0.52302479999999996</v>
      </c>
      <c r="U2452">
        <v>-2.2042540000000002</v>
      </c>
      <c r="V2452">
        <v>-0.19251070000000001</v>
      </c>
      <c r="W2452">
        <v>-9.1227430000000009E-3</v>
      </c>
      <c r="X2452">
        <v>0.98125240000000002</v>
      </c>
      <c r="Y2452">
        <v>-0.35226950000000001</v>
      </c>
      <c r="Z2452">
        <v>4.6805960000000001E-2</v>
      </c>
      <c r="AA2452">
        <v>0.93472739999999999</v>
      </c>
      <c r="AB2452">
        <v>32</v>
      </c>
      <c r="AC2452">
        <v>-4.30849999999998</v>
      </c>
      <c r="AD2452">
        <v>-1.1197973667849901</v>
      </c>
      <c r="AE2452">
        <v>-4.6336000000000004</v>
      </c>
      <c r="AF2452">
        <v>-2.2107488544677101</v>
      </c>
      <c r="AG2452">
        <v>-1.1197973667849901</v>
      </c>
      <c r="AH2452">
        <v>5.7228675727632101</v>
      </c>
      <c r="AI2452">
        <v>100.34404842078899</v>
      </c>
      <c r="AJ2452">
        <v>111.121591092259</v>
      </c>
      <c r="AK2452">
        <v>6.2363907747649598</v>
      </c>
      <c r="AL2452">
        <v>90.522701956791494</v>
      </c>
      <c r="AM2452">
        <v>101.09981068363</v>
      </c>
      <c r="AN2452">
        <v>0.999999933280044</v>
      </c>
    </row>
    <row r="2453" spans="1:40" x14ac:dyDescent="0.25">
      <c r="A2453" t="str">
        <f>"20190312151545923"</f>
        <v>20190312151545923</v>
      </c>
      <c r="B2453" t="str">
        <f>"1552374945920257"</f>
        <v>1552374945920257</v>
      </c>
      <c r="C2453" t="s">
        <v>40</v>
      </c>
      <c r="D2453">
        <v>4.32864</v>
      </c>
      <c r="E2453">
        <v>0.44463540000000001</v>
      </c>
      <c r="F2453" t="s">
        <v>50</v>
      </c>
      <c r="G2453">
        <v>-490.1703</v>
      </c>
      <c r="H2453" s="1">
        <v>1.0030810000000001E-6</v>
      </c>
      <c r="I2453">
        <v>272.45389999999998</v>
      </c>
      <c r="J2453">
        <v>-483.22250000000003</v>
      </c>
      <c r="K2453">
        <v>1.119904</v>
      </c>
      <c r="L2453">
        <v>279.7047</v>
      </c>
      <c r="M2453">
        <v>-0.89549239999999997</v>
      </c>
      <c r="N2453">
        <v>0</v>
      </c>
      <c r="O2453">
        <v>-0.44487349999999998</v>
      </c>
      <c r="P2453">
        <v>-0.79284250000000001</v>
      </c>
      <c r="Q2453">
        <v>-1.7748239999999998E-2</v>
      </c>
      <c r="R2453">
        <v>-0.60916819999999905</v>
      </c>
      <c r="S2453">
        <v>-2.1100460000000001</v>
      </c>
      <c r="T2453">
        <v>-0.33156229999999998</v>
      </c>
      <c r="U2453">
        <v>-2.1749879999999999</v>
      </c>
      <c r="V2453">
        <v>-0.19262799999999999</v>
      </c>
      <c r="W2453">
        <v>-9.4908760000000005E-3</v>
      </c>
      <c r="X2453">
        <v>0.98122600000000004</v>
      </c>
      <c r="Y2453">
        <v>-0.3334491</v>
      </c>
      <c r="Z2453">
        <v>3.1748129999999999E-2</v>
      </c>
      <c r="AA2453">
        <v>0.9422334</v>
      </c>
      <c r="AB2453">
        <v>32</v>
      </c>
      <c r="AC2453">
        <v>-6.9477999999999698</v>
      </c>
      <c r="AD2453">
        <v>-1.119902996919</v>
      </c>
      <c r="AE2453">
        <v>-7.2508000000000203</v>
      </c>
      <c r="AF2453">
        <v>-3.3606568288410199</v>
      </c>
      <c r="AG2453">
        <v>-1.119902996919</v>
      </c>
      <c r="AH2453">
        <v>9.3321849001223693</v>
      </c>
      <c r="AI2453">
        <v>96.441784008970004</v>
      </c>
      <c r="AJ2453">
        <v>109.80469323285701</v>
      </c>
      <c r="AK2453">
        <v>9.9818771808621207</v>
      </c>
      <c r="AL2453">
        <v>90.543795279339093</v>
      </c>
      <c r="AM2453">
        <v>101.106697270034</v>
      </c>
      <c r="AN2453">
        <v>1.00000004309362</v>
      </c>
    </row>
    <row r="2454" spans="1:40" x14ac:dyDescent="0.25">
      <c r="A2454" t="str">
        <f>"20190312151545937"</f>
        <v>20190312151545937</v>
      </c>
      <c r="B2454" t="str">
        <f>"1552374945930018"</f>
        <v>1552374945930018</v>
      </c>
      <c r="C2454" t="s">
        <v>40</v>
      </c>
      <c r="D2454">
        <v>4.3602270000000001</v>
      </c>
      <c r="E2454">
        <v>0.44538450000000002</v>
      </c>
      <c r="F2454" t="s">
        <v>50</v>
      </c>
      <c r="G2454">
        <v>-490.1866</v>
      </c>
      <c r="H2454" s="1">
        <v>1.0043690000000001E-6</v>
      </c>
      <c r="I2454">
        <v>272.45760000000001</v>
      </c>
      <c r="J2454">
        <v>-483.40719999999999</v>
      </c>
      <c r="K2454">
        <v>1.120009</v>
      </c>
      <c r="L2454">
        <v>279.60489999999999</v>
      </c>
      <c r="M2454">
        <v>-0.89173829999999998</v>
      </c>
      <c r="N2454">
        <v>0</v>
      </c>
      <c r="O2454">
        <v>-0.45235049999999999</v>
      </c>
      <c r="P2454">
        <v>-0.78748660000000004</v>
      </c>
      <c r="Q2454">
        <v>-1.7953159999999999E-2</v>
      </c>
      <c r="R2454">
        <v>-0.61607049999999997</v>
      </c>
      <c r="S2454">
        <v>-2.0984500000000001</v>
      </c>
      <c r="T2454">
        <v>-0.33745340000000001</v>
      </c>
      <c r="U2454">
        <v>-2.1837460000000002</v>
      </c>
      <c r="V2454">
        <v>-0.19298409999999999</v>
      </c>
      <c r="W2454">
        <v>-9.7261840000000006E-3</v>
      </c>
      <c r="X2454">
        <v>0.98115370000000002</v>
      </c>
      <c r="Y2454">
        <v>-0.3301152</v>
      </c>
      <c r="Z2454">
        <v>3.340746E-2</v>
      </c>
      <c r="AA2454">
        <v>0.94334929999999995</v>
      </c>
      <c r="AB2454">
        <v>32</v>
      </c>
      <c r="AC2454">
        <v>-6.7794000000000096</v>
      </c>
      <c r="AD2454">
        <v>-1.1200079956309901</v>
      </c>
      <c r="AE2454">
        <v>-7.1472999999999702</v>
      </c>
      <c r="AF2454">
        <v>-3.2649532257565999</v>
      </c>
      <c r="AG2454">
        <v>-1.1200079956309901</v>
      </c>
      <c r="AH2454">
        <v>9.1609620673454799</v>
      </c>
      <c r="AI2454">
        <v>96.569432686025394</v>
      </c>
      <c r="AJ2454">
        <v>109.615991593952</v>
      </c>
      <c r="AK2454">
        <v>9.7896661575356401</v>
      </c>
      <c r="AL2454">
        <v>90.5572780680873</v>
      </c>
      <c r="AM2454">
        <v>101.127517130817</v>
      </c>
      <c r="AN2454">
        <v>1.0000000222658501</v>
      </c>
    </row>
    <row r="2455" spans="1:40" x14ac:dyDescent="0.25">
      <c r="A2455" t="str">
        <f>"20190312151545950"</f>
        <v>20190312151545950</v>
      </c>
      <c r="B2455" t="str">
        <f>"1552374945939478"</f>
        <v>1552374945939478</v>
      </c>
      <c r="C2455" t="s">
        <v>40</v>
      </c>
      <c r="D2455">
        <v>4.3463659999999997</v>
      </c>
      <c r="E2455">
        <v>0.44608969999999998</v>
      </c>
      <c r="F2455" t="s">
        <v>50</v>
      </c>
      <c r="G2455">
        <v>-490.2355</v>
      </c>
      <c r="H2455" s="1">
        <v>9.8387700000000002E-7</v>
      </c>
      <c r="I2455">
        <v>272.39960000000002</v>
      </c>
      <c r="J2455">
        <v>-483.56689999999998</v>
      </c>
      <c r="K2455">
        <v>1.120099</v>
      </c>
      <c r="L2455">
        <v>279.51679999999999</v>
      </c>
      <c r="M2455">
        <v>-0.88839480000000004</v>
      </c>
      <c r="N2455">
        <v>0</v>
      </c>
      <c r="O2455">
        <v>-0.45888119999999999</v>
      </c>
      <c r="P2455">
        <v>-0.78287259999999903</v>
      </c>
      <c r="Q2455">
        <v>-1.8069910000000002E-2</v>
      </c>
      <c r="R2455">
        <v>-0.62191960000000002</v>
      </c>
      <c r="S2455">
        <v>-2.082611</v>
      </c>
      <c r="T2455">
        <v>-0.34159719999999999</v>
      </c>
      <c r="U2455">
        <v>-2.1975709999999999</v>
      </c>
      <c r="V2455">
        <v>-0.19309009999999999</v>
      </c>
      <c r="W2455">
        <v>-9.8639339999999995E-3</v>
      </c>
      <c r="X2455">
        <v>0.98113139999999999</v>
      </c>
      <c r="Y2455">
        <v>-0.329779299999999</v>
      </c>
      <c r="Z2455">
        <v>3.464035E-2</v>
      </c>
      <c r="AA2455">
        <v>0.94342230000000005</v>
      </c>
      <c r="AB2455">
        <v>32</v>
      </c>
      <c r="AC2455">
        <v>-6.6686000000000201</v>
      </c>
      <c r="AD2455">
        <v>-1.1200980161230001</v>
      </c>
      <c r="AE2455">
        <v>-7.1171999999999596</v>
      </c>
      <c r="AF2455">
        <v>-3.2206091748695602</v>
      </c>
      <c r="AG2455">
        <v>-1.1200980161230001</v>
      </c>
      <c r="AH2455">
        <v>9.0714928582595196</v>
      </c>
      <c r="AI2455">
        <v>96.637030247139094</v>
      </c>
      <c r="AJ2455">
        <v>109.546147987105</v>
      </c>
      <c r="AK2455">
        <v>9.6911777251493199</v>
      </c>
      <c r="AL2455">
        <v>90.5651709787778</v>
      </c>
      <c r="AM2455">
        <v>101.133723193828</v>
      </c>
      <c r="AN2455">
        <v>0.99999995398896202</v>
      </c>
    </row>
    <row r="2456" spans="1:40" x14ac:dyDescent="0.25">
      <c r="A2456" t="str">
        <f>"20190312151545964"</f>
        <v>20190312151545964</v>
      </c>
      <c r="B2456" t="str">
        <f>"1552374945959974"</f>
        <v>1552374945959974</v>
      </c>
      <c r="C2456" t="s">
        <v>40</v>
      </c>
      <c r="D2456">
        <v>4.3283180000000003</v>
      </c>
      <c r="E2456">
        <v>0.45370460000000001</v>
      </c>
      <c r="F2456" t="s">
        <v>50</v>
      </c>
      <c r="G2456">
        <v>-490.30399999999997</v>
      </c>
      <c r="H2456" s="1">
        <v>9.5800830000000001E-7</v>
      </c>
      <c r="I2456">
        <v>272.32639999999998</v>
      </c>
      <c r="J2456">
        <v>-483.74310000000003</v>
      </c>
      <c r="K2456">
        <v>1.1202030000000001</v>
      </c>
      <c r="L2456">
        <v>279.41739999999999</v>
      </c>
      <c r="M2456">
        <v>-0.88458219999999999</v>
      </c>
      <c r="N2456">
        <v>0</v>
      </c>
      <c r="O2456">
        <v>-0.46618739999999997</v>
      </c>
      <c r="P2456">
        <v>-0.77736090000000002</v>
      </c>
      <c r="Q2456">
        <v>-1.881184E-2</v>
      </c>
      <c r="R2456">
        <v>-0.62877349999999999</v>
      </c>
      <c r="S2456">
        <v>-2.0694889999999999</v>
      </c>
      <c r="T2456">
        <v>-0.34406439999999999</v>
      </c>
      <c r="U2456">
        <v>-2.20871</v>
      </c>
      <c r="V2456">
        <v>-0.19361010000000001</v>
      </c>
      <c r="W2456">
        <v>-1.0640139999999999E-2</v>
      </c>
      <c r="X2456">
        <v>0.98102089999999997</v>
      </c>
      <c r="Y2456">
        <v>-0.32741130000000002</v>
      </c>
      <c r="Z2456">
        <v>3.5927599999999997E-2</v>
      </c>
      <c r="AA2456">
        <v>0.9441986</v>
      </c>
      <c r="AB2456">
        <v>32</v>
      </c>
      <c r="AC2456">
        <v>-6.5609000000000002</v>
      </c>
      <c r="AD2456">
        <v>-1.1202020419917</v>
      </c>
      <c r="AE2456">
        <v>-7.0910000000000002</v>
      </c>
      <c r="AF2456">
        <v>-3.1716141601181</v>
      </c>
      <c r="AG2456">
        <v>-1.1202020419917</v>
      </c>
      <c r="AH2456">
        <v>8.9893588617000297</v>
      </c>
      <c r="AI2456">
        <v>96.702347051458801</v>
      </c>
      <c r="AJ2456">
        <v>109.433795946139</v>
      </c>
      <c r="AK2456">
        <v>9.5980498925546804</v>
      </c>
      <c r="AL2456">
        <v>90.609646591750206</v>
      </c>
      <c r="AM2456">
        <v>101.164180527916</v>
      </c>
      <c r="AN2456">
        <v>1.0000000448190101</v>
      </c>
    </row>
    <row r="2457" spans="1:40" x14ac:dyDescent="0.25">
      <c r="A2457" t="str">
        <f>"20190312151545978"</f>
        <v>20190312151545978</v>
      </c>
      <c r="B2457" t="str">
        <f>"1552374945969734"</f>
        <v>1552374945969734</v>
      </c>
      <c r="C2457" t="s">
        <v>40</v>
      </c>
      <c r="D2457">
        <v>4.3688880000000001</v>
      </c>
      <c r="E2457">
        <v>0.45318770000000003</v>
      </c>
      <c r="F2457" t="s">
        <v>50</v>
      </c>
      <c r="G2457">
        <v>-491.02539999999999</v>
      </c>
      <c r="H2457" s="1">
        <v>7.7898840000000004E-7</v>
      </c>
      <c r="I2457">
        <v>271.82</v>
      </c>
      <c r="J2457">
        <v>-483.90609999999998</v>
      </c>
      <c r="K2457">
        <v>1.1202970000000001</v>
      </c>
      <c r="L2457">
        <v>279.32409999999999</v>
      </c>
      <c r="M2457">
        <v>-0.88096049999999904</v>
      </c>
      <c r="N2457">
        <v>0</v>
      </c>
      <c r="O2457">
        <v>-0.4729952</v>
      </c>
      <c r="P2457">
        <v>-0.77234440000000004</v>
      </c>
      <c r="Q2457">
        <v>-1.881085E-2</v>
      </c>
      <c r="R2457">
        <v>-0.63492590000000004</v>
      </c>
      <c r="S2457">
        <v>-2.0887760000000002</v>
      </c>
      <c r="T2457">
        <v>-0.32130740000000002</v>
      </c>
      <c r="U2457">
        <v>-2.1791689999999999</v>
      </c>
      <c r="V2457">
        <v>-0.1938318</v>
      </c>
      <c r="W2457">
        <v>-1.0663590000000001E-2</v>
      </c>
      <c r="X2457">
        <v>0.98097679999999998</v>
      </c>
      <c r="Y2457">
        <v>-0.30937680000000001</v>
      </c>
      <c r="Z2457">
        <v>3.5357020000000003E-2</v>
      </c>
      <c r="AA2457">
        <v>0.95028199999999996</v>
      </c>
      <c r="AB2457">
        <v>32</v>
      </c>
      <c r="AC2457">
        <v>-7.1193000000000097</v>
      </c>
      <c r="AD2457">
        <v>-1.1202962210116001</v>
      </c>
      <c r="AE2457">
        <v>-7.5040999999999896</v>
      </c>
      <c r="AF2457">
        <v>-3.2061118942078202</v>
      </c>
      <c r="AG2457">
        <v>-1.1202962210116001</v>
      </c>
      <c r="AH2457">
        <v>9.7082518271836094</v>
      </c>
      <c r="AI2457">
        <v>96.253271449780996</v>
      </c>
      <c r="AJ2457">
        <v>108.27560257801299</v>
      </c>
      <c r="AK2457">
        <v>10.285152922587301</v>
      </c>
      <c r="AL2457">
        <v>90.610990293254702</v>
      </c>
      <c r="AM2457">
        <v>101.17713259319299</v>
      </c>
      <c r="AN2457">
        <v>0.99999998049058303</v>
      </c>
    </row>
    <row r="2458" spans="1:40" x14ac:dyDescent="0.25">
      <c r="A2458" t="str">
        <f>"20190312151545995"</f>
        <v>20190312151545995</v>
      </c>
      <c r="B2458" t="str">
        <f>"1552374945990230"</f>
        <v>1552374945990230</v>
      </c>
      <c r="C2458" t="s">
        <v>40</v>
      </c>
      <c r="D2458">
        <v>4.3791000000000002</v>
      </c>
      <c r="E2458">
        <v>0.45329380000000002</v>
      </c>
      <c r="F2458" t="s">
        <v>50</v>
      </c>
      <c r="G2458">
        <v>-490.84899999999999</v>
      </c>
      <c r="H2458" s="1">
        <v>8.222283E-7</v>
      </c>
      <c r="I2458">
        <v>271.94229999999999</v>
      </c>
      <c r="J2458">
        <v>-484.10120000000001</v>
      </c>
      <c r="K2458">
        <v>1.1204130000000001</v>
      </c>
      <c r="L2458">
        <v>279.21019999999999</v>
      </c>
      <c r="M2458">
        <v>-0.8764923</v>
      </c>
      <c r="N2458">
        <v>0</v>
      </c>
      <c r="O2458">
        <v>-0.48122369999999998</v>
      </c>
      <c r="P2458">
        <v>-0.76630410000000004</v>
      </c>
      <c r="Q2458">
        <v>-1.9207749999999999E-2</v>
      </c>
      <c r="R2458">
        <v>-0.64219110000000001</v>
      </c>
      <c r="S2458">
        <v>-2.0683289999999999</v>
      </c>
      <c r="T2458">
        <v>-0.33374239999999999</v>
      </c>
      <c r="U2458">
        <v>-2.1990660000000002</v>
      </c>
      <c r="V2458">
        <v>-0.1939015</v>
      </c>
      <c r="W2458">
        <v>-1.1085009999999999E-2</v>
      </c>
      <c r="X2458">
        <v>0.98095840000000001</v>
      </c>
      <c r="Y2458">
        <v>-0.30954169999999998</v>
      </c>
      <c r="Z2458">
        <v>3.7685860000000002E-2</v>
      </c>
      <c r="AA2458">
        <v>0.95013879999999995</v>
      </c>
      <c r="AB2458">
        <v>32</v>
      </c>
      <c r="AC2458">
        <v>-6.7477999999999803</v>
      </c>
      <c r="AD2458">
        <v>-1.1204121777717</v>
      </c>
      <c r="AE2458">
        <v>-7.2678999999999903</v>
      </c>
      <c r="AF2458">
        <v>-3.0839846167781002</v>
      </c>
      <c r="AG2458">
        <v>-1.1204121777717</v>
      </c>
      <c r="AH2458">
        <v>9.2941286753881798</v>
      </c>
      <c r="AI2458">
        <v>96.527175428079502</v>
      </c>
      <c r="AJ2458">
        <v>108.356914557587</v>
      </c>
      <c r="AK2458">
        <v>9.8563234727405291</v>
      </c>
      <c r="AL2458">
        <v>90.635137280242205</v>
      </c>
      <c r="AM2458">
        <v>101.181254972899</v>
      </c>
      <c r="AN2458">
        <v>1.0000000258397499</v>
      </c>
    </row>
    <row r="2459" spans="1:40" x14ac:dyDescent="0.25">
      <c r="A2459" t="str">
        <f>"20190312151546009"</f>
        <v>20190312151546009</v>
      </c>
      <c r="B2459" t="str">
        <f>"1552374945999990"</f>
        <v>1552374945999990</v>
      </c>
      <c r="C2459" t="s">
        <v>40</v>
      </c>
      <c r="D2459">
        <v>4.3488249999999997</v>
      </c>
      <c r="E2459">
        <v>0.45362340000000001</v>
      </c>
      <c r="F2459" t="s">
        <v>50</v>
      </c>
      <c r="G2459">
        <v>-490.67619999999999</v>
      </c>
      <c r="H2459" s="1">
        <v>8.7338840000000003E-7</v>
      </c>
      <c r="I2459">
        <v>272.08699999999999</v>
      </c>
      <c r="J2459">
        <v>-484.2885</v>
      </c>
      <c r="K2459">
        <v>1.120517</v>
      </c>
      <c r="L2459">
        <v>279.09789999999998</v>
      </c>
      <c r="M2459">
        <v>-0.87204139999999997</v>
      </c>
      <c r="N2459">
        <v>0</v>
      </c>
      <c r="O2459">
        <v>-0.48924200000000001</v>
      </c>
      <c r="P2459">
        <v>-0.76022639999999997</v>
      </c>
      <c r="Q2459">
        <v>-1.9492510000000001E-2</v>
      </c>
      <c r="R2459">
        <v>-0.64936609999999995</v>
      </c>
      <c r="S2459">
        <v>-2.0473330000000001</v>
      </c>
      <c r="T2459">
        <v>-0.34887610000000002</v>
      </c>
      <c r="U2459">
        <v>-2.2180179999999998</v>
      </c>
      <c r="V2459">
        <v>-0.19411929999999999</v>
      </c>
      <c r="W2459">
        <v>-1.1396689999999999E-2</v>
      </c>
      <c r="X2459">
        <v>0.98091170000000005</v>
      </c>
      <c r="Y2459">
        <v>-0.30982969999999999</v>
      </c>
      <c r="Z2459">
        <v>4.0374319999999998E-2</v>
      </c>
      <c r="AA2459">
        <v>0.94993450000000001</v>
      </c>
      <c r="AB2459">
        <v>32</v>
      </c>
      <c r="AC2459">
        <v>-6.3876999999999899</v>
      </c>
      <c r="AD2459">
        <v>-1.1205161266115999</v>
      </c>
      <c r="AE2459">
        <v>-7.0108999999999897</v>
      </c>
      <c r="AF2459">
        <v>-2.9477980007918299</v>
      </c>
      <c r="AG2459">
        <v>-1.1205161266115999</v>
      </c>
      <c r="AH2459">
        <v>8.8772977921974707</v>
      </c>
      <c r="AI2459">
        <v>96.830968249984394</v>
      </c>
      <c r="AJ2459">
        <v>108.369277305567</v>
      </c>
      <c r="AK2459">
        <v>9.4208006843804402</v>
      </c>
      <c r="AL2459">
        <v>90.652996389832495</v>
      </c>
      <c r="AM2459">
        <v>101.194016810847</v>
      </c>
      <c r="AN2459">
        <v>0.99999997518616701</v>
      </c>
    </row>
    <row r="2460" spans="1:40" x14ac:dyDescent="0.25">
      <c r="A2460" t="str">
        <f>"20190312151546021"</f>
        <v>20190312151546021</v>
      </c>
      <c r="B2460" t="str">
        <f>"1552374946009751"</f>
        <v>1552374946009751</v>
      </c>
      <c r="C2460" t="s">
        <v>40</v>
      </c>
      <c r="D2460">
        <v>4.3422559999999999</v>
      </c>
      <c r="E2460">
        <v>0.45371489999999998</v>
      </c>
      <c r="F2460" t="s">
        <v>50</v>
      </c>
      <c r="G2460">
        <v>-490.79680000000002</v>
      </c>
      <c r="H2460" s="1">
        <v>8.1679139999999999E-7</v>
      </c>
      <c r="I2460">
        <v>271.92689999999999</v>
      </c>
      <c r="J2460">
        <v>-484.43610000000001</v>
      </c>
      <c r="K2460">
        <v>1.1206020000000001</v>
      </c>
      <c r="L2460">
        <v>279.0077</v>
      </c>
      <c r="M2460">
        <v>-0.86843139999999996</v>
      </c>
      <c r="N2460">
        <v>0</v>
      </c>
      <c r="O2460">
        <v>-0.49562119999999998</v>
      </c>
      <c r="P2460">
        <v>-0.75492479999999995</v>
      </c>
      <c r="Q2460">
        <v>-1.9958190000000001E-2</v>
      </c>
      <c r="R2460">
        <v>-0.65550790000000003</v>
      </c>
      <c r="S2460">
        <v>-2.0282900000000001</v>
      </c>
      <c r="T2460">
        <v>-0.3492075</v>
      </c>
      <c r="U2460">
        <v>-2.2348330000000001</v>
      </c>
      <c r="V2460">
        <v>-0.19487160000000001</v>
      </c>
      <c r="W2460">
        <v>-1.190071E-2</v>
      </c>
      <c r="X2460">
        <v>0.98075659999999998</v>
      </c>
      <c r="Y2460">
        <v>-0.31088259999999901</v>
      </c>
      <c r="Z2460">
        <v>4.1161759999999999E-2</v>
      </c>
      <c r="AA2460">
        <v>0.94955659999999997</v>
      </c>
      <c r="AB2460">
        <v>32</v>
      </c>
      <c r="AC2460">
        <v>-6.3606999999999996</v>
      </c>
      <c r="AD2460">
        <v>-1.1206011832086</v>
      </c>
      <c r="AE2460">
        <v>-7.0808000000000098</v>
      </c>
      <c r="AF2460">
        <v>-2.9559979680245698</v>
      </c>
      <c r="AG2460">
        <v>-1.1206011832086</v>
      </c>
      <c r="AH2460">
        <v>8.9105602486927999</v>
      </c>
      <c r="AI2460">
        <v>96.806863800967804</v>
      </c>
      <c r="AJ2460">
        <v>108.352797899362</v>
      </c>
      <c r="AK2460">
        <v>9.45472130442554</v>
      </c>
      <c r="AL2460">
        <v>90.681876526344496</v>
      </c>
      <c r="AM2460">
        <v>101.238028685454</v>
      </c>
      <c r="AN2460">
        <v>1.0000000379143099</v>
      </c>
    </row>
    <row r="2461" spans="1:40" x14ac:dyDescent="0.25">
      <c r="A2461" t="str">
        <f>"20190312151546034"</f>
        <v>20190312151546034</v>
      </c>
      <c r="B2461" t="str">
        <f>"1552374946030246"</f>
        <v>1552374946030246</v>
      </c>
      <c r="C2461" t="s">
        <v>40</v>
      </c>
      <c r="D2461">
        <v>4.4362789999999999</v>
      </c>
      <c r="E2461">
        <v>0.43435309999999999</v>
      </c>
      <c r="F2461" t="s">
        <v>50</v>
      </c>
      <c r="G2461">
        <v>-490.82639999999998</v>
      </c>
      <c r="H2461" s="1">
        <v>7.9095169999999899E-7</v>
      </c>
      <c r="I2461">
        <v>271.85379999999998</v>
      </c>
      <c r="J2461">
        <v>-484.57940000000002</v>
      </c>
      <c r="K2461">
        <v>1.120682</v>
      </c>
      <c r="L2461">
        <v>278.91930000000002</v>
      </c>
      <c r="M2461">
        <v>-0.86485619999999996</v>
      </c>
      <c r="N2461">
        <v>0</v>
      </c>
      <c r="O2461">
        <v>-0.50183310000000003</v>
      </c>
      <c r="P2461">
        <v>-0.75005889999999997</v>
      </c>
      <c r="Q2461">
        <v>-2.0030369999999999E-2</v>
      </c>
      <c r="R2461">
        <v>-0.66106769999999904</v>
      </c>
      <c r="S2461">
        <v>-2.010345</v>
      </c>
      <c r="T2461">
        <v>-0.35253610000000002</v>
      </c>
      <c r="U2461">
        <v>-2.2505799999999998</v>
      </c>
      <c r="V2461">
        <v>-0.1950855</v>
      </c>
      <c r="W2461">
        <v>-1.1994929999999999E-2</v>
      </c>
      <c r="X2461">
        <v>0.9807129</v>
      </c>
      <c r="Y2461">
        <v>-0.3116255</v>
      </c>
      <c r="Z2461">
        <v>4.2302550000000001E-2</v>
      </c>
      <c r="AA2461">
        <v>0.94926290000000002</v>
      </c>
      <c r="AB2461">
        <v>32</v>
      </c>
      <c r="AC2461">
        <v>-6.2469999999999501</v>
      </c>
      <c r="AD2461">
        <v>-1.1206812090483</v>
      </c>
      <c r="AE2461">
        <v>-7.0655000000000401</v>
      </c>
      <c r="AF2461">
        <v>-2.9345330483175598</v>
      </c>
      <c r="AG2461">
        <v>-1.1206812090483</v>
      </c>
      <c r="AH2461">
        <v>8.8246914568669794</v>
      </c>
      <c r="AI2461">
        <v>96.871333748197898</v>
      </c>
      <c r="AJ2461">
        <v>108.393855403283</v>
      </c>
      <c r="AK2461">
        <v>9.3671014669898298</v>
      </c>
      <c r="AL2461">
        <v>90.6872753380364</v>
      </c>
      <c r="AM2461">
        <v>101.25053812364</v>
      </c>
      <c r="AN2461">
        <v>1.00000001144118</v>
      </c>
    </row>
    <row r="2462" spans="1:40" x14ac:dyDescent="0.25">
      <c r="A2462" t="str">
        <f>"20190312151546045"</f>
        <v>20190312151546045</v>
      </c>
      <c r="B2462" t="str">
        <f>"1552374946040297"</f>
        <v>1552374946040297</v>
      </c>
      <c r="C2462" t="s">
        <v>40</v>
      </c>
      <c r="D2462">
        <v>4.319369</v>
      </c>
      <c r="E2462">
        <v>0.42502230000000002</v>
      </c>
      <c r="F2462" t="s">
        <v>50</v>
      </c>
      <c r="G2462">
        <v>-491.21030000000002</v>
      </c>
      <c r="H2462" s="1">
        <v>3.4062759999999998E-7</v>
      </c>
      <c r="I2462">
        <v>270.57990000000001</v>
      </c>
      <c r="J2462">
        <v>-484.72489999999999</v>
      </c>
      <c r="K2462">
        <v>1.1207659999999999</v>
      </c>
      <c r="L2462">
        <v>278.82709999999997</v>
      </c>
      <c r="M2462">
        <v>-0.86110719999999996</v>
      </c>
      <c r="N2462">
        <v>0</v>
      </c>
      <c r="O2462">
        <v>-0.50823830000000003</v>
      </c>
      <c r="P2462">
        <v>-0.74477090000000001</v>
      </c>
      <c r="Q2462">
        <v>-2.0027240000000002E-2</v>
      </c>
      <c r="R2462">
        <v>-0.66701949999999999</v>
      </c>
      <c r="S2462">
        <v>-1.892944</v>
      </c>
      <c r="T2462">
        <v>-0.31992530000000002</v>
      </c>
      <c r="U2462">
        <v>-2.3806759999999998</v>
      </c>
      <c r="V2462">
        <v>-0.19561390000000001</v>
      </c>
      <c r="W2462">
        <v>-1.202365E-2</v>
      </c>
      <c r="X2462">
        <v>0.98060729999999996</v>
      </c>
      <c r="Y2462">
        <v>-0.35825390000000001</v>
      </c>
      <c r="Z2462">
        <v>3.6553490000000001E-2</v>
      </c>
      <c r="AA2462">
        <v>0.93290839999999997</v>
      </c>
      <c r="AB2462">
        <v>32</v>
      </c>
      <c r="AC2462">
        <v>-6.4854000000000198</v>
      </c>
      <c r="AD2462">
        <v>-1.12076565937239</v>
      </c>
      <c r="AE2462">
        <v>-8.2471999999999603</v>
      </c>
      <c r="AF2462">
        <v>-3.76301206205365</v>
      </c>
      <c r="AG2462">
        <v>-1.12076565937239</v>
      </c>
      <c r="AH2462">
        <v>9.6667774605004801</v>
      </c>
      <c r="AI2462">
        <v>96.166462796732105</v>
      </c>
      <c r="AJ2462">
        <v>111.269602345694</v>
      </c>
      <c r="AK2462">
        <v>10.433741510753901</v>
      </c>
      <c r="AL2462">
        <v>90.688920984603101</v>
      </c>
      <c r="AM2462">
        <v>101.281414100365</v>
      </c>
      <c r="AN2462">
        <v>1.0000000214229099</v>
      </c>
    </row>
    <row r="2463" spans="1:40" x14ac:dyDescent="0.25">
      <c r="A2463" t="str">
        <f>"20190312151546056"</f>
        <v>20190312151546056</v>
      </c>
      <c r="B2463" t="str">
        <f>"1552374946050057"</f>
        <v>1552374946050057</v>
      </c>
      <c r="C2463" t="s">
        <v>40</v>
      </c>
      <c r="D2463">
        <v>4.327979</v>
      </c>
      <c r="E2463">
        <v>0.4149388</v>
      </c>
      <c r="F2463" t="s">
        <v>50</v>
      </c>
      <c r="G2463">
        <v>-490.82940000000002</v>
      </c>
      <c r="H2463" s="1">
        <v>3.546637E-7</v>
      </c>
      <c r="I2463">
        <v>270.61959999999999</v>
      </c>
      <c r="J2463">
        <v>-484.85320000000002</v>
      </c>
      <c r="K2463">
        <v>1.1208359999999999</v>
      </c>
      <c r="L2463">
        <v>278.74509999999998</v>
      </c>
      <c r="M2463">
        <v>-0.85774089999999903</v>
      </c>
      <c r="N2463">
        <v>0</v>
      </c>
      <c r="O2463">
        <v>-0.51389870000000004</v>
      </c>
      <c r="P2463">
        <v>-0.74010030000000004</v>
      </c>
      <c r="Q2463">
        <v>-2.0200559999999999E-2</v>
      </c>
      <c r="R2463">
        <v>-0.67219289999999998</v>
      </c>
      <c r="S2463">
        <v>-1.8234250000000001</v>
      </c>
      <c r="T2463">
        <v>-0.33477449999999997</v>
      </c>
      <c r="U2463">
        <v>-2.4515989999999999</v>
      </c>
      <c r="V2463">
        <v>-0.1959842</v>
      </c>
      <c r="W2463">
        <v>-1.222267E-2</v>
      </c>
      <c r="X2463">
        <v>0.98053089999999998</v>
      </c>
      <c r="Y2463">
        <v>-0.3820443</v>
      </c>
      <c r="Z2463">
        <v>3.7508149999999997E-2</v>
      </c>
      <c r="AA2463">
        <v>0.92338249999999999</v>
      </c>
      <c r="AB2463">
        <v>32</v>
      </c>
      <c r="AC2463">
        <v>-5.9762000000000004</v>
      </c>
      <c r="AD2463">
        <v>-1.1208356453363</v>
      </c>
      <c r="AE2463">
        <v>-8.1254999999999793</v>
      </c>
      <c r="AF2463">
        <v>-3.8512250541418398</v>
      </c>
      <c r="AG2463">
        <v>-1.1208356453363</v>
      </c>
      <c r="AH2463">
        <v>9.1891251003547403</v>
      </c>
      <c r="AI2463">
        <v>96.418436822349804</v>
      </c>
      <c r="AJ2463">
        <v>112.738890414972</v>
      </c>
      <c r="AK2463">
        <v>10.026376567408301</v>
      </c>
      <c r="AL2463">
        <v>90.7003248273016</v>
      </c>
      <c r="AM2463">
        <v>101.303078743482</v>
      </c>
      <c r="AN2463">
        <v>1.00000002308318</v>
      </c>
    </row>
    <row r="2464" spans="1:40" x14ac:dyDescent="0.25">
      <c r="A2464" t="str">
        <f>"20190312151546069"</f>
        <v>20190312151546069</v>
      </c>
      <c r="B2464" t="str">
        <f>"1552374946059818"</f>
        <v>1552374946059818</v>
      </c>
      <c r="C2464" t="s">
        <v>40</v>
      </c>
      <c r="D2464">
        <v>4.3348769999999996</v>
      </c>
      <c r="E2464">
        <v>0.40749289999999999</v>
      </c>
      <c r="F2464" t="s">
        <v>41</v>
      </c>
      <c r="G2464">
        <v>-485.47120000000001</v>
      </c>
      <c r="H2464">
        <v>1.000775</v>
      </c>
      <c r="I2464">
        <v>277.85480000000001</v>
      </c>
      <c r="J2464">
        <v>-485.00880000000001</v>
      </c>
      <c r="K2464">
        <v>1.1209209999999901</v>
      </c>
      <c r="L2464">
        <v>278.64389999999997</v>
      </c>
      <c r="M2464">
        <v>-0.85355099999999995</v>
      </c>
      <c r="N2464">
        <v>0</v>
      </c>
      <c r="O2464">
        <v>-0.52082740000000005</v>
      </c>
      <c r="P2464">
        <v>-0.73424619999999996</v>
      </c>
      <c r="Q2464">
        <v>-1.9967459999999999E-2</v>
      </c>
      <c r="R2464">
        <v>-0.67858969999999996</v>
      </c>
      <c r="S2464">
        <v>-1.7522279999999999</v>
      </c>
      <c r="T2464">
        <v>-0.34039910000000001</v>
      </c>
      <c r="U2464">
        <v>-2.5235599999999998</v>
      </c>
      <c r="V2464">
        <v>-0.1965527</v>
      </c>
      <c r="W2464">
        <v>-1.2023539999999999E-2</v>
      </c>
      <c r="X2464">
        <v>0.9804195</v>
      </c>
      <c r="Y2464">
        <v>-0.40446799999999999</v>
      </c>
      <c r="Z2464">
        <v>3.7584529999999998E-2</v>
      </c>
      <c r="AA2464">
        <v>0.91377960000000003</v>
      </c>
      <c r="AB2464">
        <v>32</v>
      </c>
      <c r="AC2464">
        <v>-0.46240000000000198</v>
      </c>
      <c r="AD2464">
        <v>-0.120145999999999</v>
      </c>
      <c r="AE2464">
        <v>-0.78909999999996205</v>
      </c>
      <c r="AF2464">
        <v>-0.425406420604244</v>
      </c>
      <c r="AG2464">
        <v>-0.120145999999999</v>
      </c>
      <c r="AH2464">
        <v>0.79207467827181799</v>
      </c>
      <c r="AI2464">
        <v>97.611427440926903</v>
      </c>
      <c r="AJ2464">
        <v>118.239297260534</v>
      </c>
      <c r="AK2464">
        <v>0.90707661196103995</v>
      </c>
      <c r="AL2464">
        <v>90.688914722078707</v>
      </c>
      <c r="AM2464">
        <v>101.33627303327501</v>
      </c>
      <c r="AN2464">
        <v>0.99999996268583502</v>
      </c>
    </row>
    <row r="2465" spans="1:40" x14ac:dyDescent="0.25">
      <c r="A2465" t="str">
        <f>"20190312151546082"</f>
        <v>20190312151546082</v>
      </c>
      <c r="B2465" t="str">
        <f>"1552374946069577"</f>
        <v>1552374946069577</v>
      </c>
      <c r="C2465" t="s">
        <v>40</v>
      </c>
      <c r="D2465">
        <v>4.3657760000000003</v>
      </c>
      <c r="E2465">
        <v>0.4025762</v>
      </c>
      <c r="F2465" t="s">
        <v>50</v>
      </c>
      <c r="G2465">
        <v>-490.33019999999999</v>
      </c>
      <c r="H2465" s="1">
        <v>3.1559279999999998E-7</v>
      </c>
      <c r="I2465">
        <v>270.50909999999999</v>
      </c>
      <c r="J2465">
        <v>-485.15120000000002</v>
      </c>
      <c r="K2465">
        <v>1.1209979999999999</v>
      </c>
      <c r="L2465">
        <v>278.54919999999998</v>
      </c>
      <c r="M2465">
        <v>-0.84960349999999996</v>
      </c>
      <c r="N2465">
        <v>0</v>
      </c>
      <c r="O2465">
        <v>-0.52724159999999998</v>
      </c>
      <c r="P2465">
        <v>-0.72869349999999999</v>
      </c>
      <c r="Q2465">
        <v>-2.0021959999999998E-2</v>
      </c>
      <c r="R2465">
        <v>-0.68454729999999997</v>
      </c>
      <c r="S2465">
        <v>-1.68939199999999</v>
      </c>
      <c r="T2465">
        <v>-0.3558557</v>
      </c>
      <c r="U2465">
        <v>-2.5825200000000001</v>
      </c>
      <c r="V2465">
        <v>-0.1971504</v>
      </c>
      <c r="W2465">
        <v>-1.211154E-2</v>
      </c>
      <c r="X2465">
        <v>0.98029849999999996</v>
      </c>
      <c r="Y2465">
        <v>-0.4227109</v>
      </c>
      <c r="Z2465">
        <v>3.8911729999999999E-2</v>
      </c>
      <c r="AA2465">
        <v>0.90542880000000003</v>
      </c>
      <c r="AB2465">
        <v>32</v>
      </c>
      <c r="AC2465">
        <v>-5.1789999999999701</v>
      </c>
      <c r="AD2465">
        <v>-1.1209976844071901</v>
      </c>
      <c r="AE2465">
        <v>-8.04009999999999</v>
      </c>
      <c r="AF2465">
        <v>-4.0451270562210802</v>
      </c>
      <c r="AG2465">
        <v>-1.1209976844071901</v>
      </c>
      <c r="AH2465">
        <v>8.5228977619708797</v>
      </c>
      <c r="AI2465">
        <v>96.776319482926297</v>
      </c>
      <c r="AJ2465">
        <v>115.38989257686499</v>
      </c>
      <c r="AK2465">
        <v>9.5004986695660598</v>
      </c>
      <c r="AL2465">
        <v>90.693957050937499</v>
      </c>
      <c r="AM2465">
        <v>101.371215921507</v>
      </c>
      <c r="AN2465">
        <v>1.0000000593617799</v>
      </c>
    </row>
    <row r="2466" spans="1:40" x14ac:dyDescent="0.25">
      <c r="A2466" t="str">
        <f>"20190312151546095"</f>
        <v>20190312151546095</v>
      </c>
      <c r="B2466" t="str">
        <f>"1552374946090074"</f>
        <v>1552374946090074</v>
      </c>
      <c r="C2466" t="s">
        <v>40</v>
      </c>
      <c r="D2466">
        <v>4.3495509999999999</v>
      </c>
      <c r="E2466">
        <v>0.39713330000000002</v>
      </c>
      <c r="F2466" t="s">
        <v>41</v>
      </c>
      <c r="G2466">
        <v>-485.67419999999998</v>
      </c>
      <c r="H2466">
        <v>1.005738</v>
      </c>
      <c r="I2466">
        <v>277.7133</v>
      </c>
      <c r="J2466">
        <v>-485.31119999999999</v>
      </c>
      <c r="K2466">
        <v>1.1210869999999999</v>
      </c>
      <c r="L2466">
        <v>278.44159999999999</v>
      </c>
      <c r="M2466">
        <v>-0.84507410000000005</v>
      </c>
      <c r="N2466">
        <v>0</v>
      </c>
      <c r="O2466">
        <v>-0.53447119999999904</v>
      </c>
      <c r="P2466">
        <v>-0.72263440000000001</v>
      </c>
      <c r="Q2466">
        <v>-2.02647E-2</v>
      </c>
      <c r="R2466">
        <v>-0.69093389999999999</v>
      </c>
      <c r="S2466">
        <v>-1.641113</v>
      </c>
      <c r="T2466">
        <v>-0.36174869999999998</v>
      </c>
      <c r="U2466">
        <v>-2.6249389999999999</v>
      </c>
      <c r="V2466">
        <v>-0.19740820000000001</v>
      </c>
      <c r="W2466">
        <v>-1.2379799999999899E-2</v>
      </c>
      <c r="X2466">
        <v>0.98024319999999998</v>
      </c>
      <c r="Y2466">
        <v>-0.4335465</v>
      </c>
      <c r="Z2466">
        <v>3.9765229999999999E-2</v>
      </c>
      <c r="AA2466">
        <v>0.90025339999999998</v>
      </c>
      <c r="AB2466">
        <v>32</v>
      </c>
      <c r="AC2466">
        <v>-0.36299999999999899</v>
      </c>
      <c r="AD2466">
        <v>-0.11534899999999999</v>
      </c>
      <c r="AE2466">
        <v>-0.72829999999998996</v>
      </c>
      <c r="AF2466">
        <v>-0.41319225059488801</v>
      </c>
      <c r="AG2466">
        <v>-0.11534899999999999</v>
      </c>
      <c r="AH2466">
        <v>0.68237258637702103</v>
      </c>
      <c r="AI2466">
        <v>98.227828246490702</v>
      </c>
      <c r="AJ2466">
        <v>121.195866767989</v>
      </c>
      <c r="AK2466">
        <v>0.806018346187935</v>
      </c>
      <c r="AL2466">
        <v>90.709328414798193</v>
      </c>
      <c r="AM2466">
        <v>101.386322693011</v>
      </c>
      <c r="AN2466">
        <v>0.99999999401076001</v>
      </c>
    </row>
    <row r="2467" spans="1:40" x14ac:dyDescent="0.25">
      <c r="A2467" t="str">
        <f>"20190312151546109"</f>
        <v>20190312151546109</v>
      </c>
      <c r="B2467" t="str">
        <f>"1552374946099833"</f>
        <v>1552374946099833</v>
      </c>
      <c r="C2467" t="s">
        <v>40</v>
      </c>
      <c r="D2467">
        <v>4.2913639999999997</v>
      </c>
      <c r="E2467">
        <v>0.39560289999999998</v>
      </c>
      <c r="F2467" t="s">
        <v>41</v>
      </c>
      <c r="G2467">
        <v>-485.86169999999998</v>
      </c>
      <c r="H2467">
        <v>0.99370749999999997</v>
      </c>
      <c r="I2467">
        <v>277.51459999999997</v>
      </c>
      <c r="J2467">
        <v>-485.47890000000001</v>
      </c>
      <c r="K2467">
        <v>1.121175</v>
      </c>
      <c r="L2467">
        <v>278.3261</v>
      </c>
      <c r="M2467">
        <v>-0.84017459999999899</v>
      </c>
      <c r="N2467">
        <v>0</v>
      </c>
      <c r="O2467">
        <v>-0.5421395</v>
      </c>
      <c r="P2467">
        <v>-0.71547079999999996</v>
      </c>
      <c r="Q2467">
        <v>-2.040962E-2</v>
      </c>
      <c r="R2467">
        <v>-0.69834459999999998</v>
      </c>
      <c r="S2467">
        <v>-1.5870059999999999</v>
      </c>
      <c r="T2467">
        <v>-0.36717759999999999</v>
      </c>
      <c r="U2467">
        <v>-2.6713260000000001</v>
      </c>
      <c r="V2467">
        <v>-0.19858500000000001</v>
      </c>
      <c r="W2467">
        <v>-1.25801E-2</v>
      </c>
      <c r="X2467">
        <v>0.98000290000000001</v>
      </c>
      <c r="Y2467">
        <v>-0.4457062</v>
      </c>
      <c r="Z2467">
        <v>4.0536950000000002E-2</v>
      </c>
      <c r="AA2467">
        <v>0.89426099999999997</v>
      </c>
      <c r="AB2467">
        <v>32</v>
      </c>
      <c r="AC2467">
        <v>-0.38279999999997399</v>
      </c>
      <c r="AD2467">
        <v>-0.12746749999999901</v>
      </c>
      <c r="AE2467">
        <v>-0.81150000000002298</v>
      </c>
      <c r="AF2467">
        <v>-0.46493276361452601</v>
      </c>
      <c r="AG2467">
        <v>-0.12746749999999901</v>
      </c>
      <c r="AH2467">
        <v>0.74657057399117999</v>
      </c>
      <c r="AI2467">
        <v>98.246507164252506</v>
      </c>
      <c r="AJ2467">
        <v>121.912914568193</v>
      </c>
      <c r="AK2467">
        <v>0.88869458206293295</v>
      </c>
      <c r="AL2467">
        <v>90.720805668794497</v>
      </c>
      <c r="AM2467">
        <v>101.455144940149</v>
      </c>
      <c r="AN2467">
        <v>0.99999997257470896</v>
      </c>
    </row>
    <row r="2468" spans="1:40" x14ac:dyDescent="0.25">
      <c r="A2468" t="str">
        <f>"20190312151546132"</f>
        <v>20190312151546132</v>
      </c>
      <c r="B2468" t="str">
        <f>"1552374946130089"</f>
        <v>1552374946130089</v>
      </c>
      <c r="C2468" t="s">
        <v>40</v>
      </c>
      <c r="D2468">
        <v>4.3404220000000002</v>
      </c>
      <c r="E2468">
        <v>0.39310200000000001</v>
      </c>
      <c r="F2468" t="s">
        <v>41</v>
      </c>
      <c r="G2468">
        <v>-485.96429999999998</v>
      </c>
      <c r="H2468">
        <v>1.005701</v>
      </c>
      <c r="I2468">
        <v>277.48219999999998</v>
      </c>
      <c r="J2468">
        <v>-485.733</v>
      </c>
      <c r="K2468">
        <v>1.1213070000000001</v>
      </c>
      <c r="L2468">
        <v>278.14699999999999</v>
      </c>
      <c r="M2468">
        <v>-0.83248809999999995</v>
      </c>
      <c r="N2468">
        <v>0</v>
      </c>
      <c r="O2468">
        <v>-0.5538691</v>
      </c>
      <c r="P2468">
        <v>-0.70449910000000004</v>
      </c>
      <c r="Q2468">
        <v>-2.0929030000000001E-2</v>
      </c>
      <c r="R2468">
        <v>-0.70939669999999999</v>
      </c>
      <c r="S2468">
        <v>-1.5511469999999901</v>
      </c>
      <c r="T2468">
        <v>-0.36901529999999999</v>
      </c>
      <c r="U2468">
        <v>-2.6958920000000002</v>
      </c>
      <c r="V2468">
        <v>-0.20008380000000001</v>
      </c>
      <c r="W2468">
        <v>-1.317427E-2</v>
      </c>
      <c r="X2468">
        <v>0.97969019999999996</v>
      </c>
      <c r="Y2468">
        <v>-0.44567909999999999</v>
      </c>
      <c r="Z2468">
        <v>4.2295779999999998E-2</v>
      </c>
      <c r="AA2468">
        <v>0.89419309999999996</v>
      </c>
      <c r="AB2468">
        <v>32</v>
      </c>
      <c r="AC2468">
        <v>-0.231299999999976</v>
      </c>
      <c r="AD2468">
        <v>-0.115606</v>
      </c>
      <c r="AE2468">
        <v>-0.66480000000001305</v>
      </c>
      <c r="AF2468">
        <v>-0.41419639058094998</v>
      </c>
      <c r="AG2468">
        <v>-0.115606</v>
      </c>
      <c r="AH2468">
        <v>0.54609017546874306</v>
      </c>
      <c r="AI2468">
        <v>99.573932438445297</v>
      </c>
      <c r="AJ2468">
        <v>127.17945078581199</v>
      </c>
      <c r="AK2468">
        <v>0.69508120169500298</v>
      </c>
      <c r="AL2468">
        <v>90.754851914676095</v>
      </c>
      <c r="AM2468">
        <v>101.54287512464001</v>
      </c>
      <c r="AN2468">
        <v>0.99999998819425595</v>
      </c>
    </row>
    <row r="2469" spans="1:40" x14ac:dyDescent="0.25">
      <c r="A2469" t="str">
        <f>"20190312151546143"</f>
        <v>20190312151546143</v>
      </c>
      <c r="B2469" t="str">
        <f>"1552374946139848"</f>
        <v>1552374946139848</v>
      </c>
      <c r="C2469" t="s">
        <v>40</v>
      </c>
      <c r="D2469">
        <v>4.3171549999999996</v>
      </c>
      <c r="E2469">
        <v>0.39278950000000001</v>
      </c>
      <c r="F2469" t="s">
        <v>50</v>
      </c>
      <c r="G2469">
        <v>-490.15219999999999</v>
      </c>
      <c r="H2469" s="1">
        <v>1.5872810000000001E-7</v>
      </c>
      <c r="I2469">
        <v>270.06540000000001</v>
      </c>
      <c r="J2469">
        <v>-485.86900000000003</v>
      </c>
      <c r="K2469">
        <v>1.1213770000000001</v>
      </c>
      <c r="L2469">
        <v>278.04829999999998</v>
      </c>
      <c r="M2469">
        <v>-0.82821270000000002</v>
      </c>
      <c r="N2469">
        <v>0</v>
      </c>
      <c r="O2469">
        <v>-0.56024130000000005</v>
      </c>
      <c r="P2469">
        <v>-0.6984397</v>
      </c>
      <c r="Q2469">
        <v>-2.1290010000000002E-2</v>
      </c>
      <c r="R2469">
        <v>-0.7153524</v>
      </c>
      <c r="S2469">
        <v>-1.49472</v>
      </c>
      <c r="T2469">
        <v>-0.37926710000000002</v>
      </c>
      <c r="U2469">
        <v>-2.7335210000000001</v>
      </c>
      <c r="V2469">
        <v>-0.20087640000000001</v>
      </c>
      <c r="W2469">
        <v>-1.3574940000000001E-2</v>
      </c>
      <c r="X2469">
        <v>0.97952249999999996</v>
      </c>
      <c r="Y2469">
        <v>-0.4581712</v>
      </c>
      <c r="Z2469">
        <v>4.3537899999999997E-2</v>
      </c>
      <c r="AA2469">
        <v>0.88779710000000001</v>
      </c>
      <c r="AB2469">
        <v>32</v>
      </c>
      <c r="AC2469">
        <v>-4.2831999999999599</v>
      </c>
      <c r="AD2469">
        <v>-1.1213768412718901</v>
      </c>
      <c r="AE2469">
        <v>-7.9828999999999697</v>
      </c>
      <c r="AF2469">
        <v>-4.1487552228900597</v>
      </c>
      <c r="AG2469">
        <v>-1.1213768412718901</v>
      </c>
      <c r="AH2469">
        <v>7.8994933004231598</v>
      </c>
      <c r="AI2469">
        <v>97.163215557035997</v>
      </c>
      <c r="AJ2469">
        <v>117.708121765035</v>
      </c>
      <c r="AK2469">
        <v>8.9928666354521791</v>
      </c>
      <c r="AL2469">
        <v>90.777810684668196</v>
      </c>
      <c r="AM2469">
        <v>101.589296256399</v>
      </c>
      <c r="AN2469">
        <v>0.99999996753960596</v>
      </c>
    </row>
    <row r="2470" spans="1:40" x14ac:dyDescent="0.25">
      <c r="A2470" t="str">
        <f>"20190312151546155"</f>
        <v>20190312151546155</v>
      </c>
      <c r="B2470" t="str">
        <f>"1552374946149609"</f>
        <v>1552374946149609</v>
      </c>
      <c r="C2470" t="s">
        <v>40</v>
      </c>
      <c r="D2470">
        <v>4.3291440000000003</v>
      </c>
      <c r="E2470">
        <v>0.39281080000000002</v>
      </c>
      <c r="F2470" t="s">
        <v>41</v>
      </c>
      <c r="G2470">
        <v>-486.32279999999997</v>
      </c>
      <c r="H2470">
        <v>1.0032779999999999</v>
      </c>
      <c r="I2470">
        <v>277.19970000000001</v>
      </c>
      <c r="J2470">
        <v>-485.99630000000002</v>
      </c>
      <c r="K2470">
        <v>1.1214440000000001</v>
      </c>
      <c r="L2470">
        <v>277.95530000000002</v>
      </c>
      <c r="M2470">
        <v>-0.82414529999999997</v>
      </c>
      <c r="N2470">
        <v>0</v>
      </c>
      <c r="O2470">
        <v>-0.56620700000000002</v>
      </c>
      <c r="P2470">
        <v>-0.69263229999999998</v>
      </c>
      <c r="Q2470">
        <v>-2.167036E-2</v>
      </c>
      <c r="R2470">
        <v>-0.72096510000000003</v>
      </c>
      <c r="S2470">
        <v>-1.4692080000000001</v>
      </c>
      <c r="T2470">
        <v>-0.38243569999999999</v>
      </c>
      <c r="U2470">
        <v>-2.747833</v>
      </c>
      <c r="V2470">
        <v>-0.2017004</v>
      </c>
      <c r="W2470">
        <v>-1.3996049999999999E-2</v>
      </c>
      <c r="X2470">
        <v>0.97934730000000003</v>
      </c>
      <c r="Y2470">
        <v>-0.46010879999999998</v>
      </c>
      <c r="Z2470">
        <v>4.4623299999999998E-2</v>
      </c>
      <c r="AA2470">
        <v>0.88674050000000004</v>
      </c>
      <c r="AB2470">
        <v>32</v>
      </c>
      <c r="AC2470">
        <v>-0.32649999999995299</v>
      </c>
      <c r="AD2470">
        <v>-0.11816599999999999</v>
      </c>
      <c r="AE2470">
        <v>-0.75560000000001504</v>
      </c>
      <c r="AF2470">
        <v>-0.42905772035968598</v>
      </c>
      <c r="AG2470">
        <v>-0.11816599999999999</v>
      </c>
      <c r="AH2470">
        <v>0.68290324889251697</v>
      </c>
      <c r="AI2470">
        <v>98.335467086075994</v>
      </c>
      <c r="AJ2470">
        <v>122.140521354583</v>
      </c>
      <c r="AK2470">
        <v>0.81511384376920304</v>
      </c>
      <c r="AL2470">
        <v>90.801940748267299</v>
      </c>
      <c r="AM2470">
        <v>101.63756682322899</v>
      </c>
      <c r="AN2470">
        <v>1.0000000373965201</v>
      </c>
    </row>
    <row r="2471" spans="1:40" x14ac:dyDescent="0.25">
      <c r="A2471" t="str">
        <f>"20190312151546166"</f>
        <v>20190312151546166</v>
      </c>
      <c r="B2471" t="str">
        <f>"1552374946160346"</f>
        <v>1552374946160346</v>
      </c>
      <c r="C2471" t="s">
        <v>40</v>
      </c>
      <c r="D2471">
        <v>4.298889</v>
      </c>
      <c r="E2471">
        <v>0.39297769999999999</v>
      </c>
      <c r="F2471" t="s">
        <v>41</v>
      </c>
      <c r="G2471">
        <v>-486.50130000000001</v>
      </c>
      <c r="H2471">
        <v>0.98669830000000003</v>
      </c>
      <c r="I2471">
        <v>276.99270000000001</v>
      </c>
      <c r="J2471">
        <v>-486.12189999999998</v>
      </c>
      <c r="K2471">
        <v>1.12151</v>
      </c>
      <c r="L2471">
        <v>277.86130000000003</v>
      </c>
      <c r="M2471">
        <v>-0.82001999999999997</v>
      </c>
      <c r="N2471">
        <v>0</v>
      </c>
      <c r="O2471">
        <v>-0.57216469999999997</v>
      </c>
      <c r="P2471">
        <v>-0.68696389999999996</v>
      </c>
      <c r="Q2471">
        <v>-2.182537E-2</v>
      </c>
      <c r="R2471">
        <v>-0.72636350000000005</v>
      </c>
      <c r="S2471">
        <v>-1.447144</v>
      </c>
      <c r="T2471">
        <v>-0.38617829999999997</v>
      </c>
      <c r="U2471">
        <v>-2.7592159999999999</v>
      </c>
      <c r="V2471">
        <v>-0.202264</v>
      </c>
      <c r="W2471">
        <v>-1.418257E-2</v>
      </c>
      <c r="X2471">
        <v>0.97922830000000005</v>
      </c>
      <c r="Y2471">
        <v>-0.46076980000000001</v>
      </c>
      <c r="Z2471">
        <v>4.5876819999999999E-2</v>
      </c>
      <c r="AA2471">
        <v>0.88633320000000004</v>
      </c>
      <c r="AB2471">
        <v>32</v>
      </c>
      <c r="AC2471">
        <v>-0.37940000000003199</v>
      </c>
      <c r="AD2471">
        <v>-0.13481169999999901</v>
      </c>
      <c r="AE2471">
        <v>-0.86860000000001403</v>
      </c>
      <c r="AF2471">
        <v>-0.485418642476935</v>
      </c>
      <c r="AG2471">
        <v>-0.13481169999999901</v>
      </c>
      <c r="AH2471">
        <v>0.79215188595777497</v>
      </c>
      <c r="AI2471">
        <v>98.256384783882197</v>
      </c>
      <c r="AJ2471">
        <v>121.49933442195599</v>
      </c>
      <c r="AK2471">
        <v>0.938781158389697</v>
      </c>
      <c r="AL2471">
        <v>90.812628674551206</v>
      </c>
      <c r="AM2471">
        <v>101.670573596917</v>
      </c>
      <c r="AN2471">
        <v>0.99999996725434703</v>
      </c>
    </row>
    <row r="2472" spans="1:40" x14ac:dyDescent="0.25">
      <c r="A2472" t="str">
        <f>"20190312151546177"</f>
        <v>20190312151546177</v>
      </c>
      <c r="B2472" t="str">
        <f>"1552374946170106"</f>
        <v>1552374946170106</v>
      </c>
      <c r="C2472" t="s">
        <v>40</v>
      </c>
      <c r="D2472">
        <v>4.3424259999999997</v>
      </c>
      <c r="E2472">
        <v>0.39310519999999999</v>
      </c>
      <c r="F2472" t="s">
        <v>41</v>
      </c>
      <c r="G2472">
        <v>-486.548</v>
      </c>
      <c r="H2472">
        <v>1.0062660000000001</v>
      </c>
      <c r="I2472">
        <v>277.03440000000001</v>
      </c>
      <c r="J2472">
        <v>-486.24759999999998</v>
      </c>
      <c r="K2472">
        <v>1.1215759999999999</v>
      </c>
      <c r="L2472">
        <v>277.76620000000003</v>
      </c>
      <c r="M2472">
        <v>-0.81581740000000003</v>
      </c>
      <c r="N2472">
        <v>0</v>
      </c>
      <c r="O2472">
        <v>-0.57814100000000002</v>
      </c>
      <c r="P2472">
        <v>-0.681168</v>
      </c>
      <c r="Q2472">
        <v>-2.1885539999999998E-2</v>
      </c>
      <c r="R2472">
        <v>-0.73180000000000001</v>
      </c>
      <c r="S2472">
        <v>-1.426361</v>
      </c>
      <c r="T2472">
        <v>-0.38589909999999999</v>
      </c>
      <c r="U2472">
        <v>-2.769501</v>
      </c>
      <c r="V2472">
        <v>-0.20288790000000001</v>
      </c>
      <c r="W2472">
        <v>-1.427632E-2</v>
      </c>
      <c r="X2472">
        <v>0.97909789999999997</v>
      </c>
      <c r="Y2472">
        <v>-0.46090809999999999</v>
      </c>
      <c r="Z2472">
        <v>4.6703880000000003E-2</v>
      </c>
      <c r="AA2472">
        <v>0.88621810000000001</v>
      </c>
      <c r="AB2472">
        <v>32</v>
      </c>
      <c r="AC2472">
        <v>-0.30040000000002398</v>
      </c>
      <c r="AD2472">
        <v>-0.11531</v>
      </c>
      <c r="AE2472">
        <v>-0.73180000000002099</v>
      </c>
      <c r="AF2472">
        <v>-0.414574016740058</v>
      </c>
      <c r="AG2472">
        <v>-0.11531</v>
      </c>
      <c r="AH2472">
        <v>0.65431732977249102</v>
      </c>
      <c r="AI2472">
        <v>98.467111864304499</v>
      </c>
      <c r="AJ2472">
        <v>122.358256824935</v>
      </c>
      <c r="AK2472">
        <v>0.78313420273704604</v>
      </c>
      <c r="AL2472">
        <v>90.818000666628706</v>
      </c>
      <c r="AM2472">
        <v>101.70709649889299</v>
      </c>
      <c r="AN2472">
        <v>1.0000000055317799</v>
      </c>
    </row>
    <row r="2473" spans="1:40" x14ac:dyDescent="0.25">
      <c r="A2473" t="str">
        <f>"20190312151546188"</f>
        <v>20190312151546188</v>
      </c>
      <c r="B2473" t="str">
        <f>"1552374946179865"</f>
        <v>1552374946179865</v>
      </c>
      <c r="C2473" t="s">
        <v>40</v>
      </c>
      <c r="D2473">
        <v>4.3113149999999996</v>
      </c>
      <c r="E2473">
        <v>0.39323340000000001</v>
      </c>
      <c r="F2473" t="s">
        <v>41</v>
      </c>
      <c r="G2473">
        <v>-486.72289999999998</v>
      </c>
      <c r="H2473">
        <v>0.99166900000000002</v>
      </c>
      <c r="I2473">
        <v>276.82569999999998</v>
      </c>
      <c r="J2473">
        <v>-486.37670000000003</v>
      </c>
      <c r="K2473">
        <v>1.1216429999999999</v>
      </c>
      <c r="L2473">
        <v>277.66699999999997</v>
      </c>
      <c r="M2473">
        <v>-0.8113998</v>
      </c>
      <c r="N2473">
        <v>0</v>
      </c>
      <c r="O2473">
        <v>-0.58432399999999995</v>
      </c>
      <c r="P2473">
        <v>-0.67514189999999996</v>
      </c>
      <c r="Q2473">
        <v>-2.1924309999999999E-2</v>
      </c>
      <c r="R2473">
        <v>-0.73736230000000003</v>
      </c>
      <c r="S2473">
        <v>-1.4049069999999999</v>
      </c>
      <c r="T2473">
        <v>-0.38401390000000002</v>
      </c>
      <c r="U2473">
        <v>-2.780243</v>
      </c>
      <c r="V2473">
        <v>-0.20347499999999999</v>
      </c>
      <c r="W2473">
        <v>-1.434734E-2</v>
      </c>
      <c r="X2473">
        <v>0.97897500000000004</v>
      </c>
      <c r="Y2473">
        <v>-0.46101490000000001</v>
      </c>
      <c r="Z2473">
        <v>4.7363490000000001E-2</v>
      </c>
      <c r="AA2473">
        <v>0.88612749999999996</v>
      </c>
      <c r="AB2473">
        <v>32</v>
      </c>
      <c r="AC2473">
        <v>-0.34619999999995299</v>
      </c>
      <c r="AD2473">
        <v>-0.12997399999999901</v>
      </c>
      <c r="AE2473">
        <v>-0.84130000000004601</v>
      </c>
      <c r="AF2473">
        <v>-0.47077556338729798</v>
      </c>
      <c r="AG2473">
        <v>-0.12997399999999901</v>
      </c>
      <c r="AH2473">
        <v>0.75712020648632605</v>
      </c>
      <c r="AI2473">
        <v>98.294398445964205</v>
      </c>
      <c r="AJ2473">
        <v>121.87325168033099</v>
      </c>
      <c r="AK2473">
        <v>0.90097385024679</v>
      </c>
      <c r="AL2473">
        <v>90.822070245557597</v>
      </c>
      <c r="AM2473">
        <v>101.741467447228</v>
      </c>
      <c r="AN2473">
        <v>0.99999998620753705</v>
      </c>
    </row>
    <row r="2474" spans="1:40" x14ac:dyDescent="0.25">
      <c r="A2474" t="str">
        <f>"20190312151546199"</f>
        <v>20190312151546199</v>
      </c>
      <c r="B2474" t="str">
        <f>"1552374946189625"</f>
        <v>1552374946189625</v>
      </c>
      <c r="C2474" t="s">
        <v>40</v>
      </c>
      <c r="D2474">
        <v>4.369624</v>
      </c>
      <c r="E2474">
        <v>0.39349869999999998</v>
      </c>
      <c r="F2474" t="s">
        <v>41</v>
      </c>
      <c r="G2474">
        <v>-486.78919999999999</v>
      </c>
      <c r="H2474">
        <v>1.0075829999999999</v>
      </c>
      <c r="I2474">
        <v>276.83390000000003</v>
      </c>
      <c r="J2474">
        <v>-486.48750000000001</v>
      </c>
      <c r="K2474">
        <v>1.1217010000000001</v>
      </c>
      <c r="L2474">
        <v>277.58030000000002</v>
      </c>
      <c r="M2474">
        <v>-0.8075251</v>
      </c>
      <c r="N2474">
        <v>0</v>
      </c>
      <c r="O2474">
        <v>-0.58966660000000004</v>
      </c>
      <c r="P2474">
        <v>-0.66970810000000003</v>
      </c>
      <c r="Q2474">
        <v>-2.1964999999999998E-2</v>
      </c>
      <c r="R2474">
        <v>-0.7422995</v>
      </c>
      <c r="S2474">
        <v>-1.382355</v>
      </c>
      <c r="T2474">
        <v>-0.38221090000000002</v>
      </c>
      <c r="U2474">
        <v>-2.7914430000000001</v>
      </c>
      <c r="V2474">
        <v>-0.20419880000000001</v>
      </c>
      <c r="W2474">
        <v>-1.442278E-2</v>
      </c>
      <c r="X2474">
        <v>0.9788232</v>
      </c>
      <c r="Y2474">
        <v>-0.46233560000000001</v>
      </c>
      <c r="Z2474">
        <v>4.7833140000000003E-2</v>
      </c>
      <c r="AA2474">
        <v>0.88541389999999998</v>
      </c>
      <c r="AB2474">
        <v>32</v>
      </c>
      <c r="AC2474">
        <v>-0.30169999999998198</v>
      </c>
      <c r="AD2474">
        <v>-0.114118</v>
      </c>
      <c r="AE2474">
        <v>-0.74639999999999396</v>
      </c>
      <c r="AF2474">
        <v>-0.41650723915526</v>
      </c>
      <c r="AG2474">
        <v>-0.114118</v>
      </c>
      <c r="AH2474">
        <v>0.67035529601658805</v>
      </c>
      <c r="AI2474">
        <v>98.227800450238107</v>
      </c>
      <c r="AJ2474">
        <v>121.853639679286</v>
      </c>
      <c r="AK2474">
        <v>0.797419225433037</v>
      </c>
      <c r="AL2474">
        <v>90.826393065457694</v>
      </c>
      <c r="AM2474">
        <v>101.783844708096</v>
      </c>
      <c r="AN2474">
        <v>1.0000000116812999</v>
      </c>
    </row>
    <row r="2475" spans="1:40" x14ac:dyDescent="0.25">
      <c r="A2475" t="str">
        <f>"20190312151546210"</f>
        <v>20190312151546210</v>
      </c>
      <c r="B2475" t="str">
        <f>"1552374946200362"</f>
        <v>1552374946200362</v>
      </c>
      <c r="C2475" t="s">
        <v>40</v>
      </c>
      <c r="D2475">
        <v>4.3351870000000003</v>
      </c>
      <c r="E2475">
        <v>0.39376349999999999</v>
      </c>
      <c r="F2475" t="s">
        <v>41</v>
      </c>
      <c r="G2475">
        <v>-486.93950000000001</v>
      </c>
      <c r="H2475">
        <v>0.99497369999999996</v>
      </c>
      <c r="I2475">
        <v>276.6533</v>
      </c>
      <c r="J2475">
        <v>-486.61130000000003</v>
      </c>
      <c r="K2475">
        <v>1.1217619999999999</v>
      </c>
      <c r="L2475">
        <v>277.48250000000002</v>
      </c>
      <c r="M2475">
        <v>-0.8031201</v>
      </c>
      <c r="N2475">
        <v>0</v>
      </c>
      <c r="O2475">
        <v>-0.59565190000000001</v>
      </c>
      <c r="P2475">
        <v>-0.66374429999999995</v>
      </c>
      <c r="Q2475">
        <v>-2.1793750000000001E-2</v>
      </c>
      <c r="R2475">
        <v>-0.74764200000000003</v>
      </c>
      <c r="S2475">
        <v>-1.363953</v>
      </c>
      <c r="T2475">
        <v>-0.38252659999999999</v>
      </c>
      <c r="U2475">
        <v>-2.7995909999999999</v>
      </c>
      <c r="V2475">
        <v>-0.20476720000000001</v>
      </c>
      <c r="W2475">
        <v>-1.428247E-2</v>
      </c>
      <c r="X2475">
        <v>0.97870650000000003</v>
      </c>
      <c r="Y2475">
        <v>-0.46149380000000001</v>
      </c>
      <c r="Z2475">
        <v>4.8795579999999998E-2</v>
      </c>
      <c r="AA2475">
        <v>0.88580049999999899</v>
      </c>
      <c r="AB2475">
        <v>32</v>
      </c>
      <c r="AC2475">
        <v>-0.32819999999998101</v>
      </c>
      <c r="AD2475">
        <v>-0.12678829999999999</v>
      </c>
      <c r="AE2475">
        <v>-0.82920000000001404</v>
      </c>
      <c r="AF2475">
        <v>-0.46117868700700798</v>
      </c>
      <c r="AG2475">
        <v>-0.12678829999999999</v>
      </c>
      <c r="AH2475">
        <v>0.74256361666216697</v>
      </c>
      <c r="AI2475">
        <v>98.253008974191701</v>
      </c>
      <c r="AJ2475">
        <v>121.842880375283</v>
      </c>
      <c r="AK2475">
        <v>0.88326767129607697</v>
      </c>
      <c r="AL2475">
        <v>90.8183530727365</v>
      </c>
      <c r="AM2475">
        <v>101.817094175242</v>
      </c>
      <c r="AN2475">
        <v>1.0000000041436901</v>
      </c>
    </row>
    <row r="2476" spans="1:40" x14ac:dyDescent="0.25">
      <c r="A2476" t="str">
        <f>"20190312151546221"</f>
        <v>20190312151546221</v>
      </c>
      <c r="B2476" t="str">
        <f>"1552374946210121"</f>
        <v>1552374946210121</v>
      </c>
      <c r="C2476" t="s">
        <v>40</v>
      </c>
      <c r="D2476">
        <v>4.3189830000000002</v>
      </c>
      <c r="E2476">
        <v>0.3941424</v>
      </c>
      <c r="F2476" t="s">
        <v>41</v>
      </c>
      <c r="G2476">
        <v>-487.01690000000002</v>
      </c>
      <c r="H2476">
        <v>1.006343</v>
      </c>
      <c r="I2476">
        <v>276.63440000000003</v>
      </c>
      <c r="J2476">
        <v>-486.73759999999999</v>
      </c>
      <c r="K2476">
        <v>1.121823</v>
      </c>
      <c r="L2476">
        <v>277.38040000000001</v>
      </c>
      <c r="M2476">
        <v>-0.79850569999999998</v>
      </c>
      <c r="N2476">
        <v>0</v>
      </c>
      <c r="O2476">
        <v>-0.6018232</v>
      </c>
      <c r="P2476">
        <v>-0.6574525</v>
      </c>
      <c r="Q2476">
        <v>-2.186362E-2</v>
      </c>
      <c r="R2476">
        <v>-0.75317880000000004</v>
      </c>
      <c r="S2476">
        <v>-1.3428040000000001</v>
      </c>
      <c r="T2476">
        <v>-0.38215100000000002</v>
      </c>
      <c r="U2476">
        <v>-2.8093569999999999</v>
      </c>
      <c r="V2476">
        <v>-0.20542440000000001</v>
      </c>
      <c r="W2476">
        <v>-1.438619E-2</v>
      </c>
      <c r="X2476">
        <v>0.97856719999999997</v>
      </c>
      <c r="Y2476">
        <v>-0.46131030000000001</v>
      </c>
      <c r="Z2476">
        <v>4.965464E-2</v>
      </c>
      <c r="AA2476">
        <v>0.88584830000000003</v>
      </c>
      <c r="AB2476">
        <v>32</v>
      </c>
      <c r="AC2476">
        <v>-0.27930000000003402</v>
      </c>
      <c r="AD2476">
        <v>-0.11548</v>
      </c>
      <c r="AE2476">
        <v>-0.74599999999998001</v>
      </c>
      <c r="AF2476">
        <v>-0.41883570294681</v>
      </c>
      <c r="AG2476">
        <v>-0.11548</v>
      </c>
      <c r="AH2476">
        <v>0.65821557213121196</v>
      </c>
      <c r="AI2476">
        <v>98.419689439586193</v>
      </c>
      <c r="AJ2476">
        <v>122.469410862855</v>
      </c>
      <c r="AK2476">
        <v>0.78867402382668095</v>
      </c>
      <c r="AL2476">
        <v>90.824296441489906</v>
      </c>
      <c r="AM2476">
        <v>101.85558938249601</v>
      </c>
      <c r="AN2476">
        <v>0.99999995574695699</v>
      </c>
    </row>
    <row r="2477" spans="1:40" x14ac:dyDescent="0.25">
      <c r="A2477" t="str">
        <f>"20190312151546232"</f>
        <v>20190312151546232</v>
      </c>
      <c r="B2477" t="str">
        <f>"1552374946229642"</f>
        <v>1552374946229642</v>
      </c>
      <c r="C2477" t="s">
        <v>40</v>
      </c>
      <c r="D2477">
        <v>4.387753</v>
      </c>
      <c r="E2477">
        <v>0.3949261</v>
      </c>
      <c r="F2477" t="s">
        <v>41</v>
      </c>
      <c r="G2477">
        <v>-487.15890000000002</v>
      </c>
      <c r="H2477">
        <v>1.0002960000000001</v>
      </c>
      <c r="I2477">
        <v>276.48259999999999</v>
      </c>
      <c r="J2477">
        <v>-486.8571</v>
      </c>
      <c r="K2477">
        <v>1.1218790000000001</v>
      </c>
      <c r="L2477">
        <v>277.28339999999997</v>
      </c>
      <c r="M2477">
        <v>-0.79407939999999999</v>
      </c>
      <c r="N2477">
        <v>0</v>
      </c>
      <c r="O2477">
        <v>-0.60765130000000001</v>
      </c>
      <c r="P2477">
        <v>-0.65136190000000005</v>
      </c>
      <c r="Q2477">
        <v>-2.1828730000000001E-2</v>
      </c>
      <c r="R2477">
        <v>-0.75845359999999995</v>
      </c>
      <c r="S2477">
        <v>-1.322144</v>
      </c>
      <c r="T2477">
        <v>-0.38141659999999999</v>
      </c>
      <c r="U2477">
        <v>-2.8179020000000001</v>
      </c>
      <c r="V2477">
        <v>-0.206148</v>
      </c>
      <c r="W2477">
        <v>-1.438738E-2</v>
      </c>
      <c r="X2477">
        <v>0.97841500000000003</v>
      </c>
      <c r="Y2477">
        <v>-0.46119549999999998</v>
      </c>
      <c r="Z2477">
        <v>5.0425249999999998E-2</v>
      </c>
      <c r="AA2477">
        <v>0.8858646</v>
      </c>
      <c r="AB2477">
        <v>32</v>
      </c>
      <c r="AC2477">
        <v>-0.301800000000014</v>
      </c>
      <c r="AD2477">
        <v>-0.121583</v>
      </c>
      <c r="AE2477">
        <v>-0.80079999999998097</v>
      </c>
      <c r="AF2477">
        <v>-0.443600510989545</v>
      </c>
      <c r="AG2477">
        <v>-0.121583</v>
      </c>
      <c r="AH2477">
        <v>0.71196154897213204</v>
      </c>
      <c r="AI2477">
        <v>98.247017929183698</v>
      </c>
      <c r="AJ2477">
        <v>121.925715909804</v>
      </c>
      <c r="AK2477">
        <v>0.84761611974642304</v>
      </c>
      <c r="AL2477">
        <v>90.824364632449303</v>
      </c>
      <c r="AM2477">
        <v>101.897960185415</v>
      </c>
      <c r="AN2477">
        <v>0.99999995341613102</v>
      </c>
    </row>
    <row r="2478" spans="1:40" x14ac:dyDescent="0.25">
      <c r="A2478" t="str">
        <f>"20190312151546244"</f>
        <v>20190312151546244</v>
      </c>
      <c r="B2478" t="str">
        <f>"1552374946240377"</f>
        <v>1552374946240377</v>
      </c>
      <c r="C2478" t="s">
        <v>40</v>
      </c>
      <c r="D2478">
        <v>4.3782969999999999</v>
      </c>
      <c r="E2478">
        <v>0.39550269999999998</v>
      </c>
      <c r="F2478" t="s">
        <v>43</v>
      </c>
      <c r="G2478">
        <v>-490.71089999999998</v>
      </c>
      <c r="H2478" s="1">
        <v>-4.1923550000000001E-6</v>
      </c>
      <c r="I2478">
        <v>268.93560000000002</v>
      </c>
      <c r="J2478">
        <v>-486.97199999999998</v>
      </c>
      <c r="K2478">
        <v>1.1219330000000001</v>
      </c>
      <c r="L2478">
        <v>277.18729999999999</v>
      </c>
      <c r="M2478">
        <v>-0.78969259999999997</v>
      </c>
      <c r="N2478">
        <v>0</v>
      </c>
      <c r="O2478">
        <v>-0.61334100000000003</v>
      </c>
      <c r="P2478">
        <v>-0.64540050000000004</v>
      </c>
      <c r="Q2478">
        <v>-2.196702E-2</v>
      </c>
      <c r="R2478">
        <v>-0.7635286</v>
      </c>
      <c r="S2478">
        <v>-1.3040160000000001</v>
      </c>
      <c r="T2478">
        <v>-0.37961040000000001</v>
      </c>
      <c r="U2478">
        <v>-2.8246150000000001</v>
      </c>
      <c r="V2478">
        <v>-0.2067727</v>
      </c>
      <c r="W2478">
        <v>-1.455679E-2</v>
      </c>
      <c r="X2478">
        <v>0.9782807</v>
      </c>
      <c r="Y2478">
        <v>-0.46033010000000002</v>
      </c>
      <c r="Z2478">
        <v>5.1082610000000001E-2</v>
      </c>
      <c r="AA2478">
        <v>0.88627690000000003</v>
      </c>
      <c r="AB2478">
        <v>32</v>
      </c>
      <c r="AC2478">
        <v>-3.7389000000000001</v>
      </c>
      <c r="AD2478">
        <v>-1.1219371923549999</v>
      </c>
      <c r="AE2478">
        <v>-8.2516999999999694</v>
      </c>
      <c r="AF2478">
        <v>-4.1597055280259898</v>
      </c>
      <c r="AG2478">
        <v>-1.1219371923549999</v>
      </c>
      <c r="AH2478">
        <v>7.8934178584521097</v>
      </c>
      <c r="AI2478">
        <v>97.166979124127295</v>
      </c>
      <c r="AJ2478">
        <v>117.788516547976</v>
      </c>
      <c r="AK2478">
        <v>8.9926602644384399</v>
      </c>
      <c r="AL2478">
        <v>90.834072098036899</v>
      </c>
      <c r="AM2478">
        <v>101.93457421978999</v>
      </c>
      <c r="AN2478">
        <v>0.99999998879644203</v>
      </c>
    </row>
    <row r="2479" spans="1:40" x14ac:dyDescent="0.25">
      <c r="A2479" t="str">
        <f>"20190312151546255"</f>
        <v>20190312151546255</v>
      </c>
      <c r="B2479" t="str">
        <f>"1552374946250139"</f>
        <v>1552374946250139</v>
      </c>
      <c r="C2479" t="s">
        <v>40</v>
      </c>
      <c r="D2479">
        <v>4.308173</v>
      </c>
      <c r="E2479">
        <v>0.39619070000000001</v>
      </c>
      <c r="F2479" t="s">
        <v>41</v>
      </c>
      <c r="G2479">
        <v>-487.37259999999998</v>
      </c>
      <c r="H2479">
        <v>1.0036830000000001</v>
      </c>
      <c r="I2479">
        <v>276.30619999999999</v>
      </c>
      <c r="J2479">
        <v>-487.09879999999998</v>
      </c>
      <c r="K2479">
        <v>1.121993</v>
      </c>
      <c r="L2479">
        <v>277.08069999999998</v>
      </c>
      <c r="M2479">
        <v>-0.78478559999999997</v>
      </c>
      <c r="N2479">
        <v>0</v>
      </c>
      <c r="O2479">
        <v>-0.61960669999999995</v>
      </c>
      <c r="P2479">
        <v>-0.63886500000000002</v>
      </c>
      <c r="Q2479">
        <v>-2.2179379999999999E-2</v>
      </c>
      <c r="R2479">
        <v>-0.76899910000000005</v>
      </c>
      <c r="S2479">
        <v>-1.2858579999999999</v>
      </c>
      <c r="T2479">
        <v>-0.37976500000000002</v>
      </c>
      <c r="U2479">
        <v>-2.831299</v>
      </c>
      <c r="V2479">
        <v>-0.20731630000000001</v>
      </c>
      <c r="W2479">
        <v>-1.4799400000000001E-2</v>
      </c>
      <c r="X2479">
        <v>0.97816210000000003</v>
      </c>
      <c r="Y2479">
        <v>-0.45879510000000001</v>
      </c>
      <c r="Z2479">
        <v>5.2119449999999998E-2</v>
      </c>
      <c r="AA2479">
        <v>0.88701219999999903</v>
      </c>
      <c r="AB2479">
        <v>32</v>
      </c>
      <c r="AC2479">
        <v>-0.27379999999999399</v>
      </c>
      <c r="AD2479">
        <v>-0.118309999999999</v>
      </c>
      <c r="AE2479">
        <v>-0.77449999999998898</v>
      </c>
      <c r="AF2479">
        <v>-0.42930694163866101</v>
      </c>
      <c r="AG2479">
        <v>-0.118309999999999</v>
      </c>
      <c r="AH2479">
        <v>0.68070937585066604</v>
      </c>
      <c r="AI2479">
        <v>98.363105894500194</v>
      </c>
      <c r="AJ2479">
        <v>122.238638834469</v>
      </c>
      <c r="AK2479">
        <v>0.81342913680919005</v>
      </c>
      <c r="AL2479">
        <v>90.847974045752807</v>
      </c>
      <c r="AM2479">
        <v>101.96645568340401</v>
      </c>
      <c r="AN2479">
        <v>1.0000000821812201</v>
      </c>
    </row>
    <row r="2480" spans="1:40" x14ac:dyDescent="0.25">
      <c r="A2480" t="str">
        <f>"20190312151546265"</f>
        <v>20190312151546265</v>
      </c>
      <c r="B2480" t="str">
        <f>"1552374946259897"</f>
        <v>1552374946259897</v>
      </c>
      <c r="C2480" t="s">
        <v>40</v>
      </c>
      <c r="D2480">
        <v>4.3604599999999998</v>
      </c>
      <c r="E2480">
        <v>0.39675650000000001</v>
      </c>
      <c r="F2480" t="s">
        <v>41</v>
      </c>
      <c r="G2480">
        <v>-487.53980000000001</v>
      </c>
      <c r="H2480">
        <v>0.98995849999999996</v>
      </c>
      <c r="I2480">
        <v>276.09140000000002</v>
      </c>
      <c r="J2480">
        <v>-487.21859999999998</v>
      </c>
      <c r="K2480">
        <v>1.122045</v>
      </c>
      <c r="L2480">
        <v>276.9778</v>
      </c>
      <c r="M2480">
        <v>-0.78002919999999998</v>
      </c>
      <c r="N2480">
        <v>0</v>
      </c>
      <c r="O2480">
        <v>-0.62558389999999997</v>
      </c>
      <c r="P2480">
        <v>-0.63231490000000001</v>
      </c>
      <c r="Q2480">
        <v>-2.1774209999999999E-2</v>
      </c>
      <c r="R2480">
        <v>-0.77440549999999997</v>
      </c>
      <c r="S2480">
        <v>-1.265198</v>
      </c>
      <c r="T2480">
        <v>-0.37889420000000001</v>
      </c>
      <c r="U2480">
        <v>-2.839172</v>
      </c>
      <c r="V2480">
        <v>-0.20816570000000001</v>
      </c>
      <c r="W2480">
        <v>-1.443315E-2</v>
      </c>
      <c r="X2480">
        <v>0.9779871</v>
      </c>
      <c r="Y2480">
        <v>-0.45832970000000001</v>
      </c>
      <c r="Z2480">
        <v>5.2912059999999997E-2</v>
      </c>
      <c r="AA2480">
        <v>0.88720580000000004</v>
      </c>
      <c r="AB2480">
        <v>32</v>
      </c>
      <c r="AC2480">
        <v>-0.32120000000003301</v>
      </c>
      <c r="AD2480">
        <v>-0.1320865</v>
      </c>
      <c r="AE2480">
        <v>-0.88639999999997998</v>
      </c>
      <c r="AF2480">
        <v>-0.481086427526694</v>
      </c>
      <c r="AG2480">
        <v>-0.1320865</v>
      </c>
      <c r="AH2480">
        <v>0.78964400931421397</v>
      </c>
      <c r="AI2480">
        <v>98.129696659989193</v>
      </c>
      <c r="AJ2480">
        <v>121.351640851101</v>
      </c>
      <c r="AK2480">
        <v>0.93403889409300001</v>
      </c>
      <c r="AL2480">
        <v>90.826987276728701</v>
      </c>
      <c r="AM2480">
        <v>102.016149262829</v>
      </c>
      <c r="AN2480">
        <v>1.0000000211209099</v>
      </c>
    </row>
    <row r="2481" spans="1:40" x14ac:dyDescent="0.25">
      <c r="A2481" t="str">
        <f>"20190312151546277"</f>
        <v>20190312151546277</v>
      </c>
      <c r="B2481" t="str">
        <f>"1552374946269657"</f>
        <v>1552374946269657</v>
      </c>
      <c r="C2481" t="s">
        <v>40</v>
      </c>
      <c r="D2481">
        <v>4.3574840000000004</v>
      </c>
      <c r="E2481">
        <v>0.39675650000000001</v>
      </c>
      <c r="F2481" t="s">
        <v>41</v>
      </c>
      <c r="G2481">
        <v>-487.58980000000003</v>
      </c>
      <c r="H2481">
        <v>1.01017</v>
      </c>
      <c r="I2481">
        <v>276.12909999999999</v>
      </c>
      <c r="J2481">
        <v>-487.33120000000002</v>
      </c>
      <c r="K2481">
        <v>1.1220969999999999</v>
      </c>
      <c r="L2481">
        <v>276.88010000000003</v>
      </c>
      <c r="M2481">
        <v>-0.77548539999999999</v>
      </c>
      <c r="N2481">
        <v>0</v>
      </c>
      <c r="O2481">
        <v>-0.63120699999999996</v>
      </c>
      <c r="P2481">
        <v>-0.626378199999999</v>
      </c>
      <c r="Q2481">
        <v>-2.1923519999999998E-2</v>
      </c>
      <c r="R2481">
        <v>-0.77921090000000004</v>
      </c>
      <c r="S2481">
        <v>-1.2447809999999999</v>
      </c>
      <c r="T2481">
        <v>-0.37525429999999999</v>
      </c>
      <c r="U2481">
        <v>-2.8469850000000001</v>
      </c>
      <c r="V2481">
        <v>-0.20855879999999999</v>
      </c>
      <c r="W2481">
        <v>-1.4605659999999999E-2</v>
      </c>
      <c r="X2481">
        <v>0.97790069999999996</v>
      </c>
      <c r="Y2481">
        <v>-0.45815220000000001</v>
      </c>
      <c r="Z2481">
        <v>5.3243609999999997E-2</v>
      </c>
      <c r="AA2481">
        <v>0.88727769999999995</v>
      </c>
      <c r="AB2481">
        <v>32</v>
      </c>
      <c r="AC2481">
        <v>-0.258600000000001</v>
      </c>
      <c r="AD2481">
        <v>-0.111926999999999</v>
      </c>
      <c r="AE2481">
        <v>-0.75100000000003297</v>
      </c>
      <c r="AF2481">
        <v>-0.41103910792452297</v>
      </c>
      <c r="AG2481">
        <v>-0.111926999999999</v>
      </c>
      <c r="AH2481">
        <v>0.66150852691759698</v>
      </c>
      <c r="AI2481">
        <v>98.178277185105799</v>
      </c>
      <c r="AJ2481">
        <v>121.85542503980901</v>
      </c>
      <c r="AK2481">
        <v>0.78681276855239002</v>
      </c>
      <c r="AL2481">
        <v>90.836872482440697</v>
      </c>
      <c r="AM2481">
        <v>102.03921179564099</v>
      </c>
      <c r="AN2481">
        <v>0.99999993871098003</v>
      </c>
    </row>
    <row r="2482" spans="1:40" x14ac:dyDescent="0.25">
      <c r="A2482" t="str">
        <f>"20190312151546289"</f>
        <v>20190312151546289</v>
      </c>
      <c r="B2482" t="str">
        <f>"1552374946280393"</f>
        <v>1552374946280393</v>
      </c>
      <c r="C2482" t="s">
        <v>40</v>
      </c>
      <c r="D2482">
        <v>4.4057430000000002</v>
      </c>
      <c r="E2482">
        <v>0.41270829999999997</v>
      </c>
      <c r="F2482" t="s">
        <v>41</v>
      </c>
      <c r="G2482">
        <v>-487.74700000000001</v>
      </c>
      <c r="H2482">
        <v>0.99442379999999997</v>
      </c>
      <c r="I2482">
        <v>275.90899999999999</v>
      </c>
      <c r="J2482">
        <v>-487.45609999999999</v>
      </c>
      <c r="K2482">
        <v>1.1221509999999999</v>
      </c>
      <c r="L2482">
        <v>276.7697</v>
      </c>
      <c r="M2482">
        <v>-0.7703333</v>
      </c>
      <c r="N2482">
        <v>0</v>
      </c>
      <c r="O2482">
        <v>-0.63748439999999995</v>
      </c>
      <c r="P2482">
        <v>-0.61961790000000005</v>
      </c>
      <c r="Q2482">
        <v>-2.1854740000000001E-2</v>
      </c>
      <c r="R2482">
        <v>-0.78459999999999996</v>
      </c>
      <c r="S2482">
        <v>-1.2229920000000001</v>
      </c>
      <c r="T2482">
        <v>-0.3755424</v>
      </c>
      <c r="U2482">
        <v>-2.8563839999999998</v>
      </c>
      <c r="V2482">
        <v>-0.2090737</v>
      </c>
      <c r="W2482">
        <v>-1.456439E-2</v>
      </c>
      <c r="X2482">
        <v>0.97779139999999998</v>
      </c>
      <c r="Y2482">
        <v>-0.4577368</v>
      </c>
      <c r="Z2482">
        <v>5.4210609999999999E-2</v>
      </c>
      <c r="AA2482">
        <v>0.88743349999999899</v>
      </c>
      <c r="AB2482">
        <v>32</v>
      </c>
      <c r="AC2482">
        <v>-0.29089999999996502</v>
      </c>
      <c r="AD2482">
        <v>-0.12772720000000001</v>
      </c>
      <c r="AE2482">
        <v>-0.86070000000000801</v>
      </c>
      <c r="AF2482">
        <v>-0.46837229414103698</v>
      </c>
      <c r="AG2482">
        <v>-0.12772720000000001</v>
      </c>
      <c r="AH2482">
        <v>0.757871146757081</v>
      </c>
      <c r="AI2482">
        <v>98.158630683655701</v>
      </c>
      <c r="AJ2482">
        <v>121.716498805038</v>
      </c>
      <c r="AK2482">
        <v>0.90003084315242798</v>
      </c>
      <c r="AL2482">
        <v>90.834507601393199</v>
      </c>
      <c r="AM2482">
        <v>102.069373932593</v>
      </c>
      <c r="AN2482">
        <v>0.99999997770086002</v>
      </c>
    </row>
    <row r="2483" spans="1:40" x14ac:dyDescent="0.25">
      <c r="A2483" t="str">
        <f>"20190312151546301"</f>
        <v>20190312151546301</v>
      </c>
      <c r="B2483" t="str">
        <f>"1552374946290153"</f>
        <v>1552374946290153</v>
      </c>
      <c r="C2483" t="s">
        <v>40</v>
      </c>
      <c r="D2483">
        <v>4.416595</v>
      </c>
      <c r="E2483">
        <v>0.41266969999999997</v>
      </c>
      <c r="F2483" t="s">
        <v>43</v>
      </c>
      <c r="G2483">
        <v>-492.23930000000001</v>
      </c>
      <c r="H2483" s="1">
        <v>-3.5718369999999998E-6</v>
      </c>
      <c r="I2483">
        <v>266.52629999999999</v>
      </c>
      <c r="J2483">
        <v>-487.58690000000001</v>
      </c>
      <c r="K2483">
        <v>1.1222049999999999</v>
      </c>
      <c r="L2483">
        <v>276.65179999999998</v>
      </c>
      <c r="M2483">
        <v>-0.76480329999999996</v>
      </c>
      <c r="N2483">
        <v>0</v>
      </c>
      <c r="O2483">
        <v>-0.64410780000000001</v>
      </c>
      <c r="P2483">
        <v>-0.61235989999999996</v>
      </c>
      <c r="Q2483">
        <v>-2.1892229999999999E-2</v>
      </c>
      <c r="R2483">
        <v>-0.79027599999999998</v>
      </c>
      <c r="S2483">
        <v>-1.301544</v>
      </c>
      <c r="T2483">
        <v>-0.30534460000000002</v>
      </c>
      <c r="U2483">
        <v>-2.7872919999999999</v>
      </c>
      <c r="V2483">
        <v>-0.2096441</v>
      </c>
      <c r="W2483">
        <v>-1.463152E-2</v>
      </c>
      <c r="X2483">
        <v>0.97766830000000005</v>
      </c>
      <c r="Y2483">
        <v>-0.42096440000000002</v>
      </c>
      <c r="Z2483">
        <v>4.7014430000000003E-2</v>
      </c>
      <c r="AA2483">
        <v>0.90585789999999999</v>
      </c>
      <c r="AB2483">
        <v>32</v>
      </c>
      <c r="AC2483">
        <v>-4.6524000000000001</v>
      </c>
      <c r="AD2483">
        <v>-1.1222085718369901</v>
      </c>
      <c r="AE2483">
        <v>-10.125499999999899</v>
      </c>
      <c r="AF2483">
        <v>-4.7001762754353296</v>
      </c>
      <c r="AG2483">
        <v>-1.1222085718369901</v>
      </c>
      <c r="AH2483">
        <v>9.9798807927488493</v>
      </c>
      <c r="AI2483">
        <v>95.808685537021702</v>
      </c>
      <c r="AJ2483">
        <v>115.218802384177</v>
      </c>
      <c r="AK2483">
        <v>11.088238351349901</v>
      </c>
      <c r="AL2483">
        <v>90.838354243731601</v>
      </c>
      <c r="AM2483">
        <v>102.102811382114</v>
      </c>
      <c r="AN2483">
        <v>1.0000000174335999</v>
      </c>
    </row>
    <row r="2484" spans="1:40" x14ac:dyDescent="0.25">
      <c r="A2484" t="str">
        <f>"20190312151546316"</f>
        <v>20190312151546316</v>
      </c>
      <c r="B2484" t="str">
        <f>"1552374946310650"</f>
        <v>1552374946310650</v>
      </c>
      <c r="C2484" t="s">
        <v>40</v>
      </c>
      <c r="D2484">
        <v>4.4621510000000004</v>
      </c>
      <c r="E2484">
        <v>0.41365220000000003</v>
      </c>
      <c r="F2484" t="s">
        <v>41</v>
      </c>
      <c r="G2484">
        <v>-488.01870000000002</v>
      </c>
      <c r="H2484">
        <v>1.017374</v>
      </c>
      <c r="I2484">
        <v>275.7038</v>
      </c>
      <c r="J2484">
        <v>-487.73379999999997</v>
      </c>
      <c r="K2484">
        <v>1.1222639999999999</v>
      </c>
      <c r="L2484">
        <v>276.51749999999998</v>
      </c>
      <c r="M2484">
        <v>-0.75846709999999995</v>
      </c>
      <c r="N2484">
        <v>0</v>
      </c>
      <c r="O2484">
        <v>-0.65155680000000005</v>
      </c>
      <c r="P2484">
        <v>-0.60410850000000005</v>
      </c>
      <c r="Q2484">
        <v>-2.1955829999999999E-2</v>
      </c>
      <c r="R2484">
        <v>-0.79659990000000003</v>
      </c>
      <c r="S2484">
        <v>-1.2751459999999999</v>
      </c>
      <c r="T2484">
        <v>-0.30957259999999998</v>
      </c>
      <c r="U2484">
        <v>-2.7994690000000002</v>
      </c>
      <c r="V2484">
        <v>-0.21024419999999999</v>
      </c>
      <c r="W2484">
        <v>-1.4727179999999999E-2</v>
      </c>
      <c r="X2484">
        <v>0.97753800000000002</v>
      </c>
      <c r="Y2484">
        <v>-0.42068759999999999</v>
      </c>
      <c r="Z2484">
        <v>4.855868E-2</v>
      </c>
      <c r="AA2484">
        <v>0.90590510000000002</v>
      </c>
      <c r="AB2484">
        <v>32</v>
      </c>
      <c r="AC2484">
        <v>-0.28490000000005</v>
      </c>
      <c r="AD2484">
        <v>-0.104889999999999</v>
      </c>
      <c r="AE2484">
        <v>-0.81369999999998199</v>
      </c>
      <c r="AF2484">
        <v>-0.42528457708936401</v>
      </c>
      <c r="AG2484">
        <v>-0.104889999999999</v>
      </c>
      <c r="AH2484">
        <v>0.73544815324008295</v>
      </c>
      <c r="AI2484">
        <v>97.038348584707805</v>
      </c>
      <c r="AJ2484">
        <v>120.039330084931</v>
      </c>
      <c r="AK2484">
        <v>0.85600985374838301</v>
      </c>
      <c r="AL2484">
        <v>90.8438357400683</v>
      </c>
      <c r="AM2484">
        <v>102.137999454701</v>
      </c>
      <c r="AN2484">
        <v>1.00000002745419</v>
      </c>
    </row>
    <row r="2485" spans="1:40" x14ac:dyDescent="0.25">
      <c r="A2485" t="str">
        <f>"20190312151546329"</f>
        <v>20190312151546329</v>
      </c>
      <c r="B2485" t="str">
        <f>"1552374946320409"</f>
        <v>1552374946320409</v>
      </c>
      <c r="C2485" t="s">
        <v>40</v>
      </c>
      <c r="D2485">
        <v>4.4850430000000001</v>
      </c>
      <c r="E2485">
        <v>0.4142863</v>
      </c>
      <c r="F2485" t="s">
        <v>41</v>
      </c>
      <c r="G2485">
        <v>-488.16739999999999</v>
      </c>
      <c r="H2485">
        <v>1.0143759999999999</v>
      </c>
      <c r="I2485">
        <v>275.54590000000002</v>
      </c>
      <c r="J2485">
        <v>-487.87580000000003</v>
      </c>
      <c r="K2485">
        <v>1.1223179999999999</v>
      </c>
      <c r="L2485">
        <v>276.38490000000002</v>
      </c>
      <c r="M2485">
        <v>-0.75217709999999904</v>
      </c>
      <c r="N2485">
        <v>0</v>
      </c>
      <c r="O2485">
        <v>-0.658807699999999</v>
      </c>
      <c r="P2485">
        <v>-0.59611550000000002</v>
      </c>
      <c r="Q2485">
        <v>-2.191593E-2</v>
      </c>
      <c r="R2485">
        <v>-0.80259950000000002</v>
      </c>
      <c r="S2485">
        <v>-1.252075</v>
      </c>
      <c r="T2485">
        <v>-0.31165979999999999</v>
      </c>
      <c r="U2485">
        <v>-2.8079529999999999</v>
      </c>
      <c r="V2485">
        <v>-0.2106316</v>
      </c>
      <c r="W2485">
        <v>-1.4711E-2</v>
      </c>
      <c r="X2485">
        <v>0.97745479999999996</v>
      </c>
      <c r="Y2485">
        <v>-0.41923169999999998</v>
      </c>
      <c r="Z2485">
        <v>4.9846139999999997E-2</v>
      </c>
      <c r="AA2485">
        <v>0.90650989999999998</v>
      </c>
      <c r="AB2485">
        <v>32</v>
      </c>
      <c r="AC2485">
        <v>-0.291599999999959</v>
      </c>
      <c r="AD2485">
        <v>-0.107941999999999</v>
      </c>
      <c r="AE2485">
        <v>-0.83899999999999797</v>
      </c>
      <c r="AF2485">
        <v>-0.43262349482819701</v>
      </c>
      <c r="AG2485">
        <v>-0.107941999999999</v>
      </c>
      <c r="AH2485">
        <v>0.76091507938690806</v>
      </c>
      <c r="AI2485">
        <v>97.030199454843896</v>
      </c>
      <c r="AJ2485">
        <v>119.62069269440499</v>
      </c>
      <c r="AK2485">
        <v>0.88193328641102298</v>
      </c>
      <c r="AL2485">
        <v>90.842908629526093</v>
      </c>
      <c r="AM2485">
        <v>102.16070441982301</v>
      </c>
      <c r="AN2485">
        <v>0.99999998524129996</v>
      </c>
    </row>
    <row r="2486" spans="1:40" x14ac:dyDescent="0.25">
      <c r="A2486" t="str">
        <f>"20190312151546342"</f>
        <v>20190312151546342</v>
      </c>
      <c r="B2486" t="str">
        <f>"1552374946339929"</f>
        <v>1552374946339929</v>
      </c>
      <c r="C2486" t="s">
        <v>40</v>
      </c>
      <c r="D2486">
        <v>4.4615390000000001</v>
      </c>
      <c r="E2486">
        <v>0.4239598</v>
      </c>
      <c r="F2486" t="s">
        <v>43</v>
      </c>
      <c r="G2486">
        <v>-492.33530000000002</v>
      </c>
      <c r="H2486" s="1">
        <v>-3.4392870000000001E-6</v>
      </c>
      <c r="I2486">
        <v>266.15769999999998</v>
      </c>
      <c r="J2486">
        <v>-488.00740000000002</v>
      </c>
      <c r="K2486">
        <v>1.1223650000000001</v>
      </c>
      <c r="L2486">
        <v>276.2593</v>
      </c>
      <c r="M2486">
        <v>-0.74619569999999902</v>
      </c>
      <c r="N2486">
        <v>0</v>
      </c>
      <c r="O2486">
        <v>-0.66557409999999995</v>
      </c>
      <c r="P2486">
        <v>-0.58857519999999997</v>
      </c>
      <c r="Q2486">
        <v>-2.184908E-2</v>
      </c>
      <c r="R2486">
        <v>-0.80814710000000001</v>
      </c>
      <c r="S2486">
        <v>-1.2283630000000001</v>
      </c>
      <c r="T2486">
        <v>-0.30913970000000002</v>
      </c>
      <c r="U2486">
        <v>-2.8170470000000001</v>
      </c>
      <c r="V2486">
        <v>-0.21095659999999999</v>
      </c>
      <c r="W2486">
        <v>-1.466424E-2</v>
      </c>
      <c r="X2486">
        <v>0.97738539999999996</v>
      </c>
      <c r="Y2486">
        <v>-0.41852440000000002</v>
      </c>
      <c r="Z2486">
        <v>5.030511E-2</v>
      </c>
      <c r="AA2486">
        <v>0.90681129999999999</v>
      </c>
      <c r="AB2486">
        <v>32</v>
      </c>
      <c r="AC2486">
        <v>-4.3278999999999996</v>
      </c>
      <c r="AD2486">
        <v>-1.1223684392869999</v>
      </c>
      <c r="AE2486">
        <v>-10.101599999999999</v>
      </c>
      <c r="AF2486">
        <v>-4.6096251117711597</v>
      </c>
      <c r="AG2486">
        <v>-1.1223684392869999</v>
      </c>
      <c r="AH2486">
        <v>9.8510838083108592</v>
      </c>
      <c r="AI2486">
        <v>95.891758414628498</v>
      </c>
      <c r="AJ2486">
        <v>115.076339458809</v>
      </c>
      <c r="AK2486">
        <v>10.933993176463099</v>
      </c>
      <c r="AL2486">
        <v>90.840229199610505</v>
      </c>
      <c r="AM2486">
        <v>102.179747380451</v>
      </c>
      <c r="AN2486">
        <v>0.99999997357574799</v>
      </c>
    </row>
    <row r="2487" spans="1:40" x14ac:dyDescent="0.25">
      <c r="A2487" t="str">
        <f>"20190312151546356"</f>
        <v>20190312151546356</v>
      </c>
      <c r="B2487" t="str">
        <f>"1552374946350665"</f>
        <v>1552374946350665</v>
      </c>
      <c r="C2487" t="s">
        <v>40</v>
      </c>
      <c r="D2487">
        <v>4.4225440000000003</v>
      </c>
      <c r="E2487">
        <v>0.42531459999999999</v>
      </c>
      <c r="F2487" t="s">
        <v>43</v>
      </c>
      <c r="G2487">
        <v>-492.57229999999998</v>
      </c>
      <c r="H2487" s="1">
        <v>-3.5264650000000001E-6</v>
      </c>
      <c r="I2487">
        <v>266.214</v>
      </c>
      <c r="J2487">
        <v>-488.14240000000001</v>
      </c>
      <c r="K2487">
        <v>1.1224130000000001</v>
      </c>
      <c r="L2487">
        <v>276.12869999999998</v>
      </c>
      <c r="M2487">
        <v>-0.7399365</v>
      </c>
      <c r="N2487">
        <v>0</v>
      </c>
      <c r="O2487">
        <v>-0.6725257</v>
      </c>
      <c r="P2487">
        <v>-0.58026979999999995</v>
      </c>
      <c r="Q2487">
        <v>-2.1706030000000001E-2</v>
      </c>
      <c r="R2487">
        <v>-0.81413530000000001</v>
      </c>
      <c r="S2487">
        <v>-1.2645869999999999</v>
      </c>
      <c r="T2487">
        <v>-0.31092170000000002</v>
      </c>
      <c r="U2487">
        <v>-2.7827760000000001</v>
      </c>
      <c r="V2487">
        <v>-0.2118256</v>
      </c>
      <c r="W2487">
        <v>-1.456058E-2</v>
      </c>
      <c r="X2487">
        <v>0.97719900000000004</v>
      </c>
      <c r="Y2487">
        <v>-0.39607890000000001</v>
      </c>
      <c r="Z2487">
        <v>5.267049E-2</v>
      </c>
      <c r="AA2487">
        <v>0.91670469999999904</v>
      </c>
      <c r="AB2487">
        <v>32</v>
      </c>
      <c r="AC2487">
        <v>-4.4298999999999698</v>
      </c>
      <c r="AD2487">
        <v>-1.1224165264649999</v>
      </c>
      <c r="AE2487">
        <v>-9.9146999999999803</v>
      </c>
      <c r="AF2487">
        <v>-4.3114098381185801</v>
      </c>
      <c r="AG2487">
        <v>-1.1224165264649999</v>
      </c>
      <c r="AH2487">
        <v>9.8416059008976102</v>
      </c>
      <c r="AI2487">
        <v>95.963701562586607</v>
      </c>
      <c r="AJ2487">
        <v>113.657260228032</v>
      </c>
      <c r="AK2487">
        <v>10.803021816125799</v>
      </c>
      <c r="AL2487">
        <v>90.834289270678198</v>
      </c>
      <c r="AM2487">
        <v>102.230675316534</v>
      </c>
      <c r="AN2487">
        <v>0.99999999045314802</v>
      </c>
    </row>
    <row r="2488" spans="1:40" x14ac:dyDescent="0.25">
      <c r="A2488" t="str">
        <f>"20190312151546366"</f>
        <v>20190312151546366</v>
      </c>
      <c r="B2488" t="str">
        <f>"1552374946360425"</f>
        <v>1552374946360425</v>
      </c>
      <c r="C2488" t="s">
        <v>40</v>
      </c>
      <c r="D2488">
        <v>4.4931580000000002</v>
      </c>
      <c r="E2488">
        <v>0.42594609999999999</v>
      </c>
      <c r="F2488" t="s">
        <v>43</v>
      </c>
      <c r="G2488">
        <v>-492.59350000000001</v>
      </c>
      <c r="H2488" s="1">
        <v>-3.5044610000000001E-6</v>
      </c>
      <c r="I2488">
        <v>266.14960000000002</v>
      </c>
      <c r="J2488">
        <v>-488.25060000000002</v>
      </c>
      <c r="K2488">
        <v>1.122452</v>
      </c>
      <c r="L2488">
        <v>276.02170000000001</v>
      </c>
      <c r="M2488">
        <v>-0.73479799999999995</v>
      </c>
      <c r="N2488">
        <v>0</v>
      </c>
      <c r="O2488">
        <v>-0.67813590000000001</v>
      </c>
      <c r="P2488">
        <v>-0.57394709999999904</v>
      </c>
      <c r="Q2488">
        <v>-2.1844220000000001E-2</v>
      </c>
      <c r="R2488">
        <v>-0.81860129999999998</v>
      </c>
      <c r="S2488">
        <v>-1.244324</v>
      </c>
      <c r="T2488">
        <v>-0.31377650000000001</v>
      </c>
      <c r="U2488">
        <v>-2.7897029999999998</v>
      </c>
      <c r="V2488">
        <v>-0.2119509</v>
      </c>
      <c r="W2488">
        <v>-1.4709949999999999E-2</v>
      </c>
      <c r="X2488">
        <v>0.97716959999999997</v>
      </c>
      <c r="Y2488">
        <v>-0.39551799999999998</v>
      </c>
      <c r="Z2488">
        <v>5.3890279999999999E-2</v>
      </c>
      <c r="AA2488">
        <v>0.91687580000000002</v>
      </c>
      <c r="AB2488">
        <v>32</v>
      </c>
      <c r="AC2488">
        <v>-4.3428999999999798</v>
      </c>
      <c r="AD2488">
        <v>-1.1224555044610001</v>
      </c>
      <c r="AE2488">
        <v>-9.8720999999999801</v>
      </c>
      <c r="AF2488">
        <v>-4.2631851230757398</v>
      </c>
      <c r="AG2488">
        <v>-1.1224555044610001</v>
      </c>
      <c r="AH2488">
        <v>9.7808453235141801</v>
      </c>
      <c r="AI2488">
        <v>96.005516905177302</v>
      </c>
      <c r="AJ2488">
        <v>113.55098242698899</v>
      </c>
      <c r="AK2488">
        <v>10.728447650784201</v>
      </c>
      <c r="AL2488">
        <v>90.842848452617403</v>
      </c>
      <c r="AM2488">
        <v>102.238049184582</v>
      </c>
      <c r="AN2488">
        <v>0.99999999690198604</v>
      </c>
    </row>
    <row r="2489" spans="1:40" x14ac:dyDescent="0.25">
      <c r="A2489" t="str">
        <f>"20190312151546377"</f>
        <v>20190312151546377</v>
      </c>
      <c r="B2489" t="str">
        <f>"1552374946370185"</f>
        <v>1552374946370185</v>
      </c>
      <c r="C2489" t="s">
        <v>40</v>
      </c>
      <c r="D2489">
        <v>4.4665059999999999</v>
      </c>
      <c r="E2489">
        <v>0.4267319</v>
      </c>
      <c r="F2489" t="s">
        <v>43</v>
      </c>
      <c r="G2489">
        <v>-492.61419999999998</v>
      </c>
      <c r="H2489" s="1">
        <v>-3.4777670000000001E-6</v>
      </c>
      <c r="I2489">
        <v>266.0745</v>
      </c>
      <c r="J2489">
        <v>-488.35570000000001</v>
      </c>
      <c r="K2489">
        <v>1.1224889999999901</v>
      </c>
      <c r="L2489">
        <v>275.91640000000001</v>
      </c>
      <c r="M2489">
        <v>-0.72972109999999901</v>
      </c>
      <c r="N2489">
        <v>0</v>
      </c>
      <c r="O2489">
        <v>-0.68359559999999997</v>
      </c>
      <c r="P2489">
        <v>-0.56748009999999904</v>
      </c>
      <c r="Q2489">
        <v>-2.177283E-2</v>
      </c>
      <c r="R2489">
        <v>-0.82309969999999999</v>
      </c>
      <c r="S2489">
        <v>-1.226685</v>
      </c>
      <c r="T2489">
        <v>-0.31553730000000002</v>
      </c>
      <c r="U2489">
        <v>-2.7962950000000002</v>
      </c>
      <c r="V2489">
        <v>-0.21236579999999999</v>
      </c>
      <c r="W2489">
        <v>-1.4659439999999999E-2</v>
      </c>
      <c r="X2489">
        <v>0.97708030000000001</v>
      </c>
      <c r="Y2489">
        <v>-0.39433869999999999</v>
      </c>
      <c r="Z2489">
        <v>5.4928539999999998E-2</v>
      </c>
      <c r="AA2489">
        <v>0.91732210000000003</v>
      </c>
      <c r="AB2489">
        <v>32</v>
      </c>
      <c r="AC2489">
        <v>-4.2584999999999598</v>
      </c>
      <c r="AD2489">
        <v>-1.12249247776699</v>
      </c>
      <c r="AE2489">
        <v>-9.8419000000000096</v>
      </c>
      <c r="AF2489">
        <v>-4.224895633379</v>
      </c>
      <c r="AG2489">
        <v>-1.12249247776699</v>
      </c>
      <c r="AH2489">
        <v>9.7297952138319506</v>
      </c>
      <c r="AI2489">
        <v>96.040606268971402</v>
      </c>
      <c r="AJ2489">
        <v>113.471568502406</v>
      </c>
      <c r="AK2489">
        <v>10.666707429131799</v>
      </c>
      <c r="AL2489">
        <v>90.839954109266898</v>
      </c>
      <c r="AM2489">
        <v>102.262368172789</v>
      </c>
      <c r="AN2489">
        <v>1.0000000224194201</v>
      </c>
    </row>
    <row r="2490" spans="1:40" x14ac:dyDescent="0.25">
      <c r="A2490" t="str">
        <f>"20190312151546388"</f>
        <v>20190312151546388</v>
      </c>
      <c r="B2490" t="str">
        <f>"1552374946379945"</f>
        <v>1552374946379945</v>
      </c>
      <c r="C2490" t="s">
        <v>40</v>
      </c>
      <c r="D2490">
        <v>4.4353439999999997</v>
      </c>
      <c r="E2490">
        <v>0.42789310000000003</v>
      </c>
      <c r="F2490" t="s">
        <v>43</v>
      </c>
      <c r="G2490">
        <v>-492.64519999999999</v>
      </c>
      <c r="H2490" s="1">
        <v>-3.4440649999999999E-6</v>
      </c>
      <c r="I2490">
        <v>265.97669999999999</v>
      </c>
      <c r="J2490">
        <v>-488.46730000000002</v>
      </c>
      <c r="K2490">
        <v>1.1225259999999999</v>
      </c>
      <c r="L2490">
        <v>275.80290000000002</v>
      </c>
      <c r="M2490">
        <v>-0.72422359999999997</v>
      </c>
      <c r="N2490">
        <v>0</v>
      </c>
      <c r="O2490">
        <v>-0.68941699999999995</v>
      </c>
      <c r="P2490">
        <v>-0.56047729999999996</v>
      </c>
      <c r="Q2490">
        <v>-2.1847869999999998E-2</v>
      </c>
      <c r="R2490">
        <v>-0.8278818</v>
      </c>
      <c r="S2490">
        <v>-1.2094419999999999</v>
      </c>
      <c r="T2490">
        <v>-0.31649080000000002</v>
      </c>
      <c r="U2490">
        <v>-2.8025509999999998</v>
      </c>
      <c r="V2490">
        <v>-0.21282480000000001</v>
      </c>
      <c r="W2490">
        <v>-1.4757070000000001E-2</v>
      </c>
      <c r="X2490">
        <v>0.97697900000000004</v>
      </c>
      <c r="Y2490">
        <v>-0.39250459999999998</v>
      </c>
      <c r="Z2490">
        <v>5.590792E-2</v>
      </c>
      <c r="AA2490">
        <v>0.91804929999999996</v>
      </c>
      <c r="AB2490">
        <v>32</v>
      </c>
      <c r="AC2490">
        <v>-4.1778999999999602</v>
      </c>
      <c r="AD2490">
        <v>-1.122529444065</v>
      </c>
      <c r="AE2490">
        <v>-9.8262000000000196</v>
      </c>
      <c r="AF2490">
        <v>-4.1901721863378798</v>
      </c>
      <c r="AG2490">
        <v>-1.122529444065</v>
      </c>
      <c r="AH2490">
        <v>9.6939434863792595</v>
      </c>
      <c r="AI2490">
        <v>96.067317931740902</v>
      </c>
      <c r="AJ2490">
        <v>113.376240820408</v>
      </c>
      <c r="AK2490">
        <v>10.6202709768191</v>
      </c>
      <c r="AL2490">
        <v>90.845548463958906</v>
      </c>
      <c r="AM2490">
        <v>102.289302585657</v>
      </c>
      <c r="AN2490">
        <v>1.00000006652551</v>
      </c>
    </row>
    <row r="2491" spans="1:40" x14ac:dyDescent="0.25">
      <c r="A2491" t="str">
        <f>"20190312151546400"</f>
        <v>20190312151546400</v>
      </c>
      <c r="B2491" t="str">
        <f>"1552374946389706"</f>
        <v>1552374946389706</v>
      </c>
      <c r="C2491" t="s">
        <v>40</v>
      </c>
      <c r="D2491">
        <v>4.4945950000000003</v>
      </c>
      <c r="E2491">
        <v>0.42867440000000001</v>
      </c>
      <c r="F2491" t="s">
        <v>43</v>
      </c>
      <c r="G2491">
        <v>-492.6857</v>
      </c>
      <c r="H2491" s="1">
        <v>-3.4141609999999998E-6</v>
      </c>
      <c r="I2491">
        <v>265.88189999999997</v>
      </c>
      <c r="J2491">
        <v>-488.57709999999997</v>
      </c>
      <c r="K2491">
        <v>1.1225609999999999</v>
      </c>
      <c r="L2491">
        <v>275.68920000000003</v>
      </c>
      <c r="M2491">
        <v>-0.71870540000000005</v>
      </c>
      <c r="N2491">
        <v>0</v>
      </c>
      <c r="O2491">
        <v>-0.6951676</v>
      </c>
      <c r="P2491">
        <v>-0.5535814</v>
      </c>
      <c r="Q2491">
        <v>-2.1902049999999999E-2</v>
      </c>
      <c r="R2491">
        <v>-0.83250729999999995</v>
      </c>
      <c r="S2491">
        <v>-1.1936040000000001</v>
      </c>
      <c r="T2491">
        <v>-0.3176271</v>
      </c>
      <c r="U2491">
        <v>-2.80722</v>
      </c>
      <c r="V2491">
        <v>-0.2131488</v>
      </c>
      <c r="W2491">
        <v>-1.4828539999999999E-2</v>
      </c>
      <c r="X2491">
        <v>0.97690719999999998</v>
      </c>
      <c r="Y2491">
        <v>-0.3901329</v>
      </c>
      <c r="Z2491">
        <v>5.6954539999999998E-2</v>
      </c>
      <c r="AA2491">
        <v>0.91899540000000002</v>
      </c>
      <c r="AB2491">
        <v>32</v>
      </c>
      <c r="AC2491">
        <v>-4.1086000000000196</v>
      </c>
      <c r="AD2491">
        <v>-1.1225644141610001</v>
      </c>
      <c r="AE2491">
        <v>-9.8073000000000494</v>
      </c>
      <c r="AF2491">
        <v>-4.1466067511103297</v>
      </c>
      <c r="AG2491">
        <v>-1.1225644141610001</v>
      </c>
      <c r="AH2491">
        <v>9.6638809715497196</v>
      </c>
      <c r="AI2491">
        <v>96.093184825354498</v>
      </c>
      <c r="AJ2491">
        <v>113.22334712846499</v>
      </c>
      <c r="AK2491">
        <v>10.5756840840002</v>
      </c>
      <c r="AL2491">
        <v>90.849643908757102</v>
      </c>
      <c r="AM2491">
        <v>102.308318747367</v>
      </c>
      <c r="AN2491">
        <v>0.99999998697590498</v>
      </c>
    </row>
    <row r="2492" spans="1:40" x14ac:dyDescent="0.25">
      <c r="A2492" t="str">
        <f>"20190312151546411"</f>
        <v>20190312151546411</v>
      </c>
      <c r="B2492" t="str">
        <f>"1552374946400442"</f>
        <v>1552374946400442</v>
      </c>
      <c r="C2492" t="s">
        <v>40</v>
      </c>
      <c r="D2492">
        <v>4.5562449999999997</v>
      </c>
      <c r="E2492">
        <v>0.42867440000000001</v>
      </c>
      <c r="F2492" t="s">
        <v>43</v>
      </c>
      <c r="G2492">
        <v>-492.75369999999998</v>
      </c>
      <c r="H2492" s="1">
        <v>-3.3508550000000002E-6</v>
      </c>
      <c r="I2492">
        <v>265.69209999999998</v>
      </c>
      <c r="J2492">
        <v>-488.68880000000001</v>
      </c>
      <c r="K2492">
        <v>1.1225940000000001</v>
      </c>
      <c r="L2492">
        <v>275.57229999999998</v>
      </c>
      <c r="M2492">
        <v>-0.71300249999999998</v>
      </c>
      <c r="N2492">
        <v>0</v>
      </c>
      <c r="O2492">
        <v>-0.70101519999999995</v>
      </c>
      <c r="P2492">
        <v>-0.54629369999999999</v>
      </c>
      <c r="Q2492">
        <v>-2.1922879999999999E-2</v>
      </c>
      <c r="R2492">
        <v>-0.83730720000000003</v>
      </c>
      <c r="S2492">
        <v>-1.1755070000000001</v>
      </c>
      <c r="T2492">
        <v>-0.31594489999999997</v>
      </c>
      <c r="U2492">
        <v>-2.81366</v>
      </c>
      <c r="V2492">
        <v>-0.21369369999999999</v>
      </c>
      <c r="W2492">
        <v>-1.4874739999999999E-2</v>
      </c>
      <c r="X2492">
        <v>0.97678739999999997</v>
      </c>
      <c r="Y2492">
        <v>-0.38840200000000003</v>
      </c>
      <c r="Z2492">
        <v>5.7469119999999999E-2</v>
      </c>
      <c r="AA2492">
        <v>0.91969619999999996</v>
      </c>
      <c r="AB2492">
        <v>32</v>
      </c>
      <c r="AC2492">
        <v>-4.0648999999999598</v>
      </c>
      <c r="AD2492">
        <v>-1.122597350855</v>
      </c>
      <c r="AE2492">
        <v>-9.8802000000000003</v>
      </c>
      <c r="AF2492">
        <v>-4.1496650061213698</v>
      </c>
      <c r="AG2492">
        <v>-1.122597350855</v>
      </c>
      <c r="AH2492">
        <v>9.7181649806733592</v>
      </c>
      <c r="AI2492">
        <v>96.064111601114405</v>
      </c>
      <c r="AJ2492">
        <v>113.122524850484</v>
      </c>
      <c r="AK2492">
        <v>10.6265081314023</v>
      </c>
      <c r="AL2492">
        <v>90.852291305780696</v>
      </c>
      <c r="AM2492">
        <v>102.340288365826</v>
      </c>
      <c r="AN2492">
        <v>0.99999994005425596</v>
      </c>
    </row>
    <row r="2493" spans="1:40" x14ac:dyDescent="0.25">
      <c r="A2493" t="str">
        <f>"20190312151546422"</f>
        <v>20190312151546422</v>
      </c>
      <c r="B2493" t="str">
        <f>"1552374946419962"</f>
        <v>1552374946419962</v>
      </c>
      <c r="C2493" t="s">
        <v>40</v>
      </c>
      <c r="D2493">
        <v>4.3101010000000004</v>
      </c>
      <c r="E2493">
        <v>0.39350489999999999</v>
      </c>
      <c r="F2493" t="s">
        <v>43</v>
      </c>
      <c r="G2493">
        <v>-492.77670000000001</v>
      </c>
      <c r="H2493" s="1">
        <v>-3.2942129999999999E-6</v>
      </c>
      <c r="I2493">
        <v>265.54579999999999</v>
      </c>
      <c r="J2493">
        <v>-488.7903</v>
      </c>
      <c r="K2493">
        <v>1.122625</v>
      </c>
      <c r="L2493">
        <v>275.4633</v>
      </c>
      <c r="M2493">
        <v>-0.70768450000000005</v>
      </c>
      <c r="N2493">
        <v>0</v>
      </c>
      <c r="O2493">
        <v>-0.70638310000000004</v>
      </c>
      <c r="P2493">
        <v>-0.53979540000000004</v>
      </c>
      <c r="Q2493">
        <v>-2.1996390000000001E-2</v>
      </c>
      <c r="R2493">
        <v>-0.84150899999999995</v>
      </c>
      <c r="S2493">
        <v>-1.1512150000000001</v>
      </c>
      <c r="T2493">
        <v>-0.31613550000000001</v>
      </c>
      <c r="U2493">
        <v>-2.8235779999999999</v>
      </c>
      <c r="V2493">
        <v>-0.213869</v>
      </c>
      <c r="W2493">
        <v>-1.4959190000000001E-2</v>
      </c>
      <c r="X2493">
        <v>0.97674780000000005</v>
      </c>
      <c r="Y2493">
        <v>-0.3893645</v>
      </c>
      <c r="Z2493">
        <v>5.812962E-2</v>
      </c>
      <c r="AA2493">
        <v>0.91924760000000005</v>
      </c>
      <c r="AB2493">
        <v>32</v>
      </c>
      <c r="AC2493">
        <v>-3.9864000000000002</v>
      </c>
      <c r="AD2493">
        <v>-1.1226282942129999</v>
      </c>
      <c r="AE2493">
        <v>-9.9175000000000093</v>
      </c>
      <c r="AF2493">
        <v>-4.1571095576948096</v>
      </c>
      <c r="AG2493">
        <v>-1.1226282942129999</v>
      </c>
      <c r="AH2493">
        <v>9.7204498520134397</v>
      </c>
      <c r="AI2493">
        <v>96.061415733674707</v>
      </c>
      <c r="AJ2493">
        <v>113.154767024054</v>
      </c>
      <c r="AK2493">
        <v>10.6315097463696</v>
      </c>
      <c r="AL2493">
        <v>90.857130425408002</v>
      </c>
      <c r="AM2493">
        <v>102.35058631435599</v>
      </c>
      <c r="AN2493">
        <v>0.99999999566564801</v>
      </c>
    </row>
    <row r="2494" spans="1:40" x14ac:dyDescent="0.25">
      <c r="A2494" t="str">
        <f>"20190312151546434"</f>
        <v>20190312151546434</v>
      </c>
      <c r="B2494" t="str">
        <f>"1552374946429721"</f>
        <v>1552374946429721</v>
      </c>
      <c r="C2494" t="s">
        <v>40</v>
      </c>
      <c r="D2494">
        <v>4.435397</v>
      </c>
      <c r="E2494">
        <v>0.39350489999999999</v>
      </c>
      <c r="F2494" t="s">
        <v>41</v>
      </c>
      <c r="G2494">
        <v>-489.07209999999998</v>
      </c>
      <c r="H2494">
        <v>1.0268520000000001</v>
      </c>
      <c r="I2494">
        <v>274.5222</v>
      </c>
      <c r="J2494">
        <v>-488.89710000000002</v>
      </c>
      <c r="K2494">
        <v>1.122655</v>
      </c>
      <c r="L2494">
        <v>275.34800000000001</v>
      </c>
      <c r="M2494">
        <v>-0.70202580000000003</v>
      </c>
      <c r="N2494">
        <v>0</v>
      </c>
      <c r="O2494">
        <v>-0.71200699999999995</v>
      </c>
      <c r="P2494">
        <v>-0.53273519999999996</v>
      </c>
      <c r="Q2494">
        <v>-2.2061750000000001E-2</v>
      </c>
      <c r="R2494">
        <v>-0.84599480000000005</v>
      </c>
      <c r="S2494">
        <v>-0.89355469999999904</v>
      </c>
      <c r="T2494">
        <v>-0.3036876</v>
      </c>
      <c r="U2494">
        <v>-2.9839479999999998</v>
      </c>
      <c r="V2494">
        <v>-0.21424460000000001</v>
      </c>
      <c r="W2494">
        <v>-1.504321E-2</v>
      </c>
      <c r="X2494">
        <v>0.97666419999999998</v>
      </c>
      <c r="Y2494">
        <v>-0.4686109</v>
      </c>
      <c r="Z2494">
        <v>5.2200940000000001E-2</v>
      </c>
      <c r="AA2494">
        <v>0.88186109999999895</v>
      </c>
      <c r="AB2494">
        <v>32</v>
      </c>
      <c r="AC2494">
        <v>-0.174999999999954</v>
      </c>
      <c r="AD2494">
        <v>-9.5802999999999805E-2</v>
      </c>
      <c r="AE2494">
        <v>-0.82580000000001497</v>
      </c>
      <c r="AF2494">
        <v>-0.44939018484966198</v>
      </c>
      <c r="AG2494">
        <v>-9.5802999999999805E-2</v>
      </c>
      <c r="AH2494">
        <v>0.70186276141251702</v>
      </c>
      <c r="AI2494">
        <v>96.557583780882595</v>
      </c>
      <c r="AJ2494">
        <v>122.630709352182</v>
      </c>
      <c r="AK2494">
        <v>0.838892775571358</v>
      </c>
      <c r="AL2494">
        <v>90.8619449521006</v>
      </c>
      <c r="AM2494">
        <v>102.372635594367</v>
      </c>
      <c r="AN2494">
        <v>1.00000000317895</v>
      </c>
    </row>
    <row r="2495" spans="1:40" x14ac:dyDescent="0.25">
      <c r="A2495" t="str">
        <f>"20190312151546445"</f>
        <v>20190312151546445</v>
      </c>
      <c r="B2495" t="str">
        <f>"1552374946440457"</f>
        <v>1552374946440457</v>
      </c>
      <c r="C2495" t="s">
        <v>40</v>
      </c>
      <c r="D2495">
        <v>4.4217750000000002</v>
      </c>
      <c r="E2495">
        <v>0.33221489999999998</v>
      </c>
      <c r="F2495" t="s">
        <v>41</v>
      </c>
      <c r="G2495">
        <v>-489.20549999999997</v>
      </c>
      <c r="H2495">
        <v>1.0148619999999999</v>
      </c>
      <c r="I2495">
        <v>274.28680000000003</v>
      </c>
      <c r="J2495">
        <v>-489.01170000000002</v>
      </c>
      <c r="K2495">
        <v>1.1226860000000001</v>
      </c>
      <c r="L2495">
        <v>275.221</v>
      </c>
      <c r="M2495">
        <v>-0.69578999999999902</v>
      </c>
      <c r="N2495">
        <v>0</v>
      </c>
      <c r="O2495">
        <v>-0.71810169999999995</v>
      </c>
      <c r="P2495">
        <v>-0.52495289999999994</v>
      </c>
      <c r="Q2495">
        <v>-2.2205909999999999E-2</v>
      </c>
      <c r="R2495">
        <v>-0.85084179999999998</v>
      </c>
      <c r="S2495">
        <v>-0.86831669999999905</v>
      </c>
      <c r="T2495">
        <v>-0.3036798</v>
      </c>
      <c r="U2495">
        <v>-2.9913940000000001</v>
      </c>
      <c r="V2495">
        <v>-0.21467710000000001</v>
      </c>
      <c r="W2495">
        <v>-1.520767E-2</v>
      </c>
      <c r="X2495">
        <v>0.97656670000000001</v>
      </c>
      <c r="Y2495">
        <v>-0.46836990000000001</v>
      </c>
      <c r="Z2495">
        <v>5.2950829999999997E-2</v>
      </c>
      <c r="AA2495">
        <v>0.88194439999999996</v>
      </c>
      <c r="AB2495">
        <v>32</v>
      </c>
      <c r="AC2495">
        <v>-0.19379999999995301</v>
      </c>
      <c r="AD2495">
        <v>-0.107823999999999</v>
      </c>
      <c r="AE2495">
        <v>-0.93419999999997505</v>
      </c>
      <c r="AF2495">
        <v>-0.50444887159089002</v>
      </c>
      <c r="AG2495">
        <v>-0.107823999999999</v>
      </c>
      <c r="AH2495">
        <v>0.79561634907261503</v>
      </c>
      <c r="AI2495">
        <v>96.529418210463405</v>
      </c>
      <c r="AJ2495">
        <v>122.376141065773</v>
      </c>
      <c r="AK2495">
        <v>0.94820886619824396</v>
      </c>
      <c r="AL2495">
        <v>90.871368875008201</v>
      </c>
      <c r="AM2495">
        <v>102.398040403203</v>
      </c>
      <c r="AN2495">
        <v>1.00000002502006</v>
      </c>
    </row>
    <row r="2496" spans="1:40" x14ac:dyDescent="0.25">
      <c r="A2496" t="str">
        <f>"20190312151546457"</f>
        <v>20190312151546457</v>
      </c>
      <c r="B2496" t="str">
        <f>"1552374946450218"</f>
        <v>1552374946450218</v>
      </c>
      <c r="C2496" t="s">
        <v>40</v>
      </c>
      <c r="D2496">
        <v>4.4532020000000001</v>
      </c>
      <c r="E2496">
        <v>0.32867049999999998</v>
      </c>
      <c r="F2496" t="s">
        <v>41</v>
      </c>
      <c r="G2496">
        <v>-489.14</v>
      </c>
      <c r="H2496">
        <v>1.0536239999999999</v>
      </c>
      <c r="I2496">
        <v>274.24590000000001</v>
      </c>
      <c r="J2496">
        <v>-489.11169999999998</v>
      </c>
      <c r="K2496">
        <v>1.1227119999999999</v>
      </c>
      <c r="L2496">
        <v>275.10890000000001</v>
      </c>
      <c r="M2496">
        <v>-0.69026679999999996</v>
      </c>
      <c r="N2496">
        <v>0</v>
      </c>
      <c r="O2496">
        <v>-0.7234121</v>
      </c>
      <c r="P2496">
        <v>-0.51834449999999999</v>
      </c>
      <c r="Q2496">
        <v>-2.2365820000000002E-2</v>
      </c>
      <c r="R2496">
        <v>-0.85487969999999902</v>
      </c>
      <c r="S2496">
        <v>-0.42752079999999998</v>
      </c>
      <c r="T2496">
        <v>-0.23047039999999999</v>
      </c>
      <c r="U2496">
        <v>-3.2561650000000002</v>
      </c>
      <c r="V2496">
        <v>-0.214752</v>
      </c>
      <c r="W2496">
        <v>-1.537446E-2</v>
      </c>
      <c r="X2496">
        <v>0.97654759999999996</v>
      </c>
      <c r="Y2496">
        <v>-0.59018909999999902</v>
      </c>
      <c r="Z2496">
        <v>3.4884289999999998E-2</v>
      </c>
      <c r="AA2496">
        <v>0.80651099999999998</v>
      </c>
      <c r="AB2496">
        <v>32</v>
      </c>
      <c r="AC2496">
        <v>-2.8300000000001501E-2</v>
      </c>
      <c r="AD2496">
        <v>-6.9088000000000205E-2</v>
      </c>
      <c r="AE2496">
        <v>-0.86299999999999899</v>
      </c>
      <c r="AF2496">
        <v>-0.57162756885306498</v>
      </c>
      <c r="AG2496">
        <v>-6.9088000000000205E-2</v>
      </c>
      <c r="AH2496">
        <v>0.63980966399013295</v>
      </c>
      <c r="AI2496">
        <v>94.603800620860397</v>
      </c>
      <c r="AJ2496">
        <v>131.778678141093</v>
      </c>
      <c r="AK2496">
        <v>0.860748299650968</v>
      </c>
      <c r="AL2496">
        <v>90.880926372637205</v>
      </c>
      <c r="AM2496">
        <v>102.40246726089001</v>
      </c>
      <c r="AN2496">
        <v>1.00000000529502</v>
      </c>
    </row>
    <row r="2497" spans="1:40" x14ac:dyDescent="0.25">
      <c r="A2497" t="str">
        <f>"20190312151546467"</f>
        <v>20190312151546467</v>
      </c>
      <c r="B2497" t="str">
        <f>"1552374946459977"</f>
        <v>1552374946459977</v>
      </c>
      <c r="C2497" t="s">
        <v>40</v>
      </c>
      <c r="D2497">
        <v>4.4517769999999999</v>
      </c>
      <c r="E2497">
        <v>0.32747929999999997</v>
      </c>
      <c r="F2497" t="s">
        <v>43</v>
      </c>
      <c r="G2497">
        <v>-490.94119999999998</v>
      </c>
      <c r="H2497" s="1">
        <v>-4.34604499999999E-6</v>
      </c>
      <c r="I2497">
        <v>259.2672</v>
      </c>
      <c r="J2497">
        <v>-489.21609999999998</v>
      </c>
      <c r="K2497">
        <v>1.12273</v>
      </c>
      <c r="L2497">
        <v>274.98989999999998</v>
      </c>
      <c r="M2497">
        <v>-0.68438669999999902</v>
      </c>
      <c r="N2497">
        <v>0</v>
      </c>
      <c r="O2497">
        <v>-0.7289776</v>
      </c>
      <c r="P2497">
        <v>-0.5112447</v>
      </c>
      <c r="Q2497">
        <v>-2.2068620000000001E-2</v>
      </c>
      <c r="R2497">
        <v>-0.85915229999999998</v>
      </c>
      <c r="S2497">
        <v>-0.37808229999999998</v>
      </c>
      <c r="T2497">
        <v>-0.2320219</v>
      </c>
      <c r="U2497">
        <v>-3.2738649999999998</v>
      </c>
      <c r="V2497">
        <v>-0.214949</v>
      </c>
      <c r="W2497">
        <v>-1.508779E-2</v>
      </c>
      <c r="X2497">
        <v>0.97650870000000001</v>
      </c>
      <c r="Y2497">
        <v>-0.596194</v>
      </c>
      <c r="Z2497">
        <v>3.5322859999999998E-2</v>
      </c>
      <c r="AA2497">
        <v>0.80206299999999997</v>
      </c>
      <c r="AB2497">
        <v>32</v>
      </c>
      <c r="AC2497">
        <v>-1.7250999999999901</v>
      </c>
      <c r="AD2497">
        <v>-1.1227343460449899</v>
      </c>
      <c r="AE2497">
        <v>-15.7226999999999</v>
      </c>
      <c r="AF2497">
        <v>-9.4561837085023299</v>
      </c>
      <c r="AG2497">
        <v>-1.1227343460449899</v>
      </c>
      <c r="AH2497">
        <v>12.5800523284656</v>
      </c>
      <c r="AI2497">
        <v>94.080576662976398</v>
      </c>
      <c r="AJ2497">
        <v>126.93148143332</v>
      </c>
      <c r="AK2497">
        <v>15.7777583746128</v>
      </c>
      <c r="AL2497">
        <v>90.864499509982096</v>
      </c>
      <c r="AM2497">
        <v>102.413971125684</v>
      </c>
      <c r="AN2497">
        <v>0.99999997759188597</v>
      </c>
    </row>
    <row r="2498" spans="1:40" x14ac:dyDescent="0.25">
      <c r="A2498" t="str">
        <f>"20190312151546479"</f>
        <v>20190312151546479</v>
      </c>
      <c r="B2498" t="str">
        <f>"1552374946469738"</f>
        <v>1552374946469738</v>
      </c>
      <c r="C2498" t="s">
        <v>40</v>
      </c>
      <c r="D2498">
        <v>4.4620550000000003</v>
      </c>
      <c r="E2498">
        <v>0.32769110000000001</v>
      </c>
      <c r="F2498" t="s">
        <v>41</v>
      </c>
      <c r="G2498">
        <v>-489.31540000000001</v>
      </c>
      <c r="H2498">
        <v>1.054487</v>
      </c>
      <c r="I2498">
        <v>274.03809999999999</v>
      </c>
      <c r="J2498">
        <v>-489.31259999999997</v>
      </c>
      <c r="K2498">
        <v>1.1227549999999999</v>
      </c>
      <c r="L2498">
        <v>274.87799999999999</v>
      </c>
      <c r="M2498">
        <v>-0.67884709999999904</v>
      </c>
      <c r="N2498">
        <v>0</v>
      </c>
      <c r="O2498">
        <v>-0.73413869999999903</v>
      </c>
      <c r="P2498">
        <v>-0.50471149999999998</v>
      </c>
      <c r="Q2498">
        <v>-2.224172E-2</v>
      </c>
      <c r="R2498">
        <v>-0.86300180000000004</v>
      </c>
      <c r="S2498">
        <v>-0.34292600000000001</v>
      </c>
      <c r="T2498">
        <v>-0.2353481</v>
      </c>
      <c r="U2498">
        <v>-3.2817690000000002</v>
      </c>
      <c r="V2498">
        <v>-0.2149549</v>
      </c>
      <c r="W2498">
        <v>-1.5264389999999999E-2</v>
      </c>
      <c r="X2498">
        <v>0.9765047</v>
      </c>
      <c r="Y2498">
        <v>-0.59882009999999997</v>
      </c>
      <c r="Z2498">
        <v>3.6193349999999999E-2</v>
      </c>
      <c r="AA2498">
        <v>0.80006529999999998</v>
      </c>
      <c r="AB2498">
        <v>32</v>
      </c>
      <c r="AC2498">
        <v>-2.8000000000361E-3</v>
      </c>
      <c r="AD2498">
        <v>-6.8267999999999704E-2</v>
      </c>
      <c r="AE2498">
        <v>-0.83989999999999998</v>
      </c>
      <c r="AF2498">
        <v>-0.56443791047332403</v>
      </c>
      <c r="AG2498">
        <v>-6.8267999999999704E-2</v>
      </c>
      <c r="AH2498">
        <v>0.61450811091054003</v>
      </c>
      <c r="AI2498">
        <v>94.677386878434504</v>
      </c>
      <c r="AJ2498">
        <v>132.568092070413</v>
      </c>
      <c r="AK2498">
        <v>0.83718032285663102</v>
      </c>
      <c r="AL2498">
        <v>90.874619073304402</v>
      </c>
      <c r="AM2498">
        <v>102.414350579744</v>
      </c>
      <c r="AN2498">
        <v>1.0000000198790799</v>
      </c>
    </row>
    <row r="2499" spans="1:40" x14ac:dyDescent="0.25">
      <c r="A2499" t="str">
        <f>"20190312151546490"</f>
        <v>20190312151546490</v>
      </c>
      <c r="B2499" t="str">
        <f>"1552374946480474"</f>
        <v>1552374946480474</v>
      </c>
      <c r="C2499" t="s">
        <v>40</v>
      </c>
      <c r="D2499">
        <v>4.4917259999999999</v>
      </c>
      <c r="E2499">
        <v>0.3287272</v>
      </c>
      <c r="F2499" t="s">
        <v>43</v>
      </c>
      <c r="G2499">
        <v>-490.79899999999998</v>
      </c>
      <c r="H2499" s="1">
        <v>-4.4208199999999998E-6</v>
      </c>
      <c r="I2499">
        <v>259.56110000000001</v>
      </c>
      <c r="J2499">
        <v>-489.42039999999997</v>
      </c>
      <c r="K2499">
        <v>1.122779</v>
      </c>
      <c r="L2499">
        <v>274.75139999999999</v>
      </c>
      <c r="M2499">
        <v>-0.6725563</v>
      </c>
      <c r="N2499">
        <v>0</v>
      </c>
      <c r="O2499">
        <v>-0.73990579999999995</v>
      </c>
      <c r="P2499">
        <v>-0.4972104</v>
      </c>
      <c r="Q2499">
        <v>-2.2215740000000001E-2</v>
      </c>
      <c r="R2499">
        <v>-0.86734579999999994</v>
      </c>
      <c r="S2499">
        <v>-0.31866460000000002</v>
      </c>
      <c r="T2499">
        <v>-0.2407012</v>
      </c>
      <c r="U2499">
        <v>-3.2836910000000001</v>
      </c>
      <c r="V2499">
        <v>-0.21508630000000001</v>
      </c>
      <c r="W2499">
        <v>-1.52465E-2</v>
      </c>
      <c r="X2499">
        <v>0.97647600000000001</v>
      </c>
      <c r="Y2499">
        <v>-0.59788479999999999</v>
      </c>
      <c r="Z2499">
        <v>3.7622379999999997E-2</v>
      </c>
      <c r="AA2499">
        <v>0.80069869999999899</v>
      </c>
      <c r="AB2499">
        <v>32</v>
      </c>
      <c r="AC2499">
        <v>-1.37860000000006</v>
      </c>
      <c r="AD2499">
        <v>-1.12278342082</v>
      </c>
      <c r="AE2499">
        <v>-15.190299999999899</v>
      </c>
      <c r="AF2499">
        <v>-9.1476830230637596</v>
      </c>
      <c r="AG2499">
        <v>-1.12278342082</v>
      </c>
      <c r="AH2499">
        <v>12.1022604619105</v>
      </c>
      <c r="AI2499">
        <v>94.232792112001107</v>
      </c>
      <c r="AJ2499">
        <v>127.084382189127</v>
      </c>
      <c r="AK2499">
        <v>15.212016815282601</v>
      </c>
      <c r="AL2499">
        <v>90.873593971398407</v>
      </c>
      <c r="AM2499">
        <v>102.422057620074</v>
      </c>
      <c r="AN2499">
        <v>0.99999997539296903</v>
      </c>
    </row>
    <row r="2500" spans="1:40" x14ac:dyDescent="0.25">
      <c r="A2500" t="str">
        <f>"20190312151546503"</f>
        <v>20190312151546503</v>
      </c>
      <c r="B2500" t="str">
        <f>"1552374946499993"</f>
        <v>1552374946499993</v>
      </c>
      <c r="C2500" t="s">
        <v>40</v>
      </c>
      <c r="D2500">
        <v>4.4671029999999998</v>
      </c>
      <c r="E2500">
        <v>0.33086939999999998</v>
      </c>
      <c r="F2500" t="s">
        <v>41</v>
      </c>
      <c r="G2500">
        <v>-489.50319999999999</v>
      </c>
      <c r="H2500">
        <v>1.053604</v>
      </c>
      <c r="I2500">
        <v>273.83679999999998</v>
      </c>
      <c r="J2500">
        <v>-489.53230000000002</v>
      </c>
      <c r="K2500">
        <v>1.1228070000000001</v>
      </c>
      <c r="L2500">
        <v>274.61680000000001</v>
      </c>
      <c r="M2500">
        <v>-0.66586969999999901</v>
      </c>
      <c r="N2500">
        <v>0</v>
      </c>
      <c r="O2500">
        <v>-0.745928699999999</v>
      </c>
      <c r="P2500">
        <v>-0.48925039999999997</v>
      </c>
      <c r="Q2500">
        <v>-2.211024E-2</v>
      </c>
      <c r="R2500">
        <v>-0.8718629</v>
      </c>
      <c r="S2500">
        <v>-0.29718020000000001</v>
      </c>
      <c r="T2500">
        <v>-0.2482259</v>
      </c>
      <c r="U2500">
        <v>-3.2820740000000002</v>
      </c>
      <c r="V2500">
        <v>-0.21524070000000001</v>
      </c>
      <c r="W2500">
        <v>-1.514944E-2</v>
      </c>
      <c r="X2500">
        <v>0.97644350000000002</v>
      </c>
      <c r="Y2500">
        <v>-0.59582579999999996</v>
      </c>
      <c r="Z2500">
        <v>3.9525730000000002E-2</v>
      </c>
      <c r="AA2500">
        <v>0.80214049999999903</v>
      </c>
      <c r="AB2500">
        <v>32</v>
      </c>
      <c r="AC2500">
        <v>2.91000000000281E-2</v>
      </c>
      <c r="AD2500">
        <v>-6.9202999999999903E-2</v>
      </c>
      <c r="AE2500">
        <v>-0.780000000000029</v>
      </c>
      <c r="AF2500">
        <v>-0.53692062352221004</v>
      </c>
      <c r="AG2500">
        <v>-6.9202999999999903E-2</v>
      </c>
      <c r="AH2500">
        <v>0.55811889975402595</v>
      </c>
      <c r="AI2500">
        <v>95.106219456529004</v>
      </c>
      <c r="AJ2500">
        <v>133.89098060013399</v>
      </c>
      <c r="AK2500">
        <v>0.77754068538895305</v>
      </c>
      <c r="AL2500">
        <v>90.868032190826597</v>
      </c>
      <c r="AM2500">
        <v>102.431098587739</v>
      </c>
      <c r="AN2500">
        <v>0.99999998658052602</v>
      </c>
    </row>
    <row r="2501" spans="1:40" x14ac:dyDescent="0.25">
      <c r="A2501" t="str">
        <f>"20190312151546516"</f>
        <v>20190312151546516</v>
      </c>
      <c r="B2501" t="str">
        <f>"1552374946509753"</f>
        <v>1552374946509753</v>
      </c>
      <c r="C2501" t="s">
        <v>40</v>
      </c>
      <c r="D2501">
        <v>4.4670239999999897</v>
      </c>
      <c r="E2501">
        <v>0.33182489999999998</v>
      </c>
      <c r="F2501" t="s">
        <v>41</v>
      </c>
      <c r="G2501">
        <v>-489.62</v>
      </c>
      <c r="H2501">
        <v>1.039703</v>
      </c>
      <c r="I2501">
        <v>273.5933</v>
      </c>
      <c r="J2501">
        <v>-489.64659999999998</v>
      </c>
      <c r="K2501">
        <v>1.1228309999999999</v>
      </c>
      <c r="L2501">
        <v>274.47750000000002</v>
      </c>
      <c r="M2501">
        <v>-0.65891880000000003</v>
      </c>
      <c r="N2501">
        <v>0</v>
      </c>
      <c r="O2501">
        <v>-0.75207570000000001</v>
      </c>
      <c r="P2501">
        <v>-0.48110799999999998</v>
      </c>
      <c r="Q2501">
        <v>-2.200411E-2</v>
      </c>
      <c r="R2501">
        <v>-0.87638530000000003</v>
      </c>
      <c r="S2501">
        <v>-0.28097529999999998</v>
      </c>
      <c r="T2501">
        <v>-0.26607819999999999</v>
      </c>
      <c r="U2501">
        <v>-3.2764890000000002</v>
      </c>
      <c r="V2501">
        <v>-0.21527969999999999</v>
      </c>
      <c r="W2501">
        <v>-1.504758E-2</v>
      </c>
      <c r="X2501">
        <v>0.97643650000000004</v>
      </c>
      <c r="Y2501">
        <v>-0.59217109999999995</v>
      </c>
      <c r="Z2501">
        <v>4.3258030000000003E-2</v>
      </c>
      <c r="AA2501">
        <v>0.80465030000000004</v>
      </c>
      <c r="AB2501">
        <v>32</v>
      </c>
      <c r="AC2501">
        <v>2.6599999999973499E-2</v>
      </c>
      <c r="AD2501">
        <v>-8.3127999999999799E-2</v>
      </c>
      <c r="AE2501">
        <v>-0.88420000000002097</v>
      </c>
      <c r="AF2501">
        <v>-0.59740834375055396</v>
      </c>
      <c r="AG2501">
        <v>-8.3127999999999799E-2</v>
      </c>
      <c r="AH2501">
        <v>0.64185736721313802</v>
      </c>
      <c r="AI2501">
        <v>95.415584383145003</v>
      </c>
      <c r="AJ2501">
        <v>132.94583988271799</v>
      </c>
      <c r="AK2501">
        <v>0.88078821144050401</v>
      </c>
      <c r="AL2501">
        <v>90.862195358227098</v>
      </c>
      <c r="AM2501">
        <v>102.43336732920299</v>
      </c>
      <c r="AN2501">
        <v>1.0000000087140899</v>
      </c>
    </row>
    <row r="2502" spans="1:40" x14ac:dyDescent="0.25">
      <c r="A2502" t="str">
        <f>"20190312151546529"</f>
        <v>20190312151546529</v>
      </c>
      <c r="B2502" t="str">
        <f>"1552374946520489"</f>
        <v>1552374946520489</v>
      </c>
      <c r="C2502" t="s">
        <v>40</v>
      </c>
      <c r="D2502">
        <v>4.4463739999999996</v>
      </c>
      <c r="E2502">
        <v>0.3327792</v>
      </c>
      <c r="F2502" t="s">
        <v>43</v>
      </c>
      <c r="G2502">
        <v>-490.70370000000003</v>
      </c>
      <c r="H2502" s="1">
        <v>-7.9396979999999997E-7</v>
      </c>
      <c r="I2502">
        <v>261.0034</v>
      </c>
      <c r="J2502">
        <v>-489.75639999999999</v>
      </c>
      <c r="K2502">
        <v>1.122849</v>
      </c>
      <c r="L2502">
        <v>274.3408</v>
      </c>
      <c r="M2502">
        <v>-0.65208409999999895</v>
      </c>
      <c r="N2502">
        <v>0</v>
      </c>
      <c r="O2502">
        <v>-0.75800919999999905</v>
      </c>
      <c r="P2502">
        <v>-0.4728774</v>
      </c>
      <c r="Q2502">
        <v>-2.1826829999999998E-2</v>
      </c>
      <c r="R2502">
        <v>-0.88085800000000003</v>
      </c>
      <c r="S2502">
        <v>-0.25695800000000002</v>
      </c>
      <c r="T2502">
        <v>-0.27293149999999999</v>
      </c>
      <c r="U2502">
        <v>-3.2752080000000001</v>
      </c>
      <c r="V2502">
        <v>-0.21559590000000001</v>
      </c>
      <c r="W2502">
        <v>-1.488401E-2</v>
      </c>
      <c r="X2502">
        <v>0.97636920000000005</v>
      </c>
      <c r="Y2502">
        <v>-0.59071010000000002</v>
      </c>
      <c r="Z2502">
        <v>4.5140230000000003E-2</v>
      </c>
      <c r="AA2502">
        <v>0.80562019999999901</v>
      </c>
      <c r="AB2502">
        <v>32</v>
      </c>
      <c r="AC2502">
        <v>-0.947300000000041</v>
      </c>
      <c r="AD2502">
        <v>-1.1228497939697999</v>
      </c>
      <c r="AE2502">
        <v>-13.337400000000001</v>
      </c>
      <c r="AF2502">
        <v>-7.9239953828340104</v>
      </c>
      <c r="AG2502">
        <v>-1.1228497939697999</v>
      </c>
      <c r="AH2502">
        <v>10.653579436174599</v>
      </c>
      <c r="AI2502">
        <v>94.833928394137999</v>
      </c>
      <c r="AJ2502">
        <v>126.64139621380799</v>
      </c>
      <c r="AK2502">
        <v>13.3247607591984</v>
      </c>
      <c r="AL2502">
        <v>90.852822470714898</v>
      </c>
      <c r="AM2502">
        <v>102.451891626134</v>
      </c>
      <c r="AN2502">
        <v>0.999999970279564</v>
      </c>
    </row>
    <row r="2503" spans="1:40" x14ac:dyDescent="0.25">
      <c r="A2503" t="str">
        <f>"20190312151546546"</f>
        <v>20190312151546546</v>
      </c>
      <c r="B2503" t="str">
        <f>"1552374946540009"</f>
        <v>1552374946540009</v>
      </c>
      <c r="C2503" t="s">
        <v>40</v>
      </c>
      <c r="D2503">
        <v>4.5009360000000003</v>
      </c>
      <c r="E2503">
        <v>0.33475630000000001</v>
      </c>
      <c r="F2503" t="s">
        <v>41</v>
      </c>
      <c r="G2503">
        <v>-489.82350000000002</v>
      </c>
      <c r="H2503">
        <v>1.0434099999999999</v>
      </c>
      <c r="I2503">
        <v>273.40050000000002</v>
      </c>
      <c r="J2503">
        <v>-489.90660000000003</v>
      </c>
      <c r="K2503">
        <v>1.122878</v>
      </c>
      <c r="L2503">
        <v>274.14940000000001</v>
      </c>
      <c r="M2503">
        <v>-0.64249690000000004</v>
      </c>
      <c r="N2503">
        <v>0</v>
      </c>
      <c r="O2503">
        <v>-0.7661519</v>
      </c>
      <c r="P2503">
        <v>-0.46129540000000002</v>
      </c>
      <c r="Q2503">
        <v>-2.1109309999999999E-2</v>
      </c>
      <c r="R2503">
        <v>-0.88699539999999999</v>
      </c>
      <c r="S2503">
        <v>-0.2332458</v>
      </c>
      <c r="T2503">
        <v>-0.27650619999999998</v>
      </c>
      <c r="U2503">
        <v>-3.2737430000000001</v>
      </c>
      <c r="V2503">
        <v>-0.21614040000000001</v>
      </c>
      <c r="W2503">
        <v>-1.418812E-2</v>
      </c>
      <c r="X2503">
        <v>0.97625919999999999</v>
      </c>
      <c r="Y2503">
        <v>-0.5863351</v>
      </c>
      <c r="Z2503">
        <v>4.6880440000000002E-2</v>
      </c>
      <c r="AA2503">
        <v>0.80871090000000001</v>
      </c>
      <c r="AB2503">
        <v>32</v>
      </c>
      <c r="AC2503">
        <v>8.31000000000017E-2</v>
      </c>
      <c r="AD2503">
        <v>-7.9468000000000094E-2</v>
      </c>
      <c r="AE2503">
        <v>-0.74889999999999102</v>
      </c>
      <c r="AF2503">
        <v>-0.53889595179803396</v>
      </c>
      <c r="AG2503">
        <v>-7.9468000000000094E-2</v>
      </c>
      <c r="AH2503">
        <v>0.51470894250399302</v>
      </c>
      <c r="AI2503">
        <v>96.086947330201994</v>
      </c>
      <c r="AJ2503">
        <v>136.31507569470401</v>
      </c>
      <c r="AK2503">
        <v>0.74943265566819794</v>
      </c>
      <c r="AL2503">
        <v>90.812946671170394</v>
      </c>
      <c r="AM2503">
        <v>102.48371748697301</v>
      </c>
      <c r="AN2503">
        <v>1.0000000004229599</v>
      </c>
    </row>
    <row r="2504" spans="1:40" x14ac:dyDescent="0.25">
      <c r="A2504" t="str">
        <f>"20190312151546557"</f>
        <v>20190312151546557</v>
      </c>
      <c r="B2504" t="str">
        <f>"1552374946549769"</f>
        <v>1552374946549769</v>
      </c>
      <c r="C2504" t="s">
        <v>40</v>
      </c>
      <c r="D2504">
        <v>4.5005499999999996</v>
      </c>
      <c r="E2504">
        <v>0.33567390000000003</v>
      </c>
      <c r="F2504" t="s">
        <v>41</v>
      </c>
      <c r="G2504">
        <v>-489.9674</v>
      </c>
      <c r="H2504">
        <v>1.036683</v>
      </c>
      <c r="I2504">
        <v>273.17329999999998</v>
      </c>
      <c r="J2504">
        <v>-489.99930000000001</v>
      </c>
      <c r="K2504">
        <v>1.122892</v>
      </c>
      <c r="L2504">
        <v>274.02910000000003</v>
      </c>
      <c r="M2504">
        <v>-0.63645569999999996</v>
      </c>
      <c r="N2504">
        <v>0</v>
      </c>
      <c r="O2504">
        <v>-0.77117789999999997</v>
      </c>
      <c r="P2504">
        <v>-0.45411610000000002</v>
      </c>
      <c r="Q2504">
        <v>-2.1066600000000001E-2</v>
      </c>
      <c r="R2504">
        <v>-0.89069370000000003</v>
      </c>
      <c r="S2504">
        <v>-0.20358280000000001</v>
      </c>
      <c r="T2504">
        <v>-0.28870590000000002</v>
      </c>
      <c r="U2504">
        <v>-3.269501</v>
      </c>
      <c r="V2504">
        <v>-0.21635470000000001</v>
      </c>
      <c r="W2504">
        <v>-1.4154460000000001E-2</v>
      </c>
      <c r="X2504">
        <v>0.97621219999999997</v>
      </c>
      <c r="Y2504">
        <v>-0.58718729999999997</v>
      </c>
      <c r="Z2504">
        <v>4.960817E-2</v>
      </c>
      <c r="AA2504">
        <v>0.80792949999999997</v>
      </c>
      <c r="AB2504">
        <v>32</v>
      </c>
      <c r="AC2504">
        <v>3.1900000000007298E-2</v>
      </c>
      <c r="AD2504">
        <v>-8.6208999999999897E-2</v>
      </c>
      <c r="AE2504">
        <v>-0.85580000000004397</v>
      </c>
      <c r="AF2504">
        <v>-0.563627308529139</v>
      </c>
      <c r="AG2504">
        <v>-8.6208999999999897E-2</v>
      </c>
      <c r="AH2504">
        <v>0.633320175393699</v>
      </c>
      <c r="AI2504">
        <v>95.806173735769804</v>
      </c>
      <c r="AJ2504">
        <v>131.66768688293701</v>
      </c>
      <c r="AK2504">
        <v>0.85217496980462204</v>
      </c>
      <c r="AL2504">
        <v>90.811017916338699</v>
      </c>
      <c r="AM2504">
        <v>102.496289041301</v>
      </c>
      <c r="AN2504">
        <v>0.99999998218941</v>
      </c>
    </row>
    <row r="2505" spans="1:40" x14ac:dyDescent="0.25">
      <c r="A2505" t="str">
        <f>"20190312151546568"</f>
        <v>20190312151546568</v>
      </c>
      <c r="B2505" t="str">
        <f>"1552374946560506"</f>
        <v>1552374946560506</v>
      </c>
      <c r="C2505" t="s">
        <v>40</v>
      </c>
      <c r="D2505">
        <v>4.4445160000000001</v>
      </c>
      <c r="E2505">
        <v>0.33678819999999998</v>
      </c>
      <c r="F2505" t="s">
        <v>43</v>
      </c>
      <c r="G2505">
        <v>-490.70170000000002</v>
      </c>
      <c r="H2505" s="1">
        <v>-1.019962E-6</v>
      </c>
      <c r="I2505">
        <v>261.53149999999999</v>
      </c>
      <c r="J2505">
        <v>-490.09</v>
      </c>
      <c r="K2505">
        <v>1.122906</v>
      </c>
      <c r="L2505">
        <v>273.90910000000002</v>
      </c>
      <c r="M2505">
        <v>-0.63042580000000004</v>
      </c>
      <c r="N2505">
        <v>0</v>
      </c>
      <c r="O2505">
        <v>-0.77611490000000005</v>
      </c>
      <c r="P2505">
        <v>-0.44699220000000001</v>
      </c>
      <c r="Q2505">
        <v>-2.0972520000000001E-2</v>
      </c>
      <c r="R2505">
        <v>-0.89429239999999999</v>
      </c>
      <c r="S2505">
        <v>-0.18365480000000001</v>
      </c>
      <c r="T2505">
        <v>-0.29358430000000002</v>
      </c>
      <c r="U2505">
        <v>-3.2675480000000001</v>
      </c>
      <c r="V2505">
        <v>-0.21654209999999999</v>
      </c>
      <c r="W2505">
        <v>-1.406814E-2</v>
      </c>
      <c r="X2505">
        <v>0.97617189999999998</v>
      </c>
      <c r="Y2505">
        <v>-0.58575859999999902</v>
      </c>
      <c r="Z2505">
        <v>5.115919E-2</v>
      </c>
      <c r="AA2505">
        <v>0.80886939999999996</v>
      </c>
      <c r="AB2505">
        <v>32</v>
      </c>
      <c r="AC2505">
        <v>-0.61170000000004099</v>
      </c>
      <c r="AD2505">
        <v>-1.1229070199619999</v>
      </c>
      <c r="AE2505">
        <v>-12.377599999999999</v>
      </c>
      <c r="AF2505">
        <v>-7.2694905489656296</v>
      </c>
      <c r="AG2505">
        <v>-1.1229070199619999</v>
      </c>
      <c r="AH2505">
        <v>9.9117378023155993</v>
      </c>
      <c r="AI2505">
        <v>95.219724540771594</v>
      </c>
      <c r="AJ2505">
        <v>126.257156197073</v>
      </c>
      <c r="AK2505">
        <v>12.3429720601981</v>
      </c>
      <c r="AL2505">
        <v>90.806071648999307</v>
      </c>
      <c r="AM2505">
        <v>102.50727261021601</v>
      </c>
      <c r="AN2505">
        <v>0.99999998599253903</v>
      </c>
    </row>
    <row r="2506" spans="1:40" x14ac:dyDescent="0.25">
      <c r="A2506" t="str">
        <f>"20190312151546580"</f>
        <v>20190312151546580</v>
      </c>
      <c r="B2506" t="str">
        <f>"1552374946570266"</f>
        <v>1552374946570266</v>
      </c>
      <c r="C2506" t="s">
        <v>40</v>
      </c>
      <c r="D2506">
        <v>4.51633</v>
      </c>
      <c r="E2506">
        <v>0.33777020000000002</v>
      </c>
      <c r="F2506" t="s">
        <v>41</v>
      </c>
      <c r="G2506">
        <v>-490.13810000000001</v>
      </c>
      <c r="H2506">
        <v>1.036708</v>
      </c>
      <c r="I2506">
        <v>272.9597</v>
      </c>
      <c r="J2506">
        <v>-490.18439999999998</v>
      </c>
      <c r="K2506">
        <v>1.122919</v>
      </c>
      <c r="L2506">
        <v>273.78219999999999</v>
      </c>
      <c r="M2506">
        <v>-0.62403330000000001</v>
      </c>
      <c r="N2506">
        <v>0</v>
      </c>
      <c r="O2506">
        <v>-0.78126390000000001</v>
      </c>
      <c r="P2506">
        <v>-0.43937920000000003</v>
      </c>
      <c r="Q2506">
        <v>-2.102271E-2</v>
      </c>
      <c r="R2506">
        <v>-0.89805599999999997</v>
      </c>
      <c r="S2506">
        <v>-0.16516110000000001</v>
      </c>
      <c r="T2506">
        <v>-0.29635159999999899</v>
      </c>
      <c r="U2506">
        <v>-3.2651669999999999</v>
      </c>
      <c r="V2506">
        <v>-0.21681790000000001</v>
      </c>
      <c r="W2506">
        <v>-1.412918E-2</v>
      </c>
      <c r="X2506">
        <v>0.97610980000000003</v>
      </c>
      <c r="Y2506">
        <v>-0.58364320000000003</v>
      </c>
      <c r="Z2506">
        <v>5.2423020000000001E-2</v>
      </c>
      <c r="AA2506">
        <v>0.81031629999999999</v>
      </c>
      <c r="AB2506">
        <v>32</v>
      </c>
      <c r="AC2506">
        <v>4.62999999999738E-2</v>
      </c>
      <c r="AD2506">
        <v>-8.6210999999999996E-2</v>
      </c>
      <c r="AE2506">
        <v>-0.82249999999999002</v>
      </c>
      <c r="AF2506">
        <v>-0.543544666132041</v>
      </c>
      <c r="AG2506">
        <v>-8.6210999999999996E-2</v>
      </c>
      <c r="AH2506">
        <v>0.60711212671245596</v>
      </c>
      <c r="AI2506">
        <v>96.039211909266001</v>
      </c>
      <c r="AJ2506">
        <v>131.837937449831</v>
      </c>
      <c r="AK2506">
        <v>0.81942557624406198</v>
      </c>
      <c r="AL2506">
        <v>90.809569328980302</v>
      </c>
      <c r="AM2506">
        <v>102.523471942493</v>
      </c>
      <c r="AN2506">
        <v>0.99999998857196104</v>
      </c>
    </row>
    <row r="2507" spans="1:40" x14ac:dyDescent="0.25">
      <c r="A2507" t="str">
        <f>"20190312151546590"</f>
        <v>20190312151546590</v>
      </c>
      <c r="B2507" t="str">
        <f>"1552374946580026"</f>
        <v>1552374946580026</v>
      </c>
      <c r="C2507" t="s">
        <v>40</v>
      </c>
      <c r="D2507">
        <v>4.7262979999999999</v>
      </c>
      <c r="E2507">
        <v>0.33777020000000002</v>
      </c>
      <c r="F2507" t="s">
        <v>43</v>
      </c>
      <c r="G2507">
        <v>-490.72199999999998</v>
      </c>
      <c r="H2507" s="1">
        <v>-1.067877E-6</v>
      </c>
      <c r="I2507">
        <v>261.63060000000002</v>
      </c>
      <c r="J2507">
        <v>-490.27890000000002</v>
      </c>
      <c r="K2507">
        <v>1.12293</v>
      </c>
      <c r="L2507">
        <v>273.65339999999998</v>
      </c>
      <c r="M2507">
        <v>-0.61753579999999997</v>
      </c>
      <c r="N2507">
        <v>0</v>
      </c>
      <c r="O2507">
        <v>-0.78640959999999904</v>
      </c>
      <c r="P2507">
        <v>-0.43163869999999999</v>
      </c>
      <c r="Q2507">
        <v>-2.0840419999999998E-2</v>
      </c>
      <c r="R2507">
        <v>-0.90180579999999999</v>
      </c>
      <c r="S2507">
        <v>-0.14434810000000001</v>
      </c>
      <c r="T2507">
        <v>-0.3015196</v>
      </c>
      <c r="U2507">
        <v>-3.2628780000000002</v>
      </c>
      <c r="V2507">
        <v>-0.21713070000000001</v>
      </c>
      <c r="W2507">
        <v>-1.3958699999999999E-2</v>
      </c>
      <c r="X2507">
        <v>0.97604270000000004</v>
      </c>
      <c r="Y2507">
        <v>-0.58204009999999995</v>
      </c>
      <c r="Z2507">
        <v>5.4110449999999997E-2</v>
      </c>
      <c r="AA2507">
        <v>0.81135769999999996</v>
      </c>
      <c r="AB2507">
        <v>32</v>
      </c>
      <c r="AC2507">
        <v>-0.44309999999995803</v>
      </c>
      <c r="AD2507">
        <v>-1.1229310678769999</v>
      </c>
      <c r="AE2507">
        <v>-12.022799999999901</v>
      </c>
      <c r="AF2507">
        <v>-7.0156737702532803</v>
      </c>
      <c r="AG2507">
        <v>-1.1229310678769999</v>
      </c>
      <c r="AH2507">
        <v>9.6454656618072594</v>
      </c>
      <c r="AI2507">
        <v>95.378536456622996</v>
      </c>
      <c r="AJ2507">
        <v>126.030441221662</v>
      </c>
      <c r="AK2507">
        <v>11.9798021881384</v>
      </c>
      <c r="AL2507">
        <v>90.799800596451902</v>
      </c>
      <c r="AM2507">
        <v>102.54180308257401</v>
      </c>
      <c r="AN2507">
        <v>0.99999996920573397</v>
      </c>
    </row>
    <row r="2508" spans="1:40" x14ac:dyDescent="0.25">
      <c r="A2508" t="str">
        <f>"20190312151546602"</f>
        <v>20190312151546602</v>
      </c>
      <c r="B2508" t="str">
        <f>"1552374946600522"</f>
        <v>1552374946600522</v>
      </c>
      <c r="C2508" t="s">
        <v>40</v>
      </c>
      <c r="D2508">
        <v>4.5421719999999999</v>
      </c>
      <c r="E2508">
        <v>0.35816979999999998</v>
      </c>
      <c r="F2508" t="s">
        <v>41</v>
      </c>
      <c r="G2508">
        <v>-490.31110000000001</v>
      </c>
      <c r="H2508">
        <v>1.0391330000000001</v>
      </c>
      <c r="I2508">
        <v>272.74599999999998</v>
      </c>
      <c r="J2508">
        <v>-490.36950000000002</v>
      </c>
      <c r="K2508">
        <v>1.1229359999999999</v>
      </c>
      <c r="L2508">
        <v>273.52679999999998</v>
      </c>
      <c r="M2508">
        <v>-0.61115540000000002</v>
      </c>
      <c r="N2508">
        <v>0</v>
      </c>
      <c r="O2508">
        <v>-0.79137809999999997</v>
      </c>
      <c r="P2508">
        <v>-0.4240081</v>
      </c>
      <c r="Q2508">
        <v>-2.0833029999999999E-2</v>
      </c>
      <c r="R2508">
        <v>-0.90541879999999997</v>
      </c>
      <c r="S2508">
        <v>-0.1161499</v>
      </c>
      <c r="T2508">
        <v>-0.30150389999999999</v>
      </c>
      <c r="U2508">
        <v>-3.2640690000000001</v>
      </c>
      <c r="V2508">
        <v>-0.21747920000000001</v>
      </c>
      <c r="W2508">
        <v>-1.396414E-2</v>
      </c>
      <c r="X2508">
        <v>0.97596499999999997</v>
      </c>
      <c r="Y2508">
        <v>-0.58247939999999998</v>
      </c>
      <c r="Z2508">
        <v>5.473418E-2</v>
      </c>
      <c r="AA2508">
        <v>0.81100059999999996</v>
      </c>
      <c r="AB2508">
        <v>32</v>
      </c>
      <c r="AC2508">
        <v>5.8400000000005899E-2</v>
      </c>
      <c r="AD2508">
        <v>-8.3803000000000002E-2</v>
      </c>
      <c r="AE2508">
        <v>-0.78079999999999905</v>
      </c>
      <c r="AF2508">
        <v>-0.51753289162994198</v>
      </c>
      <c r="AG2508">
        <v>-8.3803000000000002E-2</v>
      </c>
      <c r="AH2508">
        <v>0.57568284801316805</v>
      </c>
      <c r="AI2508">
        <v>96.178595731791503</v>
      </c>
      <c r="AJ2508">
        <v>131.95521199188499</v>
      </c>
      <c r="AK2508">
        <v>0.77863597285535302</v>
      </c>
      <c r="AL2508">
        <v>90.800112338907795</v>
      </c>
      <c r="AM2508">
        <v>102.56226292306199</v>
      </c>
      <c r="AN2508">
        <v>0.99999994043178797</v>
      </c>
    </row>
    <row r="2509" spans="1:40" x14ac:dyDescent="0.25">
      <c r="A2509" t="str">
        <f>"20190312151546614"</f>
        <v>20190312151546614</v>
      </c>
      <c r="B2509" t="str">
        <f>"1552374946610282"</f>
        <v>1552374946610282</v>
      </c>
      <c r="C2509" t="s">
        <v>40</v>
      </c>
      <c r="D2509">
        <v>4.5152340000000004</v>
      </c>
      <c r="E2509">
        <v>0.35699109999999901</v>
      </c>
      <c r="F2509" t="s">
        <v>41</v>
      </c>
      <c r="G2509">
        <v>-490.44369999999998</v>
      </c>
      <c r="H2509">
        <v>1.0079769999999999</v>
      </c>
      <c r="I2509">
        <v>272.51240000000001</v>
      </c>
      <c r="J2509">
        <v>-490.4599</v>
      </c>
      <c r="K2509">
        <v>1.122946</v>
      </c>
      <c r="L2509">
        <v>273.3997</v>
      </c>
      <c r="M2509">
        <v>-0.60472139999999996</v>
      </c>
      <c r="N2509">
        <v>0</v>
      </c>
      <c r="O2509">
        <v>-0.79630540000000005</v>
      </c>
      <c r="P2509">
        <v>-0.41645280000000001</v>
      </c>
      <c r="Q2509">
        <v>-2.0541210000000001E-2</v>
      </c>
      <c r="R2509">
        <v>-0.90892550000000005</v>
      </c>
      <c r="S2509">
        <v>-0.2333374</v>
      </c>
      <c r="T2509">
        <v>-0.36208570000000001</v>
      </c>
      <c r="U2509">
        <v>-3.1958009999999999</v>
      </c>
      <c r="V2509">
        <v>-0.21771099999999999</v>
      </c>
      <c r="W2509">
        <v>-1.3680680000000001E-2</v>
      </c>
      <c r="X2509">
        <v>0.97591740000000005</v>
      </c>
      <c r="Y2509">
        <v>-0.54505139999999996</v>
      </c>
      <c r="Z2509">
        <v>6.93526E-2</v>
      </c>
      <c r="AA2509">
        <v>0.83552929999999903</v>
      </c>
      <c r="AB2509">
        <v>32</v>
      </c>
      <c r="AC2509">
        <v>1.62000000000261E-2</v>
      </c>
      <c r="AD2509">
        <v>-0.114968999999999</v>
      </c>
      <c r="AE2509">
        <v>-0.88729999999998199</v>
      </c>
      <c r="AF2509">
        <v>-0.54045646666602798</v>
      </c>
      <c r="AG2509">
        <v>-0.114968999999999</v>
      </c>
      <c r="AH2509">
        <v>0.68533621339205797</v>
      </c>
      <c r="AI2509">
        <v>97.504050335842905</v>
      </c>
      <c r="AJ2509">
        <v>128.25932899817701</v>
      </c>
      <c r="AK2509">
        <v>0.880339019190159</v>
      </c>
      <c r="AL2509">
        <v>90.783869673043299</v>
      </c>
      <c r="AM2509">
        <v>102.57582058994799</v>
      </c>
      <c r="AN2509">
        <v>1.00000000607451</v>
      </c>
    </row>
    <row r="2510" spans="1:40" x14ac:dyDescent="0.25">
      <c r="A2510" t="str">
        <f>"20190312151546624"</f>
        <v>20190312151546624</v>
      </c>
      <c r="B2510" t="str">
        <f>"1552374946620042"</f>
        <v>1552374946620042</v>
      </c>
      <c r="C2510" t="s">
        <v>40</v>
      </c>
      <c r="D2510">
        <v>4.5175039999999997</v>
      </c>
      <c r="E2510">
        <v>0.35317549999999998</v>
      </c>
      <c r="F2510" t="s">
        <v>43</v>
      </c>
      <c r="G2510">
        <v>-491.0847</v>
      </c>
      <c r="H2510" s="1">
        <v>-1.8943640000000001E-6</v>
      </c>
      <c r="I2510">
        <v>263.3322</v>
      </c>
      <c r="J2510">
        <v>-490.54969999999997</v>
      </c>
      <c r="K2510">
        <v>1.1229530000000001</v>
      </c>
      <c r="L2510">
        <v>273.2697</v>
      </c>
      <c r="M2510">
        <v>-0.59815229999999997</v>
      </c>
      <c r="N2510">
        <v>0</v>
      </c>
      <c r="O2510">
        <v>-0.80125150000000001</v>
      </c>
      <c r="P2510">
        <v>-0.40876479999999998</v>
      </c>
      <c r="Q2510">
        <v>-2.0434299999999999E-2</v>
      </c>
      <c r="R2510">
        <v>-0.91241119999999998</v>
      </c>
      <c r="S2510">
        <v>-0.19869999999999999</v>
      </c>
      <c r="T2510">
        <v>-0.35709580000000002</v>
      </c>
      <c r="U2510">
        <v>-3.2014770000000001</v>
      </c>
      <c r="V2510">
        <v>-0.2179286</v>
      </c>
      <c r="W2510">
        <v>-1.35812E-2</v>
      </c>
      <c r="X2510">
        <v>0.97587029999999997</v>
      </c>
      <c r="Y2510">
        <v>-0.54726949999999996</v>
      </c>
      <c r="Z2510">
        <v>6.9002709999999995E-2</v>
      </c>
      <c r="AA2510">
        <v>0.83410709999999999</v>
      </c>
      <c r="AB2510">
        <v>32</v>
      </c>
      <c r="AC2510">
        <v>-0.53500000000002501</v>
      </c>
      <c r="AD2510">
        <v>-1.122954894364</v>
      </c>
      <c r="AE2510">
        <v>-9.9375</v>
      </c>
      <c r="AF2510">
        <v>-5.4466977212879897</v>
      </c>
      <c r="AG2510">
        <v>-1.122954894364</v>
      </c>
      <c r="AH2510">
        <v>8.1791761782589898</v>
      </c>
      <c r="AI2510">
        <v>96.519199096909702</v>
      </c>
      <c r="AJ2510">
        <v>123.660540365343</v>
      </c>
      <c r="AK2510">
        <v>9.8907262987537603</v>
      </c>
      <c r="AL2510">
        <v>90.778169299429806</v>
      </c>
      <c r="AM2510">
        <v>102.588577791291</v>
      </c>
      <c r="AN2510">
        <v>1.0000000830567399</v>
      </c>
    </row>
    <row r="2511" spans="1:40" x14ac:dyDescent="0.25">
      <c r="A2511" t="str">
        <f>"20190312151546636"</f>
        <v>20190312151546636</v>
      </c>
      <c r="B2511" t="str">
        <f>"1552374946629802"</f>
        <v>1552374946629802</v>
      </c>
      <c r="C2511" t="s">
        <v>40</v>
      </c>
      <c r="D2511">
        <v>4.4659409999999999</v>
      </c>
      <c r="E2511">
        <v>0.35317549999999998</v>
      </c>
      <c r="F2511" t="s">
        <v>41</v>
      </c>
      <c r="G2511">
        <v>-490.59359999999998</v>
      </c>
      <c r="H2511">
        <v>1.0172749999999999</v>
      </c>
      <c r="I2511">
        <v>272.28640000000001</v>
      </c>
      <c r="J2511">
        <v>-490.63819999999998</v>
      </c>
      <c r="K2511">
        <v>1.122962</v>
      </c>
      <c r="L2511">
        <v>273.14030000000002</v>
      </c>
      <c r="M2511">
        <v>-0.5915956</v>
      </c>
      <c r="N2511">
        <v>0</v>
      </c>
      <c r="O2511">
        <v>-0.80610470000000001</v>
      </c>
      <c r="P2511">
        <v>-0.40126079999999997</v>
      </c>
      <c r="Q2511">
        <v>-2.0199229999999999E-2</v>
      </c>
      <c r="R2511">
        <v>-0.91574129999999998</v>
      </c>
      <c r="S2511">
        <v>-0.14385990000000001</v>
      </c>
      <c r="T2511">
        <v>-0.3456494</v>
      </c>
      <c r="U2511">
        <v>-3.2157900000000001</v>
      </c>
      <c r="V2511">
        <v>-0.21798880000000001</v>
      </c>
      <c r="W2511">
        <v>-1.334775E-2</v>
      </c>
      <c r="X2511">
        <v>0.97585999999999995</v>
      </c>
      <c r="Y2511">
        <v>-0.55484080000000002</v>
      </c>
      <c r="Z2511">
        <v>6.6992200000000002E-2</v>
      </c>
      <c r="AA2511">
        <v>0.82925490000000002</v>
      </c>
      <c r="AB2511">
        <v>32</v>
      </c>
      <c r="AC2511">
        <v>4.4600000000002603E-2</v>
      </c>
      <c r="AD2511">
        <v>-0.105687</v>
      </c>
      <c r="AE2511">
        <v>-0.85390000000000998</v>
      </c>
      <c r="AF2511">
        <v>-0.53302930422964601</v>
      </c>
      <c r="AG2511">
        <v>-0.105687</v>
      </c>
      <c r="AH2511">
        <v>0.65205547639741701</v>
      </c>
      <c r="AI2511">
        <v>97.152633519047797</v>
      </c>
      <c r="AJ2511">
        <v>129.26462658034899</v>
      </c>
      <c r="AK2511">
        <v>0.84880287784408603</v>
      </c>
      <c r="AL2511">
        <v>90.764792444440204</v>
      </c>
      <c r="AM2511">
        <v>102.592073012103</v>
      </c>
      <c r="AN2511">
        <v>1.0000000094777499</v>
      </c>
    </row>
    <row r="2512" spans="1:40" x14ac:dyDescent="0.25">
      <c r="A2512" t="str">
        <f>"20190312151546647"</f>
        <v>20190312151546647</v>
      </c>
      <c r="B2512" t="str">
        <f>"1552374946640537"</f>
        <v>1552374946640537</v>
      </c>
      <c r="C2512" t="s">
        <v>40</v>
      </c>
      <c r="D2512">
        <v>4.4634850000000004</v>
      </c>
      <c r="E2512">
        <v>0.3217315</v>
      </c>
      <c r="F2512" t="s">
        <v>41</v>
      </c>
      <c r="G2512">
        <v>-490.67899999999997</v>
      </c>
      <c r="H2512">
        <v>1.0042009999999999</v>
      </c>
      <c r="I2512">
        <v>272.03179999999998</v>
      </c>
      <c r="J2512">
        <v>-490.726</v>
      </c>
      <c r="K2512">
        <v>1.122968</v>
      </c>
      <c r="L2512">
        <v>273.00909999999999</v>
      </c>
      <c r="M2512">
        <v>-0.58494919999999995</v>
      </c>
      <c r="N2512">
        <v>0</v>
      </c>
      <c r="O2512">
        <v>-0.81094040000000001</v>
      </c>
      <c r="P2512">
        <v>-0.3936828</v>
      </c>
      <c r="Q2512">
        <v>-1.9883419999999999E-2</v>
      </c>
      <c r="R2512">
        <v>-0.91903140000000005</v>
      </c>
      <c r="S2512">
        <v>-0.1176758</v>
      </c>
      <c r="T2512">
        <v>-0.34456799999999999</v>
      </c>
      <c r="U2512">
        <v>-3.2168580000000002</v>
      </c>
      <c r="V2512">
        <v>-0.21804229999999999</v>
      </c>
      <c r="W2512">
        <v>-1.3033049999999999E-2</v>
      </c>
      <c r="X2512">
        <v>0.97585230000000001</v>
      </c>
      <c r="Y2512">
        <v>-0.55476059999999905</v>
      </c>
      <c r="Z2512">
        <v>6.7515690000000003E-2</v>
      </c>
      <c r="AA2512">
        <v>0.82926610000000001</v>
      </c>
      <c r="AB2512">
        <v>32</v>
      </c>
      <c r="AC2512">
        <v>4.6999999999968602E-2</v>
      </c>
      <c r="AD2512">
        <v>-0.118766999999999</v>
      </c>
      <c r="AE2512">
        <v>-0.97730000000001305</v>
      </c>
      <c r="AF2512">
        <v>-0.60099383592722999</v>
      </c>
      <c r="AG2512">
        <v>-0.118766999999999</v>
      </c>
      <c r="AH2512">
        <v>0.75400993598630905</v>
      </c>
      <c r="AI2512">
        <v>97.021974158336207</v>
      </c>
      <c r="AJ2512">
        <v>128.55707204399599</v>
      </c>
      <c r="AK2512">
        <v>0.97150922521487304</v>
      </c>
      <c r="AL2512">
        <v>90.746759894899498</v>
      </c>
      <c r="AM2512">
        <v>102.595161048435</v>
      </c>
      <c r="AN2512">
        <v>1.0000000081984399</v>
      </c>
    </row>
    <row r="2513" spans="1:40" x14ac:dyDescent="0.25">
      <c r="A2513" t="str">
        <f>"20190312151546658"</f>
        <v>20190312151546658</v>
      </c>
      <c r="B2513" t="str">
        <f>"1552374946650297"</f>
        <v>1552374946650297</v>
      </c>
      <c r="C2513" t="s">
        <v>40</v>
      </c>
      <c r="D2513">
        <v>4.4939869999999997</v>
      </c>
      <c r="E2513">
        <v>0.32263380000000003</v>
      </c>
      <c r="F2513" t="s">
        <v>41</v>
      </c>
      <c r="G2513">
        <v>-490.6859</v>
      </c>
      <c r="H2513">
        <v>1.0377099999999999</v>
      </c>
      <c r="I2513">
        <v>272.03449999999998</v>
      </c>
      <c r="J2513">
        <v>-490.8064</v>
      </c>
      <c r="K2513">
        <v>1.1229750000000001</v>
      </c>
      <c r="L2513">
        <v>272.88709999999998</v>
      </c>
      <c r="M2513">
        <v>-0.57876240000000001</v>
      </c>
      <c r="N2513">
        <v>0</v>
      </c>
      <c r="O2513">
        <v>-0.81536750000000002</v>
      </c>
      <c r="P2513">
        <v>-0.38662419999999997</v>
      </c>
      <c r="Q2513">
        <v>-1.962626E-2</v>
      </c>
      <c r="R2513">
        <v>-0.92202890000000004</v>
      </c>
      <c r="S2513">
        <v>0.1373596</v>
      </c>
      <c r="T2513">
        <v>-0.2900913</v>
      </c>
      <c r="U2513">
        <v>-3.3168639999999998</v>
      </c>
      <c r="V2513">
        <v>-0.2181119</v>
      </c>
      <c r="W2513">
        <v>-1.2777500000000001E-2</v>
      </c>
      <c r="X2513">
        <v>0.97584020000000005</v>
      </c>
      <c r="Y2513">
        <v>-0.61174569999999995</v>
      </c>
      <c r="Z2513">
        <v>5.3802219999999998E-2</v>
      </c>
      <c r="AA2513">
        <v>0.7892228</v>
      </c>
      <c r="AB2513">
        <v>32</v>
      </c>
      <c r="AC2513">
        <v>0.120499999999992</v>
      </c>
      <c r="AD2513">
        <v>-8.5264999999999896E-2</v>
      </c>
      <c r="AE2513">
        <v>-0.85259999999999503</v>
      </c>
      <c r="AF2513">
        <v>-0.58602060670826595</v>
      </c>
      <c r="AG2513">
        <v>-8.5264999999999896E-2</v>
      </c>
      <c r="AH2513">
        <v>0.61943338094909195</v>
      </c>
      <c r="AI2513">
        <v>95.710180239926501</v>
      </c>
      <c r="AJ2513">
        <v>133.412282079118</v>
      </c>
      <c r="AK2513">
        <v>0.85696440132933505</v>
      </c>
      <c r="AL2513">
        <v>90.732116686024696</v>
      </c>
      <c r="AM2513">
        <v>102.59920437606699</v>
      </c>
      <c r="AN2513">
        <v>1.00000008068194</v>
      </c>
    </row>
    <row r="2514" spans="1:40" x14ac:dyDescent="0.25">
      <c r="A2514" t="str">
        <f>"20190312151546668"</f>
        <v>20190312151546668</v>
      </c>
      <c r="B2514" t="str">
        <f>"1552374946660058"</f>
        <v>1552374946660058</v>
      </c>
      <c r="C2514" t="s">
        <v>40</v>
      </c>
      <c r="D2514">
        <v>4.488537</v>
      </c>
      <c r="E2514">
        <v>0.32322410000000001</v>
      </c>
      <c r="F2514" t="s">
        <v>43</v>
      </c>
      <c r="G2514">
        <v>-490.21069999999997</v>
      </c>
      <c r="H2514" s="1">
        <v>-3.4715150000000002E-7</v>
      </c>
      <c r="I2514">
        <v>260.26769999999999</v>
      </c>
      <c r="J2514">
        <v>-490.89</v>
      </c>
      <c r="K2514">
        <v>1.1229750000000001</v>
      </c>
      <c r="L2514">
        <v>272.75819999999999</v>
      </c>
      <c r="M2514">
        <v>-0.57221230000000001</v>
      </c>
      <c r="N2514">
        <v>0</v>
      </c>
      <c r="O2514">
        <v>-0.81997719999999896</v>
      </c>
      <c r="P2514">
        <v>-0.37936540000000002</v>
      </c>
      <c r="Q2514">
        <v>-1.9302059999999999E-2</v>
      </c>
      <c r="R2514">
        <v>-0.92504569999999997</v>
      </c>
      <c r="S2514">
        <v>0.1564026</v>
      </c>
      <c r="T2514">
        <v>-0.2948229</v>
      </c>
      <c r="U2514">
        <v>-3.3130799999999998</v>
      </c>
      <c r="V2514">
        <v>-0.21798020000000001</v>
      </c>
      <c r="W2514">
        <v>-1.244718E-2</v>
      </c>
      <c r="X2514">
        <v>0.97587380000000001</v>
      </c>
      <c r="Y2514">
        <v>-0.6099656</v>
      </c>
      <c r="Z2514">
        <v>5.5391099999999902E-2</v>
      </c>
      <c r="AA2514">
        <v>0.79048960000000001</v>
      </c>
      <c r="AB2514">
        <v>32</v>
      </c>
      <c r="AC2514">
        <v>0.67930000000001201</v>
      </c>
      <c r="AD2514">
        <v>-1.1229753471515</v>
      </c>
      <c r="AE2514">
        <v>-12.4904999999999</v>
      </c>
      <c r="AF2514">
        <v>-7.6434382678921597</v>
      </c>
      <c r="AG2514">
        <v>-1.1229753471515</v>
      </c>
      <c r="AH2514">
        <v>9.7754748592533591</v>
      </c>
      <c r="AI2514">
        <v>95.171022118431907</v>
      </c>
      <c r="AJ2514">
        <v>128.02183184213899</v>
      </c>
      <c r="AK2514">
        <v>12.4596601442127</v>
      </c>
      <c r="AL2514">
        <v>90.713189307139501</v>
      </c>
      <c r="AM2514">
        <v>102.59141969465399</v>
      </c>
      <c r="AN2514">
        <v>0.99999998670421597</v>
      </c>
    </row>
    <row r="2515" spans="1:40" x14ac:dyDescent="0.25">
      <c r="A2515" t="str">
        <f>"20190312151546681"</f>
        <v>20190312151546681</v>
      </c>
      <c r="B2515" t="str">
        <f>"1552374946669818"</f>
        <v>1552374946669818</v>
      </c>
      <c r="C2515" t="s">
        <v>40</v>
      </c>
      <c r="D2515">
        <v>4.4466409999999996</v>
      </c>
      <c r="E2515">
        <v>0.3241406</v>
      </c>
      <c r="F2515" t="s">
        <v>41</v>
      </c>
      <c r="G2515">
        <v>-490.83909999999997</v>
      </c>
      <c r="H2515">
        <v>1.039242</v>
      </c>
      <c r="I2515">
        <v>271.80950000000001</v>
      </c>
      <c r="J2515">
        <v>-490.97879999999998</v>
      </c>
      <c r="K2515">
        <v>1.1229789999999999</v>
      </c>
      <c r="L2515">
        <v>272.61829999999998</v>
      </c>
      <c r="M2515">
        <v>-0.56510700000000003</v>
      </c>
      <c r="N2515">
        <v>0</v>
      </c>
      <c r="O2515">
        <v>-0.82489009999999996</v>
      </c>
      <c r="P2515">
        <v>-0.37131700000000001</v>
      </c>
      <c r="Q2515">
        <v>-1.8998609999999999E-2</v>
      </c>
      <c r="R2515">
        <v>-0.92831180000000002</v>
      </c>
      <c r="S2515">
        <v>0.17813109999999999</v>
      </c>
      <c r="T2515">
        <v>-0.2920893</v>
      </c>
      <c r="U2515">
        <v>-3.3099980000000002</v>
      </c>
      <c r="V2515">
        <v>-0.21803819999999999</v>
      </c>
      <c r="W2515">
        <v>-1.214442E-2</v>
      </c>
      <c r="X2515">
        <v>0.97586459999999997</v>
      </c>
      <c r="Y2515">
        <v>-0.60833990000000004</v>
      </c>
      <c r="Z2515">
        <v>5.5613160000000002E-2</v>
      </c>
      <c r="AA2515">
        <v>0.79172589999999998</v>
      </c>
      <c r="AB2515">
        <v>32</v>
      </c>
      <c r="AC2515">
        <v>0.13970000000000399</v>
      </c>
      <c r="AD2515">
        <v>-8.3737000000000103E-2</v>
      </c>
      <c r="AE2515">
        <v>-0.80879999999996199</v>
      </c>
      <c r="AF2515">
        <v>-0.56645994415553003</v>
      </c>
      <c r="AG2515">
        <v>-8.3737000000000103E-2</v>
      </c>
      <c r="AH2515">
        <v>0.58222748133573499</v>
      </c>
      <c r="AI2515">
        <v>95.885467737493897</v>
      </c>
      <c r="AJ2515">
        <v>134.21357492027801</v>
      </c>
      <c r="AK2515">
        <v>0.81662573650616699</v>
      </c>
      <c r="AL2515">
        <v>90.695841164246502</v>
      </c>
      <c r="AM2515">
        <v>102.594778084837</v>
      </c>
      <c r="AN2515">
        <v>0.99999993056476499</v>
      </c>
    </row>
    <row r="2516" spans="1:40" x14ac:dyDescent="0.25">
      <c r="A2516" t="str">
        <f>"20190312151546692"</f>
        <v>20190312151546692</v>
      </c>
      <c r="B2516" t="str">
        <f>"1552374946690314"</f>
        <v>1552374946690314</v>
      </c>
      <c r="C2516" t="s">
        <v>40</v>
      </c>
      <c r="D2516">
        <v>4.4641260000000003</v>
      </c>
      <c r="E2516">
        <v>0.32700839999999998</v>
      </c>
      <c r="F2516" t="s">
        <v>43</v>
      </c>
      <c r="G2516">
        <v>-490.19990000000001</v>
      </c>
      <c r="H2516" s="1">
        <v>-1.107513E-7</v>
      </c>
      <c r="I2516">
        <v>259.72329999999999</v>
      </c>
      <c r="J2516">
        <v>-491.06290000000001</v>
      </c>
      <c r="K2516">
        <v>1.122981</v>
      </c>
      <c r="L2516">
        <v>272.48430000000002</v>
      </c>
      <c r="M2516">
        <v>-0.5582838</v>
      </c>
      <c r="N2516">
        <v>0</v>
      </c>
      <c r="O2516">
        <v>-0.82952320000000002</v>
      </c>
      <c r="P2516">
        <v>-0.3637416</v>
      </c>
      <c r="Q2516">
        <v>-1.8928919999999998E-2</v>
      </c>
      <c r="R2516">
        <v>-0.93130740000000001</v>
      </c>
      <c r="S2516">
        <v>0.19967650000000001</v>
      </c>
      <c r="T2516">
        <v>-0.2878734</v>
      </c>
      <c r="U2516">
        <v>-3.3056030000000001</v>
      </c>
      <c r="V2516">
        <v>-0.217943</v>
      </c>
      <c r="W2516">
        <v>-1.2069989999999999E-2</v>
      </c>
      <c r="X2516">
        <v>0.9758869</v>
      </c>
      <c r="Y2516">
        <v>-0.60700600000000005</v>
      </c>
      <c r="Z2516">
        <v>5.5514059999999997E-2</v>
      </c>
      <c r="AA2516">
        <v>0.79275589999999996</v>
      </c>
      <c r="AB2516">
        <v>32</v>
      </c>
      <c r="AC2516">
        <v>0.86299999999999899</v>
      </c>
      <c r="AD2516">
        <v>-1.1229811107512999</v>
      </c>
      <c r="AE2516">
        <v>-12.760999999999999</v>
      </c>
      <c r="AF2516">
        <v>-7.7809802550019604</v>
      </c>
      <c r="AG2516">
        <v>-1.1229811107512999</v>
      </c>
      <c r="AH2516">
        <v>10.027508717082901</v>
      </c>
      <c r="AI2516">
        <v>95.056210954915699</v>
      </c>
      <c r="AJ2516">
        <v>127.81015574697599</v>
      </c>
      <c r="AK2516">
        <v>12.7418864919998</v>
      </c>
      <c r="AL2516">
        <v>90.691576251667698</v>
      </c>
      <c r="AM2516">
        <v>102.58917576666001</v>
      </c>
      <c r="AN2516">
        <v>1.0000000387496</v>
      </c>
    </row>
    <row r="2517" spans="1:40" x14ac:dyDescent="0.25">
      <c r="A2517" t="str">
        <f>"20190312151546705"</f>
        <v>20190312151546705</v>
      </c>
      <c r="B2517" t="str">
        <f>"1552374946700074"</f>
        <v>1552374946700074</v>
      </c>
      <c r="C2517" t="s">
        <v>40</v>
      </c>
      <c r="D2517">
        <v>4.4432650000000002</v>
      </c>
      <c r="E2517">
        <v>0.32856869999999999</v>
      </c>
      <c r="F2517" t="s">
        <v>41</v>
      </c>
      <c r="G2517">
        <v>-491.00740000000002</v>
      </c>
      <c r="H2517">
        <v>1.04393</v>
      </c>
      <c r="I2517">
        <v>271.58949999999999</v>
      </c>
      <c r="J2517">
        <v>-491.15379999999999</v>
      </c>
      <c r="K2517">
        <v>1.122986</v>
      </c>
      <c r="L2517">
        <v>272.33499999999998</v>
      </c>
      <c r="M2517">
        <v>-0.55069679999999999</v>
      </c>
      <c r="N2517">
        <v>0</v>
      </c>
      <c r="O2517">
        <v>-0.83457919999999997</v>
      </c>
      <c r="P2517">
        <v>-0.3555584</v>
      </c>
      <c r="Q2517">
        <v>-1.8803250000000001E-2</v>
      </c>
      <c r="R2517">
        <v>-0.9344652</v>
      </c>
      <c r="S2517">
        <v>0.2052612</v>
      </c>
      <c r="T2517">
        <v>-0.2910392</v>
      </c>
      <c r="U2517">
        <v>-3.2955019999999902</v>
      </c>
      <c r="V2517">
        <v>-0.21761059999999999</v>
      </c>
      <c r="W2517">
        <v>-1.193045E-2</v>
      </c>
      <c r="X2517">
        <v>0.97596280000000002</v>
      </c>
      <c r="Y2517">
        <v>-0.6012267</v>
      </c>
      <c r="Z2517">
        <v>5.7148650000000002E-2</v>
      </c>
      <c r="AA2517">
        <v>0.79703230000000003</v>
      </c>
      <c r="AB2517">
        <v>32</v>
      </c>
      <c r="AC2517">
        <v>0.146399999999971</v>
      </c>
      <c r="AD2517">
        <v>-7.9056000000000001E-2</v>
      </c>
      <c r="AE2517">
        <v>-0.74549999999999195</v>
      </c>
      <c r="AF2517">
        <v>-0.52707588096564095</v>
      </c>
      <c r="AG2517">
        <v>-7.9056000000000001E-2</v>
      </c>
      <c r="AH2517">
        <v>0.53581213906417002</v>
      </c>
      <c r="AI2517">
        <v>96.0044923542075</v>
      </c>
      <c r="AJ2517">
        <v>134.52907602987099</v>
      </c>
      <c r="AK2517">
        <v>0.75574697075160502</v>
      </c>
      <c r="AL2517">
        <v>90.683580616897103</v>
      </c>
      <c r="AM2517">
        <v>102.56963929468</v>
      </c>
      <c r="AN2517">
        <v>1.0000000479266999</v>
      </c>
    </row>
    <row r="2518" spans="1:40" x14ac:dyDescent="0.25">
      <c r="A2518" t="str">
        <f>"20190312151546720"</f>
        <v>20190312151546720</v>
      </c>
      <c r="B2518" t="str">
        <f>"1552374946709834"</f>
        <v>1552374946709834</v>
      </c>
      <c r="C2518" t="s">
        <v>40</v>
      </c>
      <c r="D2518">
        <v>4.4848910000000002</v>
      </c>
      <c r="E2518">
        <v>0.33001789999999998</v>
      </c>
      <c r="F2518" t="s">
        <v>41</v>
      </c>
      <c r="G2518">
        <v>-491.08600000000001</v>
      </c>
      <c r="H2518">
        <v>1.035531</v>
      </c>
      <c r="I2518">
        <v>271.33350000000002</v>
      </c>
      <c r="J2518">
        <v>-491.2568</v>
      </c>
      <c r="K2518">
        <v>1.1229880000000001</v>
      </c>
      <c r="L2518">
        <v>272.16289999999998</v>
      </c>
      <c r="M2518">
        <v>-0.54192839999999998</v>
      </c>
      <c r="N2518">
        <v>0</v>
      </c>
      <c r="O2518">
        <v>-0.84029929999999997</v>
      </c>
      <c r="P2518">
        <v>-0.34593099999999999</v>
      </c>
      <c r="Q2518">
        <v>-1.861349E-2</v>
      </c>
      <c r="R2518">
        <v>-0.93807549999999995</v>
      </c>
      <c r="S2518">
        <v>0.22259519999999999</v>
      </c>
      <c r="T2518">
        <v>-0.2872517</v>
      </c>
      <c r="U2518">
        <v>-3.289307</v>
      </c>
      <c r="V2518">
        <v>-0.21743609999999999</v>
      </c>
      <c r="W2518">
        <v>-1.1732319999999999E-2</v>
      </c>
      <c r="X2518">
        <v>0.97600399999999998</v>
      </c>
      <c r="Y2518">
        <v>-0.59714259999999997</v>
      </c>
      <c r="Z2518">
        <v>5.7379359999999997E-2</v>
      </c>
      <c r="AA2518">
        <v>0.80008020000000002</v>
      </c>
      <c r="AB2518">
        <v>32</v>
      </c>
      <c r="AC2518">
        <v>0.17079999999998499</v>
      </c>
      <c r="AD2518">
        <v>-8.7456999999999896E-2</v>
      </c>
      <c r="AE2518">
        <v>-0.82939999999996405</v>
      </c>
      <c r="AF2518">
        <v>-0.58680187372463999</v>
      </c>
      <c r="AG2518">
        <v>-8.7456999999999896E-2</v>
      </c>
      <c r="AH2518">
        <v>0.59806724406327805</v>
      </c>
      <c r="AI2518">
        <v>95.958985638962901</v>
      </c>
      <c r="AJ2518">
        <v>134.45526580325901</v>
      </c>
      <c r="AK2518">
        <v>0.84241889477693499</v>
      </c>
      <c r="AL2518">
        <v>90.672227871492794</v>
      </c>
      <c r="AM2518">
        <v>102.559366381118</v>
      </c>
      <c r="AN2518">
        <v>0.99999995646589501</v>
      </c>
    </row>
    <row r="2519" spans="1:40" x14ac:dyDescent="0.25">
      <c r="A2519" t="str">
        <f>"20190312151546735"</f>
        <v>20190312151546735</v>
      </c>
      <c r="B2519" t="str">
        <f>"1552374946730330"</f>
        <v>1552374946730330</v>
      </c>
      <c r="C2519" t="s">
        <v>40</v>
      </c>
      <c r="D2519">
        <v>4.5010810000000001</v>
      </c>
      <c r="E2519">
        <v>0.33268130000000001</v>
      </c>
      <c r="F2519" t="s">
        <v>43</v>
      </c>
      <c r="G2519">
        <v>-490.30470000000003</v>
      </c>
      <c r="H2519" s="1">
        <v>-4.2912270000000002E-6</v>
      </c>
      <c r="I2519">
        <v>259.43790000000001</v>
      </c>
      <c r="J2519">
        <v>-491.36</v>
      </c>
      <c r="K2519">
        <v>1.1229929999999999</v>
      </c>
      <c r="L2519">
        <v>271.98689999999999</v>
      </c>
      <c r="M2519">
        <v>-0.53294819999999998</v>
      </c>
      <c r="N2519">
        <v>0</v>
      </c>
      <c r="O2519">
        <v>-0.84602330000000003</v>
      </c>
      <c r="P2519">
        <v>-0.33610570000000001</v>
      </c>
      <c r="Q2519">
        <v>-1.8632530000000001E-2</v>
      </c>
      <c r="R2519">
        <v>-0.94164020000000004</v>
      </c>
      <c r="S2519">
        <v>0.24563599999999999</v>
      </c>
      <c r="T2519">
        <v>-0.28971639999999999</v>
      </c>
      <c r="U2519">
        <v>-3.282867</v>
      </c>
      <c r="V2519">
        <v>-0.21724350000000001</v>
      </c>
      <c r="W2519">
        <v>-1.174248E-2</v>
      </c>
      <c r="X2519">
        <v>0.97604679999999999</v>
      </c>
      <c r="Y2519">
        <v>-0.59428639999999999</v>
      </c>
      <c r="Z2519">
        <v>5.8805830000000003E-2</v>
      </c>
      <c r="AA2519">
        <v>0.8021007</v>
      </c>
      <c r="AB2519">
        <v>32</v>
      </c>
      <c r="AC2519">
        <v>1.0552999999999799</v>
      </c>
      <c r="AD2519">
        <v>-1.1229972912270001</v>
      </c>
      <c r="AE2519">
        <v>-12.5489999999999</v>
      </c>
      <c r="AF2519">
        <v>-7.5217610925293101</v>
      </c>
      <c r="AG2519">
        <v>-1.1229972912270001</v>
      </c>
      <c r="AH2519">
        <v>9.9760559836023806</v>
      </c>
      <c r="AI2519">
        <v>95.136134379372507</v>
      </c>
      <c r="AJ2519">
        <v>127.015615598016</v>
      </c>
      <c r="AK2519">
        <v>12.544309699507499</v>
      </c>
      <c r="AL2519">
        <v>90.672810014204899</v>
      </c>
      <c r="AM2519">
        <v>102.548061245993</v>
      </c>
      <c r="AN2519">
        <v>0.99999998995952</v>
      </c>
    </row>
    <row r="2520" spans="1:40" x14ac:dyDescent="0.25">
      <c r="A2520" t="str">
        <f>"20190312151546747"</f>
        <v>20190312151546747</v>
      </c>
      <c r="B2520" t="str">
        <f>"1552374946740090"</f>
        <v>1552374946740090</v>
      </c>
      <c r="C2520" t="s">
        <v>40</v>
      </c>
      <c r="D2520">
        <v>4.504238</v>
      </c>
      <c r="E2520">
        <v>0.33401700000000001</v>
      </c>
      <c r="F2520" t="s">
        <v>43</v>
      </c>
      <c r="G2520">
        <v>-490.35059999999999</v>
      </c>
      <c r="H2520" s="1">
        <v>-4.2458290000000002E-6</v>
      </c>
      <c r="I2520">
        <v>259.28059999999999</v>
      </c>
      <c r="J2520">
        <v>-491.45580000000001</v>
      </c>
      <c r="K2520">
        <v>1.1229910000000001</v>
      </c>
      <c r="L2520">
        <v>271.81869999999998</v>
      </c>
      <c r="M2520">
        <v>-0.52436930000000004</v>
      </c>
      <c r="N2520">
        <v>0</v>
      </c>
      <c r="O2520">
        <v>-0.85136719999999899</v>
      </c>
      <c r="P2520">
        <v>-0.32674180000000003</v>
      </c>
      <c r="Q2520">
        <v>-1.826844E-2</v>
      </c>
      <c r="R2520">
        <v>-0.94493729999999998</v>
      </c>
      <c r="S2520">
        <v>0.26000980000000001</v>
      </c>
      <c r="T2520">
        <v>-0.28926809999999997</v>
      </c>
      <c r="U2520">
        <v>-3.27298</v>
      </c>
      <c r="V2520">
        <v>-0.2170829</v>
      </c>
      <c r="W2520">
        <v>-1.137025E-2</v>
      </c>
      <c r="X2520">
        <v>0.97608700000000004</v>
      </c>
      <c r="Y2520">
        <v>-0.58983490000000005</v>
      </c>
      <c r="Z2520">
        <v>5.9727959999999997E-2</v>
      </c>
      <c r="AA2520">
        <v>0.80531200000000003</v>
      </c>
      <c r="AB2520">
        <v>32</v>
      </c>
      <c r="AC2520">
        <v>1.1052000000000199</v>
      </c>
      <c r="AD2520">
        <v>-1.122995245829</v>
      </c>
      <c r="AE2520">
        <v>-12.538099999999901</v>
      </c>
      <c r="AF2520">
        <v>-7.4569579086627904</v>
      </c>
      <c r="AG2520">
        <v>-1.122995245829</v>
      </c>
      <c r="AH2520">
        <v>10.0163247251441</v>
      </c>
      <c r="AI2520">
        <v>95.138837036022295</v>
      </c>
      <c r="AJ2520">
        <v>126.666962700589</v>
      </c>
      <c r="AK2520">
        <v>12.537707149764501</v>
      </c>
      <c r="AL2520">
        <v>90.651481342601699</v>
      </c>
      <c r="AM2520">
        <v>102.538578312726</v>
      </c>
      <c r="AN2520">
        <v>1.00000004981323</v>
      </c>
    </row>
    <row r="2521" spans="1:40" x14ac:dyDescent="0.25">
      <c r="A2521" t="str">
        <f>"20190312151546759"</f>
        <v>20190312151546759</v>
      </c>
      <c r="B2521" t="str">
        <f>"1552374946749850"</f>
        <v>1552374946749850</v>
      </c>
      <c r="C2521" t="s">
        <v>40</v>
      </c>
      <c r="D2521">
        <v>4.5250380000000003</v>
      </c>
      <c r="E2521">
        <v>0.33516279999999998</v>
      </c>
      <c r="F2521" t="s">
        <v>41</v>
      </c>
      <c r="G2521">
        <v>-491.37380000000002</v>
      </c>
      <c r="H2521">
        <v>1.0392699999999999</v>
      </c>
      <c r="I2521">
        <v>270.87099999999998</v>
      </c>
      <c r="J2521">
        <v>-491.53269999999998</v>
      </c>
      <c r="K2521">
        <v>1.1229929999999999</v>
      </c>
      <c r="L2521">
        <v>271.68060000000003</v>
      </c>
      <c r="M2521">
        <v>-0.5173217</v>
      </c>
      <c r="N2521">
        <v>0</v>
      </c>
      <c r="O2521">
        <v>-0.85566790000000004</v>
      </c>
      <c r="P2521">
        <v>-0.3188995</v>
      </c>
      <c r="Q2521">
        <v>-1.796944E-2</v>
      </c>
      <c r="R2521">
        <v>-0.94761870000000004</v>
      </c>
      <c r="S2521">
        <v>0.28228760000000003</v>
      </c>
      <c r="T2521">
        <v>-0.28860989999999997</v>
      </c>
      <c r="U2521">
        <v>-3.2668460000000001</v>
      </c>
      <c r="V2521">
        <v>-0.21712509999999999</v>
      </c>
      <c r="W2521">
        <v>-1.1071020000000001E-2</v>
      </c>
      <c r="X2521">
        <v>0.97608099999999998</v>
      </c>
      <c r="Y2521">
        <v>-0.58874369999999998</v>
      </c>
      <c r="Z2521">
        <v>6.0282009999999997E-2</v>
      </c>
      <c r="AA2521">
        <v>0.80606880000000003</v>
      </c>
      <c r="AB2521">
        <v>32</v>
      </c>
      <c r="AC2521">
        <v>0.15889999999995999</v>
      </c>
      <c r="AD2521">
        <v>-8.3722999999999895E-2</v>
      </c>
      <c r="AE2521">
        <v>-0.80960000000004495</v>
      </c>
      <c r="AF2521">
        <v>-0.54919241124529705</v>
      </c>
      <c r="AG2521">
        <v>-8.3722999999999895E-2</v>
      </c>
      <c r="AH2521">
        <v>0.60438695505392404</v>
      </c>
      <c r="AI2521">
        <v>95.853608847541693</v>
      </c>
      <c r="AJ2521">
        <v>132.26069605144701</v>
      </c>
      <c r="AK2521">
        <v>0.82091743600545997</v>
      </c>
      <c r="AL2521">
        <v>90.634335681065394</v>
      </c>
      <c r="AM2521">
        <v>102.541013309928</v>
      </c>
      <c r="AN2521">
        <v>0.99999999754742497</v>
      </c>
    </row>
    <row r="2522" spans="1:40" x14ac:dyDescent="0.25">
      <c r="A2522" t="str">
        <f>"20190312151546770"</f>
        <v>20190312151546770</v>
      </c>
      <c r="B2522" t="str">
        <f>"1552374946760586"</f>
        <v>1552374946760586</v>
      </c>
      <c r="C2522" t="s">
        <v>40</v>
      </c>
      <c r="D2522">
        <v>4.5185269999999997</v>
      </c>
      <c r="E2522">
        <v>0.33516279999999998</v>
      </c>
      <c r="F2522" t="s">
        <v>43</v>
      </c>
      <c r="G2522">
        <v>-490.36290000000002</v>
      </c>
      <c r="H2522" s="1">
        <v>-4.1268190000000003E-6</v>
      </c>
      <c r="I2522">
        <v>258.98379999999997</v>
      </c>
      <c r="J2522">
        <v>-491.60950000000003</v>
      </c>
      <c r="K2522">
        <v>1.1229979999999999</v>
      </c>
      <c r="L2522">
        <v>271.54109999999997</v>
      </c>
      <c r="M2522">
        <v>-0.51018419999999998</v>
      </c>
      <c r="N2522">
        <v>0</v>
      </c>
      <c r="O2522">
        <v>-0.85994249999999905</v>
      </c>
      <c r="P2522">
        <v>-0.31100440000000001</v>
      </c>
      <c r="Q2522">
        <v>-1.7899020000000002E-2</v>
      </c>
      <c r="R2522">
        <v>-0.95024019999999998</v>
      </c>
      <c r="S2522">
        <v>0.30050660000000001</v>
      </c>
      <c r="T2522">
        <v>-0.28846939999999999</v>
      </c>
      <c r="U2522">
        <v>-3.2615050000000001</v>
      </c>
      <c r="V2522">
        <v>-0.21712799999999999</v>
      </c>
      <c r="W2522">
        <v>-1.099906E-2</v>
      </c>
      <c r="X2522">
        <v>0.97608119999999998</v>
      </c>
      <c r="Y2522">
        <v>-0.58659919999999899</v>
      </c>
      <c r="Z2522">
        <v>6.0964310000000001E-2</v>
      </c>
      <c r="AA2522">
        <v>0.80757950000000001</v>
      </c>
      <c r="AB2522">
        <v>32</v>
      </c>
      <c r="AC2522">
        <v>1.2465999999999999</v>
      </c>
      <c r="AD2522">
        <v>-1.123002126819</v>
      </c>
      <c r="AE2522">
        <v>-12.5572999999999</v>
      </c>
      <c r="AF2522">
        <v>-7.4205606815788103</v>
      </c>
      <c r="AG2522">
        <v>-1.123002126819</v>
      </c>
      <c r="AH2522">
        <v>10.083771944429801</v>
      </c>
      <c r="AI2522">
        <v>95.125575788011304</v>
      </c>
      <c r="AJ2522">
        <v>126.349030688303</v>
      </c>
      <c r="AK2522">
        <v>12.5701356887307</v>
      </c>
      <c r="AL2522">
        <v>90.630212406291903</v>
      </c>
      <c r="AM2522">
        <v>102.541173024735</v>
      </c>
      <c r="AN2522">
        <v>1.0000000283491599</v>
      </c>
    </row>
    <row r="2523" spans="1:40" x14ac:dyDescent="0.25">
      <c r="A2523" t="str">
        <f>"20190312151546782"</f>
        <v>20190312151546782</v>
      </c>
      <c r="B2523" t="str">
        <f>"1552374946780106"</f>
        <v>1552374946780106</v>
      </c>
      <c r="C2523" t="s">
        <v>40</v>
      </c>
      <c r="D2523">
        <v>4.5208700000000004</v>
      </c>
      <c r="E2523">
        <v>0.3546164</v>
      </c>
      <c r="F2523" t="s">
        <v>41</v>
      </c>
      <c r="G2523">
        <v>-491.51870000000002</v>
      </c>
      <c r="H2523">
        <v>1.043115</v>
      </c>
      <c r="I2523">
        <v>270.63839999999999</v>
      </c>
      <c r="J2523">
        <v>-491.68270000000001</v>
      </c>
      <c r="K2523">
        <v>1.1229990000000001</v>
      </c>
      <c r="L2523">
        <v>271.40390000000002</v>
      </c>
      <c r="M2523">
        <v>-0.50317599999999996</v>
      </c>
      <c r="N2523">
        <v>0</v>
      </c>
      <c r="O2523">
        <v>-0.86406179999999999</v>
      </c>
      <c r="P2523">
        <v>-0.30313420000000002</v>
      </c>
      <c r="Q2523">
        <v>-1.71492E-2</v>
      </c>
      <c r="R2523">
        <v>-0.95279360000000002</v>
      </c>
      <c r="S2523">
        <v>0.32833859999999998</v>
      </c>
      <c r="T2523">
        <v>-0.28832170000000001</v>
      </c>
      <c r="U2523">
        <v>-3.259125</v>
      </c>
      <c r="V2523">
        <v>-0.21729780000000001</v>
      </c>
      <c r="W2523">
        <v>-1.025304E-2</v>
      </c>
      <c r="X2523">
        <v>0.97605149999999996</v>
      </c>
      <c r="Y2523">
        <v>-0.58690379999999998</v>
      </c>
      <c r="Z2523">
        <v>6.1478190000000002E-2</v>
      </c>
      <c r="AA2523">
        <v>0.80731929999999996</v>
      </c>
      <c r="AB2523">
        <v>32</v>
      </c>
      <c r="AC2523">
        <v>0.16399999999998699</v>
      </c>
      <c r="AD2523">
        <v>-7.9883999999999997E-2</v>
      </c>
      <c r="AE2523">
        <v>-0.76550000000003104</v>
      </c>
      <c r="AF2523">
        <v>-0.52151292769748103</v>
      </c>
      <c r="AG2523">
        <v>-7.9883999999999997E-2</v>
      </c>
      <c r="AH2523">
        <v>0.57301327316474404</v>
      </c>
      <c r="AI2523">
        <v>95.886528202841802</v>
      </c>
      <c r="AJ2523">
        <v>132.306069313244</v>
      </c>
      <c r="AK2523">
        <v>0.77891039178750998</v>
      </c>
      <c r="AL2523">
        <v>90.587466215489798</v>
      </c>
      <c r="AM2523">
        <v>102.55103974497599</v>
      </c>
      <c r="AN2523">
        <v>0.99999999468316503</v>
      </c>
    </row>
    <row r="2524" spans="1:40" x14ac:dyDescent="0.25">
      <c r="A2524" t="str">
        <f>"20190312151546794"</f>
        <v>20190312151546794</v>
      </c>
      <c r="B2524" t="str">
        <f>"1552374946789866"</f>
        <v>1552374946789866</v>
      </c>
      <c r="C2524" t="s">
        <v>40</v>
      </c>
      <c r="D2524">
        <v>4.5105789999999999</v>
      </c>
      <c r="E2524">
        <v>0.35622670000000001</v>
      </c>
      <c r="F2524" t="s">
        <v>41</v>
      </c>
      <c r="G2524">
        <v>-491.61759999999998</v>
      </c>
      <c r="H2524">
        <v>1.03651</v>
      </c>
      <c r="I2524">
        <v>270.38990000000001</v>
      </c>
      <c r="J2524">
        <v>-491.75799999999998</v>
      </c>
      <c r="K2524">
        <v>1.122995</v>
      </c>
      <c r="L2524">
        <v>271.26170000000002</v>
      </c>
      <c r="M2524">
        <v>-0.4958939</v>
      </c>
      <c r="N2524">
        <v>0</v>
      </c>
      <c r="O2524">
        <v>-0.86826150000000002</v>
      </c>
      <c r="P2524">
        <v>-0.29524869999999998</v>
      </c>
      <c r="Q2524">
        <v>-1.6369310000000001E-2</v>
      </c>
      <c r="R2524">
        <v>-0.95528009999999997</v>
      </c>
      <c r="S2524">
        <v>0.2062378</v>
      </c>
      <c r="T2524">
        <v>-0.27377069999999998</v>
      </c>
      <c r="U2524">
        <v>-3.2093509999999998</v>
      </c>
      <c r="V2524">
        <v>-0.21719240000000001</v>
      </c>
      <c r="W2524">
        <v>-9.4667109999999992E-3</v>
      </c>
      <c r="X2524">
        <v>0.97608289999999998</v>
      </c>
      <c r="Y2524">
        <v>-0.55031949999999996</v>
      </c>
      <c r="Z2524">
        <v>6.1055720000000001E-2</v>
      </c>
      <c r="AA2524">
        <v>0.83271879999999998</v>
      </c>
      <c r="AB2524">
        <v>32</v>
      </c>
      <c r="AC2524">
        <v>0.14040000000005601</v>
      </c>
      <c r="AD2524">
        <v>-8.6484999999999895E-2</v>
      </c>
      <c r="AE2524">
        <v>-0.87180000000000701</v>
      </c>
      <c r="AF2524">
        <v>-0.54901636507361395</v>
      </c>
      <c r="AG2524">
        <v>-8.6484999999999895E-2</v>
      </c>
      <c r="AH2524">
        <v>0.68086830139073795</v>
      </c>
      <c r="AI2524">
        <v>95.647068812049497</v>
      </c>
      <c r="AJ2524">
        <v>128.88087729056201</v>
      </c>
      <c r="AK2524">
        <v>0.87890856645179705</v>
      </c>
      <c r="AL2524">
        <v>90.542410692151705</v>
      </c>
      <c r="AM2524">
        <v>102.544753844299</v>
      </c>
      <c r="AN2524">
        <v>0.999999992453663</v>
      </c>
    </row>
    <row r="2525" spans="1:40" x14ac:dyDescent="0.25">
      <c r="A2525" t="str">
        <f>"20190312151546805"</f>
        <v>20190312151546805</v>
      </c>
      <c r="B2525" t="str">
        <f>"1552374946800602"</f>
        <v>1552374946800602</v>
      </c>
      <c r="C2525" t="s">
        <v>40</v>
      </c>
      <c r="D2525">
        <v>4.5195069999999999</v>
      </c>
      <c r="E2525">
        <v>0.35742069999999998</v>
      </c>
      <c r="F2525" t="s">
        <v>41</v>
      </c>
      <c r="G2525">
        <v>-491.68040000000002</v>
      </c>
      <c r="H2525">
        <v>1.026214</v>
      </c>
      <c r="I2525">
        <v>270.12959999999998</v>
      </c>
      <c r="J2525">
        <v>-491.82889999999998</v>
      </c>
      <c r="K2525">
        <v>1.1230020000000001</v>
      </c>
      <c r="L2525">
        <v>271.12349999999998</v>
      </c>
      <c r="M2525">
        <v>-0.4888306</v>
      </c>
      <c r="N2525">
        <v>0</v>
      </c>
      <c r="O2525">
        <v>-0.87225799999999998</v>
      </c>
      <c r="P2525">
        <v>-0.28738419999999998</v>
      </c>
      <c r="Q2525">
        <v>-1.5665350000000001E-2</v>
      </c>
      <c r="R2525">
        <v>-0.95768750000000002</v>
      </c>
      <c r="S2525">
        <v>0.2204285</v>
      </c>
      <c r="T2525">
        <v>-0.27378940000000002</v>
      </c>
      <c r="U2525">
        <v>-3.2038880000000001</v>
      </c>
      <c r="V2525">
        <v>-0.21732499999999999</v>
      </c>
      <c r="W2525">
        <v>-8.7653469999999997E-3</v>
      </c>
      <c r="X2525">
        <v>0.97605989999999998</v>
      </c>
      <c r="Y2525">
        <v>-0.54730449999999997</v>
      </c>
      <c r="Z2525">
        <v>6.1745460000000002E-2</v>
      </c>
      <c r="AA2525">
        <v>0.83465279999999997</v>
      </c>
      <c r="AB2525">
        <v>32</v>
      </c>
      <c r="AC2525">
        <v>0.148499999999955</v>
      </c>
      <c r="AD2525">
        <v>-9.6788000000000096E-2</v>
      </c>
      <c r="AE2525">
        <v>-0.99389999999999601</v>
      </c>
      <c r="AF2525">
        <v>-0.60978736628113495</v>
      </c>
      <c r="AG2525">
        <v>-9.6788000000000096E-2</v>
      </c>
      <c r="AH2525">
        <v>0.78712800873373101</v>
      </c>
      <c r="AI2525">
        <v>95.552069928481501</v>
      </c>
      <c r="AJ2525">
        <v>127.76491204445701</v>
      </c>
      <c r="AK2525">
        <v>1.0003894497410499</v>
      </c>
      <c r="AL2525">
        <v>90.502223841557594</v>
      </c>
      <c r="AM2525">
        <v>102.552456414635</v>
      </c>
      <c r="AN2525">
        <v>0.99999995766051897</v>
      </c>
    </row>
    <row r="2526" spans="1:40" x14ac:dyDescent="0.25">
      <c r="A2526" t="str">
        <f>"20190312151546817"</f>
        <v>20190312151546817</v>
      </c>
      <c r="B2526" t="str">
        <f>"1552374946810362"</f>
        <v>1552374946810362</v>
      </c>
      <c r="C2526" t="s">
        <v>40</v>
      </c>
      <c r="D2526">
        <v>4.5172410000000003</v>
      </c>
      <c r="E2526">
        <v>0.35875949999999901</v>
      </c>
      <c r="F2526" t="s">
        <v>41</v>
      </c>
      <c r="G2526">
        <v>-491.75700000000001</v>
      </c>
      <c r="H2526">
        <v>1.0383249999999999</v>
      </c>
      <c r="I2526">
        <v>270.15390000000002</v>
      </c>
      <c r="J2526">
        <v>-491.90199999999999</v>
      </c>
      <c r="K2526">
        <v>1.123005</v>
      </c>
      <c r="L2526">
        <v>270.97890000000001</v>
      </c>
      <c r="M2526">
        <v>-0.48142289999999999</v>
      </c>
      <c r="N2526">
        <v>0</v>
      </c>
      <c r="O2526">
        <v>-0.87636800000000004</v>
      </c>
      <c r="P2526">
        <v>-0.27914460000000002</v>
      </c>
      <c r="Q2526">
        <v>-1.509134E-2</v>
      </c>
      <c r="R2526">
        <v>-0.9601307</v>
      </c>
      <c r="S2526">
        <v>0.2381287</v>
      </c>
      <c r="T2526">
        <v>-0.2792404</v>
      </c>
      <c r="U2526">
        <v>-3.1994630000000002</v>
      </c>
      <c r="V2526">
        <v>-0.2174662</v>
      </c>
      <c r="W2526">
        <v>-8.1942660000000004E-3</v>
      </c>
      <c r="X2526">
        <v>0.97603340000000005</v>
      </c>
      <c r="Y2526">
        <v>-0.54487419999999998</v>
      </c>
      <c r="Z2526">
        <v>6.3640719999999998E-2</v>
      </c>
      <c r="AA2526">
        <v>0.83609929999999999</v>
      </c>
      <c r="AB2526">
        <v>32</v>
      </c>
      <c r="AC2526">
        <v>0.14500000000003799</v>
      </c>
      <c r="AD2526">
        <v>-8.4680000000000005E-2</v>
      </c>
      <c r="AE2526">
        <v>-0.82499999999998797</v>
      </c>
      <c r="AF2526">
        <v>-0.51899855435365905</v>
      </c>
      <c r="AG2526">
        <v>-8.4680000000000005E-2</v>
      </c>
      <c r="AH2526">
        <v>0.64665754975646705</v>
      </c>
      <c r="AI2526">
        <v>95.831174042444502</v>
      </c>
      <c r="AJ2526">
        <v>128.750053927767</v>
      </c>
      <c r="AK2526">
        <v>0.83348436606706999</v>
      </c>
      <c r="AL2526">
        <v>90.469502137646401</v>
      </c>
      <c r="AM2526">
        <v>102.56068346527999</v>
      </c>
      <c r="AN2526">
        <v>0.999999946026638</v>
      </c>
    </row>
    <row r="2527" spans="1:40" x14ac:dyDescent="0.25">
      <c r="A2527" t="str">
        <f>"20190312151546828"</f>
        <v>20190312151546828</v>
      </c>
      <c r="B2527" t="str">
        <f>"1552374946820121"</f>
        <v>1552374946820121</v>
      </c>
      <c r="C2527" t="s">
        <v>40</v>
      </c>
      <c r="D2527">
        <v>4.5152210000000004</v>
      </c>
      <c r="E2527">
        <v>0.3600256</v>
      </c>
      <c r="F2527" t="s">
        <v>41</v>
      </c>
      <c r="G2527">
        <v>-491.81549999999999</v>
      </c>
      <c r="H2527">
        <v>1.0271490000000001</v>
      </c>
      <c r="I2527">
        <v>269.89330000000001</v>
      </c>
      <c r="J2527">
        <v>-491.97640000000001</v>
      </c>
      <c r="K2527">
        <v>1.123005</v>
      </c>
      <c r="L2527">
        <v>270.82859999999999</v>
      </c>
      <c r="M2527">
        <v>-0.4737172</v>
      </c>
      <c r="N2527">
        <v>0</v>
      </c>
      <c r="O2527">
        <v>-0.88055729999999999</v>
      </c>
      <c r="P2527">
        <v>-0.2710978</v>
      </c>
      <c r="Q2527">
        <v>-1.415425E-2</v>
      </c>
      <c r="R2527">
        <v>-0.96244779999999996</v>
      </c>
      <c r="S2527">
        <v>0.25503540000000002</v>
      </c>
      <c r="T2527">
        <v>-0.28196450000000001</v>
      </c>
      <c r="U2527">
        <v>-3.1942750000000002</v>
      </c>
      <c r="V2527">
        <v>-0.2171131</v>
      </c>
      <c r="W2527">
        <v>-7.241646E-3</v>
      </c>
      <c r="X2527">
        <v>0.97611959999999998</v>
      </c>
      <c r="Y2527">
        <v>-0.54201119999999903</v>
      </c>
      <c r="Z2527">
        <v>6.4977969999999996E-2</v>
      </c>
      <c r="AA2527">
        <v>0.83785540000000003</v>
      </c>
      <c r="AB2527">
        <v>32</v>
      </c>
      <c r="AC2527">
        <v>0.16090000000002599</v>
      </c>
      <c r="AD2527">
        <v>-9.5856000000000094E-2</v>
      </c>
      <c r="AE2527">
        <v>-0.93529999999998303</v>
      </c>
      <c r="AF2527">
        <v>-0.57890523510064695</v>
      </c>
      <c r="AG2527">
        <v>-9.5856000000000094E-2</v>
      </c>
      <c r="AH2527">
        <v>0.73989480075543801</v>
      </c>
      <c r="AI2527">
        <v>95.825934651736304</v>
      </c>
      <c r="AJ2527">
        <v>128.04018069238001</v>
      </c>
      <c r="AK2527">
        <v>0.94433254743647599</v>
      </c>
      <c r="AL2527">
        <v>90.414919376351904</v>
      </c>
      <c r="AM2527">
        <v>102.539861907736</v>
      </c>
      <c r="AN2527">
        <v>1.00000000656627</v>
      </c>
    </row>
    <row r="2528" spans="1:40" x14ac:dyDescent="0.25">
      <c r="A2528" t="str">
        <f>"20190312151546839"</f>
        <v>20190312151546839</v>
      </c>
      <c r="B2528" t="str">
        <f>"1552374946829882"</f>
        <v>1552374946829882</v>
      </c>
      <c r="C2528" t="s">
        <v>40</v>
      </c>
      <c r="D2528">
        <v>4.5479690000000002</v>
      </c>
      <c r="E2528">
        <v>0.36139100000000002</v>
      </c>
      <c r="F2528" t="s">
        <v>41</v>
      </c>
      <c r="G2528">
        <v>-491.89879999999999</v>
      </c>
      <c r="H2528">
        <v>1.0434810000000001</v>
      </c>
      <c r="I2528">
        <v>269.91719999999998</v>
      </c>
      <c r="J2528">
        <v>-492.03969999999998</v>
      </c>
      <c r="K2528">
        <v>1.1230100000000001</v>
      </c>
      <c r="L2528">
        <v>270.69749999999999</v>
      </c>
      <c r="M2528">
        <v>-0.46699679999999999</v>
      </c>
      <c r="N2528">
        <v>0</v>
      </c>
      <c r="O2528">
        <v>-0.88413969999999897</v>
      </c>
      <c r="P2528">
        <v>-0.2639666</v>
      </c>
      <c r="Q2528">
        <v>-1.337868E-2</v>
      </c>
      <c r="R2528">
        <v>-0.9644393</v>
      </c>
      <c r="S2528">
        <v>0.2720032</v>
      </c>
      <c r="T2528">
        <v>-0.278229</v>
      </c>
      <c r="U2528">
        <v>-3.189575</v>
      </c>
      <c r="V2528">
        <v>-0.21693509999999999</v>
      </c>
      <c r="W2528">
        <v>-6.4572269999999899E-3</v>
      </c>
      <c r="X2528">
        <v>0.9761647</v>
      </c>
      <c r="Y2528">
        <v>-0.54014499999999999</v>
      </c>
      <c r="Z2528">
        <v>6.4718339999999999E-2</v>
      </c>
      <c r="AA2528">
        <v>0.83907980000000004</v>
      </c>
      <c r="AB2528">
        <v>32</v>
      </c>
      <c r="AC2528">
        <v>0.14089999999998701</v>
      </c>
      <c r="AD2528">
        <v>-7.95290000000001E-2</v>
      </c>
      <c r="AE2528">
        <v>-0.78030000000001098</v>
      </c>
      <c r="AF2528">
        <v>-0.48415394216763902</v>
      </c>
      <c r="AG2528">
        <v>-7.95290000000001E-2</v>
      </c>
      <c r="AH2528">
        <v>0.617943759803805</v>
      </c>
      <c r="AI2528">
        <v>95.7847837736591</v>
      </c>
      <c r="AJ2528">
        <v>128.078412466505</v>
      </c>
      <c r="AK2528">
        <v>0.78904017124474002</v>
      </c>
      <c r="AL2528">
        <v>90.369974415390899</v>
      </c>
      <c r="AM2528">
        <v>102.52934528323</v>
      </c>
      <c r="AN2528">
        <v>1.0000000274593099</v>
      </c>
    </row>
    <row r="2529" spans="1:40" x14ac:dyDescent="0.25">
      <c r="A2529" t="str">
        <f>"20190312151546851"</f>
        <v>20190312151546851</v>
      </c>
      <c r="B2529" t="str">
        <f>"1552374946840618"</f>
        <v>1552374946840618</v>
      </c>
      <c r="C2529" t="s">
        <v>40</v>
      </c>
      <c r="D2529">
        <v>5.7008999999999999</v>
      </c>
      <c r="E2529">
        <v>0.36139100000000002</v>
      </c>
      <c r="F2529" t="s">
        <v>41</v>
      </c>
      <c r="G2529">
        <v>-491.94639999999998</v>
      </c>
      <c r="H2529">
        <v>1.0330619999999999</v>
      </c>
      <c r="I2529">
        <v>269.65339999999998</v>
      </c>
      <c r="J2529">
        <v>-492.1105</v>
      </c>
      <c r="K2529">
        <v>1.12301299999999</v>
      </c>
      <c r="L2529">
        <v>270.54910000000001</v>
      </c>
      <c r="M2529">
        <v>-0.45937800000000001</v>
      </c>
      <c r="N2529">
        <v>0</v>
      </c>
      <c r="O2529">
        <v>-0.88812199999999997</v>
      </c>
      <c r="P2529">
        <v>-0.25564500000000001</v>
      </c>
      <c r="Q2529">
        <v>-1.26249E-2</v>
      </c>
      <c r="R2529">
        <v>-0.96668810000000005</v>
      </c>
      <c r="S2529">
        <v>0.28521729999999901</v>
      </c>
      <c r="T2529">
        <v>-0.27432780000000001</v>
      </c>
      <c r="U2529">
        <v>-3.1849059999999998</v>
      </c>
      <c r="V2529">
        <v>-0.21698539999999999</v>
      </c>
      <c r="W2529">
        <v>-5.702693E-3</v>
      </c>
      <c r="X2529">
        <v>0.97615819999999998</v>
      </c>
      <c r="Y2529">
        <v>-0.53647549999999999</v>
      </c>
      <c r="Z2529">
        <v>6.4510139999999994E-2</v>
      </c>
      <c r="AA2529">
        <v>0.84144660000000004</v>
      </c>
      <c r="AB2529">
        <v>32</v>
      </c>
      <c r="AC2529">
        <v>0.16410000000001901</v>
      </c>
      <c r="AD2529">
        <v>-8.9950999999999601E-2</v>
      </c>
      <c r="AE2529">
        <v>-0.89570000000003303</v>
      </c>
      <c r="AF2529">
        <v>-0.55187944405751599</v>
      </c>
      <c r="AG2529">
        <v>-8.9950999999999601E-2</v>
      </c>
      <c r="AH2529">
        <v>0.71322354474915595</v>
      </c>
      <c r="AI2529">
        <v>95.696133391401801</v>
      </c>
      <c r="AJ2529">
        <v>127.73205433953299</v>
      </c>
      <c r="AK2529">
        <v>0.90628358032063205</v>
      </c>
      <c r="AL2529">
        <v>90.326742009149896</v>
      </c>
      <c r="AM2529">
        <v>102.53223946695999</v>
      </c>
      <c r="AN2529">
        <v>1.00000000797392</v>
      </c>
    </row>
    <row r="2530" spans="1:40" x14ac:dyDescent="0.25">
      <c r="A2530" t="str">
        <f>"20190312151546863"</f>
        <v>20190312151546863</v>
      </c>
      <c r="B2530" t="str">
        <f>"1552374946860137"</f>
        <v>1552374946860137</v>
      </c>
      <c r="C2530" t="s">
        <v>40</v>
      </c>
      <c r="D2530">
        <v>4.482774</v>
      </c>
      <c r="E2530">
        <v>0.37813999999999998</v>
      </c>
      <c r="F2530" t="s">
        <v>41</v>
      </c>
      <c r="G2530">
        <v>-492.02460000000002</v>
      </c>
      <c r="H2530">
        <v>1.0483549999999999</v>
      </c>
      <c r="I2530">
        <v>269.67469999999997</v>
      </c>
      <c r="J2530">
        <v>-492.17630000000003</v>
      </c>
      <c r="K2530">
        <v>1.1230150000000001</v>
      </c>
      <c r="L2530">
        <v>270.40620000000001</v>
      </c>
      <c r="M2530">
        <v>-0.45205319999999999</v>
      </c>
      <c r="N2530">
        <v>0</v>
      </c>
      <c r="O2530">
        <v>-0.89187269999999896</v>
      </c>
      <c r="P2530">
        <v>-0.24804760000000001</v>
      </c>
      <c r="Q2530">
        <v>-1.1876799999999899E-2</v>
      </c>
      <c r="R2530">
        <v>-0.96867539999999996</v>
      </c>
      <c r="S2530">
        <v>0.31295780000000001</v>
      </c>
      <c r="T2530">
        <v>-0.27166649999999998</v>
      </c>
      <c r="U2530">
        <v>-3.1825869999999998</v>
      </c>
      <c r="V2530">
        <v>-0.21664459999999999</v>
      </c>
      <c r="W2530">
        <v>-4.939667E-3</v>
      </c>
      <c r="X2530">
        <v>0.97623800000000005</v>
      </c>
      <c r="Y2530">
        <v>-0.53686269999999903</v>
      </c>
      <c r="Z2530">
        <v>6.4370620000000003E-2</v>
      </c>
      <c r="AA2530">
        <v>0.84121039999999903</v>
      </c>
      <c r="AB2530">
        <v>32</v>
      </c>
      <c r="AC2530">
        <v>0.151700000000005</v>
      </c>
      <c r="AD2530">
        <v>-7.4659999999999893E-2</v>
      </c>
      <c r="AE2530">
        <v>-0.73150000000003901</v>
      </c>
      <c r="AF2530">
        <v>-0.46141475703472401</v>
      </c>
      <c r="AG2530">
        <v>-7.4659999999999893E-2</v>
      </c>
      <c r="AH2530">
        <v>0.57811603486941399</v>
      </c>
      <c r="AI2530">
        <v>95.763684945005593</v>
      </c>
      <c r="AJ2530">
        <v>128.59459946602999</v>
      </c>
      <c r="AK2530">
        <v>0.74343516420905698</v>
      </c>
      <c r="AL2530">
        <v>90.283023234218405</v>
      </c>
      <c r="AM2530">
        <v>102.512185936694</v>
      </c>
      <c r="AN2530">
        <v>0.99999995783161399</v>
      </c>
    </row>
    <row r="2531" spans="1:40" x14ac:dyDescent="0.25">
      <c r="A2531" t="str">
        <f>"20190312151546874"</f>
        <v>20190312151546874</v>
      </c>
      <c r="B2531" t="str">
        <f>"1552374946869898"</f>
        <v>1552374946869898</v>
      </c>
      <c r="C2531" t="s">
        <v>40</v>
      </c>
      <c r="D2531">
        <v>4.5264860000000002</v>
      </c>
      <c r="E2531">
        <v>0.3787875</v>
      </c>
      <c r="F2531" t="s">
        <v>41</v>
      </c>
      <c r="G2531">
        <v>-492.1114</v>
      </c>
      <c r="H2531">
        <v>1.0403659999999999</v>
      </c>
      <c r="I2531">
        <v>269.42110000000002</v>
      </c>
      <c r="J2531">
        <v>-492.2432</v>
      </c>
      <c r="K2531">
        <v>1.1230169999999999</v>
      </c>
      <c r="L2531">
        <v>270.25959999999998</v>
      </c>
      <c r="M2531">
        <v>-0.44451869999999999</v>
      </c>
      <c r="N2531">
        <v>0</v>
      </c>
      <c r="O2531">
        <v>-0.89565169999999905</v>
      </c>
      <c r="P2531">
        <v>-0.23990449999999999</v>
      </c>
      <c r="Q2531">
        <v>-1.141402E-2</v>
      </c>
      <c r="R2531">
        <v>-0.97072959999999997</v>
      </c>
      <c r="S2531">
        <v>0.2076721</v>
      </c>
      <c r="T2531">
        <v>-0.264001599999999</v>
      </c>
      <c r="U2531">
        <v>-3.1469420000000001</v>
      </c>
      <c r="V2531">
        <v>-0.21663109999999999</v>
      </c>
      <c r="W2531">
        <v>-4.4740769999999999E-3</v>
      </c>
      <c r="X2531">
        <v>0.97624330000000004</v>
      </c>
      <c r="Y2531">
        <v>-0.50232120000000002</v>
      </c>
      <c r="Z2531">
        <v>6.4743590000000004E-2</v>
      </c>
      <c r="AA2531">
        <v>0.86225379999999996</v>
      </c>
      <c r="AB2531">
        <v>32</v>
      </c>
      <c r="AC2531">
        <v>0.131799999999998</v>
      </c>
      <c r="AD2531">
        <v>-8.2651000000000002E-2</v>
      </c>
      <c r="AE2531">
        <v>-0.83849999999995295</v>
      </c>
      <c r="AF2531">
        <v>-0.48621743672439999</v>
      </c>
      <c r="AG2531">
        <v>-8.2651000000000002E-2</v>
      </c>
      <c r="AH2531">
        <v>0.685985135726496</v>
      </c>
      <c r="AI2531">
        <v>95.614011503625804</v>
      </c>
      <c r="AJ2531">
        <v>125.328523514738</v>
      </c>
      <c r="AK2531">
        <v>0.84487525115459805</v>
      </c>
      <c r="AL2531">
        <v>90.256346580495503</v>
      </c>
      <c r="AM2531">
        <v>102.511365017206</v>
      </c>
      <c r="AN2531">
        <v>1.00000001582355</v>
      </c>
    </row>
    <row r="2532" spans="1:40" x14ac:dyDescent="0.25">
      <c r="A2532" t="str">
        <f>"20190312151546886"</f>
        <v>20190312151546886</v>
      </c>
      <c r="B2532" t="str">
        <f>"1552374946879658"</f>
        <v>1552374946879658</v>
      </c>
      <c r="C2532" t="s">
        <v>40</v>
      </c>
      <c r="D2532">
        <v>4.4855409999999996</v>
      </c>
      <c r="E2532">
        <v>0.379583</v>
      </c>
      <c r="F2532" t="s">
        <v>41</v>
      </c>
      <c r="G2532">
        <v>-492.16289999999998</v>
      </c>
      <c r="H2532">
        <v>1.029183</v>
      </c>
      <c r="I2532">
        <v>269.15910000000002</v>
      </c>
      <c r="J2532">
        <v>-492.31099999999998</v>
      </c>
      <c r="K2532">
        <v>1.123016</v>
      </c>
      <c r="L2532">
        <v>270.10599999999999</v>
      </c>
      <c r="M2532">
        <v>-0.4366295</v>
      </c>
      <c r="N2532">
        <v>0</v>
      </c>
      <c r="O2532">
        <v>-0.89952399999999999</v>
      </c>
      <c r="P2532">
        <v>-0.2314891</v>
      </c>
      <c r="Q2532">
        <v>-1.099343E-2</v>
      </c>
      <c r="R2532">
        <v>-0.97277550000000002</v>
      </c>
      <c r="S2532">
        <v>0.22955320000000001</v>
      </c>
      <c r="T2532">
        <v>-0.26803090000000002</v>
      </c>
      <c r="U2532">
        <v>-3.144012</v>
      </c>
      <c r="V2532">
        <v>-0.2165212</v>
      </c>
      <c r="W2532">
        <v>-4.0471320000000002E-3</v>
      </c>
      <c r="X2532">
        <v>0.97626950000000001</v>
      </c>
      <c r="Y2532">
        <v>-0.50073849999999998</v>
      </c>
      <c r="Z2532">
        <v>6.6297990000000001E-2</v>
      </c>
      <c r="AA2532">
        <v>0.86305589999999999</v>
      </c>
      <c r="AB2532">
        <v>32</v>
      </c>
      <c r="AC2532">
        <v>0.14809999999999901</v>
      </c>
      <c r="AD2532">
        <v>-9.3833E-2</v>
      </c>
      <c r="AE2532">
        <v>-0.94689999999997099</v>
      </c>
      <c r="AF2532">
        <v>-0.54153097847916098</v>
      </c>
      <c r="AG2532">
        <v>-9.3833E-2</v>
      </c>
      <c r="AH2532">
        <v>0.77970388216958797</v>
      </c>
      <c r="AI2532">
        <v>95.644957893657804</v>
      </c>
      <c r="AJ2532">
        <v>124.78129901461701</v>
      </c>
      <c r="AK2532">
        <v>0.95393845525375798</v>
      </c>
      <c r="AL2532">
        <v>90.231884222017101</v>
      </c>
      <c r="AM2532">
        <v>102.50489248884701</v>
      </c>
      <c r="AN2532">
        <v>0.99999997297855703</v>
      </c>
    </row>
    <row r="2533" spans="1:40" x14ac:dyDescent="0.25">
      <c r="A2533" t="str">
        <f>"20190312151546898"</f>
        <v>20190312151546898</v>
      </c>
      <c r="B2533" t="str">
        <f>"1552374946890394"</f>
        <v>1552374946890394</v>
      </c>
      <c r="C2533" t="s">
        <v>40</v>
      </c>
      <c r="D2533">
        <v>4.486021</v>
      </c>
      <c r="E2533">
        <v>0.38023010000000002</v>
      </c>
      <c r="F2533" t="s">
        <v>41</v>
      </c>
      <c r="G2533">
        <v>-492.2371</v>
      </c>
      <c r="H2533">
        <v>1.0458379999999901</v>
      </c>
      <c r="I2533">
        <v>269.17689999999999</v>
      </c>
      <c r="J2533">
        <v>-492.37259999999998</v>
      </c>
      <c r="K2533">
        <v>1.1230150000000001</v>
      </c>
      <c r="L2533">
        <v>269.964</v>
      </c>
      <c r="M2533">
        <v>-0.42933159999999998</v>
      </c>
      <c r="N2533">
        <v>0</v>
      </c>
      <c r="O2533">
        <v>-0.90303</v>
      </c>
      <c r="P2533">
        <v>-0.22380749999999999</v>
      </c>
      <c r="Q2533">
        <v>-1.0560679999999999E-2</v>
      </c>
      <c r="R2533">
        <v>-0.9745762</v>
      </c>
      <c r="S2533">
        <v>0.25021359999999998</v>
      </c>
      <c r="T2533">
        <v>-0.26085770000000003</v>
      </c>
      <c r="U2533">
        <v>-3.1405639999999999</v>
      </c>
      <c r="V2533">
        <v>-0.2163349</v>
      </c>
      <c r="W2533">
        <v>-3.6052929999999999E-3</v>
      </c>
      <c r="X2533">
        <v>0.97631259999999997</v>
      </c>
      <c r="Y2533">
        <v>-0.4994596</v>
      </c>
      <c r="Z2533">
        <v>6.5051680000000001E-2</v>
      </c>
      <c r="AA2533">
        <v>0.86389139999999998</v>
      </c>
      <c r="AB2533">
        <v>32</v>
      </c>
      <c r="AC2533">
        <v>0.135499999999979</v>
      </c>
      <c r="AD2533">
        <v>-7.7176999999999996E-2</v>
      </c>
      <c r="AE2533">
        <v>-0.78710000000000901</v>
      </c>
      <c r="AF2533">
        <v>-0.45607744127885302</v>
      </c>
      <c r="AG2533">
        <v>-7.7176999999999996E-2</v>
      </c>
      <c r="AH2533">
        <v>0.64663146131301097</v>
      </c>
      <c r="AI2533">
        <v>95.570622445714406</v>
      </c>
      <c r="AJ2533">
        <v>125.195806370081</v>
      </c>
      <c r="AK2533">
        <v>0.79504412992755602</v>
      </c>
      <c r="AL2533">
        <v>90.206568512046402</v>
      </c>
      <c r="AM2533">
        <v>102.493936740599</v>
      </c>
      <c r="AN2533">
        <v>1.00000004000719</v>
      </c>
    </row>
    <row r="2534" spans="1:40" x14ac:dyDescent="0.25">
      <c r="A2534" t="str">
        <f>"20190312151546911"</f>
        <v>20190312151546911</v>
      </c>
      <c r="B2534" t="str">
        <f>"1552374946900154"</f>
        <v>1552374946900154</v>
      </c>
      <c r="C2534" t="s">
        <v>40</v>
      </c>
      <c r="D2534">
        <v>4.4922409999999999</v>
      </c>
      <c r="E2534">
        <v>0.3809303</v>
      </c>
      <c r="F2534" t="s">
        <v>41</v>
      </c>
      <c r="G2534">
        <v>-492.28230000000002</v>
      </c>
      <c r="H2534">
        <v>1.036189</v>
      </c>
      <c r="I2534">
        <v>268.91340000000002</v>
      </c>
      <c r="J2534">
        <v>-492.44760000000002</v>
      </c>
      <c r="K2534">
        <v>1.1230039999999999</v>
      </c>
      <c r="L2534">
        <v>269.78710000000001</v>
      </c>
      <c r="M2534">
        <v>-0.4202263</v>
      </c>
      <c r="N2534">
        <v>0</v>
      </c>
      <c r="O2534">
        <v>-0.90730299999999997</v>
      </c>
      <c r="P2534">
        <v>-0.2142442</v>
      </c>
      <c r="Q2534">
        <v>-9.9507429999999997E-3</v>
      </c>
      <c r="R2534">
        <v>-0.97672959999999998</v>
      </c>
      <c r="S2534">
        <v>0.27001950000000002</v>
      </c>
      <c r="T2534">
        <v>-0.25921359999999999</v>
      </c>
      <c r="U2534">
        <v>-3.137451</v>
      </c>
      <c r="V2534">
        <v>-0.21610679999999999</v>
      </c>
      <c r="W2534">
        <v>-2.983996E-3</v>
      </c>
      <c r="X2534">
        <v>0.97636520000000004</v>
      </c>
      <c r="Y2534">
        <v>-0.49623129999999999</v>
      </c>
      <c r="Z2534">
        <v>6.5292810000000007E-2</v>
      </c>
      <c r="AA2534">
        <v>0.86573169999999899</v>
      </c>
      <c r="AB2534">
        <v>31</v>
      </c>
      <c r="AC2534">
        <v>0.165300000000001</v>
      </c>
      <c r="AD2534">
        <v>-8.6815000000000003E-2</v>
      </c>
      <c r="AE2534">
        <v>-0.87369999999998504</v>
      </c>
      <c r="AF2534">
        <v>-0.51230017697163399</v>
      </c>
      <c r="AG2534">
        <v>-8.6815000000000003E-2</v>
      </c>
      <c r="AH2534">
        <v>0.71649385227635298</v>
      </c>
      <c r="AI2534">
        <v>95.629085854341795</v>
      </c>
      <c r="AJ2534">
        <v>125.565142239526</v>
      </c>
      <c r="AK2534">
        <v>0.88507161060559203</v>
      </c>
      <c r="AL2534">
        <v>90.170970625738093</v>
      </c>
      <c r="AM2534">
        <v>102.48052502077201</v>
      </c>
      <c r="AN2534">
        <v>1.0000000285046999</v>
      </c>
    </row>
    <row r="2535" spans="1:40" x14ac:dyDescent="0.25">
      <c r="A2535" t="str">
        <f>"20190312151546928"</f>
        <v>20190312151546928</v>
      </c>
      <c r="B2535" t="str">
        <f>"1552374946919674"</f>
        <v>1552374946919674</v>
      </c>
      <c r="C2535" t="s">
        <v>40</v>
      </c>
      <c r="D2535">
        <v>4.5096550000000004</v>
      </c>
      <c r="E2535">
        <v>0.38297779999999998</v>
      </c>
      <c r="F2535" t="s">
        <v>41</v>
      </c>
      <c r="G2535">
        <v>-492.36709999999999</v>
      </c>
      <c r="H2535">
        <v>1.047771</v>
      </c>
      <c r="I2535">
        <v>268.9325</v>
      </c>
      <c r="J2535">
        <v>-492.53109999999998</v>
      </c>
      <c r="K2535">
        <v>1.1230020000000001</v>
      </c>
      <c r="L2535">
        <v>269.58280000000002</v>
      </c>
      <c r="M2535">
        <v>-0.40971649999999998</v>
      </c>
      <c r="N2535">
        <v>0</v>
      </c>
      <c r="O2535">
        <v>-0.91209709999999999</v>
      </c>
      <c r="P2535">
        <v>-0.20354169999999999</v>
      </c>
      <c r="Q2535">
        <v>-9.4801450000000006E-3</v>
      </c>
      <c r="R2535">
        <v>-0.97902040000000001</v>
      </c>
      <c r="S2535">
        <v>0.2960815</v>
      </c>
      <c r="T2535">
        <v>-0.27577420000000002</v>
      </c>
      <c r="U2535">
        <v>-3.1336360000000001</v>
      </c>
      <c r="V2535">
        <v>-0.2155311</v>
      </c>
      <c r="W2535">
        <v>-2.4888760000000001E-3</v>
      </c>
      <c r="X2535">
        <v>0.97649379999999997</v>
      </c>
      <c r="Y2535">
        <v>-0.49339090000000002</v>
      </c>
      <c r="Z2535">
        <v>7.0190569999999994E-2</v>
      </c>
      <c r="AA2535">
        <v>0.86697099999999905</v>
      </c>
      <c r="AB2535">
        <v>31</v>
      </c>
      <c r="AC2535">
        <v>0.16399999999998699</v>
      </c>
      <c r="AD2535">
        <v>-7.5231000000000006E-2</v>
      </c>
      <c r="AE2535">
        <v>-0.65030000000001498</v>
      </c>
      <c r="AF2535">
        <v>-0.41089617020628</v>
      </c>
      <c r="AG2535">
        <v>-7.5231000000000006E-2</v>
      </c>
      <c r="AH2535">
        <v>0.51946235808427299</v>
      </c>
      <c r="AI2535">
        <v>96.4802203040432</v>
      </c>
      <c r="AJ2535">
        <v>128.344094927914</v>
      </c>
      <c r="AK2535">
        <v>0.66658570905597903</v>
      </c>
      <c r="AL2535">
        <v>90.1426022383977</v>
      </c>
      <c r="AM2535">
        <v>102.44672685616899</v>
      </c>
      <c r="AN2535">
        <v>0.99999999550469598</v>
      </c>
    </row>
    <row r="2536" spans="1:40" x14ac:dyDescent="0.25">
      <c r="A2536" t="str">
        <f>"20190312151546951"</f>
        <v>20190312151546951</v>
      </c>
      <c r="B2536" t="str">
        <f>"1552374946940170"</f>
        <v>1552374946940170</v>
      </c>
      <c r="C2536" t="s">
        <v>40</v>
      </c>
      <c r="D2536">
        <v>4.5400799999999997</v>
      </c>
      <c r="E2536">
        <v>0.38528869999999998</v>
      </c>
      <c r="F2536" t="s">
        <v>41</v>
      </c>
      <c r="G2536">
        <v>-492.43990000000002</v>
      </c>
      <c r="H2536">
        <v>1.0448010000000001</v>
      </c>
      <c r="I2536">
        <v>268.67439999999999</v>
      </c>
      <c r="J2536">
        <v>-492.6465</v>
      </c>
      <c r="K2536">
        <v>1.1229880000000001</v>
      </c>
      <c r="L2536">
        <v>269.28969999999998</v>
      </c>
      <c r="M2536">
        <v>-0.3946249</v>
      </c>
      <c r="N2536">
        <v>0</v>
      </c>
      <c r="O2536">
        <v>-0.91872750000000003</v>
      </c>
      <c r="P2536">
        <v>-0.187969</v>
      </c>
      <c r="Q2536">
        <v>-8.9707209999999992E-3</v>
      </c>
      <c r="R2536">
        <v>-0.98213439999999996</v>
      </c>
      <c r="S2536">
        <v>0.314422599999999</v>
      </c>
      <c r="T2536">
        <v>-0.2691441</v>
      </c>
      <c r="U2536">
        <v>-3.1270449999999999</v>
      </c>
      <c r="V2536">
        <v>-0.2149595</v>
      </c>
      <c r="W2536">
        <v>-1.9526610000000001E-3</v>
      </c>
      <c r="X2536">
        <v>0.97662099999999996</v>
      </c>
      <c r="Y2536">
        <v>-0.48425360000000001</v>
      </c>
      <c r="Z2536">
        <v>6.971136E-2</v>
      </c>
      <c r="AA2536">
        <v>0.87214609999999904</v>
      </c>
      <c r="AB2536">
        <v>31</v>
      </c>
      <c r="AC2536">
        <v>0.20659999999997999</v>
      </c>
      <c r="AD2536">
        <v>-7.8186999999999701E-2</v>
      </c>
      <c r="AE2536">
        <v>-0.61529999999998997</v>
      </c>
      <c r="AF2536">
        <v>-0.42647876368605803</v>
      </c>
      <c r="AG2536">
        <v>-7.8186999999999701E-2</v>
      </c>
      <c r="AH2536">
        <v>0.47689429770257902</v>
      </c>
      <c r="AI2536">
        <v>96.967573185699393</v>
      </c>
      <c r="AJ2536">
        <v>131.80574488191399</v>
      </c>
      <c r="AK2536">
        <v>0.64453511465662205</v>
      </c>
      <c r="AL2536">
        <v>90.111879306494302</v>
      </c>
      <c r="AM2536">
        <v>102.413175456959</v>
      </c>
      <c r="AN2536">
        <v>0.99999998858311501</v>
      </c>
    </row>
    <row r="2537" spans="1:40" x14ac:dyDescent="0.25">
      <c r="A2537" t="str">
        <f>"20190312151546964"</f>
        <v>20190312151546964</v>
      </c>
      <c r="B2537" t="str">
        <f>"1552374946959786"</f>
        <v>1552374946959786</v>
      </c>
      <c r="C2537" t="s">
        <v>40</v>
      </c>
      <c r="D2537">
        <v>4.501055</v>
      </c>
      <c r="E2537">
        <v>0.38770650000000001</v>
      </c>
      <c r="F2537" t="s">
        <v>41</v>
      </c>
      <c r="G2537">
        <v>-492.5505</v>
      </c>
      <c r="H2537">
        <v>1.0488029999999999</v>
      </c>
      <c r="I2537">
        <v>268.4239</v>
      </c>
      <c r="J2537">
        <v>-492.7131</v>
      </c>
      <c r="K2537">
        <v>1.1229769999999999</v>
      </c>
      <c r="L2537">
        <v>269.11290000000002</v>
      </c>
      <c r="M2537">
        <v>-0.38552789999999998</v>
      </c>
      <c r="N2537">
        <v>0</v>
      </c>
      <c r="O2537">
        <v>-0.92258189999999995</v>
      </c>
      <c r="P2537">
        <v>-0.1788312</v>
      </c>
      <c r="Q2537">
        <v>-8.9528219999999992E-3</v>
      </c>
      <c r="R2537">
        <v>-0.98383940000000003</v>
      </c>
      <c r="S2537">
        <v>0.34637449999999997</v>
      </c>
      <c r="T2537">
        <v>-0.26714549999999998</v>
      </c>
      <c r="U2537">
        <v>-3.118439</v>
      </c>
      <c r="V2537">
        <v>-0.214389</v>
      </c>
      <c r="W2537">
        <v>-1.910094E-3</v>
      </c>
      <c r="X2537">
        <v>0.97674649999999996</v>
      </c>
      <c r="Y2537">
        <v>-0.4846898</v>
      </c>
      <c r="Z2537">
        <v>6.9828009999999996E-2</v>
      </c>
      <c r="AA2537">
        <v>0.87189439999999996</v>
      </c>
      <c r="AB2537">
        <v>31</v>
      </c>
      <c r="AC2537">
        <v>0.162599999999997</v>
      </c>
      <c r="AD2537">
        <v>-7.4173999999999907E-2</v>
      </c>
      <c r="AE2537">
        <v>-0.68900000000002104</v>
      </c>
      <c r="AF2537">
        <v>-0.41117050017707901</v>
      </c>
      <c r="AG2537">
        <v>-7.4173999999999907E-2</v>
      </c>
      <c r="AH2537">
        <v>0.56681001776856399</v>
      </c>
      <c r="AI2537">
        <v>96.046603624693205</v>
      </c>
      <c r="AJ2537">
        <v>125.95756265060599</v>
      </c>
      <c r="AK2537">
        <v>0.70415662940475698</v>
      </c>
      <c r="AL2537">
        <v>90.109440390288896</v>
      </c>
      <c r="AM2537">
        <v>102.37970659077</v>
      </c>
      <c r="AN2537">
        <v>1.00000000852116</v>
      </c>
    </row>
    <row r="2538" spans="1:40" x14ac:dyDescent="0.25">
      <c r="A2538" t="str">
        <f>"20190312151546978"</f>
        <v>20190312151546978</v>
      </c>
      <c r="B2538" t="str">
        <f>"1552374946970522"</f>
        <v>1552374946970522</v>
      </c>
      <c r="C2538" t="s">
        <v>40</v>
      </c>
      <c r="D2538">
        <v>4.5359309999999997</v>
      </c>
      <c r="E2538">
        <v>0.38889249999999997</v>
      </c>
      <c r="F2538" t="s">
        <v>41</v>
      </c>
      <c r="G2538">
        <v>-492.60419999999999</v>
      </c>
      <c r="H2538">
        <v>1.0416829999999999</v>
      </c>
      <c r="I2538">
        <v>268.16199999999998</v>
      </c>
      <c r="J2538">
        <v>-492.77629999999999</v>
      </c>
      <c r="K2538">
        <v>1.1229720000000001</v>
      </c>
      <c r="L2538">
        <v>268.94110000000001</v>
      </c>
      <c r="M2538">
        <v>-0.37667580000000001</v>
      </c>
      <c r="N2538">
        <v>0</v>
      </c>
      <c r="O2538">
        <v>-0.92623120000000003</v>
      </c>
      <c r="P2538">
        <v>-0.17019110000000001</v>
      </c>
      <c r="Q2538">
        <v>-9.3044900000000003E-3</v>
      </c>
      <c r="R2538">
        <v>-0.9853672</v>
      </c>
      <c r="S2538">
        <v>0.35641479999999998</v>
      </c>
      <c r="T2538">
        <v>-0.26599590000000001</v>
      </c>
      <c r="U2538">
        <v>-3.1116640000000002</v>
      </c>
      <c r="V2538">
        <v>-0.2135947</v>
      </c>
      <c r="W2538">
        <v>-2.22886E-3</v>
      </c>
      <c r="X2538">
        <v>0.9769198</v>
      </c>
      <c r="Y2538">
        <v>-0.47929500000000003</v>
      </c>
      <c r="Z2538">
        <v>7.0259820000000001E-2</v>
      </c>
      <c r="AA2538">
        <v>0.87483699999999998</v>
      </c>
      <c r="AB2538">
        <v>31</v>
      </c>
      <c r="AC2538">
        <v>0.1721</v>
      </c>
      <c r="AD2538">
        <v>-8.1288999999999903E-2</v>
      </c>
      <c r="AE2538">
        <v>-0.77909999999997104</v>
      </c>
      <c r="AF2538">
        <v>-0.44826741492340799</v>
      </c>
      <c r="AG2538">
        <v>-8.1288999999999903E-2</v>
      </c>
      <c r="AH2538">
        <v>0.65012206191273503</v>
      </c>
      <c r="AI2538">
        <v>95.877241760755496</v>
      </c>
      <c r="AJ2538">
        <v>124.586756178961</v>
      </c>
      <c r="AK2538">
        <v>0.79385784129703096</v>
      </c>
      <c r="AL2538">
        <v>90.127704379458706</v>
      </c>
      <c r="AM2538">
        <v>102.333125869147</v>
      </c>
      <c r="AN2538">
        <v>0.99999997965851395</v>
      </c>
    </row>
    <row r="2539" spans="1:40" x14ac:dyDescent="0.25">
      <c r="A2539" t="str">
        <f>"20190312151546996"</f>
        <v>20190312151546996</v>
      </c>
      <c r="B2539" t="str">
        <f>"1552374946990042"</f>
        <v>1552374946990042</v>
      </c>
      <c r="C2539" t="s">
        <v>40</v>
      </c>
      <c r="D2539">
        <v>4.5746140000000004</v>
      </c>
      <c r="E2539">
        <v>0.4103349</v>
      </c>
      <c r="F2539" t="s">
        <v>41</v>
      </c>
      <c r="G2539">
        <v>-492.65069999999997</v>
      </c>
      <c r="H2539">
        <v>1.033817</v>
      </c>
      <c r="I2539">
        <v>267.89940000000001</v>
      </c>
      <c r="J2539">
        <v>-492.8605</v>
      </c>
      <c r="K2539">
        <v>1.1229549999999999</v>
      </c>
      <c r="L2539">
        <v>268.70389999999998</v>
      </c>
      <c r="M2539">
        <v>-0.36446899999999999</v>
      </c>
      <c r="N2539">
        <v>0</v>
      </c>
      <c r="O2539">
        <v>-0.93110230000000005</v>
      </c>
      <c r="P2539">
        <v>-0.15818119999999999</v>
      </c>
      <c r="Q2539">
        <v>-9.1378540000000008E-3</v>
      </c>
      <c r="R2539">
        <v>-0.98736800000000002</v>
      </c>
      <c r="S2539">
        <v>0.37414550000000002</v>
      </c>
      <c r="T2539">
        <v>-0.26594380000000001</v>
      </c>
      <c r="U2539">
        <v>-3.1066280000000002</v>
      </c>
      <c r="V2539">
        <v>-0.21265510000000001</v>
      </c>
      <c r="W2539">
        <v>-2.0211399999999998E-3</v>
      </c>
      <c r="X2539">
        <v>0.97712520000000003</v>
      </c>
      <c r="Y2539">
        <v>-0.4728329</v>
      </c>
      <c r="Z2539">
        <v>7.1107890000000007E-2</v>
      </c>
      <c r="AA2539">
        <v>0.87827829999999996</v>
      </c>
      <c r="AB2539">
        <v>31</v>
      </c>
      <c r="AC2539">
        <v>0.20980000000002899</v>
      </c>
      <c r="AD2539">
        <v>-8.9137999999999898E-2</v>
      </c>
      <c r="AE2539">
        <v>-0.80449999999996102</v>
      </c>
      <c r="AF2539">
        <v>-0.483059445048512</v>
      </c>
      <c r="AG2539">
        <v>-8.9137999999999898E-2</v>
      </c>
      <c r="AH2539">
        <v>0.66503274648454402</v>
      </c>
      <c r="AI2539">
        <v>96.189306460941694</v>
      </c>
      <c r="AJ2539">
        <v>125.99350751723399</v>
      </c>
      <c r="AK2539">
        <v>0.82677721569438101</v>
      </c>
      <c r="AL2539">
        <v>90.115802874524903</v>
      </c>
      <c r="AM2539">
        <v>102.278019318457</v>
      </c>
      <c r="AN2539">
        <v>0.99999996651897405</v>
      </c>
    </row>
    <row r="2540" spans="1:40" x14ac:dyDescent="0.25">
      <c r="A2540" t="str">
        <f>"20190312151547009"</f>
        <v>20190312151547009</v>
      </c>
      <c r="B2540" t="str">
        <f>"1552374946999802"</f>
        <v>1552374946999802</v>
      </c>
      <c r="C2540" t="s">
        <v>40</v>
      </c>
      <c r="D2540">
        <v>4.5955899999999996</v>
      </c>
      <c r="E2540">
        <v>0.41090179999999998</v>
      </c>
      <c r="F2540" t="s">
        <v>41</v>
      </c>
      <c r="G2540">
        <v>-492.77769999999998</v>
      </c>
      <c r="H2540">
        <v>1.032489</v>
      </c>
      <c r="I2540">
        <v>267.64949999999999</v>
      </c>
      <c r="J2540">
        <v>-492.92090000000002</v>
      </c>
      <c r="K2540">
        <v>1.1229389999999999</v>
      </c>
      <c r="L2540">
        <v>268.52710000000002</v>
      </c>
      <c r="M2540">
        <v>-0.35537920000000001</v>
      </c>
      <c r="N2540">
        <v>0</v>
      </c>
      <c r="O2540">
        <v>-0.93460960000000004</v>
      </c>
      <c r="P2540">
        <v>-0.14895990000000001</v>
      </c>
      <c r="Q2540">
        <v>-8.828341E-3</v>
      </c>
      <c r="R2540">
        <v>-0.98880429999999997</v>
      </c>
      <c r="S2540">
        <v>0.24224850000000001</v>
      </c>
      <c r="T2540">
        <v>-0.26371070000000002</v>
      </c>
      <c r="U2540">
        <v>-3.0747070000000001</v>
      </c>
      <c r="V2540">
        <v>-0.21226429999999999</v>
      </c>
      <c r="W2540">
        <v>-1.691452E-3</v>
      </c>
      <c r="X2540">
        <v>0.97721080000000005</v>
      </c>
      <c r="Y2540">
        <v>-0.42744799999999999</v>
      </c>
      <c r="Z2540">
        <v>7.2840180000000004E-2</v>
      </c>
      <c r="AA2540">
        <v>0.90110080000000004</v>
      </c>
      <c r="AB2540">
        <v>31</v>
      </c>
      <c r="AC2540">
        <v>0.14320000000003499</v>
      </c>
      <c r="AD2540">
        <v>-9.0449999999999905E-2</v>
      </c>
      <c r="AE2540">
        <v>-0.87760000000002902</v>
      </c>
      <c r="AF2540">
        <v>-0.44119874653116498</v>
      </c>
      <c r="AG2540">
        <v>-9.0449999999999905E-2</v>
      </c>
      <c r="AH2540">
        <v>0.76152462441878399</v>
      </c>
      <c r="AI2540">
        <v>95.867824063577103</v>
      </c>
      <c r="AJ2540">
        <v>120.08639031990499</v>
      </c>
      <c r="AK2540">
        <v>0.88473571762240999</v>
      </c>
      <c r="AL2540">
        <v>90.096913109885506</v>
      </c>
      <c r="AM2540">
        <v>102.255097269255</v>
      </c>
      <c r="AN2540">
        <v>0.99999997085049797</v>
      </c>
    </row>
    <row r="2541" spans="1:40" x14ac:dyDescent="0.25">
      <c r="A2541" t="str">
        <f>"20190312151547028"</f>
        <v>20190312151547028</v>
      </c>
      <c r="B2541" t="str">
        <f>"1552374947020297"</f>
        <v>1552374947020297</v>
      </c>
      <c r="C2541" t="s">
        <v>40</v>
      </c>
      <c r="D2541">
        <v>4.5925029999999998</v>
      </c>
      <c r="E2541">
        <v>0.41150700000000001</v>
      </c>
      <c r="F2541" t="s">
        <v>43</v>
      </c>
      <c r="G2541">
        <v>-491.77659999999997</v>
      </c>
      <c r="H2541" s="1">
        <v>-2.9336550000000002E-6</v>
      </c>
      <c r="I2541">
        <v>255.32570000000001</v>
      </c>
      <c r="J2541">
        <v>-493.00020000000001</v>
      </c>
      <c r="K2541">
        <v>1.1229129999999901</v>
      </c>
      <c r="L2541">
        <v>268.28559999999999</v>
      </c>
      <c r="M2541">
        <v>-0.34297870000000003</v>
      </c>
      <c r="N2541">
        <v>0</v>
      </c>
      <c r="O2541">
        <v>-0.93923109999999999</v>
      </c>
      <c r="P2541">
        <v>-0.13647709999999999</v>
      </c>
      <c r="Q2541">
        <v>-8.0594009999999904E-3</v>
      </c>
      <c r="R2541">
        <v>-0.99061049999999995</v>
      </c>
      <c r="S2541">
        <v>0.2662659</v>
      </c>
      <c r="T2541">
        <v>-0.26128960000000001</v>
      </c>
      <c r="U2541">
        <v>-3.0717469999999998</v>
      </c>
      <c r="V2541">
        <v>-0.2116835</v>
      </c>
      <c r="W2541">
        <v>-8.9207160000000002E-4</v>
      </c>
      <c r="X2541">
        <v>0.97733789999999998</v>
      </c>
      <c r="Y2541">
        <v>-0.42254940000000002</v>
      </c>
      <c r="Z2541">
        <v>7.290547E-2</v>
      </c>
      <c r="AA2541">
        <v>0.90340290000000001</v>
      </c>
      <c r="AB2541">
        <v>31</v>
      </c>
      <c r="AC2541">
        <v>1.22360000000003</v>
      </c>
      <c r="AD2541">
        <v>-1.1229159336550001</v>
      </c>
      <c r="AE2541">
        <v>-12.9598999999999</v>
      </c>
      <c r="AF2541">
        <v>-5.5534778857665099</v>
      </c>
      <c r="AG2541">
        <v>-1.1229159336550001</v>
      </c>
      <c r="AH2541">
        <v>11.6670938795405</v>
      </c>
      <c r="AI2541">
        <v>94.966735856113402</v>
      </c>
      <c r="AJ2541">
        <v>115.454212778026</v>
      </c>
      <c r="AK2541">
        <v>12.970086214662</v>
      </c>
      <c r="AL2541">
        <v>90.051111942674694</v>
      </c>
      <c r="AM2541">
        <v>102.22103241055299</v>
      </c>
      <c r="AN2541">
        <v>1.0000000353701901</v>
      </c>
    </row>
    <row r="2542" spans="1:40" x14ac:dyDescent="0.25">
      <c r="A2542" t="str">
        <f>"20190312151547040"</f>
        <v>20190312151547040</v>
      </c>
      <c r="B2542" t="str">
        <f>"1552374947030058"</f>
        <v>1552374947030058</v>
      </c>
      <c r="C2542" t="s">
        <v>40</v>
      </c>
      <c r="D2542">
        <v>4.5774689999999998</v>
      </c>
      <c r="E2542">
        <v>0.4124176</v>
      </c>
      <c r="F2542" t="s">
        <v>43</v>
      </c>
      <c r="G2542">
        <v>-491.70679999999999</v>
      </c>
      <c r="H2542" s="1">
        <v>-2.8057020000000001E-6</v>
      </c>
      <c r="I2542">
        <v>255.07060000000001</v>
      </c>
      <c r="J2542">
        <v>-493.05110000000002</v>
      </c>
      <c r="K2542">
        <v>1.1228880000000001</v>
      </c>
      <c r="L2542">
        <v>268.1241</v>
      </c>
      <c r="M2542">
        <v>-0.33470519999999998</v>
      </c>
      <c r="N2542">
        <v>0</v>
      </c>
      <c r="O2542">
        <v>-0.94221120000000003</v>
      </c>
      <c r="P2542">
        <v>-0.12798760000000001</v>
      </c>
      <c r="Q2542">
        <v>-8.0112480000000003E-3</v>
      </c>
      <c r="R2542">
        <v>-0.99174359999999995</v>
      </c>
      <c r="S2542">
        <v>0.3002319</v>
      </c>
      <c r="T2542">
        <v>-0.2606733</v>
      </c>
      <c r="U2542">
        <v>-3.0677189999999999</v>
      </c>
      <c r="V2542">
        <v>-0.2114607</v>
      </c>
      <c r="W2542">
        <v>-8.2872800000000004E-4</v>
      </c>
      <c r="X2542">
        <v>0.97738619999999998</v>
      </c>
      <c r="Y2542">
        <v>-0.4245987</v>
      </c>
      <c r="Z2542">
        <v>7.3127170000000005E-2</v>
      </c>
      <c r="AA2542">
        <v>0.90242359999999999</v>
      </c>
      <c r="AB2542">
        <v>31</v>
      </c>
      <c r="AC2542">
        <v>1.34430000000003</v>
      </c>
      <c r="AD2542">
        <v>-1.122890805702</v>
      </c>
      <c r="AE2542">
        <v>-13.0534999999999</v>
      </c>
      <c r="AF2542">
        <v>-5.5953122619510101</v>
      </c>
      <c r="AG2542">
        <v>-1.122890805702</v>
      </c>
      <c r="AH2542">
        <v>11.764316688402401</v>
      </c>
      <c r="AI2542">
        <v>94.926501084946395</v>
      </c>
      <c r="AJ2542">
        <v>115.436567773538</v>
      </c>
      <c r="AK2542">
        <v>13.075456023225099</v>
      </c>
      <c r="AL2542">
        <v>90.047482619863601</v>
      </c>
      <c r="AM2542">
        <v>102.20797038523099</v>
      </c>
      <c r="AN2542">
        <v>1.0000000491925101</v>
      </c>
    </row>
    <row r="2543" spans="1:40" x14ac:dyDescent="0.25">
      <c r="A2543" t="str">
        <f>"20190312151547054"</f>
        <v>20190312151547054</v>
      </c>
      <c r="B2543" t="str">
        <f>"1552374947050553"</f>
        <v>1552374947050553</v>
      </c>
      <c r="C2543" t="s">
        <v>40</v>
      </c>
      <c r="D2543">
        <v>4.6029910000000003</v>
      </c>
      <c r="E2543">
        <v>0.41496909999999998</v>
      </c>
      <c r="F2543" t="s">
        <v>41</v>
      </c>
      <c r="G2543">
        <v>-492.94479999999999</v>
      </c>
      <c r="H2543">
        <v>1.037609</v>
      </c>
      <c r="I2543">
        <v>267.101</v>
      </c>
      <c r="J2543">
        <v>-493.10730000000001</v>
      </c>
      <c r="K2543">
        <v>1.122862</v>
      </c>
      <c r="L2543">
        <v>267.94209999999998</v>
      </c>
      <c r="M2543">
        <v>-0.32538230000000001</v>
      </c>
      <c r="N2543">
        <v>0</v>
      </c>
      <c r="O2543">
        <v>-0.94547150000000002</v>
      </c>
      <c r="P2543">
        <v>-0.1187098</v>
      </c>
      <c r="Q2543">
        <v>-8.4563499999999996E-3</v>
      </c>
      <c r="R2543">
        <v>-0.99289329999999998</v>
      </c>
      <c r="S2543">
        <v>0.31881710000000002</v>
      </c>
      <c r="T2543">
        <v>-0.25537500000000002</v>
      </c>
      <c r="U2543">
        <v>-3.0640559999999999</v>
      </c>
      <c r="V2543">
        <v>-0.21092920000000001</v>
      </c>
      <c r="W2543">
        <v>-1.245737E-3</v>
      </c>
      <c r="X2543">
        <v>0.97750060000000005</v>
      </c>
      <c r="Y2543">
        <v>-0.42119040000000002</v>
      </c>
      <c r="Z2543">
        <v>7.218542E-2</v>
      </c>
      <c r="AA2543">
        <v>0.90409510000000004</v>
      </c>
      <c r="AB2543">
        <v>31</v>
      </c>
      <c r="AC2543">
        <v>0.16250000000002199</v>
      </c>
      <c r="AD2543">
        <v>-8.5252999999999995E-2</v>
      </c>
      <c r="AE2543">
        <v>-0.84109999999998297</v>
      </c>
      <c r="AF2543">
        <v>-0.423171969466829</v>
      </c>
      <c r="AG2543">
        <v>-8.5252999999999995E-2</v>
      </c>
      <c r="AH2543">
        <v>0.73515843706170902</v>
      </c>
      <c r="AI2543">
        <v>95.739197746457293</v>
      </c>
      <c r="AJ2543">
        <v>119.92559554473701</v>
      </c>
      <c r="AK2543">
        <v>0.85252596285066296</v>
      </c>
      <c r="AL2543">
        <v>90.071375487294105</v>
      </c>
      <c r="AM2543">
        <v>102.176820248399</v>
      </c>
      <c r="AN2543">
        <v>1.0000000511368301</v>
      </c>
    </row>
    <row r="2544" spans="1:40" x14ac:dyDescent="0.25">
      <c r="A2544" t="str">
        <f>"20190312151547066"</f>
        <v>20190312151547066</v>
      </c>
      <c r="B2544" t="str">
        <f>"1552374947060315"</f>
        <v>1552374947060315</v>
      </c>
      <c r="C2544" t="s">
        <v>40</v>
      </c>
      <c r="D2544">
        <v>4.6381350000000001</v>
      </c>
      <c r="E2544">
        <v>0.41610419999999998</v>
      </c>
      <c r="F2544" t="s">
        <v>41</v>
      </c>
      <c r="G2544">
        <v>-492.99270000000001</v>
      </c>
      <c r="H2544">
        <v>1.0349839999999999</v>
      </c>
      <c r="I2544">
        <v>266.86959999999999</v>
      </c>
      <c r="J2544">
        <v>-493.15530000000001</v>
      </c>
      <c r="K2544">
        <v>1.1228279999999999</v>
      </c>
      <c r="L2544">
        <v>267.77929999999998</v>
      </c>
      <c r="M2544">
        <v>-0.3170808</v>
      </c>
      <c r="N2544">
        <v>0</v>
      </c>
      <c r="O2544">
        <v>-0.94828789999999996</v>
      </c>
      <c r="P2544">
        <v>-0.1102248</v>
      </c>
      <c r="Q2544">
        <v>-8.5263419999999993E-3</v>
      </c>
      <c r="R2544">
        <v>-0.99387040000000004</v>
      </c>
      <c r="S2544">
        <v>0.3273315</v>
      </c>
      <c r="T2544">
        <v>-0.25054789999999999</v>
      </c>
      <c r="U2544">
        <v>-3.0585019999999998</v>
      </c>
      <c r="V2544">
        <v>-0.21070639999999999</v>
      </c>
      <c r="W2544">
        <v>-1.298142E-3</v>
      </c>
      <c r="X2544">
        <v>0.97754850000000004</v>
      </c>
      <c r="Y2544">
        <v>-0.41590270000000001</v>
      </c>
      <c r="Z2544">
        <v>7.139144E-2</v>
      </c>
      <c r="AA2544">
        <v>0.90660260000000004</v>
      </c>
      <c r="AB2544">
        <v>31</v>
      </c>
      <c r="AC2544">
        <v>0.162599999999997</v>
      </c>
      <c r="AD2544">
        <v>-8.78440000000002E-2</v>
      </c>
      <c r="AE2544">
        <v>-0.90969999999998596</v>
      </c>
      <c r="AF2544">
        <v>-0.43872222510374498</v>
      </c>
      <c r="AG2544">
        <v>-8.78440000000002E-2</v>
      </c>
      <c r="AH2544">
        <v>0.803921145557282</v>
      </c>
      <c r="AI2544">
        <v>95.478828182709407</v>
      </c>
      <c r="AJ2544">
        <v>118.622530499112</v>
      </c>
      <c r="AK2544">
        <v>0.92004508987881395</v>
      </c>
      <c r="AL2544">
        <v>90.074378080854601</v>
      </c>
      <c r="AM2544">
        <v>102.16376305544399</v>
      </c>
      <c r="AN2544">
        <v>0.99999997101293003</v>
      </c>
    </row>
    <row r="2545" spans="1:40" x14ac:dyDescent="0.25">
      <c r="A2545" t="str">
        <f>"20190312151547084"</f>
        <v>20190312151547084</v>
      </c>
      <c r="B2545" t="str">
        <f>"1552374947079833"</f>
        <v>1552374947079833</v>
      </c>
      <c r="C2545" t="s">
        <v>40</v>
      </c>
      <c r="D2545">
        <v>4.6367440000000002</v>
      </c>
      <c r="E2545">
        <v>0.4181916</v>
      </c>
      <c r="F2545" t="s">
        <v>43</v>
      </c>
      <c r="G2545">
        <v>-491.6035</v>
      </c>
      <c r="H2545" s="1">
        <v>-2.3281070000000002E-6</v>
      </c>
      <c r="I2545">
        <v>254.0215</v>
      </c>
      <c r="J2545">
        <v>-493.22250000000003</v>
      </c>
      <c r="K2545">
        <v>1.1227689999999999</v>
      </c>
      <c r="L2545">
        <v>267.54289999999997</v>
      </c>
      <c r="M2545">
        <v>-0.30505559999999998</v>
      </c>
      <c r="N2545">
        <v>0</v>
      </c>
      <c r="O2545">
        <v>-0.95222459999999998</v>
      </c>
      <c r="P2545">
        <v>-9.7447099999999995E-2</v>
      </c>
      <c r="Q2545">
        <v>-8.2268310000000004E-3</v>
      </c>
      <c r="R2545">
        <v>-0.99520699999999995</v>
      </c>
      <c r="S2545">
        <v>0.3445435</v>
      </c>
      <c r="T2545">
        <v>-0.24929519999999999</v>
      </c>
      <c r="U2545">
        <v>-3.0545650000000002</v>
      </c>
      <c r="V2545">
        <v>-0.2109056</v>
      </c>
      <c r="W2545">
        <v>-9.9056980000000001E-4</v>
      </c>
      <c r="X2545">
        <v>0.97750590000000004</v>
      </c>
      <c r="Y2545">
        <v>-0.40955989999999998</v>
      </c>
      <c r="Z2545">
        <v>7.1702790000000002E-2</v>
      </c>
      <c r="AA2545">
        <v>0.90946110000000002</v>
      </c>
      <c r="AB2545">
        <v>31</v>
      </c>
      <c r="AC2545">
        <v>1.61900000000002</v>
      </c>
      <c r="AD2545">
        <v>-1.122771328107</v>
      </c>
      <c r="AE2545">
        <v>-13.5213999999999</v>
      </c>
      <c r="AF2545">
        <v>-5.6287615575129601</v>
      </c>
      <c r="AG2545">
        <v>-1.122771328107</v>
      </c>
      <c r="AH2545">
        <v>12.2992157437698</v>
      </c>
      <c r="AI2545">
        <v>94.745138297921102</v>
      </c>
      <c r="AJ2545">
        <v>114.591299262904</v>
      </c>
      <c r="AK2545">
        <v>13.5725561350229</v>
      </c>
      <c r="AL2545">
        <v>90.056755479897703</v>
      </c>
      <c r="AM2545">
        <v>102.17543443715201</v>
      </c>
      <c r="AN2545">
        <v>0.99999996893734799</v>
      </c>
    </row>
    <row r="2546" spans="1:40" x14ac:dyDescent="0.25">
      <c r="A2546" t="str">
        <f>"20190312151547097"</f>
        <v>20190312151547097</v>
      </c>
      <c r="B2546" t="str">
        <f>"1552374947090570"</f>
        <v>1552374947090570</v>
      </c>
      <c r="C2546" t="s">
        <v>40</v>
      </c>
      <c r="D2546">
        <v>4.6011449999999998</v>
      </c>
      <c r="E2546">
        <v>0.41940840000000001</v>
      </c>
      <c r="F2546" t="s">
        <v>43</v>
      </c>
      <c r="G2546">
        <v>-491.6207</v>
      </c>
      <c r="H2546" s="1">
        <v>-2.4286220000000001E-6</v>
      </c>
      <c r="I2546">
        <v>254.24510000000001</v>
      </c>
      <c r="J2546">
        <v>-493.26710000000003</v>
      </c>
      <c r="K2546">
        <v>1.1227279999999999</v>
      </c>
      <c r="L2546">
        <v>267.38080000000002</v>
      </c>
      <c r="M2546">
        <v>-0.29683500000000002</v>
      </c>
      <c r="N2546">
        <v>0</v>
      </c>
      <c r="O2546">
        <v>-0.95481910000000003</v>
      </c>
      <c r="P2546">
        <v>-8.8648889999999994E-2</v>
      </c>
      <c r="Q2546">
        <v>-7.5764969999999997E-3</v>
      </c>
      <c r="R2546">
        <v>-0.99603390000000003</v>
      </c>
      <c r="S2546">
        <v>0.3671875</v>
      </c>
      <c r="T2546">
        <v>-0.2573743</v>
      </c>
      <c r="U2546">
        <v>-3.048279</v>
      </c>
      <c r="V2546">
        <v>-0.2111382</v>
      </c>
      <c r="W2546">
        <v>-3.3673829999999999E-4</v>
      </c>
      <c r="X2546">
        <v>0.9774562</v>
      </c>
      <c r="Y2546">
        <v>-0.40854370000000001</v>
      </c>
      <c r="Z2546">
        <v>7.4475360000000004E-2</v>
      </c>
      <c r="AA2546">
        <v>0.90969529999999998</v>
      </c>
      <c r="AB2546">
        <v>31</v>
      </c>
      <c r="AC2546">
        <v>1.6464000000000201</v>
      </c>
      <c r="AD2546">
        <v>-1.1227304286219999</v>
      </c>
      <c r="AE2546">
        <v>-13.1357</v>
      </c>
      <c r="AF2546">
        <v>-5.4326488950816403</v>
      </c>
      <c r="AG2546">
        <v>-1.1227304286219999</v>
      </c>
      <c r="AH2546">
        <v>11.9686869095242</v>
      </c>
      <c r="AI2546">
        <v>94.882246070956398</v>
      </c>
      <c r="AJ2546">
        <v>114.413543741122</v>
      </c>
      <c r="AK2546">
        <v>13.191802908276101</v>
      </c>
      <c r="AL2546">
        <v>90.019293683023704</v>
      </c>
      <c r="AM2546">
        <v>102.18906223896499</v>
      </c>
      <c r="AN2546">
        <v>1.0000000379051801</v>
      </c>
    </row>
    <row r="2547" spans="1:40" x14ac:dyDescent="0.25">
      <c r="A2547" t="str">
        <f>"20190312151547110"</f>
        <v>20190312151547110</v>
      </c>
      <c r="B2547" t="str">
        <f>"1552374947100329"</f>
        <v>1552374947100329</v>
      </c>
      <c r="C2547" t="s">
        <v>40</v>
      </c>
      <c r="D2547">
        <v>4.6738730000000004</v>
      </c>
      <c r="E2547">
        <v>0.42026409999999997</v>
      </c>
      <c r="F2547" t="s">
        <v>41</v>
      </c>
      <c r="G2547">
        <v>-493.1311</v>
      </c>
      <c r="H2547">
        <v>1.0329619999999999</v>
      </c>
      <c r="I2547">
        <v>266.30360000000002</v>
      </c>
      <c r="J2547">
        <v>-493.31459999999998</v>
      </c>
      <c r="K2547">
        <v>1.122681</v>
      </c>
      <c r="L2547">
        <v>267.20089999999999</v>
      </c>
      <c r="M2547">
        <v>-0.28774949999999999</v>
      </c>
      <c r="N2547">
        <v>0</v>
      </c>
      <c r="O2547">
        <v>-0.95759680000000003</v>
      </c>
      <c r="P2547">
        <v>-7.8899230000000001E-2</v>
      </c>
      <c r="Q2547">
        <v>-7.0263799999999996E-3</v>
      </c>
      <c r="R2547">
        <v>-0.99685820000000003</v>
      </c>
      <c r="S2547">
        <v>0.38452150000000002</v>
      </c>
      <c r="T2547">
        <v>-0.25366379999999999</v>
      </c>
      <c r="U2547">
        <v>-3.0442499999999999</v>
      </c>
      <c r="V2547">
        <v>-0.21143329999999999</v>
      </c>
      <c r="W2547">
        <v>2.172629E-4</v>
      </c>
      <c r="X2547">
        <v>0.97739240000000005</v>
      </c>
      <c r="Y2547">
        <v>-0.40512510000000002</v>
      </c>
      <c r="Z2547">
        <v>7.3888129999999996E-2</v>
      </c>
      <c r="AA2547">
        <v>0.91127069999999999</v>
      </c>
      <c r="AB2547">
        <v>31</v>
      </c>
      <c r="AC2547">
        <v>0.18349999999998001</v>
      </c>
      <c r="AD2547">
        <v>-8.9718999999999799E-2</v>
      </c>
      <c r="AE2547">
        <v>-0.89729999999997201</v>
      </c>
      <c r="AF2547">
        <v>-0.42983709004494602</v>
      </c>
      <c r="AG2547">
        <v>-8.9718999999999799E-2</v>
      </c>
      <c r="AH2547">
        <v>0.79886758763773102</v>
      </c>
      <c r="AI2547">
        <v>95.648205441737105</v>
      </c>
      <c r="AJ2547">
        <v>118.282828272163</v>
      </c>
      <c r="AK2547">
        <v>0.91159138078276802</v>
      </c>
      <c r="AL2547">
        <v>89.987551752632001</v>
      </c>
      <c r="AM2547">
        <v>102.20636086386099</v>
      </c>
      <c r="AN2547">
        <v>0.99999999556490804</v>
      </c>
    </row>
    <row r="2548" spans="1:40" x14ac:dyDescent="0.25">
      <c r="A2548" t="str">
        <f>"20190312151547130"</f>
        <v>20190312151547130</v>
      </c>
      <c r="B2548" t="str">
        <f>"1552374947119849"</f>
        <v>1552374947119849</v>
      </c>
      <c r="C2548" t="s">
        <v>40</v>
      </c>
      <c r="D2548">
        <v>4.6496370000000002</v>
      </c>
      <c r="E2548">
        <v>0.4220409</v>
      </c>
      <c r="F2548" t="s">
        <v>43</v>
      </c>
      <c r="G2548">
        <v>-491.55459999999999</v>
      </c>
      <c r="H2548" s="1">
        <v>-2.3320159999999999E-6</v>
      </c>
      <c r="I2548">
        <v>254.0609</v>
      </c>
      <c r="J2548">
        <v>-493.38139999999999</v>
      </c>
      <c r="K2548">
        <v>1.1225969999999901</v>
      </c>
      <c r="L2548">
        <v>266.9357</v>
      </c>
      <c r="M2548">
        <v>-0.2744373</v>
      </c>
      <c r="N2548">
        <v>0</v>
      </c>
      <c r="O2548">
        <v>-0.96149680000000004</v>
      </c>
      <c r="P2548">
        <v>-6.5175579999999997E-2</v>
      </c>
      <c r="Q2548">
        <v>-6.7403089999999999E-3</v>
      </c>
      <c r="R2548">
        <v>-0.99785109999999999</v>
      </c>
      <c r="S2548">
        <v>0.40716550000000001</v>
      </c>
      <c r="T2548">
        <v>-0.25972460000000003</v>
      </c>
      <c r="U2548">
        <v>-3.0398559999999999</v>
      </c>
      <c r="V2548">
        <v>-0.21133160000000001</v>
      </c>
      <c r="W2548">
        <v>5.3102170000000003E-4</v>
      </c>
      <c r="X2548">
        <v>0.97741429999999996</v>
      </c>
      <c r="Y2548">
        <v>-0.39925159999999998</v>
      </c>
      <c r="Z2548">
        <v>7.6320250000000006E-2</v>
      </c>
      <c r="AA2548">
        <v>0.91365929999999995</v>
      </c>
      <c r="AB2548">
        <v>31</v>
      </c>
      <c r="AC2548">
        <v>1.82679999999999</v>
      </c>
      <c r="AD2548">
        <v>-1.1225993320159999</v>
      </c>
      <c r="AE2548">
        <v>-12.874799999999899</v>
      </c>
      <c r="AF2548">
        <v>-5.2512026348640699</v>
      </c>
      <c r="AG2548">
        <v>-1.1225993320159999</v>
      </c>
      <c r="AH2548">
        <v>11.7910976787094</v>
      </c>
      <c r="AI2548">
        <v>94.970634106631806</v>
      </c>
      <c r="AJ2548">
        <v>114.005951836123</v>
      </c>
      <c r="AK2548">
        <v>12.956285842845199</v>
      </c>
      <c r="AL2548">
        <v>89.9695746969537</v>
      </c>
      <c r="AM2548">
        <v>102.20040031447699</v>
      </c>
      <c r="AN2548">
        <v>1.00000002049354</v>
      </c>
    </row>
    <row r="2549" spans="1:40" x14ac:dyDescent="0.25">
      <c r="A2549" t="str">
        <f>"20190312151547151"</f>
        <v>20190312151547151</v>
      </c>
      <c r="B2549" t="str">
        <f>"1552374947140346"</f>
        <v>1552374947140346</v>
      </c>
      <c r="C2549" t="s">
        <v>40</v>
      </c>
      <c r="D2549">
        <v>4.6318060000000001</v>
      </c>
      <c r="E2549">
        <v>0.42185719999999999</v>
      </c>
      <c r="F2549" t="s">
        <v>43</v>
      </c>
      <c r="G2549">
        <v>-491.45310000000001</v>
      </c>
      <c r="H2549" s="1">
        <v>-2.0607879999999999E-6</v>
      </c>
      <c r="I2549">
        <v>253.49160000000001</v>
      </c>
      <c r="J2549">
        <v>-493.44760000000002</v>
      </c>
      <c r="K2549">
        <v>1.122492</v>
      </c>
      <c r="L2549">
        <v>266.65690000000001</v>
      </c>
      <c r="M2549">
        <v>-0.26055719999999999</v>
      </c>
      <c r="N2549">
        <v>0</v>
      </c>
      <c r="O2549">
        <v>-0.96535099999999996</v>
      </c>
      <c r="P2549">
        <v>-5.1395700000000002E-2</v>
      </c>
      <c r="Q2549">
        <v>-7.3750669999999999E-3</v>
      </c>
      <c r="R2549">
        <v>-0.99865130000000002</v>
      </c>
      <c r="S2549">
        <v>0.43505859999999902</v>
      </c>
      <c r="T2549">
        <v>-0.25327620000000001</v>
      </c>
      <c r="U2549">
        <v>-3.0332029999999999</v>
      </c>
      <c r="V2549">
        <v>-0.21072009999999999</v>
      </c>
      <c r="W2549" s="1">
        <v>-5.2862390000000003E-5</v>
      </c>
      <c r="X2549">
        <v>0.97754649999999998</v>
      </c>
      <c r="Y2549">
        <v>-0.394567</v>
      </c>
      <c r="Z2549">
        <v>7.5116989999999995E-2</v>
      </c>
      <c r="AA2549">
        <v>0.91579160000000004</v>
      </c>
      <c r="AB2549">
        <v>31</v>
      </c>
      <c r="AC2549">
        <v>1.9945000000000099</v>
      </c>
      <c r="AD2549">
        <v>-1.1224940607879901</v>
      </c>
      <c r="AE2549">
        <v>-13.1653</v>
      </c>
      <c r="AF2549">
        <v>-5.3184664042034804</v>
      </c>
      <c r="AG2549">
        <v>-1.1224940607879901</v>
      </c>
      <c r="AH2549">
        <v>12.104697166590499</v>
      </c>
      <c r="AI2549">
        <v>94.852702113980996</v>
      </c>
      <c r="AJ2549">
        <v>113.719347504951</v>
      </c>
      <c r="AK2549">
        <v>13.2691285058216</v>
      </c>
      <c r="AL2549">
        <v>90.003028791657101</v>
      </c>
      <c r="AM2549">
        <v>102.16455453008599</v>
      </c>
      <c r="AN2549">
        <v>1.0000000615003399</v>
      </c>
    </row>
    <row r="2550" spans="1:40" x14ac:dyDescent="0.25">
      <c r="A2550" t="str">
        <f>"20190312151547164"</f>
        <v>20190312151547164</v>
      </c>
      <c r="B2550" t="str">
        <f>"1552374947159865"</f>
        <v>1552374947159865</v>
      </c>
      <c r="C2550" t="s">
        <v>40</v>
      </c>
      <c r="D2550">
        <v>4.7809290000000004</v>
      </c>
      <c r="E2550">
        <v>0.42217149999999998</v>
      </c>
      <c r="F2550" t="s">
        <v>43</v>
      </c>
      <c r="G2550">
        <v>-491.31599999999997</v>
      </c>
      <c r="H2550" s="1">
        <v>-1.8866920000000001E-6</v>
      </c>
      <c r="I2550">
        <v>253.17080000000001</v>
      </c>
      <c r="J2550">
        <v>-493.48680000000002</v>
      </c>
      <c r="K2550">
        <v>1.122412</v>
      </c>
      <c r="L2550">
        <v>266.48110000000003</v>
      </c>
      <c r="M2550">
        <v>-0.25190190000000001</v>
      </c>
      <c r="N2550">
        <v>0</v>
      </c>
      <c r="O2550">
        <v>-0.9676458</v>
      </c>
      <c r="P2550">
        <v>-4.279898E-2</v>
      </c>
      <c r="Q2550">
        <v>-7.6912959999999898E-3</v>
      </c>
      <c r="R2550">
        <v>-0.99905429999999995</v>
      </c>
      <c r="S2550">
        <v>0.47839359999999997</v>
      </c>
      <c r="T2550">
        <v>-0.25193019999999999</v>
      </c>
      <c r="U2550">
        <v>-3.0267940000000002</v>
      </c>
      <c r="V2550">
        <v>-0.21036769999999999</v>
      </c>
      <c r="W2550">
        <v>-3.3595640000000002E-4</v>
      </c>
      <c r="X2550">
        <v>0.97762230000000006</v>
      </c>
      <c r="Y2550">
        <v>-0.39942939999999999</v>
      </c>
      <c r="Z2550">
        <v>7.4993889999999994E-2</v>
      </c>
      <c r="AA2550">
        <v>0.91369149999999999</v>
      </c>
      <c r="AB2550">
        <v>31</v>
      </c>
      <c r="AC2550">
        <v>2.1708000000000398</v>
      </c>
      <c r="AD2550">
        <v>-1.1224138866919999</v>
      </c>
      <c r="AE2550">
        <v>-13.3103</v>
      </c>
      <c r="AF2550">
        <v>-5.41650123249571</v>
      </c>
      <c r="AG2550">
        <v>-1.1224138866919999</v>
      </c>
      <c r="AH2550">
        <v>12.2492565809968</v>
      </c>
      <c r="AI2550">
        <v>94.790399010541904</v>
      </c>
      <c r="AJ2550">
        <v>113.854544686068</v>
      </c>
      <c r="AK2550">
        <v>13.440334271206201</v>
      </c>
      <c r="AL2550">
        <v>90.019248883763495</v>
      </c>
      <c r="AM2550">
        <v>102.14390169519</v>
      </c>
      <c r="AN2550">
        <v>1.00000002176364</v>
      </c>
    </row>
    <row r="2551" spans="1:40" x14ac:dyDescent="0.25">
      <c r="A2551" t="str">
        <f>"20190312151547176"</f>
        <v>20190312151547176</v>
      </c>
      <c r="B2551" t="str">
        <f>"1552374947170602"</f>
        <v>1552374947170602</v>
      </c>
      <c r="C2551" t="s">
        <v>40</v>
      </c>
      <c r="D2551">
        <v>4.6512310000000001</v>
      </c>
      <c r="E2551">
        <v>0.4223808</v>
      </c>
      <c r="F2551" t="s">
        <v>43</v>
      </c>
      <c r="G2551">
        <v>-491.18650000000002</v>
      </c>
      <c r="H2551" s="1">
        <v>-1.6144200000000001E-6</v>
      </c>
      <c r="I2551">
        <v>252.6165</v>
      </c>
      <c r="J2551">
        <v>-493.52190000000002</v>
      </c>
      <c r="K2551">
        <v>1.1223259999999999</v>
      </c>
      <c r="L2551">
        <v>266.31950000000001</v>
      </c>
      <c r="M2551">
        <v>-0.2439779</v>
      </c>
      <c r="N2551">
        <v>0</v>
      </c>
      <c r="O2551">
        <v>-0.96967460000000005</v>
      </c>
      <c r="P2551">
        <v>-3.5059109999999997E-2</v>
      </c>
      <c r="Q2551">
        <v>-8.0135239999999993E-3</v>
      </c>
      <c r="R2551">
        <v>-0.99935339999999995</v>
      </c>
      <c r="S2551">
        <v>0.50146480000000004</v>
      </c>
      <c r="T2551">
        <v>-0.2446835</v>
      </c>
      <c r="U2551">
        <v>-3.0224609999999998</v>
      </c>
      <c r="V2551">
        <v>-0.2099318</v>
      </c>
      <c r="W2551">
        <v>-6.2240280000000004E-4</v>
      </c>
      <c r="X2551">
        <v>0.97771580000000002</v>
      </c>
      <c r="Y2551">
        <v>-0.39895639999999999</v>
      </c>
      <c r="Z2551">
        <v>7.3162240000000003E-2</v>
      </c>
      <c r="AA2551">
        <v>0.91404660000000004</v>
      </c>
      <c r="AB2551">
        <v>31</v>
      </c>
      <c r="AC2551">
        <v>2.3353999999999902</v>
      </c>
      <c r="AD2551">
        <v>-1.1223276144199901</v>
      </c>
      <c r="AE2551">
        <v>-13.702999999999999</v>
      </c>
      <c r="AF2551">
        <v>-5.5720611861961302</v>
      </c>
      <c r="AG2551">
        <v>-1.1223276144199901</v>
      </c>
      <c r="AH2551">
        <v>12.6365984066389</v>
      </c>
      <c r="AI2551">
        <v>94.645984561013606</v>
      </c>
      <c r="AJ2551">
        <v>113.79490292770301</v>
      </c>
      <c r="AK2551">
        <v>13.8560854655084</v>
      </c>
      <c r="AL2551">
        <v>90.035661057083303</v>
      </c>
      <c r="AM2551">
        <v>102.11835837312699</v>
      </c>
      <c r="AN2551">
        <v>0.99999996680306202</v>
      </c>
    </row>
    <row r="2552" spans="1:40" x14ac:dyDescent="0.25">
      <c r="A2552" t="str">
        <f>"20190312151547188"</f>
        <v>20190312151547188</v>
      </c>
      <c r="B2552" t="str">
        <f>"1552374947180362"</f>
        <v>1552374947180362</v>
      </c>
      <c r="C2552" t="s">
        <v>40</v>
      </c>
      <c r="D2552">
        <v>4.6647220000000003</v>
      </c>
      <c r="E2552">
        <v>0.42258620000000002</v>
      </c>
      <c r="F2552" t="s">
        <v>41</v>
      </c>
      <c r="G2552">
        <v>-493.3297</v>
      </c>
      <c r="H2552">
        <v>1.03278</v>
      </c>
      <c r="I2552">
        <v>265.20999999999998</v>
      </c>
      <c r="J2552">
        <v>-493.55450000000002</v>
      </c>
      <c r="K2552">
        <v>1.122244</v>
      </c>
      <c r="L2552">
        <v>266.16239999999999</v>
      </c>
      <c r="M2552">
        <v>-0.236341</v>
      </c>
      <c r="N2552">
        <v>0</v>
      </c>
      <c r="O2552">
        <v>-0.97156410000000004</v>
      </c>
      <c r="P2552">
        <v>-2.7428919999999999E-2</v>
      </c>
      <c r="Q2552">
        <v>-8.3702299999999993E-3</v>
      </c>
      <c r="R2552">
        <v>-0.99958899999999995</v>
      </c>
      <c r="S2552">
        <v>0.52291869999999996</v>
      </c>
      <c r="T2552">
        <v>-0.24361840000000001</v>
      </c>
      <c r="U2552">
        <v>-3.0183719999999998</v>
      </c>
      <c r="V2552">
        <v>-0.20969119999999999</v>
      </c>
      <c r="W2552">
        <v>-9.493266E-4</v>
      </c>
      <c r="X2552">
        <v>0.97776719999999895</v>
      </c>
      <c r="Y2552">
        <v>-0.39826070000000002</v>
      </c>
      <c r="Z2552">
        <v>7.3139239999999994E-2</v>
      </c>
      <c r="AA2552">
        <v>0.91435169999999999</v>
      </c>
      <c r="AB2552">
        <v>31</v>
      </c>
      <c r="AC2552">
        <v>0.22480000000001599</v>
      </c>
      <c r="AD2552">
        <v>-8.9463999999999905E-2</v>
      </c>
      <c r="AE2552">
        <v>-0.95240000000001102</v>
      </c>
      <c r="AF2552">
        <v>-0.439867995340465</v>
      </c>
      <c r="AG2552">
        <v>-8.9463999999999905E-2</v>
      </c>
      <c r="AH2552">
        <v>0.86504786609140005</v>
      </c>
      <c r="AI2552">
        <v>95.267053722493699</v>
      </c>
      <c r="AJ2552">
        <v>116.95287088341099</v>
      </c>
      <c r="AK2552">
        <v>0.97457450779821098</v>
      </c>
      <c r="AL2552">
        <v>90.054392415784505</v>
      </c>
      <c r="AM2552">
        <v>102.104261944895</v>
      </c>
      <c r="AN2552">
        <v>0.99999999898713599</v>
      </c>
    </row>
    <row r="2553" spans="1:40" x14ac:dyDescent="0.25">
      <c r="A2553" t="str">
        <f>"20190312151547199"</f>
        <v>20190312151547199</v>
      </c>
      <c r="B2553" t="str">
        <f>"1552374947190121"</f>
        <v>1552374947190121</v>
      </c>
      <c r="C2553" t="s">
        <v>40</v>
      </c>
      <c r="D2553">
        <v>4.6615570000000002</v>
      </c>
      <c r="E2553">
        <v>0.42299500000000001</v>
      </c>
      <c r="F2553" t="s">
        <v>43</v>
      </c>
      <c r="G2553">
        <v>-491.06740000000002</v>
      </c>
      <c r="H2553" s="1">
        <v>-1.486391E-6</v>
      </c>
      <c r="I2553">
        <v>252.39189999999999</v>
      </c>
      <c r="J2553">
        <v>-493.58690000000001</v>
      </c>
      <c r="K2553">
        <v>1.1221540000000001</v>
      </c>
      <c r="L2553">
        <v>265.99990000000003</v>
      </c>
      <c r="M2553">
        <v>-0.2285064</v>
      </c>
      <c r="N2553">
        <v>0</v>
      </c>
      <c r="O2553">
        <v>-0.97343710000000006</v>
      </c>
      <c r="P2553">
        <v>-1.9956700000000001E-2</v>
      </c>
      <c r="Q2553">
        <v>-8.53520199999999E-3</v>
      </c>
      <c r="R2553">
        <v>-0.99976489999999996</v>
      </c>
      <c r="S2553">
        <v>0.54440310000000003</v>
      </c>
      <c r="T2553">
        <v>-0.24564169999999999</v>
      </c>
      <c r="U2553">
        <v>-3.0141300000000002</v>
      </c>
      <c r="V2553">
        <v>-0.20911669999999999</v>
      </c>
      <c r="W2553">
        <v>-1.071448E-3</v>
      </c>
      <c r="X2553">
        <v>0.97789009999999998</v>
      </c>
      <c r="Y2553">
        <v>-0.39739760000000002</v>
      </c>
      <c r="Z2553">
        <v>7.4041750000000003E-2</v>
      </c>
      <c r="AA2553">
        <v>0.91465459999999998</v>
      </c>
      <c r="AB2553">
        <v>31</v>
      </c>
      <c r="AC2553">
        <v>2.5194999999999901</v>
      </c>
      <c r="AD2553">
        <v>-1.1221554863909999</v>
      </c>
      <c r="AE2553">
        <v>-13.608000000000001</v>
      </c>
      <c r="AF2553">
        <v>-5.5263259488368099</v>
      </c>
      <c r="AG2553">
        <v>-1.1221554863909999</v>
      </c>
      <c r="AH2553">
        <v>12.589337606104699</v>
      </c>
      <c r="AI2553">
        <v>94.666021896953694</v>
      </c>
      <c r="AJ2553">
        <v>113.699973702664</v>
      </c>
      <c r="AK2553">
        <v>13.794597956769399</v>
      </c>
      <c r="AL2553">
        <v>90.061389460423598</v>
      </c>
      <c r="AM2553">
        <v>102.070600734924</v>
      </c>
      <c r="AN2553">
        <v>0.99999999494885805</v>
      </c>
    </row>
    <row r="2554" spans="1:40" x14ac:dyDescent="0.25">
      <c r="A2554" t="str">
        <f>"20190312151547219"</f>
        <v>20190312151547219</v>
      </c>
      <c r="B2554" t="str">
        <f>"1552374947209641"</f>
        <v>1552374947209641</v>
      </c>
      <c r="C2554" t="s">
        <v>40</v>
      </c>
      <c r="D2554">
        <v>4.6995250000000004</v>
      </c>
      <c r="E2554">
        <v>0.42374640000000002</v>
      </c>
      <c r="F2554" t="s">
        <v>43</v>
      </c>
      <c r="G2554">
        <v>-490.99509999999998</v>
      </c>
      <c r="H2554" s="1">
        <v>-1.370906E-6</v>
      </c>
      <c r="I2554">
        <v>252.16749999999999</v>
      </c>
      <c r="J2554">
        <v>-493.63499999999999</v>
      </c>
      <c r="K2554">
        <v>1.1220049999999999</v>
      </c>
      <c r="L2554">
        <v>265.74700000000001</v>
      </c>
      <c r="M2554">
        <v>-0.21642259999999999</v>
      </c>
      <c r="N2554">
        <v>0</v>
      </c>
      <c r="O2554">
        <v>-0.97619509999999998</v>
      </c>
      <c r="P2554">
        <v>-8.340241E-3</v>
      </c>
      <c r="Q2554">
        <v>-8.7779759999999998E-3</v>
      </c>
      <c r="R2554">
        <v>-0.9999268</v>
      </c>
      <c r="S2554">
        <v>0.56396480000000004</v>
      </c>
      <c r="T2554">
        <v>-0.24417520000000001</v>
      </c>
      <c r="U2554">
        <v>-3.0098569999999998</v>
      </c>
      <c r="V2554">
        <v>-0.2083477</v>
      </c>
      <c r="W2554">
        <v>-1.2497859999999999E-3</v>
      </c>
      <c r="X2554">
        <v>0.97805399999999998</v>
      </c>
      <c r="Y2554">
        <v>-0.39199889999999998</v>
      </c>
      <c r="Z2554">
        <v>7.4088959999999995E-2</v>
      </c>
      <c r="AA2554">
        <v>0.9169775</v>
      </c>
      <c r="AB2554">
        <v>31</v>
      </c>
      <c r="AC2554">
        <v>2.6399000000000101</v>
      </c>
      <c r="AD2554">
        <v>-1.122006370906</v>
      </c>
      <c r="AE2554">
        <v>-13.579499999999999</v>
      </c>
      <c r="AF2554">
        <v>-5.4804797759383197</v>
      </c>
      <c r="AG2554">
        <v>-1.122006370906</v>
      </c>
      <c r="AH2554">
        <v>12.603295804107701</v>
      </c>
      <c r="AI2554">
        <v>94.667285169084494</v>
      </c>
      <c r="AJ2554">
        <v>113.50157055832</v>
      </c>
      <c r="AK2554">
        <v>13.7890399229482</v>
      </c>
      <c r="AL2554">
        <v>90.071607483419498</v>
      </c>
      <c r="AM2554">
        <v>102.025550617189</v>
      </c>
      <c r="AN2554">
        <v>0.99999997648816696</v>
      </c>
    </row>
    <row r="2555" spans="1:40" x14ac:dyDescent="0.25">
      <c r="A2555" t="str">
        <f>"20190312151547234"</f>
        <v>20190312151547234</v>
      </c>
      <c r="B2555" t="str">
        <f>"1552374947230137"</f>
        <v>1552374947230137</v>
      </c>
      <c r="C2555" t="s">
        <v>40</v>
      </c>
      <c r="D2555">
        <v>4.6601900000000001</v>
      </c>
      <c r="E2555">
        <v>0.42471009999999998</v>
      </c>
      <c r="F2555" t="s">
        <v>43</v>
      </c>
      <c r="G2555">
        <v>-490.91770000000002</v>
      </c>
      <c r="H2555" s="1">
        <v>-1.261443E-6</v>
      </c>
      <c r="I2555">
        <v>251.96039999999999</v>
      </c>
      <c r="J2555">
        <v>-493.67140000000001</v>
      </c>
      <c r="K2555">
        <v>1.1218779999999999</v>
      </c>
      <c r="L2555">
        <v>265.5453</v>
      </c>
      <c r="M2555">
        <v>-0.20689070000000001</v>
      </c>
      <c r="N2555">
        <v>0</v>
      </c>
      <c r="O2555">
        <v>-0.97826020000000002</v>
      </c>
      <c r="P2555">
        <v>7.1850720000000002E-4</v>
      </c>
      <c r="Q2555">
        <v>-9.1838730000000004E-3</v>
      </c>
      <c r="R2555">
        <v>-0.99995769999999995</v>
      </c>
      <c r="S2555">
        <v>0.59188839999999998</v>
      </c>
      <c r="T2555">
        <v>-0.2443969</v>
      </c>
      <c r="U2555">
        <v>-3.0030209999999999</v>
      </c>
      <c r="V2555">
        <v>-0.20765449999999999</v>
      </c>
      <c r="W2555">
        <v>-1.5993769999999999E-3</v>
      </c>
      <c r="X2555">
        <v>0.97820090000000004</v>
      </c>
      <c r="Y2555">
        <v>-0.39162340000000001</v>
      </c>
      <c r="Z2555">
        <v>7.4512999999999996E-2</v>
      </c>
      <c r="AA2555">
        <v>0.91710349999999996</v>
      </c>
      <c r="AB2555">
        <v>31</v>
      </c>
      <c r="AC2555">
        <v>2.7536999999999798</v>
      </c>
      <c r="AD2555">
        <v>-1.121879261443</v>
      </c>
      <c r="AE2555">
        <v>-13.584899999999999</v>
      </c>
      <c r="AF2555">
        <v>-5.4691568367550696</v>
      </c>
      <c r="AG2555">
        <v>-1.121879261443</v>
      </c>
      <c r="AH2555">
        <v>12.638353902784001</v>
      </c>
      <c r="AI2555">
        <v>94.657427775178604</v>
      </c>
      <c r="AJ2555">
        <v>113.400201340454</v>
      </c>
      <c r="AK2555">
        <v>13.816594332696299</v>
      </c>
      <c r="AL2555">
        <v>90.091637593303204</v>
      </c>
      <c r="AM2555">
        <v>101.98495112214</v>
      </c>
      <c r="AN2555">
        <v>0.99999997506892302</v>
      </c>
    </row>
    <row r="2556" spans="1:40" x14ac:dyDescent="0.25">
      <c r="A2556" t="str">
        <f>"20190312151547251"</f>
        <v>20190312151547251</v>
      </c>
      <c r="B2556" t="str">
        <f>"1552374947239897"</f>
        <v>1552374947239897</v>
      </c>
      <c r="C2556" t="s">
        <v>40</v>
      </c>
      <c r="D2556">
        <v>4.7261519999999999</v>
      </c>
      <c r="E2556">
        <v>0.4251066</v>
      </c>
      <c r="F2556" t="s">
        <v>41</v>
      </c>
      <c r="G2556">
        <v>-493.44209999999998</v>
      </c>
      <c r="H2556">
        <v>1.030513</v>
      </c>
      <c r="I2556">
        <v>264.42039999999997</v>
      </c>
      <c r="J2556">
        <v>-493.71350000000001</v>
      </c>
      <c r="K2556">
        <v>1.1217159999999999</v>
      </c>
      <c r="L2556">
        <v>265.29489999999998</v>
      </c>
      <c r="M2556">
        <v>-0.19522590000000001</v>
      </c>
      <c r="N2556">
        <v>0</v>
      </c>
      <c r="O2556">
        <v>-0.9806551</v>
      </c>
      <c r="P2556">
        <v>1.073231E-2</v>
      </c>
      <c r="Q2556">
        <v>-1.089564E-2</v>
      </c>
      <c r="R2556">
        <v>-0.99988319999999997</v>
      </c>
      <c r="S2556">
        <v>0.61151119999999903</v>
      </c>
      <c r="T2556">
        <v>-0.2433883</v>
      </c>
      <c r="U2556">
        <v>-2.9974370000000001</v>
      </c>
      <c r="V2556">
        <v>-0.20574600000000001</v>
      </c>
      <c r="W2556">
        <v>-3.2072590000000001E-3</v>
      </c>
      <c r="X2556">
        <v>0.97860009999999997</v>
      </c>
      <c r="Y2556">
        <v>-0.38675949999999998</v>
      </c>
      <c r="Z2556">
        <v>7.4667330000000004E-2</v>
      </c>
      <c r="AA2556">
        <v>0.91915279999999999</v>
      </c>
      <c r="AB2556">
        <v>31</v>
      </c>
      <c r="AC2556">
        <v>0.27140000000002801</v>
      </c>
      <c r="AD2556">
        <v>-9.1202999999999895E-2</v>
      </c>
      <c r="AE2556">
        <v>-0.87450000000001105</v>
      </c>
      <c r="AF2556">
        <v>-0.43262690369995199</v>
      </c>
      <c r="AG2556">
        <v>-9.1202999999999895E-2</v>
      </c>
      <c r="AH2556">
        <v>0.79677508455747903</v>
      </c>
      <c r="AI2556">
        <v>95.744245304052697</v>
      </c>
      <c r="AJ2556">
        <v>118.50074031718</v>
      </c>
      <c r="AK2556">
        <v>0.91122695328089698</v>
      </c>
      <c r="AL2556">
        <v>90.183762732530994</v>
      </c>
      <c r="AM2556">
        <v>101.873235465295</v>
      </c>
      <c r="AN2556">
        <v>0.99999992937314897</v>
      </c>
    </row>
    <row r="2557" spans="1:40" x14ac:dyDescent="0.25">
      <c r="A2557" t="str">
        <f>"20190312151547265"</f>
        <v>20190312151547265</v>
      </c>
      <c r="B2557" t="str">
        <f>"1552374947260393"</f>
        <v>1552374947260393</v>
      </c>
      <c r="C2557" t="s">
        <v>40</v>
      </c>
      <c r="D2557">
        <v>4.7337170000000004</v>
      </c>
      <c r="E2557">
        <v>0.42592679999999999</v>
      </c>
      <c r="F2557" t="s">
        <v>43</v>
      </c>
      <c r="G2557">
        <v>-490.83929999999998</v>
      </c>
      <c r="H2557" s="1">
        <v>-1.185043E-6</v>
      </c>
      <c r="I2557">
        <v>251.83090000000001</v>
      </c>
      <c r="J2557">
        <v>-493.74079999999998</v>
      </c>
      <c r="K2557">
        <v>1.1216010000000001</v>
      </c>
      <c r="L2557">
        <v>265.12020000000001</v>
      </c>
      <c r="M2557">
        <v>-0.18721289999999999</v>
      </c>
      <c r="N2557">
        <v>0</v>
      </c>
      <c r="O2557">
        <v>-0.98221700000000001</v>
      </c>
      <c r="P2557">
        <v>1.821186E-2</v>
      </c>
      <c r="Q2557">
        <v>-1.122394E-2</v>
      </c>
      <c r="R2557">
        <v>-0.99977139999999998</v>
      </c>
      <c r="S2557">
        <v>0.63845830000000003</v>
      </c>
      <c r="T2557">
        <v>-0.24917210000000001</v>
      </c>
      <c r="U2557">
        <v>-2.9908139999999999</v>
      </c>
      <c r="V2557">
        <v>-0.20506640000000001</v>
      </c>
      <c r="W2557">
        <v>-3.4847559999999999E-3</v>
      </c>
      <c r="X2557">
        <v>0.97874190000000005</v>
      </c>
      <c r="Y2557">
        <v>-0.38753330000000002</v>
      </c>
      <c r="Z2557">
        <v>7.6705239999999994E-2</v>
      </c>
      <c r="AA2557">
        <v>0.91865889999999994</v>
      </c>
      <c r="AB2557">
        <v>31</v>
      </c>
      <c r="AC2557">
        <v>2.9014999999999902</v>
      </c>
      <c r="AD2557">
        <v>-1.121602185043</v>
      </c>
      <c r="AE2557">
        <v>-13.2892999999999</v>
      </c>
      <c r="AF2557">
        <v>-5.3023170082195197</v>
      </c>
      <c r="AG2557">
        <v>-1.121602185043</v>
      </c>
      <c r="AH2557">
        <v>12.4265472679967</v>
      </c>
      <c r="AI2557">
        <v>94.745645472156198</v>
      </c>
      <c r="AJ2557">
        <v>113.107588738773</v>
      </c>
      <c r="AK2557">
        <v>13.5569773224308</v>
      </c>
      <c r="AL2557">
        <v>90.1996622076731</v>
      </c>
      <c r="AM2557">
        <v>101.833458484915</v>
      </c>
      <c r="AN2557">
        <v>1.0000000393744699</v>
      </c>
    </row>
    <row r="2558" spans="1:40" x14ac:dyDescent="0.25">
      <c r="A2558" t="str">
        <f>"20190312151547276"</f>
        <v>20190312151547276</v>
      </c>
      <c r="B2558" t="str">
        <f>"1552374947270155"</f>
        <v>1552374947270155</v>
      </c>
      <c r="C2558" t="s">
        <v>40</v>
      </c>
      <c r="D2558">
        <v>4.766203</v>
      </c>
      <c r="E2558">
        <v>0.42643540000000002</v>
      </c>
      <c r="F2558" t="s">
        <v>43</v>
      </c>
      <c r="G2558">
        <v>-490.82209999999998</v>
      </c>
      <c r="H2558" s="1">
        <v>-1.1697729999999999E-6</v>
      </c>
      <c r="I2558">
        <v>251.80600000000001</v>
      </c>
      <c r="J2558">
        <v>-493.76609999999999</v>
      </c>
      <c r="K2558">
        <v>1.121486</v>
      </c>
      <c r="L2558">
        <v>264.9529</v>
      </c>
      <c r="M2558">
        <v>-0.17960100000000001</v>
      </c>
      <c r="N2558">
        <v>0</v>
      </c>
      <c r="O2558">
        <v>-0.9836376</v>
      </c>
      <c r="P2558">
        <v>2.4471130000000001E-2</v>
      </c>
      <c r="Q2558">
        <v>-1.175262E-2</v>
      </c>
      <c r="R2558">
        <v>-0.99963159999999895</v>
      </c>
      <c r="S2558">
        <v>0.65454100000000004</v>
      </c>
      <c r="T2558">
        <v>-0.25153419999999999</v>
      </c>
      <c r="U2558">
        <v>-2.9859010000000001</v>
      </c>
      <c r="V2558">
        <v>-0.203599</v>
      </c>
      <c r="W2558">
        <v>-3.9361989999999996E-3</v>
      </c>
      <c r="X2558">
        <v>0.97904650000000004</v>
      </c>
      <c r="Y2558">
        <v>-0.38541530000000002</v>
      </c>
      <c r="Z2558">
        <v>7.7722630000000001E-2</v>
      </c>
      <c r="AA2558">
        <v>0.91946410000000001</v>
      </c>
      <c r="AB2558">
        <v>31</v>
      </c>
      <c r="AC2558">
        <v>2.9440000000000102</v>
      </c>
      <c r="AD2558">
        <v>-1.121487169773</v>
      </c>
      <c r="AE2558">
        <v>-13.1469</v>
      </c>
      <c r="AF2558">
        <v>-5.2213719957306299</v>
      </c>
      <c r="AG2558">
        <v>-1.121487169773</v>
      </c>
      <c r="AH2558">
        <v>12.3189216041504</v>
      </c>
      <c r="AI2558">
        <v>94.791306183637602</v>
      </c>
      <c r="AJ2558">
        <v>112.96964782865101</v>
      </c>
      <c r="AK2558">
        <v>13.426700580521199</v>
      </c>
      <c r="AL2558">
        <v>90.225528161619195</v>
      </c>
      <c r="AM2558">
        <v>101.74758985995901</v>
      </c>
      <c r="AN2558">
        <v>1.0000000478129001</v>
      </c>
    </row>
    <row r="2559" spans="1:40" x14ac:dyDescent="0.25">
      <c r="A2559" t="str">
        <f>"20190312151547297"</f>
        <v>20190312151547297</v>
      </c>
      <c r="B2559" t="str">
        <f>"1552374947289682"</f>
        <v>1552374947289682</v>
      </c>
      <c r="C2559" t="s">
        <v>40</v>
      </c>
      <c r="D2559">
        <v>4.6483569999999999</v>
      </c>
      <c r="E2559">
        <v>0.42699819999999999</v>
      </c>
      <c r="F2559" t="s">
        <v>43</v>
      </c>
      <c r="G2559">
        <v>-490.79950000000002</v>
      </c>
      <c r="H2559" s="1">
        <v>-1.132945E-6</v>
      </c>
      <c r="I2559">
        <v>251.73410000000001</v>
      </c>
      <c r="J2559">
        <v>-493.80489999999998</v>
      </c>
      <c r="K2559">
        <v>1.1212819999999999</v>
      </c>
      <c r="L2559">
        <v>264.67610000000002</v>
      </c>
      <c r="M2559">
        <v>-0.1672235</v>
      </c>
      <c r="N2559">
        <v>0</v>
      </c>
      <c r="O2559">
        <v>-0.98581799999999997</v>
      </c>
      <c r="P2559">
        <v>3.5019960000000003E-2</v>
      </c>
      <c r="Q2559">
        <v>-1.2136569999999999E-2</v>
      </c>
      <c r="R2559">
        <v>-0.9993128</v>
      </c>
      <c r="S2559">
        <v>0.6691589</v>
      </c>
      <c r="T2559">
        <v>-0.25297269999999999</v>
      </c>
      <c r="U2559">
        <v>-2.9817499999999999</v>
      </c>
      <c r="V2559">
        <v>-0.20161519999999999</v>
      </c>
      <c r="W2559">
        <v>-4.2031359999999997E-3</v>
      </c>
      <c r="X2559">
        <v>0.97945579999999999</v>
      </c>
      <c r="Y2559">
        <v>-0.378361</v>
      </c>
      <c r="Z2559">
        <v>7.8625689999999998E-2</v>
      </c>
      <c r="AA2559">
        <v>0.92231280000000004</v>
      </c>
      <c r="AB2559">
        <v>31</v>
      </c>
      <c r="AC2559">
        <v>3.0053999999999501</v>
      </c>
      <c r="AD2559">
        <v>-1.1212831329449999</v>
      </c>
      <c r="AE2559">
        <v>-12.942</v>
      </c>
      <c r="AF2559">
        <v>-5.0912335452260997</v>
      </c>
      <c r="AG2559">
        <v>-1.1212831329449999</v>
      </c>
      <c r="AH2559">
        <v>12.170422896453699</v>
      </c>
      <c r="AI2559">
        <v>94.8581513061675</v>
      </c>
      <c r="AJ2559">
        <v>112.70094303306701</v>
      </c>
      <c r="AK2559">
        <v>13.239982188612901</v>
      </c>
      <c r="AL2559">
        <v>90.240822660266105</v>
      </c>
      <c r="AM2559">
        <v>101.631531507745</v>
      </c>
      <c r="AN2559">
        <v>1.00000000968845</v>
      </c>
    </row>
    <row r="2560" spans="1:40" x14ac:dyDescent="0.25">
      <c r="A2560" t="str">
        <f>"20190312151547311"</f>
        <v>20190312151547311</v>
      </c>
      <c r="B2560" t="str">
        <f>"1552374947300409"</f>
        <v>1552374947300409</v>
      </c>
      <c r="C2560" t="s">
        <v>40</v>
      </c>
      <c r="D2560">
        <v>4.921157</v>
      </c>
      <c r="E2560">
        <v>0.44959929999999898</v>
      </c>
      <c r="F2560" t="s">
        <v>43</v>
      </c>
      <c r="G2560">
        <v>-490.69279999999998</v>
      </c>
      <c r="H2560" s="1">
        <v>-9.5259820000000003E-7</v>
      </c>
      <c r="I2560">
        <v>251.37989999999999</v>
      </c>
      <c r="J2560">
        <v>-493.82889999999998</v>
      </c>
      <c r="K2560">
        <v>1.1211420000000001</v>
      </c>
      <c r="L2560">
        <v>264.49299999999999</v>
      </c>
      <c r="M2560">
        <v>-0.1591602</v>
      </c>
      <c r="N2560">
        <v>0</v>
      </c>
      <c r="O2560">
        <v>-0.98715220000000004</v>
      </c>
      <c r="P2560">
        <v>4.1835980000000002E-2</v>
      </c>
      <c r="Q2560">
        <v>-1.221502E-2</v>
      </c>
      <c r="R2560">
        <v>-0.99904970000000004</v>
      </c>
      <c r="S2560">
        <v>0.69622799999999996</v>
      </c>
      <c r="T2560">
        <v>-0.2508494</v>
      </c>
      <c r="U2560">
        <v>-2.9745789999999999</v>
      </c>
      <c r="V2560">
        <v>-0.20028950000000001</v>
      </c>
      <c r="W2560">
        <v>-4.203119E-3</v>
      </c>
      <c r="X2560">
        <v>0.97972769999999998</v>
      </c>
      <c r="Y2560">
        <v>-0.3792546</v>
      </c>
      <c r="Z2560">
        <v>7.8226199999999996E-2</v>
      </c>
      <c r="AA2560">
        <v>0.92197969999999896</v>
      </c>
      <c r="AB2560">
        <v>31</v>
      </c>
      <c r="AC2560">
        <v>3.1360999999999901</v>
      </c>
      <c r="AD2560">
        <v>-1.1211429525982</v>
      </c>
      <c r="AE2560">
        <v>-13.113099999999999</v>
      </c>
      <c r="AF2560">
        <v>-5.1478121617891297</v>
      </c>
      <c r="AG2560">
        <v>-1.1211429525982</v>
      </c>
      <c r="AH2560">
        <v>12.3612481925058</v>
      </c>
      <c r="AI2560">
        <v>94.786093485698999</v>
      </c>
      <c r="AJ2560">
        <v>112.609169340874</v>
      </c>
      <c r="AK2560">
        <v>13.437164449762101</v>
      </c>
      <c r="AL2560">
        <v>90.240821698657001</v>
      </c>
      <c r="AM2560">
        <v>101.553992665718</v>
      </c>
      <c r="AN2560">
        <v>0.999999958083433</v>
      </c>
    </row>
    <row r="2561" spans="1:40" x14ac:dyDescent="0.25">
      <c r="A2561" t="str">
        <f>"20190312151547331"</f>
        <v>20190312151547331</v>
      </c>
      <c r="B2561" t="str">
        <f>"1552374947319930"</f>
        <v>1552374947319930</v>
      </c>
      <c r="C2561" t="s">
        <v>40</v>
      </c>
      <c r="D2561">
        <v>4.8133990000000004</v>
      </c>
      <c r="E2561">
        <v>0.45077830000000002</v>
      </c>
      <c r="F2561" t="s">
        <v>43</v>
      </c>
      <c r="G2561">
        <v>-489.80720000000002</v>
      </c>
      <c r="H2561" s="1">
        <v>-1.0369040000000001E-6</v>
      </c>
      <c r="I2561">
        <v>241.9701</v>
      </c>
      <c r="J2561">
        <v>-493.86160000000001</v>
      </c>
      <c r="K2561">
        <v>1.1209309999999999</v>
      </c>
      <c r="L2561">
        <v>264.2217</v>
      </c>
      <c r="M2561">
        <v>-0.14742369999999999</v>
      </c>
      <c r="N2561">
        <v>0</v>
      </c>
      <c r="O2561">
        <v>-0.98897389999999996</v>
      </c>
      <c r="P2561">
        <v>5.0234550000000003E-2</v>
      </c>
      <c r="Q2561">
        <v>-1.2559849999999999E-2</v>
      </c>
      <c r="R2561">
        <v>-0.99865870000000001</v>
      </c>
      <c r="S2561">
        <v>0.53189090000000006</v>
      </c>
      <c r="T2561">
        <v>-0.1482763</v>
      </c>
      <c r="U2561">
        <v>-2.9787599999999999</v>
      </c>
      <c r="V2561">
        <v>-0.1968811</v>
      </c>
      <c r="W2561">
        <v>-4.3892699999999998E-3</v>
      </c>
      <c r="X2561">
        <v>0.98041750000000005</v>
      </c>
      <c r="Y2561">
        <v>-0.31879940000000001</v>
      </c>
      <c r="Z2561">
        <v>4.7228029999999997E-2</v>
      </c>
      <c r="AA2561">
        <v>0.94664479999999995</v>
      </c>
      <c r="AB2561">
        <v>31</v>
      </c>
      <c r="AC2561">
        <v>4.0543999999999798</v>
      </c>
      <c r="AD2561">
        <v>-1.1209320369039999</v>
      </c>
      <c r="AE2561">
        <v>-22.2516</v>
      </c>
      <c r="AF2561">
        <v>-7.2729633526483397</v>
      </c>
      <c r="AG2561">
        <v>-1.1209320369039999</v>
      </c>
      <c r="AH2561">
        <v>21.3581861779485</v>
      </c>
      <c r="AI2561">
        <v>92.844179737565995</v>
      </c>
      <c r="AJ2561">
        <v>108.80491291379499</v>
      </c>
      <c r="AK2561">
        <v>22.590365233263402</v>
      </c>
      <c r="AL2561">
        <v>90.251487465288093</v>
      </c>
      <c r="AM2561">
        <v>101.35474458016</v>
      </c>
      <c r="AN2561">
        <v>0.999999953767295</v>
      </c>
    </row>
    <row r="2562" spans="1:40" x14ac:dyDescent="0.25">
      <c r="A2562" t="str">
        <f>"20190312151547354"</f>
        <v>20190312151547354</v>
      </c>
      <c r="B2562" t="str">
        <f>"1552374947350186"</f>
        <v>1552374947350186</v>
      </c>
      <c r="C2562" t="s">
        <v>40</v>
      </c>
      <c r="D2562">
        <v>4.6613199999999999</v>
      </c>
      <c r="E2562">
        <v>0.45375569999999998</v>
      </c>
      <c r="F2562" t="s">
        <v>43</v>
      </c>
      <c r="G2562">
        <v>-489.83280000000002</v>
      </c>
      <c r="H2562" s="1">
        <v>-1.197148E-6</v>
      </c>
      <c r="I2562">
        <v>242.35419999999999</v>
      </c>
      <c r="J2562">
        <v>-493.89449999999999</v>
      </c>
      <c r="K2562">
        <v>1.120682</v>
      </c>
      <c r="L2562">
        <v>263.92020000000002</v>
      </c>
      <c r="M2562">
        <v>-0.13467709999999999</v>
      </c>
      <c r="N2562">
        <v>0</v>
      </c>
      <c r="O2562">
        <v>-0.99079119999999998</v>
      </c>
      <c r="P2562">
        <v>5.9691939999999999E-2</v>
      </c>
      <c r="Q2562">
        <v>-1.2452889999999999E-2</v>
      </c>
      <c r="R2562">
        <v>-0.99813940000000001</v>
      </c>
      <c r="S2562">
        <v>0.54803469999999999</v>
      </c>
      <c r="T2562">
        <v>-0.15247759999999999</v>
      </c>
      <c r="U2562">
        <v>-2.9745789999999999</v>
      </c>
      <c r="V2562">
        <v>-0.19354779999999999</v>
      </c>
      <c r="W2562">
        <v>-4.1169429999999996E-3</v>
      </c>
      <c r="X2562">
        <v>0.98108220000000002</v>
      </c>
      <c r="Y2562">
        <v>-0.31177759999999999</v>
      </c>
      <c r="Z2562">
        <v>4.8804819999999999E-2</v>
      </c>
      <c r="AA2562">
        <v>0.94890079999999999</v>
      </c>
      <c r="AB2562">
        <v>31</v>
      </c>
      <c r="AC2562">
        <v>4.0616999999999699</v>
      </c>
      <c r="AD2562">
        <v>-1.120683197148</v>
      </c>
      <c r="AE2562">
        <v>-21.565999999999999</v>
      </c>
      <c r="AF2562">
        <v>-6.9113940572804102</v>
      </c>
      <c r="AG2562">
        <v>-1.120683197148</v>
      </c>
      <c r="AH2562">
        <v>20.768252823311101</v>
      </c>
      <c r="AI2562">
        <v>92.931020892476994</v>
      </c>
      <c r="AJ2562">
        <v>108.406745805193</v>
      </c>
      <c r="AK2562">
        <v>21.916743005664699</v>
      </c>
      <c r="AL2562">
        <v>90.235884126715206</v>
      </c>
      <c r="AM2562">
        <v>101.159998471785</v>
      </c>
      <c r="AN2562">
        <v>0.99999999163067199</v>
      </c>
    </row>
    <row r="2563" spans="1:40" x14ac:dyDescent="0.25">
      <c r="A2563" t="str">
        <f>"20190312151547365"</f>
        <v>20190312151547365</v>
      </c>
      <c r="B2563" t="str">
        <f>"1552374947359946"</f>
        <v>1552374947359946</v>
      </c>
      <c r="C2563" t="s">
        <v>40</v>
      </c>
      <c r="D2563">
        <v>4.6696309999999999</v>
      </c>
      <c r="E2563">
        <v>0.45436769999999999</v>
      </c>
      <c r="F2563" t="s">
        <v>43</v>
      </c>
      <c r="G2563">
        <v>-489.47550000000001</v>
      </c>
      <c r="H2563" s="1">
        <v>-3.0251490000000001E-7</v>
      </c>
      <c r="I2563">
        <v>240.12100000000001</v>
      </c>
      <c r="J2563">
        <v>-493.91250000000002</v>
      </c>
      <c r="K2563">
        <v>1.1205210000000001</v>
      </c>
      <c r="L2563">
        <v>263.7346</v>
      </c>
      <c r="M2563">
        <v>-0.1270405</v>
      </c>
      <c r="N2563">
        <v>0</v>
      </c>
      <c r="O2563">
        <v>-0.99179969999999995</v>
      </c>
      <c r="P2563">
        <v>6.6001690000000002E-2</v>
      </c>
      <c r="Q2563">
        <v>-1.1785500000000001E-2</v>
      </c>
      <c r="R2563">
        <v>-0.99774989999999997</v>
      </c>
      <c r="S2563">
        <v>0.55163569999999995</v>
      </c>
      <c r="T2563">
        <v>-0.13989689999999999</v>
      </c>
      <c r="U2563">
        <v>-2.9708860000000001</v>
      </c>
      <c r="V2563">
        <v>-0.19221350000000001</v>
      </c>
      <c r="W2563">
        <v>-3.3688279999999999E-3</v>
      </c>
      <c r="X2563">
        <v>0.98134730000000003</v>
      </c>
      <c r="Y2563">
        <v>-0.3058091</v>
      </c>
      <c r="Z2563">
        <v>4.4952979999999997E-2</v>
      </c>
      <c r="AA2563">
        <v>0.95103099999999996</v>
      </c>
      <c r="AB2563">
        <v>31</v>
      </c>
      <c r="AC2563">
        <v>4.43700000000001</v>
      </c>
      <c r="AD2563">
        <v>-1.1205213025148999</v>
      </c>
      <c r="AE2563">
        <v>-23.613600000000002</v>
      </c>
      <c r="AF2563">
        <v>-7.3851547641503803</v>
      </c>
      <c r="AG2563">
        <v>-1.1205213025148999</v>
      </c>
      <c r="AH2563">
        <v>22.808892909256802</v>
      </c>
      <c r="AI2563">
        <v>92.675923491196897</v>
      </c>
      <c r="AJ2563">
        <v>107.941123872606</v>
      </c>
      <c r="AK2563">
        <v>24.000868205666801</v>
      </c>
      <c r="AL2563">
        <v>90.193020000881205</v>
      </c>
      <c r="AM2563">
        <v>101.082054024012</v>
      </c>
      <c r="AN2563">
        <v>0.99999995090081495</v>
      </c>
    </row>
    <row r="2564" spans="1:40" x14ac:dyDescent="0.25">
      <c r="A2564" t="str">
        <f>"20190312151547379"</f>
        <v>20190312151547379</v>
      </c>
      <c r="B2564" t="str">
        <f>"1552374947369705"</f>
        <v>1552374947369705</v>
      </c>
      <c r="C2564" t="s">
        <v>40</v>
      </c>
      <c r="D2564">
        <v>4.6709379999999996</v>
      </c>
      <c r="E2564">
        <v>0.45482729999999999</v>
      </c>
      <c r="F2564" t="s">
        <v>43</v>
      </c>
      <c r="G2564">
        <v>-489.20339999999999</v>
      </c>
      <c r="H2564" s="1">
        <v>-4.1657699999999996E-6</v>
      </c>
      <c r="I2564">
        <v>239.01390000000001</v>
      </c>
      <c r="J2564">
        <v>-493.92849999999999</v>
      </c>
      <c r="K2564">
        <v>1.1203730000000001</v>
      </c>
      <c r="L2564">
        <v>263.56</v>
      </c>
      <c r="M2564">
        <v>-0.1199298</v>
      </c>
      <c r="N2564">
        <v>0</v>
      </c>
      <c r="O2564">
        <v>-0.99268500000000004</v>
      </c>
      <c r="P2564">
        <v>7.1508909999999995E-2</v>
      </c>
      <c r="Q2564">
        <v>-1.138611E-2</v>
      </c>
      <c r="R2564">
        <v>-0.99737520000000002</v>
      </c>
      <c r="S2564">
        <v>0.56533809999999995</v>
      </c>
      <c r="T2564">
        <v>-0.13452159999999999</v>
      </c>
      <c r="U2564">
        <v>-2.9677730000000002</v>
      </c>
      <c r="V2564">
        <v>-0.1906109</v>
      </c>
      <c r="W2564">
        <v>-2.8851689999999999E-3</v>
      </c>
      <c r="X2564">
        <v>0.98166140000000002</v>
      </c>
      <c r="Y2564">
        <v>-0.30341940000000001</v>
      </c>
      <c r="Z2564">
        <v>4.3332530000000001E-2</v>
      </c>
      <c r="AA2564">
        <v>0.95187129999999998</v>
      </c>
      <c r="AB2564">
        <v>31</v>
      </c>
      <c r="AC2564">
        <v>4.7250999999999896</v>
      </c>
      <c r="AD2564">
        <v>-1.1203771657699999</v>
      </c>
      <c r="AE2564">
        <v>-24.546099999999999</v>
      </c>
      <c r="AF2564">
        <v>-7.6197753794797096</v>
      </c>
      <c r="AG2564">
        <v>-1.1203771657699999</v>
      </c>
      <c r="AH2564">
        <v>23.754445336068301</v>
      </c>
      <c r="AI2564">
        <v>92.571480027153996</v>
      </c>
      <c r="AJ2564">
        <v>107.784817886528</v>
      </c>
      <c r="AK2564">
        <v>24.971781975893499</v>
      </c>
      <c r="AL2564">
        <v>90.165308240883306</v>
      </c>
      <c r="AM2564">
        <v>100.98848438047899</v>
      </c>
      <c r="AN2564">
        <v>0.99999997182446299</v>
      </c>
    </row>
    <row r="2565" spans="1:40" x14ac:dyDescent="0.25">
      <c r="A2565" t="str">
        <f>"20190312151547397"</f>
        <v>20190312151547397</v>
      </c>
      <c r="B2565" t="str">
        <f>"1552374947390201"</f>
        <v>1552374947390201</v>
      </c>
      <c r="C2565" t="s">
        <v>40</v>
      </c>
      <c r="D2565">
        <v>4.6202860000000001</v>
      </c>
      <c r="E2565">
        <v>0.45619110000000002</v>
      </c>
      <c r="F2565" t="s">
        <v>43</v>
      </c>
      <c r="G2565">
        <v>-489.0686</v>
      </c>
      <c r="H2565" s="1">
        <v>-4.0223859999999998E-6</v>
      </c>
      <c r="I2565">
        <v>238.62389999999999</v>
      </c>
      <c r="J2565">
        <v>-493.9495</v>
      </c>
      <c r="K2565">
        <v>1.1201669999999999</v>
      </c>
      <c r="L2565">
        <v>263.3107</v>
      </c>
      <c r="M2565">
        <v>-0.1099451</v>
      </c>
      <c r="N2565">
        <v>0</v>
      </c>
      <c r="O2565">
        <v>-0.99384110000000003</v>
      </c>
      <c r="P2565">
        <v>7.7669059999999998E-2</v>
      </c>
      <c r="Q2565">
        <v>-1.118356E-2</v>
      </c>
      <c r="R2565">
        <v>-0.99691649999999998</v>
      </c>
      <c r="S2565">
        <v>0.57785030000000004</v>
      </c>
      <c r="T2565">
        <v>-0.13321450000000001</v>
      </c>
      <c r="U2565">
        <v>-2.9649350000000001</v>
      </c>
      <c r="V2565">
        <v>-0.18681339999999999</v>
      </c>
      <c r="W2565">
        <v>-2.5217600000000001E-3</v>
      </c>
      <c r="X2565">
        <v>0.98239219999999905</v>
      </c>
      <c r="Y2565">
        <v>-0.29787989999999998</v>
      </c>
      <c r="Z2565">
        <v>4.3051890000000002E-2</v>
      </c>
      <c r="AA2565">
        <v>0.95363209999999998</v>
      </c>
      <c r="AB2565">
        <v>31</v>
      </c>
      <c r="AC2565">
        <v>4.8808999999999898</v>
      </c>
      <c r="AD2565">
        <v>-1.120171022386</v>
      </c>
      <c r="AE2565">
        <v>-24.686800000000002</v>
      </c>
      <c r="AF2565">
        <v>-7.5507962360848202</v>
      </c>
      <c r="AG2565">
        <v>-1.120171022386</v>
      </c>
      <c r="AH2565">
        <v>23.952967003482499</v>
      </c>
      <c r="AI2565">
        <v>92.553803335740398</v>
      </c>
      <c r="AJ2565">
        <v>107.496637911397</v>
      </c>
      <c r="AK2565">
        <v>25.139887334436999</v>
      </c>
      <c r="AL2565">
        <v>90.144486355170798</v>
      </c>
      <c r="AM2565">
        <v>100.766910389796</v>
      </c>
      <c r="AN2565">
        <v>1.0000000201569399</v>
      </c>
    </row>
    <row r="2566" spans="1:40" x14ac:dyDescent="0.25">
      <c r="A2566" t="str">
        <f>"20190312151547411"</f>
        <v>20190312151547411</v>
      </c>
      <c r="B2566" t="str">
        <f>"1552374947399962"</f>
        <v>1552374947399962</v>
      </c>
      <c r="C2566" t="s">
        <v>40</v>
      </c>
      <c r="D2566">
        <v>4.6212609999999996</v>
      </c>
      <c r="E2566">
        <v>0.45693129999999998</v>
      </c>
      <c r="F2566" t="s">
        <v>43</v>
      </c>
      <c r="G2566">
        <v>-488.72089999999997</v>
      </c>
      <c r="H2566" s="1">
        <v>-3.324636E-6</v>
      </c>
      <c r="I2566">
        <v>236.8537</v>
      </c>
      <c r="J2566">
        <v>-493.96480000000003</v>
      </c>
      <c r="K2566">
        <v>1.119996</v>
      </c>
      <c r="L2566">
        <v>263.10969999999998</v>
      </c>
      <c r="M2566">
        <v>-0.1020442</v>
      </c>
      <c r="N2566">
        <v>0</v>
      </c>
      <c r="O2566">
        <v>-0.99468389999999995</v>
      </c>
      <c r="P2566">
        <v>8.3605760000000001E-2</v>
      </c>
      <c r="Q2566">
        <v>-1.16127E-2</v>
      </c>
      <c r="R2566">
        <v>-0.99643119999999996</v>
      </c>
      <c r="S2566">
        <v>0.58541869999999996</v>
      </c>
      <c r="T2566">
        <v>-0.1254208</v>
      </c>
      <c r="U2566">
        <v>-2.9622799999999998</v>
      </c>
      <c r="V2566">
        <v>-0.1848477</v>
      </c>
      <c r="W2566">
        <v>-2.85353E-3</v>
      </c>
      <c r="X2566">
        <v>0.9827631</v>
      </c>
      <c r="Y2566">
        <v>-0.2928171</v>
      </c>
      <c r="Z2566">
        <v>4.064943E-2</v>
      </c>
      <c r="AA2566">
        <v>0.95530400000000004</v>
      </c>
      <c r="AB2566">
        <v>31</v>
      </c>
      <c r="AC2566">
        <v>5.2439000000000497</v>
      </c>
      <c r="AD2566">
        <v>-1.119999324636</v>
      </c>
      <c r="AE2566">
        <v>-26.255999999999901</v>
      </c>
      <c r="AF2566">
        <v>-7.8822567426935697</v>
      </c>
      <c r="AG2566">
        <v>-1.119999324636</v>
      </c>
      <c r="AH2566">
        <v>25.5390646742214</v>
      </c>
      <c r="AI2566">
        <v>92.399515888827395</v>
      </c>
      <c r="AJ2566">
        <v>107.15207224098</v>
      </c>
      <c r="AK2566">
        <v>26.751227902266201</v>
      </c>
      <c r="AL2566">
        <v>90.163495437331505</v>
      </c>
      <c r="AM2566">
        <v>100.652296307193</v>
      </c>
      <c r="AN2566">
        <v>1.00000006277517</v>
      </c>
    </row>
    <row r="2567" spans="1:40" x14ac:dyDescent="0.25">
      <c r="A2567" t="str">
        <f>"20190312151547424"</f>
        <v>20190312151547424</v>
      </c>
      <c r="B2567" t="str">
        <f>"1552374947420457"</f>
        <v>1552374947420457</v>
      </c>
      <c r="C2567" t="s">
        <v>40</v>
      </c>
      <c r="D2567">
        <v>4.6748059999999896</v>
      </c>
      <c r="E2567">
        <v>0.45833600000000002</v>
      </c>
      <c r="F2567" t="s">
        <v>43</v>
      </c>
      <c r="G2567">
        <v>-488.60649999999998</v>
      </c>
      <c r="H2567" s="1">
        <v>-3.2165640000000001E-6</v>
      </c>
      <c r="I2567">
        <v>236.55449999999999</v>
      </c>
      <c r="J2567">
        <v>-493.97550000000001</v>
      </c>
      <c r="K2567">
        <v>1.1198589999999999</v>
      </c>
      <c r="L2567">
        <v>262.94839999999999</v>
      </c>
      <c r="M2567">
        <v>-9.5848500000000003E-2</v>
      </c>
      <c r="N2567">
        <v>0</v>
      </c>
      <c r="O2567">
        <v>-0.99530070000000004</v>
      </c>
      <c r="P2567">
        <v>8.7803350000000002E-2</v>
      </c>
      <c r="Q2567">
        <v>-1.1669280000000001E-2</v>
      </c>
      <c r="R2567">
        <v>-0.99606969999999995</v>
      </c>
      <c r="S2567">
        <v>0.5971069</v>
      </c>
      <c r="T2567">
        <v>-0.12480769999999999</v>
      </c>
      <c r="U2567">
        <v>-2.9591980000000002</v>
      </c>
      <c r="V2567">
        <v>-0.182868</v>
      </c>
      <c r="W2567">
        <v>-2.822817E-3</v>
      </c>
      <c r="X2567">
        <v>0.98313340000000005</v>
      </c>
      <c r="Y2567">
        <v>-0.29068159999999998</v>
      </c>
      <c r="Z2567">
        <v>4.0529170000000003E-2</v>
      </c>
      <c r="AA2567">
        <v>0.95596110000000001</v>
      </c>
      <c r="AB2567">
        <v>31</v>
      </c>
      <c r="AC2567">
        <v>5.3690000000000202</v>
      </c>
      <c r="AD2567">
        <v>-1.119862216564</v>
      </c>
      <c r="AE2567">
        <v>-26.393899999999999</v>
      </c>
      <c r="AF2567">
        <v>-7.8607429655418404</v>
      </c>
      <c r="AG2567">
        <v>-1.119862216564</v>
      </c>
      <c r="AH2567">
        <v>25.713248419074901</v>
      </c>
      <c r="AI2567">
        <v>92.384945356702104</v>
      </c>
      <c r="AJ2567">
        <v>106.998805858369</v>
      </c>
      <c r="AK2567">
        <v>26.911271163129101</v>
      </c>
      <c r="AL2567">
        <v>90.161735718796294</v>
      </c>
      <c r="AM2567">
        <v>100.536900159807</v>
      </c>
      <c r="AN2567">
        <v>0.99999997795768703</v>
      </c>
    </row>
    <row r="2568" spans="1:40" x14ac:dyDescent="0.25">
      <c r="A2568" t="str">
        <f>"20190312151547442"</f>
        <v>20190312151547442</v>
      </c>
      <c r="B2568" t="str">
        <f>"1552374947430217"</f>
        <v>1552374947430217</v>
      </c>
      <c r="C2568" t="s">
        <v>40</v>
      </c>
      <c r="D2568">
        <v>4.6156160000000002</v>
      </c>
      <c r="E2568">
        <v>0.45901999999999998</v>
      </c>
      <c r="F2568" t="s">
        <v>43</v>
      </c>
      <c r="G2568">
        <v>-488.36430000000001</v>
      </c>
      <c r="H2568" s="1">
        <v>-2.6769460000000002E-6</v>
      </c>
      <c r="I2568">
        <v>235.19649999999999</v>
      </c>
      <c r="J2568">
        <v>-493.9907</v>
      </c>
      <c r="K2568">
        <v>1.1196429999999999</v>
      </c>
      <c r="L2568">
        <v>262.6977</v>
      </c>
      <c r="M2568">
        <v>-8.6364839999999998E-2</v>
      </c>
      <c r="N2568">
        <v>0</v>
      </c>
      <c r="O2568">
        <v>-0.99616890000000002</v>
      </c>
      <c r="P2568">
        <v>9.3788380000000005E-2</v>
      </c>
      <c r="Q2568">
        <v>-1.112315E-2</v>
      </c>
      <c r="R2568">
        <v>-0.99552989999999997</v>
      </c>
      <c r="S2568">
        <v>0.59802250000000001</v>
      </c>
      <c r="T2568">
        <v>-0.11935229999999999</v>
      </c>
      <c r="U2568">
        <v>-2.9577330000000002</v>
      </c>
      <c r="V2568">
        <v>-0.179428</v>
      </c>
      <c r="W2568">
        <v>-2.13057E-3</v>
      </c>
      <c r="X2568">
        <v>0.9837688</v>
      </c>
      <c r="Y2568">
        <v>-0.28194669999999999</v>
      </c>
      <c r="Z2568">
        <v>3.8882409999999999E-2</v>
      </c>
      <c r="AA2568">
        <v>0.95864190000000005</v>
      </c>
      <c r="AB2568">
        <v>31</v>
      </c>
      <c r="AC2568">
        <v>5.6263999999999896</v>
      </c>
      <c r="AD2568">
        <v>-1.1196456769459999</v>
      </c>
      <c r="AE2568">
        <v>-27.501200000000001</v>
      </c>
      <c r="AF2568">
        <v>-7.9680576064139803</v>
      </c>
      <c r="AG2568">
        <v>-1.1196456769459999</v>
      </c>
      <c r="AH2568">
        <v>26.869707739740502</v>
      </c>
      <c r="AI2568">
        <v>92.287743029207704</v>
      </c>
      <c r="AJ2568">
        <v>106.51742117467499</v>
      </c>
      <c r="AK2568">
        <v>28.048613913705399</v>
      </c>
      <c r="AL2568">
        <v>90.122072761411701</v>
      </c>
      <c r="AM2568">
        <v>100.336467931272</v>
      </c>
      <c r="AN2568">
        <v>0.99999999918298199</v>
      </c>
    </row>
    <row r="2569" spans="1:40" x14ac:dyDescent="0.25">
      <c r="A2569" t="str">
        <f>"20190312151547456"</f>
        <v>20190312151547456</v>
      </c>
      <c r="B2569" t="str">
        <f>"1552374947449969"</f>
        <v>1552374947449969</v>
      </c>
      <c r="C2569" t="s">
        <v>40</v>
      </c>
      <c r="D2569">
        <v>4.6001859999999999</v>
      </c>
      <c r="E2569">
        <v>0.46027170000000001</v>
      </c>
      <c r="F2569" t="s">
        <v>43</v>
      </c>
      <c r="G2569">
        <v>-488.04219999999998</v>
      </c>
      <c r="H2569" s="1">
        <v>-2.1797629999999999E-6</v>
      </c>
      <c r="I2569">
        <v>233.90430000000001</v>
      </c>
      <c r="J2569">
        <v>-494.00139999999999</v>
      </c>
      <c r="K2569">
        <v>1.119467</v>
      </c>
      <c r="L2569">
        <v>262.49720000000002</v>
      </c>
      <c r="M2569">
        <v>-7.8934130000000005E-2</v>
      </c>
      <c r="N2569">
        <v>0</v>
      </c>
      <c r="O2569">
        <v>-0.9967859</v>
      </c>
      <c r="P2569">
        <v>9.9689239999999998E-2</v>
      </c>
      <c r="Q2569">
        <v>-1.064702E-2</v>
      </c>
      <c r="R2569">
        <v>-0.99496200000000001</v>
      </c>
      <c r="S2569">
        <v>0.61041259999999997</v>
      </c>
      <c r="T2569">
        <v>-0.1148945</v>
      </c>
      <c r="U2569">
        <v>-2.9546809999999999</v>
      </c>
      <c r="V2569">
        <v>-0.1779377</v>
      </c>
      <c r="W2569">
        <v>-1.5728840000000001E-3</v>
      </c>
      <c r="X2569">
        <v>0.98404049999999998</v>
      </c>
      <c r="Y2569">
        <v>-0.27885290000000001</v>
      </c>
      <c r="Z2569">
        <v>3.7507690000000003E-2</v>
      </c>
      <c r="AA2569">
        <v>0.95960100000000004</v>
      </c>
      <c r="AB2569">
        <v>31</v>
      </c>
      <c r="AC2569">
        <v>5.9592000000000098</v>
      </c>
      <c r="AD2569">
        <v>-1.1194691797630001</v>
      </c>
      <c r="AE2569">
        <v>-28.5929</v>
      </c>
      <c r="AF2569">
        <v>-8.1857444576558809</v>
      </c>
      <c r="AG2569">
        <v>-1.1194691797630001</v>
      </c>
      <c r="AH2569">
        <v>27.992118044029301</v>
      </c>
      <c r="AI2569">
        <v>92.198203220183601</v>
      </c>
      <c r="AJ2569">
        <v>106.300521009658</v>
      </c>
      <c r="AK2569">
        <v>29.1859263372152</v>
      </c>
      <c r="AL2569">
        <v>90.090119651811307</v>
      </c>
      <c r="AM2569">
        <v>100.249672438806</v>
      </c>
      <c r="AN2569">
        <v>1.0000000023428</v>
      </c>
    </row>
    <row r="2570" spans="1:40" x14ac:dyDescent="0.25">
      <c r="A2570" t="str">
        <f>"20190312151547476"</f>
        <v>20190312151547476</v>
      </c>
      <c r="B2570" t="str">
        <f>"1552374947470466"</f>
        <v>1552374947470466</v>
      </c>
      <c r="C2570" t="s">
        <v>40</v>
      </c>
      <c r="D2570">
        <v>4.6066289999999999</v>
      </c>
      <c r="E2570">
        <v>0.46085759999999998</v>
      </c>
      <c r="F2570" t="s">
        <v>43</v>
      </c>
      <c r="G2570">
        <v>-487.64010000000002</v>
      </c>
      <c r="H2570" s="1">
        <v>-1.4723549999999999E-6</v>
      </c>
      <c r="I2570">
        <v>232.0891</v>
      </c>
      <c r="J2570">
        <v>-494.01350000000002</v>
      </c>
      <c r="K2570">
        <v>1.1192279999999999</v>
      </c>
      <c r="L2570">
        <v>262.2269</v>
      </c>
      <c r="M2570">
        <v>-6.9155960000000002E-2</v>
      </c>
      <c r="N2570">
        <v>0</v>
      </c>
      <c r="O2570">
        <v>-0.99751279999999998</v>
      </c>
      <c r="P2570">
        <v>0.1066102</v>
      </c>
      <c r="Q2570">
        <v>-1.0094199999999999E-2</v>
      </c>
      <c r="R2570">
        <v>-0.99424990000000002</v>
      </c>
      <c r="S2570">
        <v>0.61758419999999903</v>
      </c>
      <c r="T2570">
        <v>-0.1086829</v>
      </c>
      <c r="U2570">
        <v>-2.9521480000000002</v>
      </c>
      <c r="V2570">
        <v>-0.175149</v>
      </c>
      <c r="W2570">
        <v>-8.9179139999999999E-4</v>
      </c>
      <c r="X2570">
        <v>0.98454149999999996</v>
      </c>
      <c r="Y2570">
        <v>-0.27184130000000001</v>
      </c>
      <c r="Z2570">
        <v>3.558008E-2</v>
      </c>
      <c r="AA2570">
        <v>0.96168410000000004</v>
      </c>
      <c r="AB2570">
        <v>31</v>
      </c>
      <c r="AC2570">
        <v>6.3734000000000002</v>
      </c>
      <c r="AD2570">
        <v>-1.119229472355</v>
      </c>
      <c r="AE2570">
        <v>-30.137799999999999</v>
      </c>
      <c r="AF2570">
        <v>-8.4314098565320901</v>
      </c>
      <c r="AG2570">
        <v>-1.119229472355</v>
      </c>
      <c r="AH2570">
        <v>29.585776098403699</v>
      </c>
      <c r="AI2570">
        <v>92.083585551401697</v>
      </c>
      <c r="AJ2570">
        <v>105.90659129426</v>
      </c>
      <c r="AK2570">
        <v>30.784078581719601</v>
      </c>
      <c r="AL2570">
        <v>90.051095891917697</v>
      </c>
      <c r="AM2570">
        <v>100.08733349686</v>
      </c>
      <c r="AN2570">
        <v>0.99999996635757404</v>
      </c>
    </row>
    <row r="2571" spans="1:40" x14ac:dyDescent="0.25">
      <c r="A2571" t="str">
        <f>"20190312151547490"</f>
        <v>20190312151547490</v>
      </c>
      <c r="B2571" t="str">
        <f>"1552374947480225"</f>
        <v>1552374947480225</v>
      </c>
      <c r="C2571" t="s">
        <v>40</v>
      </c>
      <c r="D2571">
        <v>4.7858210000000003</v>
      </c>
      <c r="E2571">
        <v>0.47325459999999903</v>
      </c>
      <c r="F2571" t="s">
        <v>43</v>
      </c>
      <c r="G2571">
        <v>-487.28769999999997</v>
      </c>
      <c r="H2571" s="1">
        <v>-1.152715E-6</v>
      </c>
      <c r="I2571">
        <v>230.91470000000001</v>
      </c>
      <c r="J2571">
        <v>-494.02080000000001</v>
      </c>
      <c r="K2571">
        <v>1.1190560000000001</v>
      </c>
      <c r="L2571">
        <v>262.02929999999998</v>
      </c>
      <c r="M2571">
        <v>-6.2159550000000001E-2</v>
      </c>
      <c r="N2571">
        <v>0</v>
      </c>
      <c r="O2571">
        <v>-0.99797349999999996</v>
      </c>
      <c r="P2571">
        <v>0.11159230000000001</v>
      </c>
      <c r="Q2571">
        <v>-1.029942E-2</v>
      </c>
      <c r="R2571">
        <v>-0.99370060000000004</v>
      </c>
      <c r="S2571">
        <v>0.6333008</v>
      </c>
      <c r="T2571">
        <v>-0.10538699999999999</v>
      </c>
      <c r="U2571">
        <v>-2.9483640000000002</v>
      </c>
      <c r="V2571">
        <v>-0.173175</v>
      </c>
      <c r="W2571">
        <v>-1.0073790000000001E-3</v>
      </c>
      <c r="X2571">
        <v>0.98489059999999995</v>
      </c>
      <c r="Y2571">
        <v>-0.27025379999999999</v>
      </c>
      <c r="Z2571">
        <v>3.455925E-2</v>
      </c>
      <c r="AA2571">
        <v>0.96216860000000004</v>
      </c>
      <c r="AB2571">
        <v>31</v>
      </c>
      <c r="AC2571">
        <v>6.7331000000000296</v>
      </c>
      <c r="AD2571">
        <v>-1.1190571527149999</v>
      </c>
      <c r="AE2571">
        <v>-31.1145999999999</v>
      </c>
      <c r="AF2571">
        <v>-8.6436451769165608</v>
      </c>
      <c r="AG2571">
        <v>-1.1190571527149999</v>
      </c>
      <c r="AH2571">
        <v>30.598046074834802</v>
      </c>
      <c r="AI2571">
        <v>92.015719905927497</v>
      </c>
      <c r="AJ2571">
        <v>105.774460789717</v>
      </c>
      <c r="AK2571">
        <v>31.8151742797865</v>
      </c>
      <c r="AL2571">
        <v>90.057718572252099</v>
      </c>
      <c r="AM2571">
        <v>99.972476511030806</v>
      </c>
      <c r="AN2571">
        <v>1.0000000447029</v>
      </c>
    </row>
    <row r="2572" spans="1:40" x14ac:dyDescent="0.25">
      <c r="A2572" t="str">
        <f>"20190312151547510"</f>
        <v>20190312151547510</v>
      </c>
      <c r="B2572" t="str">
        <f>"1552374947499745"</f>
        <v>1552374947499745</v>
      </c>
      <c r="C2572" t="s">
        <v>40</v>
      </c>
      <c r="D2572">
        <v>4.6576269999999997</v>
      </c>
      <c r="E2572">
        <v>0.47452719999999998</v>
      </c>
      <c r="F2572" t="s">
        <v>50</v>
      </c>
      <c r="G2572">
        <v>-484.25839999999999</v>
      </c>
      <c r="H2572" s="1">
        <v>2.0205680000000002E-6</v>
      </c>
      <c r="I2572">
        <v>209.4023</v>
      </c>
      <c r="J2572">
        <v>-494.02859999999998</v>
      </c>
      <c r="K2572">
        <v>1.11883</v>
      </c>
      <c r="L2572">
        <v>261.76209999999998</v>
      </c>
      <c r="M2572">
        <v>-5.290102E-2</v>
      </c>
      <c r="N2572">
        <v>0</v>
      </c>
      <c r="O2572">
        <v>-0.9985079</v>
      </c>
      <c r="P2572">
        <v>0.1175508</v>
      </c>
      <c r="Q2572">
        <v>-1.041427E-2</v>
      </c>
      <c r="R2572">
        <v>-0.99301240000000002</v>
      </c>
      <c r="S2572">
        <v>0.54849239999999999</v>
      </c>
      <c r="T2572">
        <v>-6.2872650000000002E-2</v>
      </c>
      <c r="U2572">
        <v>-2.9567869999999998</v>
      </c>
      <c r="V2572">
        <v>-0.16994489999999901</v>
      </c>
      <c r="W2572">
        <v>-9.9081439999999994E-4</v>
      </c>
      <c r="X2572">
        <v>0.98545309999999997</v>
      </c>
      <c r="Y2572">
        <v>-0.23411480000000001</v>
      </c>
      <c r="Z2572">
        <v>2.074204E-2</v>
      </c>
      <c r="AA2572">
        <v>0.97198770000000001</v>
      </c>
      <c r="AB2572">
        <v>31</v>
      </c>
      <c r="AC2572">
        <v>9.7701999999999796</v>
      </c>
      <c r="AD2572">
        <v>-1.118827979432</v>
      </c>
      <c r="AE2572">
        <v>-52.3597999999999</v>
      </c>
      <c r="AF2572">
        <v>-12.5211330900313</v>
      </c>
      <c r="AG2572">
        <v>-1.118827979432</v>
      </c>
      <c r="AH2572">
        <v>51.746737038399097</v>
      </c>
      <c r="AI2572">
        <v>91.203880910477594</v>
      </c>
      <c r="AJ2572">
        <v>103.60238476017599</v>
      </c>
      <c r="AK2572">
        <v>53.251810711252404</v>
      </c>
      <c r="AL2572">
        <v>90.056769490899697</v>
      </c>
      <c r="AM2572">
        <v>99.784619981482294</v>
      </c>
      <c r="AN2572">
        <v>1.00000003152439</v>
      </c>
    </row>
    <row r="2573" spans="1:40" x14ac:dyDescent="0.25">
      <c r="A2573" t="str">
        <f>"20190312151547528"</f>
        <v>20190312151547528</v>
      </c>
      <c r="B2573" t="str">
        <f>"1552374947520241"</f>
        <v>1552374947520241</v>
      </c>
      <c r="C2573" t="s">
        <v>40</v>
      </c>
      <c r="D2573">
        <v>4.6303140000000003</v>
      </c>
      <c r="E2573">
        <v>0.47543170000000001</v>
      </c>
      <c r="F2573" t="s">
        <v>50</v>
      </c>
      <c r="G2573">
        <v>-485.04520000000002</v>
      </c>
      <c r="H2573" s="1">
        <v>2.419504E-6</v>
      </c>
      <c r="I2573">
        <v>214.0326</v>
      </c>
      <c r="J2573">
        <v>-494.03339999999997</v>
      </c>
      <c r="K2573">
        <v>1.1186309999999999</v>
      </c>
      <c r="L2573">
        <v>261.53019999999998</v>
      </c>
      <c r="M2573">
        <v>-4.508595E-2</v>
      </c>
      <c r="N2573">
        <v>0</v>
      </c>
      <c r="O2573">
        <v>-0.9988918</v>
      </c>
      <c r="P2573">
        <v>0.1236719</v>
      </c>
      <c r="Q2573">
        <v>-9.9075959999999994E-3</v>
      </c>
      <c r="R2573">
        <v>-0.99227370000000004</v>
      </c>
      <c r="S2573">
        <v>0.55609129999999996</v>
      </c>
      <c r="T2573">
        <v>-6.9257860000000004E-2</v>
      </c>
      <c r="U2573">
        <v>-2.9545590000000002</v>
      </c>
      <c r="V2573">
        <v>-0.16832169999999999</v>
      </c>
      <c r="W2573">
        <v>-3.9999060000000001E-4</v>
      </c>
      <c r="X2573">
        <v>0.98573200000000005</v>
      </c>
      <c r="Y2573">
        <v>-0.2290422</v>
      </c>
      <c r="Z2573">
        <v>2.2886460000000001E-2</v>
      </c>
      <c r="AA2573">
        <v>0.9731474</v>
      </c>
      <c r="AB2573">
        <v>31</v>
      </c>
      <c r="AC2573">
        <v>8.9881999999999493</v>
      </c>
      <c r="AD2573">
        <v>-1.1186285804959999</v>
      </c>
      <c r="AE2573">
        <v>-47.497599999999899</v>
      </c>
      <c r="AF2573">
        <v>-11.1147763015816</v>
      </c>
      <c r="AG2573">
        <v>-1.1186285804959999</v>
      </c>
      <c r="AH2573">
        <v>47.018834967912902</v>
      </c>
      <c r="AI2573">
        <v>91.326330565067295</v>
      </c>
      <c r="AJ2573">
        <v>103.29999388684899</v>
      </c>
      <c r="AK2573">
        <v>48.327636233061597</v>
      </c>
      <c r="AL2573">
        <v>90.022917774632305</v>
      </c>
      <c r="AM2573">
        <v>99.690254589237</v>
      </c>
      <c r="AN2573">
        <v>0.99999996525368395</v>
      </c>
    </row>
    <row r="2574" spans="1:40" x14ac:dyDescent="0.25">
      <c r="A2574" t="str">
        <f>"20190312151547545"</f>
        <v>20190312151547545</v>
      </c>
      <c r="B2574" t="str">
        <f>"1552374947539761"</f>
        <v>1552374947539761</v>
      </c>
      <c r="C2574" t="s">
        <v>40</v>
      </c>
      <c r="D2574">
        <v>4.6118980000000001</v>
      </c>
      <c r="E2574">
        <v>0.47606130000000002</v>
      </c>
      <c r="F2574" t="s">
        <v>50</v>
      </c>
      <c r="G2574">
        <v>-484.78370000000001</v>
      </c>
      <c r="H2574" s="1">
        <v>2.3464239999999999E-6</v>
      </c>
      <c r="I2574">
        <v>213.4222</v>
      </c>
      <c r="J2574">
        <v>-494.0367</v>
      </c>
      <c r="K2574">
        <v>1.118412</v>
      </c>
      <c r="L2574">
        <v>261.28219999999999</v>
      </c>
      <c r="M2574">
        <v>-3.6932489999999998E-2</v>
      </c>
      <c r="N2574">
        <v>0</v>
      </c>
      <c r="O2574">
        <v>-0.99922719999999998</v>
      </c>
      <c r="P2574">
        <v>0.12898119999999999</v>
      </c>
      <c r="Q2574">
        <v>-8.8586529999999993E-3</v>
      </c>
      <c r="R2574">
        <v>-0.99160769999999998</v>
      </c>
      <c r="S2574">
        <v>0.56756589999999996</v>
      </c>
      <c r="T2574">
        <v>-6.8639640000000002E-2</v>
      </c>
      <c r="U2574">
        <v>-2.9519350000000002</v>
      </c>
      <c r="V2574">
        <v>-0.165576</v>
      </c>
      <c r="W2574">
        <v>7.6371809999999996E-4</v>
      </c>
      <c r="X2574">
        <v>0.98619679999999998</v>
      </c>
      <c r="Y2574">
        <v>-0.22490470000000001</v>
      </c>
      <c r="Z2574">
        <v>2.2716610000000002E-2</v>
      </c>
      <c r="AA2574">
        <v>0.97411590000000003</v>
      </c>
      <c r="AB2574">
        <v>31</v>
      </c>
      <c r="AC2574">
        <v>9.2529999999999806</v>
      </c>
      <c r="AD2574">
        <v>-1.118409653576</v>
      </c>
      <c r="AE2574">
        <v>-47.8599999999999</v>
      </c>
      <c r="AF2574">
        <v>-11.008640078007501</v>
      </c>
      <c r="AG2574">
        <v>-1.118409653576</v>
      </c>
      <c r="AH2574">
        <v>47.460591507935</v>
      </c>
      <c r="AI2574">
        <v>91.315026633549493</v>
      </c>
      <c r="AJ2574">
        <v>103.05901115593301</v>
      </c>
      <c r="AK2574">
        <v>48.733445833466298</v>
      </c>
      <c r="AL2574">
        <v>89.956242174577696</v>
      </c>
      <c r="AM2574">
        <v>99.530699317100101</v>
      </c>
      <c r="AN2574">
        <v>1.00000006168578</v>
      </c>
    </row>
    <row r="2575" spans="1:40" x14ac:dyDescent="0.25">
      <c r="A2575" t="str">
        <f>"20190312151547566"</f>
        <v>20190312151547566</v>
      </c>
      <c r="B2575" t="str">
        <f>"1552374947559996"</f>
        <v>1552374947559996</v>
      </c>
      <c r="C2575" t="s">
        <v>40</v>
      </c>
      <c r="D2575">
        <v>4.685759</v>
      </c>
      <c r="E2575">
        <v>0.47739819999999999</v>
      </c>
      <c r="F2575" t="s">
        <v>50</v>
      </c>
      <c r="G2575">
        <v>-483.87990000000002</v>
      </c>
      <c r="H2575" s="1">
        <v>1.9715530000000001E-6</v>
      </c>
      <c r="I2575">
        <v>209.46080000000001</v>
      </c>
      <c r="J2575">
        <v>-494.03840000000002</v>
      </c>
      <c r="K2575">
        <v>1.1181479999999999</v>
      </c>
      <c r="L2575">
        <v>260.98849999999999</v>
      </c>
      <c r="M2575">
        <v>-2.7546089999999999E-2</v>
      </c>
      <c r="N2575">
        <v>0</v>
      </c>
      <c r="O2575">
        <v>-0.99953080000000005</v>
      </c>
      <c r="P2575">
        <v>0.1355015</v>
      </c>
      <c r="Q2575">
        <v>-8.6082469999999994E-3</v>
      </c>
      <c r="R2575">
        <v>-0.99074010000000001</v>
      </c>
      <c r="S2575">
        <v>0.578125</v>
      </c>
      <c r="T2575">
        <v>-6.3659190000000004E-2</v>
      </c>
      <c r="U2575">
        <v>-2.949646</v>
      </c>
      <c r="V2575">
        <v>-0.16280500000000001</v>
      </c>
      <c r="W2575">
        <v>1.1361279999999999E-3</v>
      </c>
      <c r="X2575">
        <v>0.98665760000000002</v>
      </c>
      <c r="Y2575">
        <v>-0.2192568</v>
      </c>
      <c r="Z2575">
        <v>2.1101490000000001E-2</v>
      </c>
      <c r="AA2575">
        <v>0.97543899999999994</v>
      </c>
      <c r="AB2575">
        <v>31</v>
      </c>
      <c r="AC2575">
        <v>10.1585</v>
      </c>
      <c r="AD2575">
        <v>-1.118146028447</v>
      </c>
      <c r="AE2575">
        <v>-51.527699999999903</v>
      </c>
      <c r="AF2575">
        <v>-11.568914673596</v>
      </c>
      <c r="AG2575">
        <v>-1.118146028447</v>
      </c>
      <c r="AH2575">
        <v>51.205081786913802</v>
      </c>
      <c r="AI2575">
        <v>91.220201715787198</v>
      </c>
      <c r="AJ2575">
        <v>102.731251152143</v>
      </c>
      <c r="AK2575">
        <v>52.5076226663368</v>
      </c>
      <c r="AL2575">
        <v>89.934904645907906</v>
      </c>
      <c r="AM2575">
        <v>99.369752324788493</v>
      </c>
      <c r="AN2575">
        <v>0.99999998922479605</v>
      </c>
    </row>
    <row r="2576" spans="1:40" x14ac:dyDescent="0.25">
      <c r="A2576" t="str">
        <f>"20190312151547588"</f>
        <v>20190312151547588</v>
      </c>
      <c r="B2576" t="str">
        <f>"1552374947580493"</f>
        <v>1552374947580493</v>
      </c>
      <c r="C2576" t="s">
        <v>40</v>
      </c>
      <c r="D2576">
        <v>4.6371710000000004</v>
      </c>
      <c r="E2576">
        <v>0.47804190000000002</v>
      </c>
      <c r="F2576" t="s">
        <v>50</v>
      </c>
      <c r="G2576">
        <v>-482.50200000000001</v>
      </c>
      <c r="H2576" s="1">
        <v>4.5232010000000001E-7</v>
      </c>
      <c r="I2576">
        <v>203.0325</v>
      </c>
      <c r="J2576">
        <v>-494.03750000000002</v>
      </c>
      <c r="K2576">
        <v>1.117874</v>
      </c>
      <c r="L2576">
        <v>260.68990000000002</v>
      </c>
      <c r="M2576">
        <v>-1.8304170000000002E-2</v>
      </c>
      <c r="N2576">
        <v>0</v>
      </c>
      <c r="O2576">
        <v>-0.99974350000000001</v>
      </c>
      <c r="P2576">
        <v>0.1421277</v>
      </c>
      <c r="Q2576">
        <v>-8.1844159999999999E-3</v>
      </c>
      <c r="R2576">
        <v>-0.98981509999999995</v>
      </c>
      <c r="S2576">
        <v>0.58666989999999997</v>
      </c>
      <c r="T2576">
        <v>-5.6862349999999999E-2</v>
      </c>
      <c r="U2576">
        <v>-2.9472960000000001</v>
      </c>
      <c r="V2576">
        <v>-0.1602925</v>
      </c>
      <c r="W2576">
        <v>1.6739999999999999E-3</v>
      </c>
      <c r="X2576">
        <v>0.9870681</v>
      </c>
      <c r="Y2576">
        <v>-0.21310960000000001</v>
      </c>
      <c r="Z2576">
        <v>1.8877950000000001E-2</v>
      </c>
      <c r="AA2576">
        <v>0.97684590000000004</v>
      </c>
      <c r="AB2576">
        <v>31</v>
      </c>
      <c r="AC2576">
        <v>11.535500000000001</v>
      </c>
      <c r="AD2576">
        <v>-1.1178735476799</v>
      </c>
      <c r="AE2576">
        <v>-57.657400000000003</v>
      </c>
      <c r="AF2576">
        <v>-12.5844833133897</v>
      </c>
      <c r="AG2576">
        <v>-1.1178735476799</v>
      </c>
      <c r="AH2576">
        <v>57.415820002396302</v>
      </c>
      <c r="AI2576">
        <v>91.089537925287004</v>
      </c>
      <c r="AJ2576">
        <v>102.362677134086</v>
      </c>
      <c r="AK2576">
        <v>58.789414421995701</v>
      </c>
      <c r="AL2576">
        <v>89.904086816552294</v>
      </c>
      <c r="AM2576">
        <v>99.223887769057896</v>
      </c>
      <c r="AN2576">
        <v>0.99999996093492904</v>
      </c>
    </row>
    <row r="2577" spans="1:40" x14ac:dyDescent="0.25">
      <c r="A2577" t="str">
        <f>"20190312151547612"</f>
        <v>20190312151547612</v>
      </c>
      <c r="B2577" t="str">
        <f>"1552374947600012"</f>
        <v>1552374947600012</v>
      </c>
      <c r="C2577" t="s">
        <v>40</v>
      </c>
      <c r="D2577">
        <v>4.6968759999999996</v>
      </c>
      <c r="E2577">
        <v>0.47918949999999999</v>
      </c>
      <c r="F2577" t="s">
        <v>43</v>
      </c>
      <c r="G2577">
        <v>-480.72789999999998</v>
      </c>
      <c r="H2577" s="1">
        <v>-4.4416620000000004E-6</v>
      </c>
      <c r="I2577">
        <v>195.45050000000001</v>
      </c>
      <c r="J2577">
        <v>-494.03390000000002</v>
      </c>
      <c r="K2577">
        <v>1.1175820000000001</v>
      </c>
      <c r="L2577">
        <v>260.36709999999999</v>
      </c>
      <c r="M2577">
        <v>-8.6509810000000003E-3</v>
      </c>
      <c r="N2577">
        <v>0</v>
      </c>
      <c r="O2577">
        <v>-0.99987420000000005</v>
      </c>
      <c r="P2577">
        <v>0.14947869999999999</v>
      </c>
      <c r="Q2577">
        <v>-7.3065090000000001E-3</v>
      </c>
      <c r="R2577">
        <v>-0.98873809999999995</v>
      </c>
      <c r="S2577">
        <v>0.60064700000000004</v>
      </c>
      <c r="T2577">
        <v>-5.0448659999999999E-2</v>
      </c>
      <c r="U2577">
        <v>-2.9441830000000002</v>
      </c>
      <c r="V2577">
        <v>-0.15811210000000001</v>
      </c>
      <c r="W2577">
        <v>2.6615269999999999E-3</v>
      </c>
      <c r="X2577">
        <v>0.98741760000000001</v>
      </c>
      <c r="Y2577">
        <v>-0.20833550000000001</v>
      </c>
      <c r="Z2577">
        <v>1.677091E-2</v>
      </c>
      <c r="AA2577">
        <v>0.97791360000000005</v>
      </c>
      <c r="AB2577">
        <v>31</v>
      </c>
      <c r="AC2577">
        <v>13.305999999999999</v>
      </c>
      <c r="AD2577">
        <v>-1.1175864416620001</v>
      </c>
      <c r="AE2577">
        <v>-64.916599999999903</v>
      </c>
      <c r="AF2577">
        <v>-13.8632007745988</v>
      </c>
      <c r="AG2577">
        <v>-1.1175864416620001</v>
      </c>
      <c r="AH2577">
        <v>64.780624590181702</v>
      </c>
      <c r="AI2577">
        <v>90.966481937060195</v>
      </c>
      <c r="AJ2577">
        <v>102.079229048028</v>
      </c>
      <c r="AK2577">
        <v>66.256823478532894</v>
      </c>
      <c r="AL2577">
        <v>89.8475055585983</v>
      </c>
      <c r="AM2577">
        <v>99.097365036041893</v>
      </c>
      <c r="AN2577">
        <v>1.00000001834107</v>
      </c>
    </row>
    <row r="2578" spans="1:40" x14ac:dyDescent="0.25">
      <c r="A2578" t="str">
        <f>"20190312151547633"</f>
        <v>20190312151547633</v>
      </c>
      <c r="B2578" t="str">
        <f>"1552374947630268"</f>
        <v>1552374947630268</v>
      </c>
      <c r="C2578" t="s">
        <v>40</v>
      </c>
      <c r="D2578">
        <v>4.7231809999999896</v>
      </c>
      <c r="E2578">
        <v>0.48039369999999998</v>
      </c>
      <c r="F2578" t="s">
        <v>43</v>
      </c>
      <c r="G2578">
        <v>-479.95780000000002</v>
      </c>
      <c r="H2578">
        <v>1.543754E-2</v>
      </c>
      <c r="I2578">
        <v>192.8801</v>
      </c>
      <c r="J2578">
        <v>-494.02800000000002</v>
      </c>
      <c r="K2578">
        <v>1.1173</v>
      </c>
      <c r="L2578">
        <v>260.06939999999997</v>
      </c>
      <c r="M2578" s="1">
        <v>-9.3294600000000006E-5</v>
      </c>
      <c r="N2578">
        <v>0</v>
      </c>
      <c r="O2578">
        <v>-0.99991260000000004</v>
      </c>
      <c r="P2578">
        <v>0.15619359999999999</v>
      </c>
      <c r="Q2578">
        <v>-6.3070979999999997E-3</v>
      </c>
      <c r="R2578">
        <v>-0.98770659999999999</v>
      </c>
      <c r="S2578">
        <v>0.61343380000000003</v>
      </c>
      <c r="T2578">
        <v>-4.8031209999999998E-2</v>
      </c>
      <c r="U2578">
        <v>-2.941071</v>
      </c>
      <c r="V2578">
        <v>-0.1563871</v>
      </c>
      <c r="W2578">
        <v>3.7568160000000001E-3</v>
      </c>
      <c r="X2578">
        <v>0.98768869999999997</v>
      </c>
      <c r="Y2578">
        <v>-0.20424629999999999</v>
      </c>
      <c r="Z2578">
        <v>1.5984950000000001E-2</v>
      </c>
      <c r="AA2578">
        <v>0.97878900000000002</v>
      </c>
      <c r="AB2578">
        <v>31</v>
      </c>
      <c r="AC2578">
        <v>14.0702</v>
      </c>
      <c r="AD2578">
        <v>-1.10186246</v>
      </c>
      <c r="AE2578">
        <v>-67.189299999999903</v>
      </c>
      <c r="AF2578">
        <v>-14.072843142625601</v>
      </c>
      <c r="AG2578">
        <v>-1.10186246</v>
      </c>
      <c r="AH2578">
        <v>67.170680990564307</v>
      </c>
      <c r="AI2578">
        <v>90.919824081447004</v>
      </c>
      <c r="AJ2578">
        <v>101.83281688919701</v>
      </c>
      <c r="AK2578">
        <v>68.637886037769704</v>
      </c>
      <c r="AL2578">
        <v>89.784749793196497</v>
      </c>
      <c r="AM2578">
        <v>98.997316354399501</v>
      </c>
      <c r="AN2578">
        <v>1.0000000034102701</v>
      </c>
    </row>
    <row r="2579" spans="1:40" x14ac:dyDescent="0.25">
      <c r="A2579" t="str">
        <f>"20190312151547645"</f>
        <v>20190312151547645</v>
      </c>
      <c r="B2579" t="str">
        <f>"1552374947640028"</f>
        <v>1552374947640028</v>
      </c>
      <c r="C2579" t="s">
        <v>40</v>
      </c>
      <c r="D2579">
        <v>4.7144349999999999</v>
      </c>
      <c r="E2579">
        <v>0.4908438</v>
      </c>
      <c r="F2579" t="s">
        <v>43</v>
      </c>
      <c r="G2579">
        <v>-479.50659999999999</v>
      </c>
      <c r="H2579">
        <v>7.9985979999999998E-2</v>
      </c>
      <c r="I2579">
        <v>191.6951</v>
      </c>
      <c r="J2579">
        <v>-494.02280000000002</v>
      </c>
      <c r="K2579">
        <v>1.117111</v>
      </c>
      <c r="L2579">
        <v>259.87900000000002</v>
      </c>
      <c r="M2579">
        <v>5.1613739999999998E-3</v>
      </c>
      <c r="N2579">
        <v>0</v>
      </c>
      <c r="O2579">
        <v>-0.99989939999999999</v>
      </c>
      <c r="P2579">
        <v>0.16035350000000001</v>
      </c>
      <c r="Q2579">
        <v>-6.203798E-3</v>
      </c>
      <c r="R2579">
        <v>-0.98704049999999999</v>
      </c>
      <c r="S2579">
        <v>0.624054</v>
      </c>
      <c r="T2579">
        <v>-4.4578550000000002E-2</v>
      </c>
      <c r="U2579">
        <v>-2.9383849999999998</v>
      </c>
      <c r="V2579">
        <v>-0.15535789999999999</v>
      </c>
      <c r="W2579">
        <v>3.9203709999999998E-3</v>
      </c>
      <c r="X2579">
        <v>0.98785049999999996</v>
      </c>
      <c r="Y2579">
        <v>-0.2026715</v>
      </c>
      <c r="Z2579">
        <v>1.4846130000000001E-2</v>
      </c>
      <c r="AA2579">
        <v>0.97913430000000001</v>
      </c>
      <c r="AB2579">
        <v>31</v>
      </c>
      <c r="AC2579">
        <v>14.5162</v>
      </c>
      <c r="AD2579">
        <v>-1.03712502</v>
      </c>
      <c r="AE2579">
        <v>-68.183899999999994</v>
      </c>
      <c r="AF2579">
        <v>-14.1609189991921</v>
      </c>
      <c r="AG2579">
        <v>-1.03712502</v>
      </c>
      <c r="AH2579">
        <v>68.242817293403803</v>
      </c>
      <c r="AI2579">
        <v>90.852531044097901</v>
      </c>
      <c r="AJ2579">
        <v>101.722951132568</v>
      </c>
      <c r="AK2579">
        <v>69.704299489699196</v>
      </c>
      <c r="AL2579">
        <v>89.775378718566799</v>
      </c>
      <c r="AM2579">
        <v>98.937622852134396</v>
      </c>
      <c r="AN2579">
        <v>1.00000002837571</v>
      </c>
    </row>
    <row r="2580" spans="1:40" x14ac:dyDescent="0.25">
      <c r="A2580" t="str">
        <f>"20190312151547666"</f>
        <v>20190312151547666</v>
      </c>
      <c r="B2580" t="str">
        <f>"1552374947660525"</f>
        <v>1552374947660525</v>
      </c>
      <c r="C2580" t="s">
        <v>40</v>
      </c>
      <c r="D2580">
        <v>4.7212560000000003</v>
      </c>
      <c r="E2580">
        <v>0.49135489999999998</v>
      </c>
      <c r="F2580" t="s">
        <v>50</v>
      </c>
      <c r="G2580">
        <v>-483.83909999999997</v>
      </c>
      <c r="H2580" s="1">
        <v>1.1543670000000001E-6</v>
      </c>
      <c r="I2580">
        <v>205.73500000000001</v>
      </c>
      <c r="J2580">
        <v>-494.01409999999998</v>
      </c>
      <c r="K2580">
        <v>1.1168530000000001</v>
      </c>
      <c r="L2580">
        <v>259.60559999999998</v>
      </c>
      <c r="M2580">
        <v>1.254137E-2</v>
      </c>
      <c r="N2580">
        <v>0</v>
      </c>
      <c r="O2580">
        <v>-0.99983480000000002</v>
      </c>
      <c r="P2580">
        <v>0.16542809999999999</v>
      </c>
      <c r="Q2580">
        <v>-6.7667409999999997E-3</v>
      </c>
      <c r="R2580">
        <v>-0.98619849999999998</v>
      </c>
      <c r="S2580">
        <v>0.55465699999999996</v>
      </c>
      <c r="T2580">
        <v>-6.0843229999999998E-2</v>
      </c>
      <c r="U2580">
        <v>-2.948944</v>
      </c>
      <c r="V2580">
        <v>-0.15313389999999999</v>
      </c>
      <c r="W2580">
        <v>3.4540270000000001E-3</v>
      </c>
      <c r="X2580">
        <v>0.98819939999999995</v>
      </c>
      <c r="Y2580">
        <v>-0.1724666</v>
      </c>
      <c r="Z2580">
        <v>2.0292999999999999E-2</v>
      </c>
      <c r="AA2580">
        <v>0.98480630000000002</v>
      </c>
      <c r="AB2580">
        <v>31</v>
      </c>
      <c r="AC2580">
        <v>10.175000000000001</v>
      </c>
      <c r="AD2580">
        <v>-1.1168518456329899</v>
      </c>
      <c r="AE2580">
        <v>-53.870599999999897</v>
      </c>
      <c r="AF2580">
        <v>-9.4945896349543002</v>
      </c>
      <c r="AG2580">
        <v>-1.1168518456329899</v>
      </c>
      <c r="AH2580">
        <v>53.971583014510799</v>
      </c>
      <c r="AI2580">
        <v>91.167547883950704</v>
      </c>
      <c r="AJ2580">
        <v>99.977289320989698</v>
      </c>
      <c r="AK2580">
        <v>54.811735636389997</v>
      </c>
      <c r="AL2580">
        <v>89.802098434674704</v>
      </c>
      <c r="AM2580">
        <v>98.808637649241106</v>
      </c>
      <c r="AN2580">
        <v>0.99999998789604305</v>
      </c>
    </row>
    <row r="2581" spans="1:40" x14ac:dyDescent="0.25">
      <c r="A2581" t="str">
        <f>"20190312151547688"</f>
        <v>20190312151547688</v>
      </c>
      <c r="B2581" t="str">
        <f>"1552374947680044"</f>
        <v>1552374947680044</v>
      </c>
      <c r="C2581" t="s">
        <v>40</v>
      </c>
      <c r="D2581">
        <v>4.7239610000000001</v>
      </c>
      <c r="E2581">
        <v>0.47032459999999998</v>
      </c>
      <c r="F2581" t="s">
        <v>50</v>
      </c>
      <c r="G2581">
        <v>-484.25490000000002</v>
      </c>
      <c r="H2581" s="1">
        <v>1.8482590000000001E-6</v>
      </c>
      <c r="I2581">
        <v>208.84800000000001</v>
      </c>
      <c r="J2581">
        <v>-494.00220000000002</v>
      </c>
      <c r="K2581">
        <v>1.116557</v>
      </c>
      <c r="L2581">
        <v>259.29730000000001</v>
      </c>
      <c r="M2581">
        <v>2.0537650000000001E-2</v>
      </c>
      <c r="N2581">
        <v>0</v>
      </c>
      <c r="O2581">
        <v>-0.99970320000000001</v>
      </c>
      <c r="P2581">
        <v>0.17127329999999999</v>
      </c>
      <c r="Q2581">
        <v>-6.9509359999999996E-3</v>
      </c>
      <c r="R2581">
        <v>-0.9851993</v>
      </c>
      <c r="S2581">
        <v>0.56652829999999998</v>
      </c>
      <c r="T2581">
        <v>-6.483448E-2</v>
      </c>
      <c r="U2581">
        <v>-2.9465330000000001</v>
      </c>
      <c r="V2581">
        <v>-0.15108339999999901</v>
      </c>
      <c r="W2581">
        <v>3.3701040000000001E-3</v>
      </c>
      <c r="X2581">
        <v>0.98851529999999999</v>
      </c>
      <c r="Y2581">
        <v>-0.16855719999999999</v>
      </c>
      <c r="Z2581">
        <v>2.1635950000000001E-2</v>
      </c>
      <c r="AA2581">
        <v>0.98545439999999995</v>
      </c>
      <c r="AB2581">
        <v>31</v>
      </c>
      <c r="AC2581">
        <v>9.7472999999999903</v>
      </c>
      <c r="AD2581">
        <v>-1.116555151741</v>
      </c>
      <c r="AE2581">
        <v>-50.449300000000001</v>
      </c>
      <c r="AF2581">
        <v>-8.7049341746934594</v>
      </c>
      <c r="AG2581">
        <v>-1.116555151741</v>
      </c>
      <c r="AH2581">
        <v>50.614960465922799</v>
      </c>
      <c r="AI2581">
        <v>91.245448605436195</v>
      </c>
      <c r="AJ2581">
        <v>99.758458784864004</v>
      </c>
      <c r="AK2581">
        <v>51.370193666751398</v>
      </c>
      <c r="AL2581">
        <v>89.8069069035637</v>
      </c>
      <c r="AM2581">
        <v>98.689765895614997</v>
      </c>
      <c r="AN2581">
        <v>1.00000002484531</v>
      </c>
    </row>
    <row r="2582" spans="1:40" x14ac:dyDescent="0.25">
      <c r="A2582" t="str">
        <f>"20190312151547701"</f>
        <v>20190312151547701</v>
      </c>
      <c r="B2582" t="str">
        <f>"1552374947689805"</f>
        <v>1552374947689805</v>
      </c>
      <c r="C2582" t="s">
        <v>40</v>
      </c>
      <c r="D2582">
        <v>4.7743190000000002</v>
      </c>
      <c r="E2582">
        <v>0.46518720000000002</v>
      </c>
      <c r="F2582" t="s">
        <v>43</v>
      </c>
      <c r="G2582">
        <v>-489.89179999999999</v>
      </c>
      <c r="H2582" s="1">
        <v>-1.648357E-6</v>
      </c>
      <c r="I2582">
        <v>243.43039999999999</v>
      </c>
      <c r="J2582">
        <v>-493.99430000000001</v>
      </c>
      <c r="K2582">
        <v>1.1163780000000001</v>
      </c>
      <c r="L2582">
        <v>259.1198</v>
      </c>
      <c r="M2582">
        <v>2.4944359999999999E-2</v>
      </c>
      <c r="N2582">
        <v>0</v>
      </c>
      <c r="O2582">
        <v>-0.99960340000000003</v>
      </c>
      <c r="P2582">
        <v>0.1744754</v>
      </c>
      <c r="Q2582">
        <v>-7.0843449999999997E-3</v>
      </c>
      <c r="R2582">
        <v>-0.98463630000000002</v>
      </c>
      <c r="S2582">
        <v>0.75448609999999905</v>
      </c>
      <c r="T2582">
        <v>-0.20495179999999999</v>
      </c>
      <c r="U2582">
        <v>-2.9124759999999998</v>
      </c>
      <c r="V2582">
        <v>-0.1499356</v>
      </c>
      <c r="W2582">
        <v>3.295241E-3</v>
      </c>
      <c r="X2582">
        <v>0.98869030000000002</v>
      </c>
      <c r="Y2582">
        <v>-0.22596559999999999</v>
      </c>
      <c r="Z2582">
        <v>6.8137329999999996E-2</v>
      </c>
      <c r="AA2582">
        <v>0.97174939999999999</v>
      </c>
      <c r="AB2582">
        <v>31</v>
      </c>
      <c r="AC2582">
        <v>4.1025000000000196</v>
      </c>
      <c r="AD2582">
        <v>-1.1163796483570001</v>
      </c>
      <c r="AE2582">
        <v>-15.689399999999999</v>
      </c>
      <c r="AF2582">
        <v>-3.6923297665797001</v>
      </c>
      <c r="AG2582">
        <v>-1.1163796483570001</v>
      </c>
      <c r="AH2582">
        <v>15.7123989233546</v>
      </c>
      <c r="AI2582">
        <v>93.956661508359403</v>
      </c>
      <c r="AJ2582">
        <v>103.224260981417</v>
      </c>
      <c r="AK2582">
        <v>16.1789703798194</v>
      </c>
      <c r="AL2582">
        <v>89.811196261445303</v>
      </c>
      <c r="AM2582">
        <v>98.623241453072197</v>
      </c>
      <c r="AN2582">
        <v>1.0000000260373401</v>
      </c>
    </row>
    <row r="2583" spans="1:40" x14ac:dyDescent="0.25">
      <c r="A2583" t="str">
        <f>"20190312151547722"</f>
        <v>20190312151547722</v>
      </c>
      <c r="B2583" t="str">
        <f>"1552374947720061"</f>
        <v>1552374947720061</v>
      </c>
      <c r="C2583" t="s">
        <v>40</v>
      </c>
      <c r="D2583">
        <v>4.751525</v>
      </c>
      <c r="E2583">
        <v>0.46145320000000001</v>
      </c>
      <c r="F2583" t="s">
        <v>43</v>
      </c>
      <c r="G2583">
        <v>-489.8768</v>
      </c>
      <c r="H2583" s="1">
        <v>-2.0113429999999998E-6</v>
      </c>
      <c r="I2583">
        <v>244.27029999999999</v>
      </c>
      <c r="J2583">
        <v>-493.97989999999999</v>
      </c>
      <c r="K2583">
        <v>1.116066</v>
      </c>
      <c r="L2583">
        <v>258.82810000000001</v>
      </c>
      <c r="M2583">
        <v>3.1911290000000002E-2</v>
      </c>
      <c r="N2583">
        <v>0</v>
      </c>
      <c r="O2583">
        <v>-0.99940589999999996</v>
      </c>
      <c r="P2583">
        <v>0.17929890000000001</v>
      </c>
      <c r="Q2583">
        <v>-7.5712890000000001E-3</v>
      </c>
      <c r="R2583">
        <v>-0.98376549999999996</v>
      </c>
      <c r="S2583">
        <v>0.80484009999999995</v>
      </c>
      <c r="T2583">
        <v>-0.21822040000000001</v>
      </c>
      <c r="U2583">
        <v>-2.9026489999999998</v>
      </c>
      <c r="V2583">
        <v>-0.1478785</v>
      </c>
      <c r="W2583">
        <v>2.9113889999999999E-3</v>
      </c>
      <c r="X2583">
        <v>0.98900129999999997</v>
      </c>
      <c r="Y2583">
        <v>-0.23560449999999999</v>
      </c>
      <c r="Z2583">
        <v>7.2496179999999993E-2</v>
      </c>
      <c r="AA2583">
        <v>0.96914129999999998</v>
      </c>
      <c r="AB2583">
        <v>31</v>
      </c>
      <c r="AC2583">
        <v>4.10309999999998</v>
      </c>
      <c r="AD2583">
        <v>-1.1160680113429999</v>
      </c>
      <c r="AE2583">
        <v>-14.5578</v>
      </c>
      <c r="AF2583">
        <v>-3.6167196375356601</v>
      </c>
      <c r="AG2583">
        <v>-1.1160680113429999</v>
      </c>
      <c r="AH2583">
        <v>14.6018250196217</v>
      </c>
      <c r="AI2583">
        <v>94.243086353963207</v>
      </c>
      <c r="AJ2583">
        <v>103.911584489088</v>
      </c>
      <c r="AK2583">
        <v>15.0844145609344</v>
      </c>
      <c r="AL2583">
        <v>89.833189470328605</v>
      </c>
      <c r="AM2583">
        <v>98.504038371898602</v>
      </c>
      <c r="AN2583">
        <v>1.0000000491749199</v>
      </c>
    </row>
    <row r="2584" spans="1:40" x14ac:dyDescent="0.25">
      <c r="A2584" t="str">
        <f>"20190312151547746"</f>
        <v>20190312151547746</v>
      </c>
      <c r="B2584" t="str">
        <f>"1552374947739580"</f>
        <v>1552374947739580</v>
      </c>
      <c r="C2584" t="s">
        <v>40</v>
      </c>
      <c r="D2584">
        <v>4.7627949999999997</v>
      </c>
      <c r="E2584">
        <v>0.46152260000000001</v>
      </c>
      <c r="F2584" t="s">
        <v>43</v>
      </c>
      <c r="G2584">
        <v>-490.00020000000001</v>
      </c>
      <c r="H2584" s="1">
        <v>-2.4333399999999999E-6</v>
      </c>
      <c r="I2584">
        <v>245.2612</v>
      </c>
      <c r="J2584">
        <v>-493.96230000000003</v>
      </c>
      <c r="K2584">
        <v>1.1157159999999999</v>
      </c>
      <c r="L2584">
        <v>258.50839999999999</v>
      </c>
      <c r="M2584">
        <v>3.9133870000000001E-2</v>
      </c>
      <c r="N2584">
        <v>0</v>
      </c>
      <c r="O2584">
        <v>-0.99914979999999998</v>
      </c>
      <c r="P2584">
        <v>0.1842839</v>
      </c>
      <c r="Q2584">
        <v>-7.7512299999999996E-3</v>
      </c>
      <c r="R2584">
        <v>-0.9828424</v>
      </c>
      <c r="S2584">
        <v>0.84863279999999996</v>
      </c>
      <c r="T2584">
        <v>-0.23799200000000001</v>
      </c>
      <c r="U2584">
        <v>-2.8930359999999999</v>
      </c>
      <c r="V2584">
        <v>-0.14573759999999999</v>
      </c>
      <c r="W2584">
        <v>2.8432010000000001E-3</v>
      </c>
      <c r="X2584">
        <v>0.98931919999999995</v>
      </c>
      <c r="Y2584">
        <v>-0.24282699999999999</v>
      </c>
      <c r="Z2584">
        <v>7.9013050000000001E-2</v>
      </c>
      <c r="AA2584">
        <v>0.96684639999999999</v>
      </c>
      <c r="AB2584">
        <v>31</v>
      </c>
      <c r="AC2584">
        <v>3.9621000000000199</v>
      </c>
      <c r="AD2584">
        <v>-1.1157184333400001</v>
      </c>
      <c r="AE2584">
        <v>-13.2471999999999</v>
      </c>
      <c r="AF2584">
        <v>-3.4183495280790801</v>
      </c>
      <c r="AG2584">
        <v>-1.1157184333400001</v>
      </c>
      <c r="AH2584">
        <v>13.3054831394434</v>
      </c>
      <c r="AI2584">
        <v>94.643174044827205</v>
      </c>
      <c r="AJ2584">
        <v>104.408411082884</v>
      </c>
      <c r="AK2584">
        <v>13.7828089550942</v>
      </c>
      <c r="AL2584">
        <v>89.8370963638354</v>
      </c>
      <c r="AM2584">
        <v>98.380028363582895</v>
      </c>
      <c r="AN2584">
        <v>1.0000000056671601</v>
      </c>
    </row>
    <row r="2585" spans="1:40" x14ac:dyDescent="0.25">
      <c r="A2585" t="str">
        <f>"20190312151547767"</f>
        <v>20190312151547767</v>
      </c>
      <c r="B2585" t="str">
        <f>"1552374947760412"</f>
        <v>1552374947760412</v>
      </c>
      <c r="C2585" t="s">
        <v>40</v>
      </c>
      <c r="D2585">
        <v>4.7422050000000002</v>
      </c>
      <c r="E2585">
        <v>0.46201880000000001</v>
      </c>
      <c r="F2585" t="s">
        <v>43</v>
      </c>
      <c r="G2585">
        <v>-489.99599999999998</v>
      </c>
      <c r="H2585" s="1">
        <v>-2.4191670000000002E-6</v>
      </c>
      <c r="I2585">
        <v>245.23070000000001</v>
      </c>
      <c r="J2585">
        <v>-493.94450000000001</v>
      </c>
      <c r="K2585">
        <v>1.115389</v>
      </c>
      <c r="L2585">
        <v>258.21600000000001</v>
      </c>
      <c r="M2585">
        <v>4.5357719999999997E-2</v>
      </c>
      <c r="N2585">
        <v>0</v>
      </c>
      <c r="O2585">
        <v>-0.99888739999999998</v>
      </c>
      <c r="P2585">
        <v>0.18854589999999999</v>
      </c>
      <c r="Q2585">
        <v>-8.0622019999999992E-3</v>
      </c>
      <c r="R2585">
        <v>-0.9820316</v>
      </c>
      <c r="S2585">
        <v>0.86288449999999906</v>
      </c>
      <c r="T2585">
        <v>-0.24273040000000001</v>
      </c>
      <c r="U2585">
        <v>-2.8886259999999999</v>
      </c>
      <c r="V2585">
        <v>-0.14385899999999999</v>
      </c>
      <c r="W2585">
        <v>2.6333939999999998E-3</v>
      </c>
      <c r="X2585">
        <v>0.98959470000000005</v>
      </c>
      <c r="Y2585">
        <v>-0.24153189999999999</v>
      </c>
      <c r="Z2585">
        <v>8.0619200000000002E-2</v>
      </c>
      <c r="AA2585">
        <v>0.96703819999999996</v>
      </c>
      <c r="AB2585">
        <v>31</v>
      </c>
      <c r="AC2585">
        <v>3.9485000000000201</v>
      </c>
      <c r="AD2585">
        <v>-1.115391419167</v>
      </c>
      <c r="AE2585">
        <v>-12.985299999999899</v>
      </c>
      <c r="AF2585">
        <v>-3.3328933745775999</v>
      </c>
      <c r="AG2585">
        <v>-1.115391419167</v>
      </c>
      <c r="AH2585">
        <v>13.0628203664208</v>
      </c>
      <c r="AI2585">
        <v>94.729662210167305</v>
      </c>
      <c r="AJ2585">
        <v>104.31327016194599</v>
      </c>
      <c r="AK2585">
        <v>13.5273630907739</v>
      </c>
      <c r="AL2585">
        <v>89.849117464891293</v>
      </c>
      <c r="AM2585">
        <v>98.2712408022891</v>
      </c>
      <c r="AN2585">
        <v>1.0000000084565199</v>
      </c>
    </row>
    <row r="2586" spans="1:40" x14ac:dyDescent="0.25">
      <c r="A2586" t="str">
        <f>"20190312151547779"</f>
        <v>20190312151547779</v>
      </c>
      <c r="B2586" t="str">
        <f>"1552374947770171"</f>
        <v>1552374947770171</v>
      </c>
      <c r="C2586" t="s">
        <v>40</v>
      </c>
      <c r="D2586">
        <v>4.7495459999999996</v>
      </c>
      <c r="E2586">
        <v>0.46212360000000002</v>
      </c>
      <c r="F2586" t="s">
        <v>43</v>
      </c>
      <c r="G2586">
        <v>-490.0505</v>
      </c>
      <c r="H2586" s="1">
        <v>-2.473788E-6</v>
      </c>
      <c r="I2586">
        <v>245.32419999999999</v>
      </c>
      <c r="J2586">
        <v>-493.93310000000002</v>
      </c>
      <c r="K2586">
        <v>1.1151960000000001</v>
      </c>
      <c r="L2586">
        <v>258.04140000000001</v>
      </c>
      <c r="M2586">
        <v>4.8883580000000003E-2</v>
      </c>
      <c r="N2586">
        <v>0</v>
      </c>
      <c r="O2586">
        <v>-0.99872139999999998</v>
      </c>
      <c r="P2586">
        <v>0.1911417</v>
      </c>
      <c r="Q2586">
        <v>-8.3272580000000006E-3</v>
      </c>
      <c r="R2586">
        <v>-0.9815275</v>
      </c>
      <c r="S2586">
        <v>0.87158199999999997</v>
      </c>
      <c r="T2586">
        <v>-0.2496582</v>
      </c>
      <c r="U2586">
        <v>-2.8855740000000001</v>
      </c>
      <c r="V2586">
        <v>-0.14297660000000001</v>
      </c>
      <c r="W2586">
        <v>2.4250159999999999E-3</v>
      </c>
      <c r="X2586">
        <v>0.98972309999999997</v>
      </c>
      <c r="Y2586">
        <v>-0.241006</v>
      </c>
      <c r="Z2586">
        <v>8.2937200000000003E-2</v>
      </c>
      <c r="AA2586">
        <v>0.96697339999999998</v>
      </c>
      <c r="AB2586">
        <v>31</v>
      </c>
      <c r="AC2586">
        <v>3.88260000000002</v>
      </c>
      <c r="AD2586">
        <v>-1.1151984737880001</v>
      </c>
      <c r="AE2586">
        <v>-12.7172</v>
      </c>
      <c r="AF2586">
        <v>-3.2334984258162298</v>
      </c>
      <c r="AG2586">
        <v>-1.1151984737880001</v>
      </c>
      <c r="AH2586">
        <v>12.801754257091799</v>
      </c>
      <c r="AI2586">
        <v>94.827766309632693</v>
      </c>
      <c r="AJ2586">
        <v>104.175418256884</v>
      </c>
      <c r="AK2586">
        <v>13.2508147585219</v>
      </c>
      <c r="AL2586">
        <v>89.861056682012105</v>
      </c>
      <c r="AM2586">
        <v>98.220150403118595</v>
      </c>
      <c r="AN2586">
        <v>1.00000000176188</v>
      </c>
    </row>
    <row r="2587" spans="1:40" x14ac:dyDescent="0.25">
      <c r="A2587" t="str">
        <f>"20190312151547800"</f>
        <v>20190312151547800</v>
      </c>
      <c r="B2587" t="str">
        <f>"1552374947789691"</f>
        <v>1552374947789691</v>
      </c>
      <c r="C2587" t="s">
        <v>40</v>
      </c>
      <c r="D2587">
        <v>4.7658950000000004</v>
      </c>
      <c r="E2587">
        <v>0.46252779999999999</v>
      </c>
      <c r="F2587" t="s">
        <v>43</v>
      </c>
      <c r="G2587">
        <v>-490.03030000000001</v>
      </c>
      <c r="H2587" s="1">
        <v>-2.4247799999999999E-6</v>
      </c>
      <c r="I2587">
        <v>245.2225</v>
      </c>
      <c r="J2587">
        <v>-493.91379999999998</v>
      </c>
      <c r="K2587">
        <v>1.1148690000000001</v>
      </c>
      <c r="L2587">
        <v>257.76010000000002</v>
      </c>
      <c r="M2587">
        <v>5.4266149999999999E-2</v>
      </c>
      <c r="N2587">
        <v>0</v>
      </c>
      <c r="O2587">
        <v>-0.998444</v>
      </c>
      <c r="P2587">
        <v>0.19502530000000001</v>
      </c>
      <c r="Q2587">
        <v>-8.6356699999999998E-3</v>
      </c>
      <c r="R2587">
        <v>-0.98076050000000004</v>
      </c>
      <c r="S2587">
        <v>0.87786869999999995</v>
      </c>
      <c r="T2587">
        <v>-0.25084459999999997</v>
      </c>
      <c r="U2587">
        <v>-2.8833769999999999</v>
      </c>
      <c r="V2587">
        <v>-0.14155319999999999</v>
      </c>
      <c r="W2587">
        <v>2.209964E-3</v>
      </c>
      <c r="X2587">
        <v>0.98992820000000004</v>
      </c>
      <c r="Y2587">
        <v>-0.2378991</v>
      </c>
      <c r="Z2587">
        <v>8.3360680000000006E-2</v>
      </c>
      <c r="AA2587">
        <v>0.96770610000000001</v>
      </c>
      <c r="AB2587">
        <v>31</v>
      </c>
      <c r="AC2587">
        <v>3.8834999999999602</v>
      </c>
      <c r="AD2587">
        <v>-1.11487142477999</v>
      </c>
      <c r="AE2587">
        <v>-12.537599999999999</v>
      </c>
      <c r="AF2587">
        <v>-3.1744499584824402</v>
      </c>
      <c r="AG2587">
        <v>-1.11487142477999</v>
      </c>
      <c r="AH2587">
        <v>12.638695484358101</v>
      </c>
      <c r="AI2587">
        <v>94.889953548942501</v>
      </c>
      <c r="AJ2587">
        <v>104.09927114012299</v>
      </c>
      <c r="AK2587">
        <v>13.0788644147355</v>
      </c>
      <c r="AL2587">
        <v>89.873378288977705</v>
      </c>
      <c r="AM2587">
        <v>98.137753080724707</v>
      </c>
      <c r="AN2587">
        <v>1.00000001676318</v>
      </c>
    </row>
    <row r="2588" spans="1:40" x14ac:dyDescent="0.25">
      <c r="A2588" t="str">
        <f>"20190312151547816"</f>
        <v>20190312151547816</v>
      </c>
      <c r="B2588" t="str">
        <f>"1552374947810188"</f>
        <v>1552374947810188</v>
      </c>
      <c r="C2588" t="s">
        <v>40</v>
      </c>
      <c r="D2588">
        <v>4.7339699999999896</v>
      </c>
      <c r="E2588">
        <v>0.4630785</v>
      </c>
      <c r="F2588" t="s">
        <v>43</v>
      </c>
      <c r="G2588">
        <v>-490.01389999999998</v>
      </c>
      <c r="H2588" s="1">
        <v>-2.3596860000000001E-6</v>
      </c>
      <c r="I2588">
        <v>245.08099999999999</v>
      </c>
      <c r="J2588">
        <v>-493.89789999999999</v>
      </c>
      <c r="K2588">
        <v>1.1146119999999999</v>
      </c>
      <c r="L2588">
        <v>257.53960000000001</v>
      </c>
      <c r="M2588">
        <v>5.8246520000000003E-2</v>
      </c>
      <c r="N2588">
        <v>0</v>
      </c>
      <c r="O2588">
        <v>-0.99822</v>
      </c>
      <c r="P2588">
        <v>0.1983365</v>
      </c>
      <c r="Q2588">
        <v>-8.7770060000000004E-3</v>
      </c>
      <c r="R2588">
        <v>-0.98009480000000004</v>
      </c>
      <c r="S2588">
        <v>0.8859863</v>
      </c>
      <c r="T2588">
        <v>-0.25327739999999999</v>
      </c>
      <c r="U2588">
        <v>-2.8804470000000002</v>
      </c>
      <c r="V2588">
        <v>-0.14094609999999999</v>
      </c>
      <c r="W2588">
        <v>2.1331929999999998E-3</v>
      </c>
      <c r="X2588">
        <v>0.99001499999999998</v>
      </c>
      <c r="Y2588">
        <v>-0.2367744</v>
      </c>
      <c r="Z2588">
        <v>8.4194080000000004E-2</v>
      </c>
      <c r="AA2588">
        <v>0.96790980000000004</v>
      </c>
      <c r="AB2588">
        <v>31</v>
      </c>
      <c r="AC2588">
        <v>3.8840000000000101</v>
      </c>
      <c r="AD2588">
        <v>-1.1146143596860001</v>
      </c>
      <c r="AE2588">
        <v>-12.458600000000001</v>
      </c>
      <c r="AF2588">
        <v>-3.1288499493480599</v>
      </c>
      <c r="AG2588">
        <v>-1.1146143596860001</v>
      </c>
      <c r="AH2588">
        <v>12.571979356409701</v>
      </c>
      <c r="AI2588">
        <v>94.917289406961899</v>
      </c>
      <c r="AJ2588">
        <v>103.975555244258</v>
      </c>
      <c r="AK2588">
        <v>13.003335422665399</v>
      </c>
      <c r="AL2588">
        <v>89.877776954807103</v>
      </c>
      <c r="AM2588">
        <v>98.102615003946994</v>
      </c>
      <c r="AN2588">
        <v>1.0000000269212901</v>
      </c>
    </row>
    <row r="2589" spans="1:40" x14ac:dyDescent="0.25">
      <c r="A2589" t="str">
        <f>"20190312151547834"</f>
        <v>20190312151547834</v>
      </c>
      <c r="B2589" t="str">
        <f>"1552374947829707"</f>
        <v>1552374947829707</v>
      </c>
      <c r="C2589" t="s">
        <v>40</v>
      </c>
      <c r="D2589">
        <v>4.7830529999999998</v>
      </c>
      <c r="E2589">
        <v>0.46356439999999999</v>
      </c>
      <c r="F2589" t="s">
        <v>43</v>
      </c>
      <c r="G2589">
        <v>-489.97370000000001</v>
      </c>
      <c r="H2589" s="1">
        <v>-2.255237E-6</v>
      </c>
      <c r="I2589">
        <v>244.86240000000001</v>
      </c>
      <c r="J2589">
        <v>-493.87830000000002</v>
      </c>
      <c r="K2589">
        <v>1.11432</v>
      </c>
      <c r="L2589">
        <v>257.27969999999999</v>
      </c>
      <c r="M2589">
        <v>6.266331E-2</v>
      </c>
      <c r="N2589">
        <v>0</v>
      </c>
      <c r="O2589">
        <v>-0.99795310000000004</v>
      </c>
      <c r="P2589">
        <v>0.2012873</v>
      </c>
      <c r="Q2589">
        <v>-9.2463519999999993E-3</v>
      </c>
      <c r="R2589">
        <v>-0.97948869999999999</v>
      </c>
      <c r="S2589">
        <v>0.89099119999999998</v>
      </c>
      <c r="T2589">
        <v>-0.25307360000000001</v>
      </c>
      <c r="U2589">
        <v>-2.8783569999999998</v>
      </c>
      <c r="V2589">
        <v>-0.13953929999999901</v>
      </c>
      <c r="W2589">
        <v>1.746956E-3</v>
      </c>
      <c r="X2589">
        <v>0.99021499999999996</v>
      </c>
      <c r="Y2589">
        <v>-0.23421020000000001</v>
      </c>
      <c r="Z2589">
        <v>8.4156369999999994E-2</v>
      </c>
      <c r="AA2589">
        <v>0.96853670000000003</v>
      </c>
      <c r="AB2589">
        <v>31</v>
      </c>
      <c r="AC2589">
        <v>3.9046000000000101</v>
      </c>
      <c r="AD2589">
        <v>-1.114322255237</v>
      </c>
      <c r="AE2589">
        <v>-12.4172999999999</v>
      </c>
      <c r="AF2589">
        <v>-3.0960629761869298</v>
      </c>
      <c r="AG2589">
        <v>-1.114322255237</v>
      </c>
      <c r="AH2589">
        <v>12.545646331071</v>
      </c>
      <c r="AI2589">
        <v>94.928668824458697</v>
      </c>
      <c r="AJ2589">
        <v>103.862680671663</v>
      </c>
      <c r="AK2589">
        <v>12.969986966275201</v>
      </c>
      <c r="AL2589">
        <v>89.899906744010096</v>
      </c>
      <c r="AM2589">
        <v>98.021200671871796</v>
      </c>
      <c r="AN2589">
        <v>1.00000000716237</v>
      </c>
    </row>
    <row r="2590" spans="1:40" x14ac:dyDescent="0.25">
      <c r="A2590" t="str">
        <f>"20190312151547858"</f>
        <v>20190312151547858</v>
      </c>
      <c r="B2590" t="str">
        <f>"1552374947850203"</f>
        <v>1552374947850203</v>
      </c>
      <c r="C2590" t="s">
        <v>40</v>
      </c>
      <c r="D2590">
        <v>5.1114860000000002</v>
      </c>
      <c r="E2590">
        <v>0.46414369999999999</v>
      </c>
      <c r="F2590" t="s">
        <v>43</v>
      </c>
      <c r="G2590">
        <v>-489.95679999999999</v>
      </c>
      <c r="H2590" s="1">
        <v>-2.1810770000000002E-6</v>
      </c>
      <c r="I2590">
        <v>244.69909999999999</v>
      </c>
      <c r="J2590">
        <v>-493.85359999999997</v>
      </c>
      <c r="K2590">
        <v>1.113993</v>
      </c>
      <c r="L2590">
        <v>256.96940000000001</v>
      </c>
      <c r="M2590">
        <v>6.7546729999999999E-2</v>
      </c>
      <c r="N2590">
        <v>0</v>
      </c>
      <c r="O2590">
        <v>-0.99763489999999999</v>
      </c>
      <c r="P2590">
        <v>0.20516000000000001</v>
      </c>
      <c r="Q2590">
        <v>-9.4903890000000001E-3</v>
      </c>
      <c r="R2590">
        <v>-0.97868259999999996</v>
      </c>
      <c r="S2590">
        <v>0.896514899999999</v>
      </c>
      <c r="T2590">
        <v>-0.25475439999999999</v>
      </c>
      <c r="U2590">
        <v>-2.87616</v>
      </c>
      <c r="V2590">
        <v>-0.13860529999999999</v>
      </c>
      <c r="W2590">
        <v>1.5872149999999999E-3</v>
      </c>
      <c r="X2590">
        <v>0.99034639999999996</v>
      </c>
      <c r="Y2590">
        <v>-0.23134289999999999</v>
      </c>
      <c r="Z2590">
        <v>8.4737930000000003E-2</v>
      </c>
      <c r="AA2590">
        <v>0.96917489999999995</v>
      </c>
      <c r="AB2590">
        <v>31</v>
      </c>
      <c r="AC2590">
        <v>3.8967999999999798</v>
      </c>
      <c r="AD2590">
        <v>-1.1139951810769999</v>
      </c>
      <c r="AE2590">
        <v>-12.270300000000001</v>
      </c>
      <c r="AF2590">
        <v>-3.0362793554864198</v>
      </c>
      <c r="AG2590">
        <v>-1.1139951810769999</v>
      </c>
      <c r="AH2590">
        <v>12.4125722023397</v>
      </c>
      <c r="AI2590">
        <v>94.982282116726395</v>
      </c>
      <c r="AJ2590">
        <v>103.74539327529401</v>
      </c>
      <c r="AK2590">
        <v>12.826999893440099</v>
      </c>
      <c r="AL2590">
        <v>89.909059238427801</v>
      </c>
      <c r="AM2590">
        <v>97.967159346347799</v>
      </c>
      <c r="AN2590">
        <v>0.99999997021625198</v>
      </c>
    </row>
    <row r="2591" spans="1:40" x14ac:dyDescent="0.25">
      <c r="A2591" t="str">
        <f>"20190312151547878"</f>
        <v>20190312151547878</v>
      </c>
      <c r="B2591" t="str">
        <f>"1552374947869727"</f>
        <v>1552374947869727</v>
      </c>
      <c r="C2591" t="s">
        <v>40</v>
      </c>
      <c r="D2591">
        <v>4.7756759999999998</v>
      </c>
      <c r="E2591">
        <v>0.46464610000000001</v>
      </c>
      <c r="F2591" t="s">
        <v>43</v>
      </c>
      <c r="G2591">
        <v>-489.93029999999999</v>
      </c>
      <c r="H2591" s="1">
        <v>-2.0953909999999998E-6</v>
      </c>
      <c r="I2591">
        <v>244.48840000000001</v>
      </c>
      <c r="J2591">
        <v>-493.82920000000001</v>
      </c>
      <c r="K2591">
        <v>1.1137010000000001</v>
      </c>
      <c r="L2591">
        <v>256.67599999999999</v>
      </c>
      <c r="M2591">
        <v>7.1823070000000003E-2</v>
      </c>
      <c r="N2591">
        <v>0</v>
      </c>
      <c r="O2591">
        <v>-0.99733669999999996</v>
      </c>
      <c r="P2591">
        <v>0.20825879999999999</v>
      </c>
      <c r="Q2591">
        <v>-9.4253170000000008E-3</v>
      </c>
      <c r="R2591">
        <v>-0.97802849999999997</v>
      </c>
      <c r="S2591">
        <v>0.90325929999999999</v>
      </c>
      <c r="T2591">
        <v>-0.25647689999999901</v>
      </c>
      <c r="U2591">
        <v>-2.8735200000000001</v>
      </c>
      <c r="V2591">
        <v>-0.13749539999999999</v>
      </c>
      <c r="W2591">
        <v>1.7302660000000001E-3</v>
      </c>
      <c r="X2591">
        <v>0.99050090000000002</v>
      </c>
      <c r="Y2591">
        <v>-0.22948189999999999</v>
      </c>
      <c r="Z2591">
        <v>8.5332420000000006E-2</v>
      </c>
      <c r="AA2591">
        <v>0.96956509999999996</v>
      </c>
      <c r="AB2591">
        <v>31</v>
      </c>
      <c r="AC2591">
        <v>3.8989000000000198</v>
      </c>
      <c r="AD2591">
        <v>-1.1137030953910001</v>
      </c>
      <c r="AE2591">
        <v>-12.1875999999999</v>
      </c>
      <c r="AF2591">
        <v>-2.9907525690330301</v>
      </c>
      <c r="AG2591">
        <v>-1.1137030953910001</v>
      </c>
      <c r="AH2591">
        <v>12.342675954536</v>
      </c>
      <c r="AI2591">
        <v>95.011685366803405</v>
      </c>
      <c r="AJ2591">
        <v>103.6208069754</v>
      </c>
      <c r="AK2591">
        <v>12.748591499947899</v>
      </c>
      <c r="AL2591">
        <v>89.900863011880602</v>
      </c>
      <c r="AM2591">
        <v>97.902953504542197</v>
      </c>
      <c r="AN2591">
        <v>1.0000000058712</v>
      </c>
    </row>
    <row r="2592" spans="1:40" x14ac:dyDescent="0.25">
      <c r="A2592" t="str">
        <f>"20190312151547900"</f>
        <v>20190312151547900</v>
      </c>
      <c r="B2592" t="str">
        <f>"1552374947890219"</f>
        <v>1552374947890219</v>
      </c>
      <c r="C2592" t="s">
        <v>40</v>
      </c>
      <c r="D2592">
        <v>4.7774400000000004</v>
      </c>
      <c r="E2592">
        <v>0.46460299999999999</v>
      </c>
      <c r="F2592" t="s">
        <v>43</v>
      </c>
      <c r="G2592">
        <v>-489.86669999999998</v>
      </c>
      <c r="H2592" s="1">
        <v>-1.9598860000000001E-6</v>
      </c>
      <c r="I2592">
        <v>244.14619999999999</v>
      </c>
      <c r="J2592">
        <v>-493.8032</v>
      </c>
      <c r="K2592">
        <v>1.1134120000000001</v>
      </c>
      <c r="L2592">
        <v>256.37450000000001</v>
      </c>
      <c r="M2592">
        <v>7.5887960000000004E-2</v>
      </c>
      <c r="N2592">
        <v>0</v>
      </c>
      <c r="O2592">
        <v>-0.99703629999999999</v>
      </c>
      <c r="P2592">
        <v>0.21138199999999999</v>
      </c>
      <c r="Q2592">
        <v>-9.4331950000000001E-3</v>
      </c>
      <c r="R2592">
        <v>-0.97735850000000002</v>
      </c>
      <c r="S2592">
        <v>0.90811160000000002</v>
      </c>
      <c r="T2592">
        <v>-0.25523689999999999</v>
      </c>
      <c r="U2592">
        <v>-2.8715670000000002</v>
      </c>
      <c r="V2592">
        <v>-0.1366202</v>
      </c>
      <c r="W2592">
        <v>1.794162E-3</v>
      </c>
      <c r="X2592">
        <v>0.99062190000000006</v>
      </c>
      <c r="Y2592">
        <v>-0.2272034</v>
      </c>
      <c r="Z2592">
        <v>8.4941119999999995E-2</v>
      </c>
      <c r="AA2592">
        <v>0.97013590000000005</v>
      </c>
      <c r="AB2592">
        <v>31</v>
      </c>
      <c r="AC2592">
        <v>3.9365000000000201</v>
      </c>
      <c r="AD2592">
        <v>-1.113413959886</v>
      </c>
      <c r="AE2592">
        <v>-12.228300000000001</v>
      </c>
      <c r="AF2592">
        <v>-2.9747455007445298</v>
      </c>
      <c r="AG2592">
        <v>-1.113413959886</v>
      </c>
      <c r="AH2592">
        <v>12.398649991698001</v>
      </c>
      <c r="AI2592">
        <v>94.990583443790996</v>
      </c>
      <c r="AJ2592">
        <v>103.491667450143</v>
      </c>
      <c r="AK2592">
        <v>12.799036020611201</v>
      </c>
      <c r="AL2592">
        <v>89.897202036892494</v>
      </c>
      <c r="AM2592">
        <v>97.852331184212204</v>
      </c>
      <c r="AN2592">
        <v>1.00000002341246</v>
      </c>
    </row>
    <row r="2593" spans="1:40" x14ac:dyDescent="0.25">
      <c r="A2593" t="str">
        <f>"20190312151547913"</f>
        <v>20190312151547913</v>
      </c>
      <c r="B2593" t="str">
        <f>"1552374947909740"</f>
        <v>1552374947909740</v>
      </c>
      <c r="C2593" t="s">
        <v>40</v>
      </c>
      <c r="D2593">
        <v>4.781523</v>
      </c>
      <c r="E2593">
        <v>0.44291510000000001</v>
      </c>
      <c r="F2593" t="s">
        <v>43</v>
      </c>
      <c r="G2593">
        <v>-489.8193</v>
      </c>
      <c r="H2593" s="1">
        <v>-1.8709839999999999E-6</v>
      </c>
      <c r="I2593">
        <v>243.9194</v>
      </c>
      <c r="J2593">
        <v>-493.78699999999998</v>
      </c>
      <c r="K2593">
        <v>1.113243</v>
      </c>
      <c r="L2593">
        <v>256.19240000000002</v>
      </c>
      <c r="M2593">
        <v>7.8215939999999998E-2</v>
      </c>
      <c r="N2593">
        <v>0</v>
      </c>
      <c r="O2593">
        <v>-0.99685639999999998</v>
      </c>
      <c r="P2593">
        <v>0.21294640000000001</v>
      </c>
      <c r="Q2593">
        <v>-9.6196560000000007E-3</v>
      </c>
      <c r="R2593">
        <v>-0.97701660000000001</v>
      </c>
      <c r="S2593">
        <v>0.91754150000000001</v>
      </c>
      <c r="T2593">
        <v>-0.25643680000000002</v>
      </c>
      <c r="U2593">
        <v>-2.8686219999999998</v>
      </c>
      <c r="V2593">
        <v>-0.13589039999999999</v>
      </c>
      <c r="W2593">
        <v>1.6520650000000001E-3</v>
      </c>
      <c r="X2593">
        <v>0.99072249999999995</v>
      </c>
      <c r="Y2593">
        <v>-0.22810140000000001</v>
      </c>
      <c r="Z2593">
        <v>8.5346850000000002E-2</v>
      </c>
      <c r="AA2593">
        <v>0.96988949999999996</v>
      </c>
      <c r="AB2593">
        <v>31</v>
      </c>
      <c r="AC2593">
        <v>3.96769999999997</v>
      </c>
      <c r="AD2593">
        <v>-1.1132448709839999</v>
      </c>
      <c r="AE2593">
        <v>-12.273</v>
      </c>
      <c r="AF2593">
        <v>-2.9733727427324199</v>
      </c>
      <c r="AG2593">
        <v>-1.1132448709839999</v>
      </c>
      <c r="AH2593">
        <v>12.4529924766628</v>
      </c>
      <c r="AI2593">
        <v>94.969459088759905</v>
      </c>
      <c r="AJ2593">
        <v>103.42895604992999</v>
      </c>
      <c r="AK2593">
        <v>12.8513532841416</v>
      </c>
      <c r="AL2593">
        <v>89.905343605061901</v>
      </c>
      <c r="AM2593">
        <v>97.810121263443506</v>
      </c>
      <c r="AN2593">
        <v>1.0000000010685799</v>
      </c>
    </row>
    <row r="2594" spans="1:40" x14ac:dyDescent="0.25">
      <c r="A2594" t="str">
        <f>"20190312151547929"</f>
        <v>20190312151547929</v>
      </c>
      <c r="B2594" t="str">
        <f>"1552374947920476"</f>
        <v>1552374947920476</v>
      </c>
      <c r="C2594" t="s">
        <v>40</v>
      </c>
      <c r="D2594">
        <v>4.7639570000000004</v>
      </c>
      <c r="E2594">
        <v>0.44113350000000001</v>
      </c>
      <c r="F2594" t="s">
        <v>43</v>
      </c>
      <c r="G2594">
        <v>-489.92230000000001</v>
      </c>
      <c r="H2594" s="1">
        <v>-2.8290649999999998E-6</v>
      </c>
      <c r="I2594">
        <v>246.1953</v>
      </c>
      <c r="J2594">
        <v>-493.76760000000002</v>
      </c>
      <c r="K2594">
        <v>1.113051</v>
      </c>
      <c r="L2594">
        <v>255.97890000000001</v>
      </c>
      <c r="M2594">
        <v>8.0757220000000005E-2</v>
      </c>
      <c r="N2594">
        <v>0</v>
      </c>
      <c r="O2594">
        <v>-0.99665420000000005</v>
      </c>
      <c r="P2594">
        <v>0.21514440000000001</v>
      </c>
      <c r="Q2594">
        <v>-9.8805560000000004E-3</v>
      </c>
      <c r="R2594">
        <v>-0.97653259999999997</v>
      </c>
      <c r="S2594">
        <v>1.0936889999999999</v>
      </c>
      <c r="T2594">
        <v>-0.31503819999999999</v>
      </c>
      <c r="U2594">
        <v>-2.8291019999999998</v>
      </c>
      <c r="V2594">
        <v>-0.13559089999999999</v>
      </c>
      <c r="W2594">
        <v>1.4365350000000001E-3</v>
      </c>
      <c r="X2594">
        <v>0.99076379999999997</v>
      </c>
      <c r="Y2594">
        <v>-0.2821109</v>
      </c>
      <c r="Z2594">
        <v>0.1041787</v>
      </c>
      <c r="AA2594">
        <v>0.95370860000000002</v>
      </c>
      <c r="AB2594">
        <v>31</v>
      </c>
      <c r="AC2594">
        <v>3.8452999999999999</v>
      </c>
      <c r="AD2594">
        <v>-1.1130538290650001</v>
      </c>
      <c r="AE2594">
        <v>-9.7835999999999999</v>
      </c>
      <c r="AF2594">
        <v>-3.0088468577677201</v>
      </c>
      <c r="AG2594">
        <v>-1.1130538290650001</v>
      </c>
      <c r="AH2594">
        <v>9.9506420799136208</v>
      </c>
      <c r="AI2594">
        <v>96.111361557961402</v>
      </c>
      <c r="AJ2594">
        <v>106.82411741546601</v>
      </c>
      <c r="AK2594">
        <v>10.455014397046099</v>
      </c>
      <c r="AL2594">
        <v>89.917692573438003</v>
      </c>
      <c r="AM2594">
        <v>97.792798777647405</v>
      </c>
      <c r="AN2594">
        <v>0.99999993159302503</v>
      </c>
    </row>
    <row r="2595" spans="1:40" x14ac:dyDescent="0.25">
      <c r="A2595" t="str">
        <f>"20190312151547948"</f>
        <v>20190312151547948</v>
      </c>
      <c r="B2595" t="str">
        <f>"1552374947939996"</f>
        <v>1552374947939996</v>
      </c>
      <c r="C2595" t="s">
        <v>40</v>
      </c>
      <c r="D2595">
        <v>4.7711949999999996</v>
      </c>
      <c r="E2595">
        <v>0.43989650000000002</v>
      </c>
      <c r="F2595" t="s">
        <v>43</v>
      </c>
      <c r="G2595">
        <v>-489.60680000000002</v>
      </c>
      <c r="H2595" s="1">
        <v>-2.5535950000000001E-6</v>
      </c>
      <c r="I2595">
        <v>245.42269999999999</v>
      </c>
      <c r="J2595">
        <v>-493.74310000000003</v>
      </c>
      <c r="K2595">
        <v>1.1128199999999999</v>
      </c>
      <c r="L2595">
        <v>255.71510000000001</v>
      </c>
      <c r="M2595">
        <v>8.3718290000000001E-2</v>
      </c>
      <c r="N2595">
        <v>0</v>
      </c>
      <c r="O2595">
        <v>-0.99640989999999996</v>
      </c>
      <c r="P2595">
        <v>0.21648110000000001</v>
      </c>
      <c r="Q2595">
        <v>-9.7951129999999994E-3</v>
      </c>
      <c r="R2595">
        <v>-0.97623780000000004</v>
      </c>
      <c r="S2595">
        <v>1.1130370000000001</v>
      </c>
      <c r="T2595">
        <v>-0.29774830000000002</v>
      </c>
      <c r="U2595">
        <v>-2.8238530000000002</v>
      </c>
      <c r="V2595">
        <v>-0.13400329999999999</v>
      </c>
      <c r="W2595">
        <v>1.5876919999999999E-3</v>
      </c>
      <c r="X2595">
        <v>0.99097959999999996</v>
      </c>
      <c r="Y2595">
        <v>-0.28573789999999999</v>
      </c>
      <c r="Z2595">
        <v>9.8481559999999996E-2</v>
      </c>
      <c r="AA2595">
        <v>0.95323409999999997</v>
      </c>
      <c r="AB2595">
        <v>31</v>
      </c>
      <c r="AC2595">
        <v>4.1363000000000003</v>
      </c>
      <c r="AD2595">
        <v>-1.112822553595</v>
      </c>
      <c r="AE2595">
        <v>-10.292400000000001</v>
      </c>
      <c r="AF2595">
        <v>-3.2275624621513801</v>
      </c>
      <c r="AG2595">
        <v>-1.112822553595</v>
      </c>
      <c r="AH2595">
        <v>10.4969263900466</v>
      </c>
      <c r="AI2595">
        <v>95.786157759332298</v>
      </c>
      <c r="AJ2595">
        <v>107.091454126964</v>
      </c>
      <c r="AK2595">
        <v>11.0381609483163</v>
      </c>
      <c r="AL2595">
        <v>89.909031909777596</v>
      </c>
      <c r="AM2595">
        <v>97.700999387204703</v>
      </c>
      <c r="AN2595">
        <v>0.99999998639646803</v>
      </c>
    </row>
    <row r="2596" spans="1:40" x14ac:dyDescent="0.25">
      <c r="A2596" t="str">
        <f>"20190312151547972"</f>
        <v>20190312151547972</v>
      </c>
      <c r="B2596" t="str">
        <f>"1552374947960491"</f>
        <v>1552374947960491</v>
      </c>
      <c r="C2596" t="s">
        <v>40</v>
      </c>
      <c r="D2596">
        <v>4.7729339999999896</v>
      </c>
      <c r="E2596">
        <v>0.43966959999999999</v>
      </c>
      <c r="F2596" t="s">
        <v>43</v>
      </c>
      <c r="G2596">
        <v>-489.60140000000001</v>
      </c>
      <c r="H2596" s="1">
        <v>-2.5235239999999999E-6</v>
      </c>
      <c r="I2596">
        <v>245.3503</v>
      </c>
      <c r="J2596">
        <v>-493.7122</v>
      </c>
      <c r="K2596">
        <v>1.1125560000000001</v>
      </c>
      <c r="L2596">
        <v>255.39080000000001</v>
      </c>
      <c r="M2596">
        <v>8.7101680000000001E-2</v>
      </c>
      <c r="N2596">
        <v>0</v>
      </c>
      <c r="O2596">
        <v>-0.99612049999999996</v>
      </c>
      <c r="P2596">
        <v>0.2184016</v>
      </c>
      <c r="Q2596">
        <v>-9.8343579999999996E-3</v>
      </c>
      <c r="R2596">
        <v>-0.97580979999999995</v>
      </c>
      <c r="S2596">
        <v>1.126892</v>
      </c>
      <c r="T2596">
        <v>-0.30278189999999999</v>
      </c>
      <c r="U2596">
        <v>-2.820084</v>
      </c>
      <c r="V2596">
        <v>-0.1325856</v>
      </c>
      <c r="W2596">
        <v>1.619641E-3</v>
      </c>
      <c r="X2596">
        <v>0.9911702</v>
      </c>
      <c r="Y2596">
        <v>-0.28690460000000001</v>
      </c>
      <c r="Z2596">
        <v>0.1001037</v>
      </c>
      <c r="AA2596">
        <v>0.95271450000000002</v>
      </c>
      <c r="AB2596">
        <v>31</v>
      </c>
      <c r="AC2596">
        <v>4.1107999999999798</v>
      </c>
      <c r="AD2596">
        <v>-1.1125585235240001</v>
      </c>
      <c r="AE2596">
        <v>-10.0405</v>
      </c>
      <c r="AF2596">
        <v>-3.1870474589355502</v>
      </c>
      <c r="AG2596">
        <v>-1.1125585235240001</v>
      </c>
      <c r="AH2596">
        <v>10.252608449564899</v>
      </c>
      <c r="AI2596">
        <v>95.916078789443105</v>
      </c>
      <c r="AJ2596">
        <v>107.267979972508</v>
      </c>
      <c r="AK2596">
        <v>10.794027885542199</v>
      </c>
      <c r="AL2596">
        <v>89.907201362550396</v>
      </c>
      <c r="AM2596">
        <v>97.619040235783203</v>
      </c>
      <c r="AN2596">
        <v>0.99999996496618304</v>
      </c>
    </row>
    <row r="2597" spans="1:40" x14ac:dyDescent="0.25">
      <c r="A2597" t="str">
        <f>"20190312151547992"</f>
        <v>20190312151547992</v>
      </c>
      <c r="B2597" t="str">
        <f>"1552374947989772"</f>
        <v>1552374947989772</v>
      </c>
      <c r="C2597" t="s">
        <v>40</v>
      </c>
      <c r="D2597">
        <v>4.8281549999999998</v>
      </c>
      <c r="E2597">
        <v>0.44099559999999999</v>
      </c>
      <c r="F2597" t="s">
        <v>43</v>
      </c>
      <c r="G2597">
        <v>-489.37389999999999</v>
      </c>
      <c r="H2597" s="1">
        <v>-2.248296E-6</v>
      </c>
      <c r="I2597">
        <v>244.6147</v>
      </c>
      <c r="J2597">
        <v>-493.68389999999999</v>
      </c>
      <c r="K2597">
        <v>1.112341</v>
      </c>
      <c r="L2597">
        <v>255.10210000000001</v>
      </c>
      <c r="M2597">
        <v>8.9888819999999994E-2</v>
      </c>
      <c r="N2597">
        <v>0</v>
      </c>
      <c r="O2597">
        <v>-0.99587320000000001</v>
      </c>
      <c r="P2597">
        <v>0.21961839999999999</v>
      </c>
      <c r="Q2597">
        <v>-8.7599459999999994E-3</v>
      </c>
      <c r="R2597">
        <v>-0.97554689999999999</v>
      </c>
      <c r="S2597">
        <v>1.1343080000000001</v>
      </c>
      <c r="T2597">
        <v>-0.29089730000000003</v>
      </c>
      <c r="U2597">
        <v>-2.8175810000000001</v>
      </c>
      <c r="V2597">
        <v>-0.1310538</v>
      </c>
      <c r="W2597">
        <v>2.7526030000000002E-3</v>
      </c>
      <c r="X2597">
        <v>0.99137149999999996</v>
      </c>
      <c r="Y2597">
        <v>-0.28681990000000002</v>
      </c>
      <c r="Z2597">
        <v>9.6211950000000004E-2</v>
      </c>
      <c r="AA2597">
        <v>0.95314089999999996</v>
      </c>
      <c r="AB2597">
        <v>31</v>
      </c>
      <c r="AC2597">
        <v>4.3099999999999996</v>
      </c>
      <c r="AD2597">
        <v>-1.1123432482960001</v>
      </c>
      <c r="AE2597">
        <v>-10.487399999999999</v>
      </c>
      <c r="AF2597">
        <v>-3.3178440202489301</v>
      </c>
      <c r="AG2597">
        <v>-1.1123432482960001</v>
      </c>
      <c r="AH2597">
        <v>10.7291297992744</v>
      </c>
      <c r="AI2597">
        <v>95.656545595184994</v>
      </c>
      <c r="AJ2597">
        <v>107.18354427548</v>
      </c>
      <c r="AK2597">
        <v>11.2853720671677</v>
      </c>
      <c r="AL2597">
        <v>89.842287276226202</v>
      </c>
      <c r="AM2597">
        <v>97.530519835265906</v>
      </c>
      <c r="AN2597">
        <v>1.0000000631649799</v>
      </c>
    </row>
    <row r="2598" spans="1:40" x14ac:dyDescent="0.25">
      <c r="A2598" t="str">
        <f>"20190312151548014"</f>
        <v>20190312151548014</v>
      </c>
      <c r="B2598" t="str">
        <f>"1552374948010268"</f>
        <v>1552374948010268</v>
      </c>
      <c r="C2598" t="s">
        <v>40</v>
      </c>
      <c r="D2598">
        <v>4.8098609999999997</v>
      </c>
      <c r="E2598">
        <v>0.44164429999999999</v>
      </c>
      <c r="F2598" t="s">
        <v>43</v>
      </c>
      <c r="G2598">
        <v>-489.00830000000002</v>
      </c>
      <c r="H2598" s="1">
        <v>-1.7937230000000001E-6</v>
      </c>
      <c r="I2598">
        <v>243.40389999999999</v>
      </c>
      <c r="J2598">
        <v>-493.65469999999999</v>
      </c>
      <c r="K2598">
        <v>1.112161</v>
      </c>
      <c r="L2598">
        <v>254.81049999999999</v>
      </c>
      <c r="M2598">
        <v>9.252573E-2</v>
      </c>
      <c r="N2598">
        <v>0</v>
      </c>
      <c r="O2598">
        <v>-0.99563190000000001</v>
      </c>
      <c r="P2598">
        <v>0.22100910000000001</v>
      </c>
      <c r="Q2598">
        <v>-8.2090870000000003E-3</v>
      </c>
      <c r="R2598">
        <v>-0.97523729999999997</v>
      </c>
      <c r="S2598">
        <v>1.12677</v>
      </c>
      <c r="T2598">
        <v>-0.26806239999999998</v>
      </c>
      <c r="U2598">
        <v>-2.8191220000000001</v>
      </c>
      <c r="V2598">
        <v>-0.12984380000000001</v>
      </c>
      <c r="W2598">
        <v>3.3500769999999999E-3</v>
      </c>
      <c r="X2598">
        <v>0.99152879999999999</v>
      </c>
      <c r="Y2598">
        <v>-0.2821611</v>
      </c>
      <c r="Z2598">
        <v>8.875218E-2</v>
      </c>
      <c r="AA2598">
        <v>0.95525289999999996</v>
      </c>
      <c r="AB2598">
        <v>31</v>
      </c>
      <c r="AC2598">
        <v>4.6463999999999697</v>
      </c>
      <c r="AD2598">
        <v>-1.1121627937230001</v>
      </c>
      <c r="AE2598">
        <v>-11.4065999999999</v>
      </c>
      <c r="AF2598">
        <v>-3.5420977616223901</v>
      </c>
      <c r="AG2598">
        <v>-1.1121627937230001</v>
      </c>
      <c r="AH2598">
        <v>11.692271726275999</v>
      </c>
      <c r="AI2598">
        <v>95.201518713805598</v>
      </c>
      <c r="AJ2598">
        <v>106.853843687091</v>
      </c>
      <c r="AK2598">
        <v>12.267541756753999</v>
      </c>
      <c r="AL2598">
        <v>89.808054367498002</v>
      </c>
      <c r="AM2598">
        <v>97.460608328669096</v>
      </c>
      <c r="AN2598">
        <v>0.99999999832189201</v>
      </c>
    </row>
    <row r="2599" spans="1:40" x14ac:dyDescent="0.25">
      <c r="A2599" t="str">
        <f>"20190312151548036"</f>
        <v>20190312151548036</v>
      </c>
      <c r="B2599" t="str">
        <f>"1552374948029788"</f>
        <v>1552374948029788</v>
      </c>
      <c r="C2599" t="s">
        <v>40</v>
      </c>
      <c r="D2599">
        <v>4.7902079999999998</v>
      </c>
      <c r="E2599">
        <v>0.44170100000000001</v>
      </c>
      <c r="F2599" t="s">
        <v>43</v>
      </c>
      <c r="G2599">
        <v>-488.83679999999998</v>
      </c>
      <c r="H2599" s="1">
        <v>-1.5394879999999999E-6</v>
      </c>
      <c r="I2599">
        <v>242.74039999999999</v>
      </c>
      <c r="J2599">
        <v>-493.6225</v>
      </c>
      <c r="K2599">
        <v>1.1120030000000001</v>
      </c>
      <c r="L2599">
        <v>254.4957</v>
      </c>
      <c r="M2599">
        <v>9.5211190000000001E-2</v>
      </c>
      <c r="N2599">
        <v>0</v>
      </c>
      <c r="O2599">
        <v>-0.99537900000000001</v>
      </c>
      <c r="P2599">
        <v>0.22276199999999999</v>
      </c>
      <c r="Q2599">
        <v>-7.8598369999999997E-3</v>
      </c>
      <c r="R2599">
        <v>-0.97484150000000003</v>
      </c>
      <c r="S2599">
        <v>1.1252439999999999</v>
      </c>
      <c r="T2599">
        <v>-0.2597487</v>
      </c>
      <c r="U2599">
        <v>-2.819</v>
      </c>
      <c r="V2599">
        <v>-0.12895180000000001</v>
      </c>
      <c r="W2599">
        <v>3.7358349999999999E-3</v>
      </c>
      <c r="X2599">
        <v>0.99164379999999996</v>
      </c>
      <c r="Y2599">
        <v>-0.27922930000000001</v>
      </c>
      <c r="Z2599">
        <v>8.6037699999999995E-2</v>
      </c>
      <c r="AA2599">
        <v>0.95636209999999999</v>
      </c>
      <c r="AB2599">
        <v>31</v>
      </c>
      <c r="AC2599">
        <v>4.7857000000000198</v>
      </c>
      <c r="AD2599">
        <v>-1.112004539488</v>
      </c>
      <c r="AE2599">
        <v>-11.7553</v>
      </c>
      <c r="AF2599">
        <v>-3.6168688187561302</v>
      </c>
      <c r="AG2599">
        <v>-1.112004539488</v>
      </c>
      <c r="AH2599">
        <v>12.0649633921283</v>
      </c>
      <c r="AI2599">
        <v>95.045350178939998</v>
      </c>
      <c r="AJ2599">
        <v>106.68782780349601</v>
      </c>
      <c r="AK2599">
        <v>12.644431019279899</v>
      </c>
      <c r="AL2599">
        <v>89.785951918218501</v>
      </c>
      <c r="AM2599">
        <v>97.409077238234502</v>
      </c>
      <c r="AN2599">
        <v>0.99999997463241297</v>
      </c>
    </row>
    <row r="2600" spans="1:40" x14ac:dyDescent="0.25">
      <c r="A2600" t="str">
        <f>"20190312151548057"</f>
        <v>20190312151548057</v>
      </c>
      <c r="B2600" t="str">
        <f>"1552374948050283"</f>
        <v>1552374948050283</v>
      </c>
      <c r="C2600" t="s">
        <v>40</v>
      </c>
      <c r="D2600">
        <v>4.7373620000000001</v>
      </c>
      <c r="E2600">
        <v>0.44167899999999999</v>
      </c>
      <c r="F2600" t="s">
        <v>43</v>
      </c>
      <c r="G2600">
        <v>-488.81330000000003</v>
      </c>
      <c r="H2600" s="1">
        <v>-1.4446699999999999E-6</v>
      </c>
      <c r="I2600">
        <v>242.50970000000001</v>
      </c>
      <c r="J2600">
        <v>-493.59249999999997</v>
      </c>
      <c r="K2600">
        <v>1.1118889999999999</v>
      </c>
      <c r="L2600">
        <v>254.20939999999999</v>
      </c>
      <c r="M2600">
        <v>9.7558279999999997E-2</v>
      </c>
      <c r="N2600">
        <v>0</v>
      </c>
      <c r="O2600">
        <v>-0.99515189999999998</v>
      </c>
      <c r="P2600">
        <v>0.22426260000000001</v>
      </c>
      <c r="Q2600">
        <v>-7.73281199999999E-3</v>
      </c>
      <c r="R2600">
        <v>-0.97449819999999998</v>
      </c>
      <c r="S2600">
        <v>1.13028</v>
      </c>
      <c r="T2600">
        <v>-0.26135049999999999</v>
      </c>
      <c r="U2600">
        <v>-2.8170320000000002</v>
      </c>
      <c r="V2600">
        <v>-0.12813930000000001</v>
      </c>
      <c r="W2600">
        <v>3.8884229999999998E-3</v>
      </c>
      <c r="X2600">
        <v>0.99174859999999998</v>
      </c>
      <c r="Y2600">
        <v>-0.2786517</v>
      </c>
      <c r="Z2600">
        <v>8.6569919999999995E-2</v>
      </c>
      <c r="AA2600">
        <v>0.95648250000000001</v>
      </c>
      <c r="AB2600">
        <v>31</v>
      </c>
      <c r="AC2600">
        <v>4.7791999999999399</v>
      </c>
      <c r="AD2600">
        <v>-1.11189044467</v>
      </c>
      <c r="AE2600">
        <v>-11.699699999999901</v>
      </c>
      <c r="AF2600">
        <v>-3.58714230909901</v>
      </c>
      <c r="AG2600">
        <v>-1.11189044467</v>
      </c>
      <c r="AH2600">
        <v>12.0171525920726</v>
      </c>
      <c r="AI2600">
        <v>95.066574533995805</v>
      </c>
      <c r="AJ2600">
        <v>106.620461766293</v>
      </c>
      <c r="AK2600">
        <v>12.590307650245601</v>
      </c>
      <c r="AL2600">
        <v>89.777209221249294</v>
      </c>
      <c r="AM2600">
        <v>97.362138431546398</v>
      </c>
      <c r="AN2600">
        <v>1.00000004281993</v>
      </c>
    </row>
    <row r="2601" spans="1:40" x14ac:dyDescent="0.25">
      <c r="A2601" t="str">
        <f>"20190312151548080"</f>
        <v>20190312151548080</v>
      </c>
      <c r="B2601" t="str">
        <f>"1552374948069804"</f>
        <v>1552374948069804</v>
      </c>
      <c r="C2601" t="s">
        <v>40</v>
      </c>
      <c r="D2601">
        <v>4.8285739999999997</v>
      </c>
      <c r="E2601">
        <v>0.44167849999999997</v>
      </c>
      <c r="F2601" t="s">
        <v>43</v>
      </c>
      <c r="G2601">
        <v>-488.91649999999998</v>
      </c>
      <c r="H2601" s="1">
        <v>-1.4699399999999999E-6</v>
      </c>
      <c r="I2601">
        <v>242.6112</v>
      </c>
      <c r="J2601">
        <v>-493.55919999999998</v>
      </c>
      <c r="K2601">
        <v>1.111788</v>
      </c>
      <c r="L2601">
        <v>253.89689999999999</v>
      </c>
      <c r="M2601">
        <v>0.1000424</v>
      </c>
      <c r="N2601">
        <v>0</v>
      </c>
      <c r="O2601">
        <v>-0.9949055</v>
      </c>
      <c r="P2601">
        <v>0.22576199999999999</v>
      </c>
      <c r="Q2601">
        <v>-7.5356469999999899E-3</v>
      </c>
      <c r="R2601">
        <v>-0.97415350000000001</v>
      </c>
      <c r="S2601">
        <v>1.134979</v>
      </c>
      <c r="T2601">
        <v>-0.2698834</v>
      </c>
      <c r="U2601">
        <v>-2.8151700000000002</v>
      </c>
      <c r="V2601">
        <v>-0.12718960000000001</v>
      </c>
      <c r="W2601">
        <v>4.1053820000000003E-3</v>
      </c>
      <c r="X2601">
        <v>0.99186989999999997</v>
      </c>
      <c r="Y2601">
        <v>-0.27775499999999997</v>
      </c>
      <c r="Z2601">
        <v>8.9379399999999998E-2</v>
      </c>
      <c r="AA2601">
        <v>0.95648500000000003</v>
      </c>
      <c r="AB2601">
        <v>31</v>
      </c>
      <c r="AC2601">
        <v>4.6426999999999898</v>
      </c>
      <c r="AD2601">
        <v>-1.1117894699399999</v>
      </c>
      <c r="AE2601">
        <v>-11.285699999999901</v>
      </c>
      <c r="AF2601">
        <v>-3.4615376345816702</v>
      </c>
      <c r="AG2601">
        <v>-1.1117894699399999</v>
      </c>
      <c r="AH2601">
        <v>11.597315859123601</v>
      </c>
      <c r="AI2601">
        <v>95.248544665908</v>
      </c>
      <c r="AJ2601">
        <v>106.619179670913</v>
      </c>
      <c r="AK2601">
        <v>12.1538493390931</v>
      </c>
      <c r="AL2601">
        <v>89.764778271134503</v>
      </c>
      <c r="AM2601">
        <v>97.307282169992803</v>
      </c>
      <c r="AN2601">
        <v>0.99999997351776704</v>
      </c>
    </row>
    <row r="2602" spans="1:40" x14ac:dyDescent="0.25">
      <c r="A2602" t="str">
        <f>"20190312151548093"</f>
        <v>20190312151548093</v>
      </c>
      <c r="B2602" t="str">
        <f>"1552374948090299"</f>
        <v>1552374948090299</v>
      </c>
      <c r="C2602" t="s">
        <v>40</v>
      </c>
      <c r="D2602">
        <v>4.8799510000000001</v>
      </c>
      <c r="E2602">
        <v>0.44202049999999998</v>
      </c>
      <c r="F2602" t="s">
        <v>43</v>
      </c>
      <c r="G2602">
        <v>-489.00200000000001</v>
      </c>
      <c r="H2602" s="1">
        <v>-1.4702740000000001E-6</v>
      </c>
      <c r="I2602">
        <v>242.6474</v>
      </c>
      <c r="J2602">
        <v>-493.53870000000001</v>
      </c>
      <c r="K2602">
        <v>1.1117360000000001</v>
      </c>
      <c r="L2602">
        <v>253.708</v>
      </c>
      <c r="M2602">
        <v>0.1015185</v>
      </c>
      <c r="N2602">
        <v>0</v>
      </c>
      <c r="O2602">
        <v>-0.99475599999999997</v>
      </c>
      <c r="P2602">
        <v>0.22718240000000001</v>
      </c>
      <c r="Q2602">
        <v>-7.4250449999999999E-3</v>
      </c>
      <c r="R2602">
        <v>-0.97382429999999998</v>
      </c>
      <c r="S2602">
        <v>1.1396790000000001</v>
      </c>
      <c r="T2602">
        <v>-0.27804119999999999</v>
      </c>
      <c r="U2602">
        <v>-2.813339</v>
      </c>
      <c r="V2602">
        <v>-0.127164</v>
      </c>
      <c r="W2602">
        <v>4.222206E-3</v>
      </c>
      <c r="X2602">
        <v>0.99187270000000005</v>
      </c>
      <c r="Y2602">
        <v>-0.27782760000000001</v>
      </c>
      <c r="Z2602">
        <v>9.2063220000000001E-2</v>
      </c>
      <c r="AA2602">
        <v>0.95620930000000004</v>
      </c>
      <c r="AB2602">
        <v>31</v>
      </c>
      <c r="AC2602">
        <v>4.5367000000000504</v>
      </c>
      <c r="AD2602">
        <v>-1.1117374702739999</v>
      </c>
      <c r="AE2602">
        <v>-11.0605999999999</v>
      </c>
      <c r="AF2602">
        <v>-3.3612478357689999</v>
      </c>
      <c r="AG2602">
        <v>-1.1117374702739999</v>
      </c>
      <c r="AH2602">
        <v>11.3657517050239</v>
      </c>
      <c r="AI2602">
        <v>95.358600892469497</v>
      </c>
      <c r="AJ2602">
        <v>106.474779734609</v>
      </c>
      <c r="AK2602">
        <v>11.904379825783799</v>
      </c>
      <c r="AL2602">
        <v>89.758084692705296</v>
      </c>
      <c r="AM2602">
        <v>97.305806892594802</v>
      </c>
      <c r="AN2602">
        <v>0.99999998146239799</v>
      </c>
    </row>
    <row r="2603" spans="1:40" x14ac:dyDescent="0.25">
      <c r="A2603" t="str">
        <f>"20190312151548113"</f>
        <v>20190312151548113</v>
      </c>
      <c r="B2603" t="str">
        <f>"1552374948109820"</f>
        <v>1552374948109820</v>
      </c>
      <c r="C2603" t="s">
        <v>40</v>
      </c>
      <c r="D2603">
        <v>4.8743730000000003</v>
      </c>
      <c r="E2603">
        <v>0.44216060000000001</v>
      </c>
      <c r="F2603" t="s">
        <v>43</v>
      </c>
      <c r="G2603">
        <v>-488.92070000000001</v>
      </c>
      <c r="H2603" s="1">
        <v>-1.3467759999999999E-6</v>
      </c>
      <c r="I2603">
        <v>242.32589999999999</v>
      </c>
      <c r="J2603">
        <v>-493.50799999999998</v>
      </c>
      <c r="K2603">
        <v>1.1116760000000001</v>
      </c>
      <c r="L2603">
        <v>253.43010000000001</v>
      </c>
      <c r="M2603">
        <v>0.1036551</v>
      </c>
      <c r="N2603">
        <v>0</v>
      </c>
      <c r="O2603">
        <v>-0.99453590000000003</v>
      </c>
      <c r="P2603">
        <v>0.2288732</v>
      </c>
      <c r="Q2603">
        <v>-7.6132389999999999E-3</v>
      </c>
      <c r="R2603">
        <v>-0.97342660000000003</v>
      </c>
      <c r="S2603">
        <v>1.141022</v>
      </c>
      <c r="T2603">
        <v>-0.2746905</v>
      </c>
      <c r="U2603">
        <v>-2.8123320000000001</v>
      </c>
      <c r="V2603">
        <v>-0.12675500000000001</v>
      </c>
      <c r="W2603">
        <v>4.0438710000000001E-3</v>
      </c>
      <c r="X2603">
        <v>0.99192579999999997</v>
      </c>
      <c r="Y2603">
        <v>-0.27631319999999998</v>
      </c>
      <c r="Z2603">
        <v>9.0975479999999997E-2</v>
      </c>
      <c r="AA2603">
        <v>0.95675209999999999</v>
      </c>
      <c r="AB2603">
        <v>31</v>
      </c>
      <c r="AC2603">
        <v>4.5873000000000204</v>
      </c>
      <c r="AD2603">
        <v>-1.1116773467759999</v>
      </c>
      <c r="AE2603">
        <v>-11.104200000000001</v>
      </c>
      <c r="AF2603">
        <v>-3.3825305931333798</v>
      </c>
      <c r="AG2603">
        <v>-1.1116773467759999</v>
      </c>
      <c r="AH2603">
        <v>11.4221187104769</v>
      </c>
      <c r="AI2603">
        <v>95.331440269555003</v>
      </c>
      <c r="AJ2603">
        <v>106.49605651026801</v>
      </c>
      <c r="AK2603">
        <v>11.9642022539342</v>
      </c>
      <c r="AL2603">
        <v>89.768302624490602</v>
      </c>
      <c r="AM2603">
        <v>97.282176083960906</v>
      </c>
      <c r="AN2603">
        <v>0.999999987811652</v>
      </c>
    </row>
    <row r="2604" spans="1:40" x14ac:dyDescent="0.25">
      <c r="A2604" t="str">
        <f>"20190312151548138"</f>
        <v>20190312151548138</v>
      </c>
      <c r="B2604" t="str">
        <f>"1552374948130316"</f>
        <v>1552374948130316</v>
      </c>
      <c r="C2604" t="s">
        <v>40</v>
      </c>
      <c r="D2604">
        <v>4.8445510000000001</v>
      </c>
      <c r="E2604">
        <v>0.44202930000000001</v>
      </c>
      <c r="F2604" t="s">
        <v>43</v>
      </c>
      <c r="G2604">
        <v>-488.99810000000002</v>
      </c>
      <c r="H2604" s="1">
        <v>-1.3476089999999899E-6</v>
      </c>
      <c r="I2604">
        <v>242.35980000000001</v>
      </c>
      <c r="J2604">
        <v>-493.47070000000002</v>
      </c>
      <c r="K2604">
        <v>1.1116140000000001</v>
      </c>
      <c r="L2604">
        <v>253.09880000000001</v>
      </c>
      <c r="M2604">
        <v>0.10616440000000001</v>
      </c>
      <c r="N2604">
        <v>0</v>
      </c>
      <c r="O2604">
        <v>-0.99427120000000002</v>
      </c>
      <c r="P2604">
        <v>0.23121430000000001</v>
      </c>
      <c r="Q2604">
        <v>-7.7862340000000004E-3</v>
      </c>
      <c r="R2604">
        <v>-0.97287159999999995</v>
      </c>
      <c r="S2604">
        <v>1.1449579999999999</v>
      </c>
      <c r="T2604">
        <v>-0.28222940000000002</v>
      </c>
      <c r="U2604">
        <v>-2.810486</v>
      </c>
      <c r="V2604">
        <v>-0.12663679999999999</v>
      </c>
      <c r="W2604">
        <v>3.877456E-3</v>
      </c>
      <c r="X2604">
        <v>0.99194159999999998</v>
      </c>
      <c r="Y2604">
        <v>-0.27517079999999999</v>
      </c>
      <c r="Z2604">
        <v>9.3460870000000001E-2</v>
      </c>
      <c r="AA2604">
        <v>0.95684170000000002</v>
      </c>
      <c r="AB2604">
        <v>31</v>
      </c>
      <c r="AC2604">
        <v>4.4725999999999999</v>
      </c>
      <c r="AD2604">
        <v>-1.1116153476089901</v>
      </c>
      <c r="AE2604">
        <v>-10.739000000000001</v>
      </c>
      <c r="AF2604">
        <v>-3.2772084736004001</v>
      </c>
      <c r="AG2604">
        <v>-1.1116153476089901</v>
      </c>
      <c r="AH2604">
        <v>11.0522504706751</v>
      </c>
      <c r="AI2604">
        <v>95.507905851944301</v>
      </c>
      <c r="AJ2604">
        <v>106.516120464285</v>
      </c>
      <c r="AK2604">
        <v>11.581365399943801</v>
      </c>
      <c r="AL2604">
        <v>89.777837584991005</v>
      </c>
      <c r="AM2604">
        <v>97.275343549150094</v>
      </c>
      <c r="AN2604">
        <v>1.00000002579491</v>
      </c>
    </row>
    <row r="2605" spans="1:40" x14ac:dyDescent="0.25">
      <c r="A2605" t="str">
        <f>"20190312151548159"</f>
        <v>20190312151548159</v>
      </c>
      <c r="B2605" t="str">
        <f>"1552374948149836"</f>
        <v>1552374948149836</v>
      </c>
      <c r="C2605" t="s">
        <v>40</v>
      </c>
      <c r="D2605">
        <v>4.7587529999999996</v>
      </c>
      <c r="E2605">
        <v>0.44225520000000001</v>
      </c>
      <c r="F2605" t="s">
        <v>43</v>
      </c>
      <c r="G2605">
        <v>-489.0831</v>
      </c>
      <c r="H2605" s="1">
        <v>-1.357657E-6</v>
      </c>
      <c r="I2605">
        <v>242.41839999999999</v>
      </c>
      <c r="J2605">
        <v>-493.43599999999998</v>
      </c>
      <c r="K2605">
        <v>1.1115660000000001</v>
      </c>
      <c r="L2605">
        <v>252.79660000000001</v>
      </c>
      <c r="M2605">
        <v>0.10842739999999999</v>
      </c>
      <c r="N2605">
        <v>0</v>
      </c>
      <c r="O2605">
        <v>-0.99402710000000005</v>
      </c>
      <c r="P2605">
        <v>0.23335739999999999</v>
      </c>
      <c r="Q2605">
        <v>-7.6212869999999896E-3</v>
      </c>
      <c r="R2605">
        <v>-0.97236129999999998</v>
      </c>
      <c r="S2605">
        <v>1.1532290000000001</v>
      </c>
      <c r="T2605">
        <v>-0.29217739999999998</v>
      </c>
      <c r="U2605">
        <v>-2.8072509999999999</v>
      </c>
      <c r="V2605">
        <v>-0.12656480000000001</v>
      </c>
      <c r="W2605">
        <v>4.0481620000000001E-3</v>
      </c>
      <c r="X2605">
        <v>0.99195009999999995</v>
      </c>
      <c r="Y2605">
        <v>-0.27566400000000002</v>
      </c>
      <c r="Z2605">
        <v>9.6731419999999999E-2</v>
      </c>
      <c r="AA2605">
        <v>0.95637459999999996</v>
      </c>
      <c r="AB2605">
        <v>31</v>
      </c>
      <c r="AC2605">
        <v>4.3528999999999698</v>
      </c>
      <c r="AD2605">
        <v>-1.111567357657</v>
      </c>
      <c r="AE2605">
        <v>-10.3782</v>
      </c>
      <c r="AF2605">
        <v>-3.17093121786163</v>
      </c>
      <c r="AG2605">
        <v>-1.111567357657</v>
      </c>
      <c r="AH2605">
        <v>10.684778958321401</v>
      </c>
      <c r="AI2605">
        <v>95.695476874509794</v>
      </c>
      <c r="AJ2605">
        <v>106.529355080432</v>
      </c>
      <c r="AK2605">
        <v>11.2006646306014</v>
      </c>
      <c r="AL2605">
        <v>89.768056773415495</v>
      </c>
      <c r="AM2605">
        <v>97.271189757320698</v>
      </c>
      <c r="AN2605">
        <v>1.0000000185523099</v>
      </c>
    </row>
    <row r="2606" spans="1:40" x14ac:dyDescent="0.25">
      <c r="A2606" t="str">
        <f>"20190312151548181"</f>
        <v>20190312151548181</v>
      </c>
      <c r="B2606" t="str">
        <f>"1552374948170332"</f>
        <v>1552374948170332</v>
      </c>
      <c r="C2606" t="s">
        <v>40</v>
      </c>
      <c r="D2606">
        <v>4.9564309999999896</v>
      </c>
      <c r="E2606">
        <v>0.44262550000000001</v>
      </c>
      <c r="F2606" t="s">
        <v>43</v>
      </c>
      <c r="G2606">
        <v>-489.00279999999998</v>
      </c>
      <c r="H2606" s="1">
        <v>-1.214292E-6</v>
      </c>
      <c r="I2606">
        <v>242.05099999999999</v>
      </c>
      <c r="J2606">
        <v>-493.40050000000002</v>
      </c>
      <c r="K2606">
        <v>1.111521</v>
      </c>
      <c r="L2606">
        <v>252.49430000000001</v>
      </c>
      <c r="M2606">
        <v>0.1106601</v>
      </c>
      <c r="N2606">
        <v>0</v>
      </c>
      <c r="O2606">
        <v>-0.99378109999999997</v>
      </c>
      <c r="P2606">
        <v>0.23565079999999999</v>
      </c>
      <c r="Q2606">
        <v>-7.2791890000000001E-3</v>
      </c>
      <c r="R2606">
        <v>-0.97181059999999997</v>
      </c>
      <c r="S2606">
        <v>1.157349</v>
      </c>
      <c r="T2606">
        <v>-0.29018949999999999</v>
      </c>
      <c r="U2606">
        <v>-2.8052830000000002</v>
      </c>
      <c r="V2606">
        <v>-0.1266777</v>
      </c>
      <c r="W2606">
        <v>4.3943430000000002E-3</v>
      </c>
      <c r="X2606">
        <v>0.99193419999999999</v>
      </c>
      <c r="Y2606">
        <v>-0.27496589999999999</v>
      </c>
      <c r="Z2606">
        <v>9.6089809999999998E-2</v>
      </c>
      <c r="AA2606">
        <v>0.95664020000000005</v>
      </c>
      <c r="AB2606">
        <v>31</v>
      </c>
      <c r="AC2606">
        <v>4.3977000000000404</v>
      </c>
      <c r="AD2606">
        <v>-1.111522214292</v>
      </c>
      <c r="AE2606">
        <v>-10.443300000000001</v>
      </c>
      <c r="AF2606">
        <v>-3.1843019980099898</v>
      </c>
      <c r="AG2606">
        <v>-1.111522214292</v>
      </c>
      <c r="AH2606">
        <v>10.762283627151</v>
      </c>
      <c r="AI2606">
        <v>95.6558690058514</v>
      </c>
      <c r="AJ2606">
        <v>106.482223924484</v>
      </c>
      <c r="AK2606">
        <v>11.278386840263799</v>
      </c>
      <c r="AL2606">
        <v>89.7482218829347</v>
      </c>
      <c r="AM2606">
        <v>97.277721795850894</v>
      </c>
      <c r="AN2606">
        <v>1.00000000352866</v>
      </c>
    </row>
    <row r="2607" spans="1:40" x14ac:dyDescent="0.25">
      <c r="A2607" t="str">
        <f>"20190312151548203"</f>
        <v>20190312151548203</v>
      </c>
      <c r="B2607" t="str">
        <f>"1552374948200588"</f>
        <v>1552374948200588</v>
      </c>
      <c r="C2607" t="s">
        <v>40</v>
      </c>
      <c r="D2607">
        <v>4.8309300000000004</v>
      </c>
      <c r="E2607">
        <v>0.44313560000000002</v>
      </c>
      <c r="F2607" t="s">
        <v>43</v>
      </c>
      <c r="G2607">
        <v>-488.90800000000002</v>
      </c>
      <c r="H2607" s="1">
        <v>-1.056899E-6</v>
      </c>
      <c r="I2607">
        <v>241.64490000000001</v>
      </c>
      <c r="J2607">
        <v>-493.36509999999998</v>
      </c>
      <c r="K2607">
        <v>1.111477</v>
      </c>
      <c r="L2607">
        <v>252.19659999999999</v>
      </c>
      <c r="M2607">
        <v>0.11282440000000001</v>
      </c>
      <c r="N2607">
        <v>0</v>
      </c>
      <c r="O2607">
        <v>-0.99353800000000003</v>
      </c>
      <c r="P2607">
        <v>0.23829539999999999</v>
      </c>
      <c r="Q2607">
        <v>-7.1417690000000001E-3</v>
      </c>
      <c r="R2607">
        <v>-0.97116670000000005</v>
      </c>
      <c r="S2607">
        <v>1.160828</v>
      </c>
      <c r="T2607">
        <v>-0.28720639999999997</v>
      </c>
      <c r="U2607">
        <v>-2.803391</v>
      </c>
      <c r="V2607">
        <v>-0.12721679999999999</v>
      </c>
      <c r="W2607">
        <v>4.5331010000000003E-3</v>
      </c>
      <c r="X2607">
        <v>0.99186459999999999</v>
      </c>
      <c r="Y2607">
        <v>-0.27414939999999999</v>
      </c>
      <c r="Z2607">
        <v>9.5124959999999995E-2</v>
      </c>
      <c r="AA2607">
        <v>0.95697089999999996</v>
      </c>
      <c r="AB2607">
        <v>31</v>
      </c>
      <c r="AC2607">
        <v>4.4570999999999596</v>
      </c>
      <c r="AD2607">
        <v>-1.1114780568989999</v>
      </c>
      <c r="AE2607">
        <v>-10.551699999999901</v>
      </c>
      <c r="AF2607">
        <v>-3.2078522585226898</v>
      </c>
      <c r="AG2607">
        <v>-1.1114780568989999</v>
      </c>
      <c r="AH2607">
        <v>10.884736716425801</v>
      </c>
      <c r="AI2607">
        <v>95.5941841041478</v>
      </c>
      <c r="AJ2607">
        <v>106.42082817185</v>
      </c>
      <c r="AK2607">
        <v>11.401894271101799</v>
      </c>
      <c r="AL2607">
        <v>89.740271561287202</v>
      </c>
      <c r="AM2607">
        <v>97.308866597880296</v>
      </c>
      <c r="AN2607">
        <v>1.00000002397003</v>
      </c>
    </row>
    <row r="2608" spans="1:40" x14ac:dyDescent="0.25">
      <c r="A2608" t="str">
        <f>"20190312151548216"</f>
        <v>20190312151548216</v>
      </c>
      <c r="B2608" t="str">
        <f>"1552374948210349"</f>
        <v>1552374948210349</v>
      </c>
      <c r="C2608" t="s">
        <v>40</v>
      </c>
      <c r="D2608">
        <v>5.0176109999999996</v>
      </c>
      <c r="E2608">
        <v>0.44330029999999998</v>
      </c>
      <c r="F2608" t="s">
        <v>43</v>
      </c>
      <c r="G2608">
        <v>-488.75110000000001</v>
      </c>
      <c r="H2608" s="1">
        <v>-8.50475E-7</v>
      </c>
      <c r="I2608">
        <v>241.09880000000001</v>
      </c>
      <c r="J2608">
        <v>-493.34249999999997</v>
      </c>
      <c r="K2608">
        <v>1.1114489999999999</v>
      </c>
      <c r="L2608">
        <v>252.00989999999999</v>
      </c>
      <c r="M2608">
        <v>0.11416320000000001</v>
      </c>
      <c r="N2608">
        <v>0</v>
      </c>
      <c r="O2608">
        <v>-0.99338510000000002</v>
      </c>
      <c r="P2608">
        <v>0.240011</v>
      </c>
      <c r="Q2608">
        <v>-7.0562569999999998E-3</v>
      </c>
      <c r="R2608">
        <v>-0.97074459999999996</v>
      </c>
      <c r="S2608">
        <v>1.164642</v>
      </c>
      <c r="T2608">
        <v>-0.28055409999999997</v>
      </c>
      <c r="U2608">
        <v>-2.8012540000000001</v>
      </c>
      <c r="V2608">
        <v>-0.12763250000000001</v>
      </c>
      <c r="W2608">
        <v>4.6194069999999999E-3</v>
      </c>
      <c r="X2608">
        <v>0.99181079999999999</v>
      </c>
      <c r="Y2608">
        <v>-0.27430209999999999</v>
      </c>
      <c r="Z2608">
        <v>9.2959890000000003E-2</v>
      </c>
      <c r="AA2608">
        <v>0.95713990000000004</v>
      </c>
      <c r="AB2608">
        <v>31</v>
      </c>
      <c r="AC2608">
        <v>4.5913999999999602</v>
      </c>
      <c r="AD2608">
        <v>-1.1114498504749999</v>
      </c>
      <c r="AE2608">
        <v>-10.9110999999999</v>
      </c>
      <c r="AF2608">
        <v>-3.2866625391891802</v>
      </c>
      <c r="AG2608">
        <v>-1.1114498504749999</v>
      </c>
      <c r="AH2608">
        <v>11.264659537936099</v>
      </c>
      <c r="AI2608">
        <v>95.410783480474706</v>
      </c>
      <c r="AJ2608">
        <v>106.265533574689</v>
      </c>
      <c r="AK2608">
        <v>11.786858187076099</v>
      </c>
      <c r="AL2608">
        <v>89.735326541273196</v>
      </c>
      <c r="AM2608">
        <v>97.332883335522894</v>
      </c>
      <c r="AN2608">
        <v>1.0000000284869599</v>
      </c>
    </row>
    <row r="2609" spans="1:40" x14ac:dyDescent="0.25">
      <c r="A2609" t="str">
        <f>"20190312151548228"</f>
        <v>20190312151548228</v>
      </c>
      <c r="B2609" t="str">
        <f>"1552374948220108"</f>
        <v>1552374948220108</v>
      </c>
      <c r="C2609" t="s">
        <v>40</v>
      </c>
      <c r="D2609">
        <v>4.8086029999999997</v>
      </c>
      <c r="E2609">
        <v>0.44346059999999998</v>
      </c>
      <c r="F2609" t="s">
        <v>43</v>
      </c>
      <c r="G2609">
        <v>-488.68770000000001</v>
      </c>
      <c r="H2609" s="1">
        <v>-7.6009939999999998E-7</v>
      </c>
      <c r="I2609">
        <v>240.85560000000001</v>
      </c>
      <c r="J2609">
        <v>-493.32100000000003</v>
      </c>
      <c r="K2609">
        <v>1.111421</v>
      </c>
      <c r="L2609">
        <v>251.8339</v>
      </c>
      <c r="M2609">
        <v>0.11540889999999999</v>
      </c>
      <c r="N2609">
        <v>0</v>
      </c>
      <c r="O2609">
        <v>-0.99324109999999999</v>
      </c>
      <c r="P2609">
        <v>0.24184649999999999</v>
      </c>
      <c r="Q2609">
        <v>-7.1424979999999997E-3</v>
      </c>
      <c r="R2609">
        <v>-0.97028829999999999</v>
      </c>
      <c r="S2609">
        <v>1.168274</v>
      </c>
      <c r="T2609">
        <v>-0.27895389999999998</v>
      </c>
      <c r="U2609">
        <v>-2.7995299999999999</v>
      </c>
      <c r="V2609">
        <v>-0.1282643</v>
      </c>
      <c r="W2609">
        <v>4.5331010000000003E-3</v>
      </c>
      <c r="X2609">
        <v>0.99172969999999905</v>
      </c>
      <c r="Y2609">
        <v>-0.27438210000000002</v>
      </c>
      <c r="Z2609">
        <v>9.2443289999999997E-2</v>
      </c>
      <c r="AA2609">
        <v>0.95716699999999999</v>
      </c>
      <c r="AB2609">
        <v>31</v>
      </c>
      <c r="AC2609">
        <v>4.6332999999999602</v>
      </c>
      <c r="AD2609">
        <v>-1.1114217600993901</v>
      </c>
      <c r="AE2609">
        <v>-10.9782999999999</v>
      </c>
      <c r="AF2609">
        <v>-3.3064804586182701</v>
      </c>
      <c r="AG2609">
        <v>-1.1114217600993901</v>
      </c>
      <c r="AH2609">
        <v>11.341035176108401</v>
      </c>
      <c r="AI2609">
        <v>95.374736170853893</v>
      </c>
      <c r="AJ2609">
        <v>106.254051769876</v>
      </c>
      <c r="AK2609">
        <v>11.8653761094107</v>
      </c>
      <c r="AL2609">
        <v>89.740271565128694</v>
      </c>
      <c r="AM2609">
        <v>97.369380197063805</v>
      </c>
      <c r="AN2609">
        <v>1.00000003876062</v>
      </c>
    </row>
    <row r="2610" spans="1:40" x14ac:dyDescent="0.25">
      <c r="A2610" t="str">
        <f>"20190312151548248"</f>
        <v>20190312151548248</v>
      </c>
      <c r="B2610" t="str">
        <f>"1552374948240604"</f>
        <v>1552374948240604</v>
      </c>
      <c r="C2610" t="s">
        <v>40</v>
      </c>
      <c r="D2610">
        <v>4.7704719999999998</v>
      </c>
      <c r="E2610">
        <v>0.44375609999999999</v>
      </c>
      <c r="F2610" t="s">
        <v>43</v>
      </c>
      <c r="G2610">
        <v>-488.63369999999998</v>
      </c>
      <c r="H2610" s="1">
        <v>-7.0266619999999901E-7</v>
      </c>
      <c r="I2610">
        <v>240.6446</v>
      </c>
      <c r="J2610">
        <v>-493.28910000000002</v>
      </c>
      <c r="K2610">
        <v>1.1113850000000001</v>
      </c>
      <c r="L2610">
        <v>251.57560000000001</v>
      </c>
      <c r="M2610">
        <v>0.1172105</v>
      </c>
      <c r="N2610">
        <v>0</v>
      </c>
      <c r="O2610">
        <v>-0.99303030000000003</v>
      </c>
      <c r="P2610">
        <v>0.24392610000000001</v>
      </c>
      <c r="Q2610">
        <v>-7.73919E-3</v>
      </c>
      <c r="R2610">
        <v>-0.96976309999999999</v>
      </c>
      <c r="S2610">
        <v>1.171997</v>
      </c>
      <c r="T2610">
        <v>-0.27789330000000001</v>
      </c>
      <c r="U2610">
        <v>-2.797714</v>
      </c>
      <c r="V2610">
        <v>-0.1285886</v>
      </c>
      <c r="W2610">
        <v>3.9399220000000002E-3</v>
      </c>
      <c r="X2610">
        <v>0.99169019999999997</v>
      </c>
      <c r="Y2610">
        <v>-0.27395540000000002</v>
      </c>
      <c r="Z2610">
        <v>9.210335E-2</v>
      </c>
      <c r="AA2610">
        <v>0.95732200000000001</v>
      </c>
      <c r="AB2610">
        <v>31</v>
      </c>
      <c r="AC2610">
        <v>4.6554000000000402</v>
      </c>
      <c r="AD2610">
        <v>-1.1113857026662</v>
      </c>
      <c r="AE2610">
        <v>-10.930999999999999</v>
      </c>
      <c r="AF2610">
        <v>-3.3129907247225701</v>
      </c>
      <c r="AG2610">
        <v>-1.1113857026662</v>
      </c>
      <c r="AH2610">
        <v>11.302446475816</v>
      </c>
      <c r="AI2610">
        <v>95.390536227107901</v>
      </c>
      <c r="AJ2610">
        <v>106.336998428348</v>
      </c>
      <c r="AK2610">
        <v>11.8303162282703</v>
      </c>
      <c r="AL2610">
        <v>89.774258514186499</v>
      </c>
      <c r="AM2610">
        <v>97.388098170529105</v>
      </c>
      <c r="AN2610">
        <v>1.0000000019056801</v>
      </c>
    </row>
    <row r="2611" spans="1:40" x14ac:dyDescent="0.25">
      <c r="A2611" t="str">
        <f>"20190312151548269"</f>
        <v>20190312151548269</v>
      </c>
      <c r="B2611" t="str">
        <f>"1552374948260124"</f>
        <v>1552374948260124</v>
      </c>
      <c r="C2611" t="s">
        <v>40</v>
      </c>
      <c r="D2611">
        <v>4.9717650000000004</v>
      </c>
      <c r="E2611">
        <v>0.44405159999999999</v>
      </c>
      <c r="F2611" t="s">
        <v>43</v>
      </c>
      <c r="G2611">
        <v>-488.5772</v>
      </c>
      <c r="H2611" s="1">
        <v>-6.2450109999999998E-7</v>
      </c>
      <c r="I2611">
        <v>240.3707</v>
      </c>
      <c r="J2611">
        <v>-493.2509</v>
      </c>
      <c r="K2611">
        <v>1.1113470000000001</v>
      </c>
      <c r="L2611">
        <v>251.27070000000001</v>
      </c>
      <c r="M2611">
        <v>0.1193022</v>
      </c>
      <c r="N2611">
        <v>0</v>
      </c>
      <c r="O2611">
        <v>-0.99278120000000003</v>
      </c>
      <c r="P2611">
        <v>0.2468226</v>
      </c>
      <c r="Q2611">
        <v>-7.0302150000000002E-3</v>
      </c>
      <c r="R2611">
        <v>-0.96903530000000004</v>
      </c>
      <c r="S2611">
        <v>1.175629</v>
      </c>
      <c r="T2611">
        <v>-0.2772926</v>
      </c>
      <c r="U2611">
        <v>-2.795639</v>
      </c>
      <c r="V2611">
        <v>-0.12946440000000001</v>
      </c>
      <c r="W2611">
        <v>4.6499250000000001E-3</v>
      </c>
      <c r="X2611">
        <v>0.99157320000000004</v>
      </c>
      <c r="Y2611">
        <v>-0.27324690000000001</v>
      </c>
      <c r="Z2611">
        <v>9.1921139999999998E-2</v>
      </c>
      <c r="AA2611">
        <v>0.957542</v>
      </c>
      <c r="AB2611">
        <v>31</v>
      </c>
      <c r="AC2611">
        <v>4.6736999999999904</v>
      </c>
      <c r="AD2611">
        <v>-1.11134762450109</v>
      </c>
      <c r="AE2611">
        <v>-10.9</v>
      </c>
      <c r="AF2611">
        <v>-3.31075008302208</v>
      </c>
      <c r="AG2611">
        <v>-1.11134762450109</v>
      </c>
      <c r="AH2611">
        <v>11.280708229708999</v>
      </c>
      <c r="AI2611">
        <v>95.400147645532599</v>
      </c>
      <c r="AJ2611">
        <v>106.35631957263899</v>
      </c>
      <c r="AK2611">
        <v>11.808917724268399</v>
      </c>
      <c r="AL2611">
        <v>89.733577970830297</v>
      </c>
      <c r="AM2611">
        <v>97.438723783879297</v>
      </c>
      <c r="AN2611">
        <v>1.0000000318140501</v>
      </c>
    </row>
    <row r="2612" spans="1:40" x14ac:dyDescent="0.25">
      <c r="A2612" t="str">
        <f>"20190312151548294"</f>
        <v>20190312151548294</v>
      </c>
      <c r="B2612" t="str">
        <f>"1552374948290380"</f>
        <v>1552374948290380</v>
      </c>
      <c r="C2612" t="s">
        <v>40</v>
      </c>
      <c r="D2612">
        <v>4.7759609999999997</v>
      </c>
      <c r="E2612">
        <v>0.44401420000000003</v>
      </c>
      <c r="F2612" t="s">
        <v>43</v>
      </c>
      <c r="G2612">
        <v>-488.45080000000002</v>
      </c>
      <c r="H2612" s="1">
        <v>-5.0721519999999996E-7</v>
      </c>
      <c r="I2612">
        <v>239.9273</v>
      </c>
      <c r="J2612">
        <v>-493.20940000000002</v>
      </c>
      <c r="K2612">
        <v>1.1113170000000001</v>
      </c>
      <c r="L2612">
        <v>250.94579999999999</v>
      </c>
      <c r="M2612">
        <v>0.12149600000000001</v>
      </c>
      <c r="N2612">
        <v>0</v>
      </c>
      <c r="O2612">
        <v>-0.99251520000000004</v>
      </c>
      <c r="P2612">
        <v>0.25023250000000002</v>
      </c>
      <c r="Q2612">
        <v>-6.4439469999999898E-3</v>
      </c>
      <c r="R2612">
        <v>-0.96816449999999998</v>
      </c>
      <c r="S2612">
        <v>1.181824</v>
      </c>
      <c r="T2612">
        <v>-0.27362509999999901</v>
      </c>
      <c r="U2612">
        <v>-2.7928769999999998</v>
      </c>
      <c r="V2612">
        <v>-0.1307651</v>
      </c>
      <c r="W2612">
        <v>5.2335669999999997E-3</v>
      </c>
      <c r="X2612">
        <v>0.99139960000000005</v>
      </c>
      <c r="Y2612">
        <v>-0.27330579999999999</v>
      </c>
      <c r="Z2612">
        <v>9.0723219999999993E-2</v>
      </c>
      <c r="AA2612">
        <v>0.95763940000000003</v>
      </c>
      <c r="AB2612">
        <v>31</v>
      </c>
      <c r="AC2612">
        <v>4.7586000000000004</v>
      </c>
      <c r="AD2612">
        <v>-1.1113175072152</v>
      </c>
      <c r="AE2612">
        <v>-11.0184999999999</v>
      </c>
      <c r="AF2612">
        <v>-3.3557662331635698</v>
      </c>
      <c r="AG2612">
        <v>-1.1113175072152</v>
      </c>
      <c r="AH2612">
        <v>11.4171713759585</v>
      </c>
      <c r="AI2612">
        <v>95.335209842018102</v>
      </c>
      <c r="AJ2612">
        <v>106.37926127989699</v>
      </c>
      <c r="AK2612">
        <v>11.951903440100599</v>
      </c>
      <c r="AL2612">
        <v>89.700137340473802</v>
      </c>
      <c r="AM2612">
        <v>97.513909983127704</v>
      </c>
      <c r="AN2612">
        <v>1.0000000342408499</v>
      </c>
    </row>
    <row r="2613" spans="1:40" x14ac:dyDescent="0.25">
      <c r="A2613" t="str">
        <f>"20190312151548314"</f>
        <v>20190312151548314</v>
      </c>
      <c r="B2613" t="str">
        <f>"1552374948309900"</f>
        <v>1552374948309900</v>
      </c>
      <c r="C2613" t="s">
        <v>40</v>
      </c>
      <c r="D2613">
        <v>4.7897650000000001</v>
      </c>
      <c r="E2613">
        <v>0.4434881</v>
      </c>
      <c r="F2613" t="s">
        <v>43</v>
      </c>
      <c r="G2613">
        <v>-488.36290000000002</v>
      </c>
      <c r="H2613" s="1">
        <v>-4.568707E-6</v>
      </c>
      <c r="I2613">
        <v>239.60560000000001</v>
      </c>
      <c r="J2613">
        <v>-493.17259999999999</v>
      </c>
      <c r="K2613">
        <v>1.1113010000000001</v>
      </c>
      <c r="L2613">
        <v>250.6617</v>
      </c>
      <c r="M2613">
        <v>0.1233923</v>
      </c>
      <c r="N2613">
        <v>0</v>
      </c>
      <c r="O2613">
        <v>-0.99228110000000003</v>
      </c>
      <c r="P2613">
        <v>0.25287920000000003</v>
      </c>
      <c r="Q2613">
        <v>-5.6758470000000004E-3</v>
      </c>
      <c r="R2613">
        <v>-0.96748129999999999</v>
      </c>
      <c r="S2613">
        <v>1.191864</v>
      </c>
      <c r="T2613">
        <v>-0.2732985</v>
      </c>
      <c r="U2613">
        <v>-2.7888030000000001</v>
      </c>
      <c r="V2613">
        <v>-0.1315847</v>
      </c>
      <c r="W2613">
        <v>5.9984010000000004E-3</v>
      </c>
      <c r="X2613">
        <v>0.99128680000000002</v>
      </c>
      <c r="Y2613">
        <v>-0.27489259999999999</v>
      </c>
      <c r="Z2613">
        <v>9.0622629999999996E-2</v>
      </c>
      <c r="AA2613">
        <v>0.95719460000000001</v>
      </c>
      <c r="AB2613">
        <v>31</v>
      </c>
      <c r="AC2613">
        <v>4.8096999999999603</v>
      </c>
      <c r="AD2613">
        <v>-1.1113055687069999</v>
      </c>
      <c r="AE2613">
        <v>-11.056099999999899</v>
      </c>
      <c r="AF2613">
        <v>-3.3798829153349401</v>
      </c>
      <c r="AG2613">
        <v>-1.1113055687069999</v>
      </c>
      <c r="AH2613">
        <v>11.467697057201701</v>
      </c>
      <c r="AI2613">
        <v>95.3106256246123</v>
      </c>
      <c r="AJ2613">
        <v>106.42186616462401</v>
      </c>
      <c r="AK2613">
        <v>12.006943174020799</v>
      </c>
      <c r="AL2613">
        <v>89.656314883673005</v>
      </c>
      <c r="AM2613">
        <v>97.561312367566998</v>
      </c>
      <c r="AN2613">
        <v>1.00000001697144</v>
      </c>
    </row>
    <row r="2614" spans="1:40" x14ac:dyDescent="0.25">
      <c r="A2614" t="str">
        <f>"20190312151548338"</f>
        <v>20190312151548338</v>
      </c>
      <c r="B2614" t="str">
        <f>"1552374948330395"</f>
        <v>1552374948330395</v>
      </c>
      <c r="C2614" t="s">
        <v>40</v>
      </c>
      <c r="D2614">
        <v>4.7244659999999996</v>
      </c>
      <c r="E2614">
        <v>0.44295570000000001</v>
      </c>
      <c r="F2614" t="s">
        <v>43</v>
      </c>
      <c r="G2614">
        <v>-488.27289999999999</v>
      </c>
      <c r="H2614" s="1">
        <v>-4.4653710000000003E-6</v>
      </c>
      <c r="I2614">
        <v>239.32749999999999</v>
      </c>
      <c r="J2614">
        <v>-493.13049999999998</v>
      </c>
      <c r="K2614">
        <v>1.1112850000000001</v>
      </c>
      <c r="L2614">
        <v>250.34190000000001</v>
      </c>
      <c r="M2614">
        <v>0.12551039999999999</v>
      </c>
      <c r="N2614">
        <v>0</v>
      </c>
      <c r="O2614">
        <v>-0.9920158</v>
      </c>
      <c r="P2614">
        <v>0.25574960000000002</v>
      </c>
      <c r="Q2614">
        <v>-5.9490740000000004E-3</v>
      </c>
      <c r="R2614">
        <v>-0.96672519999999995</v>
      </c>
      <c r="S2614">
        <v>1.2037659999999999</v>
      </c>
      <c r="T2614">
        <v>-0.27302890000000002</v>
      </c>
      <c r="U2614">
        <v>-2.7846069999999998</v>
      </c>
      <c r="V2614">
        <v>-0.1324092</v>
      </c>
      <c r="W2614">
        <v>5.7208869999999896E-3</v>
      </c>
      <c r="X2614">
        <v>0.99117860000000002</v>
      </c>
      <c r="Y2614">
        <v>-0.27681749999999999</v>
      </c>
      <c r="Z2614">
        <v>9.0523389999999995E-2</v>
      </c>
      <c r="AA2614">
        <v>0.95664910000000003</v>
      </c>
      <c r="AB2614">
        <v>31</v>
      </c>
      <c r="AC2614">
        <v>4.8575999999999899</v>
      </c>
      <c r="AD2614">
        <v>-1.1112894653709999</v>
      </c>
      <c r="AE2614">
        <v>-11.0144</v>
      </c>
      <c r="AF2614">
        <v>-3.4076150315548599</v>
      </c>
      <c r="AG2614">
        <v>-1.1112894653709999</v>
      </c>
      <c r="AH2614">
        <v>11.4395251134607</v>
      </c>
      <c r="AI2614">
        <v>95.319012573680098</v>
      </c>
      <c r="AJ2614">
        <v>106.587784392524</v>
      </c>
      <c r="AK2614">
        <v>11.987891361729201</v>
      </c>
      <c r="AL2614">
        <v>89.672215522303404</v>
      </c>
      <c r="AM2614">
        <v>97.608958512546096</v>
      </c>
      <c r="AN2614">
        <v>0.99999997094533299</v>
      </c>
    </row>
    <row r="2615" spans="1:40" x14ac:dyDescent="0.25">
      <c r="A2615" t="str">
        <f>"20190312151548360"</f>
        <v>20190312151548360</v>
      </c>
      <c r="B2615" t="str">
        <f>"1552374948349916"</f>
        <v>1552374948349916</v>
      </c>
      <c r="C2615" t="s">
        <v>40</v>
      </c>
      <c r="D2615">
        <v>4.7853709999999996</v>
      </c>
      <c r="E2615">
        <v>0.44270130000000002</v>
      </c>
      <c r="F2615" t="s">
        <v>43</v>
      </c>
      <c r="G2615">
        <v>-488.24110000000002</v>
      </c>
      <c r="H2615" s="1">
        <v>-4.4007309999999999E-6</v>
      </c>
      <c r="I2615">
        <v>239.16370000000001</v>
      </c>
      <c r="J2615">
        <v>-493.0881</v>
      </c>
      <c r="K2615">
        <v>1.111281</v>
      </c>
      <c r="L2615">
        <v>250.0248</v>
      </c>
      <c r="M2615">
        <v>0.12760379999999999</v>
      </c>
      <c r="N2615">
        <v>0</v>
      </c>
      <c r="O2615">
        <v>-0.99174879999999999</v>
      </c>
      <c r="P2615">
        <v>0.25912030000000003</v>
      </c>
      <c r="Q2615">
        <v>-6.2001249999999999E-3</v>
      </c>
      <c r="R2615">
        <v>-0.96582539999999995</v>
      </c>
      <c r="S2615">
        <v>1.2159420000000001</v>
      </c>
      <c r="T2615">
        <v>-0.27636440000000001</v>
      </c>
      <c r="U2615">
        <v>-2.7798919999999998</v>
      </c>
      <c r="V2615">
        <v>-0.133773799999999</v>
      </c>
      <c r="W2615">
        <v>5.4614919999999897E-3</v>
      </c>
      <c r="X2615">
        <v>0.99099680000000001</v>
      </c>
      <c r="Y2615">
        <v>-0.27886319999999998</v>
      </c>
      <c r="Z2615">
        <v>9.1619850000000003E-2</v>
      </c>
      <c r="AA2615">
        <v>0.95595039999999998</v>
      </c>
      <c r="AB2615">
        <v>31</v>
      </c>
      <c r="AC2615">
        <v>4.84699999999998</v>
      </c>
      <c r="AD2615">
        <v>-1.111285400731</v>
      </c>
      <c r="AE2615">
        <v>-10.861099999999899</v>
      </c>
      <c r="AF2615">
        <v>-3.3917373865721898</v>
      </c>
      <c r="AG2615">
        <v>-1.111285400731</v>
      </c>
      <c r="AH2615">
        <v>11.2922575787964</v>
      </c>
      <c r="AI2615">
        <v>95.384311083593403</v>
      </c>
      <c r="AJ2615">
        <v>106.71814200062801</v>
      </c>
      <c r="AK2615">
        <v>11.842884740097499</v>
      </c>
      <c r="AL2615">
        <v>89.687077989620207</v>
      </c>
      <c r="AM2615">
        <v>97.687836346163294</v>
      </c>
      <c r="AN2615">
        <v>0.99999995753577198</v>
      </c>
    </row>
    <row r="2616" spans="1:40" x14ac:dyDescent="0.25">
      <c r="A2616" t="str">
        <f>"20190312151548381"</f>
        <v>20190312151548381</v>
      </c>
      <c r="B2616" t="str">
        <f>"1552374948370412"</f>
        <v>1552374948370412</v>
      </c>
      <c r="C2616" t="s">
        <v>40</v>
      </c>
      <c r="D2616">
        <v>4.7108509999999999</v>
      </c>
      <c r="E2616">
        <v>0.42844759999999998</v>
      </c>
      <c r="F2616" t="s">
        <v>43</v>
      </c>
      <c r="G2616">
        <v>-488.19319999999999</v>
      </c>
      <c r="H2616" s="1">
        <v>-4.3206499999999999E-6</v>
      </c>
      <c r="I2616">
        <v>238.9572</v>
      </c>
      <c r="J2616">
        <v>-493.04950000000002</v>
      </c>
      <c r="K2616">
        <v>1.1112770000000001</v>
      </c>
      <c r="L2616">
        <v>249.7405</v>
      </c>
      <c r="M2616">
        <v>0.12947819999999999</v>
      </c>
      <c r="N2616">
        <v>0</v>
      </c>
      <c r="O2616">
        <v>-0.99150570000000005</v>
      </c>
      <c r="P2616">
        <v>0.26113150000000002</v>
      </c>
      <c r="Q2616">
        <v>-5.8299459999999999E-3</v>
      </c>
      <c r="R2616">
        <v>-0.96528559999999997</v>
      </c>
      <c r="S2616">
        <v>1.2273559999999999</v>
      </c>
      <c r="T2616">
        <v>-0.27864280000000002</v>
      </c>
      <c r="U2616">
        <v>-2.7750699999999999</v>
      </c>
      <c r="V2616">
        <v>-0.1339658</v>
      </c>
      <c r="W2616">
        <v>5.8296019999999997E-3</v>
      </c>
      <c r="X2616">
        <v>0.99096879999999998</v>
      </c>
      <c r="Y2616">
        <v>-0.28092289999999998</v>
      </c>
      <c r="Z2616">
        <v>9.2378810000000006E-2</v>
      </c>
      <c r="AA2616">
        <v>0.95527399999999996</v>
      </c>
      <c r="AB2616">
        <v>31</v>
      </c>
      <c r="AC2616">
        <v>4.8563000000000303</v>
      </c>
      <c r="AD2616">
        <v>-1.1112813206500001</v>
      </c>
      <c r="AE2616">
        <v>-10.783299999999899</v>
      </c>
      <c r="AF2616">
        <v>-3.38918109429809</v>
      </c>
      <c r="AG2616">
        <v>-1.1112813206500001</v>
      </c>
      <c r="AH2616">
        <v>11.2222591012093</v>
      </c>
      <c r="AI2616">
        <v>95.415229790856102</v>
      </c>
      <c r="AJ2616">
        <v>106.804591477283</v>
      </c>
      <c r="AK2616">
        <v>11.775423304418799</v>
      </c>
      <c r="AL2616">
        <v>89.665986514335003</v>
      </c>
      <c r="AM2616">
        <v>97.698953059726804</v>
      </c>
      <c r="AN2616">
        <v>0.99999999120127903</v>
      </c>
    </row>
    <row r="2617" spans="1:40" x14ac:dyDescent="0.25">
      <c r="A2617" t="str">
        <f>"20190312151548403"</f>
        <v>20190312151548403</v>
      </c>
      <c r="B2617" t="str">
        <f>"1552374948399692"</f>
        <v>1552374948399692</v>
      </c>
      <c r="C2617" t="s">
        <v>40</v>
      </c>
      <c r="D2617">
        <v>4.6779849999999996</v>
      </c>
      <c r="E2617">
        <v>0.4296972</v>
      </c>
      <c r="F2617" t="s">
        <v>43</v>
      </c>
      <c r="G2617">
        <v>-489.51010000000002</v>
      </c>
      <c r="H2617" s="1">
        <v>-1.3349740000000001E-6</v>
      </c>
      <c r="I2617">
        <v>242.5421</v>
      </c>
      <c r="J2617">
        <v>-493.0068</v>
      </c>
      <c r="K2617">
        <v>1.111272</v>
      </c>
      <c r="L2617">
        <v>249.4298</v>
      </c>
      <c r="M2617">
        <v>0.13152839999999999</v>
      </c>
      <c r="N2617">
        <v>0</v>
      </c>
      <c r="O2617">
        <v>-0.99123589999999995</v>
      </c>
      <c r="P2617">
        <v>0.2625094</v>
      </c>
      <c r="Q2617">
        <v>-6.200835E-3</v>
      </c>
      <c r="R2617">
        <v>-0.96490969999999998</v>
      </c>
      <c r="S2617">
        <v>1.347626</v>
      </c>
      <c r="T2617">
        <v>-0.42311470000000001</v>
      </c>
      <c r="U2617">
        <v>-2.7407680000000001</v>
      </c>
      <c r="V2617">
        <v>-0.13333</v>
      </c>
      <c r="W2617">
        <v>5.4610149999999996E-3</v>
      </c>
      <c r="X2617">
        <v>0.99105670000000001</v>
      </c>
      <c r="Y2617">
        <v>-0.31507950000000001</v>
      </c>
      <c r="Z2617">
        <v>0.13897950000000001</v>
      </c>
      <c r="AA2617">
        <v>0.9388341</v>
      </c>
      <c r="AB2617">
        <v>31</v>
      </c>
      <c r="AC2617">
        <v>3.4966999999999699</v>
      </c>
      <c r="AD2617">
        <v>-1.111273334974</v>
      </c>
      <c r="AE2617">
        <v>-6.8876999999999899</v>
      </c>
      <c r="AF2617">
        <v>-2.50840439330725</v>
      </c>
      <c r="AG2617">
        <v>-1.111273334974</v>
      </c>
      <c r="AH2617">
        <v>7.14002715127718</v>
      </c>
      <c r="AI2617">
        <v>98.353709024390398</v>
      </c>
      <c r="AJ2617">
        <v>109.35718134295399</v>
      </c>
      <c r="AK2617">
        <v>7.6489874327496903</v>
      </c>
      <c r="AL2617">
        <v>89.687105348140093</v>
      </c>
      <c r="AM2617">
        <v>97.662177531385197</v>
      </c>
      <c r="AN2617">
        <v>1.00000004709985</v>
      </c>
    </row>
    <row r="2618" spans="1:40" x14ac:dyDescent="0.25">
      <c r="A2618" t="str">
        <f>"20190312151548427"</f>
        <v>20190312151548427</v>
      </c>
      <c r="B2618" t="str">
        <f>"1552374948420188"</f>
        <v>1552374948420188</v>
      </c>
      <c r="C2618" t="s">
        <v>40</v>
      </c>
      <c r="D2618">
        <v>4.6786479999999999</v>
      </c>
      <c r="E2618">
        <v>0.43019669999999999</v>
      </c>
      <c r="F2618" t="s">
        <v>43</v>
      </c>
      <c r="G2618">
        <v>-489.12880000000001</v>
      </c>
      <c r="H2618" s="1">
        <v>-9.5504230000000009E-7</v>
      </c>
      <c r="I2618">
        <v>241.49879999999999</v>
      </c>
      <c r="J2618">
        <v>-492.96280000000002</v>
      </c>
      <c r="K2618">
        <v>1.111272</v>
      </c>
      <c r="L2618">
        <v>249.1155</v>
      </c>
      <c r="M2618">
        <v>0.1336107</v>
      </c>
      <c r="N2618">
        <v>0</v>
      </c>
      <c r="O2618">
        <v>-0.99095739999999999</v>
      </c>
      <c r="P2618">
        <v>0.26346399999999998</v>
      </c>
      <c r="Q2618">
        <v>-7.0082529999999999E-3</v>
      </c>
      <c r="R2618">
        <v>-0.96464430000000001</v>
      </c>
      <c r="S2618">
        <v>1.340668</v>
      </c>
      <c r="T2618">
        <v>-0.38418269999999999</v>
      </c>
      <c r="U2618">
        <v>-2.7418819999999999</v>
      </c>
      <c r="V2618">
        <v>-0.1322256</v>
      </c>
      <c r="W2618">
        <v>4.658031E-3</v>
      </c>
      <c r="X2618">
        <v>0.99120870000000005</v>
      </c>
      <c r="Y2618">
        <v>-0.31175009999999997</v>
      </c>
      <c r="Z2618">
        <v>0.12645809999999999</v>
      </c>
      <c r="AA2618">
        <v>0.94171139999999998</v>
      </c>
      <c r="AB2618">
        <v>31</v>
      </c>
      <c r="AC2618">
        <v>3.8340000000000001</v>
      </c>
      <c r="AD2618">
        <v>-1.1112729550422999</v>
      </c>
      <c r="AE2618">
        <v>-7.6166999999999998</v>
      </c>
      <c r="AF2618">
        <v>-2.7354122619233099</v>
      </c>
      <c r="AG2618">
        <v>-1.1112729550422999</v>
      </c>
      <c r="AH2618">
        <v>7.92608757530218</v>
      </c>
      <c r="AI2618">
        <v>97.549627653962503</v>
      </c>
      <c r="AJ2618">
        <v>109.04032586288</v>
      </c>
      <c r="AK2618">
        <v>8.4581482651138504</v>
      </c>
      <c r="AL2618">
        <v>89.733113516868798</v>
      </c>
      <c r="AM2618">
        <v>97.598303160522505</v>
      </c>
      <c r="AN2618">
        <v>0.99999999675192297</v>
      </c>
    </row>
    <row r="2619" spans="1:40" x14ac:dyDescent="0.25">
      <c r="A2619" t="str">
        <f>"20190312151548448"</f>
        <v>20190312151548448</v>
      </c>
      <c r="B2619" t="str">
        <f>"1552374948439708"</f>
        <v>1552374948439708</v>
      </c>
      <c r="C2619" t="s">
        <v>40</v>
      </c>
      <c r="D2619">
        <v>4.6510230000000004</v>
      </c>
      <c r="E2619">
        <v>0.42943949999999997</v>
      </c>
      <c r="F2619" t="s">
        <v>43</v>
      </c>
      <c r="G2619">
        <v>-488.98930000000001</v>
      </c>
      <c r="H2619" s="1">
        <v>-7.5726369999999901E-7</v>
      </c>
      <c r="I2619">
        <v>240.98009999999999</v>
      </c>
      <c r="J2619">
        <v>-492.91969999999998</v>
      </c>
      <c r="K2619">
        <v>1.1112759999999999</v>
      </c>
      <c r="L2619">
        <v>248.8116</v>
      </c>
      <c r="M2619">
        <v>0.1356398</v>
      </c>
      <c r="N2619">
        <v>0</v>
      </c>
      <c r="O2619">
        <v>-0.9906817</v>
      </c>
      <c r="P2619">
        <v>0.26463300000000001</v>
      </c>
      <c r="Q2619">
        <v>-6.9647959999999997E-3</v>
      </c>
      <c r="R2619">
        <v>-0.96432419999999996</v>
      </c>
      <c r="S2619">
        <v>1.3390200000000001</v>
      </c>
      <c r="T2619">
        <v>-0.37448429999999999</v>
      </c>
      <c r="U2619">
        <v>-2.7415470000000002</v>
      </c>
      <c r="V2619">
        <v>-0.13139700000000001</v>
      </c>
      <c r="W2619">
        <v>4.7033300000000004E-3</v>
      </c>
      <c r="X2619">
        <v>0.9913187</v>
      </c>
      <c r="Y2619">
        <v>-0.3095658</v>
      </c>
      <c r="Z2619">
        <v>0.1233403</v>
      </c>
      <c r="AA2619">
        <v>0.94284469999999998</v>
      </c>
      <c r="AB2619">
        <v>31</v>
      </c>
      <c r="AC2619">
        <v>3.9303999999999601</v>
      </c>
      <c r="AD2619">
        <v>-1.1112767572636999</v>
      </c>
      <c r="AE2619">
        <v>-7.8315000000000001</v>
      </c>
      <c r="AF2619">
        <v>-2.7869024127882902</v>
      </c>
      <c r="AG2619">
        <v>-1.1112767572636999</v>
      </c>
      <c r="AH2619">
        <v>8.1610094177631503</v>
      </c>
      <c r="AI2619">
        <v>97.342812021755506</v>
      </c>
      <c r="AJ2619">
        <v>108.854518565026</v>
      </c>
      <c r="AK2619">
        <v>8.6950466247432203</v>
      </c>
      <c r="AL2619">
        <v>89.730518055587794</v>
      </c>
      <c r="AM2619">
        <v>97.550410836869304</v>
      </c>
      <c r="AN2619">
        <v>1.0000000289458799</v>
      </c>
    </row>
    <row r="2620" spans="1:40" x14ac:dyDescent="0.25">
      <c r="A2620" t="str">
        <f>"20190312151548471"</f>
        <v>20190312151548471</v>
      </c>
      <c r="B2620" t="str">
        <f>"1552374948460204"</f>
        <v>1552374948460204</v>
      </c>
      <c r="C2620" t="s">
        <v>40</v>
      </c>
      <c r="D2620">
        <v>4.6766300000000003</v>
      </c>
      <c r="E2620">
        <v>0.42940660000000003</v>
      </c>
      <c r="F2620" t="s">
        <v>43</v>
      </c>
      <c r="G2620">
        <v>-489.08139999999997</v>
      </c>
      <c r="H2620" s="1">
        <v>-7.5774699999999999E-7</v>
      </c>
      <c r="I2620">
        <v>241.01929999999999</v>
      </c>
      <c r="J2620">
        <v>-492.87439999999998</v>
      </c>
      <c r="K2620">
        <v>1.1112879999999901</v>
      </c>
      <c r="L2620">
        <v>248.49709999999999</v>
      </c>
      <c r="M2620">
        <v>0.137768899999999</v>
      </c>
      <c r="N2620">
        <v>0</v>
      </c>
      <c r="O2620">
        <v>-0.99038780000000004</v>
      </c>
      <c r="P2620">
        <v>0.26631880000000002</v>
      </c>
      <c r="Q2620">
        <v>-6.3762619999999997E-3</v>
      </c>
      <c r="R2620">
        <v>-0.9638641</v>
      </c>
      <c r="S2620">
        <v>1.3486940000000001</v>
      </c>
      <c r="T2620">
        <v>-0.39047789999999999</v>
      </c>
      <c r="U2620">
        <v>-2.7380680000000002</v>
      </c>
      <c r="V2620">
        <v>-0.1310019</v>
      </c>
      <c r="W2620">
        <v>5.2879240000000003E-3</v>
      </c>
      <c r="X2620">
        <v>0.99136800000000003</v>
      </c>
      <c r="Y2620">
        <v>-0.31039090000000003</v>
      </c>
      <c r="Z2620">
        <v>0.12849340000000001</v>
      </c>
      <c r="AA2620">
        <v>0.94188479999999997</v>
      </c>
      <c r="AB2620">
        <v>31</v>
      </c>
      <c r="AC2620">
        <v>3.7930000000000001</v>
      </c>
      <c r="AD2620">
        <v>-1.1112887577470001</v>
      </c>
      <c r="AE2620">
        <v>-7.4778000000000002</v>
      </c>
      <c r="AF2620">
        <v>-2.6794720322157</v>
      </c>
      <c r="AG2620">
        <v>-1.1112887577470001</v>
      </c>
      <c r="AH2620">
        <v>7.7922034414766399</v>
      </c>
      <c r="AI2620">
        <v>97.680836430704204</v>
      </c>
      <c r="AJ2620">
        <v>108.976339733648</v>
      </c>
      <c r="AK2620">
        <v>8.3146237165539496</v>
      </c>
      <c r="AL2620">
        <v>89.697022856083805</v>
      </c>
      <c r="AM2620">
        <v>97.527598071583199</v>
      </c>
      <c r="AN2620">
        <v>0.99999998568391901</v>
      </c>
    </row>
    <row r="2621" spans="1:40" x14ac:dyDescent="0.25">
      <c r="A2621" t="str">
        <f>"20190312151548493"</f>
        <v>20190312151548493</v>
      </c>
      <c r="B2621" t="str">
        <f>"1552374948490459"</f>
        <v>1552374948490459</v>
      </c>
      <c r="C2621" t="s">
        <v>40</v>
      </c>
      <c r="D2621">
        <v>4.6146919999999998</v>
      </c>
      <c r="E2621">
        <v>0.42938539999999997</v>
      </c>
      <c r="F2621" t="s">
        <v>43</v>
      </c>
      <c r="G2621">
        <v>-488.94630000000001</v>
      </c>
      <c r="H2621" s="1">
        <v>-5.8951620000000003E-7</v>
      </c>
      <c r="I2621">
        <v>240.5565</v>
      </c>
      <c r="J2621">
        <v>-492.83150000000001</v>
      </c>
      <c r="K2621">
        <v>1.1113150000000001</v>
      </c>
      <c r="L2621">
        <v>248.2038</v>
      </c>
      <c r="M2621">
        <v>0.13979539999999999</v>
      </c>
      <c r="N2621">
        <v>0</v>
      </c>
      <c r="O2621">
        <v>-0.99010379999999998</v>
      </c>
      <c r="P2621">
        <v>0.26792690000000002</v>
      </c>
      <c r="Q2621">
        <v>-6.01142E-3</v>
      </c>
      <c r="R2621">
        <v>-0.96342059999999996</v>
      </c>
      <c r="S2621">
        <v>1.3534550000000001</v>
      </c>
      <c r="T2621">
        <v>-0.38290419999999997</v>
      </c>
      <c r="U2621">
        <v>-2.735992</v>
      </c>
      <c r="V2621">
        <v>-0.1306291</v>
      </c>
      <c r="W2621">
        <v>5.6455469999999999E-3</v>
      </c>
      <c r="X2621">
        <v>0.99141520000000005</v>
      </c>
      <c r="Y2621">
        <v>-0.31018839999999998</v>
      </c>
      <c r="Z2621">
        <v>0.12603259999999999</v>
      </c>
      <c r="AA2621">
        <v>0.94228389999999995</v>
      </c>
      <c r="AB2621">
        <v>31</v>
      </c>
      <c r="AC2621">
        <v>3.88519999999999</v>
      </c>
      <c r="AD2621">
        <v>-1.1113155895161999</v>
      </c>
      <c r="AE2621">
        <v>-7.6473000000000004</v>
      </c>
      <c r="AF2621">
        <v>-2.7320454258118998</v>
      </c>
      <c r="AG2621">
        <v>-1.1113155895161999</v>
      </c>
      <c r="AH2621">
        <v>7.98139638178439</v>
      </c>
      <c r="AI2621">
        <v>97.504606011715495</v>
      </c>
      <c r="AJ2621">
        <v>108.896161740016</v>
      </c>
      <c r="AK2621">
        <v>8.5089237128653501</v>
      </c>
      <c r="AL2621">
        <v>89.676532254695005</v>
      </c>
      <c r="AM2621">
        <v>97.506067661279303</v>
      </c>
      <c r="AN2621">
        <v>0.99999996637938904</v>
      </c>
    </row>
    <row r="2622" spans="1:40" x14ac:dyDescent="0.25">
      <c r="A2622" t="str">
        <f>"20190312151548515"</f>
        <v>20190312151548515</v>
      </c>
      <c r="B2622" t="str">
        <f>"1552374948509980"</f>
        <v>1552374948509980</v>
      </c>
      <c r="C2622" t="s">
        <v>40</v>
      </c>
      <c r="D2622">
        <v>4.634595</v>
      </c>
      <c r="E2622">
        <v>0.4290523</v>
      </c>
      <c r="F2622" t="s">
        <v>43</v>
      </c>
      <c r="G2622">
        <v>-488.81119999999999</v>
      </c>
      <c r="H2622" s="1">
        <v>-4.7442119999999999E-7</v>
      </c>
      <c r="I2622">
        <v>240.11269999999999</v>
      </c>
      <c r="J2622">
        <v>-492.78440000000001</v>
      </c>
      <c r="K2622">
        <v>1.1113580000000001</v>
      </c>
      <c r="L2622">
        <v>247.88720000000001</v>
      </c>
      <c r="M2622">
        <v>0.14204739999999999</v>
      </c>
      <c r="N2622">
        <v>0</v>
      </c>
      <c r="O2622">
        <v>-0.98978330000000003</v>
      </c>
      <c r="P2622">
        <v>0.27045580000000002</v>
      </c>
      <c r="Q2622">
        <v>-6.0097569999999897E-3</v>
      </c>
      <c r="R2622">
        <v>-0.96271399999999996</v>
      </c>
      <c r="S2622">
        <v>1.358368</v>
      </c>
      <c r="T2622">
        <v>-0.37548860000000001</v>
      </c>
      <c r="U2622">
        <v>-2.7338100000000001</v>
      </c>
      <c r="V2622">
        <v>-0.13097800000000001</v>
      </c>
      <c r="W2622">
        <v>5.6312430000000002E-3</v>
      </c>
      <c r="X2622">
        <v>0.99136930000000001</v>
      </c>
      <c r="Y2622">
        <v>-0.30982100000000001</v>
      </c>
      <c r="Z2622">
        <v>0.1236202</v>
      </c>
      <c r="AA2622">
        <v>0.94272420000000001</v>
      </c>
      <c r="AB2622">
        <v>31</v>
      </c>
      <c r="AC2622">
        <v>3.9732000000000198</v>
      </c>
      <c r="AD2622">
        <v>-1.1113584744211999</v>
      </c>
      <c r="AE2622">
        <v>-7.7745000000000104</v>
      </c>
      <c r="AF2622">
        <v>-2.7833756636478202</v>
      </c>
      <c r="AG2622">
        <v>-1.1113584744211999</v>
      </c>
      <c r="AH2622">
        <v>8.1283773618373107</v>
      </c>
      <c r="AI2622">
        <v>97.370411343489195</v>
      </c>
      <c r="AJ2622">
        <v>108.902587158046</v>
      </c>
      <c r="AK2622">
        <v>8.6633028505347802</v>
      </c>
      <c r="AL2622">
        <v>89.677351843294701</v>
      </c>
      <c r="AM2622">
        <v>97.526230724442698</v>
      </c>
      <c r="AN2622">
        <v>1.0000000181821</v>
      </c>
    </row>
    <row r="2623" spans="1:40" x14ac:dyDescent="0.25">
      <c r="A2623" t="str">
        <f>"20190312151548539"</f>
        <v>20190312151548539</v>
      </c>
      <c r="B2623" t="str">
        <f>"1552374948530476"</f>
        <v>1552374948530476</v>
      </c>
      <c r="C2623" t="s">
        <v>40</v>
      </c>
      <c r="D2623">
        <v>4.6323850000000002</v>
      </c>
      <c r="E2623">
        <v>0.42879440000000002</v>
      </c>
      <c r="F2623" t="s">
        <v>43</v>
      </c>
      <c r="G2623">
        <v>-488.79390000000001</v>
      </c>
      <c r="H2623" s="1">
        <v>-4.1576109999999998E-7</v>
      </c>
      <c r="I2623">
        <v>239.92679999999999</v>
      </c>
      <c r="J2623">
        <v>-492.73680000000002</v>
      </c>
      <c r="K2623">
        <v>1.111408</v>
      </c>
      <c r="L2623">
        <v>247.57300000000001</v>
      </c>
      <c r="M2623">
        <v>0.14434069999999999</v>
      </c>
      <c r="N2623">
        <v>0</v>
      </c>
      <c r="O2623">
        <v>-0.98945139999999998</v>
      </c>
      <c r="P2623">
        <v>0.27306239999999998</v>
      </c>
      <c r="Q2623">
        <v>-5.8760239999999997E-3</v>
      </c>
      <c r="R2623">
        <v>-0.96197869999999996</v>
      </c>
      <c r="S2623">
        <v>1.3681950000000001</v>
      </c>
      <c r="T2623">
        <v>-0.38105050000000001</v>
      </c>
      <c r="U2623">
        <v>-2.7293850000000002</v>
      </c>
      <c r="V2623">
        <v>-0.13136700000000001</v>
      </c>
      <c r="W2623">
        <v>5.7471120000000004E-3</v>
      </c>
      <c r="X2623">
        <v>0.99131720000000001</v>
      </c>
      <c r="Y2623">
        <v>-0.31084329999999999</v>
      </c>
      <c r="Z2623">
        <v>0.12542120000000001</v>
      </c>
      <c r="AA2623">
        <v>0.94214960000000003</v>
      </c>
      <c r="AB2623">
        <v>31</v>
      </c>
      <c r="AC2623">
        <v>3.9428999999999998</v>
      </c>
      <c r="AD2623">
        <v>-1.1114084157610999</v>
      </c>
      <c r="AE2623">
        <v>-7.6461999999999897</v>
      </c>
      <c r="AF2623">
        <v>-2.7519329669254402</v>
      </c>
      <c r="AG2623">
        <v>-1.1114084157610999</v>
      </c>
      <c r="AH2623">
        <v>8.0017336625407296</v>
      </c>
      <c r="AI2623">
        <v>97.4826976223342</v>
      </c>
      <c r="AJ2623">
        <v>108.978969286419</v>
      </c>
      <c r="AK2623">
        <v>8.5344071456260497</v>
      </c>
      <c r="AL2623">
        <v>89.670712943253804</v>
      </c>
      <c r="AM2623">
        <v>97.548718131743897</v>
      </c>
      <c r="AN2623">
        <v>1.00000005450058</v>
      </c>
    </row>
    <row r="2624" spans="1:40" x14ac:dyDescent="0.25">
      <c r="A2624" t="str">
        <f>"20190312151548562"</f>
        <v>20190312151548562</v>
      </c>
      <c r="B2624" t="str">
        <f>"1552374948549997"</f>
        <v>1552374948549997</v>
      </c>
      <c r="C2624" t="s">
        <v>40</v>
      </c>
      <c r="D2624">
        <v>4.6282560000000004</v>
      </c>
      <c r="E2624">
        <v>0.42861290000000002</v>
      </c>
      <c r="F2624" t="s">
        <v>43</v>
      </c>
      <c r="G2624">
        <v>-488.75799999999998</v>
      </c>
      <c r="H2624" s="1">
        <v>-3.5029520000000001E-7</v>
      </c>
      <c r="I2624">
        <v>239.7063</v>
      </c>
      <c r="J2624">
        <v>-492.68889999999999</v>
      </c>
      <c r="K2624">
        <v>1.111462</v>
      </c>
      <c r="L2624">
        <v>247.26159999999999</v>
      </c>
      <c r="M2624">
        <v>0.14669019999999999</v>
      </c>
      <c r="N2624">
        <v>0</v>
      </c>
      <c r="O2624">
        <v>-0.98910589999999998</v>
      </c>
      <c r="P2624">
        <v>0.2755455</v>
      </c>
      <c r="Q2624">
        <v>-5.9844420000000004E-3</v>
      </c>
      <c r="R2624">
        <v>-0.96126959999999995</v>
      </c>
      <c r="S2624">
        <v>1.3782350000000001</v>
      </c>
      <c r="T2624">
        <v>-0.3849823</v>
      </c>
      <c r="U2624">
        <v>-2.7249599999999998</v>
      </c>
      <c r="V2624">
        <v>-0.1315722</v>
      </c>
      <c r="W2624">
        <v>5.6207519999999997E-3</v>
      </c>
      <c r="X2624">
        <v>0.99129060000000002</v>
      </c>
      <c r="Y2624">
        <v>-0.31189620000000001</v>
      </c>
      <c r="Z2624">
        <v>0.1266873</v>
      </c>
      <c r="AA2624">
        <v>0.94163220000000003</v>
      </c>
      <c r="AB2624">
        <v>31</v>
      </c>
      <c r="AC2624">
        <v>3.9308999999999501</v>
      </c>
      <c r="AD2624">
        <v>-1.1114623502951999</v>
      </c>
      <c r="AE2624">
        <v>-7.5552999999999804</v>
      </c>
      <c r="AF2624">
        <v>-2.7334447281199301</v>
      </c>
      <c r="AG2624">
        <v>-1.1114623502951999</v>
      </c>
      <c r="AH2624">
        <v>7.9154172743156801</v>
      </c>
      <c r="AI2624">
        <v>97.560461286218199</v>
      </c>
      <c r="AJ2624">
        <v>109.051417613829</v>
      </c>
      <c r="AK2624">
        <v>8.4475380593605802</v>
      </c>
      <c r="AL2624">
        <v>89.677952919302001</v>
      </c>
      <c r="AM2624">
        <v>97.560573736566695</v>
      </c>
      <c r="AN2624">
        <v>0.99999994515712098</v>
      </c>
    </row>
    <row r="2625" spans="1:40" x14ac:dyDescent="0.25">
      <c r="A2625" t="str">
        <f>"20190312151548583"</f>
        <v>20190312151548583</v>
      </c>
      <c r="B2625" t="str">
        <f>"1552374948580252"</f>
        <v>1552374948580252</v>
      </c>
      <c r="C2625" t="s">
        <v>40</v>
      </c>
      <c r="D2625">
        <v>4.6632680000000004</v>
      </c>
      <c r="E2625">
        <v>0.42820989999999998</v>
      </c>
      <c r="F2625" t="s">
        <v>43</v>
      </c>
      <c r="G2625">
        <v>-488.69200000000001</v>
      </c>
      <c r="H2625" s="1">
        <v>-4.4307099999999996E-6</v>
      </c>
      <c r="I2625">
        <v>239.42</v>
      </c>
      <c r="J2625">
        <v>-492.6438</v>
      </c>
      <c r="K2625">
        <v>1.1115200000000001</v>
      </c>
      <c r="L2625">
        <v>246.9735</v>
      </c>
      <c r="M2625">
        <v>0.1489521</v>
      </c>
      <c r="N2625">
        <v>0</v>
      </c>
      <c r="O2625">
        <v>-0.98876759999999997</v>
      </c>
      <c r="P2625">
        <v>0.27833010000000002</v>
      </c>
      <c r="Q2625">
        <v>-5.4233249999999997E-3</v>
      </c>
      <c r="R2625">
        <v>-0.96047000000000005</v>
      </c>
      <c r="S2625">
        <v>1.386871</v>
      </c>
      <c r="T2625">
        <v>-0.38566549999999999</v>
      </c>
      <c r="U2625">
        <v>-2.720917</v>
      </c>
      <c r="V2625">
        <v>-0.1321811</v>
      </c>
      <c r="W2625">
        <v>6.1600469999999897E-3</v>
      </c>
      <c r="X2625">
        <v>0.99120649999999999</v>
      </c>
      <c r="Y2625">
        <v>-0.31265110000000002</v>
      </c>
      <c r="Z2625">
        <v>0.126907399999999</v>
      </c>
      <c r="AA2625">
        <v>0.94135210000000002</v>
      </c>
      <c r="AB2625">
        <v>31</v>
      </c>
      <c r="AC2625">
        <v>3.9518000000000399</v>
      </c>
      <c r="AD2625">
        <v>-1.1115244307100001</v>
      </c>
      <c r="AE2625">
        <v>-7.5535000000000103</v>
      </c>
      <c r="AF2625">
        <v>-2.7359991747916399</v>
      </c>
      <c r="AG2625">
        <v>-1.1115244307100001</v>
      </c>
      <c r="AH2625">
        <v>7.9231960217983</v>
      </c>
      <c r="AI2625">
        <v>97.553579725283996</v>
      </c>
      <c r="AJ2625">
        <v>109.050566051145</v>
      </c>
      <c r="AK2625">
        <v>8.4556616089083292</v>
      </c>
      <c r="AL2625">
        <v>89.647053093407195</v>
      </c>
      <c r="AM2625">
        <v>97.595792505574096</v>
      </c>
      <c r="AN2625">
        <v>1.00000005750924</v>
      </c>
    </row>
    <row r="2626" spans="1:40" x14ac:dyDescent="0.25">
      <c r="A2626" t="str">
        <f>"20190312151548605"</f>
        <v>20190312151548605</v>
      </c>
      <c r="B2626" t="str">
        <f>"1552374948599773"</f>
        <v>1552374948599773</v>
      </c>
      <c r="C2626" t="s">
        <v>40</v>
      </c>
      <c r="D2626">
        <v>4.6401279999999998</v>
      </c>
      <c r="E2626">
        <v>0.42805670000000001</v>
      </c>
      <c r="F2626" t="s">
        <v>43</v>
      </c>
      <c r="G2626">
        <v>-488.60520000000002</v>
      </c>
      <c r="H2626" s="1">
        <v>-4.3198490000000004E-6</v>
      </c>
      <c r="I2626">
        <v>239.12569999999999</v>
      </c>
      <c r="J2626">
        <v>-492.59410000000003</v>
      </c>
      <c r="K2626">
        <v>1.1116060000000001</v>
      </c>
      <c r="L2626">
        <v>246.66200000000001</v>
      </c>
      <c r="M2626">
        <v>0.15151139999999999</v>
      </c>
      <c r="N2626">
        <v>0</v>
      </c>
      <c r="O2626">
        <v>-0.9883788</v>
      </c>
      <c r="P2626">
        <v>0.28126010000000001</v>
      </c>
      <c r="Q2626">
        <v>-5.0814440000000001E-3</v>
      </c>
      <c r="R2626">
        <v>-0.95961830000000004</v>
      </c>
      <c r="S2626">
        <v>1.3978269999999999</v>
      </c>
      <c r="T2626">
        <v>-0.38471899999999998</v>
      </c>
      <c r="U2626">
        <v>-2.7162630000000001</v>
      </c>
      <c r="V2626">
        <v>-0.1326425</v>
      </c>
      <c r="W2626">
        <v>6.4747509999999999E-3</v>
      </c>
      <c r="X2626">
        <v>0.99114279999999999</v>
      </c>
      <c r="Y2626">
        <v>-0.313872599999999</v>
      </c>
      <c r="Z2626">
        <v>0.12658179999999999</v>
      </c>
      <c r="AA2626">
        <v>0.94098939999999998</v>
      </c>
      <c r="AB2626">
        <v>31</v>
      </c>
      <c r="AC2626">
        <v>3.9889000000000001</v>
      </c>
      <c r="AD2626">
        <v>-1.1116103198489999</v>
      </c>
      <c r="AE2626">
        <v>-7.5363000000000104</v>
      </c>
      <c r="AF2626">
        <v>-2.7541142936213698</v>
      </c>
      <c r="AG2626">
        <v>-1.1116103198489999</v>
      </c>
      <c r="AH2626">
        <v>7.9191062907664902</v>
      </c>
      <c r="AI2626">
        <v>97.552315475979</v>
      </c>
      <c r="AJ2626">
        <v>109.176700850507</v>
      </c>
      <c r="AK2626">
        <v>8.45772235829374</v>
      </c>
      <c r="AL2626">
        <v>89.629021503183793</v>
      </c>
      <c r="AM2626">
        <v>97.622479802777406</v>
      </c>
      <c r="AN2626">
        <v>1.0000000025993001</v>
      </c>
    </row>
    <row r="2627" spans="1:40" x14ac:dyDescent="0.25">
      <c r="A2627" t="str">
        <f>"20190312151548627"</f>
        <v>20190312151548627</v>
      </c>
      <c r="B2627" t="str">
        <f>"1552374948620268"</f>
        <v>1552374948620268</v>
      </c>
      <c r="C2627" t="s">
        <v>40</v>
      </c>
      <c r="D2627">
        <v>4.6871460000000003</v>
      </c>
      <c r="E2627">
        <v>0.42802020000000002</v>
      </c>
      <c r="F2627" t="s">
        <v>43</v>
      </c>
      <c r="G2627">
        <v>-488.52550000000002</v>
      </c>
      <c r="H2627" s="1">
        <v>-4.2030820000000004E-6</v>
      </c>
      <c r="I2627">
        <v>238.82060000000001</v>
      </c>
      <c r="J2627">
        <v>-492.54689999999999</v>
      </c>
      <c r="K2627">
        <v>1.1116969999999999</v>
      </c>
      <c r="L2627">
        <v>246.37049999999999</v>
      </c>
      <c r="M2627">
        <v>0.15402370000000001</v>
      </c>
      <c r="N2627">
        <v>0</v>
      </c>
      <c r="O2627">
        <v>-0.98799040000000005</v>
      </c>
      <c r="P2627">
        <v>0.28351379999999998</v>
      </c>
      <c r="Q2627">
        <v>-5.8283129999999999E-3</v>
      </c>
      <c r="R2627">
        <v>-0.95895070000000004</v>
      </c>
      <c r="S2627">
        <v>1.407043</v>
      </c>
      <c r="T2627">
        <v>-0.38442809999999999</v>
      </c>
      <c r="U2627">
        <v>-2.7117770000000001</v>
      </c>
      <c r="V2627">
        <v>-0.13244939999999999</v>
      </c>
      <c r="W2627">
        <v>5.7027659999999997E-3</v>
      </c>
      <c r="X2627">
        <v>0.99117339999999998</v>
      </c>
      <c r="Y2627">
        <v>-0.31462279999999998</v>
      </c>
      <c r="Z2627">
        <v>0.12648799999999999</v>
      </c>
      <c r="AA2627">
        <v>0.94075140000000002</v>
      </c>
      <c r="AB2627">
        <v>31</v>
      </c>
      <c r="AC2627">
        <v>4.0213999999999697</v>
      </c>
      <c r="AD2627">
        <v>-1.1117012030819999</v>
      </c>
      <c r="AE2627">
        <v>-7.5498999999999796</v>
      </c>
      <c r="AF2627">
        <v>-2.7637742959987301</v>
      </c>
      <c r="AG2627">
        <v>-1.1117012030819999</v>
      </c>
      <c r="AH2627">
        <v>7.9450412912515098</v>
      </c>
      <c r="AI2627">
        <v>97.528367957498105</v>
      </c>
      <c r="AJ2627">
        <v>109.180820065994</v>
      </c>
      <c r="AK2627">
        <v>8.4851640552112304</v>
      </c>
      <c r="AL2627">
        <v>89.673253817669206</v>
      </c>
      <c r="AM2627">
        <v>97.611281010130298</v>
      </c>
      <c r="AN2627">
        <v>1.0000000369839801</v>
      </c>
    </row>
    <row r="2628" spans="1:40" x14ac:dyDescent="0.25">
      <c r="A2628" t="str">
        <f>"20190312151548650"</f>
        <v>20190312151548650</v>
      </c>
      <c r="B2628" t="str">
        <f>"1552374948639792"</f>
        <v>1552374948639792</v>
      </c>
      <c r="C2628" t="s">
        <v>40</v>
      </c>
      <c r="D2628">
        <v>4.6234599999999997</v>
      </c>
      <c r="E2628">
        <v>0.42791299999999999</v>
      </c>
      <c r="F2628" t="s">
        <v>43</v>
      </c>
      <c r="G2628">
        <v>-488.48250000000002</v>
      </c>
      <c r="H2628" s="1">
        <v>-4.1087290000000003E-6</v>
      </c>
      <c r="I2628">
        <v>238.5829</v>
      </c>
      <c r="J2628">
        <v>-492.49419999999998</v>
      </c>
      <c r="K2628">
        <v>1.1118059999999901</v>
      </c>
      <c r="L2628">
        <v>246.05199999999999</v>
      </c>
      <c r="M2628">
        <v>0.15691050000000001</v>
      </c>
      <c r="N2628">
        <v>0</v>
      </c>
      <c r="O2628">
        <v>-0.98753579999999996</v>
      </c>
      <c r="P2628">
        <v>0.28652460000000002</v>
      </c>
      <c r="Q2628">
        <v>-6.6842859999999898E-3</v>
      </c>
      <c r="R2628">
        <v>-0.95804979999999995</v>
      </c>
      <c r="S2628">
        <v>1.4133910000000001</v>
      </c>
      <c r="T2628">
        <v>-0.38660050000000001</v>
      </c>
      <c r="U2628">
        <v>-2.7082060000000001</v>
      </c>
      <c r="V2628">
        <v>-0.13266359999999999</v>
      </c>
      <c r="W2628">
        <v>4.8125240000000003E-3</v>
      </c>
      <c r="X2628">
        <v>0.99114939999999996</v>
      </c>
      <c r="Y2628">
        <v>-0.31405029999999901</v>
      </c>
      <c r="Z2628">
        <v>0.12719759999999999</v>
      </c>
      <c r="AA2628">
        <v>0.94084699999999999</v>
      </c>
      <c r="AB2628">
        <v>31</v>
      </c>
      <c r="AC2628">
        <v>4.0116999999999603</v>
      </c>
      <c r="AD2628">
        <v>-1.11181010872899</v>
      </c>
      <c r="AE2628">
        <v>-7.4691000000000196</v>
      </c>
      <c r="AF2628">
        <v>-2.7427628273299001</v>
      </c>
      <c r="AG2628">
        <v>-1.11181010872899</v>
      </c>
      <c r="AH2628">
        <v>7.8707395256118797</v>
      </c>
      <c r="AI2628">
        <v>97.597914114649001</v>
      </c>
      <c r="AJ2628">
        <v>109.21221324770499</v>
      </c>
      <c r="AK2628">
        <v>8.4087698461120794</v>
      </c>
      <c r="AL2628">
        <v>89.724261611179102</v>
      </c>
      <c r="AM2628">
        <v>97.623627914249298</v>
      </c>
      <c r="AN2628">
        <v>0.99999996213628395</v>
      </c>
    </row>
    <row r="2629" spans="1:40" x14ac:dyDescent="0.25">
      <c r="A2629" t="str">
        <f>"20190312151548671"</f>
        <v>20190312151548671</v>
      </c>
      <c r="B2629" t="str">
        <f>"1552374948660284"</f>
        <v>1552374948660284</v>
      </c>
      <c r="C2629" t="s">
        <v>40</v>
      </c>
      <c r="D2629">
        <v>4.6037759999999999</v>
      </c>
      <c r="E2629">
        <v>0.42788870000000001</v>
      </c>
      <c r="F2629" t="s">
        <v>43</v>
      </c>
      <c r="G2629">
        <v>-488.44130000000001</v>
      </c>
      <c r="H2629" s="1">
        <v>-4.0174599999999998E-6</v>
      </c>
      <c r="I2629">
        <v>238.35310000000001</v>
      </c>
      <c r="J2629">
        <v>-492.44400000000002</v>
      </c>
      <c r="K2629">
        <v>1.111915</v>
      </c>
      <c r="L2629">
        <v>245.75470000000001</v>
      </c>
      <c r="M2629">
        <v>0.15975529999999999</v>
      </c>
      <c r="N2629">
        <v>0</v>
      </c>
      <c r="O2629">
        <v>-0.9870795</v>
      </c>
      <c r="P2629">
        <v>0.28913909999999998</v>
      </c>
      <c r="Q2629">
        <v>-7.1298680000000001E-3</v>
      </c>
      <c r="R2629">
        <v>-0.95726060000000002</v>
      </c>
      <c r="S2629">
        <v>1.422974</v>
      </c>
      <c r="T2629">
        <v>-0.39035300000000001</v>
      </c>
      <c r="U2629">
        <v>-2.7030639999999999</v>
      </c>
      <c r="V2629">
        <v>-0.13251309999999999</v>
      </c>
      <c r="W2629">
        <v>4.3352149999999999E-3</v>
      </c>
      <c r="X2629">
        <v>0.99117180000000005</v>
      </c>
      <c r="Y2629">
        <v>-0.3145925</v>
      </c>
      <c r="Z2629">
        <v>0.12842439999999999</v>
      </c>
      <c r="AA2629">
        <v>0.94049919999999998</v>
      </c>
      <c r="AB2629">
        <v>31</v>
      </c>
      <c r="AC2629">
        <v>4.0026999999999999</v>
      </c>
      <c r="AD2629">
        <v>-1.11191901746</v>
      </c>
      <c r="AE2629">
        <v>-7.4016000000000002</v>
      </c>
      <c r="AF2629">
        <v>-2.7212324432969499</v>
      </c>
      <c r="AG2629">
        <v>-1.11191901746</v>
      </c>
      <c r="AH2629">
        <v>7.8096572623685399</v>
      </c>
      <c r="AI2629">
        <v>97.657452759188601</v>
      </c>
      <c r="AJ2629">
        <v>109.210612454984</v>
      </c>
      <c r="AK2629">
        <v>8.3445920491961001</v>
      </c>
      <c r="AL2629">
        <v>89.751609705736101</v>
      </c>
      <c r="AM2629">
        <v>97.614910771450695</v>
      </c>
      <c r="AN2629">
        <v>1.00000002643797</v>
      </c>
    </row>
    <row r="2630" spans="1:40" x14ac:dyDescent="0.25">
      <c r="A2630" t="str">
        <f>"20190312151548694"</f>
        <v>20190312151548694</v>
      </c>
      <c r="B2630" t="str">
        <f>"1552374948690541"</f>
        <v>1552374948690541</v>
      </c>
      <c r="C2630" t="s">
        <v>40</v>
      </c>
      <c r="D2630">
        <v>4.6480230000000002</v>
      </c>
      <c r="E2630">
        <v>0.42778319999999997</v>
      </c>
      <c r="F2630" t="s">
        <v>43</v>
      </c>
      <c r="G2630">
        <v>-488.39359999999999</v>
      </c>
      <c r="H2630" s="1">
        <v>-3.923048E-6</v>
      </c>
      <c r="I2630">
        <v>238.11330000000001</v>
      </c>
      <c r="J2630">
        <v>-492.39139999999998</v>
      </c>
      <c r="K2630">
        <v>1.1120429999999999</v>
      </c>
      <c r="L2630">
        <v>245.44929999999999</v>
      </c>
      <c r="M2630">
        <v>0.1628532</v>
      </c>
      <c r="N2630">
        <v>0</v>
      </c>
      <c r="O2630">
        <v>-0.98657309999999998</v>
      </c>
      <c r="P2630">
        <v>0.29236000000000001</v>
      </c>
      <c r="Q2630">
        <v>-7.2387069999999996E-3</v>
      </c>
      <c r="R2630">
        <v>-0.9562811</v>
      </c>
      <c r="S2630">
        <v>1.430542</v>
      </c>
      <c r="T2630">
        <v>-0.39271440000000002</v>
      </c>
      <c r="U2630">
        <v>-2.6988530000000002</v>
      </c>
      <c r="V2630">
        <v>-0.1327391</v>
      </c>
      <c r="W2630">
        <v>4.1873969999999998E-3</v>
      </c>
      <c r="X2630">
        <v>0.99114219999999997</v>
      </c>
      <c r="Y2630">
        <v>-0.31423450000000003</v>
      </c>
      <c r="Z2630">
        <v>0.1291929</v>
      </c>
      <c r="AA2630">
        <v>0.94051370000000001</v>
      </c>
      <c r="AB2630">
        <v>31</v>
      </c>
      <c r="AC2630">
        <v>3.9977999999999798</v>
      </c>
      <c r="AD2630">
        <v>-1.1120469230479999</v>
      </c>
      <c r="AE2630">
        <v>-7.3359999999999799</v>
      </c>
      <c r="AF2630">
        <v>-2.7017724801747098</v>
      </c>
      <c r="AG2630">
        <v>-1.1120469230479999</v>
      </c>
      <c r="AH2630">
        <v>7.7518152954835999</v>
      </c>
      <c r="AI2630">
        <v>97.714569542153399</v>
      </c>
      <c r="AJ2630">
        <v>109.215191476385</v>
      </c>
      <c r="AK2630">
        <v>8.2841332237587508</v>
      </c>
      <c r="AL2630">
        <v>89.760079131237703</v>
      </c>
      <c r="AM2630">
        <v>97.627970275449101</v>
      </c>
      <c r="AN2630">
        <v>1.00000003179164</v>
      </c>
    </row>
    <row r="2631" spans="1:40" x14ac:dyDescent="0.25">
      <c r="A2631" t="str">
        <f>"20190312151548716"</f>
        <v>20190312151548716</v>
      </c>
      <c r="B2631" t="str">
        <f>"1552374948710060"</f>
        <v>1552374948710060</v>
      </c>
      <c r="C2631" t="s">
        <v>40</v>
      </c>
      <c r="D2631">
        <v>4.6339350000000001</v>
      </c>
      <c r="E2631">
        <v>0.42762250000000002</v>
      </c>
      <c r="F2631" t="s">
        <v>43</v>
      </c>
      <c r="G2631">
        <v>-488.3297</v>
      </c>
      <c r="H2631" s="1">
        <v>-3.8239459999999999E-6</v>
      </c>
      <c r="I2631">
        <v>237.85579999999999</v>
      </c>
      <c r="J2631">
        <v>-492.33659999999998</v>
      </c>
      <c r="K2631">
        <v>1.1121799999999999</v>
      </c>
      <c r="L2631">
        <v>245.13939999999999</v>
      </c>
      <c r="M2631">
        <v>0.1661792</v>
      </c>
      <c r="N2631">
        <v>0</v>
      </c>
      <c r="O2631">
        <v>-0.98601830000000001</v>
      </c>
      <c r="P2631">
        <v>0.29597770000000001</v>
      </c>
      <c r="Q2631">
        <v>-6.9814730000000002E-3</v>
      </c>
      <c r="R2631">
        <v>-0.95516959999999995</v>
      </c>
      <c r="S2631">
        <v>1.440796</v>
      </c>
      <c r="T2631">
        <v>-0.3944763</v>
      </c>
      <c r="U2631">
        <v>-2.6936339999999999</v>
      </c>
      <c r="V2631">
        <v>-0.13315109999999999</v>
      </c>
      <c r="W2631">
        <v>4.4034030000000002E-3</v>
      </c>
      <c r="X2631">
        <v>0.99108589999999996</v>
      </c>
      <c r="Y2631">
        <v>-0.31454310000000002</v>
      </c>
      <c r="Z2631">
        <v>0.1297565</v>
      </c>
      <c r="AA2631">
        <v>0.94033290000000003</v>
      </c>
      <c r="AB2631">
        <v>31</v>
      </c>
      <c r="AC2631">
        <v>4.0068999999999697</v>
      </c>
      <c r="AD2631">
        <v>-1.112183823946</v>
      </c>
      <c r="AE2631">
        <v>-7.2835999999999999</v>
      </c>
      <c r="AF2631">
        <v>-2.6925086194044501</v>
      </c>
      <c r="AG2631">
        <v>-1.112183823946</v>
      </c>
      <c r="AH2631">
        <v>7.7102165729623398</v>
      </c>
      <c r="AI2631">
        <v>97.755011882249704</v>
      </c>
      <c r="AJ2631">
        <v>109.249870545655</v>
      </c>
      <c r="AK2631">
        <v>8.2422081462310608</v>
      </c>
      <c r="AL2631">
        <v>89.747702760429107</v>
      </c>
      <c r="AM2631">
        <v>97.651795665466196</v>
      </c>
      <c r="AN2631">
        <v>0.99999993328399694</v>
      </c>
    </row>
    <row r="2632" spans="1:40" x14ac:dyDescent="0.25">
      <c r="A2632" t="str">
        <f>"20190312151548741"</f>
        <v>20190312151548741</v>
      </c>
      <c r="B2632" t="str">
        <f>"1552374948730560"</f>
        <v>1552374948730560</v>
      </c>
      <c r="C2632" t="s">
        <v>40</v>
      </c>
      <c r="D2632">
        <v>4.703538</v>
      </c>
      <c r="E2632">
        <v>0.42761270000000001</v>
      </c>
      <c r="F2632" t="s">
        <v>43</v>
      </c>
      <c r="G2632">
        <v>-488.2627</v>
      </c>
      <c r="H2632" s="1">
        <v>-3.72505E-6</v>
      </c>
      <c r="I2632">
        <v>237.5976</v>
      </c>
      <c r="J2632">
        <v>-492.27850000000001</v>
      </c>
      <c r="K2632">
        <v>1.1123069999999999</v>
      </c>
      <c r="L2632">
        <v>244.8176</v>
      </c>
      <c r="M2632">
        <v>0.16978940000000001</v>
      </c>
      <c r="N2632">
        <v>0</v>
      </c>
      <c r="O2632">
        <v>-0.98540300000000003</v>
      </c>
      <c r="P2632">
        <v>0.30026049999999999</v>
      </c>
      <c r="Q2632">
        <v>-6.8600179999999998E-3</v>
      </c>
      <c r="R2632">
        <v>-0.95383289999999998</v>
      </c>
      <c r="S2632">
        <v>1.4519959999999901</v>
      </c>
      <c r="T2632">
        <v>-0.39639039999999998</v>
      </c>
      <c r="U2632">
        <v>-2.6879580000000001</v>
      </c>
      <c r="V2632">
        <v>-0.13397049999999999</v>
      </c>
      <c r="W2632">
        <v>4.4816020000000003E-3</v>
      </c>
      <c r="X2632">
        <v>0.99097519999999994</v>
      </c>
      <c r="Y2632">
        <v>-0.31489539999999999</v>
      </c>
      <c r="Z2632">
        <v>0.13036429999999999</v>
      </c>
      <c r="AA2632">
        <v>0.94013089999999999</v>
      </c>
      <c r="AB2632">
        <v>31</v>
      </c>
      <c r="AC2632">
        <v>4.0158000000000103</v>
      </c>
      <c r="AD2632">
        <v>-1.1123107250499999</v>
      </c>
      <c r="AE2632">
        <v>-7.21999999999999</v>
      </c>
      <c r="AF2632">
        <v>-2.6828785763049998</v>
      </c>
      <c r="AG2632">
        <v>-1.1123107250499999</v>
      </c>
      <c r="AH2632">
        <v>7.6582264669414002</v>
      </c>
      <c r="AI2632">
        <v>97.805216756736996</v>
      </c>
      <c r="AJ2632">
        <v>109.306702748013</v>
      </c>
      <c r="AK2632">
        <v>8.1904520768526101</v>
      </c>
      <c r="AL2632">
        <v>89.743222263805194</v>
      </c>
      <c r="AM2632">
        <v>97.699170799443095</v>
      </c>
      <c r="AN2632">
        <v>1.00000001332088</v>
      </c>
    </row>
    <row r="2633" spans="1:40" x14ac:dyDescent="0.25">
      <c r="A2633" t="str">
        <f>"20190312151548762"</f>
        <v>20190312151548762</v>
      </c>
      <c r="B2633" t="str">
        <f>"1552374948750076"</f>
        <v>1552374948750076</v>
      </c>
      <c r="C2633" t="s">
        <v>40</v>
      </c>
      <c r="D2633">
        <v>4.6272840000000004</v>
      </c>
      <c r="E2633">
        <v>0.42763269999999998</v>
      </c>
      <c r="F2633" t="s">
        <v>43</v>
      </c>
      <c r="G2633">
        <v>-488.18400000000003</v>
      </c>
      <c r="H2633" s="1">
        <v>-3.6200239999999999E-6</v>
      </c>
      <c r="I2633">
        <v>237.3203</v>
      </c>
      <c r="J2633">
        <v>-492.22500000000002</v>
      </c>
      <c r="K2633">
        <v>1.1124210000000001</v>
      </c>
      <c r="L2633">
        <v>244.5274</v>
      </c>
      <c r="M2633">
        <v>0.17318310000000001</v>
      </c>
      <c r="N2633">
        <v>0</v>
      </c>
      <c r="O2633">
        <v>-0.98481220000000003</v>
      </c>
      <c r="P2633">
        <v>0.30401470000000003</v>
      </c>
      <c r="Q2633">
        <v>-6.8357640000000002E-3</v>
      </c>
      <c r="R2633">
        <v>-0.95264320000000002</v>
      </c>
      <c r="S2633">
        <v>1.464386</v>
      </c>
      <c r="T2633">
        <v>-0.39781309999999998</v>
      </c>
      <c r="U2633">
        <v>-2.681381</v>
      </c>
      <c r="V2633">
        <v>-0.13446050000000001</v>
      </c>
      <c r="W2633">
        <v>4.4706370000000004E-3</v>
      </c>
      <c r="X2633">
        <v>0.99090889999999998</v>
      </c>
      <c r="Y2633">
        <v>-0.31591570000000002</v>
      </c>
      <c r="Z2633">
        <v>0.1308269</v>
      </c>
      <c r="AA2633">
        <v>0.93972420000000001</v>
      </c>
      <c r="AB2633">
        <v>31</v>
      </c>
      <c r="AC2633">
        <v>4.0409999999999897</v>
      </c>
      <c r="AD2633">
        <v>-1.11242462002399</v>
      </c>
      <c r="AE2633">
        <v>-7.2070999999999898</v>
      </c>
      <c r="AF2633">
        <v>-2.6830538680313198</v>
      </c>
      <c r="AG2633">
        <v>-1.11242462002399</v>
      </c>
      <c r="AH2633">
        <v>7.6592374098960097</v>
      </c>
      <c r="AI2633">
        <v>97.805044675789304</v>
      </c>
      <c r="AJ2633">
        <v>109.305510960804</v>
      </c>
      <c r="AK2633">
        <v>8.1914702157270796</v>
      </c>
      <c r="AL2633">
        <v>89.743850522681996</v>
      </c>
      <c r="AM2633">
        <v>97.727501843409001</v>
      </c>
      <c r="AN2633">
        <v>1.00000003037732</v>
      </c>
    </row>
    <row r="2634" spans="1:40" x14ac:dyDescent="0.25">
      <c r="A2634" t="str">
        <f>"20190312151548785"</f>
        <v>20190312151548785</v>
      </c>
      <c r="B2634" t="str">
        <f>"1552374948780332"</f>
        <v>1552374948780332</v>
      </c>
      <c r="C2634" t="s">
        <v>40</v>
      </c>
      <c r="D2634">
        <v>4.6287529999999997</v>
      </c>
      <c r="E2634">
        <v>0.42746830000000002</v>
      </c>
      <c r="F2634" t="s">
        <v>43</v>
      </c>
      <c r="G2634">
        <v>-488.1123</v>
      </c>
      <c r="H2634" s="1">
        <v>-3.52268E-6</v>
      </c>
      <c r="I2634">
        <v>237.06370000000001</v>
      </c>
      <c r="J2634">
        <v>-492.16660000000002</v>
      </c>
      <c r="K2634">
        <v>1.112544</v>
      </c>
      <c r="L2634">
        <v>244.2183</v>
      </c>
      <c r="M2634">
        <v>0.17695150000000001</v>
      </c>
      <c r="N2634">
        <v>0</v>
      </c>
      <c r="O2634">
        <v>-0.98414190000000001</v>
      </c>
      <c r="P2634">
        <v>0.30846620000000002</v>
      </c>
      <c r="Q2634">
        <v>-6.6229940000000001E-3</v>
      </c>
      <c r="R2634">
        <v>-0.95121250000000002</v>
      </c>
      <c r="S2634">
        <v>1.47439599999999</v>
      </c>
      <c r="T2634">
        <v>-0.39880490000000002</v>
      </c>
      <c r="U2634">
        <v>-2.675735</v>
      </c>
      <c r="V2634">
        <v>-0.1353037</v>
      </c>
      <c r="W2634">
        <v>4.6427719999999999E-3</v>
      </c>
      <c r="X2634">
        <v>0.99079329999999999</v>
      </c>
      <c r="Y2634">
        <v>-0.31580140000000001</v>
      </c>
      <c r="Z2634">
        <v>0.1311456</v>
      </c>
      <c r="AA2634">
        <v>0.93971819999999895</v>
      </c>
      <c r="AB2634">
        <v>31</v>
      </c>
      <c r="AC2634">
        <v>4.0543000000000102</v>
      </c>
      <c r="AD2634">
        <v>-1.1125475226799999</v>
      </c>
      <c r="AE2634">
        <v>-7.1545999999999799</v>
      </c>
      <c r="AF2634">
        <v>-2.67523239561186</v>
      </c>
      <c r="AG2634">
        <v>-1.1125475226799999</v>
      </c>
      <c r="AH2634">
        <v>7.6196850729864396</v>
      </c>
      <c r="AI2634">
        <v>97.843996066048305</v>
      </c>
      <c r="AJ2634">
        <v>109.34591296200701</v>
      </c>
      <c r="AK2634">
        <v>8.1519464529794892</v>
      </c>
      <c r="AL2634">
        <v>89.733987804804599</v>
      </c>
      <c r="AM2634">
        <v>97.776266038936697</v>
      </c>
      <c r="AN2634">
        <v>1.00000000494521</v>
      </c>
    </row>
    <row r="2635" spans="1:40" x14ac:dyDescent="0.25">
      <c r="A2635" t="str">
        <f>"20190312151548797"</f>
        <v>20190312151548797</v>
      </c>
      <c r="B2635" t="str">
        <f>"1552374948790093"</f>
        <v>1552374948790093</v>
      </c>
      <c r="C2635" t="s">
        <v>40</v>
      </c>
      <c r="D2635">
        <v>4.6397349999999999</v>
      </c>
      <c r="E2635">
        <v>0.42740850000000002</v>
      </c>
      <c r="F2635" t="s">
        <v>43</v>
      </c>
      <c r="G2635">
        <v>-488.02499999999998</v>
      </c>
      <c r="H2635" s="1">
        <v>-3.4226000000000001E-6</v>
      </c>
      <c r="I2635">
        <v>236.79429999999999</v>
      </c>
      <c r="J2635">
        <v>-492.13229999999999</v>
      </c>
      <c r="K2635">
        <v>1.1126149999999999</v>
      </c>
      <c r="L2635">
        <v>244.03970000000001</v>
      </c>
      <c r="M2635">
        <v>0.17919760000000001</v>
      </c>
      <c r="N2635">
        <v>0</v>
      </c>
      <c r="O2635">
        <v>-0.98373540000000004</v>
      </c>
      <c r="P2635">
        <v>0.31107370000000001</v>
      </c>
      <c r="Q2635">
        <v>-6.544444E-3</v>
      </c>
      <c r="R2635">
        <v>-0.95036350000000003</v>
      </c>
      <c r="S2635">
        <v>1.4886170000000001</v>
      </c>
      <c r="T2635">
        <v>-0.39988279999999998</v>
      </c>
      <c r="U2635">
        <v>-2.668396</v>
      </c>
      <c r="V2635">
        <v>-0.1357611</v>
      </c>
      <c r="W2635">
        <v>4.699038E-3</v>
      </c>
      <c r="X2635">
        <v>0.99073049999999996</v>
      </c>
      <c r="Y2635">
        <v>-0.31853340000000002</v>
      </c>
      <c r="Z2635">
        <v>0.13150390000000001</v>
      </c>
      <c r="AA2635">
        <v>0.93874559999999996</v>
      </c>
      <c r="AB2635">
        <v>31</v>
      </c>
      <c r="AC2635">
        <v>4.1073000000000004</v>
      </c>
      <c r="AD2635">
        <v>-1.1126184226</v>
      </c>
      <c r="AE2635">
        <v>-7.2454000000000098</v>
      </c>
      <c r="AF2635">
        <v>-2.69426516589209</v>
      </c>
      <c r="AG2635">
        <v>-1.1126184226</v>
      </c>
      <c r="AH2635">
        <v>7.7262904617918498</v>
      </c>
      <c r="AI2635">
        <v>97.743249117125998</v>
      </c>
      <c r="AJ2635">
        <v>109.22437539015399</v>
      </c>
      <c r="AK2635">
        <v>8.2578779864093601</v>
      </c>
      <c r="AL2635">
        <v>89.730763974876098</v>
      </c>
      <c r="AM2635">
        <v>97.802719270959003</v>
      </c>
      <c r="AN2635">
        <v>1.00000004043079</v>
      </c>
    </row>
    <row r="2636" spans="1:40" x14ac:dyDescent="0.25">
      <c r="A2636" t="str">
        <f>"20190312151548817"</f>
        <v>20190312151548817</v>
      </c>
      <c r="B2636" t="str">
        <f>"1552374948810588"</f>
        <v>1552374948810588</v>
      </c>
      <c r="C2636" t="s">
        <v>40</v>
      </c>
      <c r="D2636">
        <v>4.6780429999999997</v>
      </c>
      <c r="E2636">
        <v>0.42157099999999997</v>
      </c>
      <c r="F2636" t="s">
        <v>43</v>
      </c>
      <c r="G2636">
        <v>-487.98050000000001</v>
      </c>
      <c r="H2636" s="1">
        <v>-3.3671139999999999E-6</v>
      </c>
      <c r="I2636">
        <v>236.64660000000001</v>
      </c>
      <c r="J2636">
        <v>-492.08139999999997</v>
      </c>
      <c r="K2636">
        <v>1.1127260000000001</v>
      </c>
      <c r="L2636">
        <v>243.7791</v>
      </c>
      <c r="M2636">
        <v>0.18257139999999999</v>
      </c>
      <c r="N2636">
        <v>0</v>
      </c>
      <c r="O2636">
        <v>-0.98311470000000001</v>
      </c>
      <c r="P2636">
        <v>0.31546970000000002</v>
      </c>
      <c r="Q2636">
        <v>-6.4557310000000001E-3</v>
      </c>
      <c r="R2636">
        <v>-0.94891389999999998</v>
      </c>
      <c r="S2636">
        <v>1.4961549999999999</v>
      </c>
      <c r="T2636">
        <v>-0.40094449999999998</v>
      </c>
      <c r="U2636">
        <v>-2.6642000000000001</v>
      </c>
      <c r="V2636">
        <v>-0.1369495</v>
      </c>
      <c r="W2636">
        <v>4.7519659999999998E-3</v>
      </c>
      <c r="X2636">
        <v>0.99056659999999996</v>
      </c>
      <c r="Y2636">
        <v>-0.31791329999999901</v>
      </c>
      <c r="Z2636">
        <v>0.13183049999999999</v>
      </c>
      <c r="AA2636">
        <v>0.93890989999999996</v>
      </c>
      <c r="AB2636">
        <v>31</v>
      </c>
      <c r="AC2636">
        <v>4.1008999999999602</v>
      </c>
      <c r="AD2636">
        <v>-1.1127293671139999</v>
      </c>
      <c r="AE2636">
        <v>-7.1324999999999896</v>
      </c>
      <c r="AF2636">
        <v>-2.6806400559595498</v>
      </c>
      <c r="AG2636">
        <v>-1.1127293671139999</v>
      </c>
      <c r="AH2636">
        <v>7.6219483924589699</v>
      </c>
      <c r="AI2636">
        <v>97.841495488925204</v>
      </c>
      <c r="AJ2636">
        <v>109.37677869410901</v>
      </c>
      <c r="AK2636">
        <v>8.1558626184702607</v>
      </c>
      <c r="AL2636">
        <v>89.727731370368105</v>
      </c>
      <c r="AM2636">
        <v>97.871454865497398</v>
      </c>
      <c r="AN2636">
        <v>0.999999967883337</v>
      </c>
    </row>
    <row r="2637" spans="1:40" x14ac:dyDescent="0.25">
      <c r="A2637" t="str">
        <f>"20190312151548839"</f>
        <v>20190312151548839</v>
      </c>
      <c r="B2637" t="str">
        <f>"1552374948830108"</f>
        <v>1552374948830108</v>
      </c>
      <c r="C2637" t="s">
        <v>40</v>
      </c>
      <c r="D2637">
        <v>4.6421710000000003</v>
      </c>
      <c r="E2637">
        <v>0.42242659999999999</v>
      </c>
      <c r="F2637" t="s">
        <v>43</v>
      </c>
      <c r="G2637">
        <v>-488.9194</v>
      </c>
      <c r="H2637" s="1">
        <v>-3.9609709999999997E-6</v>
      </c>
      <c r="I2637">
        <v>238.41909999999999</v>
      </c>
      <c r="J2637">
        <v>-492.02170000000001</v>
      </c>
      <c r="K2637">
        <v>1.112852</v>
      </c>
      <c r="L2637">
        <v>243.48050000000001</v>
      </c>
      <c r="M2637">
        <v>0.1865743</v>
      </c>
      <c r="N2637">
        <v>0</v>
      </c>
      <c r="O2637">
        <v>-0.98236259999999997</v>
      </c>
      <c r="P2637">
        <v>0.31993569999999999</v>
      </c>
      <c r="Q2637">
        <v>-6.3146519999999996E-3</v>
      </c>
      <c r="R2637">
        <v>-0.94741819999999999</v>
      </c>
      <c r="S2637">
        <v>1.557404</v>
      </c>
      <c r="T2637">
        <v>-0.54805740000000003</v>
      </c>
      <c r="U2637">
        <v>-2.640015</v>
      </c>
      <c r="V2637">
        <v>-0.13758329999999999</v>
      </c>
      <c r="W2637">
        <v>4.8625919999999998E-3</v>
      </c>
      <c r="X2637">
        <v>0.99047830000000003</v>
      </c>
      <c r="Y2637">
        <v>-0.33023540000000001</v>
      </c>
      <c r="Z2637">
        <v>0.17860039999999999</v>
      </c>
      <c r="AA2637">
        <v>0.92684759999999999</v>
      </c>
      <c r="AB2637">
        <v>31</v>
      </c>
      <c r="AC2637">
        <v>3.1023000000000098</v>
      </c>
      <c r="AD2637">
        <v>-1.112855960971</v>
      </c>
      <c r="AE2637">
        <v>-5.0614000000000097</v>
      </c>
      <c r="AF2637">
        <v>-2.0320106906478901</v>
      </c>
      <c r="AG2637">
        <v>-1.112855960971</v>
      </c>
      <c r="AH2637">
        <v>5.36290715747114</v>
      </c>
      <c r="AI2637">
        <v>100.981625039158</v>
      </c>
      <c r="AJ2637">
        <v>110.751746355366</v>
      </c>
      <c r="AK2637">
        <v>5.8419422298094696</v>
      </c>
      <c r="AL2637">
        <v>89.7213929129951</v>
      </c>
      <c r="AM2637">
        <v>97.908120072537798</v>
      </c>
      <c r="AN2637">
        <v>1.00000003600536</v>
      </c>
    </row>
    <row r="2638" spans="1:40" x14ac:dyDescent="0.25">
      <c r="A2638" t="str">
        <f>"20190312151548862"</f>
        <v>20190312151548862</v>
      </c>
      <c r="B2638" t="str">
        <f>"1552374948850608"</f>
        <v>1552374948850608</v>
      </c>
      <c r="C2638" t="s">
        <v>40</v>
      </c>
      <c r="D2638">
        <v>4.6407129999999999</v>
      </c>
      <c r="E2638">
        <v>0.42254589999999997</v>
      </c>
      <c r="F2638" t="s">
        <v>43</v>
      </c>
      <c r="G2638">
        <v>-488.57690000000002</v>
      </c>
      <c r="H2638" s="1">
        <v>-3.699467E-6</v>
      </c>
      <c r="I2638">
        <v>237.6679</v>
      </c>
      <c r="J2638">
        <v>-491.95800000000003</v>
      </c>
      <c r="K2638">
        <v>1.1129800000000001</v>
      </c>
      <c r="L2638">
        <v>243.1695</v>
      </c>
      <c r="M2638">
        <v>0.19087850000000001</v>
      </c>
      <c r="N2638">
        <v>0</v>
      </c>
      <c r="O2638">
        <v>-0.98153520000000005</v>
      </c>
      <c r="P2638">
        <v>0.32515480000000002</v>
      </c>
      <c r="Q2638">
        <v>-6.3768469999999997E-3</v>
      </c>
      <c r="R2638">
        <v>-0.94563929999999996</v>
      </c>
      <c r="S2638">
        <v>1.5619809999999901</v>
      </c>
      <c r="T2638">
        <v>-0.50461089999999997</v>
      </c>
      <c r="U2638">
        <v>-2.6356350000000002</v>
      </c>
      <c r="V2638">
        <v>-0.13870350000000001</v>
      </c>
      <c r="W2638">
        <v>4.7648409999999997E-3</v>
      </c>
      <c r="X2638">
        <v>0.99032249999999999</v>
      </c>
      <c r="Y2638">
        <v>-0.32920110000000002</v>
      </c>
      <c r="Z2638">
        <v>0.16486229999999999</v>
      </c>
      <c r="AA2638">
        <v>0.92975649999999999</v>
      </c>
      <c r="AB2638">
        <v>31</v>
      </c>
      <c r="AC2638">
        <v>3.3811</v>
      </c>
      <c r="AD2638">
        <v>-1.1129836994669999</v>
      </c>
      <c r="AE2638">
        <v>-5.5015999999999901</v>
      </c>
      <c r="AF2638">
        <v>-2.2032558598461001</v>
      </c>
      <c r="AG2638">
        <v>-1.1129836994669999</v>
      </c>
      <c r="AH2638">
        <v>5.8714407429640296</v>
      </c>
      <c r="AI2638">
        <v>100.06377717962199</v>
      </c>
      <c r="AJ2638">
        <v>110.568582672476</v>
      </c>
      <c r="AK2638">
        <v>6.3692138837821597</v>
      </c>
      <c r="AL2638">
        <v>89.726993690142606</v>
      </c>
      <c r="AM2638">
        <v>97.972921351055703</v>
      </c>
      <c r="AN2638">
        <v>1.0000000093141199</v>
      </c>
    </row>
    <row r="2639" spans="1:40" x14ac:dyDescent="0.25">
      <c r="A2639" t="str">
        <f>"20190312151548885"</f>
        <v>20190312151548885</v>
      </c>
      <c r="B2639" t="str">
        <f>"1552374948879885"</f>
        <v>1552374948879885</v>
      </c>
      <c r="C2639" t="s">
        <v>40</v>
      </c>
      <c r="D2639">
        <v>4.6491680000000004</v>
      </c>
      <c r="E2639">
        <v>0.4232149</v>
      </c>
      <c r="F2639" t="s">
        <v>43</v>
      </c>
      <c r="G2639">
        <v>-488.37979999999999</v>
      </c>
      <c r="H2639" s="1">
        <v>-3.533696E-6</v>
      </c>
      <c r="I2639">
        <v>237.2</v>
      </c>
      <c r="J2639">
        <v>-491.8931</v>
      </c>
      <c r="K2639">
        <v>1.1130910000000001</v>
      </c>
      <c r="L2639">
        <v>242.85980000000001</v>
      </c>
      <c r="M2639">
        <v>0.19529530000000001</v>
      </c>
      <c r="N2639">
        <v>0</v>
      </c>
      <c r="O2639">
        <v>-0.98066569999999997</v>
      </c>
      <c r="P2639">
        <v>0.33039859999999999</v>
      </c>
      <c r="Q2639">
        <v>-5.9762670000000004E-3</v>
      </c>
      <c r="R2639">
        <v>-0.94382259999999996</v>
      </c>
      <c r="S2639">
        <v>1.575043</v>
      </c>
      <c r="T2639">
        <v>-0.48990420000000001</v>
      </c>
      <c r="U2639">
        <v>-2.6276090000000001</v>
      </c>
      <c r="V2639">
        <v>-0.13974679999999901</v>
      </c>
      <c r="W2639">
        <v>5.1329549999999998E-3</v>
      </c>
      <c r="X2639">
        <v>0.99017390000000005</v>
      </c>
      <c r="Y2639">
        <v>-0.3300092</v>
      </c>
      <c r="Z2639">
        <v>0.1601822</v>
      </c>
      <c r="AA2639">
        <v>0.93028789999999995</v>
      </c>
      <c r="AB2639">
        <v>31</v>
      </c>
      <c r="AC2639">
        <v>3.5133000000000099</v>
      </c>
      <c r="AD2639">
        <v>-1.1130945336960001</v>
      </c>
      <c r="AE2639">
        <v>-5.6598000000000104</v>
      </c>
      <c r="AF2639">
        <v>-2.2766578038423302</v>
      </c>
      <c r="AG2639">
        <v>-1.1130945336960001</v>
      </c>
      <c r="AH2639">
        <v>6.0675799278899802</v>
      </c>
      <c r="AI2639">
        <v>99.745851213848496</v>
      </c>
      <c r="AJ2639">
        <v>110.566933725746</v>
      </c>
      <c r="AK2639">
        <v>6.5755362046051804</v>
      </c>
      <c r="AL2639">
        <v>89.705902031142898</v>
      </c>
      <c r="AM2639">
        <v>98.033301987208304</v>
      </c>
      <c r="AN2639">
        <v>0.99999993378923802</v>
      </c>
    </row>
    <row r="2640" spans="1:40" x14ac:dyDescent="0.25">
      <c r="A2640" t="str">
        <f>"20190312151548908"</f>
        <v>20190312151548908</v>
      </c>
      <c r="B2640" t="str">
        <f>"1552374948900380"</f>
        <v>1552374948900380</v>
      </c>
      <c r="C2640" t="s">
        <v>40</v>
      </c>
      <c r="D2640">
        <v>4.5570199999999996</v>
      </c>
      <c r="E2640">
        <v>0.42418899999999998</v>
      </c>
      <c r="F2640" t="s">
        <v>43</v>
      </c>
      <c r="G2640">
        <v>-488.20479999999998</v>
      </c>
      <c r="H2640" s="1">
        <v>-3.3757309999999999E-6</v>
      </c>
      <c r="I2640">
        <v>236.7594</v>
      </c>
      <c r="J2640">
        <v>-491.82749999999999</v>
      </c>
      <c r="K2640">
        <v>1.113202</v>
      </c>
      <c r="L2640">
        <v>242.554</v>
      </c>
      <c r="M2640">
        <v>0.19977980000000001</v>
      </c>
      <c r="N2640">
        <v>0</v>
      </c>
      <c r="O2640">
        <v>-0.97976180000000002</v>
      </c>
      <c r="P2640">
        <v>0.33551170000000002</v>
      </c>
      <c r="Q2640">
        <v>-5.7234319999999997E-3</v>
      </c>
      <c r="R2640">
        <v>-0.94201860000000004</v>
      </c>
      <c r="S2640">
        <v>1.5845640000000001</v>
      </c>
      <c r="T2640">
        <v>-0.4782073</v>
      </c>
      <c r="U2640">
        <v>-2.6208499999999999</v>
      </c>
      <c r="V2640">
        <v>-0.1405894</v>
      </c>
      <c r="W2640">
        <v>5.3570650000000003E-3</v>
      </c>
      <c r="X2640">
        <v>0.99005350000000003</v>
      </c>
      <c r="Y2640">
        <v>-0.32954450000000002</v>
      </c>
      <c r="Z2640">
        <v>0.15646280000000001</v>
      </c>
      <c r="AA2640">
        <v>0.9310853</v>
      </c>
      <c r="AB2640">
        <v>31</v>
      </c>
      <c r="AC2640">
        <v>3.6227</v>
      </c>
      <c r="AD2640">
        <v>-1.1132053757310001</v>
      </c>
      <c r="AE2640">
        <v>-5.7946</v>
      </c>
      <c r="AF2640">
        <v>-2.3300948733242901</v>
      </c>
      <c r="AG2640">
        <v>-1.1132053757310001</v>
      </c>
      <c r="AH2640">
        <v>6.23609019872519</v>
      </c>
      <c r="AI2640">
        <v>99.4930846981744</v>
      </c>
      <c r="AJ2640">
        <v>110.488038959657</v>
      </c>
      <c r="AK2640">
        <v>6.7496214185600802</v>
      </c>
      <c r="AL2640">
        <v>89.693061318411694</v>
      </c>
      <c r="AM2640">
        <v>98.082070414315595</v>
      </c>
      <c r="AN2640">
        <v>1.00000000520001</v>
      </c>
    </row>
    <row r="2641" spans="1:40" x14ac:dyDescent="0.25">
      <c r="A2641" t="str">
        <f>"20190312151548920"</f>
        <v>20190312151548920</v>
      </c>
      <c r="B2641" t="str">
        <f>"1552374948910141"</f>
        <v>1552374948910141</v>
      </c>
      <c r="C2641" t="s">
        <v>40</v>
      </c>
      <c r="D2641">
        <v>4.6681109999999997</v>
      </c>
      <c r="E2641">
        <v>0.42441400000000001</v>
      </c>
      <c r="F2641" t="s">
        <v>43</v>
      </c>
      <c r="G2641">
        <v>-488.04259999999999</v>
      </c>
      <c r="H2641" s="1">
        <v>-3.2216950000000001E-6</v>
      </c>
      <c r="I2641">
        <v>236.33330000000001</v>
      </c>
      <c r="J2641">
        <v>-491.7885</v>
      </c>
      <c r="K2641">
        <v>1.1132569999999999</v>
      </c>
      <c r="L2641">
        <v>242.376</v>
      </c>
      <c r="M2641">
        <v>0.20244619999999999</v>
      </c>
      <c r="N2641">
        <v>0</v>
      </c>
      <c r="O2641">
        <v>-0.97921429999999998</v>
      </c>
      <c r="P2641">
        <v>0.33845439999999999</v>
      </c>
      <c r="Q2641">
        <v>-5.7880859999999996E-3</v>
      </c>
      <c r="R2641">
        <v>-0.94096519999999995</v>
      </c>
      <c r="S2641">
        <v>1.5911249999999999</v>
      </c>
      <c r="T2641">
        <v>-0.46798070000000003</v>
      </c>
      <c r="U2641">
        <v>-2.6151279999999999</v>
      </c>
      <c r="V2641">
        <v>-0.14098840000000001</v>
      </c>
      <c r="W2641">
        <v>5.2783880000000002E-3</v>
      </c>
      <c r="X2641">
        <v>0.98999720000000002</v>
      </c>
      <c r="Y2641">
        <v>-0.32984999999999998</v>
      </c>
      <c r="Z2641">
        <v>0.153256</v>
      </c>
      <c r="AA2641">
        <v>0.93151030000000001</v>
      </c>
      <c r="AB2641">
        <v>31</v>
      </c>
      <c r="AC2641">
        <v>3.7458999999999998</v>
      </c>
      <c r="AD2641">
        <v>-1.1132602216949901</v>
      </c>
      <c r="AE2641">
        <v>-6.04269999999996</v>
      </c>
      <c r="AF2641">
        <v>-2.3863940243192601</v>
      </c>
      <c r="AG2641">
        <v>-1.1132602216949901</v>
      </c>
      <c r="AH2641">
        <v>6.5161866894251599</v>
      </c>
      <c r="AI2641">
        <v>99.114047125647502</v>
      </c>
      <c r="AJ2641">
        <v>110.114021165577</v>
      </c>
      <c r="AK2641">
        <v>7.0281515160073704</v>
      </c>
      <c r="AL2641">
        <v>89.697569247604704</v>
      </c>
      <c r="AM2641">
        <v>98.105158202725093</v>
      </c>
      <c r="AN2641">
        <v>1.0000000231611299</v>
      </c>
    </row>
    <row r="2642" spans="1:40" x14ac:dyDescent="0.25">
      <c r="A2642" t="str">
        <f>"20190312151548947"</f>
        <v>20190312151548947</v>
      </c>
      <c r="B2642" t="str">
        <f>"1552374948940396"</f>
        <v>1552374948940396</v>
      </c>
      <c r="C2642" t="s">
        <v>40</v>
      </c>
      <c r="D2642">
        <v>4.6750509999999998</v>
      </c>
      <c r="E2642">
        <v>0.42515730000000002</v>
      </c>
      <c r="F2642" t="s">
        <v>43</v>
      </c>
      <c r="G2642">
        <v>-487.97239999999999</v>
      </c>
      <c r="H2642" s="1">
        <v>-3.1514149999999998E-6</v>
      </c>
      <c r="I2642">
        <v>236.1404</v>
      </c>
      <c r="J2642">
        <v>-491.71510000000001</v>
      </c>
      <c r="K2642">
        <v>1.1133519999999999</v>
      </c>
      <c r="L2642">
        <v>242.0471</v>
      </c>
      <c r="M2642">
        <v>0.2074609</v>
      </c>
      <c r="N2642">
        <v>0</v>
      </c>
      <c r="O2642">
        <v>-0.97816380000000003</v>
      </c>
      <c r="P2642">
        <v>0.34428399999999998</v>
      </c>
      <c r="Q2642">
        <v>-6.2349500000000004E-3</v>
      </c>
      <c r="R2642">
        <v>-0.93884520000000005</v>
      </c>
      <c r="S2642">
        <v>1.5976870000000001</v>
      </c>
      <c r="T2642">
        <v>-0.46609070000000002</v>
      </c>
      <c r="U2642">
        <v>-2.6106720000000001</v>
      </c>
      <c r="V2642">
        <v>-0.14205409999999999</v>
      </c>
      <c r="W2642">
        <v>4.8020340000000002E-3</v>
      </c>
      <c r="X2642">
        <v>0.98984720000000004</v>
      </c>
      <c r="Y2642">
        <v>-0.32748139999999998</v>
      </c>
      <c r="Z2642">
        <v>0.1526014</v>
      </c>
      <c r="AA2642">
        <v>0.93245310000000003</v>
      </c>
      <c r="AB2642">
        <v>31</v>
      </c>
      <c r="AC2642">
        <v>3.7427000000000099</v>
      </c>
      <c r="AD2642">
        <v>-1.113355151415</v>
      </c>
      <c r="AE2642">
        <v>-5.9066999999999998</v>
      </c>
      <c r="AF2642">
        <v>-2.37553293023594</v>
      </c>
      <c r="AG2642">
        <v>-1.113355151415</v>
      </c>
      <c r="AH2642">
        <v>6.3926374802016497</v>
      </c>
      <c r="AI2642">
        <v>99.272002857718107</v>
      </c>
      <c r="AJ2642">
        <v>110.38529323312</v>
      </c>
      <c r="AK2642">
        <v>6.9100311395171401</v>
      </c>
      <c r="AL2642">
        <v>89.724862648388395</v>
      </c>
      <c r="AM2642">
        <v>98.166820832229206</v>
      </c>
      <c r="AN2642">
        <v>0.99999995310259204</v>
      </c>
    </row>
    <row r="2643" spans="1:40" x14ac:dyDescent="0.25">
      <c r="A2643" t="str">
        <f>"20190312151548965"</f>
        <v>20190312151548965</v>
      </c>
      <c r="B2643" t="str">
        <f>"1552374948960893"</f>
        <v>1552374948960893</v>
      </c>
      <c r="C2643" t="s">
        <v>40</v>
      </c>
      <c r="D2643">
        <v>4.7333210000000001</v>
      </c>
      <c r="E2643">
        <v>0.42544749999999998</v>
      </c>
      <c r="F2643" t="s">
        <v>43</v>
      </c>
      <c r="G2643">
        <v>-487.84370000000001</v>
      </c>
      <c r="H2643" s="1">
        <v>-3.0202790000000002E-6</v>
      </c>
      <c r="I2643">
        <v>235.78149999999999</v>
      </c>
      <c r="J2643">
        <v>-491.65550000000002</v>
      </c>
      <c r="K2643">
        <v>1.1134189999999999</v>
      </c>
      <c r="L2643">
        <v>241.7859</v>
      </c>
      <c r="M2643">
        <v>0.2115126</v>
      </c>
      <c r="N2643">
        <v>0</v>
      </c>
      <c r="O2643">
        <v>-0.97729549999999998</v>
      </c>
      <c r="P2643">
        <v>0.34938069999999999</v>
      </c>
      <c r="Q2643">
        <v>-7.0908719999999998E-3</v>
      </c>
      <c r="R2643">
        <v>-0.93695410000000001</v>
      </c>
      <c r="S2643">
        <v>1.6081240000000001</v>
      </c>
      <c r="T2643">
        <v>-0.46247460000000001</v>
      </c>
      <c r="U2643">
        <v>-2.6026609999999999</v>
      </c>
      <c r="V2643">
        <v>-0.14332520000000001</v>
      </c>
      <c r="W2643">
        <v>3.9203709999999998E-3</v>
      </c>
      <c r="X2643">
        <v>0.98966790000000004</v>
      </c>
      <c r="Y2643">
        <v>-0.32764989999999999</v>
      </c>
      <c r="Z2643">
        <v>0.15148589999999901</v>
      </c>
      <c r="AA2643">
        <v>0.93257579999999995</v>
      </c>
      <c r="AB2643">
        <v>31</v>
      </c>
      <c r="AC2643">
        <v>3.8117999999999999</v>
      </c>
      <c r="AD2643">
        <v>-1.1134220202789999</v>
      </c>
      <c r="AE2643">
        <v>-6.0044000000000004</v>
      </c>
      <c r="AF2643">
        <v>-2.39670044970025</v>
      </c>
      <c r="AG2643">
        <v>-1.1134220202789999</v>
      </c>
      <c r="AH2643">
        <v>6.5151599266712701</v>
      </c>
      <c r="AI2643">
        <v>99.112009098188807</v>
      </c>
      <c r="AJ2643">
        <v>110.196811354461</v>
      </c>
      <c r="AK2643">
        <v>7.0307318616868599</v>
      </c>
      <c r="AL2643">
        <v>89.775378716073803</v>
      </c>
      <c r="AM2643">
        <v>98.240370858995007</v>
      </c>
      <c r="AN2643">
        <v>1.00000001727711</v>
      </c>
    </row>
    <row r="2644" spans="1:40" x14ac:dyDescent="0.25">
      <c r="A2644" t="str">
        <f>"20190312151548988"</f>
        <v>20190312151548988</v>
      </c>
      <c r="B2644" t="str">
        <f>"1552374948980412"</f>
        <v>1552374948980412</v>
      </c>
      <c r="C2644" t="s">
        <v>40</v>
      </c>
      <c r="D2644">
        <v>4.6922790000000001</v>
      </c>
      <c r="E2644">
        <v>0.42575990000000002</v>
      </c>
      <c r="F2644" t="s">
        <v>43</v>
      </c>
      <c r="G2644">
        <v>-487.76679999999999</v>
      </c>
      <c r="H2644" s="1">
        <v>-2.9375860000000001E-6</v>
      </c>
      <c r="I2644">
        <v>235.55690000000001</v>
      </c>
      <c r="J2644">
        <v>-491.58449999999999</v>
      </c>
      <c r="K2644">
        <v>1.11348</v>
      </c>
      <c r="L2644">
        <v>241.482</v>
      </c>
      <c r="M2644">
        <v>0.21629119999999999</v>
      </c>
      <c r="N2644">
        <v>0</v>
      </c>
      <c r="O2644">
        <v>-0.97624889999999998</v>
      </c>
      <c r="P2644">
        <v>0.3550104</v>
      </c>
      <c r="Q2644">
        <v>-7.510844E-3</v>
      </c>
      <c r="R2644">
        <v>-0.93483249999999996</v>
      </c>
      <c r="S2644">
        <v>1.619659</v>
      </c>
      <c r="T2644">
        <v>-0.46374480000000001</v>
      </c>
      <c r="U2644">
        <v>-2.5944060000000002</v>
      </c>
      <c r="V2644">
        <v>-0.1444338</v>
      </c>
      <c r="W2644">
        <v>3.4764380000000001E-3</v>
      </c>
      <c r="X2644">
        <v>0.98950830000000001</v>
      </c>
      <c r="Y2644">
        <v>-0.32731460000000001</v>
      </c>
      <c r="Z2644">
        <v>0.15189849999999999</v>
      </c>
      <c r="AA2644">
        <v>0.93262639999999997</v>
      </c>
      <c r="AB2644">
        <v>31</v>
      </c>
      <c r="AC2644">
        <v>3.8176999999999999</v>
      </c>
      <c r="AD2644">
        <v>-1.113482937586</v>
      </c>
      <c r="AE2644">
        <v>-5.92509999999998</v>
      </c>
      <c r="AF2644">
        <v>-2.3861219151725499</v>
      </c>
      <c r="AG2644">
        <v>-1.113482937586</v>
      </c>
      <c r="AH2644">
        <v>6.44966710302793</v>
      </c>
      <c r="AI2644">
        <v>99.197303188214505</v>
      </c>
      <c r="AJ2644">
        <v>110.302481841991</v>
      </c>
      <c r="AK2644">
        <v>6.9664645112311101</v>
      </c>
      <c r="AL2644">
        <v>89.800814362090406</v>
      </c>
      <c r="AM2644">
        <v>98.304544205636603</v>
      </c>
      <c r="AN2644">
        <v>0.99999994198624698</v>
      </c>
    </row>
    <row r="2645" spans="1:40" x14ac:dyDescent="0.25">
      <c r="A2645" t="str">
        <f>"20190312151549009"</f>
        <v>20190312151549009</v>
      </c>
      <c r="B2645" t="str">
        <f>"1552374948999933"</f>
        <v>1552374948999933</v>
      </c>
      <c r="C2645" t="s">
        <v>40</v>
      </c>
      <c r="D2645">
        <v>4.6232930000000003</v>
      </c>
      <c r="E2645">
        <v>0.42596240000000002</v>
      </c>
      <c r="F2645" t="s">
        <v>43</v>
      </c>
      <c r="G2645">
        <v>-487.6533</v>
      </c>
      <c r="H2645" s="1">
        <v>-2.8285059999999999E-6</v>
      </c>
      <c r="I2645">
        <v>235.25579999999999</v>
      </c>
      <c r="J2645">
        <v>-491.51609999999999</v>
      </c>
      <c r="K2645">
        <v>1.113531</v>
      </c>
      <c r="L2645">
        <v>241.1951</v>
      </c>
      <c r="M2645">
        <v>0.22084989999999999</v>
      </c>
      <c r="N2645">
        <v>0</v>
      </c>
      <c r="O2645">
        <v>-0.97522759999999997</v>
      </c>
      <c r="P2645">
        <v>0.3606531</v>
      </c>
      <c r="Q2645">
        <v>-7.9731309999999996E-3</v>
      </c>
      <c r="R2645">
        <v>-0.93266590000000005</v>
      </c>
      <c r="S2645">
        <v>1.6324459999999901</v>
      </c>
      <c r="T2645">
        <v>-0.46237709999999999</v>
      </c>
      <c r="U2645">
        <v>-2.5854490000000001</v>
      </c>
      <c r="V2645">
        <v>-0.14578669999999999</v>
      </c>
      <c r="W2645">
        <v>2.9905439999999999E-3</v>
      </c>
      <c r="X2645">
        <v>0.98931150000000001</v>
      </c>
      <c r="Y2645">
        <v>-0.32769599999999999</v>
      </c>
      <c r="Z2645">
        <v>0.15146960000000001</v>
      </c>
      <c r="AA2645">
        <v>0.93256220000000001</v>
      </c>
      <c r="AB2645">
        <v>31</v>
      </c>
      <c r="AC2645">
        <v>3.8627999999999898</v>
      </c>
      <c r="AD2645">
        <v>-1.1135338285059999</v>
      </c>
      <c r="AE2645">
        <v>-5.9393000000000002</v>
      </c>
      <c r="AF2645">
        <v>-2.3964111471445402</v>
      </c>
      <c r="AG2645">
        <v>-1.1135338285059999</v>
      </c>
      <c r="AH2645">
        <v>6.4855809013879799</v>
      </c>
      <c r="AI2645">
        <v>99.1489996021633</v>
      </c>
      <c r="AJ2645">
        <v>110.279185889042</v>
      </c>
      <c r="AK2645">
        <v>7.0032495030403101</v>
      </c>
      <c r="AL2645">
        <v>89.828654190604993</v>
      </c>
      <c r="AM2645">
        <v>98.382875859337204</v>
      </c>
      <c r="AN2645">
        <v>0.99999997464127699</v>
      </c>
    </row>
    <row r="2646" spans="1:40" x14ac:dyDescent="0.25">
      <c r="A2646" t="str">
        <f>"20190312151549033"</f>
        <v>20190312151549033</v>
      </c>
      <c r="B2646" t="str">
        <f>"1552374949030189"</f>
        <v>1552374949030189</v>
      </c>
      <c r="C2646" t="s">
        <v>40</v>
      </c>
      <c r="D2646">
        <v>4.6504640000000004</v>
      </c>
      <c r="E2646">
        <v>0.42608049999999997</v>
      </c>
      <c r="F2646" t="s">
        <v>43</v>
      </c>
      <c r="G2646">
        <v>-487.54680000000002</v>
      </c>
      <c r="H2646" s="1">
        <v>-2.7312000000000002E-6</v>
      </c>
      <c r="I2646">
        <v>234.98490000000001</v>
      </c>
      <c r="J2646">
        <v>-491.43830000000003</v>
      </c>
      <c r="K2646">
        <v>1.1135740000000001</v>
      </c>
      <c r="L2646">
        <v>240.87540000000001</v>
      </c>
      <c r="M2646">
        <v>0.22597300000000001</v>
      </c>
      <c r="N2646">
        <v>0</v>
      </c>
      <c r="O2646">
        <v>-0.97405339999999996</v>
      </c>
      <c r="P2646">
        <v>0.36653659999999999</v>
      </c>
      <c r="Q2646">
        <v>-8.4567240000000005E-3</v>
      </c>
      <c r="R2646">
        <v>-0.93036560000000001</v>
      </c>
      <c r="S2646">
        <v>1.6464840000000001</v>
      </c>
      <c r="T2646">
        <v>-0.46189930000000001</v>
      </c>
      <c r="U2646">
        <v>-2.5760040000000002</v>
      </c>
      <c r="V2646">
        <v>-0.14683170000000001</v>
      </c>
      <c r="W2646">
        <v>2.4889130000000001E-3</v>
      </c>
      <c r="X2646">
        <v>0.98915839999999999</v>
      </c>
      <c r="Y2646">
        <v>-0.32790900000000001</v>
      </c>
      <c r="Z2646">
        <v>0.1512983</v>
      </c>
      <c r="AA2646">
        <v>0.93251510000000004</v>
      </c>
      <c r="AB2646">
        <v>31</v>
      </c>
      <c r="AC2646">
        <v>3.8915000000000002</v>
      </c>
      <c r="AD2646">
        <v>-1.1135767312</v>
      </c>
      <c r="AE2646">
        <v>-5.8905000000000003</v>
      </c>
      <c r="AF2646">
        <v>-2.3999174570177799</v>
      </c>
      <c r="AG2646">
        <v>-1.1135767312</v>
      </c>
      <c r="AH2646">
        <v>6.4569057277612396</v>
      </c>
      <c r="AI2646">
        <v>99.182861130481797</v>
      </c>
      <c r="AJ2646">
        <v>110.389208390799</v>
      </c>
      <c r="AK2646">
        <v>6.9779143383940099</v>
      </c>
      <c r="AL2646">
        <v>89.857395648218301</v>
      </c>
      <c r="AM2646">
        <v>98.443389291596404</v>
      </c>
      <c r="AN2646">
        <v>1.0000000415516801</v>
      </c>
    </row>
    <row r="2647" spans="1:40" x14ac:dyDescent="0.25">
      <c r="A2647" t="str">
        <f>"20190312151549054"</f>
        <v>20190312151549054</v>
      </c>
      <c r="B2647" t="str">
        <f>"1552374949050684"</f>
        <v>1552374949050684</v>
      </c>
      <c r="C2647" t="s">
        <v>40</v>
      </c>
      <c r="D2647">
        <v>4.6591490000000002</v>
      </c>
      <c r="E2647">
        <v>0.42633389999999999</v>
      </c>
      <c r="F2647" t="s">
        <v>43</v>
      </c>
      <c r="G2647">
        <v>-487.45310000000001</v>
      </c>
      <c r="H2647" s="1">
        <v>-2.6352959999999999E-6</v>
      </c>
      <c r="I2647">
        <v>234.7226</v>
      </c>
      <c r="J2647">
        <v>-491.36840000000001</v>
      </c>
      <c r="K2647">
        <v>1.11359599999999</v>
      </c>
      <c r="L2647">
        <v>240.59540000000001</v>
      </c>
      <c r="M2647">
        <v>0.23048779999999999</v>
      </c>
      <c r="N2647">
        <v>0</v>
      </c>
      <c r="O2647">
        <v>-0.9729949</v>
      </c>
      <c r="P2647">
        <v>0.37213560000000001</v>
      </c>
      <c r="Q2647">
        <v>-8.9424580000000004E-3</v>
      </c>
      <c r="R2647">
        <v>-0.92813579999999996</v>
      </c>
      <c r="S2647">
        <v>1.6618040000000001</v>
      </c>
      <c r="T2647">
        <v>-0.4643562</v>
      </c>
      <c r="U2647">
        <v>-2.5656889999999999</v>
      </c>
      <c r="V2647">
        <v>-0.14820050000000001</v>
      </c>
      <c r="W2647">
        <v>1.9839440000000001E-3</v>
      </c>
      <c r="X2647">
        <v>0.98895529999999998</v>
      </c>
      <c r="Y2647">
        <v>-0.32909890000000003</v>
      </c>
      <c r="Z2647">
        <v>0.1520852</v>
      </c>
      <c r="AA2647">
        <v>0.93196780000000001</v>
      </c>
      <c r="AB2647">
        <v>31</v>
      </c>
      <c r="AC2647">
        <v>3.9152999999999998</v>
      </c>
      <c r="AD2647">
        <v>-1.1135986352959999</v>
      </c>
      <c r="AE2647">
        <v>-5.8728000000000096</v>
      </c>
      <c r="AF2647">
        <v>-2.39649660961752</v>
      </c>
      <c r="AG2647">
        <v>-1.1135986352959999</v>
      </c>
      <c r="AH2647">
        <v>6.4564370336814196</v>
      </c>
      <c r="AI2647">
        <v>99.1851757132778</v>
      </c>
      <c r="AJ2647">
        <v>110.363889959506</v>
      </c>
      <c r="AK2647">
        <v>6.9763082708789801</v>
      </c>
      <c r="AL2647">
        <v>89.886328302304193</v>
      </c>
      <c r="AM2647">
        <v>98.522674560588101</v>
      </c>
      <c r="AN2647">
        <v>0.99999995481606596</v>
      </c>
    </row>
    <row r="2648" spans="1:40" x14ac:dyDescent="0.25">
      <c r="A2648" t="str">
        <f>"20190312151549076"</f>
        <v>20190312151549076</v>
      </c>
      <c r="B2648" t="str">
        <f>"1552374949070205"</f>
        <v>1552374949070205</v>
      </c>
      <c r="C2648" t="s">
        <v>40</v>
      </c>
      <c r="D2648">
        <v>4.6684890000000001</v>
      </c>
      <c r="E2648">
        <v>0.42648750000000002</v>
      </c>
      <c r="F2648" t="s">
        <v>43</v>
      </c>
      <c r="G2648">
        <v>-487.3587</v>
      </c>
      <c r="H2648" s="1">
        <v>-2.5472540000000002E-6</v>
      </c>
      <c r="I2648">
        <v>234.47829999999999</v>
      </c>
      <c r="J2648">
        <v>-491.29450000000003</v>
      </c>
      <c r="K2648">
        <v>1.1136109999999999</v>
      </c>
      <c r="L2648">
        <v>240.3049</v>
      </c>
      <c r="M2648">
        <v>0.23518510000000001</v>
      </c>
      <c r="N2648">
        <v>0</v>
      </c>
      <c r="O2648">
        <v>-0.97186989999999995</v>
      </c>
      <c r="P2648">
        <v>0.3775828</v>
      </c>
      <c r="Q2648">
        <v>-9.5544759999999992E-3</v>
      </c>
      <c r="R2648">
        <v>-0.92592699999999994</v>
      </c>
      <c r="S2648">
        <v>1.67547599999999</v>
      </c>
      <c r="T2648">
        <v>-0.4653195</v>
      </c>
      <c r="U2648">
        <v>-2.5560149999999999</v>
      </c>
      <c r="V2648">
        <v>-0.14923</v>
      </c>
      <c r="W2648">
        <v>1.3583340000000001E-3</v>
      </c>
      <c r="X2648">
        <v>0.98880159999999995</v>
      </c>
      <c r="Y2648">
        <v>-0.32961980000000002</v>
      </c>
      <c r="Z2648">
        <v>0.15238850000000001</v>
      </c>
      <c r="AA2648">
        <v>0.93173410000000001</v>
      </c>
      <c r="AB2648">
        <v>31</v>
      </c>
      <c r="AC2648">
        <v>3.9358000000000199</v>
      </c>
      <c r="AD2648">
        <v>-1.1136135472540001</v>
      </c>
      <c r="AE2648">
        <v>-5.8266000000000098</v>
      </c>
      <c r="AF2648">
        <v>-2.3948761398875802</v>
      </c>
      <c r="AG2648">
        <v>-1.1136135472540001</v>
      </c>
      <c r="AH2648">
        <v>6.4276265270553203</v>
      </c>
      <c r="AI2648">
        <v>99.221580708580305</v>
      </c>
      <c r="AJ2648">
        <v>110.434943495639</v>
      </c>
      <c r="AK2648">
        <v>6.9490970369779497</v>
      </c>
      <c r="AL2648">
        <v>89.922173172337693</v>
      </c>
      <c r="AM2648">
        <v>98.582314374617098</v>
      </c>
      <c r="AN2648">
        <v>1.0000000210669</v>
      </c>
    </row>
    <row r="2649" spans="1:40" x14ac:dyDescent="0.25">
      <c r="A2649" t="str">
        <f>"20190312151549097"</f>
        <v>20190312151549097</v>
      </c>
      <c r="B2649" t="str">
        <f>"1552374949090700"</f>
        <v>1552374949090700</v>
      </c>
      <c r="C2649" t="s">
        <v>40</v>
      </c>
      <c r="D2649">
        <v>4.6915110000000002</v>
      </c>
      <c r="E2649">
        <v>0.4264676</v>
      </c>
      <c r="F2649" t="s">
        <v>43</v>
      </c>
      <c r="G2649">
        <v>-487.27480000000003</v>
      </c>
      <c r="H2649" s="1">
        <v>-2.460677E-6</v>
      </c>
      <c r="I2649">
        <v>234.24180000000001</v>
      </c>
      <c r="J2649">
        <v>-491.21879999999999</v>
      </c>
      <c r="K2649">
        <v>1.113629</v>
      </c>
      <c r="L2649">
        <v>240.01320000000001</v>
      </c>
      <c r="M2649">
        <v>0.23990900000000001</v>
      </c>
      <c r="N2649">
        <v>0</v>
      </c>
      <c r="O2649">
        <v>-0.97071439999999998</v>
      </c>
      <c r="P2649">
        <v>0.38294739999999999</v>
      </c>
      <c r="Q2649">
        <v>-9.7503490000000002E-3</v>
      </c>
      <c r="R2649">
        <v>-0.92371879999999995</v>
      </c>
      <c r="S2649">
        <v>1.6884159999999999</v>
      </c>
      <c r="T2649">
        <v>-0.46775480000000003</v>
      </c>
      <c r="U2649">
        <v>-2.5466920000000002</v>
      </c>
      <c r="V2649">
        <v>-0.1501546</v>
      </c>
      <c r="W2649">
        <v>1.15234E-3</v>
      </c>
      <c r="X2649">
        <v>0.98866189999999998</v>
      </c>
      <c r="Y2649">
        <v>-0.32982509999999998</v>
      </c>
      <c r="Z2649">
        <v>0.1531546</v>
      </c>
      <c r="AA2649">
        <v>0.93153589999999997</v>
      </c>
      <c r="AB2649">
        <v>31</v>
      </c>
      <c r="AC2649">
        <v>3.94399999999996</v>
      </c>
      <c r="AD2649">
        <v>-1.1136314606769999</v>
      </c>
      <c r="AE2649">
        <v>-5.7713999999999999</v>
      </c>
      <c r="AF2649">
        <v>-2.3835834977701702</v>
      </c>
      <c r="AG2649">
        <v>-1.1136314606769999</v>
      </c>
      <c r="AH2649">
        <v>6.3869948826757001</v>
      </c>
      <c r="AI2649">
        <v>99.277576871965607</v>
      </c>
      <c r="AJ2649">
        <v>110.465235782546</v>
      </c>
      <c r="AK2649">
        <v>6.9076297637016904</v>
      </c>
      <c r="AL2649">
        <v>89.933975769606704</v>
      </c>
      <c r="AM2649">
        <v>98.635891368755097</v>
      </c>
      <c r="AN2649">
        <v>1.0000000421501201</v>
      </c>
    </row>
    <row r="2650" spans="1:40" x14ac:dyDescent="0.25">
      <c r="A2650" t="str">
        <f>"20190312151549119"</f>
        <v>20190312151549119</v>
      </c>
      <c r="B2650" t="str">
        <f>"1552374949110220"</f>
        <v>1552374949110220</v>
      </c>
      <c r="C2650" t="s">
        <v>40</v>
      </c>
      <c r="D2650">
        <v>4.6723339999999904</v>
      </c>
      <c r="E2650">
        <v>0.42647940000000001</v>
      </c>
      <c r="F2650" t="s">
        <v>43</v>
      </c>
      <c r="G2650">
        <v>-487.17970000000003</v>
      </c>
      <c r="H2650" s="1">
        <v>-2.3734149999999998E-6</v>
      </c>
      <c r="I2650">
        <v>233.9991</v>
      </c>
      <c r="J2650">
        <v>-491.1395</v>
      </c>
      <c r="K2650">
        <v>1.1136330000000001</v>
      </c>
      <c r="L2650">
        <v>239.714</v>
      </c>
      <c r="M2650">
        <v>0.2447598</v>
      </c>
      <c r="N2650">
        <v>0</v>
      </c>
      <c r="O2650">
        <v>-0.9695028</v>
      </c>
      <c r="P2650">
        <v>0.3885941</v>
      </c>
      <c r="Q2650">
        <v>-9.1700259999999995E-3</v>
      </c>
      <c r="R2650">
        <v>-0.92136379999999996</v>
      </c>
      <c r="S2650">
        <v>1.703552</v>
      </c>
      <c r="T2650">
        <v>-0.46969490000000003</v>
      </c>
      <c r="U2650">
        <v>-2.5365600000000001</v>
      </c>
      <c r="V2650">
        <v>-0.1512664</v>
      </c>
      <c r="W2650">
        <v>1.7202529999999999E-3</v>
      </c>
      <c r="X2650">
        <v>0.98849149999999997</v>
      </c>
      <c r="Y2650">
        <v>-0.33061190000000001</v>
      </c>
      <c r="Z2650">
        <v>0.15373729999999999</v>
      </c>
      <c r="AA2650">
        <v>0.93116089999999996</v>
      </c>
      <c r="AB2650">
        <v>31</v>
      </c>
      <c r="AC2650">
        <v>3.9597999999999698</v>
      </c>
      <c r="AD2650">
        <v>-1.113635373415</v>
      </c>
      <c r="AE2650">
        <v>-5.7149000000000196</v>
      </c>
      <c r="AF2650">
        <v>-2.3794063596465</v>
      </c>
      <c r="AG2650">
        <v>-1.113635373415</v>
      </c>
      <c r="AH2650">
        <v>6.3474754458370102</v>
      </c>
      <c r="AI2650">
        <v>99.329347961889894</v>
      </c>
      <c r="AJ2650">
        <v>110.54894684894499</v>
      </c>
      <c r="AK2650">
        <v>6.8696581359446904</v>
      </c>
      <c r="AL2650">
        <v>89.901436711274499</v>
      </c>
      <c r="AM2650">
        <v>98.700336703865503</v>
      </c>
      <c r="AN2650">
        <v>0.99999996430579596</v>
      </c>
    </row>
    <row r="2651" spans="1:40" x14ac:dyDescent="0.25">
      <c r="A2651" t="str">
        <f>"20190312151549143"</f>
        <v>20190312151549143</v>
      </c>
      <c r="B2651" t="str">
        <f>"1552374949140476"</f>
        <v>1552374949140476</v>
      </c>
      <c r="C2651" t="s">
        <v>40</v>
      </c>
      <c r="D2651">
        <v>4.6453769999999999</v>
      </c>
      <c r="E2651">
        <v>0.42658400000000002</v>
      </c>
      <c r="F2651" t="s">
        <v>43</v>
      </c>
      <c r="G2651">
        <v>-487.04989999999998</v>
      </c>
      <c r="H2651" s="1">
        <v>-2.269169E-6</v>
      </c>
      <c r="I2651">
        <v>233.70240000000001</v>
      </c>
      <c r="J2651">
        <v>-491.05549999999999</v>
      </c>
      <c r="K2651">
        <v>1.113642</v>
      </c>
      <c r="L2651">
        <v>239.40369999999999</v>
      </c>
      <c r="M2651">
        <v>0.2497925</v>
      </c>
      <c r="N2651">
        <v>0</v>
      </c>
      <c r="O2651">
        <v>-0.96821809999999997</v>
      </c>
      <c r="P2651">
        <v>0.39467829999999998</v>
      </c>
      <c r="Q2651">
        <v>-9.3861819999999999E-3</v>
      </c>
      <c r="R2651">
        <v>-0.91877160000000002</v>
      </c>
      <c r="S2651">
        <v>1.71875</v>
      </c>
      <c r="T2651">
        <v>-0.468032</v>
      </c>
      <c r="U2651">
        <v>-2.5265049999999998</v>
      </c>
      <c r="V2651">
        <v>-0.1526672</v>
      </c>
      <c r="W2651">
        <v>1.489464E-3</v>
      </c>
      <c r="X2651">
        <v>0.9882765</v>
      </c>
      <c r="Y2651">
        <v>-0.33132060000000002</v>
      </c>
      <c r="Z2651">
        <v>0.15314900000000001</v>
      </c>
      <c r="AA2651">
        <v>0.931006</v>
      </c>
      <c r="AB2651">
        <v>31</v>
      </c>
      <c r="AC2651">
        <v>4.00560000000001</v>
      </c>
      <c r="AD2651">
        <v>-1.1136442691689901</v>
      </c>
      <c r="AE2651">
        <v>-5.7012999999999696</v>
      </c>
      <c r="AF2651">
        <v>-2.3932109228355198</v>
      </c>
      <c r="AG2651">
        <v>-1.1136442691689901</v>
      </c>
      <c r="AH2651">
        <v>6.3587493840132803</v>
      </c>
      <c r="AI2651">
        <v>99.308634467530496</v>
      </c>
      <c r="AJ2651">
        <v>110.624582660716</v>
      </c>
      <c r="AK2651">
        <v>6.8848642548798002</v>
      </c>
      <c r="AL2651">
        <v>89.914659964646106</v>
      </c>
      <c r="AM2651">
        <v>98.781536592602393</v>
      </c>
      <c r="AN2651">
        <v>0.99999996645554801</v>
      </c>
    </row>
    <row r="2652" spans="1:40" x14ac:dyDescent="0.25">
      <c r="A2652" t="str">
        <f>"20190312151549166"</f>
        <v>20190312151549166</v>
      </c>
      <c r="B2652" t="str">
        <f>"1552374949160642"</f>
        <v>1552374949160642</v>
      </c>
      <c r="C2652" t="s">
        <v>40</v>
      </c>
      <c r="D2652">
        <v>4.6819230000000003</v>
      </c>
      <c r="E2652">
        <v>0.42667090000000002</v>
      </c>
      <c r="F2652" t="s">
        <v>43</v>
      </c>
      <c r="G2652">
        <v>-486.95979999999997</v>
      </c>
      <c r="H2652" s="1">
        <v>-2.1827989999999999E-6</v>
      </c>
      <c r="I2652">
        <v>233.4639</v>
      </c>
      <c r="J2652">
        <v>-490.97370000000001</v>
      </c>
      <c r="K2652">
        <v>1.1136469999999901</v>
      </c>
      <c r="L2652">
        <v>239.107</v>
      </c>
      <c r="M2652">
        <v>0.25460519999999998</v>
      </c>
      <c r="N2652">
        <v>0</v>
      </c>
      <c r="O2652">
        <v>-0.96696360000000003</v>
      </c>
      <c r="P2652">
        <v>0.4000705</v>
      </c>
      <c r="Q2652">
        <v>-9.3835040000000008E-3</v>
      </c>
      <c r="R2652">
        <v>-0.91643660000000005</v>
      </c>
      <c r="S2652">
        <v>1.7344360000000001</v>
      </c>
      <c r="T2652">
        <v>-0.47159810000000002</v>
      </c>
      <c r="U2652">
        <v>-2.5153660000000002</v>
      </c>
      <c r="V2652">
        <v>-0.15355869999999999</v>
      </c>
      <c r="W2652">
        <v>1.4827880000000001E-3</v>
      </c>
      <c r="X2652">
        <v>0.98813839999999997</v>
      </c>
      <c r="Y2652">
        <v>-0.3323933</v>
      </c>
      <c r="Z2652">
        <v>0.1542664</v>
      </c>
      <c r="AA2652">
        <v>0.93043889999999996</v>
      </c>
      <c r="AB2652">
        <v>31</v>
      </c>
      <c r="AC2652">
        <v>4.0139000000000298</v>
      </c>
      <c r="AD2652">
        <v>-1.1136491827989901</v>
      </c>
      <c r="AE2652">
        <v>-5.6430999999999996</v>
      </c>
      <c r="AF2652">
        <v>-2.3830947646395</v>
      </c>
      <c r="AG2652">
        <v>-1.1136491827989901</v>
      </c>
      <c r="AH2652">
        <v>6.3158062655398499</v>
      </c>
      <c r="AI2652">
        <v>99.367941155961006</v>
      </c>
      <c r="AJ2652">
        <v>110.67261137392001</v>
      </c>
      <c r="AK2652">
        <v>6.8416930611825499</v>
      </c>
      <c r="AL2652">
        <v>89.915042473304595</v>
      </c>
      <c r="AM2652">
        <v>98.833225063266696</v>
      </c>
      <c r="AN2652">
        <v>0.99999998528025102</v>
      </c>
    </row>
    <row r="2653" spans="1:40" x14ac:dyDescent="0.25">
      <c r="A2653" t="str">
        <f>"20190312151549188"</f>
        <v>20190312151549188</v>
      </c>
      <c r="B2653" t="str">
        <f>"1552374949180162"</f>
        <v>1552374949180162</v>
      </c>
      <c r="C2653" t="s">
        <v>40</v>
      </c>
      <c r="D2653">
        <v>4.6812760000000004</v>
      </c>
      <c r="E2653">
        <v>0.42675180000000001</v>
      </c>
      <c r="F2653" t="s">
        <v>43</v>
      </c>
      <c r="G2653">
        <v>-486.85340000000002</v>
      </c>
      <c r="H2653" s="1">
        <v>-2.0899830000000001E-6</v>
      </c>
      <c r="I2653">
        <v>233.20349999999999</v>
      </c>
      <c r="J2653">
        <v>-490.8886</v>
      </c>
      <c r="K2653">
        <v>1.1136619999999999</v>
      </c>
      <c r="L2653">
        <v>238.80410000000001</v>
      </c>
      <c r="M2653">
        <v>0.2595209</v>
      </c>
      <c r="N2653">
        <v>0</v>
      </c>
      <c r="O2653">
        <v>-0.96565579999999995</v>
      </c>
      <c r="P2653">
        <v>0.40543449999999998</v>
      </c>
      <c r="Q2653">
        <v>-9.5638609999999999E-3</v>
      </c>
      <c r="R2653">
        <v>-0.91407400000000005</v>
      </c>
      <c r="S2653">
        <v>1.74859599999999</v>
      </c>
      <c r="T2653">
        <v>-0.47261350000000002</v>
      </c>
      <c r="U2653">
        <v>-2.505341</v>
      </c>
      <c r="V2653">
        <v>-0.15432209999999999</v>
      </c>
      <c r="W2653">
        <v>1.294915E-3</v>
      </c>
      <c r="X2653">
        <v>0.9880198</v>
      </c>
      <c r="Y2653">
        <v>-0.33285890000000001</v>
      </c>
      <c r="Z2653">
        <v>0.1545414</v>
      </c>
      <c r="AA2653">
        <v>0.93022680000000002</v>
      </c>
      <c r="AB2653">
        <v>31</v>
      </c>
      <c r="AC2653">
        <v>4.0351999999999704</v>
      </c>
      <c r="AD2653">
        <v>-1.1136640899829999</v>
      </c>
      <c r="AE2653">
        <v>-5.6006000000000098</v>
      </c>
      <c r="AF2653">
        <v>-2.3813512339100602</v>
      </c>
      <c r="AG2653">
        <v>-1.1136640899829999</v>
      </c>
      <c r="AH2653">
        <v>6.29220317432865</v>
      </c>
      <c r="AI2653">
        <v>99.399103744056603</v>
      </c>
      <c r="AJ2653">
        <v>110.72968166076799</v>
      </c>
      <c r="AK2653">
        <v>6.8193036441849602</v>
      </c>
      <c r="AL2653">
        <v>89.925806819112196</v>
      </c>
      <c r="AM2653">
        <v>98.877489402345205</v>
      </c>
      <c r="AN2653">
        <v>1.0000000562726501</v>
      </c>
    </row>
    <row r="2654" spans="1:40" x14ac:dyDescent="0.25">
      <c r="A2654" t="str">
        <f>"20190312151549208"</f>
        <v>20190312151549208</v>
      </c>
      <c r="B2654" t="str">
        <f>"1552374949200659"</f>
        <v>1552374949200659</v>
      </c>
      <c r="C2654" t="s">
        <v>40</v>
      </c>
      <c r="D2654">
        <v>4.7122679999999999</v>
      </c>
      <c r="E2654">
        <v>0.4290641</v>
      </c>
      <c r="F2654" t="s">
        <v>43</v>
      </c>
      <c r="G2654">
        <v>-486.74939999999998</v>
      </c>
      <c r="H2654" s="1">
        <v>-1.9983150000000002E-6</v>
      </c>
      <c r="I2654">
        <v>232.9468</v>
      </c>
      <c r="J2654">
        <v>-490.81209999999999</v>
      </c>
      <c r="K2654">
        <v>1.113675</v>
      </c>
      <c r="L2654">
        <v>238.53700000000001</v>
      </c>
      <c r="M2654">
        <v>0.26386929999999997</v>
      </c>
      <c r="N2654">
        <v>0</v>
      </c>
      <c r="O2654">
        <v>-0.96447669999999996</v>
      </c>
      <c r="P2654">
        <v>0.41079569999999999</v>
      </c>
      <c r="Q2654">
        <v>-9.6713919999999991E-3</v>
      </c>
      <c r="R2654">
        <v>-0.9116765</v>
      </c>
      <c r="S2654">
        <v>1.7631840000000001</v>
      </c>
      <c r="T2654">
        <v>-0.47439310000000001</v>
      </c>
      <c r="U2654">
        <v>-2.4950709999999998</v>
      </c>
      <c r="V2654">
        <v>-0.1556717</v>
      </c>
      <c r="W2654">
        <v>1.1704599999999999E-3</v>
      </c>
      <c r="X2654">
        <v>0.98780820000000003</v>
      </c>
      <c r="Y2654">
        <v>-0.33399719999999999</v>
      </c>
      <c r="Z2654">
        <v>0.15507319999999999</v>
      </c>
      <c r="AA2654">
        <v>0.92973019999999995</v>
      </c>
      <c r="AB2654">
        <v>31</v>
      </c>
      <c r="AC2654">
        <v>4.0627000000000004</v>
      </c>
      <c r="AD2654">
        <v>-1.1136769983150001</v>
      </c>
      <c r="AE2654">
        <v>-5.5902000000000003</v>
      </c>
      <c r="AF2654">
        <v>-2.38163607917103</v>
      </c>
      <c r="AG2654">
        <v>-1.1136769983150001</v>
      </c>
      <c r="AH2654">
        <v>6.3005172343235802</v>
      </c>
      <c r="AI2654">
        <v>99.388414390024806</v>
      </c>
      <c r="AJ2654">
        <v>110.706914905041</v>
      </c>
      <c r="AK2654">
        <v>6.82707728755092</v>
      </c>
      <c r="AL2654">
        <v>89.932937569554298</v>
      </c>
      <c r="AM2654">
        <v>98.955760504819594</v>
      </c>
      <c r="AN2654">
        <v>1.00000004407237</v>
      </c>
    </row>
    <row r="2655" spans="1:40" x14ac:dyDescent="0.25">
      <c r="A2655" t="str">
        <f>"20190312151549242"</f>
        <v>20190312151549242</v>
      </c>
      <c r="B2655" t="str">
        <f>"1552374949240674"</f>
        <v>1552374949240674</v>
      </c>
      <c r="C2655" t="s">
        <v>40</v>
      </c>
      <c r="D2655">
        <v>4.7241339999999896</v>
      </c>
      <c r="E2655">
        <v>0.42926959999999997</v>
      </c>
      <c r="F2655" t="s">
        <v>43</v>
      </c>
      <c r="G2655">
        <v>-487.51130000000001</v>
      </c>
      <c r="H2655" s="1">
        <v>-2.2628140000000001E-6</v>
      </c>
      <c r="I2655">
        <v>233.8784</v>
      </c>
      <c r="J2655">
        <v>-490.68419999999998</v>
      </c>
      <c r="K2655">
        <v>1.113713</v>
      </c>
      <c r="L2655">
        <v>238.101</v>
      </c>
      <c r="M2655">
        <v>0.27102320000000002</v>
      </c>
      <c r="N2655">
        <v>0</v>
      </c>
      <c r="O2655">
        <v>-0.96249090000000004</v>
      </c>
      <c r="P2655">
        <v>0.41850039999999999</v>
      </c>
      <c r="Q2655">
        <v>-1.0289660000000001E-2</v>
      </c>
      <c r="R2655">
        <v>-0.90815849999999998</v>
      </c>
      <c r="S2655">
        <v>1.763916</v>
      </c>
      <c r="T2655">
        <v>-0.5951419</v>
      </c>
      <c r="U2655">
        <v>-2.4895170000000002</v>
      </c>
      <c r="V2655">
        <v>-0.15669669999999999</v>
      </c>
      <c r="W2655">
        <v>5.3245240000000002E-4</v>
      </c>
      <c r="X2655">
        <v>0.98764660000000004</v>
      </c>
      <c r="Y2655">
        <v>-0.3241579</v>
      </c>
      <c r="Z2655">
        <v>0.1931582</v>
      </c>
      <c r="AA2655">
        <v>0.92607320000000004</v>
      </c>
      <c r="AB2655">
        <v>31</v>
      </c>
      <c r="AC2655">
        <v>3.1728999999999701</v>
      </c>
      <c r="AD2655">
        <v>-1.1137152628139999</v>
      </c>
      <c r="AE2655">
        <v>-4.2225999999999999</v>
      </c>
      <c r="AF2655">
        <v>-1.8283258927841699</v>
      </c>
      <c r="AG2655">
        <v>-1.1137152628139999</v>
      </c>
      <c r="AH2655">
        <v>4.7149018716815903</v>
      </c>
      <c r="AI2655">
        <v>102.420159788384</v>
      </c>
      <c r="AJ2655">
        <v>111.19509844548099</v>
      </c>
      <c r="AK2655">
        <v>5.1781692630153104</v>
      </c>
      <c r="AL2655">
        <v>89.969492722419901</v>
      </c>
      <c r="AM2655">
        <v>99.015214099436307</v>
      </c>
      <c r="AN2655">
        <v>0.999999972894003</v>
      </c>
    </row>
    <row r="2656" spans="1:40" x14ac:dyDescent="0.25">
      <c r="A2656" t="str">
        <f>"20190312151549268"</f>
        <v>20190312151549268</v>
      </c>
      <c r="B2656" t="str">
        <f>"1552374949259952"</f>
        <v>1552374949259952</v>
      </c>
      <c r="C2656" t="s">
        <v>40</v>
      </c>
      <c r="D2656">
        <v>4.8020339999999999</v>
      </c>
      <c r="E2656">
        <v>0.43141279999999999</v>
      </c>
      <c r="F2656" t="s">
        <v>43</v>
      </c>
      <c r="G2656">
        <v>-486.69290000000001</v>
      </c>
      <c r="H2656" s="1">
        <v>-1.866551E-6</v>
      </c>
      <c r="I2656">
        <v>232.54730000000001</v>
      </c>
      <c r="J2656">
        <v>-490.57960000000003</v>
      </c>
      <c r="K2656">
        <v>1.113758</v>
      </c>
      <c r="L2656">
        <v>237.7526</v>
      </c>
      <c r="M2656">
        <v>0.27680589999999999</v>
      </c>
      <c r="N2656">
        <v>0</v>
      </c>
      <c r="O2656">
        <v>-0.96084380000000003</v>
      </c>
      <c r="P2656">
        <v>0.42459930000000001</v>
      </c>
      <c r="Q2656">
        <v>-1.0385790000000001E-2</v>
      </c>
      <c r="R2656">
        <v>-0.90532230000000002</v>
      </c>
      <c r="S2656">
        <v>1.7803960000000001</v>
      </c>
      <c r="T2656">
        <v>-0.49678949999999999</v>
      </c>
      <c r="U2656">
        <v>-2.477341</v>
      </c>
      <c r="V2656">
        <v>-0.15740019999999999</v>
      </c>
      <c r="W2656">
        <v>4.1705790000000001E-4</v>
      </c>
      <c r="X2656">
        <v>0.98753480000000005</v>
      </c>
      <c r="Y2656">
        <v>-0.3280612</v>
      </c>
      <c r="Z2656">
        <v>0.1620904</v>
      </c>
      <c r="AA2656">
        <v>0.93064630000000004</v>
      </c>
      <c r="AB2656">
        <v>31</v>
      </c>
      <c r="AC2656">
        <v>3.88670000000001</v>
      </c>
      <c r="AD2656">
        <v>-1.113759866551</v>
      </c>
      <c r="AE2656">
        <v>-5.2052999999999896</v>
      </c>
      <c r="AF2656">
        <v>-2.2283356594728199</v>
      </c>
      <c r="AG2656">
        <v>-1.113759866551</v>
      </c>
      <c r="AH2656">
        <v>5.9042724777982798</v>
      </c>
      <c r="AI2656">
        <v>100.00880076092101</v>
      </c>
      <c r="AJ2656">
        <v>110.677043652226</v>
      </c>
      <c r="AK2656">
        <v>6.4083051069455204</v>
      </c>
      <c r="AL2656">
        <v>89.976104341563101</v>
      </c>
      <c r="AM2656">
        <v>99.056027506053795</v>
      </c>
      <c r="AN2656">
        <v>0.99999998905418497</v>
      </c>
    </row>
    <row r="2657" spans="1:40" x14ac:dyDescent="0.25">
      <c r="A2657" t="str">
        <f>"20190312151549287"</f>
        <v>20190312151549287</v>
      </c>
      <c r="B2657" t="str">
        <f>"1552374949280448"</f>
        <v>1552374949280448</v>
      </c>
      <c r="C2657" t="s">
        <v>40</v>
      </c>
      <c r="D2657">
        <v>4.707236</v>
      </c>
      <c r="E2657">
        <v>0.43483929999999998</v>
      </c>
      <c r="F2657" t="s">
        <v>43</v>
      </c>
      <c r="G2657">
        <v>-486.74430000000001</v>
      </c>
      <c r="H2657" s="1">
        <v>-1.8133779999999999E-6</v>
      </c>
      <c r="I2657">
        <v>232.43119999999999</v>
      </c>
      <c r="J2657">
        <v>-490.50229999999999</v>
      </c>
      <c r="K2657">
        <v>1.1137900000000001</v>
      </c>
      <c r="L2657">
        <v>237.50040000000001</v>
      </c>
      <c r="M2657">
        <v>0.28104649999999998</v>
      </c>
      <c r="N2657">
        <v>0</v>
      </c>
      <c r="O2657">
        <v>-0.95961200000000002</v>
      </c>
      <c r="P2657">
        <v>0.43011890000000003</v>
      </c>
      <c r="Q2657">
        <v>-1.070639E-2</v>
      </c>
      <c r="R2657">
        <v>-0.90270910000000004</v>
      </c>
      <c r="S2657">
        <v>1.781738</v>
      </c>
      <c r="T2657">
        <v>-0.51741890000000001</v>
      </c>
      <c r="U2657">
        <v>-2.472137</v>
      </c>
      <c r="V2657">
        <v>-0.15906600000000001</v>
      </c>
      <c r="W2657" s="1">
        <v>6.4776980000000005E-5</v>
      </c>
      <c r="X2657">
        <v>0.98726800000000003</v>
      </c>
      <c r="Y2657">
        <v>-0.32448729999999998</v>
      </c>
      <c r="Z2657">
        <v>0.16865920000000001</v>
      </c>
      <c r="AA2657">
        <v>0.930732</v>
      </c>
      <c r="AB2657">
        <v>31</v>
      </c>
      <c r="AC2657">
        <v>3.75799999999998</v>
      </c>
      <c r="AD2657">
        <v>-1.113791813378</v>
      </c>
      <c r="AE2657">
        <v>-5.0692000000000199</v>
      </c>
      <c r="AF2657">
        <v>-2.11579742710685</v>
      </c>
      <c r="AG2657">
        <v>-1.113791813378</v>
      </c>
      <c r="AH2657">
        <v>5.7422118380221496</v>
      </c>
      <c r="AI2657">
        <v>100.315140945868</v>
      </c>
      <c r="AJ2657">
        <v>110.22701797632899</v>
      </c>
      <c r="AK2657">
        <v>6.22013888501065</v>
      </c>
      <c r="AL2657">
        <v>89.996288552620001</v>
      </c>
      <c r="AM2657">
        <v>99.152687246647901</v>
      </c>
      <c r="AN2657">
        <v>1.00000005018802</v>
      </c>
    </row>
    <row r="2658" spans="1:40" x14ac:dyDescent="0.25">
      <c r="A2658" t="str">
        <f>"20190312151549309"</f>
        <v>20190312151549309</v>
      </c>
      <c r="B2658" t="str">
        <f>"1552374949299971"</f>
        <v>1552374949299971</v>
      </c>
      <c r="C2658" t="s">
        <v>40</v>
      </c>
      <c r="D2658">
        <v>4.735868</v>
      </c>
      <c r="E2658">
        <v>0.43710939999999998</v>
      </c>
      <c r="F2658" t="s">
        <v>43</v>
      </c>
      <c r="G2658">
        <v>-486.43119999999999</v>
      </c>
      <c r="H2658" s="1">
        <v>-1.686773E-6</v>
      </c>
      <c r="I2658">
        <v>231.8143</v>
      </c>
      <c r="J2658">
        <v>-490.41430000000003</v>
      </c>
      <c r="K2658">
        <v>1.1138509999999999</v>
      </c>
      <c r="L2658">
        <v>237.2182</v>
      </c>
      <c r="M2658">
        <v>0.28586929999999999</v>
      </c>
      <c r="N2658">
        <v>0</v>
      </c>
      <c r="O2658">
        <v>-0.95818599999999998</v>
      </c>
      <c r="P2658">
        <v>0.43604569999999998</v>
      </c>
      <c r="Q2658">
        <v>-1.0607E-2</v>
      </c>
      <c r="R2658">
        <v>-0.89986180000000004</v>
      </c>
      <c r="S2658">
        <v>1.771118</v>
      </c>
      <c r="T2658">
        <v>-0.48454940000000002</v>
      </c>
      <c r="U2658">
        <v>-2.4736940000000001</v>
      </c>
      <c r="V2658">
        <v>-0.16059300000000001</v>
      </c>
      <c r="W2658">
        <v>1.271407E-4</v>
      </c>
      <c r="X2658">
        <v>0.98702069999999997</v>
      </c>
      <c r="Y2658">
        <v>-0.31784469999999998</v>
      </c>
      <c r="Z2658">
        <v>0.15819220000000001</v>
      </c>
      <c r="AA2658">
        <v>0.93485289999999999</v>
      </c>
      <c r="AB2658">
        <v>31</v>
      </c>
      <c r="AC2658">
        <v>3.9831000000000301</v>
      </c>
      <c r="AD2658">
        <v>-1.1138526867730001</v>
      </c>
      <c r="AE2658">
        <v>-5.4038999999999904</v>
      </c>
      <c r="AF2658">
        <v>-2.21105273957241</v>
      </c>
      <c r="AG2658">
        <v>-1.1138526867730001</v>
      </c>
      <c r="AH2658">
        <v>6.1478418408379296</v>
      </c>
      <c r="AI2658">
        <v>99.675169042653806</v>
      </c>
      <c r="AJ2658">
        <v>109.780968295758</v>
      </c>
      <c r="AK2658">
        <v>6.6276225997683103</v>
      </c>
      <c r="AL2658">
        <v>89.992715374429693</v>
      </c>
      <c r="AM2658">
        <v>99.241317848511201</v>
      </c>
      <c r="AN2658">
        <v>0.99999999502112302</v>
      </c>
    </row>
    <row r="2659" spans="1:40" x14ac:dyDescent="0.25">
      <c r="A2659" t="str">
        <f>"20190312151549332"</f>
        <v>20190312151549332</v>
      </c>
      <c r="B2659" t="str">
        <f>"1552374949320481"</f>
        <v>1552374949320481</v>
      </c>
      <c r="C2659" t="s">
        <v>40</v>
      </c>
      <c r="D2659">
        <v>4.7446489999999999</v>
      </c>
      <c r="E2659">
        <v>0.43867050000000002</v>
      </c>
      <c r="F2659" t="s">
        <v>43</v>
      </c>
      <c r="G2659">
        <v>-486.16480000000001</v>
      </c>
      <c r="H2659" s="1">
        <v>-1.5783439999999999E-6</v>
      </c>
      <c r="I2659">
        <v>231.28749999999999</v>
      </c>
      <c r="J2659">
        <v>-490.31810000000002</v>
      </c>
      <c r="K2659">
        <v>1.113928</v>
      </c>
      <c r="L2659">
        <v>236.91560000000001</v>
      </c>
      <c r="M2659">
        <v>0.29115010000000002</v>
      </c>
      <c r="N2659">
        <v>0</v>
      </c>
      <c r="O2659">
        <v>-0.95659479999999997</v>
      </c>
      <c r="P2659">
        <v>0.44288309999999997</v>
      </c>
      <c r="Q2659">
        <v>-1.068733E-2</v>
      </c>
      <c r="R2659">
        <v>-0.89651599999999998</v>
      </c>
      <c r="S2659">
        <v>1.7702329999999999</v>
      </c>
      <c r="T2659">
        <v>-0.46400540000000001</v>
      </c>
      <c r="U2659">
        <v>-2.4706269999999999</v>
      </c>
      <c r="V2659">
        <v>-0.16266120000000001</v>
      </c>
      <c r="W2659" s="1">
        <v>-3.1953679999999999E-6</v>
      </c>
      <c r="X2659">
        <v>0.98668199999999995</v>
      </c>
      <c r="Y2659">
        <v>-0.31356390000000001</v>
      </c>
      <c r="Z2659">
        <v>0.151567799999999</v>
      </c>
      <c r="AA2659">
        <v>0.93739260000000002</v>
      </c>
      <c r="AB2659">
        <v>31</v>
      </c>
      <c r="AC2659">
        <v>4.1532999999999998</v>
      </c>
      <c r="AD2659">
        <v>-1.113929578344</v>
      </c>
      <c r="AE2659">
        <v>-5.6281000000000097</v>
      </c>
      <c r="AF2659">
        <v>-2.2768427998604901</v>
      </c>
      <c r="AG2659">
        <v>-1.113929578344</v>
      </c>
      <c r="AH2659">
        <v>6.4304770246693197</v>
      </c>
      <c r="AI2659">
        <v>99.2741491079083</v>
      </c>
      <c r="AJ2659">
        <v>109.49755714695</v>
      </c>
      <c r="AK2659">
        <v>6.9120103447250596</v>
      </c>
      <c r="AL2659">
        <v>90.000183081097106</v>
      </c>
      <c r="AM2659">
        <v>99.361395511976497</v>
      </c>
      <c r="AN2659">
        <v>1.00000001755982</v>
      </c>
    </row>
    <row r="2660" spans="1:40" x14ac:dyDescent="0.25">
      <c r="A2660" t="str">
        <f>"20190312151549355"</f>
        <v>20190312151549355</v>
      </c>
      <c r="B2660" t="str">
        <f>"1552374949349744"</f>
        <v>1552374949349744</v>
      </c>
      <c r="C2660" t="s">
        <v>40</v>
      </c>
      <c r="D2660">
        <v>4.7625299999999999</v>
      </c>
      <c r="E2660">
        <v>0.4401523</v>
      </c>
      <c r="F2660" t="s">
        <v>43</v>
      </c>
      <c r="G2660">
        <v>-485.95089999999999</v>
      </c>
      <c r="H2660" s="1">
        <v>-1.490562E-6</v>
      </c>
      <c r="I2660">
        <v>230.8623</v>
      </c>
      <c r="J2660">
        <v>-490.21949999999998</v>
      </c>
      <c r="K2660">
        <v>1.1140190000000001</v>
      </c>
      <c r="L2660">
        <v>236.61170000000001</v>
      </c>
      <c r="M2660">
        <v>0.29658590000000001</v>
      </c>
      <c r="N2660">
        <v>0</v>
      </c>
      <c r="O2660">
        <v>-0.95492319999999997</v>
      </c>
      <c r="P2660">
        <v>0.45014100000000001</v>
      </c>
      <c r="Q2660">
        <v>-1.124817E-2</v>
      </c>
      <c r="R2660">
        <v>-0.89288679999999998</v>
      </c>
      <c r="S2660">
        <v>1.7770079999999999</v>
      </c>
      <c r="T2660">
        <v>-0.45325539999999997</v>
      </c>
      <c r="U2660">
        <v>-2.4630580000000002</v>
      </c>
      <c r="V2660">
        <v>-0.1650488</v>
      </c>
      <c r="W2660">
        <v>-6.2375359999999999E-4</v>
      </c>
      <c r="X2660">
        <v>0.98628519999999997</v>
      </c>
      <c r="Y2660">
        <v>-0.31154490000000001</v>
      </c>
      <c r="Z2660">
        <v>0.14807039999999999</v>
      </c>
      <c r="AA2660">
        <v>0.93862400000000001</v>
      </c>
      <c r="AB2660">
        <v>31</v>
      </c>
      <c r="AC2660">
        <v>4.2685999999999904</v>
      </c>
      <c r="AD2660">
        <v>-1.1140204905619999</v>
      </c>
      <c r="AE2660">
        <v>-5.7493999999999996</v>
      </c>
      <c r="AF2660">
        <v>-2.31514876707109</v>
      </c>
      <c r="AG2660">
        <v>-1.1140204905619999</v>
      </c>
      <c r="AH2660">
        <v>6.5971082479676797</v>
      </c>
      <c r="AI2660">
        <v>99.053299085694107</v>
      </c>
      <c r="AJ2660">
        <v>109.337700168651</v>
      </c>
      <c r="AK2660">
        <v>7.0797452427658696</v>
      </c>
      <c r="AL2660">
        <v>90.035738451211003</v>
      </c>
      <c r="AM2660">
        <v>99.500071277979401</v>
      </c>
      <c r="AN2660">
        <v>0.99999999559451602</v>
      </c>
    </row>
    <row r="2661" spans="1:40" x14ac:dyDescent="0.25">
      <c r="A2661" t="str">
        <f>"20190312151549380"</f>
        <v>20190312151549380</v>
      </c>
      <c r="B2661" t="str">
        <f>"1552374949369807"</f>
        <v>1552374949369807</v>
      </c>
      <c r="C2661" t="s">
        <v>40</v>
      </c>
      <c r="D2661">
        <v>4.7269550000000002</v>
      </c>
      <c r="E2661">
        <v>0.44100830000000002</v>
      </c>
      <c r="F2661" t="s">
        <v>43</v>
      </c>
      <c r="G2661">
        <v>-485.80650000000003</v>
      </c>
      <c r="H2661" s="1">
        <v>-1.4222220000000001E-6</v>
      </c>
      <c r="I2661">
        <v>230.54859999999999</v>
      </c>
      <c r="J2661">
        <v>-490.1157</v>
      </c>
      <c r="K2661">
        <v>1.11412</v>
      </c>
      <c r="L2661">
        <v>236.29900000000001</v>
      </c>
      <c r="M2661">
        <v>0.3023207</v>
      </c>
      <c r="N2661">
        <v>0</v>
      </c>
      <c r="O2661">
        <v>-0.95312319999999995</v>
      </c>
      <c r="P2661">
        <v>0.45774510000000002</v>
      </c>
      <c r="Q2661">
        <v>-1.231661E-2</v>
      </c>
      <c r="R2661">
        <v>-0.88899830000000002</v>
      </c>
      <c r="S2661">
        <v>1.7859799999999999</v>
      </c>
      <c r="T2661">
        <v>-0.4508586</v>
      </c>
      <c r="U2661">
        <v>-2.453827</v>
      </c>
      <c r="V2661">
        <v>-0.16752890000000001</v>
      </c>
      <c r="W2661">
        <v>-1.7571380000000001E-3</v>
      </c>
      <c r="X2661">
        <v>0.98586560000000001</v>
      </c>
      <c r="Y2661">
        <v>-0.3098303</v>
      </c>
      <c r="Z2661">
        <v>0.14724039999999999</v>
      </c>
      <c r="AA2661">
        <v>0.93932179999999998</v>
      </c>
      <c r="AB2661">
        <v>31</v>
      </c>
      <c r="AC2661">
        <v>4.3091999999999704</v>
      </c>
      <c r="AD2661">
        <v>-1.1141214222219999</v>
      </c>
      <c r="AE2661">
        <v>-5.7504000000000097</v>
      </c>
      <c r="AF2661">
        <v>-2.31331223855446</v>
      </c>
      <c r="AG2661">
        <v>-1.1141214222219999</v>
      </c>
      <c r="AH2661">
        <v>6.6248839972450604</v>
      </c>
      <c r="AI2661">
        <v>99.021607209727193</v>
      </c>
      <c r="AJ2661">
        <v>109.24845194084</v>
      </c>
      <c r="AK2661">
        <v>7.1050522892835497</v>
      </c>
      <c r="AL2661">
        <v>90.100676643172093</v>
      </c>
      <c r="AM2661">
        <v>99.644190070043095</v>
      </c>
      <c r="AN2661">
        <v>1.0000000005662599</v>
      </c>
    </row>
    <row r="2662" spans="1:40" x14ac:dyDescent="0.25">
      <c r="A2662" t="str">
        <f>"20190312151549399"</f>
        <v>20190312151549399</v>
      </c>
      <c r="B2662" t="str">
        <f>"1552374949390303"</f>
        <v>1552374949390303</v>
      </c>
      <c r="C2662" t="s">
        <v>40</v>
      </c>
      <c r="D2662">
        <v>4.7204550000000003</v>
      </c>
      <c r="E2662">
        <v>0.44205339999999999</v>
      </c>
      <c r="F2662" t="s">
        <v>43</v>
      </c>
      <c r="G2662">
        <v>-485.72019999999998</v>
      </c>
      <c r="H2662" s="1">
        <v>-1.373552E-6</v>
      </c>
      <c r="I2662">
        <v>230.3381</v>
      </c>
      <c r="J2662">
        <v>-490.02940000000001</v>
      </c>
      <c r="K2662">
        <v>1.114196</v>
      </c>
      <c r="L2662">
        <v>236.04320000000001</v>
      </c>
      <c r="M2662">
        <v>0.30709880000000001</v>
      </c>
      <c r="N2662">
        <v>0</v>
      </c>
      <c r="O2662">
        <v>-0.9515941</v>
      </c>
      <c r="P2662">
        <v>0.46408729999999998</v>
      </c>
      <c r="Q2662">
        <v>-1.2608640000000001E-2</v>
      </c>
      <c r="R2662">
        <v>-0.88570000000000004</v>
      </c>
      <c r="S2662">
        <v>1.8002320000000001</v>
      </c>
      <c r="T2662">
        <v>-0.45630470000000001</v>
      </c>
      <c r="U2662">
        <v>-2.44136</v>
      </c>
      <c r="V2662">
        <v>-0.169626</v>
      </c>
      <c r="W2662">
        <v>-2.1006750000000002E-3</v>
      </c>
      <c r="X2662">
        <v>0.98550629999999995</v>
      </c>
      <c r="Y2662">
        <v>-0.31074249999999998</v>
      </c>
      <c r="Z2662">
        <v>0.14897270000000001</v>
      </c>
      <c r="AA2662">
        <v>0.9387472</v>
      </c>
      <c r="AB2662">
        <v>31</v>
      </c>
      <c r="AC2662">
        <v>4.3092000000000299</v>
      </c>
      <c r="AD2662">
        <v>-1.1141973735520001</v>
      </c>
      <c r="AE2662">
        <v>-5.7051000000000096</v>
      </c>
      <c r="AF2662">
        <v>-2.2930770231358499</v>
      </c>
      <c r="AG2662">
        <v>-1.1141973735520001</v>
      </c>
      <c r="AH2662">
        <v>6.5927158950264602</v>
      </c>
      <c r="AI2662">
        <v>99.069289082122097</v>
      </c>
      <c r="AJ2662">
        <v>109.17868590323</v>
      </c>
      <c r="AK2662">
        <v>7.06848929360428</v>
      </c>
      <c r="AL2662">
        <v>90.1203598965362</v>
      </c>
      <c r="AM2662">
        <v>99.766096088659793</v>
      </c>
      <c r="AN2662">
        <v>1.00000003002557</v>
      </c>
    </row>
    <row r="2663" spans="1:40" x14ac:dyDescent="0.25">
      <c r="A2663" t="str">
        <f>"20190312151549422"</f>
        <v>20190312151549422</v>
      </c>
      <c r="B2663" t="str">
        <f>"1552374949409827"</f>
        <v>1552374949409827</v>
      </c>
      <c r="C2663" t="s">
        <v>40</v>
      </c>
      <c r="D2663">
        <v>4.8110330000000001</v>
      </c>
      <c r="E2663">
        <v>0.44251030000000002</v>
      </c>
      <c r="F2663" t="s">
        <v>43</v>
      </c>
      <c r="G2663">
        <v>-485.57409999999999</v>
      </c>
      <c r="H2663" s="1">
        <v>-1.316536E-6</v>
      </c>
      <c r="I2663">
        <v>230.05619999999999</v>
      </c>
      <c r="J2663">
        <v>-489.9273</v>
      </c>
      <c r="K2663">
        <v>1.114285</v>
      </c>
      <c r="L2663">
        <v>235.74709999999999</v>
      </c>
      <c r="M2663">
        <v>0.31274099999999999</v>
      </c>
      <c r="N2663">
        <v>0</v>
      </c>
      <c r="O2663">
        <v>-0.9497546</v>
      </c>
      <c r="P2663">
        <v>0.47133229999999998</v>
      </c>
      <c r="Q2663">
        <v>-1.2245839999999999E-2</v>
      </c>
      <c r="R2663">
        <v>-0.88187070000000001</v>
      </c>
      <c r="S2663">
        <v>1.8100590000000001</v>
      </c>
      <c r="T2663">
        <v>-0.45266630000000002</v>
      </c>
      <c r="U2663">
        <v>-2.4323269999999999</v>
      </c>
      <c r="V2663">
        <v>-0.17185729999999999</v>
      </c>
      <c r="W2663">
        <v>-1.7894E-3</v>
      </c>
      <c r="X2663">
        <v>0.9851202</v>
      </c>
      <c r="Y2663">
        <v>-0.30932880000000001</v>
      </c>
      <c r="Z2663">
        <v>0.14770539999999999</v>
      </c>
      <c r="AA2663">
        <v>0.93941410000000003</v>
      </c>
      <c r="AB2663">
        <v>31</v>
      </c>
      <c r="AC2663">
        <v>4.35320000000001</v>
      </c>
      <c r="AD2663">
        <v>-1.114286316536</v>
      </c>
      <c r="AE2663">
        <v>-5.6908999999999903</v>
      </c>
      <c r="AF2663">
        <v>-2.2992711189389201</v>
      </c>
      <c r="AG2663">
        <v>-1.114286316536</v>
      </c>
      <c r="AH2663">
        <v>6.6071210295217204</v>
      </c>
      <c r="AI2663">
        <v>99.050058996425093</v>
      </c>
      <c r="AJ2663">
        <v>109.187842464239</v>
      </c>
      <c r="AK2663">
        <v>7.0839487556273397</v>
      </c>
      <c r="AL2663">
        <v>90.102525125549207</v>
      </c>
      <c r="AM2663">
        <v>99.895840282077799</v>
      </c>
      <c r="AN2663">
        <v>0.99999997098184401</v>
      </c>
    </row>
    <row r="2664" spans="1:40" x14ac:dyDescent="0.25">
      <c r="A2664" t="str">
        <f>"20190312151549444"</f>
        <v>20190312151549444</v>
      </c>
      <c r="B2664" t="str">
        <f>"1552374949440081"</f>
        <v>1552374949440081</v>
      </c>
      <c r="C2664" t="s">
        <v>40</v>
      </c>
      <c r="D2664">
        <v>4.7047150000000002</v>
      </c>
      <c r="E2664">
        <v>0.44388749999999999</v>
      </c>
      <c r="F2664" t="s">
        <v>43</v>
      </c>
      <c r="G2664">
        <v>-485.51190000000003</v>
      </c>
      <c r="H2664" s="1">
        <v>-1.279777E-6</v>
      </c>
      <c r="I2664">
        <v>229.89959999999999</v>
      </c>
      <c r="J2664">
        <v>-489.82709999999997</v>
      </c>
      <c r="K2664">
        <v>1.114368</v>
      </c>
      <c r="L2664">
        <v>235.46199999999999</v>
      </c>
      <c r="M2664">
        <v>0.31829170000000001</v>
      </c>
      <c r="N2664">
        <v>0</v>
      </c>
      <c r="O2664">
        <v>-0.94790859999999999</v>
      </c>
      <c r="P2664">
        <v>0.47800310000000001</v>
      </c>
      <c r="Q2664">
        <v>-1.125955E-2</v>
      </c>
      <c r="R2664">
        <v>-0.87828609999999896</v>
      </c>
      <c r="S2664">
        <v>1.8266910000000001</v>
      </c>
      <c r="T2664">
        <v>-0.46098610000000001</v>
      </c>
      <c r="U2664">
        <v>-2.4191440000000002</v>
      </c>
      <c r="V2664">
        <v>-0.1735681</v>
      </c>
      <c r="W2664">
        <v>-8.4560240000000001E-4</v>
      </c>
      <c r="X2664">
        <v>0.98482150000000002</v>
      </c>
      <c r="Y2664">
        <v>-0.31009920000000002</v>
      </c>
      <c r="Z2664">
        <v>0.1502706</v>
      </c>
      <c r="AA2664">
        <v>0.93875299999999995</v>
      </c>
      <c r="AB2664">
        <v>31</v>
      </c>
      <c r="AC2664">
        <v>4.3151999999999404</v>
      </c>
      <c r="AD2664">
        <v>-1.114369279777</v>
      </c>
      <c r="AE2664">
        <v>-5.5624000000000198</v>
      </c>
      <c r="AF2664">
        <v>-2.2634218244248201</v>
      </c>
      <c r="AG2664">
        <v>-1.114369279777</v>
      </c>
      <c r="AH2664">
        <v>6.4842000985786097</v>
      </c>
      <c r="AI2664">
        <v>99.2163686768547</v>
      </c>
      <c r="AJ2664">
        <v>109.242421440586</v>
      </c>
      <c r="AK2664">
        <v>6.9577114172262204</v>
      </c>
      <c r="AL2664">
        <v>90.048449454749004</v>
      </c>
      <c r="AM2664">
        <v>99.995344816677004</v>
      </c>
      <c r="AN2664">
        <v>0.99999999362163905</v>
      </c>
    </row>
    <row r="2665" spans="1:40" x14ac:dyDescent="0.25">
      <c r="A2665" t="str">
        <f>"20190312151549467"</f>
        <v>20190312151549467</v>
      </c>
      <c r="B2665" t="str">
        <f>"1552374949460575"</f>
        <v>1552374949460575</v>
      </c>
      <c r="C2665" t="s">
        <v>40</v>
      </c>
      <c r="D2665">
        <v>4.7280350000000002</v>
      </c>
      <c r="E2665">
        <v>0.44489590000000001</v>
      </c>
      <c r="F2665" t="s">
        <v>50</v>
      </c>
      <c r="G2665">
        <v>-485.28039999999999</v>
      </c>
      <c r="H2665" s="1">
        <v>5.3494039999999899E-6</v>
      </c>
      <c r="I2665">
        <v>229.49080000000001</v>
      </c>
      <c r="J2665">
        <v>-489.72190000000001</v>
      </c>
      <c r="K2665">
        <v>1.1144670000000001</v>
      </c>
      <c r="L2665">
        <v>235.16839999999999</v>
      </c>
      <c r="M2665">
        <v>0.32413449999999999</v>
      </c>
      <c r="N2665">
        <v>0</v>
      </c>
      <c r="O2665">
        <v>-0.9459265</v>
      </c>
      <c r="P2665">
        <v>0.48517519999999997</v>
      </c>
      <c r="Q2665">
        <v>-1.1491060000000001E-2</v>
      </c>
      <c r="R2665">
        <v>-0.87434179999999995</v>
      </c>
      <c r="S2665">
        <v>1.8357239999999999</v>
      </c>
      <c r="T2665">
        <v>-0.44991449999999999</v>
      </c>
      <c r="U2665">
        <v>-2.4108580000000002</v>
      </c>
      <c r="V2665">
        <v>-0.17554890000000001</v>
      </c>
      <c r="W2665">
        <v>-1.126948E-3</v>
      </c>
      <c r="X2665">
        <v>0.98447010000000001</v>
      </c>
      <c r="Y2665">
        <v>-0.30836209999999997</v>
      </c>
      <c r="Z2665">
        <v>0.14659229999999901</v>
      </c>
      <c r="AA2665">
        <v>0.93990609999999997</v>
      </c>
      <c r="AB2665">
        <v>31</v>
      </c>
      <c r="AC2665">
        <v>4.4415000000000102</v>
      </c>
      <c r="AD2665">
        <v>-1.1144616505959899</v>
      </c>
      <c r="AE2665">
        <v>-5.6775999999999804</v>
      </c>
      <c r="AF2665">
        <v>-2.30609380331867</v>
      </c>
      <c r="AG2665">
        <v>-1.1144616505959899</v>
      </c>
      <c r="AH2665">
        <v>6.6517856589247897</v>
      </c>
      <c r="AI2665">
        <v>98.995272782723802</v>
      </c>
      <c r="AJ2665">
        <v>109.120813935961</v>
      </c>
      <c r="AK2665">
        <v>7.1278570308776104</v>
      </c>
      <c r="AL2665">
        <v>90.064569375728595</v>
      </c>
      <c r="AM2665">
        <v>100.110608429959</v>
      </c>
      <c r="AN2665">
        <v>1.0000000320485001</v>
      </c>
    </row>
    <row r="2666" spans="1:40" x14ac:dyDescent="0.25">
      <c r="A2666" t="str">
        <f>"20190312151549489"</f>
        <v>20190312151549489</v>
      </c>
      <c r="B2666" t="str">
        <f>"1552374949480095"</f>
        <v>1552374949480095</v>
      </c>
      <c r="C2666" t="s">
        <v>40</v>
      </c>
      <c r="D2666">
        <v>4.7139959999999999</v>
      </c>
      <c r="E2666">
        <v>0.44582159999999899</v>
      </c>
      <c r="F2666" t="s">
        <v>50</v>
      </c>
      <c r="G2666">
        <v>-485.1053</v>
      </c>
      <c r="H2666" s="1">
        <v>5.2048739999999996E-6</v>
      </c>
      <c r="I2666">
        <v>229.1746</v>
      </c>
      <c r="J2666">
        <v>-489.61399999999998</v>
      </c>
      <c r="K2666">
        <v>1.114581</v>
      </c>
      <c r="L2666">
        <v>234.87309999999999</v>
      </c>
      <c r="M2666">
        <v>0.3301424</v>
      </c>
      <c r="N2666">
        <v>0</v>
      </c>
      <c r="O2666">
        <v>-0.94384590000000002</v>
      </c>
      <c r="P2666">
        <v>0.49277589999999999</v>
      </c>
      <c r="Q2666">
        <v>-1.140556E-2</v>
      </c>
      <c r="R2666">
        <v>-0.87008180000000002</v>
      </c>
      <c r="S2666">
        <v>1.848328</v>
      </c>
      <c r="T2666">
        <v>-0.4461889</v>
      </c>
      <c r="U2666">
        <v>-2.3997039999999998</v>
      </c>
      <c r="V2666">
        <v>-0.17786740000000001</v>
      </c>
      <c r="W2666">
        <v>-1.100997E-3</v>
      </c>
      <c r="X2666">
        <v>0.98405390000000004</v>
      </c>
      <c r="Y2666">
        <v>-0.30764609999999998</v>
      </c>
      <c r="Z2666">
        <v>0.14527860000000001</v>
      </c>
      <c r="AA2666">
        <v>0.94034459999999997</v>
      </c>
      <c r="AB2666">
        <v>31</v>
      </c>
      <c r="AC2666">
        <v>4.5087000000000304</v>
      </c>
      <c r="AD2666">
        <v>-1.114575795126</v>
      </c>
      <c r="AE2666">
        <v>-5.6984999999999904</v>
      </c>
      <c r="AF2666">
        <v>-2.3198133039709101</v>
      </c>
      <c r="AG2666">
        <v>-1.114575795126</v>
      </c>
      <c r="AH2666">
        <v>6.7097091442581096</v>
      </c>
      <c r="AI2666">
        <v>98.922343945772695</v>
      </c>
      <c r="AJ2666">
        <v>109.072303118458</v>
      </c>
      <c r="AK2666">
        <v>7.1863766787514098</v>
      </c>
      <c r="AL2666">
        <v>90.063082490875104</v>
      </c>
      <c r="AM2666">
        <v>100.24557220726599</v>
      </c>
      <c r="AN2666">
        <v>1.00000005114118</v>
      </c>
    </row>
    <row r="2667" spans="1:40" x14ac:dyDescent="0.25">
      <c r="A2667" t="str">
        <f>"20190312151549511"</f>
        <v>20190312151549511</v>
      </c>
      <c r="B2667" t="str">
        <f>"1552374949500591"</f>
        <v>1552374949500591</v>
      </c>
      <c r="C2667" t="s">
        <v>40</v>
      </c>
      <c r="D2667">
        <v>4.7127780000000001</v>
      </c>
      <c r="E2667">
        <v>0.44675090000000001</v>
      </c>
      <c r="F2667" t="s">
        <v>50</v>
      </c>
      <c r="G2667">
        <v>-484.87119999999999</v>
      </c>
      <c r="H2667" s="1">
        <v>5.0245379999999997E-6</v>
      </c>
      <c r="I2667">
        <v>228.79349999999999</v>
      </c>
      <c r="J2667">
        <v>-489.51429999999999</v>
      </c>
      <c r="K2667">
        <v>1.1146929999999999</v>
      </c>
      <c r="L2667">
        <v>234.60579999999999</v>
      </c>
      <c r="M2667">
        <v>0.33570699999999998</v>
      </c>
      <c r="N2667">
        <v>0</v>
      </c>
      <c r="O2667">
        <v>-0.94188090000000002</v>
      </c>
      <c r="P2667">
        <v>0.49983379999999999</v>
      </c>
      <c r="Q2667">
        <v>-1.0886130000000001E-2</v>
      </c>
      <c r="R2667">
        <v>-0.86605279999999996</v>
      </c>
      <c r="S2667">
        <v>1.8624270000000001</v>
      </c>
      <c r="T2667">
        <v>-0.43767859999999997</v>
      </c>
      <c r="U2667">
        <v>-2.387375</v>
      </c>
      <c r="V2667">
        <v>-0.18006449999999999</v>
      </c>
      <c r="W2667">
        <v>-6.4151750000000004E-4</v>
      </c>
      <c r="X2667">
        <v>0.98365460000000005</v>
      </c>
      <c r="Y2667">
        <v>-0.30809999999999998</v>
      </c>
      <c r="Z2667">
        <v>0.14247070000000001</v>
      </c>
      <c r="AA2667">
        <v>0.94062559999999995</v>
      </c>
      <c r="AB2667">
        <v>31</v>
      </c>
      <c r="AC2667">
        <v>4.6430999999999996</v>
      </c>
      <c r="AD2667">
        <v>-1.1146879754619901</v>
      </c>
      <c r="AE2667">
        <v>-5.8122999999999898</v>
      </c>
      <c r="AF2667">
        <v>-2.3690229594597398</v>
      </c>
      <c r="AG2667">
        <v>-1.1146879754619901</v>
      </c>
      <c r="AH2667">
        <v>6.8793267084731902</v>
      </c>
      <c r="AI2667">
        <v>98.710254009972502</v>
      </c>
      <c r="AJ2667">
        <v>109.00209087664599</v>
      </c>
      <c r="AK2667">
        <v>7.3607020743268503</v>
      </c>
      <c r="AL2667">
        <v>90.036756247611393</v>
      </c>
      <c r="AM2667">
        <v>100.37351888666601</v>
      </c>
      <c r="AN2667">
        <v>1.0000000039030501</v>
      </c>
    </row>
    <row r="2668" spans="1:40" x14ac:dyDescent="0.25">
      <c r="A2668" t="str">
        <f>"20190312151549533"</f>
        <v>20190312151549533</v>
      </c>
      <c r="B2668" t="str">
        <f>"1552374949529872"</f>
        <v>1552374949529872</v>
      </c>
      <c r="C2668" t="s">
        <v>40</v>
      </c>
      <c r="D2668">
        <v>4.6840960000000003</v>
      </c>
      <c r="E2668">
        <v>0.44790350000000001</v>
      </c>
      <c r="F2668" t="s">
        <v>50</v>
      </c>
      <c r="G2668">
        <v>-484.6515</v>
      </c>
      <c r="H2668" s="1">
        <v>4.8573510000000004E-6</v>
      </c>
      <c r="I2668">
        <v>228.4426</v>
      </c>
      <c r="J2668">
        <v>-489.40350000000001</v>
      </c>
      <c r="K2668">
        <v>1.1148169999999999</v>
      </c>
      <c r="L2668">
        <v>234.31489999999999</v>
      </c>
      <c r="M2668">
        <v>0.3419006</v>
      </c>
      <c r="N2668">
        <v>0</v>
      </c>
      <c r="O2668">
        <v>-0.93965010000000004</v>
      </c>
      <c r="P2668">
        <v>0.50687510000000002</v>
      </c>
      <c r="Q2668">
        <v>-1.0862399999999999E-2</v>
      </c>
      <c r="R2668">
        <v>-0.86195119999999903</v>
      </c>
      <c r="S2668">
        <v>1.8750309999999999</v>
      </c>
      <c r="T2668">
        <v>-0.4298091</v>
      </c>
      <c r="U2668">
        <v>-2.376465</v>
      </c>
      <c r="V2668">
        <v>-0.1816046</v>
      </c>
      <c r="W2668">
        <v>-6.7387749999999998E-4</v>
      </c>
      <c r="X2668">
        <v>0.98337140000000001</v>
      </c>
      <c r="Y2668">
        <v>-0.30725770000000002</v>
      </c>
      <c r="Z2668">
        <v>0.13979759999999999</v>
      </c>
      <c r="AA2668">
        <v>0.94130190000000002</v>
      </c>
      <c r="AB2668">
        <v>31</v>
      </c>
      <c r="AC2668">
        <v>4.7519999999999998</v>
      </c>
      <c r="AD2668">
        <v>-1.1148121426490001</v>
      </c>
      <c r="AE2668">
        <v>-5.8722999999999903</v>
      </c>
      <c r="AF2668">
        <v>-2.4052891675356598</v>
      </c>
      <c r="AG2668">
        <v>-1.1148121426490001</v>
      </c>
      <c r="AH2668">
        <v>6.99094325275966</v>
      </c>
      <c r="AI2668">
        <v>98.575018118201001</v>
      </c>
      <c r="AJ2668">
        <v>108.986182763019</v>
      </c>
      <c r="AK2668">
        <v>7.47673121465309</v>
      </c>
      <c r="AL2668">
        <v>90.038610339673895</v>
      </c>
      <c r="AM2668">
        <v>100.463239610104</v>
      </c>
      <c r="AN2668">
        <v>0.99999999759500202</v>
      </c>
    </row>
    <row r="2669" spans="1:40" x14ac:dyDescent="0.25">
      <c r="A2669" t="str">
        <f>"20190312151549558"</f>
        <v>20190312151549558</v>
      </c>
      <c r="B2669" t="str">
        <f>"1552374949550368"</f>
        <v>1552374949550368</v>
      </c>
      <c r="C2669" t="s">
        <v>40</v>
      </c>
      <c r="D2669">
        <v>4.671386</v>
      </c>
      <c r="E2669">
        <v>0.44862390000000002</v>
      </c>
      <c r="F2669" t="s">
        <v>50</v>
      </c>
      <c r="G2669">
        <v>-484.45350000000002</v>
      </c>
      <c r="H2669" s="1">
        <v>4.7012619999999996E-6</v>
      </c>
      <c r="I2669">
        <v>228.1088</v>
      </c>
      <c r="J2669">
        <v>-489.28480000000002</v>
      </c>
      <c r="K2669">
        <v>1.1149450000000001</v>
      </c>
      <c r="L2669">
        <v>234.0103</v>
      </c>
      <c r="M2669">
        <v>0.34856019999999999</v>
      </c>
      <c r="N2669">
        <v>0</v>
      </c>
      <c r="O2669">
        <v>-0.93719980000000003</v>
      </c>
      <c r="P2669">
        <v>0.51420949999999999</v>
      </c>
      <c r="Q2669">
        <v>-1.1111569999999999E-2</v>
      </c>
      <c r="R2669">
        <v>-0.85759289999999999</v>
      </c>
      <c r="S2669">
        <v>1.8868100000000001</v>
      </c>
      <c r="T2669">
        <v>-0.4249327</v>
      </c>
      <c r="U2669">
        <v>-2.3655849999999998</v>
      </c>
      <c r="V2669">
        <v>-0.18301200000000001</v>
      </c>
      <c r="W2669">
        <v>-9.8048579999999996E-4</v>
      </c>
      <c r="X2669">
        <v>0.98311020000000005</v>
      </c>
      <c r="Y2669">
        <v>-0.30563630000000003</v>
      </c>
      <c r="Z2669">
        <v>0.13805979999999901</v>
      </c>
      <c r="AA2669">
        <v>0.94208599999999998</v>
      </c>
      <c r="AB2669">
        <v>31</v>
      </c>
      <c r="AC2669">
        <v>4.8312999999999899</v>
      </c>
      <c r="AD2669">
        <v>-1.1149402987379999</v>
      </c>
      <c r="AE2669">
        <v>-5.9014999999999898</v>
      </c>
      <c r="AF2669">
        <v>-2.4193634369041899</v>
      </c>
      <c r="AG2669">
        <v>-1.1149402987379999</v>
      </c>
      <c r="AH2669">
        <v>7.0644987634011702</v>
      </c>
      <c r="AI2669">
        <v>98.492088596986406</v>
      </c>
      <c r="AJ2669">
        <v>108.904681427417</v>
      </c>
      <c r="AK2669">
        <v>7.5500698068081196</v>
      </c>
      <c r="AL2669">
        <v>90.056177706684394</v>
      </c>
      <c r="AM2669">
        <v>100.54525470955301</v>
      </c>
      <c r="AN2669">
        <v>1.0000000094202199</v>
      </c>
    </row>
    <row r="2670" spans="1:40" x14ac:dyDescent="0.25">
      <c r="A2670" t="str">
        <f>"20190312151549580"</f>
        <v>20190312151549580</v>
      </c>
      <c r="B2670" t="str">
        <f>"1552374949569888"</f>
        <v>1552374949569888</v>
      </c>
      <c r="C2670" t="s">
        <v>40</v>
      </c>
      <c r="D2670">
        <v>4.9141890000000004</v>
      </c>
      <c r="E2670">
        <v>0.44886169999999997</v>
      </c>
      <c r="F2670" t="s">
        <v>50</v>
      </c>
      <c r="G2670">
        <v>-484.27890000000002</v>
      </c>
      <c r="H2670" s="1">
        <v>4.5649379999999999E-6</v>
      </c>
      <c r="I2670">
        <v>227.8186</v>
      </c>
      <c r="J2670">
        <v>-489.16919999999999</v>
      </c>
      <c r="K2670">
        <v>1.1150599999999999</v>
      </c>
      <c r="L2670">
        <v>233.7199</v>
      </c>
      <c r="M2670">
        <v>0.35503790000000002</v>
      </c>
      <c r="N2670">
        <v>0</v>
      </c>
      <c r="O2670">
        <v>-0.93476499999999996</v>
      </c>
      <c r="P2670">
        <v>0.52085999999999999</v>
      </c>
      <c r="Q2670">
        <v>-1.171204E-2</v>
      </c>
      <c r="R2670">
        <v>-0.85356189999999998</v>
      </c>
      <c r="S2670">
        <v>1.9018250000000001</v>
      </c>
      <c r="T2670">
        <v>-0.4235852</v>
      </c>
      <c r="U2670">
        <v>-2.3522949999999998</v>
      </c>
      <c r="V2670">
        <v>-0.18384439999999999</v>
      </c>
      <c r="W2670">
        <v>-1.6248009999999999E-3</v>
      </c>
      <c r="X2670">
        <v>0.98295399999999999</v>
      </c>
      <c r="Y2670">
        <v>-0.30533729999999998</v>
      </c>
      <c r="Z2670">
        <v>0.13747129999999999</v>
      </c>
      <c r="AA2670">
        <v>0.94226900000000002</v>
      </c>
      <c r="AB2670">
        <v>31</v>
      </c>
      <c r="AC2670">
        <v>4.8902999999999599</v>
      </c>
      <c r="AD2670">
        <v>-1.1150554350620001</v>
      </c>
      <c r="AE2670">
        <v>-5.9012999999999902</v>
      </c>
      <c r="AF2670">
        <v>-2.4249683705348</v>
      </c>
      <c r="AG2670">
        <v>-1.1150554350620001</v>
      </c>
      <c r="AH2670">
        <v>7.1028156028728402</v>
      </c>
      <c r="AI2670">
        <v>98.450497658196298</v>
      </c>
      <c r="AJ2670">
        <v>108.850389655169</v>
      </c>
      <c r="AK2670">
        <v>7.5877407513547404</v>
      </c>
      <c r="AL2670">
        <v>90.093094282229202</v>
      </c>
      <c r="AM2670">
        <v>100.593780168869</v>
      </c>
      <c r="AN2670">
        <v>0.99999998475282403</v>
      </c>
    </row>
    <row r="2671" spans="1:40" x14ac:dyDescent="0.25">
      <c r="A2671" t="str">
        <f>"20190312151549602"</f>
        <v>20190312151549602</v>
      </c>
      <c r="B2671" t="str">
        <f>"1552374949590384"</f>
        <v>1552374949590384</v>
      </c>
      <c r="C2671" t="s">
        <v>40</v>
      </c>
      <c r="D2671">
        <v>4.6835250000000004</v>
      </c>
      <c r="E2671">
        <v>0.44940099999999999</v>
      </c>
      <c r="F2671" t="s">
        <v>50</v>
      </c>
      <c r="G2671">
        <v>-484.15249999999997</v>
      </c>
      <c r="H2671" s="1">
        <v>4.4656409999999997E-6</v>
      </c>
      <c r="I2671">
        <v>227.60659999999999</v>
      </c>
      <c r="J2671">
        <v>-489.06020000000001</v>
      </c>
      <c r="K2671">
        <v>1.115159</v>
      </c>
      <c r="L2671">
        <v>233.45160000000001</v>
      </c>
      <c r="M2671">
        <v>0.36114049999999998</v>
      </c>
      <c r="N2671">
        <v>0</v>
      </c>
      <c r="O2671">
        <v>-0.93242389999999997</v>
      </c>
      <c r="P2671">
        <v>0.52749290000000004</v>
      </c>
      <c r="Q2671">
        <v>-1.152863E-2</v>
      </c>
      <c r="R2671">
        <v>-0.84948140000000005</v>
      </c>
      <c r="S2671">
        <v>1.9186399999999999</v>
      </c>
      <c r="T2671">
        <v>-0.42645919999999998</v>
      </c>
      <c r="U2671">
        <v>-2.3380429999999999</v>
      </c>
      <c r="V2671">
        <v>-0.18507699999999999</v>
      </c>
      <c r="W2671">
        <v>-1.4883850000000001E-3</v>
      </c>
      <c r="X2671">
        <v>0.98272289999999995</v>
      </c>
      <c r="Y2671">
        <v>-0.30590659999999997</v>
      </c>
      <c r="Z2671">
        <v>0.13823260000000001</v>
      </c>
      <c r="AA2671">
        <v>0.9419729</v>
      </c>
      <c r="AB2671">
        <v>31</v>
      </c>
      <c r="AC2671">
        <v>4.9077000000000304</v>
      </c>
      <c r="AD2671">
        <v>-1.1151545343589999</v>
      </c>
      <c r="AE2671">
        <v>-5.8450000000000202</v>
      </c>
      <c r="AF2671">
        <v>-2.4138582827725901</v>
      </c>
      <c r="AG2671">
        <v>-1.1151545343589999</v>
      </c>
      <c r="AH2671">
        <v>7.0719963189669501</v>
      </c>
      <c r="AI2671">
        <v>98.487745116114795</v>
      </c>
      <c r="AJ2671">
        <v>108.846122333099</v>
      </c>
      <c r="AK2671">
        <v>7.5553566017954097</v>
      </c>
      <c r="AL2671">
        <v>90.085278209875597</v>
      </c>
      <c r="AM2671">
        <v>100.66563359859801</v>
      </c>
      <c r="AN2671">
        <v>1.00000000470165</v>
      </c>
    </row>
    <row r="2672" spans="1:40" x14ac:dyDescent="0.25">
      <c r="A2672" t="str">
        <f>"20190312151549623"</f>
        <v>20190312151549623</v>
      </c>
      <c r="B2672" t="str">
        <f>"1552374949620640"</f>
        <v>1552374949620640</v>
      </c>
      <c r="C2672" t="s">
        <v>40</v>
      </c>
      <c r="D2672">
        <v>4.9938159999999998</v>
      </c>
      <c r="E2672">
        <v>0.44979669999999999</v>
      </c>
      <c r="F2672" t="s">
        <v>50</v>
      </c>
      <c r="G2672">
        <v>-483.94990000000001</v>
      </c>
      <c r="H2672" s="1">
        <v>4.3457020000000002E-6</v>
      </c>
      <c r="I2672">
        <v>227.30260000000001</v>
      </c>
      <c r="J2672">
        <v>-488.94499999999999</v>
      </c>
      <c r="K2672">
        <v>1.1152599999999999</v>
      </c>
      <c r="L2672">
        <v>233.17349999999999</v>
      </c>
      <c r="M2672">
        <v>0.3675967</v>
      </c>
      <c r="N2672">
        <v>0</v>
      </c>
      <c r="O2672">
        <v>-0.92989730000000004</v>
      </c>
      <c r="P2672">
        <v>0.53413359999999999</v>
      </c>
      <c r="Q2672">
        <v>-1.1620999999999999E-2</v>
      </c>
      <c r="R2672">
        <v>-0.84532039999999997</v>
      </c>
      <c r="S2672">
        <v>1.9328000000000001</v>
      </c>
      <c r="T2672">
        <v>-0.42176910000000001</v>
      </c>
      <c r="U2672">
        <v>-2.325653</v>
      </c>
      <c r="V2672">
        <v>-0.18596299999999999</v>
      </c>
      <c r="W2672">
        <v>-1.6249560000000001E-3</v>
      </c>
      <c r="X2672">
        <v>0.98255539999999997</v>
      </c>
      <c r="Y2672">
        <v>-0.30532130000000002</v>
      </c>
      <c r="Z2672">
        <v>0.13654079999999999</v>
      </c>
      <c r="AA2672">
        <v>0.94240950000000001</v>
      </c>
      <c r="AB2672">
        <v>31</v>
      </c>
      <c r="AC2672">
        <v>4.9950999999999697</v>
      </c>
      <c r="AD2672">
        <v>-1.1152556542980001</v>
      </c>
      <c r="AE2672">
        <v>-5.8708999999999696</v>
      </c>
      <c r="AF2672">
        <v>-2.4360174225662301</v>
      </c>
      <c r="AG2672">
        <v>-1.1152556542980001</v>
      </c>
      <c r="AH2672">
        <v>7.14651688106526</v>
      </c>
      <c r="AI2672">
        <v>98.402419400486494</v>
      </c>
      <c r="AJ2672">
        <v>108.822590057436</v>
      </c>
      <c r="AK2672">
        <v>7.6322132824522599</v>
      </c>
      <c r="AL2672">
        <v>90.093103162043406</v>
      </c>
      <c r="AM2672">
        <v>100.717296927834</v>
      </c>
      <c r="AN2672">
        <v>0.99999999596008005</v>
      </c>
    </row>
    <row r="2673" spans="1:40" x14ac:dyDescent="0.25">
      <c r="A2673" t="str">
        <f>"20190312151549645"</f>
        <v>20190312151549645</v>
      </c>
      <c r="B2673" t="str">
        <f>"1552374949640160"</f>
        <v>1552374949640160</v>
      </c>
      <c r="C2673" t="s">
        <v>40</v>
      </c>
      <c r="D2673">
        <v>4.7476799999999999</v>
      </c>
      <c r="E2673">
        <v>0.4628602</v>
      </c>
      <c r="F2673" t="s">
        <v>50</v>
      </c>
      <c r="G2673">
        <v>-483.78919999999999</v>
      </c>
      <c r="H2673" s="1">
        <v>4.2551119999999996E-6</v>
      </c>
      <c r="I2673">
        <v>227.054</v>
      </c>
      <c r="J2673">
        <v>-488.83150000000001</v>
      </c>
      <c r="K2673">
        <v>1.1153660000000001</v>
      </c>
      <c r="L2673">
        <v>232.90520000000001</v>
      </c>
      <c r="M2673">
        <v>0.3739536</v>
      </c>
      <c r="N2673">
        <v>0</v>
      </c>
      <c r="O2673">
        <v>-0.92735900000000004</v>
      </c>
      <c r="P2673">
        <v>0.53992069999999903</v>
      </c>
      <c r="Q2673">
        <v>-1.136331E-2</v>
      </c>
      <c r="R2673">
        <v>-0.84163949999999998</v>
      </c>
      <c r="S2673">
        <v>1.948059</v>
      </c>
      <c r="T2673">
        <v>-0.4213885</v>
      </c>
      <c r="U2673">
        <v>-2.3122099999999999</v>
      </c>
      <c r="V2673">
        <v>-0.1859808</v>
      </c>
      <c r="W2673">
        <v>-1.398187E-3</v>
      </c>
      <c r="X2673">
        <v>0.98255239999999999</v>
      </c>
      <c r="Y2673">
        <v>-0.30516680000000002</v>
      </c>
      <c r="Z2673">
        <v>0.13622889999999999</v>
      </c>
      <c r="AA2673">
        <v>0.94250460000000003</v>
      </c>
      <c r="AB2673">
        <v>31</v>
      </c>
      <c r="AC2673">
        <v>5.0423000000000098</v>
      </c>
      <c r="AD2673">
        <v>-1.115361744888</v>
      </c>
      <c r="AE2673">
        <v>-5.8512000000000004</v>
      </c>
      <c r="AF2673">
        <v>-2.4373269366828598</v>
      </c>
      <c r="AG2673">
        <v>-1.115361744888</v>
      </c>
      <c r="AH2673">
        <v>7.1629893172361303</v>
      </c>
      <c r="AI2673">
        <v>98.3856739168383</v>
      </c>
      <c r="AJ2673">
        <v>108.791730908213</v>
      </c>
      <c r="AK2673">
        <v>7.6480723307954204</v>
      </c>
      <c r="AL2673">
        <v>90.080110238904297</v>
      </c>
      <c r="AM2673">
        <v>100.71833096862299</v>
      </c>
      <c r="AN2673">
        <v>1.0000000158206399</v>
      </c>
    </row>
    <row r="2674" spans="1:40" x14ac:dyDescent="0.25">
      <c r="A2674" t="str">
        <f>"20190312151549667"</f>
        <v>20190312151549667</v>
      </c>
      <c r="B2674" t="str">
        <f>"1552374949660656"</f>
        <v>1552374949660656</v>
      </c>
      <c r="C2674" t="s">
        <v>40</v>
      </c>
      <c r="D2674">
        <v>4.731338</v>
      </c>
      <c r="E2674">
        <v>0.46373530000000002</v>
      </c>
      <c r="F2674" t="s">
        <v>50</v>
      </c>
      <c r="G2674">
        <v>-482.0883</v>
      </c>
      <c r="H2674" s="1">
        <v>3.2784199999999999E-6</v>
      </c>
      <c r="I2674">
        <v>224.42070000000001</v>
      </c>
      <c r="J2674">
        <v>-488.70960000000002</v>
      </c>
      <c r="K2674">
        <v>1.1154839999999999</v>
      </c>
      <c r="L2674">
        <v>232.62270000000001</v>
      </c>
      <c r="M2674">
        <v>0.38078050000000002</v>
      </c>
      <c r="N2674">
        <v>0</v>
      </c>
      <c r="O2674">
        <v>-0.92457650000000002</v>
      </c>
      <c r="P2674">
        <v>0.54641909999999905</v>
      </c>
      <c r="Q2674">
        <v>-1.134482E-2</v>
      </c>
      <c r="R2674">
        <v>-0.83743539999999905</v>
      </c>
      <c r="S2674">
        <v>1.8740840000000001</v>
      </c>
      <c r="T2674">
        <v>-0.309980599999999</v>
      </c>
      <c r="U2674">
        <v>-2.3580019999999999</v>
      </c>
      <c r="V2674">
        <v>-0.18634110000000001</v>
      </c>
      <c r="W2674">
        <v>-1.420426E-3</v>
      </c>
      <c r="X2674">
        <v>0.98248409999999997</v>
      </c>
      <c r="Y2674">
        <v>-0.27385199999999998</v>
      </c>
      <c r="Z2674">
        <v>0.1001561</v>
      </c>
      <c r="AA2674">
        <v>0.95654269999999997</v>
      </c>
      <c r="AB2674">
        <v>31</v>
      </c>
      <c r="AC2674">
        <v>6.6213000000000104</v>
      </c>
      <c r="AD2674">
        <v>-1.11548072158</v>
      </c>
      <c r="AE2674">
        <v>-8.2019999999999893</v>
      </c>
      <c r="AF2674">
        <v>-2.9657716793914899</v>
      </c>
      <c r="AG2674">
        <v>-1.11548072158</v>
      </c>
      <c r="AH2674">
        <v>9.9935583362638898</v>
      </c>
      <c r="AI2674">
        <v>96.107822021221196</v>
      </c>
      <c r="AJ2674">
        <v>106.52922130316399</v>
      </c>
      <c r="AK2674">
        <v>10.4838593616476</v>
      </c>
      <c r="AL2674">
        <v>90.081384441060393</v>
      </c>
      <c r="AM2674">
        <v>100.73934229604301</v>
      </c>
      <c r="AN2674">
        <v>1.00000001495602</v>
      </c>
    </row>
    <row r="2675" spans="1:40" x14ac:dyDescent="0.25">
      <c r="A2675" t="str">
        <f>"20190312151549690"</f>
        <v>20190312151549690</v>
      </c>
      <c r="B2675" t="str">
        <f>"1552374949680176"</f>
        <v>1552374949680176</v>
      </c>
      <c r="C2675" t="s">
        <v>40</v>
      </c>
      <c r="D2675">
        <v>5.0521949999999904</v>
      </c>
      <c r="E2675">
        <v>0.46425280000000002</v>
      </c>
      <c r="F2675" t="s">
        <v>50</v>
      </c>
      <c r="G2675">
        <v>-482.13400000000001</v>
      </c>
      <c r="H2675" s="1">
        <v>3.2953800000000001E-6</v>
      </c>
      <c r="I2675">
        <v>224.4427</v>
      </c>
      <c r="J2675">
        <v>-488.58319999999998</v>
      </c>
      <c r="K2675">
        <v>1.1156079999999999</v>
      </c>
      <c r="L2675">
        <v>232.33609999999999</v>
      </c>
      <c r="M2675">
        <v>0.38784629999999998</v>
      </c>
      <c r="N2675">
        <v>0</v>
      </c>
      <c r="O2675">
        <v>-0.92163450000000002</v>
      </c>
      <c r="P2675">
        <v>0.55300150000000003</v>
      </c>
      <c r="Q2675">
        <v>-1.1486430000000001E-2</v>
      </c>
      <c r="R2675">
        <v>-0.83310090000000003</v>
      </c>
      <c r="S2675">
        <v>1.8866579999999999</v>
      </c>
      <c r="T2675">
        <v>-0.32005309999999998</v>
      </c>
      <c r="U2675">
        <v>-2.3469850000000001</v>
      </c>
      <c r="V2675">
        <v>-0.18656220000000001</v>
      </c>
      <c r="W2675">
        <v>-1.602766E-3</v>
      </c>
      <c r="X2675">
        <v>0.98244180000000003</v>
      </c>
      <c r="Y2675">
        <v>-0.27158510000000002</v>
      </c>
      <c r="Z2675">
        <v>0.1031498</v>
      </c>
      <c r="AA2675">
        <v>0.95687069999999996</v>
      </c>
      <c r="AB2675">
        <v>31</v>
      </c>
      <c r="AC2675">
        <v>6.4491999999999603</v>
      </c>
      <c r="AD2675">
        <v>-1.1156047046199999</v>
      </c>
      <c r="AE2675">
        <v>-7.8933999999999802</v>
      </c>
      <c r="AF2675">
        <v>-2.8484956060162498</v>
      </c>
      <c r="AG2675">
        <v>-1.1156047046199999</v>
      </c>
      <c r="AH2675">
        <v>9.6612054638009504</v>
      </c>
      <c r="AI2675">
        <v>96.320251746045898</v>
      </c>
      <c r="AJ2675">
        <v>106.427547902569</v>
      </c>
      <c r="AK2675">
        <v>10.133972177198901</v>
      </c>
      <c r="AL2675">
        <v>90.091831770626001</v>
      </c>
      <c r="AM2675">
        <v>100.752240148254</v>
      </c>
      <c r="AN2675">
        <v>0.99999995685746401</v>
      </c>
    </row>
    <row r="2676" spans="1:40" x14ac:dyDescent="0.25">
      <c r="A2676" t="str">
        <f>"20190312151549712"</f>
        <v>20190312151549712</v>
      </c>
      <c r="B2676" t="str">
        <f>"1552374949700675"</f>
        <v>1552374949700675</v>
      </c>
      <c r="C2676" t="s">
        <v>40</v>
      </c>
      <c r="D2676">
        <v>5.0133109999999999</v>
      </c>
      <c r="E2676">
        <v>0.46468979999999999</v>
      </c>
      <c r="F2676" t="s">
        <v>50</v>
      </c>
      <c r="G2676">
        <v>-482.09699999999998</v>
      </c>
      <c r="H2676" s="1">
        <v>3.2661349999999999E-6</v>
      </c>
      <c r="I2676">
        <v>224.37479999999999</v>
      </c>
      <c r="J2676">
        <v>-488.46409999999997</v>
      </c>
      <c r="K2676">
        <v>1.115726</v>
      </c>
      <c r="L2676">
        <v>232.07159999999999</v>
      </c>
      <c r="M2676">
        <v>0.39449840000000003</v>
      </c>
      <c r="N2676">
        <v>0</v>
      </c>
      <c r="O2676">
        <v>-0.91880649999999997</v>
      </c>
      <c r="P2676">
        <v>0.55903349999999996</v>
      </c>
      <c r="Q2676">
        <v>-1.175115E-2</v>
      </c>
      <c r="R2676">
        <v>-0.82906199999999997</v>
      </c>
      <c r="S2676">
        <v>1.901672</v>
      </c>
      <c r="T2676">
        <v>-0.32708229999999999</v>
      </c>
      <c r="U2676">
        <v>-2.334152</v>
      </c>
      <c r="V2676">
        <v>-0.18658830000000001</v>
      </c>
      <c r="W2676">
        <v>-1.9022749999999999E-3</v>
      </c>
      <c r="X2676">
        <v>0.98243639999999999</v>
      </c>
      <c r="Y2676">
        <v>-0.270754299999999</v>
      </c>
      <c r="Z2676">
        <v>0.10518719999999999</v>
      </c>
      <c r="AA2676">
        <v>0.95688439999999997</v>
      </c>
      <c r="AB2676">
        <v>31</v>
      </c>
      <c r="AC2676">
        <v>6.36709999999999</v>
      </c>
      <c r="AD2676">
        <v>-1.115722733865</v>
      </c>
      <c r="AE2676">
        <v>-7.6967999999999899</v>
      </c>
      <c r="AF2676">
        <v>-2.7793166180917601</v>
      </c>
      <c r="AG2676">
        <v>-1.115722733865</v>
      </c>
      <c r="AH2676">
        <v>9.46637443898301</v>
      </c>
      <c r="AI2676">
        <v>96.452069973902198</v>
      </c>
      <c r="AJ2676">
        <v>106.362178070271</v>
      </c>
      <c r="AK2676">
        <v>9.9288309030567703</v>
      </c>
      <c r="AL2676">
        <v>90.108992389672494</v>
      </c>
      <c r="AM2676">
        <v>100.753767037762</v>
      </c>
      <c r="AN2676">
        <v>1.0000000461960099</v>
      </c>
    </row>
    <row r="2677" spans="1:40" x14ac:dyDescent="0.25">
      <c r="A2677" t="str">
        <f>"20190312151549735"</f>
        <v>20190312151549735</v>
      </c>
      <c r="B2677" t="str">
        <f>"1552374949729952"</f>
        <v>1552374949729952</v>
      </c>
      <c r="C2677" t="s">
        <v>40</v>
      </c>
      <c r="D2677">
        <v>4.9877250000000002</v>
      </c>
      <c r="E2677">
        <v>0.46573019999999998</v>
      </c>
      <c r="F2677" t="s">
        <v>50</v>
      </c>
      <c r="G2677">
        <v>-482.1266</v>
      </c>
      <c r="H2677" s="1">
        <v>3.2777049999999999E-6</v>
      </c>
      <c r="I2677">
        <v>224.39089999999999</v>
      </c>
      <c r="J2677">
        <v>-488.33159999999998</v>
      </c>
      <c r="K2677">
        <v>1.1158490000000001</v>
      </c>
      <c r="L2677">
        <v>231.78389999999999</v>
      </c>
      <c r="M2677">
        <v>0.4018813</v>
      </c>
      <c r="N2677">
        <v>0</v>
      </c>
      <c r="O2677">
        <v>-0.91560129999999995</v>
      </c>
      <c r="P2677">
        <v>0.56527659999999902</v>
      </c>
      <c r="Q2677">
        <v>-1.2141799999999999E-2</v>
      </c>
      <c r="R2677">
        <v>-0.82481209999999905</v>
      </c>
      <c r="S2677">
        <v>1.9158630000000001</v>
      </c>
      <c r="T2677">
        <v>-0.33729530000000002</v>
      </c>
      <c r="U2677">
        <v>-2.3219449999999999</v>
      </c>
      <c r="V2677">
        <v>-0.18609300000000001</v>
      </c>
      <c r="W2677">
        <v>-2.3205880000000002E-3</v>
      </c>
      <c r="X2677">
        <v>0.9825294</v>
      </c>
      <c r="Y2677">
        <v>-0.26872990000000002</v>
      </c>
      <c r="Z2677">
        <v>0.1081622</v>
      </c>
      <c r="AA2677">
        <v>0.95712339999999996</v>
      </c>
      <c r="AB2677">
        <v>31</v>
      </c>
      <c r="AC2677">
        <v>6.2049999999999796</v>
      </c>
      <c r="AD2677">
        <v>-1.11584572229499</v>
      </c>
      <c r="AE2677">
        <v>-7.3929999999999998</v>
      </c>
      <c r="AF2677">
        <v>-2.6746737444864701</v>
      </c>
      <c r="AG2677">
        <v>-1.11584572229499</v>
      </c>
      <c r="AH2677">
        <v>9.1413030060863694</v>
      </c>
      <c r="AI2677">
        <v>96.682000773696799</v>
      </c>
      <c r="AJ2677">
        <v>106.309062979814</v>
      </c>
      <c r="AK2677">
        <v>9.5897034346476602</v>
      </c>
      <c r="AL2677">
        <v>90.132960016949397</v>
      </c>
      <c r="AM2677">
        <v>100.724892501676</v>
      </c>
      <c r="AN2677">
        <v>1.0000000058210099</v>
      </c>
    </row>
    <row r="2678" spans="1:40" x14ac:dyDescent="0.25">
      <c r="A2678" t="str">
        <f>"20190312151549759"</f>
        <v>20190312151549759</v>
      </c>
      <c r="B2678" t="str">
        <f>"1552374949750447"</f>
        <v>1552374949750447</v>
      </c>
      <c r="C2678" t="s">
        <v>40</v>
      </c>
      <c r="D2678">
        <v>4.7038830000000003</v>
      </c>
      <c r="E2678">
        <v>0.46632639999999997</v>
      </c>
      <c r="F2678" t="s">
        <v>50</v>
      </c>
      <c r="G2678">
        <v>-481.95240000000001</v>
      </c>
      <c r="H2678" s="1">
        <v>3.1573759999999998E-6</v>
      </c>
      <c r="I2678">
        <v>224.12729999999999</v>
      </c>
      <c r="J2678">
        <v>-488.19369999999998</v>
      </c>
      <c r="K2678">
        <v>1.1159730000000001</v>
      </c>
      <c r="L2678">
        <v>231.49119999999999</v>
      </c>
      <c r="M2678">
        <v>0.40953859999999997</v>
      </c>
      <c r="N2678">
        <v>0</v>
      </c>
      <c r="O2678">
        <v>-0.91220140000000005</v>
      </c>
      <c r="P2678">
        <v>0.57166340000000004</v>
      </c>
      <c r="Q2678">
        <v>-1.194366E-2</v>
      </c>
      <c r="R2678">
        <v>-0.82040149999999901</v>
      </c>
      <c r="S2678">
        <v>1.9262999999999999</v>
      </c>
      <c r="T2678">
        <v>-0.3369453</v>
      </c>
      <c r="U2678">
        <v>-2.3120270000000001</v>
      </c>
      <c r="V2678">
        <v>-0.1854905</v>
      </c>
      <c r="W2678">
        <v>-2.1448550000000002E-3</v>
      </c>
      <c r="X2678">
        <v>0.98264370000000001</v>
      </c>
      <c r="Y2678">
        <v>-0.26525149999999997</v>
      </c>
      <c r="Z2678">
        <v>0.1077422</v>
      </c>
      <c r="AA2678">
        <v>0.95814049999999995</v>
      </c>
      <c r="AB2678">
        <v>31</v>
      </c>
      <c r="AC2678">
        <v>6.2412999999999599</v>
      </c>
      <c r="AD2678">
        <v>-1.1159698426239999</v>
      </c>
      <c r="AE2678">
        <v>-7.3639000000000001</v>
      </c>
      <c r="AF2678">
        <v>-2.6424277529270102</v>
      </c>
      <c r="AG2678">
        <v>-1.1159698426239999</v>
      </c>
      <c r="AH2678">
        <v>9.1518690326842904</v>
      </c>
      <c r="AI2678">
        <v>96.681940640928204</v>
      </c>
      <c r="AJ2678">
        <v>106.10506519256199</v>
      </c>
      <c r="AK2678">
        <v>9.5908560572292405</v>
      </c>
      <c r="AL2678">
        <v>90.122891235411402</v>
      </c>
      <c r="AM2678">
        <v>100.68975600812099</v>
      </c>
      <c r="AN2678">
        <v>0.99999998357145503</v>
      </c>
    </row>
    <row r="2679" spans="1:40" x14ac:dyDescent="0.25">
      <c r="A2679" t="str">
        <f>"20190312151549781"</f>
        <v>20190312151549781</v>
      </c>
      <c r="B2679" t="str">
        <f>"1552374949769967"</f>
        <v>1552374949769967</v>
      </c>
      <c r="C2679" t="s">
        <v>40</v>
      </c>
      <c r="D2679">
        <v>4.7204410000000001</v>
      </c>
      <c r="E2679">
        <v>0.46693669999999998</v>
      </c>
      <c r="F2679" t="s">
        <v>50</v>
      </c>
      <c r="G2679">
        <v>-481.73320000000001</v>
      </c>
      <c r="H2679" s="1">
        <v>3.0186670000000001E-6</v>
      </c>
      <c r="I2679">
        <v>223.8364</v>
      </c>
      <c r="J2679">
        <v>-488.0641</v>
      </c>
      <c r="K2679">
        <v>1.1160699999999999</v>
      </c>
      <c r="L2679">
        <v>231.22210000000001</v>
      </c>
      <c r="M2679">
        <v>0.4166762</v>
      </c>
      <c r="N2679">
        <v>0</v>
      </c>
      <c r="O2679">
        <v>-0.90896319999999997</v>
      </c>
      <c r="P2679">
        <v>0.57723570000000002</v>
      </c>
      <c r="Q2679">
        <v>-1.169224E-2</v>
      </c>
      <c r="R2679">
        <v>-0.81649389999999999</v>
      </c>
      <c r="S2679">
        <v>1.9407650000000001</v>
      </c>
      <c r="T2679">
        <v>-0.3352426</v>
      </c>
      <c r="U2679">
        <v>-2.2995299999999999</v>
      </c>
      <c r="V2679">
        <v>-0.18448120000000001</v>
      </c>
      <c r="W2679">
        <v>-1.9006380000000001E-3</v>
      </c>
      <c r="X2679">
        <v>0.98283419999999999</v>
      </c>
      <c r="Y2679">
        <v>-0.26383610000000002</v>
      </c>
      <c r="Z2679">
        <v>0.1069292</v>
      </c>
      <c r="AA2679">
        <v>0.95862230000000004</v>
      </c>
      <c r="AB2679">
        <v>31</v>
      </c>
      <c r="AC2679">
        <v>6.3308999999999802</v>
      </c>
      <c r="AD2679">
        <v>-1.116066981333</v>
      </c>
      <c r="AE2679">
        <v>-7.3857000000000097</v>
      </c>
      <c r="AF2679">
        <v>-2.6425490363868902</v>
      </c>
      <c r="AG2679">
        <v>-1.116066981333</v>
      </c>
      <c r="AH2679">
        <v>9.2305428616569696</v>
      </c>
      <c r="AI2679">
        <v>96.630339279994402</v>
      </c>
      <c r="AJ2679">
        <v>105.975525864015</v>
      </c>
      <c r="AK2679">
        <v>9.6660018848238192</v>
      </c>
      <c r="AL2679">
        <v>90.108898601876803</v>
      </c>
      <c r="AM2679">
        <v>100.63090621540999</v>
      </c>
      <c r="AN2679">
        <v>0.999999995133943</v>
      </c>
    </row>
    <row r="2680" spans="1:40" x14ac:dyDescent="0.25">
      <c r="A2680" t="str">
        <f>"20190312151549802"</f>
        <v>20190312151549802</v>
      </c>
      <c r="B2680" t="str">
        <f>"1552374949800224"</f>
        <v>1552374949800224</v>
      </c>
      <c r="C2680" t="s">
        <v>40</v>
      </c>
      <c r="D2680">
        <v>4.7093049999999996</v>
      </c>
      <c r="E2680">
        <v>0.46722079999999999</v>
      </c>
      <c r="F2680" t="s">
        <v>50</v>
      </c>
      <c r="G2680">
        <v>-481.56880000000001</v>
      </c>
      <c r="H2680" s="1">
        <v>2.929312E-6</v>
      </c>
      <c r="I2680">
        <v>223.60730000000001</v>
      </c>
      <c r="J2680">
        <v>-487.93650000000002</v>
      </c>
      <c r="K2680">
        <v>1.116152</v>
      </c>
      <c r="L2680">
        <v>230.9623</v>
      </c>
      <c r="M2680">
        <v>0.42365249999999999</v>
      </c>
      <c r="N2680">
        <v>0</v>
      </c>
      <c r="O2680">
        <v>-0.90573239999999999</v>
      </c>
      <c r="P2680">
        <v>0.58328210000000003</v>
      </c>
      <c r="Q2680">
        <v>-1.098178E-2</v>
      </c>
      <c r="R2680">
        <v>-0.81219540000000001</v>
      </c>
      <c r="S2680">
        <v>1.952545</v>
      </c>
      <c r="T2680">
        <v>-0.3354973</v>
      </c>
      <c r="U2680">
        <v>-2.2890470000000001</v>
      </c>
      <c r="V2680">
        <v>-0.18422830000000001</v>
      </c>
      <c r="W2680">
        <v>-1.2062819999999999E-3</v>
      </c>
      <c r="X2680">
        <v>0.9828827</v>
      </c>
      <c r="Y2680">
        <v>-0.26145239999999997</v>
      </c>
      <c r="Z2680">
        <v>0.10671120000000001</v>
      </c>
      <c r="AA2680">
        <v>0.95929940000000002</v>
      </c>
      <c r="AB2680">
        <v>31</v>
      </c>
      <c r="AC2680">
        <v>6.3677000000000099</v>
      </c>
      <c r="AD2680">
        <v>-1.116149070688</v>
      </c>
      <c r="AE2680">
        <v>-7.3549999999999898</v>
      </c>
      <c r="AF2680">
        <v>-2.6172394186158301</v>
      </c>
      <c r="AG2680">
        <v>-1.116149070688</v>
      </c>
      <c r="AH2680">
        <v>9.2385309410771796</v>
      </c>
      <c r="AI2680">
        <v>96.630309071246401</v>
      </c>
      <c r="AJ2680">
        <v>105.81721704108099</v>
      </c>
      <c r="AK2680">
        <v>9.6667566883414704</v>
      </c>
      <c r="AL2680">
        <v>90.0691148869046</v>
      </c>
      <c r="AM2680">
        <v>100.616152164076</v>
      </c>
      <c r="AN2680">
        <v>0.99999996179822104</v>
      </c>
    </row>
    <row r="2681" spans="1:40" x14ac:dyDescent="0.25">
      <c r="A2681" t="str">
        <f>"20190312151549824"</f>
        <v>20190312151549824</v>
      </c>
      <c r="B2681" t="str">
        <f>"1552374949819744"</f>
        <v>1552374949819744</v>
      </c>
      <c r="C2681" t="s">
        <v>40</v>
      </c>
      <c r="D2681">
        <v>4.6865509999999997</v>
      </c>
      <c r="E2681">
        <v>0.46744639999999998</v>
      </c>
      <c r="F2681" t="s">
        <v>50</v>
      </c>
      <c r="G2681">
        <v>-481.5736</v>
      </c>
      <c r="H2681" s="1">
        <v>2.929008E-6</v>
      </c>
      <c r="I2681">
        <v>223.60210000000001</v>
      </c>
      <c r="J2681">
        <v>-487.80009999999999</v>
      </c>
      <c r="K2681">
        <v>1.116225</v>
      </c>
      <c r="L2681">
        <v>230.6902</v>
      </c>
      <c r="M2681">
        <v>0.43103619999999998</v>
      </c>
      <c r="N2681">
        <v>0</v>
      </c>
      <c r="O2681">
        <v>-0.90224179999999998</v>
      </c>
      <c r="P2681">
        <v>0.58990629999999999</v>
      </c>
      <c r="Q2681">
        <v>-1.0379650000000001E-2</v>
      </c>
      <c r="R2681">
        <v>-0.80740519999999905</v>
      </c>
      <c r="S2681">
        <v>1.9676210000000001</v>
      </c>
      <c r="T2681">
        <v>-0.34514899999999998</v>
      </c>
      <c r="U2681">
        <v>-2.2760009999999999</v>
      </c>
      <c r="V2681">
        <v>-0.18424670000000001</v>
      </c>
      <c r="W2681">
        <v>-6.2276330000000002E-4</v>
      </c>
      <c r="X2681">
        <v>0.98287979999999997</v>
      </c>
      <c r="Y2681">
        <v>-0.25970799999999999</v>
      </c>
      <c r="Z2681">
        <v>0.1094205</v>
      </c>
      <c r="AA2681">
        <v>0.95946799999999999</v>
      </c>
      <c r="AB2681">
        <v>31</v>
      </c>
      <c r="AC2681">
        <v>6.2264999999999802</v>
      </c>
      <c r="AD2681">
        <v>-1.1162220709919899</v>
      </c>
      <c r="AE2681">
        <v>-7.0880999999999901</v>
      </c>
      <c r="AF2681">
        <v>-2.5274172475763801</v>
      </c>
      <c r="AG2681">
        <v>-1.1162220709919899</v>
      </c>
      <c r="AH2681">
        <v>8.9544449615085107</v>
      </c>
      <c r="AI2681">
        <v>96.840992062001703</v>
      </c>
      <c r="AJ2681">
        <v>105.761868889103</v>
      </c>
      <c r="AK2681">
        <v>9.3710124439038793</v>
      </c>
      <c r="AL2681">
        <v>90.035681712181997</v>
      </c>
      <c r="AM2681">
        <v>100.617218972657</v>
      </c>
      <c r="AN2681">
        <v>0.999999967771528</v>
      </c>
    </row>
    <row r="2682" spans="1:40" x14ac:dyDescent="0.25">
      <c r="A2682" t="str">
        <f>"20190312151549846"</f>
        <v>20190312151549846</v>
      </c>
      <c r="B2682" t="str">
        <f>"1552374949840240"</f>
        <v>1552374949840240</v>
      </c>
      <c r="C2682" t="s">
        <v>40</v>
      </c>
      <c r="D2682">
        <v>4.7229199999999896</v>
      </c>
      <c r="E2682">
        <v>0.46769230000000001</v>
      </c>
      <c r="F2682" t="s">
        <v>50</v>
      </c>
      <c r="G2682">
        <v>-481.50720000000001</v>
      </c>
      <c r="H2682" s="1">
        <v>2.8992009999999999E-6</v>
      </c>
      <c r="I2682">
        <v>223.5206</v>
      </c>
      <c r="J2682">
        <v>-487.66609999999997</v>
      </c>
      <c r="K2682">
        <v>1.1162799999999999</v>
      </c>
      <c r="L2682">
        <v>230.4281</v>
      </c>
      <c r="M2682">
        <v>0.43820789999999998</v>
      </c>
      <c r="N2682">
        <v>0</v>
      </c>
      <c r="O2682">
        <v>-0.89878019999999903</v>
      </c>
      <c r="P2682">
        <v>0.59662169999999903</v>
      </c>
      <c r="Q2682">
        <v>-1.0263990000000001E-2</v>
      </c>
      <c r="R2682">
        <v>-0.80245699999999998</v>
      </c>
      <c r="S2682">
        <v>1.9846189999999999</v>
      </c>
      <c r="T2682">
        <v>-0.35202460000000002</v>
      </c>
      <c r="U2682">
        <v>-2.2610929999999998</v>
      </c>
      <c r="V2682">
        <v>-0.18462020000000001</v>
      </c>
      <c r="W2682">
        <v>-5.2795130000000002E-4</v>
      </c>
      <c r="X2682">
        <v>0.98280979999999996</v>
      </c>
      <c r="Y2682">
        <v>-0.25907219999999997</v>
      </c>
      <c r="Z2682">
        <v>0.1112706</v>
      </c>
      <c r="AA2682">
        <v>0.95942709999999998</v>
      </c>
      <c r="AB2682">
        <v>31</v>
      </c>
      <c r="AC2682">
        <v>6.1588999999999503</v>
      </c>
      <c r="AD2682">
        <v>-1.116277100799</v>
      </c>
      <c r="AE2682">
        <v>-6.90749999999999</v>
      </c>
      <c r="AF2682">
        <v>-2.4728096486602902</v>
      </c>
      <c r="AG2682">
        <v>-1.116277100799</v>
      </c>
      <c r="AH2682">
        <v>8.7802061878079307</v>
      </c>
      <c r="AI2682">
        <v>96.976879347696794</v>
      </c>
      <c r="AJ2682">
        <v>105.729055169391</v>
      </c>
      <c r="AK2682">
        <v>9.1898249615918299</v>
      </c>
      <c r="AL2682">
        <v>90.030249382684303</v>
      </c>
      <c r="AM2682">
        <v>100.63899154204</v>
      </c>
      <c r="AN2682">
        <v>0.999999999978327</v>
      </c>
    </row>
    <row r="2683" spans="1:40" x14ac:dyDescent="0.25">
      <c r="A2683" t="str">
        <f>"20190312151549868"</f>
        <v>20190312151549868</v>
      </c>
      <c r="B2683" t="str">
        <f>"1552374949859760"</f>
        <v>1552374949859760</v>
      </c>
      <c r="C2683" t="s">
        <v>40</v>
      </c>
      <c r="D2683">
        <v>4.9910370000000004</v>
      </c>
      <c r="E2683">
        <v>0.46803430000000001</v>
      </c>
      <c r="F2683" t="s">
        <v>50</v>
      </c>
      <c r="G2683">
        <v>-481.42509999999999</v>
      </c>
      <c r="H2683" s="1">
        <v>2.8644090000000001E-6</v>
      </c>
      <c r="I2683">
        <v>223.42910000000001</v>
      </c>
      <c r="J2683">
        <v>-487.52460000000002</v>
      </c>
      <c r="K2683">
        <v>1.116322</v>
      </c>
      <c r="L2683">
        <v>230.15710000000001</v>
      </c>
      <c r="M2683">
        <v>0.4456639</v>
      </c>
      <c r="N2683">
        <v>0</v>
      </c>
      <c r="O2683">
        <v>-0.89510659999999898</v>
      </c>
      <c r="P2683">
        <v>0.60294630000000005</v>
      </c>
      <c r="Q2683">
        <v>-1.023014E-2</v>
      </c>
      <c r="R2683">
        <v>-0.79771639999999999</v>
      </c>
      <c r="S2683">
        <v>2.0021360000000001</v>
      </c>
      <c r="T2683">
        <v>-0.35810609999999998</v>
      </c>
      <c r="U2683">
        <v>-2.2452999999999999</v>
      </c>
      <c r="V2683">
        <v>-0.18421999999999999</v>
      </c>
      <c r="W2683">
        <v>-4.9680480000000005E-4</v>
      </c>
      <c r="X2683">
        <v>0.98288489999999995</v>
      </c>
      <c r="Y2683">
        <v>-0.25842700000000002</v>
      </c>
      <c r="Z2683">
        <v>0.1128446</v>
      </c>
      <c r="AA2683">
        <v>0.95941730000000003</v>
      </c>
      <c r="AB2683">
        <v>31</v>
      </c>
      <c r="AC2683">
        <v>6.0995000000000301</v>
      </c>
      <c r="AD2683">
        <v>-1.116319135591</v>
      </c>
      <c r="AE2683">
        <v>-6.7279999999999998</v>
      </c>
      <c r="AF2683">
        <v>-2.42484180733135</v>
      </c>
      <c r="AG2683">
        <v>-1.116319135591</v>
      </c>
      <c r="AH2683">
        <v>8.6112173129113501</v>
      </c>
      <c r="AI2683">
        <v>97.112751613792199</v>
      </c>
      <c r="AJ2683">
        <v>105.726745055489</v>
      </c>
      <c r="AK2683">
        <v>9.0154916567679599</v>
      </c>
      <c r="AL2683">
        <v>90.028464819710905</v>
      </c>
      <c r="AM2683">
        <v>100.61566152677401</v>
      </c>
      <c r="AN2683">
        <v>0.99999999093150904</v>
      </c>
    </row>
    <row r="2684" spans="1:40" x14ac:dyDescent="0.25">
      <c r="A2684" t="str">
        <f>"20190312151549891"</f>
        <v>20190312151549891</v>
      </c>
      <c r="B2684" t="str">
        <f>"1552374949880256"</f>
        <v>1552374949880256</v>
      </c>
      <c r="C2684" t="s">
        <v>40</v>
      </c>
      <c r="D2684">
        <v>4.7218669999999996</v>
      </c>
      <c r="E2684">
        <v>0.4681593</v>
      </c>
      <c r="F2684" t="s">
        <v>50</v>
      </c>
      <c r="G2684">
        <v>-481.22969999999998</v>
      </c>
      <c r="H2684" s="1">
        <v>2.7787970000000001E-6</v>
      </c>
      <c r="I2684">
        <v>223.1986</v>
      </c>
      <c r="J2684">
        <v>-487.37909999999999</v>
      </c>
      <c r="K2684">
        <v>1.116357</v>
      </c>
      <c r="L2684">
        <v>229.8837</v>
      </c>
      <c r="M2684">
        <v>0.45321</v>
      </c>
      <c r="N2684">
        <v>0</v>
      </c>
      <c r="O2684">
        <v>-0.89130940000000003</v>
      </c>
      <c r="P2684">
        <v>0.60940229999999995</v>
      </c>
      <c r="Q2684">
        <v>-1.0317750000000001E-2</v>
      </c>
      <c r="R2684">
        <v>-0.79279429999999995</v>
      </c>
      <c r="S2684">
        <v>2.0180660000000001</v>
      </c>
      <c r="T2684">
        <v>-0.35787819999999998</v>
      </c>
      <c r="U2684">
        <v>-2.230804</v>
      </c>
      <c r="V2684">
        <v>-0.18389430000000001</v>
      </c>
      <c r="W2684">
        <v>-5.8445329999999996E-4</v>
      </c>
      <c r="X2684">
        <v>0.98294590000000004</v>
      </c>
      <c r="Y2684">
        <v>-0.25716230000000001</v>
      </c>
      <c r="Z2684">
        <v>0.1124144</v>
      </c>
      <c r="AA2684">
        <v>0.95980759999999998</v>
      </c>
      <c r="AB2684">
        <v>31</v>
      </c>
      <c r="AC2684">
        <v>6.1494000000000097</v>
      </c>
      <c r="AD2684">
        <v>-1.116354221203</v>
      </c>
      <c r="AE2684">
        <v>-6.6851000000000003</v>
      </c>
      <c r="AF2684">
        <v>-2.4149916881311602</v>
      </c>
      <c r="AG2684">
        <v>-1.116354221203</v>
      </c>
      <c r="AH2684">
        <v>8.6160525379720792</v>
      </c>
      <c r="AI2684">
        <v>97.111406521912301</v>
      </c>
      <c r="AJ2684">
        <v>105.657642756871</v>
      </c>
      <c r="AK2684">
        <v>9.0174715379664807</v>
      </c>
      <c r="AL2684">
        <v>90.033486707686706</v>
      </c>
      <c r="AM2684">
        <v>100.596675818378</v>
      </c>
      <c r="AN2684">
        <v>1.0000000487424701</v>
      </c>
    </row>
    <row r="2685" spans="1:40" x14ac:dyDescent="0.25">
      <c r="A2685" t="str">
        <f>"20190312151549914"</f>
        <v>20190312151549914</v>
      </c>
      <c r="B2685" t="str">
        <f>"1552374949910512"</f>
        <v>1552374949910512</v>
      </c>
      <c r="C2685" t="s">
        <v>40</v>
      </c>
      <c r="D2685">
        <v>4.7192350000000003</v>
      </c>
      <c r="E2685">
        <v>0.46876279999999998</v>
      </c>
      <c r="F2685" t="s">
        <v>50</v>
      </c>
      <c r="G2685">
        <v>-481.07319999999999</v>
      </c>
      <c r="H2685" s="1">
        <v>2.7129060000000001E-6</v>
      </c>
      <c r="I2685">
        <v>223.02619999999999</v>
      </c>
      <c r="J2685">
        <v>-487.23770000000002</v>
      </c>
      <c r="K2685">
        <v>1.116374</v>
      </c>
      <c r="L2685">
        <v>229.62370000000001</v>
      </c>
      <c r="M2685">
        <v>0.46039679999999999</v>
      </c>
      <c r="N2685">
        <v>0</v>
      </c>
      <c r="O2685">
        <v>-0.88761819999999902</v>
      </c>
      <c r="P2685">
        <v>0.61543210000000004</v>
      </c>
      <c r="Q2685">
        <v>-9.8254190000000002E-3</v>
      </c>
      <c r="R2685">
        <v>-0.78812879999999996</v>
      </c>
      <c r="S2685">
        <v>2.036133</v>
      </c>
      <c r="T2685">
        <v>-0.3604636</v>
      </c>
      <c r="U2685">
        <v>-2.214264</v>
      </c>
      <c r="V2685">
        <v>-0.1834556</v>
      </c>
      <c r="W2685" s="1">
        <v>-8.4812400000000001E-5</v>
      </c>
      <c r="X2685">
        <v>0.98302800000000001</v>
      </c>
      <c r="Y2685">
        <v>-0.25712059999999998</v>
      </c>
      <c r="Z2685">
        <v>0.1128924</v>
      </c>
      <c r="AA2685">
        <v>0.95976260000000002</v>
      </c>
      <c r="AB2685">
        <v>31</v>
      </c>
      <c r="AC2685">
        <v>6.1645000000000296</v>
      </c>
      <c r="AD2685">
        <v>-1.1163712870939999</v>
      </c>
      <c r="AE2685">
        <v>-6.5975000000000197</v>
      </c>
      <c r="AF2685">
        <v>-2.3978056483171599</v>
      </c>
      <c r="AG2685">
        <v>-1.1163712870939999</v>
      </c>
      <c r="AH2685">
        <v>8.5639965018680595</v>
      </c>
      <c r="AI2685">
        <v>97.154852040268295</v>
      </c>
      <c r="AJ2685">
        <v>105.641543102561</v>
      </c>
      <c r="AK2685">
        <v>8.9631352138500109</v>
      </c>
      <c r="AL2685">
        <v>90.004859392544205</v>
      </c>
      <c r="AM2685">
        <v>100.571103786292</v>
      </c>
      <c r="AN2685">
        <v>1.00000000657425</v>
      </c>
    </row>
    <row r="2686" spans="1:40" x14ac:dyDescent="0.25">
      <c r="A2686" t="str">
        <f>"20190312151549937"</f>
        <v>20190312151549937</v>
      </c>
      <c r="B2686" t="str">
        <f>"1552374949930031"</f>
        <v>1552374949930031</v>
      </c>
      <c r="C2686" t="s">
        <v>40</v>
      </c>
      <c r="D2686">
        <v>4.6481279999999998</v>
      </c>
      <c r="E2686">
        <v>0.46921380000000001</v>
      </c>
      <c r="F2686" t="s">
        <v>50</v>
      </c>
      <c r="G2686">
        <v>-480.88679999999999</v>
      </c>
      <c r="H2686" s="1">
        <v>2.6303130000000002E-6</v>
      </c>
      <c r="I2686">
        <v>222.8021</v>
      </c>
      <c r="J2686">
        <v>-487.08049999999997</v>
      </c>
      <c r="K2686">
        <v>1.1163670000000001</v>
      </c>
      <c r="L2686">
        <v>229.34049999999999</v>
      </c>
      <c r="M2686">
        <v>0.46820669999999998</v>
      </c>
      <c r="N2686">
        <v>0</v>
      </c>
      <c r="O2686">
        <v>-0.88352350000000002</v>
      </c>
      <c r="P2686">
        <v>0.62151000000000001</v>
      </c>
      <c r="Q2686">
        <v>-9.6516290000000001E-3</v>
      </c>
      <c r="R2686">
        <v>-0.78334709999999996</v>
      </c>
      <c r="S2686">
        <v>2.0496219999999998</v>
      </c>
      <c r="T2686">
        <v>-0.36028649999999901</v>
      </c>
      <c r="U2686">
        <v>-2.2015229999999999</v>
      </c>
      <c r="V2686">
        <v>-0.18239279999999999</v>
      </c>
      <c r="W2686">
        <v>1.085442E-4</v>
      </c>
      <c r="X2686">
        <v>0.98322580000000004</v>
      </c>
      <c r="Y2686">
        <v>-0.25454829999999901</v>
      </c>
      <c r="Z2686">
        <v>0.1124064</v>
      </c>
      <c r="AA2686">
        <v>0.9605051</v>
      </c>
      <c r="AB2686">
        <v>31</v>
      </c>
      <c r="AC2686">
        <v>6.1936999999999696</v>
      </c>
      <c r="AD2686">
        <v>-1.116364369687</v>
      </c>
      <c r="AE2686">
        <v>-6.5383999999999904</v>
      </c>
      <c r="AF2686">
        <v>-2.3746740999681202</v>
      </c>
      <c r="AG2686">
        <v>-1.116364369687</v>
      </c>
      <c r="AH2686">
        <v>8.5461844886031404</v>
      </c>
      <c r="AI2686">
        <v>97.173464536860294</v>
      </c>
      <c r="AJ2686">
        <v>105.528679092904</v>
      </c>
      <c r="AK2686">
        <v>8.9399449550993904</v>
      </c>
      <c r="AL2686">
        <v>89.993780875807303</v>
      </c>
      <c r="AM2686">
        <v>100.50916419385101</v>
      </c>
      <c r="AN2686">
        <v>1.0000000595296501</v>
      </c>
    </row>
    <row r="2687" spans="1:40" x14ac:dyDescent="0.25">
      <c r="A2687" t="str">
        <f>"20190312151549960"</f>
        <v>20190312151549960</v>
      </c>
      <c r="B2687" t="str">
        <f>"1552374949950528"</f>
        <v>1552374949950528</v>
      </c>
      <c r="C2687" t="s">
        <v>40</v>
      </c>
      <c r="D2687">
        <v>4.8753060000000001</v>
      </c>
      <c r="E2687">
        <v>0.4775527</v>
      </c>
      <c r="F2687" t="s">
        <v>50</v>
      </c>
      <c r="G2687">
        <v>-480.70920000000001</v>
      </c>
      <c r="H2687" s="1">
        <v>2.551314E-6</v>
      </c>
      <c r="I2687">
        <v>222.5873</v>
      </c>
      <c r="J2687">
        <v>-486.92930000000001</v>
      </c>
      <c r="K2687">
        <v>1.11635</v>
      </c>
      <c r="L2687">
        <v>229.07339999999999</v>
      </c>
      <c r="M2687">
        <v>0.47554239999999998</v>
      </c>
      <c r="N2687">
        <v>0</v>
      </c>
      <c r="O2687">
        <v>-0.87959719999999997</v>
      </c>
      <c r="P2687">
        <v>0.62746499999999905</v>
      </c>
      <c r="Q2687">
        <v>-9.3361469999999995E-3</v>
      </c>
      <c r="R2687">
        <v>-0.77858909999999903</v>
      </c>
      <c r="S2687">
        <v>2.063965</v>
      </c>
      <c r="T2687">
        <v>-0.36164679999999999</v>
      </c>
      <c r="U2687">
        <v>-2.1876980000000001</v>
      </c>
      <c r="V2687">
        <v>-0.1817115</v>
      </c>
      <c r="W2687">
        <v>4.3756170000000002E-4</v>
      </c>
      <c r="X2687">
        <v>0.9833518</v>
      </c>
      <c r="Y2687">
        <v>-0.2528494</v>
      </c>
      <c r="Z2687">
        <v>0.1124323</v>
      </c>
      <c r="AA2687">
        <v>0.96095070000000005</v>
      </c>
      <c r="AB2687">
        <v>31</v>
      </c>
      <c r="AC2687">
        <v>6.2201000000000004</v>
      </c>
      <c r="AD2687">
        <v>-1.1163474486860001</v>
      </c>
      <c r="AE2687">
        <v>-6.4860999999999898</v>
      </c>
      <c r="AF2687">
        <v>-2.3506930922907001</v>
      </c>
      <c r="AG2687">
        <v>-1.1163474486860001</v>
      </c>
      <c r="AH2687">
        <v>8.5321418708869405</v>
      </c>
      <c r="AI2687">
        <v>97.189341526052502</v>
      </c>
      <c r="AJ2687">
        <v>105.403430855644</v>
      </c>
      <c r="AK2687">
        <v>8.9201700962074106</v>
      </c>
      <c r="AL2687">
        <v>89.974929560804895</v>
      </c>
      <c r="AM2687">
        <v>100.469466623545</v>
      </c>
      <c r="AN2687">
        <v>1.00000001162786</v>
      </c>
    </row>
    <row r="2688" spans="1:40" x14ac:dyDescent="0.25">
      <c r="A2688" t="str">
        <f>"20190312151549983"</f>
        <v>20190312151549983</v>
      </c>
      <c r="B2688" t="str">
        <f>"1552374949979810"</f>
        <v>1552374949979810</v>
      </c>
      <c r="C2688" t="s">
        <v>40</v>
      </c>
      <c r="D2688">
        <v>4.6600999999999999</v>
      </c>
      <c r="E2688">
        <v>0.47712070000000001</v>
      </c>
      <c r="F2688" t="s">
        <v>50</v>
      </c>
      <c r="G2688">
        <v>-481.51409999999998</v>
      </c>
      <c r="H2688" s="1">
        <v>2.8231039999999998E-6</v>
      </c>
      <c r="I2688">
        <v>223.17089999999999</v>
      </c>
      <c r="J2688">
        <v>-486.77080000000001</v>
      </c>
      <c r="K2688">
        <v>1.116304</v>
      </c>
      <c r="L2688">
        <v>228.7987</v>
      </c>
      <c r="M2688">
        <v>0.48302430000000002</v>
      </c>
      <c r="N2688">
        <v>0</v>
      </c>
      <c r="O2688">
        <v>-0.87551109999999899</v>
      </c>
      <c r="P2688">
        <v>0.63373369999999996</v>
      </c>
      <c r="Q2688">
        <v>-8.6810510000000004E-3</v>
      </c>
      <c r="R2688">
        <v>-0.77350259999999904</v>
      </c>
      <c r="S2688">
        <v>2.0297239999999999</v>
      </c>
      <c r="T2688">
        <v>-0.41842889999999999</v>
      </c>
      <c r="U2688">
        <v>-2.2123719999999998</v>
      </c>
      <c r="V2688">
        <v>-0.1812782</v>
      </c>
      <c r="W2688">
        <v>1.1056099999999999E-3</v>
      </c>
      <c r="X2688">
        <v>0.98343119999999995</v>
      </c>
      <c r="Y2688">
        <v>-0.22960530000000001</v>
      </c>
      <c r="Z2688">
        <v>0.12879869999999999</v>
      </c>
      <c r="AA2688">
        <v>0.96472389999999997</v>
      </c>
      <c r="AB2688">
        <v>31</v>
      </c>
      <c r="AC2688">
        <v>5.2567000000000199</v>
      </c>
      <c r="AD2688">
        <v>-1.1163011768960001</v>
      </c>
      <c r="AE2688">
        <v>-5.6277999999999997</v>
      </c>
      <c r="AF2688">
        <v>-1.8453189760573101</v>
      </c>
      <c r="AG2688">
        <v>-1.1163011768960001</v>
      </c>
      <c r="AH2688">
        <v>7.3132739776244202</v>
      </c>
      <c r="AI2688">
        <v>98.418755286692999</v>
      </c>
      <c r="AJ2688">
        <v>104.16153014885499</v>
      </c>
      <c r="AK2688">
        <v>7.6246512518760499</v>
      </c>
      <c r="AL2688">
        <v>89.936653198194406</v>
      </c>
      <c r="AM2688">
        <v>100.444226998256</v>
      </c>
      <c r="AN2688">
        <v>0.99999996665107505</v>
      </c>
    </row>
    <row r="2689" spans="1:40" x14ac:dyDescent="0.25">
      <c r="A2689" t="str">
        <f>"20190312151550015"</f>
        <v>20190312151550015</v>
      </c>
      <c r="B2689" t="str">
        <f>"1552374950010064"</f>
        <v>1552374950010064</v>
      </c>
      <c r="C2689" t="s">
        <v>40</v>
      </c>
      <c r="D2689">
        <v>4.9958109999999998</v>
      </c>
      <c r="E2689">
        <v>0.47733409999999898</v>
      </c>
      <c r="F2689" t="s">
        <v>50</v>
      </c>
      <c r="G2689">
        <v>-481.29289999999997</v>
      </c>
      <c r="H2689" s="1">
        <v>2.7320459999999998E-6</v>
      </c>
      <c r="I2689">
        <v>222.9365</v>
      </c>
      <c r="J2689">
        <v>-486.55029999999999</v>
      </c>
      <c r="K2689">
        <v>1.116185</v>
      </c>
      <c r="L2689">
        <v>228.42439999999999</v>
      </c>
      <c r="M2689">
        <v>0.49302849999999998</v>
      </c>
      <c r="N2689">
        <v>0</v>
      </c>
      <c r="O2689">
        <v>-0.86991719999999895</v>
      </c>
      <c r="P2689">
        <v>0.6426944</v>
      </c>
      <c r="Q2689">
        <v>-7.7538260000000001E-3</v>
      </c>
      <c r="R2689">
        <v>-0.76608369999999903</v>
      </c>
      <c r="S2689">
        <v>2.0502009999999999</v>
      </c>
      <c r="T2689">
        <v>-0.41779850000000002</v>
      </c>
      <c r="U2689">
        <v>-2.1940460000000002</v>
      </c>
      <c r="V2689">
        <v>-0.1814617</v>
      </c>
      <c r="W2689">
        <v>2.04784E-3</v>
      </c>
      <c r="X2689">
        <v>0.98339589999999999</v>
      </c>
      <c r="Y2689">
        <v>-0.22734299999999999</v>
      </c>
      <c r="Z2689">
        <v>0.12790280000000001</v>
      </c>
      <c r="AA2689">
        <v>0.96537870000000003</v>
      </c>
      <c r="AB2689">
        <v>31</v>
      </c>
      <c r="AC2689">
        <v>5.2574000000000103</v>
      </c>
      <c r="AD2689">
        <v>-1.1161822679540001</v>
      </c>
      <c r="AE2689">
        <v>-5.48789999999999</v>
      </c>
      <c r="AF2689">
        <v>-1.8285250455605</v>
      </c>
      <c r="AG2689">
        <v>-1.1161822679540001</v>
      </c>
      <c r="AH2689">
        <v>7.21113278411549</v>
      </c>
      <c r="AI2689">
        <v>98.532872008870697</v>
      </c>
      <c r="AJ2689">
        <v>104.22858084521199</v>
      </c>
      <c r="AK2689">
        <v>7.5226194060102598</v>
      </c>
      <c r="AL2689">
        <v>89.882667331123102</v>
      </c>
      <c r="AM2689">
        <v>100.45493324495401</v>
      </c>
      <c r="AN2689">
        <v>1.00000001917618</v>
      </c>
    </row>
    <row r="2690" spans="1:40" x14ac:dyDescent="0.25">
      <c r="A2690" t="str">
        <f>"20190312151550037"</f>
        <v>20190312151550037</v>
      </c>
      <c r="B2690" t="str">
        <f>"1552374950030560"</f>
        <v>1552374950030560</v>
      </c>
      <c r="C2690" t="s">
        <v>40</v>
      </c>
      <c r="D2690">
        <v>4.9013780000000002</v>
      </c>
      <c r="E2690">
        <v>0.47765269999999999</v>
      </c>
      <c r="F2690" t="s">
        <v>50</v>
      </c>
      <c r="G2690">
        <v>-481.08109999999999</v>
      </c>
      <c r="H2690" s="1">
        <v>2.6416260000000001E-6</v>
      </c>
      <c r="I2690">
        <v>222.69749999999999</v>
      </c>
      <c r="J2690">
        <v>-486.39589999999998</v>
      </c>
      <c r="K2690">
        <v>1.1160410000000001</v>
      </c>
      <c r="L2690">
        <v>228.16820000000001</v>
      </c>
      <c r="M2690">
        <v>0.49967699999999998</v>
      </c>
      <c r="N2690">
        <v>0</v>
      </c>
      <c r="O2690">
        <v>-0.86611569999999904</v>
      </c>
      <c r="P2690">
        <v>0.6485284</v>
      </c>
      <c r="Q2690">
        <v>-8.8832019999999998E-3</v>
      </c>
      <c r="R2690">
        <v>-0.76113900000000001</v>
      </c>
      <c r="S2690">
        <v>2.074036</v>
      </c>
      <c r="T2690">
        <v>-0.42327949999999998</v>
      </c>
      <c r="U2690">
        <v>-2.171783</v>
      </c>
      <c r="V2690">
        <v>-0.18143010000000001</v>
      </c>
      <c r="W2690">
        <v>9.4777730000000001E-4</v>
      </c>
      <c r="X2690">
        <v>0.98340340000000004</v>
      </c>
      <c r="Y2690">
        <v>-0.2302188</v>
      </c>
      <c r="Z2690">
        <v>0.12923090000000001</v>
      </c>
      <c r="AA2690">
        <v>0.96451989999999999</v>
      </c>
      <c r="AB2690">
        <v>31</v>
      </c>
      <c r="AC2690">
        <v>5.3147999999999902</v>
      </c>
      <c r="AD2690">
        <v>-1.1160383583739999</v>
      </c>
      <c r="AE2690">
        <v>-5.4707000000000203</v>
      </c>
      <c r="AF2690">
        <v>-1.8306110101253199</v>
      </c>
      <c r="AG2690">
        <v>-1.1160383583739999</v>
      </c>
      <c r="AH2690">
        <v>7.2395590081421801</v>
      </c>
      <c r="AI2690">
        <v>98.500188104794006</v>
      </c>
      <c r="AJ2690">
        <v>104.190486043504</v>
      </c>
      <c r="AK2690">
        <v>7.5503571385813801</v>
      </c>
      <c r="AL2690">
        <v>89.945696353383894</v>
      </c>
      <c r="AM2690">
        <v>100.45307477872601</v>
      </c>
      <c r="AN2690">
        <v>1.00000001329969</v>
      </c>
    </row>
    <row r="2691" spans="1:40" x14ac:dyDescent="0.25">
      <c r="A2691" t="str">
        <f>"20190312151550059"</f>
        <v>20190312151550059</v>
      </c>
      <c r="B2691" t="str">
        <f>"1552374950050080"</f>
        <v>1552374950050080</v>
      </c>
      <c r="C2691" t="s">
        <v>40</v>
      </c>
      <c r="D2691">
        <v>4.6574439999999999</v>
      </c>
      <c r="E2691">
        <v>0.47801379999999999</v>
      </c>
      <c r="F2691" t="s">
        <v>50</v>
      </c>
      <c r="G2691">
        <v>-481.05149999999998</v>
      </c>
      <c r="H2691" s="1">
        <v>2.6258820000000001E-6</v>
      </c>
      <c r="I2691">
        <v>222.65</v>
      </c>
      <c r="J2691">
        <v>-486.24040000000002</v>
      </c>
      <c r="K2691">
        <v>1.115861</v>
      </c>
      <c r="L2691">
        <v>227.91380000000001</v>
      </c>
      <c r="M2691">
        <v>0.50610580000000005</v>
      </c>
      <c r="N2691">
        <v>0</v>
      </c>
      <c r="O2691">
        <v>-0.86237540000000001</v>
      </c>
      <c r="P2691">
        <v>0.65407599999999999</v>
      </c>
      <c r="Q2691">
        <v>-1.065556E-2</v>
      </c>
      <c r="R2691">
        <v>-0.75635430000000003</v>
      </c>
      <c r="S2691">
        <v>2.0887150000000001</v>
      </c>
      <c r="T2691">
        <v>-0.43617220000000001</v>
      </c>
      <c r="U2691">
        <v>-2.156631</v>
      </c>
      <c r="V2691">
        <v>-0.18128849999999999</v>
      </c>
      <c r="W2691">
        <v>-7.8511170000000003E-4</v>
      </c>
      <c r="X2691">
        <v>0.98342960000000001</v>
      </c>
      <c r="Y2691">
        <v>-0.2293732</v>
      </c>
      <c r="Z2691">
        <v>0.13267399999999999</v>
      </c>
      <c r="AA2691">
        <v>0.96425380000000005</v>
      </c>
      <c r="AB2691">
        <v>31</v>
      </c>
      <c r="AC2691">
        <v>5.1889000000000403</v>
      </c>
      <c r="AD2691">
        <v>-1.1158583741179999</v>
      </c>
      <c r="AE2691">
        <v>-5.2637999999999998</v>
      </c>
      <c r="AF2691">
        <v>-1.77053711837121</v>
      </c>
      <c r="AG2691">
        <v>-1.1158583741179999</v>
      </c>
      <c r="AH2691">
        <v>7.0064121912888098</v>
      </c>
      <c r="AI2691">
        <v>98.777639776797102</v>
      </c>
      <c r="AJ2691">
        <v>104.18187821452</v>
      </c>
      <c r="AK2691">
        <v>7.3123015113478402</v>
      </c>
      <c r="AL2691">
        <v>90.044983593394207</v>
      </c>
      <c r="AM2691">
        <v>100.444823985721</v>
      </c>
      <c r="AN2691">
        <v>0.99999995739439396</v>
      </c>
    </row>
    <row r="2692" spans="1:40" x14ac:dyDescent="0.25">
      <c r="A2692" t="str">
        <f>"20190312151550081"</f>
        <v>20190312151550081</v>
      </c>
      <c r="B2692" t="str">
        <f>"1552374950070579"</f>
        <v>1552374950070579</v>
      </c>
      <c r="C2692" t="s">
        <v>40</v>
      </c>
      <c r="D2692">
        <v>4.6661580000000002</v>
      </c>
      <c r="E2692">
        <v>0.47809499999999999</v>
      </c>
      <c r="F2692" t="s">
        <v>50</v>
      </c>
      <c r="G2692">
        <v>-480.99979999999999</v>
      </c>
      <c r="H2692" s="1">
        <v>2.5994360000000002E-6</v>
      </c>
      <c r="I2692">
        <v>222.5718</v>
      </c>
      <c r="J2692">
        <v>-486.08510000000001</v>
      </c>
      <c r="K2692">
        <v>1.115656</v>
      </c>
      <c r="L2692">
        <v>227.6636</v>
      </c>
      <c r="M2692">
        <v>0.51218799999999998</v>
      </c>
      <c r="N2692">
        <v>0</v>
      </c>
      <c r="O2692">
        <v>-0.85877760000000003</v>
      </c>
      <c r="P2692">
        <v>0.65957250000000001</v>
      </c>
      <c r="Q2692">
        <v>-1.1393479999999999E-2</v>
      </c>
      <c r="R2692">
        <v>-0.75155490000000003</v>
      </c>
      <c r="S2692">
        <v>2.1018370000000002</v>
      </c>
      <c r="T2692">
        <v>-0.44753989999999999</v>
      </c>
      <c r="U2692">
        <v>-2.1425169999999998</v>
      </c>
      <c r="V2692">
        <v>-0.1815022</v>
      </c>
      <c r="W2692">
        <v>-1.4727869999999999E-3</v>
      </c>
      <c r="X2692">
        <v>0.98338939999999997</v>
      </c>
      <c r="Y2692">
        <v>-0.22833539999999999</v>
      </c>
      <c r="Z2692">
        <v>0.1356484</v>
      </c>
      <c r="AA2692">
        <v>0.96408640000000001</v>
      </c>
      <c r="AB2692">
        <v>31</v>
      </c>
      <c r="AC2692">
        <v>5.0853000000000099</v>
      </c>
      <c r="AD2692">
        <v>-1.115653400564</v>
      </c>
      <c r="AE2692">
        <v>-5.0918000000000001</v>
      </c>
      <c r="AF2692">
        <v>-1.7180349610204999</v>
      </c>
      <c r="AG2692">
        <v>-1.115653400564</v>
      </c>
      <c r="AH2692">
        <v>6.8141506545575297</v>
      </c>
      <c r="AI2692">
        <v>99.020863145153498</v>
      </c>
      <c r="AJ2692">
        <v>104.150913802349</v>
      </c>
      <c r="AK2692">
        <v>7.1154041192672599</v>
      </c>
      <c r="AL2692">
        <v>90.084384512692594</v>
      </c>
      <c r="AM2692">
        <v>100.457282782503</v>
      </c>
      <c r="AN2692">
        <v>0.99999996486937304</v>
      </c>
    </row>
    <row r="2693" spans="1:40" x14ac:dyDescent="0.25">
      <c r="A2693" t="str">
        <f>"20190312151550103"</f>
        <v>20190312151550103</v>
      </c>
      <c r="B2693" t="str">
        <f>"1552374950099856"</f>
        <v>1552374950099856</v>
      </c>
      <c r="C2693" t="s">
        <v>40</v>
      </c>
      <c r="D2693">
        <v>4.6355170000000001</v>
      </c>
      <c r="E2693">
        <v>0.47972160000000003</v>
      </c>
      <c r="F2693" t="s">
        <v>50</v>
      </c>
      <c r="G2693">
        <v>-480.95710000000003</v>
      </c>
      <c r="H2693" s="1">
        <v>2.5776090000000001E-6</v>
      </c>
      <c r="I2693">
        <v>222.50739999999999</v>
      </c>
      <c r="J2693">
        <v>-485.92399999999998</v>
      </c>
      <c r="K2693">
        <v>1.115391</v>
      </c>
      <c r="L2693">
        <v>227.4075</v>
      </c>
      <c r="M2693">
        <v>0.51809689999999997</v>
      </c>
      <c r="N2693">
        <v>0</v>
      </c>
      <c r="O2693">
        <v>-0.85522619999999905</v>
      </c>
      <c r="P2693">
        <v>0.66504059999999998</v>
      </c>
      <c r="Q2693">
        <v>-1.2406820000000001E-2</v>
      </c>
      <c r="R2693">
        <v>-0.74670459999999905</v>
      </c>
      <c r="S2693">
        <v>2.1160580000000002</v>
      </c>
      <c r="T2693">
        <v>-0.46037080000000002</v>
      </c>
      <c r="U2693">
        <v>-2.1276700000000002</v>
      </c>
      <c r="V2693">
        <v>-0.1818939</v>
      </c>
      <c r="W2693">
        <v>-2.4175730000000001E-3</v>
      </c>
      <c r="X2693">
        <v>0.98331519999999994</v>
      </c>
      <c r="Y2693">
        <v>-0.22782350000000001</v>
      </c>
      <c r="Z2693">
        <v>0.1390381</v>
      </c>
      <c r="AA2693">
        <v>0.96372449999999998</v>
      </c>
      <c r="AB2693">
        <v>31</v>
      </c>
      <c r="AC2693">
        <v>4.9669000000000096</v>
      </c>
      <c r="AD2693">
        <v>-1.115388422391</v>
      </c>
      <c r="AE2693">
        <v>-4.9001000000000001</v>
      </c>
      <c r="AF2693">
        <v>-1.66664367257421</v>
      </c>
      <c r="AG2693">
        <v>-1.115388422391</v>
      </c>
      <c r="AH2693">
        <v>6.5960157883689501</v>
      </c>
      <c r="AI2693">
        <v>99.310682516189104</v>
      </c>
      <c r="AJ2693">
        <v>104.18036528226</v>
      </c>
      <c r="AK2693">
        <v>6.8941436556361397</v>
      </c>
      <c r="AL2693">
        <v>90.138516863244305</v>
      </c>
      <c r="AM2693">
        <v>100.48012447321101</v>
      </c>
      <c r="AN2693">
        <v>1.00000000903373</v>
      </c>
    </row>
    <row r="2694" spans="1:40" x14ac:dyDescent="0.25">
      <c r="A2694" t="str">
        <f>"20190312151550127"</f>
        <v>20190312151550127</v>
      </c>
      <c r="B2694" t="str">
        <f>"1552374950120352"</f>
        <v>1552374950120352</v>
      </c>
      <c r="C2694" t="s">
        <v>40</v>
      </c>
      <c r="D2694">
        <v>4.6349819999999999</v>
      </c>
      <c r="E2694">
        <v>0.47941980000000001</v>
      </c>
      <c r="F2694" t="s">
        <v>50</v>
      </c>
      <c r="G2694">
        <v>-481.36430000000001</v>
      </c>
      <c r="H2694" s="1">
        <v>2.7259329999999999E-6</v>
      </c>
      <c r="I2694">
        <v>222.85149999999999</v>
      </c>
      <c r="J2694">
        <v>-485.75119999999998</v>
      </c>
      <c r="K2694">
        <v>1.1150549999999999</v>
      </c>
      <c r="L2694">
        <v>227.136</v>
      </c>
      <c r="M2694">
        <v>0.52396549999999997</v>
      </c>
      <c r="N2694">
        <v>0</v>
      </c>
      <c r="O2694">
        <v>-0.85164419999999996</v>
      </c>
      <c r="P2694">
        <v>0.67065330000000001</v>
      </c>
      <c r="Q2694">
        <v>-1.3885929999999999E-2</v>
      </c>
      <c r="R2694">
        <v>-0.74164149999999995</v>
      </c>
      <c r="S2694">
        <v>2.1213380000000002</v>
      </c>
      <c r="T2694">
        <v>-0.51892229999999995</v>
      </c>
      <c r="U2694">
        <v>-2.1196290000000002</v>
      </c>
      <c r="V2694">
        <v>-0.18254339999999999</v>
      </c>
      <c r="W2694">
        <v>-3.8044490000000001E-3</v>
      </c>
      <c r="X2694">
        <v>0.98319040000000002</v>
      </c>
      <c r="Y2694">
        <v>-0.22209019999999999</v>
      </c>
      <c r="Z2694">
        <v>0.15565870000000001</v>
      </c>
      <c r="AA2694">
        <v>0.96252079999999995</v>
      </c>
      <c r="AB2694">
        <v>31</v>
      </c>
      <c r="AC2694">
        <v>4.3868999999999598</v>
      </c>
      <c r="AD2694">
        <v>-1.1150522740669999</v>
      </c>
      <c r="AE2694">
        <v>-4.2845000000000004</v>
      </c>
      <c r="AF2694">
        <v>-1.44353682057817</v>
      </c>
      <c r="AG2694">
        <v>-1.1150522740669999</v>
      </c>
      <c r="AH2694">
        <v>5.7575572587472603</v>
      </c>
      <c r="AI2694">
        <v>100.63920816245199</v>
      </c>
      <c r="AJ2694">
        <v>104.075082533084</v>
      </c>
      <c r="AK2694">
        <v>6.0395865515795197</v>
      </c>
      <c r="AL2694">
        <v>90.217979404605998</v>
      </c>
      <c r="AM2694">
        <v>100.51801820386299</v>
      </c>
      <c r="AN2694">
        <v>0.99999996468395602</v>
      </c>
    </row>
    <row r="2695" spans="1:40" x14ac:dyDescent="0.25">
      <c r="A2695" t="str">
        <f>"20190312151550148"</f>
        <v>20190312151550148</v>
      </c>
      <c r="B2695" t="str">
        <f>"1552374950139872"</f>
        <v>1552374950139872</v>
      </c>
      <c r="C2695" t="s">
        <v>40</v>
      </c>
      <c r="D2695">
        <v>4.6465360000000002</v>
      </c>
      <c r="E2695">
        <v>0.47840440000000001</v>
      </c>
      <c r="F2695" t="s">
        <v>50</v>
      </c>
      <c r="G2695">
        <v>-480.29070000000002</v>
      </c>
      <c r="H2695" s="1">
        <v>2.294554E-6</v>
      </c>
      <c r="I2695">
        <v>221.76169999999999</v>
      </c>
      <c r="J2695">
        <v>-485.59390000000002</v>
      </c>
      <c r="K2695">
        <v>1.114716</v>
      </c>
      <c r="L2695">
        <v>226.89179999999999</v>
      </c>
      <c r="M2695">
        <v>0.52884419999999899</v>
      </c>
      <c r="N2695">
        <v>0</v>
      </c>
      <c r="O2695">
        <v>-0.84862369999999898</v>
      </c>
      <c r="P2695">
        <v>0.67508100000000004</v>
      </c>
      <c r="Q2695">
        <v>-1.5504459999999999E-2</v>
      </c>
      <c r="R2695">
        <v>-0.73758069999999998</v>
      </c>
      <c r="S2695">
        <v>2.1376650000000001</v>
      </c>
      <c r="T2695">
        <v>-0.43652489999999999</v>
      </c>
      <c r="U2695">
        <v>-2.1039119999999998</v>
      </c>
      <c r="V2695">
        <v>-0.18278639999999999</v>
      </c>
      <c r="W2695">
        <v>-5.3148240000000001E-3</v>
      </c>
      <c r="X2695">
        <v>0.98313830000000002</v>
      </c>
      <c r="Y2695">
        <v>-0.22669700000000001</v>
      </c>
      <c r="Z2695">
        <v>0.1312159</v>
      </c>
      <c r="AA2695">
        <v>0.96508590000000005</v>
      </c>
      <c r="AB2695">
        <v>31</v>
      </c>
      <c r="AC2695">
        <v>5.3032000000000004</v>
      </c>
      <c r="AD2695">
        <v>-1.1147137054459999</v>
      </c>
      <c r="AE2695">
        <v>-5.1300999999999899</v>
      </c>
      <c r="AF2695">
        <v>-1.74765341452256</v>
      </c>
      <c r="AG2695">
        <v>-1.1147137054459999</v>
      </c>
      <c r="AH2695">
        <v>6.9989253415429404</v>
      </c>
      <c r="AI2695">
        <v>98.7841357930443</v>
      </c>
      <c r="AJ2695">
        <v>104.020232349691</v>
      </c>
      <c r="AK2695">
        <v>7.2994407346654597</v>
      </c>
      <c r="AL2695">
        <v>90.304518412787303</v>
      </c>
      <c r="AM2695">
        <v>100.53225225695201</v>
      </c>
      <c r="AN2695">
        <v>1.000000016153</v>
      </c>
    </row>
    <row r="2696" spans="1:40" x14ac:dyDescent="0.25">
      <c r="A2696" t="str">
        <f>"20190312151550172"</f>
        <v>20190312151550172</v>
      </c>
      <c r="B2696" t="str">
        <f>"1552374950160368"</f>
        <v>1552374950160368</v>
      </c>
      <c r="C2696" t="s">
        <v>40</v>
      </c>
      <c r="D2696">
        <v>4.6355750000000002</v>
      </c>
      <c r="E2696">
        <v>0.47839310000000002</v>
      </c>
      <c r="F2696" t="s">
        <v>50</v>
      </c>
      <c r="G2696">
        <v>-479.44369999999998</v>
      </c>
      <c r="H2696" s="1">
        <v>2.2358540000000001E-6</v>
      </c>
      <c r="I2696">
        <v>220.9385</v>
      </c>
      <c r="J2696">
        <v>-485.42149999999998</v>
      </c>
      <c r="K2696">
        <v>1.1143190000000001</v>
      </c>
      <c r="L2696">
        <v>226.62639999999999</v>
      </c>
      <c r="M2696">
        <v>0.53369639999999996</v>
      </c>
      <c r="N2696">
        <v>0</v>
      </c>
      <c r="O2696">
        <v>-0.84558120000000003</v>
      </c>
      <c r="P2696">
        <v>0.67981800000000003</v>
      </c>
      <c r="Q2696">
        <v>-1.6014549999999999E-2</v>
      </c>
      <c r="R2696">
        <v>-0.73320620000000003</v>
      </c>
      <c r="S2696">
        <v>2.1553960000000001</v>
      </c>
      <c r="T2696">
        <v>-0.39066000000000001</v>
      </c>
      <c r="U2696">
        <v>-2.0863489999999998</v>
      </c>
      <c r="V2696">
        <v>-0.1834924</v>
      </c>
      <c r="W2696">
        <v>-5.6969669999999998E-3</v>
      </c>
      <c r="X2696">
        <v>0.98300460000000001</v>
      </c>
      <c r="Y2696">
        <v>-0.23058619999999999</v>
      </c>
      <c r="Z2696">
        <v>0.117435999999999</v>
      </c>
      <c r="AA2696">
        <v>0.96593929999999995</v>
      </c>
      <c r="AB2696">
        <v>31</v>
      </c>
      <c r="AC2696">
        <v>5.9778000000000002</v>
      </c>
      <c r="AD2696">
        <v>-1.1143167641459999</v>
      </c>
      <c r="AE2696">
        <v>-5.6878999999999804</v>
      </c>
      <c r="AF2696">
        <v>-1.9830995477503199</v>
      </c>
      <c r="AG2696">
        <v>-1.1143167641459999</v>
      </c>
      <c r="AH2696">
        <v>7.8572598313327804</v>
      </c>
      <c r="AI2696">
        <v>97.829522515237699</v>
      </c>
      <c r="AJ2696">
        <v>104.165091957619</v>
      </c>
      <c r="AK2696">
        <v>8.1799093958441809</v>
      </c>
      <c r="AL2696">
        <v>90.326413937335104</v>
      </c>
      <c r="AM2696">
        <v>100.573422486263</v>
      </c>
      <c r="AN2696">
        <v>0.99999997995595902</v>
      </c>
    </row>
    <row r="2697" spans="1:40" x14ac:dyDescent="0.25">
      <c r="A2697" t="str">
        <f>"20190312151550195"</f>
        <v>20190312151550195</v>
      </c>
      <c r="B2697" t="str">
        <f>"1552374950190624"</f>
        <v>1552374950190624</v>
      </c>
      <c r="C2697" t="s">
        <v>40</v>
      </c>
      <c r="D2697">
        <v>4.6618050000000002</v>
      </c>
      <c r="E2697">
        <v>0.47812529999999998</v>
      </c>
      <c r="F2697" t="s">
        <v>50</v>
      </c>
      <c r="G2697">
        <v>-478.7955</v>
      </c>
      <c r="H2697" s="1">
        <v>2.366397E-6</v>
      </c>
      <c r="I2697">
        <v>220.29470000000001</v>
      </c>
      <c r="J2697">
        <v>-485.25400000000002</v>
      </c>
      <c r="K2697">
        <v>1.1139239999999999</v>
      </c>
      <c r="L2697">
        <v>226.3708</v>
      </c>
      <c r="M2697">
        <v>0.53788009999999997</v>
      </c>
      <c r="N2697">
        <v>0</v>
      </c>
      <c r="O2697">
        <v>-0.84292679999999998</v>
      </c>
      <c r="P2697">
        <v>0.68412689999999998</v>
      </c>
      <c r="Q2697">
        <v>-1.534684E-2</v>
      </c>
      <c r="R2697">
        <v>-0.72920200000000002</v>
      </c>
      <c r="S2697">
        <v>2.1689449999999999</v>
      </c>
      <c r="T2697">
        <v>-0.36475610000000003</v>
      </c>
      <c r="U2697">
        <v>-2.0726010000000001</v>
      </c>
      <c r="V2697">
        <v>-0.18441840000000001</v>
      </c>
      <c r="W2697">
        <v>-4.8990129999999998E-3</v>
      </c>
      <c r="X2697">
        <v>0.98283560000000003</v>
      </c>
      <c r="Y2697">
        <v>-0.2327342</v>
      </c>
      <c r="Z2697">
        <v>0.1095505</v>
      </c>
      <c r="AA2697">
        <v>0.96635059999999995</v>
      </c>
      <c r="AB2697">
        <v>31</v>
      </c>
      <c r="AC2697">
        <v>6.4585000000000097</v>
      </c>
      <c r="AD2697">
        <v>-1.113921633603</v>
      </c>
      <c r="AE2697">
        <v>-6.0760999999999896</v>
      </c>
      <c r="AF2697">
        <v>-2.1421984453922902</v>
      </c>
      <c r="AG2697">
        <v>-1.113921633603</v>
      </c>
      <c r="AH2697">
        <v>8.46274694921118</v>
      </c>
      <c r="AI2697">
        <v>97.271749768036898</v>
      </c>
      <c r="AJ2697">
        <v>104.20505370613699</v>
      </c>
      <c r="AK2697">
        <v>8.8004500743787499</v>
      </c>
      <c r="AL2697">
        <v>90.280693896641097</v>
      </c>
      <c r="AM2697">
        <v>100.62735495890099</v>
      </c>
      <c r="AN2697">
        <v>0.99999998160714598</v>
      </c>
    </row>
    <row r="2698" spans="1:40" x14ac:dyDescent="0.25">
      <c r="A2698" t="str">
        <f>"20190312151550216"</f>
        <v>20190312151550216</v>
      </c>
      <c r="B2698" t="str">
        <f>"1552374950210145"</f>
        <v>1552374950210145</v>
      </c>
      <c r="C2698" t="s">
        <v>40</v>
      </c>
      <c r="D2698">
        <v>4.6460920000000003</v>
      </c>
      <c r="E2698">
        <v>0.47833490000000001</v>
      </c>
      <c r="F2698" t="s">
        <v>50</v>
      </c>
      <c r="G2698">
        <v>-477.8152</v>
      </c>
      <c r="H2698" s="1">
        <v>2.6994669999999999E-6</v>
      </c>
      <c r="I2698">
        <v>219.3458</v>
      </c>
      <c r="J2698">
        <v>-485.0872</v>
      </c>
      <c r="K2698">
        <v>1.1135389999999901</v>
      </c>
      <c r="L2698">
        <v>226.1182</v>
      </c>
      <c r="M2698">
        <v>0.54157419999999901</v>
      </c>
      <c r="N2698">
        <v>0</v>
      </c>
      <c r="O2698">
        <v>-0.84055869999999999</v>
      </c>
      <c r="P2698">
        <v>0.68823330000000005</v>
      </c>
      <c r="Q2698">
        <v>-1.431929E-2</v>
      </c>
      <c r="R2698">
        <v>-0.72534860000000001</v>
      </c>
      <c r="S2698">
        <v>2.1817319999999998</v>
      </c>
      <c r="T2698">
        <v>-0.32670070000000001</v>
      </c>
      <c r="U2698">
        <v>-2.0603790000000002</v>
      </c>
      <c r="V2698">
        <v>-0.1856574</v>
      </c>
      <c r="W2698">
        <v>-3.748829E-3</v>
      </c>
      <c r="X2698">
        <v>0.98260740000000002</v>
      </c>
      <c r="Y2698">
        <v>-0.23517360000000001</v>
      </c>
      <c r="Z2698">
        <v>9.8076369999999996E-2</v>
      </c>
      <c r="AA2698">
        <v>0.96699239999999997</v>
      </c>
      <c r="AB2698">
        <v>31</v>
      </c>
      <c r="AC2698">
        <v>7.2719999999999896</v>
      </c>
      <c r="AD2698">
        <v>-1.1135363005329999</v>
      </c>
      <c r="AE2698">
        <v>-6.7724000000000002</v>
      </c>
      <c r="AF2698">
        <v>-2.4146587959408601</v>
      </c>
      <c r="AG2698">
        <v>-1.1135363005329999</v>
      </c>
      <c r="AH2698">
        <v>9.5122459424993799</v>
      </c>
      <c r="AI2698">
        <v>96.4733670333882</v>
      </c>
      <c r="AJ2698">
        <v>104.243527057981</v>
      </c>
      <c r="AK2698">
        <v>9.8769106032207894</v>
      </c>
      <c r="AL2698">
        <v>90.2147925800857</v>
      </c>
      <c r="AM2698">
        <v>100.69953858251699</v>
      </c>
      <c r="AN2698">
        <v>1.00000001321419</v>
      </c>
    </row>
    <row r="2699" spans="1:40" x14ac:dyDescent="0.25">
      <c r="A2699" t="str">
        <f>"20190312151550238"</f>
        <v>20190312151550238</v>
      </c>
      <c r="B2699" t="str">
        <f>"1552374950230640"</f>
        <v>1552374950230640</v>
      </c>
      <c r="C2699" t="s">
        <v>40</v>
      </c>
      <c r="D2699">
        <v>4.6582629999999998</v>
      </c>
      <c r="E2699">
        <v>0.47881750000000001</v>
      </c>
      <c r="F2699" t="s">
        <v>50</v>
      </c>
      <c r="G2699">
        <v>-477.16329999999999</v>
      </c>
      <c r="H2699" s="1">
        <v>2.9606289999999998E-6</v>
      </c>
      <c r="I2699">
        <v>218.70740000000001</v>
      </c>
      <c r="J2699">
        <v>-484.92090000000002</v>
      </c>
      <c r="K2699">
        <v>1.1132230000000001</v>
      </c>
      <c r="L2699">
        <v>225.86789999999999</v>
      </c>
      <c r="M2699">
        <v>0.5449155</v>
      </c>
      <c r="N2699">
        <v>0</v>
      </c>
      <c r="O2699">
        <v>-0.83839660000000005</v>
      </c>
      <c r="P2699">
        <v>0.69153980000000004</v>
      </c>
      <c r="Q2699">
        <v>-1.361159E-2</v>
      </c>
      <c r="R2699">
        <v>-0.72221020000000002</v>
      </c>
      <c r="S2699">
        <v>2.191986</v>
      </c>
      <c r="T2699">
        <v>-0.30803760000000002</v>
      </c>
      <c r="U2699">
        <v>-2.0500340000000001</v>
      </c>
      <c r="V2699">
        <v>-0.18623700000000001</v>
      </c>
      <c r="W2699">
        <v>-2.9340149999999999E-3</v>
      </c>
      <c r="X2699">
        <v>0.9825005</v>
      </c>
      <c r="Y2699">
        <v>-0.23646120000000001</v>
      </c>
      <c r="Z2699">
        <v>9.2369329999999999E-2</v>
      </c>
      <c r="AA2699">
        <v>0.9672404</v>
      </c>
      <c r="AB2699">
        <v>31</v>
      </c>
      <c r="AC2699">
        <v>7.7576000000000196</v>
      </c>
      <c r="AD2699">
        <v>-1.1132200393709999</v>
      </c>
      <c r="AE2699">
        <v>-7.1604999999999803</v>
      </c>
      <c r="AF2699">
        <v>-2.5736670532339398</v>
      </c>
      <c r="AG2699">
        <v>-1.1132200393709999</v>
      </c>
      <c r="AH2699">
        <v>10.1188720758879</v>
      </c>
      <c r="AI2699">
        <v>96.0858641420987</v>
      </c>
      <c r="AJ2699">
        <v>104.270216019442</v>
      </c>
      <c r="AK2699">
        <v>10.5002187141575</v>
      </c>
      <c r="AL2699">
        <v>90.168106912581706</v>
      </c>
      <c r="AM2699">
        <v>100.73330715145499</v>
      </c>
      <c r="AN2699">
        <v>1.0000000305566299</v>
      </c>
    </row>
    <row r="2700" spans="1:40" x14ac:dyDescent="0.25">
      <c r="A2700" t="str">
        <f>"20190312151550259"</f>
        <v>20190312151550259</v>
      </c>
      <c r="B2700" t="str">
        <f>"1552374950250160"</f>
        <v>1552374950250160</v>
      </c>
      <c r="C2700" t="s">
        <v>40</v>
      </c>
      <c r="D2700">
        <v>4.7099880000000001</v>
      </c>
      <c r="E2700">
        <v>0.47934860000000001</v>
      </c>
      <c r="F2700" t="s">
        <v>50</v>
      </c>
      <c r="G2700">
        <v>-476.6712</v>
      </c>
      <c r="H2700" s="1">
        <v>3.1566640000000001E-6</v>
      </c>
      <c r="I2700">
        <v>218.19909999999999</v>
      </c>
      <c r="J2700">
        <v>-484.75779999999997</v>
      </c>
      <c r="K2700">
        <v>1.1129639999999901</v>
      </c>
      <c r="L2700">
        <v>225.62389999999999</v>
      </c>
      <c r="M2700">
        <v>0.54790419999999995</v>
      </c>
      <c r="N2700">
        <v>0</v>
      </c>
      <c r="O2700">
        <v>-0.83644719999999995</v>
      </c>
      <c r="P2700">
        <v>0.69475019999999998</v>
      </c>
      <c r="Q2700">
        <v>-1.238329E-2</v>
      </c>
      <c r="R2700">
        <v>-0.71914449999999996</v>
      </c>
      <c r="S2700">
        <v>2.198242</v>
      </c>
      <c r="T2700">
        <v>-0.29663149999999999</v>
      </c>
      <c r="U2700">
        <v>-2.0434269999999999</v>
      </c>
      <c r="V2700">
        <v>-0.18710740000000001</v>
      </c>
      <c r="W2700">
        <v>-1.625842E-3</v>
      </c>
      <c r="X2700">
        <v>0.98233809999999999</v>
      </c>
      <c r="Y2700">
        <v>-0.2362012</v>
      </c>
      <c r="Z2700">
        <v>8.881124E-2</v>
      </c>
      <c r="AA2700">
        <v>0.96763710000000003</v>
      </c>
      <c r="AB2700">
        <v>31</v>
      </c>
      <c r="AC2700">
        <v>8.0865999999999705</v>
      </c>
      <c r="AD2700">
        <v>-1.1129608433360001</v>
      </c>
      <c r="AE2700">
        <v>-7.4248000000000003</v>
      </c>
      <c r="AF2700">
        <v>-2.6687181621027798</v>
      </c>
      <c r="AG2700">
        <v>-1.1129608433360001</v>
      </c>
      <c r="AH2700">
        <v>10.5337082802582</v>
      </c>
      <c r="AI2700">
        <v>95.847909532703</v>
      </c>
      <c r="AJ2700">
        <v>104.21676700941499</v>
      </c>
      <c r="AK2700">
        <v>10.923357936143899</v>
      </c>
      <c r="AL2700">
        <v>90.0931539274155</v>
      </c>
      <c r="AM2700">
        <v>100.784037889413</v>
      </c>
      <c r="AN2700">
        <v>0.99999998260428902</v>
      </c>
    </row>
    <row r="2701" spans="1:40" x14ac:dyDescent="0.25">
      <c r="A2701" t="str">
        <f>"20190312151550295"</f>
        <v>20190312151550295</v>
      </c>
      <c r="B2701" t="str">
        <f>"1552374950290176"</f>
        <v>1552374950290176</v>
      </c>
      <c r="C2701" t="s">
        <v>40</v>
      </c>
      <c r="D2701">
        <v>4.693416</v>
      </c>
      <c r="E2701">
        <v>0.4805566</v>
      </c>
      <c r="F2701" t="s">
        <v>50</v>
      </c>
      <c r="G2701">
        <v>-476.1</v>
      </c>
      <c r="H2701" s="1">
        <v>3.3848889999999999E-6</v>
      </c>
      <c r="I2701">
        <v>217.62549999999999</v>
      </c>
      <c r="J2701">
        <v>-484.49759999999998</v>
      </c>
      <c r="K2701">
        <v>1.112641</v>
      </c>
      <c r="L2701">
        <v>225.23750000000001</v>
      </c>
      <c r="M2701">
        <v>0.55222729999999998</v>
      </c>
      <c r="N2701">
        <v>0</v>
      </c>
      <c r="O2701">
        <v>-0.83360029999999996</v>
      </c>
      <c r="P2701">
        <v>0.6987719</v>
      </c>
      <c r="Q2701">
        <v>-1.134842E-2</v>
      </c>
      <c r="R2701">
        <v>-0.71525499999999997</v>
      </c>
      <c r="S2701">
        <v>2.2047119999999998</v>
      </c>
      <c r="T2701">
        <v>-0.28341509999999998</v>
      </c>
      <c r="U2701">
        <v>-2.0367890000000002</v>
      </c>
      <c r="V2701">
        <v>-0.18752969999999999</v>
      </c>
      <c r="W2701">
        <v>-4.8887799999999999E-4</v>
      </c>
      <c r="X2701">
        <v>0.98225879999999999</v>
      </c>
      <c r="Y2701">
        <v>-0.2344685</v>
      </c>
      <c r="Z2701">
        <v>8.4611539999999999E-2</v>
      </c>
      <c r="AA2701">
        <v>0.96843449999999998</v>
      </c>
      <c r="AB2701">
        <v>31</v>
      </c>
      <c r="AC2701">
        <v>8.3975999999999509</v>
      </c>
      <c r="AD2701">
        <v>-1.112637615111</v>
      </c>
      <c r="AE2701">
        <v>-7.6120000000000196</v>
      </c>
      <c r="AF2701">
        <v>-2.7702093057160702</v>
      </c>
      <c r="AG2701">
        <v>-1.112637615111</v>
      </c>
      <c r="AH2701">
        <v>10.878767428772401</v>
      </c>
      <c r="AI2701">
        <v>95.660277706274499</v>
      </c>
      <c r="AJ2701">
        <v>104.28638072664</v>
      </c>
      <c r="AK2701">
        <v>11.280939802576601</v>
      </c>
      <c r="AL2701">
        <v>90.028010647526798</v>
      </c>
      <c r="AM2701">
        <v>100.80865671939701</v>
      </c>
      <c r="AN2701">
        <v>0.99999998878061402</v>
      </c>
    </row>
    <row r="2702" spans="1:40" x14ac:dyDescent="0.25">
      <c r="A2702" t="str">
        <f>"20190312151550316"</f>
        <v>20190312151550316</v>
      </c>
      <c r="B2702" t="str">
        <f>"1552374950310672"</f>
        <v>1552374950310672</v>
      </c>
      <c r="C2702" t="s">
        <v>40</v>
      </c>
      <c r="D2702">
        <v>4.6583579999999998</v>
      </c>
      <c r="E2702">
        <v>0.48121700000000001</v>
      </c>
      <c r="F2702" t="s">
        <v>50</v>
      </c>
      <c r="G2702">
        <v>-475.38049999999998</v>
      </c>
      <c r="H2702" s="1">
        <v>3.670053E-6</v>
      </c>
      <c r="I2702">
        <v>216.84989999999999</v>
      </c>
      <c r="J2702">
        <v>-484.32760000000002</v>
      </c>
      <c r="K2702">
        <v>1.1124889999999901</v>
      </c>
      <c r="L2702">
        <v>224.9872</v>
      </c>
      <c r="M2702">
        <v>0.55484840000000002</v>
      </c>
      <c r="N2702">
        <v>0</v>
      </c>
      <c r="O2702">
        <v>-0.83185830000000005</v>
      </c>
      <c r="P2702">
        <v>0.70087060000000001</v>
      </c>
      <c r="Q2702">
        <v>-1.162323E-2</v>
      </c>
      <c r="R2702">
        <v>-0.71319440000000001</v>
      </c>
      <c r="S2702">
        <v>2.2088619999999999</v>
      </c>
      <c r="T2702">
        <v>-0.26956619999999998</v>
      </c>
      <c r="U2702">
        <v>-2.0321349999999998</v>
      </c>
      <c r="V2702">
        <v>-0.1873245</v>
      </c>
      <c r="W2702">
        <v>-7.1510140000000002E-4</v>
      </c>
      <c r="X2702">
        <v>0.9822978</v>
      </c>
      <c r="Y2702">
        <v>-0.23372390000000001</v>
      </c>
      <c r="Z2702">
        <v>8.0360440000000005E-2</v>
      </c>
      <c r="AA2702">
        <v>0.96897639999999996</v>
      </c>
      <c r="AB2702">
        <v>31</v>
      </c>
      <c r="AC2702">
        <v>8.9471000000000291</v>
      </c>
      <c r="AD2702">
        <v>-1.1124853299469999</v>
      </c>
      <c r="AE2702">
        <v>-8.1373000000000104</v>
      </c>
      <c r="AF2702">
        <v>-2.9034114178623001</v>
      </c>
      <c r="AG2702">
        <v>-1.1124853299469999</v>
      </c>
      <c r="AH2702">
        <v>11.6358184130761</v>
      </c>
      <c r="AI2702">
        <v>95.299843497662494</v>
      </c>
      <c r="AJ2702">
        <v>104.01055105945601</v>
      </c>
      <c r="AK2702">
        <v>12.044072883074101</v>
      </c>
      <c r="AL2702">
        <v>90.040972296710294</v>
      </c>
      <c r="AM2702">
        <v>100.796689163617</v>
      </c>
      <c r="AN2702">
        <v>0.99999997377755001</v>
      </c>
    </row>
    <row r="2703" spans="1:40" x14ac:dyDescent="0.25">
      <c r="A2703" t="str">
        <f>"20190312151550338"</f>
        <v>20190312151550338</v>
      </c>
      <c r="B2703" t="str">
        <f>"1552374950330192"</f>
        <v>1552374950330192</v>
      </c>
      <c r="C2703" t="s">
        <v>40</v>
      </c>
      <c r="D2703">
        <v>4.6718710000000003</v>
      </c>
      <c r="E2703">
        <v>0.48170429999999997</v>
      </c>
      <c r="F2703" t="s">
        <v>50</v>
      </c>
      <c r="G2703">
        <v>-475.18079999999998</v>
      </c>
      <c r="H2703" s="1">
        <v>3.747305E-6</v>
      </c>
      <c r="I2703">
        <v>216.59190000000001</v>
      </c>
      <c r="J2703">
        <v>-484.16140000000001</v>
      </c>
      <c r="K2703">
        <v>1.1123780000000001</v>
      </c>
      <c r="L2703">
        <v>224.744</v>
      </c>
      <c r="M2703">
        <v>0.55733840000000001</v>
      </c>
      <c r="N2703">
        <v>0</v>
      </c>
      <c r="O2703">
        <v>-0.83019209999999999</v>
      </c>
      <c r="P2703">
        <v>0.70280929999999997</v>
      </c>
      <c r="Q2703">
        <v>-1.324885E-2</v>
      </c>
      <c r="R2703">
        <v>-0.71125519999999998</v>
      </c>
      <c r="S2703">
        <v>2.2109679999999998</v>
      </c>
      <c r="T2703">
        <v>-0.2689127</v>
      </c>
      <c r="U2703">
        <v>-2.0293269999999999</v>
      </c>
      <c r="V2703">
        <v>-0.1870599</v>
      </c>
      <c r="W2703">
        <v>-2.3069100000000001E-3</v>
      </c>
      <c r="X2703">
        <v>0.98234580000000005</v>
      </c>
      <c r="Y2703">
        <v>-0.23195859999999999</v>
      </c>
      <c r="Z2703">
        <v>8.0008220000000005E-2</v>
      </c>
      <c r="AA2703">
        <v>0.96942969999999895</v>
      </c>
      <c r="AB2703">
        <v>31</v>
      </c>
      <c r="AC2703">
        <v>8.9806000000000292</v>
      </c>
      <c r="AD2703">
        <v>-1.112374252695</v>
      </c>
      <c r="AE2703">
        <v>-8.1521000000000097</v>
      </c>
      <c r="AF2703">
        <v>-2.8880778575974602</v>
      </c>
      <c r="AG2703">
        <v>-1.112374252695</v>
      </c>
      <c r="AH2703">
        <v>11.6757458688722</v>
      </c>
      <c r="AI2703">
        <v>95.283960954873095</v>
      </c>
      <c r="AJ2703">
        <v>103.89363192511</v>
      </c>
      <c r="AK2703">
        <v>12.0789656752592</v>
      </c>
      <c r="AL2703">
        <v>90.132176324032699</v>
      </c>
      <c r="AM2703">
        <v>100.781281849019</v>
      </c>
      <c r="AN2703">
        <v>0.99999999939969897</v>
      </c>
    </row>
    <row r="2704" spans="1:40" x14ac:dyDescent="0.25">
      <c r="A2704" t="str">
        <f>"20190312151550361"</f>
        <v>20190312151550361</v>
      </c>
      <c r="B2704" t="str">
        <f>"1552374950350688"</f>
        <v>1552374950350688</v>
      </c>
      <c r="C2704" t="s">
        <v>40</v>
      </c>
      <c r="D2704">
        <v>4.640809</v>
      </c>
      <c r="E2704">
        <v>0.48229270000000002</v>
      </c>
      <c r="F2704" t="s">
        <v>50</v>
      </c>
      <c r="G2704">
        <v>-475.18759999999997</v>
      </c>
      <c r="H2704" s="1">
        <v>3.7416750000000001E-6</v>
      </c>
      <c r="I2704">
        <v>216.53110000000001</v>
      </c>
      <c r="J2704">
        <v>-483.98689999999999</v>
      </c>
      <c r="K2704">
        <v>1.112293</v>
      </c>
      <c r="L2704">
        <v>224.49019999999999</v>
      </c>
      <c r="M2704">
        <v>0.5599151</v>
      </c>
      <c r="N2704">
        <v>0</v>
      </c>
      <c r="O2704">
        <v>-0.828457</v>
      </c>
      <c r="P2704">
        <v>0.70425649999999995</v>
      </c>
      <c r="Q2704">
        <v>-1.395329E-2</v>
      </c>
      <c r="R2704">
        <v>-0.70980900000000002</v>
      </c>
      <c r="S2704">
        <v>2.2133790000000002</v>
      </c>
      <c r="T2704">
        <v>-0.27436339999999998</v>
      </c>
      <c r="U2704">
        <v>-2.0256810000000001</v>
      </c>
      <c r="V2704">
        <v>-0.18601200000000001</v>
      </c>
      <c r="W2704">
        <v>-2.982148E-3</v>
      </c>
      <c r="X2704">
        <v>0.9825429</v>
      </c>
      <c r="Y2704">
        <v>-0.23022339999999999</v>
      </c>
      <c r="Z2704">
        <v>8.1461459999999999E-2</v>
      </c>
      <c r="AA2704">
        <v>0.96972219999999998</v>
      </c>
      <c r="AB2704">
        <v>31</v>
      </c>
      <c r="AC2704">
        <v>8.7993000000000094</v>
      </c>
      <c r="AD2704">
        <v>-1.1122892583249999</v>
      </c>
      <c r="AE2704">
        <v>-7.9590999999999701</v>
      </c>
      <c r="AF2704">
        <v>-2.8089534968560499</v>
      </c>
      <c r="AG2704">
        <v>-1.1122892583249999</v>
      </c>
      <c r="AH2704">
        <v>11.4211470269516</v>
      </c>
      <c r="AI2704">
        <v>95.402416207689896</v>
      </c>
      <c r="AJ2704">
        <v>103.817271025037</v>
      </c>
      <c r="AK2704">
        <v>11.813975053001</v>
      </c>
      <c r="AL2704">
        <v>90.170864755426095</v>
      </c>
      <c r="AM2704">
        <v>100.720188648445</v>
      </c>
      <c r="AN2704">
        <v>0.99999995384554996</v>
      </c>
    </row>
    <row r="2705" spans="1:40" x14ac:dyDescent="0.25">
      <c r="A2705" t="str">
        <f>"20190312151550383"</f>
        <v>20190312151550383</v>
      </c>
      <c r="B2705" t="str">
        <f>"1552374950379968"</f>
        <v>1552374950379968</v>
      </c>
      <c r="C2705" t="s">
        <v>40</v>
      </c>
      <c r="D2705">
        <v>4.5723399999999996</v>
      </c>
      <c r="E2705">
        <v>0.49636780000000003</v>
      </c>
      <c r="F2705" t="s">
        <v>50</v>
      </c>
      <c r="G2705">
        <v>-475.0197</v>
      </c>
      <c r="H2705" s="1">
        <v>3.8056430000000002E-6</v>
      </c>
      <c r="I2705">
        <v>216.29220000000001</v>
      </c>
      <c r="J2705">
        <v>-483.80520000000001</v>
      </c>
      <c r="K2705">
        <v>1.112231</v>
      </c>
      <c r="L2705">
        <v>224.2276</v>
      </c>
      <c r="M2705">
        <v>0.5625848</v>
      </c>
      <c r="N2705">
        <v>0</v>
      </c>
      <c r="O2705">
        <v>-0.82664629999999995</v>
      </c>
      <c r="P2705">
        <v>0.70591139999999997</v>
      </c>
      <c r="Q2705">
        <v>-1.4868279999999999E-2</v>
      </c>
      <c r="R2705">
        <v>-0.70814409999999905</v>
      </c>
      <c r="S2705">
        <v>2.214172</v>
      </c>
      <c r="T2705">
        <v>-0.27464620000000001</v>
      </c>
      <c r="U2705">
        <v>-2.0242460000000002</v>
      </c>
      <c r="V2705">
        <v>-0.18514040000000001</v>
      </c>
      <c r="W2705">
        <v>-3.8812230000000001E-3</v>
      </c>
      <c r="X2705">
        <v>0.98270440000000003</v>
      </c>
      <c r="Y2705">
        <v>-0.2276019</v>
      </c>
      <c r="Z2705">
        <v>8.1348719999999999E-2</v>
      </c>
      <c r="AA2705">
        <v>0.9703503</v>
      </c>
      <c r="AB2705">
        <v>31</v>
      </c>
      <c r="AC2705">
        <v>8.7855000000000096</v>
      </c>
      <c r="AD2705">
        <v>-1.1122271943569999</v>
      </c>
      <c r="AE2705">
        <v>-7.93539999999998</v>
      </c>
      <c r="AF2705">
        <v>-2.7738983206435401</v>
      </c>
      <c r="AG2705">
        <v>-1.1122271943569999</v>
      </c>
      <c r="AH2705">
        <v>11.4026026473013</v>
      </c>
      <c r="AI2705">
        <v>95.414170964455906</v>
      </c>
      <c r="AJ2705">
        <v>103.67269368911499</v>
      </c>
      <c r="AK2705">
        <v>11.7877439893043</v>
      </c>
      <c r="AL2705">
        <v>90.2223782589693</v>
      </c>
      <c r="AM2705">
        <v>100.66939960005099</v>
      </c>
      <c r="AN2705">
        <v>0.999999984691747</v>
      </c>
    </row>
    <row r="2706" spans="1:40" x14ac:dyDescent="0.25">
      <c r="A2706" t="str">
        <f>"20190312151550407"</f>
        <v>20190312151550407</v>
      </c>
      <c r="B2706" t="str">
        <f>"1552374950400464"</f>
        <v>1552374950400464</v>
      </c>
      <c r="C2706" t="s">
        <v>40</v>
      </c>
      <c r="D2706">
        <v>4.558738</v>
      </c>
      <c r="E2706">
        <v>0.49678050000000001</v>
      </c>
      <c r="F2706" t="s">
        <v>50</v>
      </c>
      <c r="G2706">
        <v>-470.08940000000001</v>
      </c>
      <c r="H2706" s="1">
        <v>5.7499739999999997E-6</v>
      </c>
      <c r="I2706">
        <v>210.7544</v>
      </c>
      <c r="J2706">
        <v>-483.62290000000002</v>
      </c>
      <c r="K2706">
        <v>1.112204</v>
      </c>
      <c r="L2706">
        <v>223.9658</v>
      </c>
      <c r="M2706">
        <v>0.56526650000000001</v>
      </c>
      <c r="N2706">
        <v>0</v>
      </c>
      <c r="O2706">
        <v>-0.82481530000000003</v>
      </c>
      <c r="P2706">
        <v>0.7072425</v>
      </c>
      <c r="Q2706">
        <v>-1.6861299999999999E-2</v>
      </c>
      <c r="R2706">
        <v>-0.70677029999999996</v>
      </c>
      <c r="S2706">
        <v>2.1387019999999999</v>
      </c>
      <c r="T2706">
        <v>-0.173429</v>
      </c>
      <c r="U2706">
        <v>-2.100876</v>
      </c>
      <c r="V2706">
        <v>-0.18381049999999999</v>
      </c>
      <c r="W2706">
        <v>-5.863559E-3</v>
      </c>
      <c r="X2706">
        <v>0.98294420000000005</v>
      </c>
      <c r="Y2706">
        <v>-0.19119920000000001</v>
      </c>
      <c r="Z2706">
        <v>5.0804969999999998E-2</v>
      </c>
      <c r="AA2706">
        <v>0.98023559999999998</v>
      </c>
      <c r="AB2706">
        <v>31</v>
      </c>
      <c r="AC2706">
        <v>13.5335</v>
      </c>
      <c r="AD2706">
        <v>-1.1121982500259999</v>
      </c>
      <c r="AE2706">
        <v>-13.2113999999999</v>
      </c>
      <c r="AF2706">
        <v>-3.6822257780503</v>
      </c>
      <c r="AG2706">
        <v>-1.1121982500259999</v>
      </c>
      <c r="AH2706">
        <v>18.4844997206208</v>
      </c>
      <c r="AI2706">
        <v>93.377095291004807</v>
      </c>
      <c r="AJ2706">
        <v>101.266190211297</v>
      </c>
      <c r="AK2706">
        <v>18.880479378170701</v>
      </c>
      <c r="AL2706">
        <v>90.335959111864099</v>
      </c>
      <c r="AM2706">
        <v>100.591974145753</v>
      </c>
      <c r="AN2706">
        <v>0.99999999077401802</v>
      </c>
    </row>
    <row r="2707" spans="1:40" x14ac:dyDescent="0.25">
      <c r="A2707" t="str">
        <f>"20190312151550428"</f>
        <v>20190312151550428</v>
      </c>
      <c r="B2707" t="str">
        <f>"1552374950419984"</f>
        <v>1552374950419984</v>
      </c>
      <c r="C2707" t="s">
        <v>40</v>
      </c>
      <c r="D2707">
        <v>4.5769719999999996</v>
      </c>
      <c r="E2707">
        <v>0.4969172</v>
      </c>
      <c r="F2707" t="s">
        <v>50</v>
      </c>
      <c r="G2707">
        <v>-472.1044</v>
      </c>
      <c r="H2707" s="1">
        <v>4.9403960000000001E-6</v>
      </c>
      <c r="I2707">
        <v>212.67570000000001</v>
      </c>
      <c r="J2707">
        <v>-483.45510000000002</v>
      </c>
      <c r="K2707">
        <v>1.1121890000000001</v>
      </c>
      <c r="L2707">
        <v>223.72649999999999</v>
      </c>
      <c r="M2707">
        <v>0.56774219999999997</v>
      </c>
      <c r="N2707">
        <v>0</v>
      </c>
      <c r="O2707">
        <v>-0.82311309999999904</v>
      </c>
      <c r="P2707">
        <v>0.70817269999999999</v>
      </c>
      <c r="Q2707">
        <v>-1.85711E-2</v>
      </c>
      <c r="R2707">
        <v>-0.70579480000000006</v>
      </c>
      <c r="S2707">
        <v>2.1403810000000001</v>
      </c>
      <c r="T2707">
        <v>-0.20667089999999999</v>
      </c>
      <c r="U2707">
        <v>-2.0979459999999999</v>
      </c>
      <c r="V2707">
        <v>-0.1821653</v>
      </c>
      <c r="W2707">
        <v>-7.5647730000000003E-3</v>
      </c>
      <c r="X2707">
        <v>0.98323879999999997</v>
      </c>
      <c r="Y2707">
        <v>-0.18885769999999999</v>
      </c>
      <c r="Z2707">
        <v>6.037812E-2</v>
      </c>
      <c r="AA2707">
        <v>0.98014650000000003</v>
      </c>
      <c r="AB2707">
        <v>31</v>
      </c>
      <c r="AC2707">
        <v>11.3507</v>
      </c>
      <c r="AD2707">
        <v>-1.11218405960399</v>
      </c>
      <c r="AE2707">
        <v>-11.050799999999899</v>
      </c>
      <c r="AF2707">
        <v>-3.0540867753946701</v>
      </c>
      <c r="AG2707">
        <v>-1.11218405960399</v>
      </c>
      <c r="AH2707">
        <v>15.4652962913602</v>
      </c>
      <c r="AI2707">
        <v>94.035660177032</v>
      </c>
      <c r="AJ2707">
        <v>101.171033579623</v>
      </c>
      <c r="AK2707">
        <v>15.8031575577046</v>
      </c>
      <c r="AL2707">
        <v>90.433433708511004</v>
      </c>
      <c r="AM2707">
        <v>100.49621182751</v>
      </c>
      <c r="AN2707">
        <v>0.99999998007003499</v>
      </c>
    </row>
    <row r="2708" spans="1:40" x14ac:dyDescent="0.25">
      <c r="A2708" t="str">
        <f>"20190312151550451"</f>
        <v>20190312151550451</v>
      </c>
      <c r="B2708" t="str">
        <f>"1552374950440481"</f>
        <v>1552374950440481</v>
      </c>
      <c r="C2708" t="s">
        <v>40</v>
      </c>
      <c r="D2708">
        <v>4.7644070000000003</v>
      </c>
      <c r="E2708">
        <v>0.49686530000000001</v>
      </c>
      <c r="F2708" t="s">
        <v>50</v>
      </c>
      <c r="G2708">
        <v>-473.12099999999998</v>
      </c>
      <c r="H2708" s="1">
        <v>4.5310640000000004E-6</v>
      </c>
      <c r="I2708">
        <v>213.62440000000001</v>
      </c>
      <c r="J2708">
        <v>-483.2833</v>
      </c>
      <c r="K2708">
        <v>1.112187</v>
      </c>
      <c r="L2708">
        <v>223.48320000000001</v>
      </c>
      <c r="M2708">
        <v>0.57028889999999999</v>
      </c>
      <c r="N2708">
        <v>0</v>
      </c>
      <c r="O2708">
        <v>-0.8213511</v>
      </c>
      <c r="P2708">
        <v>0.70976410000000001</v>
      </c>
      <c r="Q2708">
        <v>-1.8976059999999999E-2</v>
      </c>
      <c r="R2708">
        <v>-0.70418419999999904</v>
      </c>
      <c r="S2708">
        <v>2.1426699999999999</v>
      </c>
      <c r="T2708">
        <v>-0.2305999</v>
      </c>
      <c r="U2708">
        <v>-2.0945740000000002</v>
      </c>
      <c r="V2708">
        <v>-0.1813438</v>
      </c>
      <c r="W2708">
        <v>-7.9708149999999992E-3</v>
      </c>
      <c r="X2708">
        <v>0.98338749999999997</v>
      </c>
      <c r="Y2708">
        <v>-0.18674950000000001</v>
      </c>
      <c r="Z2708">
        <v>6.7189550000000001E-2</v>
      </c>
      <c r="AA2708">
        <v>0.98010719999999996</v>
      </c>
      <c r="AB2708">
        <v>31</v>
      </c>
      <c r="AC2708">
        <v>10.1623</v>
      </c>
      <c r="AD2708">
        <v>-1.112182468936</v>
      </c>
      <c r="AE2708">
        <v>-9.8588000000000005</v>
      </c>
      <c r="AF2708">
        <v>-2.7079515611679299</v>
      </c>
      <c r="AG2708">
        <v>-1.112182468936</v>
      </c>
      <c r="AH2708">
        <v>13.8088409185268</v>
      </c>
      <c r="AI2708">
        <v>94.519032660050598</v>
      </c>
      <c r="AJ2708">
        <v>101.095064304939</v>
      </c>
      <c r="AK2708">
        <v>14.115737282020399</v>
      </c>
      <c r="AL2708">
        <v>90.456698875924602</v>
      </c>
      <c r="AM2708">
        <v>100.448377349193</v>
      </c>
      <c r="AN2708">
        <v>1.00000004142322</v>
      </c>
    </row>
    <row r="2709" spans="1:40" x14ac:dyDescent="0.25">
      <c r="A2709" t="str">
        <f>"20190312151550472"</f>
        <v>20190312151550472</v>
      </c>
      <c r="B2709" t="str">
        <f>"1552374950460004"</f>
        <v>1552374950460004</v>
      </c>
      <c r="C2709" t="s">
        <v>40</v>
      </c>
      <c r="D2709">
        <v>4.6094089999999897</v>
      </c>
      <c r="E2709">
        <v>0.497</v>
      </c>
      <c r="F2709" t="s">
        <v>50</v>
      </c>
      <c r="G2709">
        <v>-472.96510000000001</v>
      </c>
      <c r="H2709" s="1">
        <v>4.5923589999999998E-6</v>
      </c>
      <c r="I2709">
        <v>213.4452</v>
      </c>
      <c r="J2709">
        <v>-483.113</v>
      </c>
      <c r="K2709">
        <v>1.112193</v>
      </c>
      <c r="L2709">
        <v>223.24369999999999</v>
      </c>
      <c r="M2709">
        <v>0.57282480000000002</v>
      </c>
      <c r="N2709">
        <v>0</v>
      </c>
      <c r="O2709">
        <v>-0.81958449999999905</v>
      </c>
      <c r="P2709">
        <v>0.71137249999999996</v>
      </c>
      <c r="Q2709">
        <v>-1.926806E-2</v>
      </c>
      <c r="R2709">
        <v>-0.7025515</v>
      </c>
      <c r="S2709">
        <v>2.1477050000000002</v>
      </c>
      <c r="T2709">
        <v>-0.2314967</v>
      </c>
      <c r="U2709">
        <v>-2.0893860000000002</v>
      </c>
      <c r="V2709">
        <v>-0.18055550000000001</v>
      </c>
      <c r="W2709">
        <v>-8.2611190000000008E-3</v>
      </c>
      <c r="X2709">
        <v>0.98353009999999996</v>
      </c>
      <c r="Y2709">
        <v>-0.1860675</v>
      </c>
      <c r="Z2709">
        <v>6.7317070000000007E-2</v>
      </c>
      <c r="AA2709">
        <v>0.98022819999999999</v>
      </c>
      <c r="AB2709">
        <v>31</v>
      </c>
      <c r="AC2709">
        <v>10.1479</v>
      </c>
      <c r="AD2709">
        <v>-1.112188407641</v>
      </c>
      <c r="AE2709">
        <v>-9.79849999999999</v>
      </c>
      <c r="AF2709">
        <v>-2.6877371463317199</v>
      </c>
      <c r="AG2709">
        <v>-1.112188407641</v>
      </c>
      <c r="AH2709">
        <v>13.759196832257899</v>
      </c>
      <c r="AI2709">
        <v>94.535942274211294</v>
      </c>
      <c r="AJ2709">
        <v>101.053037478108</v>
      </c>
      <c r="AK2709">
        <v>14.063299452499701</v>
      </c>
      <c r="AL2709">
        <v>90.473332638538096</v>
      </c>
      <c r="AM2709">
        <v>100.402476735747</v>
      </c>
      <c r="AN2709">
        <v>0.99999999613669599</v>
      </c>
    </row>
    <row r="2710" spans="1:40" x14ac:dyDescent="0.25">
      <c r="A2710" t="str">
        <f>"20190312151550495"</f>
        <v>20190312151550495</v>
      </c>
      <c r="B2710" t="str">
        <f>"1552374950490256"</f>
        <v>1552374950490256</v>
      </c>
      <c r="C2710" t="s">
        <v>40</v>
      </c>
      <c r="D2710">
        <v>4.675821</v>
      </c>
      <c r="E2710">
        <v>0.49717230000000001</v>
      </c>
      <c r="F2710" t="s">
        <v>50</v>
      </c>
      <c r="G2710">
        <v>-472.358</v>
      </c>
      <c r="H2710" s="1">
        <v>4.8341860000000003E-6</v>
      </c>
      <c r="I2710">
        <v>212.81829999999999</v>
      </c>
      <c r="J2710">
        <v>-482.93520000000001</v>
      </c>
      <c r="K2710">
        <v>1.1122129999999999</v>
      </c>
      <c r="L2710">
        <v>222.99510000000001</v>
      </c>
      <c r="M2710">
        <v>0.57549039999999996</v>
      </c>
      <c r="N2710">
        <v>0</v>
      </c>
      <c r="O2710">
        <v>-0.81771510000000003</v>
      </c>
      <c r="P2710">
        <v>0.71318000000000004</v>
      </c>
      <c r="Q2710">
        <v>-1.9098549999999999E-2</v>
      </c>
      <c r="R2710">
        <v>-0.70072109999999999</v>
      </c>
      <c r="S2710">
        <v>2.1514890000000002</v>
      </c>
      <c r="T2710">
        <v>-0.22248670000000001</v>
      </c>
      <c r="U2710">
        <v>-2.0855410000000001</v>
      </c>
      <c r="V2710">
        <v>-0.17988509999999999</v>
      </c>
      <c r="W2710">
        <v>-8.0888090000000006E-3</v>
      </c>
      <c r="X2710">
        <v>0.98365440000000004</v>
      </c>
      <c r="Y2710">
        <v>-0.18478820000000001</v>
      </c>
      <c r="Z2710">
        <v>6.4560389999999995E-2</v>
      </c>
      <c r="AA2710">
        <v>0.98065559999999996</v>
      </c>
      <c r="AB2710">
        <v>31</v>
      </c>
      <c r="AC2710">
        <v>10.577199999999999</v>
      </c>
      <c r="AD2710">
        <v>-1.1122081658139999</v>
      </c>
      <c r="AE2710">
        <v>-10.1768</v>
      </c>
      <c r="AF2710">
        <v>-2.7767556774598701</v>
      </c>
      <c r="AG2710">
        <v>-1.1122081658139999</v>
      </c>
      <c r="AH2710">
        <v>14.327636839902</v>
      </c>
      <c r="AI2710">
        <v>94.358016519186805</v>
      </c>
      <c r="AJ2710">
        <v>100.968187731694</v>
      </c>
      <c r="AK2710">
        <v>14.636548654396901</v>
      </c>
      <c r="AL2710">
        <v>90.463459657885494</v>
      </c>
      <c r="AM2710">
        <v>100.363409766807</v>
      </c>
      <c r="AN2710">
        <v>1.0000000283362001</v>
      </c>
    </row>
    <row r="2711" spans="1:40" x14ac:dyDescent="0.25">
      <c r="A2711" t="str">
        <f>"20190312151550518"</f>
        <v>20190312151550518</v>
      </c>
      <c r="B2711" t="str">
        <f>"1552374950509776"</f>
        <v>1552374950509776</v>
      </c>
      <c r="C2711" t="s">
        <v>40</v>
      </c>
      <c r="D2711">
        <v>4.5625790000000004</v>
      </c>
      <c r="E2711">
        <v>0.49732609999999999</v>
      </c>
      <c r="F2711" t="s">
        <v>50</v>
      </c>
      <c r="G2711">
        <v>-472.3297</v>
      </c>
      <c r="H2711" s="1">
        <v>4.8441930000000002E-6</v>
      </c>
      <c r="I2711">
        <v>212.75980000000001</v>
      </c>
      <c r="J2711">
        <v>-482.74930000000001</v>
      </c>
      <c r="K2711">
        <v>1.112242</v>
      </c>
      <c r="L2711">
        <v>222.73740000000001</v>
      </c>
      <c r="M2711">
        <v>0.57829580000000003</v>
      </c>
      <c r="N2711">
        <v>0</v>
      </c>
      <c r="O2711">
        <v>-0.81573319999999905</v>
      </c>
      <c r="P2711">
        <v>0.71502809999999895</v>
      </c>
      <c r="Q2711">
        <v>-1.8613919999999999E-2</v>
      </c>
      <c r="R2711">
        <v>-0.69884820000000003</v>
      </c>
      <c r="S2711">
        <v>2.1560359999999998</v>
      </c>
      <c r="T2711">
        <v>-0.22610459999999999</v>
      </c>
      <c r="U2711">
        <v>-2.080765</v>
      </c>
      <c r="V2711">
        <v>-0.1790987</v>
      </c>
      <c r="W2711">
        <v>-7.602971E-3</v>
      </c>
      <c r="X2711">
        <v>0.9838017</v>
      </c>
      <c r="Y2711">
        <v>-0.18351629999999999</v>
      </c>
      <c r="Z2711">
        <v>6.5448930000000002E-2</v>
      </c>
      <c r="AA2711">
        <v>0.98083540000000002</v>
      </c>
      <c r="AB2711">
        <v>31</v>
      </c>
      <c r="AC2711">
        <v>10.419600000000001</v>
      </c>
      <c r="AD2711">
        <v>-1.1122371558070001</v>
      </c>
      <c r="AE2711">
        <v>-9.97759999999999</v>
      </c>
      <c r="AF2711">
        <v>-2.71368854272158</v>
      </c>
      <c r="AG2711">
        <v>-1.1122371558070001</v>
      </c>
      <c r="AH2711">
        <v>14.0820525280085</v>
      </c>
      <c r="AI2711">
        <v>94.434736907847494</v>
      </c>
      <c r="AJ2711">
        <v>100.907503580469</v>
      </c>
      <c r="AK2711">
        <v>14.384205935652</v>
      </c>
      <c r="AL2711">
        <v>90.435622361281105</v>
      </c>
      <c r="AM2711">
        <v>100.317567855736</v>
      </c>
      <c r="AN2711">
        <v>0.99999996721630202</v>
      </c>
    </row>
    <row r="2712" spans="1:40" x14ac:dyDescent="0.25">
      <c r="A2712" t="str">
        <f>"20190312151550539"</f>
        <v>20190312151550539</v>
      </c>
      <c r="B2712" t="str">
        <f>"1552374950530273"</f>
        <v>1552374950530273</v>
      </c>
      <c r="C2712" t="s">
        <v>40</v>
      </c>
      <c r="D2712">
        <v>4.6996379999999904</v>
      </c>
      <c r="E2712">
        <v>0.4974846</v>
      </c>
      <c r="F2712" t="s">
        <v>50</v>
      </c>
      <c r="G2712">
        <v>-471.90859999999998</v>
      </c>
      <c r="H2712" s="1">
        <v>5.0116940000000001E-6</v>
      </c>
      <c r="I2712">
        <v>212.3203</v>
      </c>
      <c r="J2712">
        <v>-482.57900000000001</v>
      </c>
      <c r="K2712">
        <v>1.112269</v>
      </c>
      <c r="L2712">
        <v>222.50280000000001</v>
      </c>
      <c r="M2712">
        <v>0.58088079999999997</v>
      </c>
      <c r="N2712">
        <v>0</v>
      </c>
      <c r="O2712">
        <v>-0.81389440000000002</v>
      </c>
      <c r="P2712">
        <v>0.71695980000000004</v>
      </c>
      <c r="Q2712">
        <v>-1.8351030000000001E-2</v>
      </c>
      <c r="R2712">
        <v>-0.69687310000000002</v>
      </c>
      <c r="S2712">
        <v>2.1606139999999998</v>
      </c>
      <c r="T2712">
        <v>-0.2216746</v>
      </c>
      <c r="U2712">
        <v>-2.076187</v>
      </c>
      <c r="V2712">
        <v>-0.17869839999999901</v>
      </c>
      <c r="W2712">
        <v>-7.3437569999999898E-3</v>
      </c>
      <c r="X2712">
        <v>0.98387650000000004</v>
      </c>
      <c r="Y2712">
        <v>-0.1825939</v>
      </c>
      <c r="Z2712">
        <v>6.4031560000000001E-2</v>
      </c>
      <c r="AA2712">
        <v>0.98110109999999995</v>
      </c>
      <c r="AB2712">
        <v>31</v>
      </c>
      <c r="AC2712">
        <v>10.670400000000001</v>
      </c>
      <c r="AD2712">
        <v>-1.1122639883059999</v>
      </c>
      <c r="AE2712">
        <v>-10.182499999999999</v>
      </c>
      <c r="AF2712">
        <v>-2.7543090631967502</v>
      </c>
      <c r="AG2712">
        <v>-1.1122639883059999</v>
      </c>
      <c r="AH2712">
        <v>14.404902256807301</v>
      </c>
      <c r="AI2712">
        <v>94.337029854522399</v>
      </c>
      <c r="AJ2712">
        <v>100.824663894453</v>
      </c>
      <c r="AK2712">
        <v>14.7079760206312</v>
      </c>
      <c r="AL2712">
        <v>90.420770060598301</v>
      </c>
      <c r="AM2712">
        <v>100.294234998883</v>
      </c>
      <c r="AN2712">
        <v>1.00000000809084</v>
      </c>
    </row>
    <row r="2713" spans="1:40" x14ac:dyDescent="0.25">
      <c r="A2713" t="str">
        <f>"20190312151550561"</f>
        <v>20190312151550561</v>
      </c>
      <c r="B2713" t="str">
        <f>"1552374950549792"</f>
        <v>1552374950549792</v>
      </c>
      <c r="C2713" t="s">
        <v>40</v>
      </c>
      <c r="D2713">
        <v>4.593674</v>
      </c>
      <c r="E2713">
        <v>0.49744119999999997</v>
      </c>
      <c r="F2713" t="s">
        <v>50</v>
      </c>
      <c r="G2713">
        <v>-471.53089999999997</v>
      </c>
      <c r="H2713" s="1">
        <v>5.1624069999999999E-6</v>
      </c>
      <c r="I2713">
        <v>211.93639999999999</v>
      </c>
      <c r="J2713">
        <v>-482.39839999999998</v>
      </c>
      <c r="K2713">
        <v>1.112317</v>
      </c>
      <c r="L2713">
        <v>222.25579999999999</v>
      </c>
      <c r="M2713">
        <v>0.58365230000000001</v>
      </c>
      <c r="N2713">
        <v>0</v>
      </c>
      <c r="O2713">
        <v>-0.81190899999999999</v>
      </c>
      <c r="P2713">
        <v>0.71913519999999997</v>
      </c>
      <c r="Q2713">
        <v>-1.8089750000000002E-2</v>
      </c>
      <c r="R2713">
        <v>-0.69463490000000006</v>
      </c>
      <c r="S2713">
        <v>2.165619</v>
      </c>
      <c r="T2713">
        <v>-0.2180222</v>
      </c>
      <c r="U2713">
        <v>-2.0711979999999999</v>
      </c>
      <c r="V2713">
        <v>-0.1784172</v>
      </c>
      <c r="W2713">
        <v>-7.0918040000000002E-3</v>
      </c>
      <c r="X2713">
        <v>0.98392939999999995</v>
      </c>
      <c r="Y2713">
        <v>-0.1816189</v>
      </c>
      <c r="Z2713">
        <v>6.2831170000000006E-2</v>
      </c>
      <c r="AA2713">
        <v>0.98135969999999995</v>
      </c>
      <c r="AB2713">
        <v>31</v>
      </c>
      <c r="AC2713">
        <v>10.8675</v>
      </c>
      <c r="AD2713">
        <v>-1.1123118375929999</v>
      </c>
      <c r="AE2713">
        <v>-10.3194</v>
      </c>
      <c r="AF2713">
        <v>-2.7853508838770802</v>
      </c>
      <c r="AG2713">
        <v>-1.1123118375929999</v>
      </c>
      <c r="AH2713">
        <v>14.6417285787981</v>
      </c>
      <c r="AI2713">
        <v>94.268084641475696</v>
      </c>
      <c r="AJ2713">
        <v>100.770892595525</v>
      </c>
      <c r="AK2713">
        <v>14.9457563524085</v>
      </c>
      <c r="AL2713">
        <v>90.406333833187205</v>
      </c>
      <c r="AM2713">
        <v>100.277840721321</v>
      </c>
      <c r="AN2713">
        <v>1.00000002756208</v>
      </c>
    </row>
    <row r="2714" spans="1:40" x14ac:dyDescent="0.25">
      <c r="A2714" t="str">
        <f>"20190312151550585"</f>
        <v>20190312151550585</v>
      </c>
      <c r="B2714" t="str">
        <f>"1552374950580048"</f>
        <v>1552374950580048</v>
      </c>
      <c r="C2714" t="s">
        <v>40</v>
      </c>
      <c r="D2714">
        <v>4.5222540000000002</v>
      </c>
      <c r="E2714">
        <v>0.4606828</v>
      </c>
      <c r="F2714" t="s">
        <v>50</v>
      </c>
      <c r="G2714">
        <v>-471.28489999999999</v>
      </c>
      <c r="H2714" s="1">
        <v>5.2610579999999996E-6</v>
      </c>
      <c r="I2714">
        <v>211.69810000000001</v>
      </c>
      <c r="J2714">
        <v>-482.20670000000001</v>
      </c>
      <c r="K2714">
        <v>1.1123809999999901</v>
      </c>
      <c r="L2714">
        <v>221.9958</v>
      </c>
      <c r="M2714">
        <v>0.58664749999999999</v>
      </c>
      <c r="N2714">
        <v>0</v>
      </c>
      <c r="O2714">
        <v>-0.80974749999999995</v>
      </c>
      <c r="P2714">
        <v>0.72202279999999996</v>
      </c>
      <c r="Q2714">
        <v>-1.7766089999999998E-2</v>
      </c>
      <c r="R2714">
        <v>-0.69164110000000001</v>
      </c>
      <c r="S2714">
        <v>2.172577</v>
      </c>
      <c r="T2714">
        <v>-0.21744730000000001</v>
      </c>
      <c r="U2714">
        <v>-2.0639340000000002</v>
      </c>
      <c r="V2714">
        <v>-0.17887829999999999</v>
      </c>
      <c r="W2714">
        <v>-6.7925429999999998E-3</v>
      </c>
      <c r="X2714">
        <v>0.98384780000000005</v>
      </c>
      <c r="Y2714">
        <v>-0.18129419999999999</v>
      </c>
      <c r="Z2714">
        <v>6.2522220000000003E-2</v>
      </c>
      <c r="AA2714">
        <v>0.98143950000000002</v>
      </c>
      <c r="AB2714">
        <v>31</v>
      </c>
      <c r="AC2714">
        <v>10.921799999999999</v>
      </c>
      <c r="AD2714">
        <v>-1.1123757389419999</v>
      </c>
      <c r="AE2714">
        <v>-10.297699999999899</v>
      </c>
      <c r="AF2714">
        <v>-2.78768724808433</v>
      </c>
      <c r="AG2714">
        <v>-1.1123757389419999</v>
      </c>
      <c r="AH2714">
        <v>14.666377111031601</v>
      </c>
      <c r="AI2714">
        <v>94.261306940162996</v>
      </c>
      <c r="AJ2714">
        <v>100.762022564498</v>
      </c>
      <c r="AK2714">
        <v>14.9703439352845</v>
      </c>
      <c r="AL2714">
        <v>90.389187023600897</v>
      </c>
      <c r="AM2714">
        <v>100.30467068784</v>
      </c>
      <c r="AN2714">
        <v>1.0000000392080599</v>
      </c>
    </row>
    <row r="2715" spans="1:40" x14ac:dyDescent="0.25">
      <c r="A2715" t="str">
        <f>"20190312151550608"</f>
        <v>20190312151550608</v>
      </c>
      <c r="B2715" t="str">
        <f>"1552374950600544"</f>
        <v>1552374950600544</v>
      </c>
      <c r="C2715" t="s">
        <v>40</v>
      </c>
      <c r="D2715">
        <v>4.598516</v>
      </c>
      <c r="E2715">
        <v>0.4484802</v>
      </c>
      <c r="F2715" t="s">
        <v>50</v>
      </c>
      <c r="G2715">
        <v>-471.7792</v>
      </c>
      <c r="H2715" s="1">
        <v>5.1399199999999901E-6</v>
      </c>
      <c r="I2715">
        <v>213.94049999999999</v>
      </c>
      <c r="J2715">
        <v>-482.02010000000001</v>
      </c>
      <c r="K2715">
        <v>1.112471</v>
      </c>
      <c r="L2715">
        <v>221.7448</v>
      </c>
      <c r="M2715">
        <v>0.58964640000000001</v>
      </c>
      <c r="N2715">
        <v>0</v>
      </c>
      <c r="O2715">
        <v>-0.80756629999999996</v>
      </c>
      <c r="P2715">
        <v>0.72446980000000005</v>
      </c>
      <c r="Q2715">
        <v>-1.8139849999999999E-2</v>
      </c>
      <c r="R2715">
        <v>-0.68906820000000002</v>
      </c>
      <c r="S2715">
        <v>2.3843380000000001</v>
      </c>
      <c r="T2715">
        <v>-0.25435279999999999</v>
      </c>
      <c r="U2715">
        <v>-1.841904</v>
      </c>
      <c r="V2715">
        <v>-0.1787183</v>
      </c>
      <c r="W2715">
        <v>-7.1949759999999996E-3</v>
      </c>
      <c r="X2715">
        <v>0.98387400000000003</v>
      </c>
      <c r="Y2715">
        <v>-0.27592509999999998</v>
      </c>
      <c r="Z2715">
        <v>7.4976719999999997E-2</v>
      </c>
      <c r="AA2715">
        <v>0.95825039999999995</v>
      </c>
      <c r="AB2715">
        <v>31</v>
      </c>
      <c r="AC2715">
        <v>10.2409</v>
      </c>
      <c r="AD2715">
        <v>-1.1124658600799999</v>
      </c>
      <c r="AE2715">
        <v>-7.8043000000000102</v>
      </c>
      <c r="AF2715">
        <v>-3.64152625009257</v>
      </c>
      <c r="AG2715">
        <v>-1.1124658600799999</v>
      </c>
      <c r="AH2715">
        <v>12.2504979405605</v>
      </c>
      <c r="AI2715">
        <v>94.974802673456395</v>
      </c>
      <c r="AJ2715">
        <v>106.554863969911</v>
      </c>
      <c r="AK2715">
        <v>12.8286006061313</v>
      </c>
      <c r="AL2715">
        <v>90.412245305834801</v>
      </c>
      <c r="AM2715">
        <v>100.295382458373</v>
      </c>
      <c r="AN2715">
        <v>1.0000000231552599</v>
      </c>
    </row>
    <row r="2716" spans="1:40" x14ac:dyDescent="0.25">
      <c r="A2716" t="str">
        <f>"20190312151550629"</f>
        <v>20190312151550629</v>
      </c>
      <c r="B2716" t="str">
        <f>"1552374950620065"</f>
        <v>1552374950620065</v>
      </c>
      <c r="C2716" t="s">
        <v>40</v>
      </c>
      <c r="D2716">
        <v>4.5432030000000001</v>
      </c>
      <c r="E2716">
        <v>0.44420660000000001</v>
      </c>
      <c r="F2716" t="s">
        <v>50</v>
      </c>
      <c r="G2716">
        <v>-472.43150000000003</v>
      </c>
      <c r="H2716" s="1">
        <v>4.8912870000000004E-6</v>
      </c>
      <c r="I2716">
        <v>214.87039999999999</v>
      </c>
      <c r="J2716">
        <v>-481.84769999999997</v>
      </c>
      <c r="K2716">
        <v>1.1125799999999999</v>
      </c>
      <c r="L2716">
        <v>221.51480000000001</v>
      </c>
      <c r="M2716">
        <v>0.59251549999999997</v>
      </c>
      <c r="N2716">
        <v>0</v>
      </c>
      <c r="O2716">
        <v>-0.8054635</v>
      </c>
      <c r="P2716">
        <v>0.72704939999999996</v>
      </c>
      <c r="Q2716">
        <v>-1.8917719999999999E-2</v>
      </c>
      <c r="R2716">
        <v>-0.68632490000000002</v>
      </c>
      <c r="S2716">
        <v>2.4578250000000001</v>
      </c>
      <c r="T2716">
        <v>-0.28515410000000002</v>
      </c>
      <c r="U2716">
        <v>-1.7620849999999999</v>
      </c>
      <c r="V2716">
        <v>-0.178913299999999</v>
      </c>
      <c r="W2716">
        <v>-8.0095900000000005E-3</v>
      </c>
      <c r="X2716">
        <v>0.98383220000000005</v>
      </c>
      <c r="Y2716">
        <v>-0.30587520000000001</v>
      </c>
      <c r="Z2716">
        <v>8.4419800000000003E-2</v>
      </c>
      <c r="AA2716">
        <v>0.94832150000000004</v>
      </c>
      <c r="AB2716">
        <v>31</v>
      </c>
      <c r="AC2716">
        <v>9.4161999999999395</v>
      </c>
      <c r="AD2716">
        <v>-1.11257510871299</v>
      </c>
      <c r="AE2716">
        <v>-6.6444000000000099</v>
      </c>
      <c r="AF2716">
        <v>-3.6140926423392301</v>
      </c>
      <c r="AG2716">
        <v>-1.11257510871299</v>
      </c>
      <c r="AH2716">
        <v>10.830962378493799</v>
      </c>
      <c r="AI2716">
        <v>95.565342890306397</v>
      </c>
      <c r="AJ2716">
        <v>108.45290471832099</v>
      </c>
      <c r="AK2716">
        <v>11.4721068267466</v>
      </c>
      <c r="AL2716">
        <v>90.458920627925707</v>
      </c>
      <c r="AM2716">
        <v>100.306803650855</v>
      </c>
      <c r="AN2716">
        <v>0.99999996010284797</v>
      </c>
    </row>
    <row r="2717" spans="1:40" x14ac:dyDescent="0.25">
      <c r="A2717" t="str">
        <f>"20190312151550651"</f>
        <v>20190312151550651</v>
      </c>
      <c r="B2717" t="str">
        <f>"1552374950640564"</f>
        <v>1552374950640564</v>
      </c>
      <c r="C2717" t="s">
        <v>40</v>
      </c>
      <c r="D2717">
        <v>4.5740270000000001</v>
      </c>
      <c r="E2717">
        <v>0.4419112</v>
      </c>
      <c r="F2717" t="s">
        <v>50</v>
      </c>
      <c r="G2717">
        <v>-472.23919999999998</v>
      </c>
      <c r="H2717" s="1">
        <v>4.975231E-6</v>
      </c>
      <c r="I2717">
        <v>214.84030000000001</v>
      </c>
      <c r="J2717">
        <v>-481.66860000000003</v>
      </c>
      <c r="K2717">
        <v>1.112722</v>
      </c>
      <c r="L2717">
        <v>221.27799999999999</v>
      </c>
      <c r="M2717">
        <v>0.59561929999999996</v>
      </c>
      <c r="N2717">
        <v>0</v>
      </c>
      <c r="O2717">
        <v>-0.80317059999999996</v>
      </c>
      <c r="P2717">
        <v>0.72972869999999901</v>
      </c>
      <c r="Q2717">
        <v>-1.9580739999999999E-2</v>
      </c>
      <c r="R2717">
        <v>-0.68345690000000003</v>
      </c>
      <c r="S2717">
        <v>2.4875790000000002</v>
      </c>
      <c r="T2717">
        <v>-0.28803790000000001</v>
      </c>
      <c r="U2717">
        <v>-1.7279659999999999</v>
      </c>
      <c r="V2717">
        <v>-0.1789685</v>
      </c>
      <c r="W2717">
        <v>-8.7159219999999992E-3</v>
      </c>
      <c r="X2717">
        <v>0.98381620000000003</v>
      </c>
      <c r="Y2717">
        <v>-0.31621929999999998</v>
      </c>
      <c r="Z2717">
        <v>8.5283650000000003E-2</v>
      </c>
      <c r="AA2717">
        <v>0.94484500000000005</v>
      </c>
      <c r="AB2717">
        <v>31</v>
      </c>
      <c r="AC2717">
        <v>9.4294000000000402</v>
      </c>
      <c r="AD2717">
        <v>-1.1127170247689999</v>
      </c>
      <c r="AE2717">
        <v>-6.4376999999999702</v>
      </c>
      <c r="AF2717">
        <v>-3.7041059309668598</v>
      </c>
      <c r="AG2717">
        <v>-1.1127170247689999</v>
      </c>
      <c r="AH2717">
        <v>10.686239967073501</v>
      </c>
      <c r="AI2717">
        <v>95.618874563914204</v>
      </c>
      <c r="AJ2717">
        <v>109.11753767417601</v>
      </c>
      <c r="AK2717">
        <v>11.364605781060501</v>
      </c>
      <c r="AL2717">
        <v>90.499391866543903</v>
      </c>
      <c r="AM2717">
        <v>100.31007948880701</v>
      </c>
      <c r="AN2717">
        <v>1.0000000033355001</v>
      </c>
    </row>
    <row r="2718" spans="1:40" x14ac:dyDescent="0.25">
      <c r="A2718" t="str">
        <f>"20190312151550674"</f>
        <v>20190312151550674</v>
      </c>
      <c r="B2718" t="str">
        <f>"1552374950669840"</f>
        <v>1552374950669840</v>
      </c>
      <c r="C2718" t="s">
        <v>40</v>
      </c>
      <c r="D2718">
        <v>4.632174</v>
      </c>
      <c r="E2718">
        <v>0.44061860000000003</v>
      </c>
      <c r="F2718" t="s">
        <v>50</v>
      </c>
      <c r="G2718">
        <v>-472.10180000000003</v>
      </c>
      <c r="H2718" s="1">
        <v>5.0331909999999999E-6</v>
      </c>
      <c r="I2718">
        <v>214.7724</v>
      </c>
      <c r="J2718">
        <v>-481.48390000000001</v>
      </c>
      <c r="K2718">
        <v>1.112892</v>
      </c>
      <c r="L2718">
        <v>221.0359</v>
      </c>
      <c r="M2718">
        <v>0.59897709999999904</v>
      </c>
      <c r="N2718">
        <v>0</v>
      </c>
      <c r="O2718">
        <v>-0.80066939999999998</v>
      </c>
      <c r="P2718">
        <v>0.73287329999999995</v>
      </c>
      <c r="Q2718">
        <v>-2.021922E-2</v>
      </c>
      <c r="R2718">
        <v>-0.68006499999999903</v>
      </c>
      <c r="S2718">
        <v>2.5067750000000002</v>
      </c>
      <c r="T2718">
        <v>-0.29156320000000002</v>
      </c>
      <c r="U2718">
        <v>-1.7046509999999999</v>
      </c>
      <c r="V2718">
        <v>-0.17938950000000001</v>
      </c>
      <c r="W2718">
        <v>-9.4102979999999992E-3</v>
      </c>
      <c r="X2718">
        <v>0.98373310000000003</v>
      </c>
      <c r="Y2718">
        <v>-0.32153890000000002</v>
      </c>
      <c r="Z2718">
        <v>8.6225670000000004E-2</v>
      </c>
      <c r="AA2718">
        <v>0.94296230000000003</v>
      </c>
      <c r="AB2718">
        <v>31</v>
      </c>
      <c r="AC2718">
        <v>9.3820999999999799</v>
      </c>
      <c r="AD2718">
        <v>-1.112886966809</v>
      </c>
      <c r="AE2718">
        <v>-6.2634999999999899</v>
      </c>
      <c r="AF2718">
        <v>-3.7243116300268801</v>
      </c>
      <c r="AG2718">
        <v>-1.112886966809</v>
      </c>
      <c r="AH2718">
        <v>10.5329672412192</v>
      </c>
      <c r="AI2718">
        <v>95.688684782774203</v>
      </c>
      <c r="AJ2718">
        <v>109.472890467187</v>
      </c>
      <c r="AK2718">
        <v>11.2273065970001</v>
      </c>
      <c r="AL2718">
        <v>90.539178328467202</v>
      </c>
      <c r="AM2718">
        <v>100.334664776667</v>
      </c>
      <c r="AN2718">
        <v>0.999999979227154</v>
      </c>
    </row>
    <row r="2719" spans="1:40" x14ac:dyDescent="0.25">
      <c r="A2719" t="str">
        <f>"20190312151550696"</f>
        <v>20190312151550696</v>
      </c>
      <c r="B2719" t="str">
        <f>"1552374950690337"</f>
        <v>1552374950690337</v>
      </c>
      <c r="C2719" t="s">
        <v>40</v>
      </c>
      <c r="D2719">
        <v>4.5328949999999999</v>
      </c>
      <c r="E2719">
        <v>0.43990400000000002</v>
      </c>
      <c r="F2719" t="s">
        <v>50</v>
      </c>
      <c r="G2719">
        <v>-471.93599999999998</v>
      </c>
      <c r="H2719" s="1">
        <v>5.1014720000000003E-6</v>
      </c>
      <c r="I2719">
        <v>214.65170000000001</v>
      </c>
      <c r="J2719">
        <v>-481.29610000000002</v>
      </c>
      <c r="K2719">
        <v>1.1130770000000001</v>
      </c>
      <c r="L2719">
        <v>220.7927</v>
      </c>
      <c r="M2719">
        <v>0.60256369999999904</v>
      </c>
      <c r="N2719">
        <v>0</v>
      </c>
      <c r="O2719">
        <v>-0.7979733</v>
      </c>
      <c r="P2719">
        <v>0.73632769999999903</v>
      </c>
      <c r="Q2719">
        <v>-2.0951540000000001E-2</v>
      </c>
      <c r="R2719">
        <v>-0.67630089999999998</v>
      </c>
      <c r="S2719">
        <v>2.5210880000000002</v>
      </c>
      <c r="T2719">
        <v>-0.2938539</v>
      </c>
      <c r="U2719">
        <v>-1.6857150000000001</v>
      </c>
      <c r="V2719">
        <v>-0.17998900000000001</v>
      </c>
      <c r="W2719">
        <v>-1.020682E-2</v>
      </c>
      <c r="X2719">
        <v>0.98361569999999998</v>
      </c>
      <c r="Y2719">
        <v>-0.32460820000000001</v>
      </c>
      <c r="Z2719">
        <v>8.6757089999999995E-2</v>
      </c>
      <c r="AA2719">
        <v>0.94186130000000001</v>
      </c>
      <c r="AB2719">
        <v>31</v>
      </c>
      <c r="AC2719">
        <v>9.3601000000000401</v>
      </c>
      <c r="AD2719">
        <v>-1.1130718985279999</v>
      </c>
      <c r="AE2719">
        <v>-6.1409999999999902</v>
      </c>
      <c r="AF2719">
        <v>-3.7321638010189302</v>
      </c>
      <c r="AG2719">
        <v>-1.1130718985279999</v>
      </c>
      <c r="AH2719">
        <v>10.4380416504557</v>
      </c>
      <c r="AI2719">
        <v>95.733884180257306</v>
      </c>
      <c r="AJ2719">
        <v>109.67471454600501</v>
      </c>
      <c r="AK2719">
        <v>11.1409465121046</v>
      </c>
      <c r="AL2719">
        <v>90.584817843971393</v>
      </c>
      <c r="AM2719">
        <v>100.369664890148</v>
      </c>
      <c r="AN2719">
        <v>1.0000000322910001</v>
      </c>
    </row>
    <row r="2720" spans="1:40" x14ac:dyDescent="0.25">
      <c r="A2720" t="str">
        <f>"20190312151550717"</f>
        <v>20190312151550717</v>
      </c>
      <c r="B2720" t="str">
        <f>"1552374950709856"</f>
        <v>1552374950709856</v>
      </c>
      <c r="C2720" t="s">
        <v>40</v>
      </c>
      <c r="D2720">
        <v>4.5431739999999996</v>
      </c>
      <c r="E2720">
        <v>0.43959949999999998</v>
      </c>
      <c r="F2720" t="s">
        <v>50</v>
      </c>
      <c r="G2720">
        <v>-471.83679999999998</v>
      </c>
      <c r="H2720" s="1">
        <v>5.141554E-6</v>
      </c>
      <c r="I2720">
        <v>214.56270000000001</v>
      </c>
      <c r="J2720">
        <v>-481.11559999999997</v>
      </c>
      <c r="K2720">
        <v>1.113235</v>
      </c>
      <c r="L2720">
        <v>220.56139999999999</v>
      </c>
      <c r="M2720">
        <v>0.60613669999999997</v>
      </c>
      <c r="N2720">
        <v>0</v>
      </c>
      <c r="O2720">
        <v>-0.79526219999999903</v>
      </c>
      <c r="P2720">
        <v>0.73976509999999995</v>
      </c>
      <c r="Q2720">
        <v>-2.0551280000000002E-2</v>
      </c>
      <c r="R2720">
        <v>-0.67255140000000002</v>
      </c>
      <c r="S2720">
        <v>2.533325</v>
      </c>
      <c r="T2720">
        <v>-0.29809580000000002</v>
      </c>
      <c r="U2720">
        <v>-1.668488</v>
      </c>
      <c r="V2720">
        <v>-0.18058199999999999</v>
      </c>
      <c r="W2720">
        <v>-9.8641749999999993E-3</v>
      </c>
      <c r="X2720">
        <v>0.98351049999999995</v>
      </c>
      <c r="Y2720">
        <v>-0.32682050000000001</v>
      </c>
      <c r="Z2720">
        <v>8.7846729999999998E-2</v>
      </c>
      <c r="AA2720">
        <v>0.94099489999999997</v>
      </c>
      <c r="AB2720">
        <v>31</v>
      </c>
      <c r="AC2720">
        <v>9.2787999999999897</v>
      </c>
      <c r="AD2720">
        <v>-1.1132298584460001</v>
      </c>
      <c r="AE2720">
        <v>-5.9986999999999799</v>
      </c>
      <c r="AF2720">
        <v>-3.70572126780944</v>
      </c>
      <c r="AG2720">
        <v>-1.1132298584460001</v>
      </c>
      <c r="AH2720">
        <v>10.291104713576001</v>
      </c>
      <c r="AI2720">
        <v>95.811361092861802</v>
      </c>
      <c r="AJ2720">
        <v>109.80342826571599</v>
      </c>
      <c r="AK2720">
        <v>10.9944752970852</v>
      </c>
      <c r="AL2720">
        <v>90.565184743561204</v>
      </c>
      <c r="AM2720">
        <v>100.40417297071799</v>
      </c>
      <c r="AN2720">
        <v>1.00000003214133</v>
      </c>
    </row>
    <row r="2721" spans="1:40" x14ac:dyDescent="0.25">
      <c r="A2721" t="str">
        <f>"20190312151550741"</f>
        <v>20190312151550741</v>
      </c>
      <c r="B2721" t="str">
        <f>"1552374950730352"</f>
        <v>1552374950730352</v>
      </c>
      <c r="C2721" t="s">
        <v>40</v>
      </c>
      <c r="D2721">
        <v>4.57463</v>
      </c>
      <c r="E2721">
        <v>0.43915470000000001</v>
      </c>
      <c r="F2721" t="s">
        <v>50</v>
      </c>
      <c r="G2721">
        <v>-471.60849999999999</v>
      </c>
      <c r="H2721" s="1">
        <v>5.2347809999999999E-6</v>
      </c>
      <c r="I2721">
        <v>214.3793</v>
      </c>
      <c r="J2721">
        <v>-480.92439999999999</v>
      </c>
      <c r="K2721">
        <v>1.1134120000000001</v>
      </c>
      <c r="L2721">
        <v>220.31899999999999</v>
      </c>
      <c r="M2721">
        <v>0.61006879999999997</v>
      </c>
      <c r="N2721">
        <v>0</v>
      </c>
      <c r="O2721">
        <v>-0.79224939999999999</v>
      </c>
      <c r="P2721">
        <v>0.74396700000000004</v>
      </c>
      <c r="Q2721">
        <v>-2.0351890000000001E-2</v>
      </c>
      <c r="R2721">
        <v>-0.66790629999999995</v>
      </c>
      <c r="S2721">
        <v>2.5434269999999999</v>
      </c>
      <c r="T2721">
        <v>-0.297821</v>
      </c>
      <c r="U2721">
        <v>-1.6538999999999999</v>
      </c>
      <c r="V2721">
        <v>-0.1818699</v>
      </c>
      <c r="W2721">
        <v>-9.7308870000000006E-3</v>
      </c>
      <c r="X2721">
        <v>0.98327450000000005</v>
      </c>
      <c r="Y2721">
        <v>-0.32766060000000002</v>
      </c>
      <c r="Z2721">
        <v>8.7551470000000006E-2</v>
      </c>
      <c r="AA2721">
        <v>0.94073019999999996</v>
      </c>
      <c r="AB2721">
        <v>31</v>
      </c>
      <c r="AC2721">
        <v>9.3158999999999992</v>
      </c>
      <c r="AD2721">
        <v>-1.1134067652190001</v>
      </c>
      <c r="AE2721">
        <v>-5.93970000000001</v>
      </c>
      <c r="AF2721">
        <v>-3.7194118909653802</v>
      </c>
      <c r="AG2721">
        <v>-1.1134067652190001</v>
      </c>
      <c r="AH2721">
        <v>10.285422663455</v>
      </c>
      <c r="AI2721">
        <v>95.812646499719804</v>
      </c>
      <c r="AJ2721">
        <v>109.880990767843</v>
      </c>
      <c r="AK2721">
        <v>10.993799107015001</v>
      </c>
      <c r="AL2721">
        <v>90.557547529362097</v>
      </c>
      <c r="AM2721">
        <v>100.479196436489</v>
      </c>
      <c r="AN2721">
        <v>1.00000004651903</v>
      </c>
    </row>
    <row r="2722" spans="1:40" x14ac:dyDescent="0.25">
      <c r="A2722" t="str">
        <f>"20190312151550764"</f>
        <v>20190312151550764</v>
      </c>
      <c r="B2722" t="str">
        <f>"1552374950760608"</f>
        <v>1552374950760608</v>
      </c>
      <c r="C2722" t="s">
        <v>40</v>
      </c>
      <c r="D2722">
        <v>4.6178939999999997</v>
      </c>
      <c r="E2722">
        <v>0.43837510000000002</v>
      </c>
      <c r="F2722" t="s">
        <v>50</v>
      </c>
      <c r="G2722">
        <v>-471.44630000000001</v>
      </c>
      <c r="H2722" s="1">
        <v>5.3012719999999996E-6</v>
      </c>
      <c r="I2722">
        <v>214.25450000000001</v>
      </c>
      <c r="J2722">
        <v>-480.72660000000002</v>
      </c>
      <c r="K2722">
        <v>1.1135900000000001</v>
      </c>
      <c r="L2722">
        <v>220.07130000000001</v>
      </c>
      <c r="M2722">
        <v>0.61430560000000001</v>
      </c>
      <c r="N2722">
        <v>0</v>
      </c>
      <c r="O2722">
        <v>-0.78896840000000001</v>
      </c>
      <c r="P2722">
        <v>0.74953549999999902</v>
      </c>
      <c r="Q2722">
        <v>-2.0801460000000001E-2</v>
      </c>
      <c r="R2722">
        <v>-0.66163799999999995</v>
      </c>
      <c r="S2722">
        <v>2.556</v>
      </c>
      <c r="T2722">
        <v>-0.30025639999999998</v>
      </c>
      <c r="U2722">
        <v>-1.6354519999999999</v>
      </c>
      <c r="V2722">
        <v>-0.184835</v>
      </c>
      <c r="W2722">
        <v>-1.026847E-2</v>
      </c>
      <c r="X2722">
        <v>0.98271589999999998</v>
      </c>
      <c r="Y2722">
        <v>-0.32946360000000002</v>
      </c>
      <c r="Z2722">
        <v>8.8053699999999999E-2</v>
      </c>
      <c r="AA2722">
        <v>0.94005329999999998</v>
      </c>
      <c r="AB2722">
        <v>31</v>
      </c>
      <c r="AC2722">
        <v>9.2803000000000093</v>
      </c>
      <c r="AD2722">
        <v>-1.11358469872799</v>
      </c>
      <c r="AE2722">
        <v>-5.8167999999999997</v>
      </c>
      <c r="AF2722">
        <v>-3.7105086728970802</v>
      </c>
      <c r="AG2722">
        <v>-1.11358469872799</v>
      </c>
      <c r="AH2722">
        <v>10.185727668871101</v>
      </c>
      <c r="AI2722">
        <v>95.865094635200194</v>
      </c>
      <c r="AJ2722">
        <v>110.01592778776801</v>
      </c>
      <c r="AK2722">
        <v>10.897568244213501</v>
      </c>
      <c r="AL2722">
        <v>90.588350344903205</v>
      </c>
      <c r="AM2722">
        <v>100.65208107599101</v>
      </c>
      <c r="AN2722">
        <v>0.99999997940697505</v>
      </c>
    </row>
    <row r="2723" spans="1:40" x14ac:dyDescent="0.25">
      <c r="A2723" t="str">
        <f>"20190312151550787"</f>
        <v>20190312151550787</v>
      </c>
      <c r="B2723" t="str">
        <f>"1552374950780129"</f>
        <v>1552374950780129</v>
      </c>
      <c r="C2723" t="s">
        <v>40</v>
      </c>
      <c r="D2723">
        <v>4.6521919999999897</v>
      </c>
      <c r="E2723">
        <v>0.4382337</v>
      </c>
      <c r="F2723" t="s">
        <v>50</v>
      </c>
      <c r="G2723">
        <v>-471.6583</v>
      </c>
      <c r="H2723" s="1">
        <v>5.213524E-6</v>
      </c>
      <c r="I2723">
        <v>214.39869999999999</v>
      </c>
      <c r="J2723">
        <v>-480.52760000000001</v>
      </c>
      <c r="K2723">
        <v>1.1137969999999999</v>
      </c>
      <c r="L2723">
        <v>219.82490000000001</v>
      </c>
      <c r="M2723">
        <v>0.61874839999999998</v>
      </c>
      <c r="N2723">
        <v>0</v>
      </c>
      <c r="O2723">
        <v>-0.78548850000000003</v>
      </c>
      <c r="P2723">
        <v>0.75444919999999904</v>
      </c>
      <c r="Q2723">
        <v>-2.203811E-2</v>
      </c>
      <c r="R2723">
        <v>-0.65598880000000004</v>
      </c>
      <c r="S2723">
        <v>2.5729060000000001</v>
      </c>
      <c r="T2723">
        <v>-0.31595289999999998</v>
      </c>
      <c r="U2723">
        <v>-1.609467</v>
      </c>
      <c r="V2723">
        <v>-0.1866244</v>
      </c>
      <c r="W2723">
        <v>-1.1586290000000001E-2</v>
      </c>
      <c r="X2723">
        <v>0.98236299999999999</v>
      </c>
      <c r="Y2723">
        <v>-0.33330749999999998</v>
      </c>
      <c r="Z2723">
        <v>9.2462749999999996E-2</v>
      </c>
      <c r="AA2723">
        <v>0.93827329999999998</v>
      </c>
      <c r="AB2723">
        <v>31</v>
      </c>
      <c r="AC2723">
        <v>8.8693000000000097</v>
      </c>
      <c r="AD2723">
        <v>-1.1137917864760001</v>
      </c>
      <c r="AE2723">
        <v>-5.4262000000000201</v>
      </c>
      <c r="AF2723">
        <v>-3.5686165838388502</v>
      </c>
      <c r="AG2723">
        <v>-1.1137917864760001</v>
      </c>
      <c r="AH2723">
        <v>9.6402334621274992</v>
      </c>
      <c r="AI2723">
        <v>96.183888690117499</v>
      </c>
      <c r="AJ2723">
        <v>110.313518207974</v>
      </c>
      <c r="AK2723">
        <v>10.3397126493144</v>
      </c>
      <c r="AL2723">
        <v>90.663860379891503</v>
      </c>
      <c r="AM2723">
        <v>100.75658398033499</v>
      </c>
      <c r="AN2723">
        <v>0.99999998628016196</v>
      </c>
    </row>
    <row r="2724" spans="1:40" x14ac:dyDescent="0.25">
      <c r="A2724" t="str">
        <f>"20190312151550810"</f>
        <v>20190312151550810</v>
      </c>
      <c r="B2724" t="str">
        <f>"1552374950800625"</f>
        <v>1552374950800625</v>
      </c>
      <c r="C2724" t="s">
        <v>40</v>
      </c>
      <c r="D2724">
        <v>4.5171029999999996</v>
      </c>
      <c r="E2724">
        <v>0.43795260000000003</v>
      </c>
      <c r="F2724" t="s">
        <v>50</v>
      </c>
      <c r="G2724">
        <v>-471.48020000000002</v>
      </c>
      <c r="H2724" s="1">
        <v>5.2866889999999996E-6</v>
      </c>
      <c r="I2724">
        <v>214.2655</v>
      </c>
      <c r="J2724">
        <v>-480.33449999999999</v>
      </c>
      <c r="K2724">
        <v>1.114028</v>
      </c>
      <c r="L2724">
        <v>219.58920000000001</v>
      </c>
      <c r="M2724">
        <v>0.6232356</v>
      </c>
      <c r="N2724">
        <v>0</v>
      </c>
      <c r="O2724">
        <v>-0.78193219999999997</v>
      </c>
      <c r="P2724">
        <v>0.75936009999999998</v>
      </c>
      <c r="Q2724">
        <v>-2.2723610000000002E-2</v>
      </c>
      <c r="R2724">
        <v>-0.65027419999999903</v>
      </c>
      <c r="S2724">
        <v>2.5856020000000002</v>
      </c>
      <c r="T2724">
        <v>-0.31830510000000001</v>
      </c>
      <c r="U2724">
        <v>-1.5887910000000001</v>
      </c>
      <c r="V2724">
        <v>-0.188386</v>
      </c>
      <c r="W2724">
        <v>-1.2361810000000001E-2</v>
      </c>
      <c r="X2724">
        <v>0.98201729999999998</v>
      </c>
      <c r="Y2724">
        <v>-0.33535470000000001</v>
      </c>
      <c r="Z2724">
        <v>9.2932459999999995E-2</v>
      </c>
      <c r="AA2724">
        <v>0.93749709999999997</v>
      </c>
      <c r="AB2724">
        <v>31</v>
      </c>
      <c r="AC2724">
        <v>8.8542999999999594</v>
      </c>
      <c r="AD2724">
        <v>-1.1140227133109999</v>
      </c>
      <c r="AE2724">
        <v>-5.3236999999999997</v>
      </c>
      <c r="AF2724">
        <v>-3.56438801638518</v>
      </c>
      <c r="AG2724">
        <v>-1.1140227133109999</v>
      </c>
      <c r="AH2724">
        <v>9.5705841876200104</v>
      </c>
      <c r="AI2724">
        <v>96.225279598287401</v>
      </c>
      <c r="AJ2724">
        <v>110.426920931952</v>
      </c>
      <c r="AK2724">
        <v>10.2733631411259</v>
      </c>
      <c r="AL2724">
        <v>90.708297553380902</v>
      </c>
      <c r="AM2724">
        <v>100.859447397701</v>
      </c>
      <c r="AN2724">
        <v>1.00000003842088</v>
      </c>
    </row>
    <row r="2725" spans="1:40" x14ac:dyDescent="0.25">
      <c r="A2725" t="str">
        <f>"20190312151550831"</f>
        <v>20190312151550831</v>
      </c>
      <c r="B2725" t="str">
        <f>"1552374950821121"</f>
        <v>1552374950821121</v>
      </c>
      <c r="C2725" t="s">
        <v>40</v>
      </c>
      <c r="D2725">
        <v>4.6011709999999999</v>
      </c>
      <c r="E2725">
        <v>0.43771729999999998</v>
      </c>
      <c r="F2725" t="s">
        <v>50</v>
      </c>
      <c r="G2725">
        <v>-471.47590000000002</v>
      </c>
      <c r="H2725" s="1">
        <v>5.287809E-6</v>
      </c>
      <c r="I2725">
        <v>214.24700000000001</v>
      </c>
      <c r="J2725">
        <v>-480.15010000000001</v>
      </c>
      <c r="K2725">
        <v>1.1142700000000001</v>
      </c>
      <c r="L2725">
        <v>219.36709999999999</v>
      </c>
      <c r="M2725">
        <v>0.62769940000000002</v>
      </c>
      <c r="N2725">
        <v>0</v>
      </c>
      <c r="O2725">
        <v>-0.77835279999999996</v>
      </c>
      <c r="P2725">
        <v>0.76436280000000001</v>
      </c>
      <c r="Q2725">
        <v>-2.2435920000000002E-2</v>
      </c>
      <c r="R2725">
        <v>-0.64439599999999997</v>
      </c>
      <c r="S2725">
        <v>2.5988769999999999</v>
      </c>
      <c r="T2725">
        <v>-0.32682250000000002</v>
      </c>
      <c r="U2725">
        <v>-1.567245</v>
      </c>
      <c r="V2725">
        <v>-0.19034519999999999</v>
      </c>
      <c r="W2725">
        <v>-1.217418E-2</v>
      </c>
      <c r="X2725">
        <v>0.98164169999999995</v>
      </c>
      <c r="Y2725">
        <v>-0.33754489999999998</v>
      </c>
      <c r="Z2725">
        <v>9.5175679999999999E-2</v>
      </c>
      <c r="AA2725">
        <v>0.93648549999999997</v>
      </c>
      <c r="AB2725">
        <v>31</v>
      </c>
      <c r="AC2725">
        <v>8.6741999999999795</v>
      </c>
      <c r="AD2725">
        <v>-1.1142647121910001</v>
      </c>
      <c r="AE2725">
        <v>-5.1200999999999697</v>
      </c>
      <c r="AF2725">
        <v>-3.4952150629210998</v>
      </c>
      <c r="AG2725">
        <v>-1.1142647121910001</v>
      </c>
      <c r="AH2725">
        <v>9.31677620961025</v>
      </c>
      <c r="AI2725">
        <v>96.389202819588505</v>
      </c>
      <c r="AJ2725">
        <v>110.563722324289</v>
      </c>
      <c r="AK2725">
        <v>10.013013189088699</v>
      </c>
      <c r="AL2725">
        <v>90.697546387759303</v>
      </c>
      <c r="AM2725">
        <v>100.97375406296101</v>
      </c>
      <c r="AN2725">
        <v>0.99999996650029999</v>
      </c>
    </row>
    <row r="2726" spans="1:40" x14ac:dyDescent="0.25">
      <c r="A2726" t="str">
        <f>"20190312151550854"</f>
        <v>20190312151550854</v>
      </c>
      <c r="B2726" t="str">
        <f>"1552374950850400"</f>
        <v>1552374950850400</v>
      </c>
      <c r="C2726" t="s">
        <v>40</v>
      </c>
      <c r="D2726">
        <v>4.5403140000000004</v>
      </c>
      <c r="E2726">
        <v>0.4376022</v>
      </c>
      <c r="F2726" t="s">
        <v>50</v>
      </c>
      <c r="G2726">
        <v>-471.45729999999998</v>
      </c>
      <c r="H2726" s="1">
        <v>5.2950659999999998E-6</v>
      </c>
      <c r="I2726">
        <v>214.2242</v>
      </c>
      <c r="J2726">
        <v>-479.95949999999999</v>
      </c>
      <c r="K2726">
        <v>1.114536</v>
      </c>
      <c r="L2726">
        <v>219.14060000000001</v>
      </c>
      <c r="M2726">
        <v>0.63251550000000001</v>
      </c>
      <c r="N2726">
        <v>0</v>
      </c>
      <c r="O2726">
        <v>-0.77444369999999996</v>
      </c>
      <c r="P2726">
        <v>0.76945569999999996</v>
      </c>
      <c r="Q2726">
        <v>-2.257236E-2</v>
      </c>
      <c r="R2726">
        <v>-0.63830169999999997</v>
      </c>
      <c r="S2726">
        <v>2.6121829999999999</v>
      </c>
      <c r="T2726">
        <v>-0.33483269999999998</v>
      </c>
      <c r="U2726">
        <v>-1.545425</v>
      </c>
      <c r="V2726">
        <v>-0.19204350000000001</v>
      </c>
      <c r="W2726">
        <v>-1.24201E-2</v>
      </c>
      <c r="X2726">
        <v>0.98130779999999995</v>
      </c>
      <c r="Y2726">
        <v>-0.33936690000000003</v>
      </c>
      <c r="Z2726">
        <v>9.7214770000000006E-2</v>
      </c>
      <c r="AA2726">
        <v>0.93561709999999998</v>
      </c>
      <c r="AB2726">
        <v>30</v>
      </c>
      <c r="AC2726">
        <v>8.5022000000000109</v>
      </c>
      <c r="AD2726">
        <v>-1.1145307049340001</v>
      </c>
      <c r="AE2726">
        <v>-4.9164000000000003</v>
      </c>
      <c r="AF2726">
        <v>-3.4308735996309001</v>
      </c>
      <c r="AG2726">
        <v>-1.1145307049340001</v>
      </c>
      <c r="AH2726">
        <v>9.0691963073055106</v>
      </c>
      <c r="AI2726">
        <v>96.556921952854793</v>
      </c>
      <c r="AJ2726">
        <v>110.721611844598</v>
      </c>
      <c r="AK2726">
        <v>9.7602968197349895</v>
      </c>
      <c r="AL2726">
        <v>90.711637621125007</v>
      </c>
      <c r="AM2726">
        <v>101.072929682234</v>
      </c>
      <c r="AN2726">
        <v>0.99999998155854997</v>
      </c>
    </row>
    <row r="2727" spans="1:40" x14ac:dyDescent="0.25">
      <c r="A2727" t="str">
        <f>"20190312151550875"</f>
        <v>20190312151550875</v>
      </c>
      <c r="B2727" t="str">
        <f>"1552374950869921"</f>
        <v>1552374950869921</v>
      </c>
      <c r="C2727" t="s">
        <v>40</v>
      </c>
      <c r="D2727">
        <v>4.5634969999999999</v>
      </c>
      <c r="E2727">
        <v>0.43793149999999997</v>
      </c>
      <c r="F2727" t="s">
        <v>50</v>
      </c>
      <c r="G2727">
        <v>-471.43520000000001</v>
      </c>
      <c r="H2727" s="1">
        <v>5.3034069999999999E-6</v>
      </c>
      <c r="I2727">
        <v>214.191</v>
      </c>
      <c r="J2727">
        <v>-479.76459999999997</v>
      </c>
      <c r="K2727">
        <v>1.1148180000000001</v>
      </c>
      <c r="L2727">
        <v>218.9128</v>
      </c>
      <c r="M2727">
        <v>0.63765959999999999</v>
      </c>
      <c r="N2727">
        <v>0</v>
      </c>
      <c r="O2727">
        <v>-0.77021280000000003</v>
      </c>
      <c r="P2727">
        <v>0.77483369999999996</v>
      </c>
      <c r="Q2727">
        <v>-2.3034539999999999E-2</v>
      </c>
      <c r="R2727">
        <v>-0.63174560000000002</v>
      </c>
      <c r="S2727">
        <v>2.6245729999999998</v>
      </c>
      <c r="T2727">
        <v>-0.34315669999999998</v>
      </c>
      <c r="U2727">
        <v>-1.523941</v>
      </c>
      <c r="V2727">
        <v>-0.19381380000000001</v>
      </c>
      <c r="W2727">
        <v>-1.3000279999999999E-2</v>
      </c>
      <c r="X2727">
        <v>0.98095220000000005</v>
      </c>
      <c r="Y2727">
        <v>-0.34051019999999999</v>
      </c>
      <c r="Z2727">
        <v>9.9287769999999997E-2</v>
      </c>
      <c r="AA2727">
        <v>0.93498380000000003</v>
      </c>
      <c r="AB2727">
        <v>30</v>
      </c>
      <c r="AC2727">
        <v>8.3293999999999606</v>
      </c>
      <c r="AD2727">
        <v>-1.1148126965930001</v>
      </c>
      <c r="AE2727">
        <v>-4.7218000000000302</v>
      </c>
      <c r="AF2727">
        <v>-3.3592454915860999</v>
      </c>
      <c r="AG2727">
        <v>-1.1148126965930001</v>
      </c>
      <c r="AH2727">
        <v>8.8291450084809693</v>
      </c>
      <c r="AI2727">
        <v>96.730460282050402</v>
      </c>
      <c r="AJ2727">
        <v>110.830435750303</v>
      </c>
      <c r="AK2727">
        <v>9.5121574420323203</v>
      </c>
      <c r="AL2727">
        <v>90.744882153644298</v>
      </c>
      <c r="AM2727">
        <v>101.17639398513001</v>
      </c>
      <c r="AN2727">
        <v>1.00000000751767</v>
      </c>
    </row>
    <row r="2728" spans="1:40" x14ac:dyDescent="0.25">
      <c r="A2728" t="str">
        <f>"20190312151550897"</f>
        <v>20190312151550897</v>
      </c>
      <c r="B2728" t="str">
        <f>"1552374950890417"</f>
        <v>1552374950890417</v>
      </c>
      <c r="C2728" t="s">
        <v>40</v>
      </c>
      <c r="D2728">
        <v>4.5970250000000004</v>
      </c>
      <c r="E2728">
        <v>0.43813220000000003</v>
      </c>
      <c r="F2728" t="s">
        <v>50</v>
      </c>
      <c r="G2728">
        <v>-471.14109999999999</v>
      </c>
      <c r="H2728" s="1">
        <v>5.4250889999999999E-6</v>
      </c>
      <c r="I2728">
        <v>213.99119999999999</v>
      </c>
      <c r="J2728">
        <v>-479.5727</v>
      </c>
      <c r="K2728">
        <v>1.1150739999999999</v>
      </c>
      <c r="L2728">
        <v>218.6919</v>
      </c>
      <c r="M2728">
        <v>0.64288459999999903</v>
      </c>
      <c r="N2728">
        <v>0</v>
      </c>
      <c r="O2728">
        <v>-0.76585630000000005</v>
      </c>
      <c r="P2728">
        <v>0.78027150000000001</v>
      </c>
      <c r="Q2728">
        <v>-2.40713E-2</v>
      </c>
      <c r="R2728">
        <v>-0.62497749999999996</v>
      </c>
      <c r="S2728">
        <v>2.6353759999999999</v>
      </c>
      <c r="T2728">
        <v>-0.34068910000000002</v>
      </c>
      <c r="U2728">
        <v>-1.504059</v>
      </c>
      <c r="V2728">
        <v>-0.19563179999999999</v>
      </c>
      <c r="W2728">
        <v>-1.414845E-2</v>
      </c>
      <c r="X2728">
        <v>0.98057530000000004</v>
      </c>
      <c r="Y2728">
        <v>-0.34118330000000002</v>
      </c>
      <c r="Z2728">
        <v>9.824281E-2</v>
      </c>
      <c r="AA2728">
        <v>0.93484880000000004</v>
      </c>
      <c r="AB2728">
        <v>30</v>
      </c>
      <c r="AC2728">
        <v>8.4315999999999995</v>
      </c>
      <c r="AD2728">
        <v>-1.1150685749110001</v>
      </c>
      <c r="AE2728">
        <v>-4.7007000000000101</v>
      </c>
      <c r="AF2728">
        <v>-3.3904300396877298</v>
      </c>
      <c r="AG2728">
        <v>-1.1150685749110001</v>
      </c>
      <c r="AH2728">
        <v>8.9025606547764191</v>
      </c>
      <c r="AI2728">
        <v>96.676174817681698</v>
      </c>
      <c r="AJ2728">
        <v>110.848715967277</v>
      </c>
      <c r="AK2728">
        <v>9.5913492269202791</v>
      </c>
      <c r="AL2728">
        <v>90.810673560804204</v>
      </c>
      <c r="AM2728">
        <v>101.282778692261</v>
      </c>
      <c r="AN2728">
        <v>0.99999994938936398</v>
      </c>
    </row>
    <row r="2729" spans="1:40" x14ac:dyDescent="0.25">
      <c r="A2729" t="str">
        <f>"20190312151550919"</f>
        <v>20190312151550919</v>
      </c>
      <c r="B2729" t="str">
        <f>"1552374950909936"</f>
        <v>1552374950909936</v>
      </c>
      <c r="C2729" t="s">
        <v>40</v>
      </c>
      <c r="D2729">
        <v>4.6461730000000001</v>
      </c>
      <c r="E2729">
        <v>0.43814049999999999</v>
      </c>
      <c r="F2729" t="s">
        <v>50</v>
      </c>
      <c r="G2729">
        <v>-471.0367</v>
      </c>
      <c r="H2729" s="1">
        <v>5.4678560000000003E-6</v>
      </c>
      <c r="I2729">
        <v>213.91059999999999</v>
      </c>
      <c r="J2729">
        <v>-479.37819999999999</v>
      </c>
      <c r="K2729">
        <v>1.115324</v>
      </c>
      <c r="L2729">
        <v>218.47149999999999</v>
      </c>
      <c r="M2729">
        <v>0.64834709999999995</v>
      </c>
      <c r="N2729">
        <v>0</v>
      </c>
      <c r="O2729">
        <v>-0.76123699999999905</v>
      </c>
      <c r="P2729">
        <v>0.78623189999999998</v>
      </c>
      <c r="Q2729">
        <v>-2.4365560000000001E-2</v>
      </c>
      <c r="R2729">
        <v>-0.61745139999999998</v>
      </c>
      <c r="S2729">
        <v>2.6467290000000001</v>
      </c>
      <c r="T2729">
        <v>-0.345746</v>
      </c>
      <c r="U2729">
        <v>-1.482529</v>
      </c>
      <c r="V2729">
        <v>-0.198018</v>
      </c>
      <c r="W2729">
        <v>-1.4563929999999999E-2</v>
      </c>
      <c r="X2729">
        <v>0.98009020000000002</v>
      </c>
      <c r="Y2729">
        <v>-0.34181980000000001</v>
      </c>
      <c r="Z2729">
        <v>9.9324200000000001E-2</v>
      </c>
      <c r="AA2729">
        <v>0.9345019</v>
      </c>
      <c r="AB2729">
        <v>30</v>
      </c>
      <c r="AC2729">
        <v>8.3414999999999893</v>
      </c>
      <c r="AD2729">
        <v>-1.115318532144</v>
      </c>
      <c r="AE2729">
        <v>-4.5609000000000002</v>
      </c>
      <c r="AF2729">
        <v>-3.3470256569877099</v>
      </c>
      <c r="AG2729">
        <v>-1.115318532144</v>
      </c>
      <c r="AH2729">
        <v>8.7602747577405005</v>
      </c>
      <c r="AI2729">
        <v>96.782359540103599</v>
      </c>
      <c r="AJ2729">
        <v>110.91028533138601</v>
      </c>
      <c r="AK2729">
        <v>9.4439890940101794</v>
      </c>
      <c r="AL2729">
        <v>90.8344812086914</v>
      </c>
      <c r="AM2729">
        <v>101.422308483622</v>
      </c>
      <c r="AN2729">
        <v>1.00000001825854</v>
      </c>
    </row>
    <row r="2730" spans="1:40" x14ac:dyDescent="0.25">
      <c r="A2730" t="str">
        <f>"20190312151550943"</f>
        <v>20190312151550943</v>
      </c>
      <c r="B2730" t="str">
        <f>"1552374950940193"</f>
        <v>1552374950940193</v>
      </c>
      <c r="C2730" t="s">
        <v>40</v>
      </c>
      <c r="D2730">
        <v>4.6578929999999996</v>
      </c>
      <c r="E2730">
        <v>0.43845079999999997</v>
      </c>
      <c r="F2730" t="s">
        <v>50</v>
      </c>
      <c r="G2730">
        <v>-470.9717</v>
      </c>
      <c r="H2730" s="1">
        <v>5.494827E-6</v>
      </c>
      <c r="I2730">
        <v>213.86840000000001</v>
      </c>
      <c r="J2730">
        <v>-479.16379999999998</v>
      </c>
      <c r="K2730">
        <v>1.1156109999999999</v>
      </c>
      <c r="L2730">
        <v>218.23269999999999</v>
      </c>
      <c r="M2730">
        <v>0.65458570000000005</v>
      </c>
      <c r="N2730">
        <v>0</v>
      </c>
      <c r="O2730">
        <v>-0.7558783</v>
      </c>
      <c r="P2730">
        <v>0.79304169999999996</v>
      </c>
      <c r="Q2730">
        <v>-2.4037579999999999E-2</v>
      </c>
      <c r="R2730">
        <v>-0.60869309999999999</v>
      </c>
      <c r="S2730">
        <v>2.6606139999999998</v>
      </c>
      <c r="T2730">
        <v>-0.35299269999999999</v>
      </c>
      <c r="U2730">
        <v>-1.4568479999999999</v>
      </c>
      <c r="V2730">
        <v>-0.20082829999999999</v>
      </c>
      <c r="W2730">
        <v>-1.437949E-2</v>
      </c>
      <c r="X2730">
        <v>0.97952090000000003</v>
      </c>
      <c r="Y2730">
        <v>-0.34288069999999998</v>
      </c>
      <c r="Z2730">
        <v>0.1009501</v>
      </c>
      <c r="AA2730">
        <v>0.93393890000000002</v>
      </c>
      <c r="AB2730">
        <v>30</v>
      </c>
      <c r="AC2730">
        <v>8.1920999999999804</v>
      </c>
      <c r="AD2730">
        <v>-1.1156055051730001</v>
      </c>
      <c r="AE2730">
        <v>-4.3642999999999796</v>
      </c>
      <c r="AF2730">
        <v>-3.2881992465407701</v>
      </c>
      <c r="AG2730">
        <v>-1.1156055051730001</v>
      </c>
      <c r="AH2730">
        <v>8.5386840843258103</v>
      </c>
      <c r="AI2730">
        <v>96.951472373783503</v>
      </c>
      <c r="AJ2730">
        <v>111.061414909913</v>
      </c>
      <c r="AK2730">
        <v>9.2176979674994008</v>
      </c>
      <c r="AL2730">
        <v>90.823912496201999</v>
      </c>
      <c r="AM2730">
        <v>101.58661465444401</v>
      </c>
      <c r="AN2730">
        <v>0.99999998467517903</v>
      </c>
    </row>
    <row r="2731" spans="1:40" x14ac:dyDescent="0.25">
      <c r="A2731" t="str">
        <f>"20190312151550965"</f>
        <v>20190312151550965</v>
      </c>
      <c r="B2731" t="str">
        <f>"1552374950960689"</f>
        <v>1552374950960689</v>
      </c>
      <c r="C2731" t="s">
        <v>40</v>
      </c>
      <c r="D2731">
        <v>4.6032279999999997</v>
      </c>
      <c r="E2731">
        <v>0.43883</v>
      </c>
      <c r="F2731" t="s">
        <v>50</v>
      </c>
      <c r="G2731">
        <v>-470.82619999999997</v>
      </c>
      <c r="H2731" s="1">
        <v>5.5552869999999901E-6</v>
      </c>
      <c r="I2731">
        <v>213.77549999999999</v>
      </c>
      <c r="J2731">
        <v>-478.95729999999998</v>
      </c>
      <c r="K2731">
        <v>1.1159110000000001</v>
      </c>
      <c r="L2731">
        <v>218.00700000000001</v>
      </c>
      <c r="M2731">
        <v>0.66080169999999905</v>
      </c>
      <c r="N2731">
        <v>0</v>
      </c>
      <c r="O2731">
        <v>-0.75044940000000004</v>
      </c>
      <c r="P2731">
        <v>0.79965069999999905</v>
      </c>
      <c r="Q2731">
        <v>-2.3541409999999999E-2</v>
      </c>
      <c r="R2731">
        <v>-0.60000399999999998</v>
      </c>
      <c r="S2731">
        <v>2.674652</v>
      </c>
      <c r="T2731">
        <v>-0.35788300000000001</v>
      </c>
      <c r="U2731">
        <v>-1.42984</v>
      </c>
      <c r="V2731">
        <v>-0.2034386</v>
      </c>
      <c r="W2731">
        <v>-1.403047E-2</v>
      </c>
      <c r="X2731">
        <v>0.97898719999999995</v>
      </c>
      <c r="Y2731">
        <v>-0.34436719999999998</v>
      </c>
      <c r="Z2731">
        <v>0.1019104</v>
      </c>
      <c r="AA2731">
        <v>0.93328739999999999</v>
      </c>
      <c r="AB2731">
        <v>30</v>
      </c>
      <c r="AC2731">
        <v>8.1311</v>
      </c>
      <c r="AD2731">
        <v>-1.1159054447129999</v>
      </c>
      <c r="AE2731">
        <v>-4.2315000000000103</v>
      </c>
      <c r="AF2731">
        <v>-3.2577895972672199</v>
      </c>
      <c r="AG2731">
        <v>-1.1159054447129999</v>
      </c>
      <c r="AH2731">
        <v>8.4244280925080908</v>
      </c>
      <c r="AI2731">
        <v>97.042906716141303</v>
      </c>
      <c r="AJ2731">
        <v>111.141860479493</v>
      </c>
      <c r="AK2731">
        <v>9.1010673389137295</v>
      </c>
      <c r="AL2731">
        <v>90.803913070213099</v>
      </c>
      <c r="AM2731">
        <v>101.739283059333</v>
      </c>
      <c r="AN2731">
        <v>1.0000000279111001</v>
      </c>
    </row>
    <row r="2732" spans="1:40" x14ac:dyDescent="0.25">
      <c r="A2732" t="str">
        <f>"20190312151550989"</f>
        <v>20190312151550989</v>
      </c>
      <c r="B2732" t="str">
        <f>"1552374950980209"</f>
        <v>1552374950980209</v>
      </c>
      <c r="C2732" t="s">
        <v>40</v>
      </c>
      <c r="D2732">
        <v>4.6870289999999999</v>
      </c>
      <c r="E2732">
        <v>0.43903209999999998</v>
      </c>
      <c r="F2732" t="s">
        <v>50</v>
      </c>
      <c r="G2732">
        <v>-470.49599999999998</v>
      </c>
      <c r="H2732" s="1">
        <v>5.6936019999999996E-6</v>
      </c>
      <c r="I2732">
        <v>213.58940000000001</v>
      </c>
      <c r="J2732">
        <v>-478.74020000000002</v>
      </c>
      <c r="K2732">
        <v>1.11625</v>
      </c>
      <c r="L2732">
        <v>217.7741</v>
      </c>
      <c r="M2732">
        <v>0.66757040000000001</v>
      </c>
      <c r="N2732">
        <v>0</v>
      </c>
      <c r="O2732">
        <v>-0.74443380000000003</v>
      </c>
      <c r="P2732">
        <v>0.80635059999999903</v>
      </c>
      <c r="Q2732">
        <v>-2.3973870000000001E-2</v>
      </c>
      <c r="R2732">
        <v>-0.59095189999999997</v>
      </c>
      <c r="S2732">
        <v>2.68811</v>
      </c>
      <c r="T2732">
        <v>-0.35451539999999998</v>
      </c>
      <c r="U2732">
        <v>-1.403427</v>
      </c>
      <c r="V2732">
        <v>-0.2055795</v>
      </c>
      <c r="W2732">
        <v>-1.462132E-2</v>
      </c>
      <c r="X2732">
        <v>0.97853120000000005</v>
      </c>
      <c r="Y2732">
        <v>-0.34513539999999998</v>
      </c>
      <c r="Z2732">
        <v>0.1004516</v>
      </c>
      <c r="AA2732">
        <v>0.93316189999999999</v>
      </c>
      <c r="AB2732">
        <v>30</v>
      </c>
      <c r="AC2732">
        <v>8.2442000000000295</v>
      </c>
      <c r="AD2732">
        <v>-1.1162443063980001</v>
      </c>
      <c r="AE2732">
        <v>-4.1846999999999897</v>
      </c>
      <c r="AF2732">
        <v>-3.2959164915694901</v>
      </c>
      <c r="AG2732">
        <v>-1.1162443063980001</v>
      </c>
      <c r="AH2732">
        <v>8.4957005299114901</v>
      </c>
      <c r="AI2732">
        <v>96.9836113156111</v>
      </c>
      <c r="AJ2732">
        <v>111.203818660358</v>
      </c>
      <c r="AK2732">
        <v>9.1807404039600193</v>
      </c>
      <c r="AL2732">
        <v>90.837769769158797</v>
      </c>
      <c r="AM2732">
        <v>101.86471113125</v>
      </c>
      <c r="AN2732">
        <v>1.0000000115961101</v>
      </c>
    </row>
    <row r="2733" spans="1:40" x14ac:dyDescent="0.25">
      <c r="A2733" t="str">
        <f>"20190312151551012"</f>
        <v>20190312151551012</v>
      </c>
      <c r="B2733" t="str">
        <f>"1552374951000705"</f>
        <v>1552374951000705</v>
      </c>
      <c r="C2733" t="s">
        <v>40</v>
      </c>
      <c r="D2733">
        <v>4.6258239999999997</v>
      </c>
      <c r="E2733">
        <v>0.43946299999999999</v>
      </c>
      <c r="F2733" t="s">
        <v>50</v>
      </c>
      <c r="G2733">
        <v>-470.35980000000001</v>
      </c>
      <c r="H2733" s="1">
        <v>5.7506499999999997E-6</v>
      </c>
      <c r="I2733">
        <v>213.51240000000001</v>
      </c>
      <c r="J2733">
        <v>-478.5342</v>
      </c>
      <c r="K2733">
        <v>1.1166100000000001</v>
      </c>
      <c r="L2733">
        <v>217.55770000000001</v>
      </c>
      <c r="M2733">
        <v>0.67422069999999901</v>
      </c>
      <c r="N2733">
        <v>0</v>
      </c>
      <c r="O2733">
        <v>-0.73841509999999999</v>
      </c>
      <c r="P2733">
        <v>0.81279889999999999</v>
      </c>
      <c r="Q2733">
        <v>-2.4746669999999998E-2</v>
      </c>
      <c r="R2733">
        <v>-0.58201859999999905</v>
      </c>
      <c r="S2733">
        <v>2.7026059999999998</v>
      </c>
      <c r="T2733">
        <v>-0.35997709999999999</v>
      </c>
      <c r="U2733">
        <v>-1.374344</v>
      </c>
      <c r="V2733">
        <v>-0.2075564</v>
      </c>
      <c r="W2733">
        <v>-1.5555899999999999E-2</v>
      </c>
      <c r="X2733">
        <v>0.9780993</v>
      </c>
      <c r="Y2733">
        <v>-0.34656920000000002</v>
      </c>
      <c r="Z2733">
        <v>0.10149420000000001</v>
      </c>
      <c r="AA2733">
        <v>0.93251740000000005</v>
      </c>
      <c r="AB2733">
        <v>30</v>
      </c>
      <c r="AC2733">
        <v>8.1743999999999897</v>
      </c>
      <c r="AD2733">
        <v>-1.1166042493499999</v>
      </c>
      <c r="AE2733">
        <v>-4.0452999999999903</v>
      </c>
      <c r="AF2733">
        <v>-3.2600927656985301</v>
      </c>
      <c r="AG2733">
        <v>-1.1166042493499999</v>
      </c>
      <c r="AH2733">
        <v>8.3736739361497392</v>
      </c>
      <c r="AI2733">
        <v>97.083358810694193</v>
      </c>
      <c r="AJ2733">
        <v>111.272279372455</v>
      </c>
      <c r="AK2733">
        <v>9.0550220916119102</v>
      </c>
      <c r="AL2733">
        <v>90.891323417828005</v>
      </c>
      <c r="AM2733">
        <v>101.98066121680399</v>
      </c>
      <c r="AN2733">
        <v>0.99999994293312799</v>
      </c>
    </row>
    <row r="2734" spans="1:40" x14ac:dyDescent="0.25">
      <c r="A2734" t="str">
        <f>"20190312151551033"</f>
        <v>20190312151551033</v>
      </c>
      <c r="B2734" t="str">
        <f>"1552374951029985"</f>
        <v>1552374951029985</v>
      </c>
      <c r="C2734" t="s">
        <v>40</v>
      </c>
      <c r="D2734">
        <v>4.6564759999999996</v>
      </c>
      <c r="E2734">
        <v>0.44029210000000002</v>
      </c>
      <c r="F2734" t="s">
        <v>50</v>
      </c>
      <c r="G2734">
        <v>-470.1377</v>
      </c>
      <c r="H2734" s="1">
        <v>5.8438379999999996E-6</v>
      </c>
      <c r="I2734">
        <v>213.3913</v>
      </c>
      <c r="J2734">
        <v>-478.33170000000001</v>
      </c>
      <c r="K2734">
        <v>1.116981</v>
      </c>
      <c r="L2734">
        <v>217.3493</v>
      </c>
      <c r="M2734">
        <v>0.68098919999999996</v>
      </c>
      <c r="N2734">
        <v>0</v>
      </c>
      <c r="O2734">
        <v>-0.73217670000000001</v>
      </c>
      <c r="P2734">
        <v>0.8190364</v>
      </c>
      <c r="Q2734">
        <v>-2.5704910000000001E-2</v>
      </c>
      <c r="R2734">
        <v>-0.57316590000000001</v>
      </c>
      <c r="S2734">
        <v>2.715179</v>
      </c>
      <c r="T2734">
        <v>-0.36107420000000001</v>
      </c>
      <c r="U2734">
        <v>-1.347275</v>
      </c>
      <c r="V2734">
        <v>-0.20911160000000001</v>
      </c>
      <c r="W2734">
        <v>-1.6673819999999999E-2</v>
      </c>
      <c r="X2734">
        <v>0.9777496</v>
      </c>
      <c r="Y2734">
        <v>-0.34711320000000001</v>
      </c>
      <c r="Z2734">
        <v>0.1012629</v>
      </c>
      <c r="AA2734">
        <v>0.93234019999999995</v>
      </c>
      <c r="AB2734">
        <v>30</v>
      </c>
      <c r="AC2734">
        <v>8.1940000000000097</v>
      </c>
      <c r="AD2734">
        <v>-1.116975156162</v>
      </c>
      <c r="AE2734">
        <v>-3.95799999999999</v>
      </c>
      <c r="AF2734">
        <v>-3.2553360042924</v>
      </c>
      <c r="AG2734">
        <v>-1.116975156162</v>
      </c>
      <c r="AH2734">
        <v>8.3528559011156798</v>
      </c>
      <c r="AI2734">
        <v>97.102214382931507</v>
      </c>
      <c r="AJ2734">
        <v>111.292220716746</v>
      </c>
      <c r="AK2734">
        <v>9.0341046985923601</v>
      </c>
      <c r="AL2734">
        <v>90.955383806702102</v>
      </c>
      <c r="AM2734">
        <v>102.07199858367299</v>
      </c>
      <c r="AN2734">
        <v>0.99999997891405501</v>
      </c>
    </row>
    <row r="2735" spans="1:40" x14ac:dyDescent="0.25">
      <c r="A2735" t="str">
        <f>"20190312151551054"</f>
        <v>20190312151551054</v>
      </c>
      <c r="B2735" t="str">
        <f>"1552374951050481"</f>
        <v>1552374951050481</v>
      </c>
      <c r="C2735" t="s">
        <v>40</v>
      </c>
      <c r="D2735">
        <v>4.6424200000000004</v>
      </c>
      <c r="E2735">
        <v>0.44074839999999998</v>
      </c>
      <c r="F2735" t="s">
        <v>51</v>
      </c>
      <c r="G2735">
        <v>-469.90800000000002</v>
      </c>
      <c r="H2735" s="1">
        <v>3.7949689999999999E-6</v>
      </c>
      <c r="I2735">
        <v>213.2619</v>
      </c>
      <c r="J2735">
        <v>-478.13350000000003</v>
      </c>
      <c r="K2735">
        <v>1.117343</v>
      </c>
      <c r="L2735">
        <v>217.1499</v>
      </c>
      <c r="M2735">
        <v>0.68783079999999996</v>
      </c>
      <c r="N2735">
        <v>0</v>
      </c>
      <c r="O2735">
        <v>-0.72575199999999995</v>
      </c>
      <c r="P2735">
        <v>0.82555179999999995</v>
      </c>
      <c r="Q2735">
        <v>-2.5018060000000002E-2</v>
      </c>
      <c r="R2735">
        <v>-0.56377189999999999</v>
      </c>
      <c r="S2735">
        <v>2.7258909999999998</v>
      </c>
      <c r="T2735">
        <v>-0.36145369999999999</v>
      </c>
      <c r="U2735">
        <v>-1.3226929999999999</v>
      </c>
      <c r="V2735">
        <v>-0.2111172</v>
      </c>
      <c r="W2735">
        <v>-1.6155329999999999E-2</v>
      </c>
      <c r="X2735">
        <v>0.97732719999999995</v>
      </c>
      <c r="Y2735">
        <v>-0.34658359999999999</v>
      </c>
      <c r="Z2735">
        <v>0.100771</v>
      </c>
      <c r="AA2735">
        <v>0.93259049999999999</v>
      </c>
      <c r="AB2735">
        <v>30</v>
      </c>
      <c r="AC2735">
        <v>8.2255000000000091</v>
      </c>
      <c r="AD2735">
        <v>-1.117339205031</v>
      </c>
      <c r="AE2735">
        <v>-3.8879999999999999</v>
      </c>
      <c r="AF2735">
        <v>-3.2467038241209898</v>
      </c>
      <c r="AG2735">
        <v>-1.117339205031</v>
      </c>
      <c r="AH2735">
        <v>8.3542078204395001</v>
      </c>
      <c r="AI2735">
        <v>97.105973300877395</v>
      </c>
      <c r="AJ2735">
        <v>111.237667641149</v>
      </c>
      <c r="AK2735">
        <v>9.0322932264045601</v>
      </c>
      <c r="AL2735">
        <v>90.925672530341103</v>
      </c>
      <c r="AM2735">
        <v>102.189446758036</v>
      </c>
      <c r="AN2735">
        <v>0.99999996134154301</v>
      </c>
    </row>
    <row r="2736" spans="1:40" x14ac:dyDescent="0.25">
      <c r="A2736" t="str">
        <f>"20190312151551076"</f>
        <v>20190312151551076</v>
      </c>
      <c r="B2736" t="str">
        <f>"1552374951070658"</f>
        <v>1552374951070658</v>
      </c>
      <c r="C2736" t="s">
        <v>40</v>
      </c>
      <c r="D2736">
        <v>4.6514449999999998</v>
      </c>
      <c r="E2736">
        <v>0.44134230000000002</v>
      </c>
      <c r="F2736" t="s">
        <v>51</v>
      </c>
      <c r="G2736">
        <v>-469.61989999999997</v>
      </c>
      <c r="H2736" s="1">
        <v>3.6476640000000001E-6</v>
      </c>
      <c r="I2736">
        <v>213.12479999999999</v>
      </c>
      <c r="J2736">
        <v>-477.91849999999999</v>
      </c>
      <c r="K2736">
        <v>1.11772</v>
      </c>
      <c r="L2736">
        <v>216.93860000000001</v>
      </c>
      <c r="M2736">
        <v>0.69542320000000002</v>
      </c>
      <c r="N2736">
        <v>0</v>
      </c>
      <c r="O2736">
        <v>-0.71847899999999998</v>
      </c>
      <c r="P2736">
        <v>0.83207180000000003</v>
      </c>
      <c r="Q2736">
        <v>-2.4672389999999999E-2</v>
      </c>
      <c r="R2736">
        <v>-0.55411929999999998</v>
      </c>
      <c r="S2736">
        <v>2.7387389999999998</v>
      </c>
      <c r="T2736">
        <v>-0.3594406</v>
      </c>
      <c r="U2736">
        <v>-1.294861</v>
      </c>
      <c r="V2736">
        <v>-0.2122232</v>
      </c>
      <c r="W2736">
        <v>-1.5956149999999999E-2</v>
      </c>
      <c r="X2736">
        <v>0.97709100000000004</v>
      </c>
      <c r="Y2736">
        <v>-0.34627659999999899</v>
      </c>
      <c r="Z2736">
        <v>9.9521170000000006E-2</v>
      </c>
      <c r="AA2736">
        <v>0.93283870000000002</v>
      </c>
      <c r="AB2736">
        <v>30</v>
      </c>
      <c r="AC2736">
        <v>8.29860000000002</v>
      </c>
      <c r="AD2736">
        <v>-1.1177163523360001</v>
      </c>
      <c r="AE2736">
        <v>-3.8138000000000098</v>
      </c>
      <c r="AF2736">
        <v>-3.26160343780063</v>
      </c>
      <c r="AG2736">
        <v>-1.1177163523360001</v>
      </c>
      <c r="AH2736">
        <v>8.3863119783509905</v>
      </c>
      <c r="AI2736">
        <v>97.080728288629999</v>
      </c>
      <c r="AJ2736">
        <v>111.25204782513801</v>
      </c>
      <c r="AK2736">
        <v>9.0673907728731695</v>
      </c>
      <c r="AL2736">
        <v>90.914258800731005</v>
      </c>
      <c r="AM2736">
        <v>102.254252958793</v>
      </c>
      <c r="AN2736">
        <v>1.0000000538110201</v>
      </c>
    </row>
    <row r="2737" spans="1:40" x14ac:dyDescent="0.25">
      <c r="A2737" t="str">
        <f>"20190312151551099"</f>
        <v>20190312151551099</v>
      </c>
      <c r="B2737" t="str">
        <f>"1552374951090178"</f>
        <v>1552374951090178</v>
      </c>
      <c r="C2737" t="s">
        <v>40</v>
      </c>
      <c r="D2737">
        <v>4.6658080000000002</v>
      </c>
      <c r="E2737">
        <v>0.44192720000000002</v>
      </c>
      <c r="F2737" t="s">
        <v>51</v>
      </c>
      <c r="G2737">
        <v>-469.32350000000002</v>
      </c>
      <c r="H2737" s="1">
        <v>3.4961930000000001E-6</v>
      </c>
      <c r="I2737">
        <v>212.98169999999999</v>
      </c>
      <c r="J2737">
        <v>-477.7038</v>
      </c>
      <c r="K2737">
        <v>1.118069</v>
      </c>
      <c r="L2737">
        <v>216.73240000000001</v>
      </c>
      <c r="M2737">
        <v>0.70317069999999904</v>
      </c>
      <c r="N2737">
        <v>0</v>
      </c>
      <c r="O2737">
        <v>-0.71089709999999995</v>
      </c>
      <c r="P2737">
        <v>0.838634199999999</v>
      </c>
      <c r="Q2737">
        <v>-2.419928E-2</v>
      </c>
      <c r="R2737">
        <v>-0.54415769999999997</v>
      </c>
      <c r="S2737">
        <v>2.7513429999999999</v>
      </c>
      <c r="T2737">
        <v>-0.35779319999999998</v>
      </c>
      <c r="U2737">
        <v>-1.2666470000000001</v>
      </c>
      <c r="V2737">
        <v>-0.2132888</v>
      </c>
      <c r="W2737">
        <v>-1.562175E-2</v>
      </c>
      <c r="X2737">
        <v>0.97686430000000002</v>
      </c>
      <c r="Y2737">
        <v>-0.34573199999999998</v>
      </c>
      <c r="Z2737">
        <v>9.8336359999999998E-2</v>
      </c>
      <c r="AA2737">
        <v>0.9331663</v>
      </c>
      <c r="AB2737">
        <v>30</v>
      </c>
      <c r="AC2737">
        <v>8.3802999999999699</v>
      </c>
      <c r="AD2737">
        <v>-1.118065503807</v>
      </c>
      <c r="AE2737">
        <v>-3.7507000000000201</v>
      </c>
      <c r="AF2737">
        <v>-3.2719209121736301</v>
      </c>
      <c r="AG2737">
        <v>-1.118065503807</v>
      </c>
      <c r="AH2737">
        <v>8.4348150374462598</v>
      </c>
      <c r="AI2737">
        <v>97.044983163423097</v>
      </c>
      <c r="AJ2737">
        <v>111.201604657201</v>
      </c>
      <c r="AK2737">
        <v>9.1160101822152395</v>
      </c>
      <c r="AL2737">
        <v>90.895096747233296</v>
      </c>
      <c r="AM2737">
        <v>102.31668077686101</v>
      </c>
      <c r="AN2737">
        <v>1.00000000594649</v>
      </c>
    </row>
    <row r="2738" spans="1:40" x14ac:dyDescent="0.25">
      <c r="A2738" t="str">
        <f>"20190312151551121"</f>
        <v>20190312151551121</v>
      </c>
      <c r="B2738" t="str">
        <f>"1552374951110674"</f>
        <v>1552374951110674</v>
      </c>
      <c r="C2738" t="s">
        <v>40</v>
      </c>
      <c r="D2738">
        <v>4.6916909999999996</v>
      </c>
      <c r="E2738">
        <v>0.44252950000000002</v>
      </c>
      <c r="F2738" t="s">
        <v>51</v>
      </c>
      <c r="G2738">
        <v>-469.00330000000002</v>
      </c>
      <c r="H2738" s="1">
        <v>3.3321299999999998E-6</v>
      </c>
      <c r="I2738">
        <v>212.83590000000001</v>
      </c>
      <c r="J2738">
        <v>-477.4853</v>
      </c>
      <c r="K2738">
        <v>1.1184130000000001</v>
      </c>
      <c r="L2738">
        <v>216.52760000000001</v>
      </c>
      <c r="M2738">
        <v>0.71121690000000004</v>
      </c>
      <c r="N2738">
        <v>0</v>
      </c>
      <c r="O2738">
        <v>-0.70284579999999997</v>
      </c>
      <c r="P2738">
        <v>0.84558330000000004</v>
      </c>
      <c r="Q2738">
        <v>-2.3670940000000001E-2</v>
      </c>
      <c r="R2738">
        <v>-0.53331859999999998</v>
      </c>
      <c r="S2738">
        <v>2.7638850000000001</v>
      </c>
      <c r="T2738">
        <v>-0.35517330000000003</v>
      </c>
      <c r="U2738">
        <v>-1.2377929999999999</v>
      </c>
      <c r="V2738">
        <v>-0.214751</v>
      </c>
      <c r="W2738">
        <v>-1.524123E-2</v>
      </c>
      <c r="X2738">
        <v>0.97654989999999997</v>
      </c>
      <c r="Y2738">
        <v>-0.34489039999999999</v>
      </c>
      <c r="Z2738">
        <v>9.6832459999999995E-2</v>
      </c>
      <c r="AA2738">
        <v>0.93363490000000005</v>
      </c>
      <c r="AB2738">
        <v>30</v>
      </c>
      <c r="AC2738">
        <v>8.4819999999999691</v>
      </c>
      <c r="AD2738">
        <v>-1.11840966787</v>
      </c>
      <c r="AE2738">
        <v>-3.6916999999999902</v>
      </c>
      <c r="AF2738">
        <v>-3.2881721071235601</v>
      </c>
      <c r="AG2738">
        <v>-1.11840966787</v>
      </c>
      <c r="AH2738">
        <v>8.5037061535336296</v>
      </c>
      <c r="AI2738">
        <v>96.993477295514893</v>
      </c>
      <c r="AJ2738">
        <v>111.14024913997601</v>
      </c>
      <c r="AK2738">
        <v>9.1856373941548597</v>
      </c>
      <c r="AL2738">
        <v>90.873291968549793</v>
      </c>
      <c r="AM2738">
        <v>102.40238298900501</v>
      </c>
      <c r="AN2738">
        <v>0.99999999714146104</v>
      </c>
    </row>
    <row r="2739" spans="1:40" x14ac:dyDescent="0.25">
      <c r="A2739" t="str">
        <f>"20190312151551143"</f>
        <v>20190312151551143</v>
      </c>
      <c r="B2739" t="str">
        <f>"1552374951139954"</f>
        <v>1552374951139954</v>
      </c>
      <c r="C2739" t="s">
        <v>40</v>
      </c>
      <c r="D2739">
        <v>5.1354350000000002</v>
      </c>
      <c r="E2739">
        <v>0.44347490000000001</v>
      </c>
      <c r="F2739" t="s">
        <v>51</v>
      </c>
      <c r="G2739">
        <v>-468.6925</v>
      </c>
      <c r="H2739" s="1">
        <v>3.172358E-6</v>
      </c>
      <c r="I2739">
        <v>212.70750000000001</v>
      </c>
      <c r="J2739">
        <v>-477.26900000000001</v>
      </c>
      <c r="K2739">
        <v>1.1187480000000001</v>
      </c>
      <c r="L2739">
        <v>216.33</v>
      </c>
      <c r="M2739">
        <v>0.71932669999999999</v>
      </c>
      <c r="N2739">
        <v>0</v>
      </c>
      <c r="O2739">
        <v>-0.69454209999999905</v>
      </c>
      <c r="P2739">
        <v>0.85233609999999904</v>
      </c>
      <c r="Q2739">
        <v>-2.4318739999999998E-2</v>
      </c>
      <c r="R2739">
        <v>-0.52242860000000002</v>
      </c>
      <c r="S2739">
        <v>2.7769780000000002</v>
      </c>
      <c r="T2739">
        <v>-0.353220599999999</v>
      </c>
      <c r="U2739">
        <v>-1.2064820000000001</v>
      </c>
      <c r="V2739">
        <v>-0.21590210000000001</v>
      </c>
      <c r="W2739">
        <v>-1.6027530000000002E-2</v>
      </c>
      <c r="X2739">
        <v>0.97628340000000002</v>
      </c>
      <c r="Y2739">
        <v>-0.34457979999999999</v>
      </c>
      <c r="Z2739">
        <v>9.5518690000000003E-2</v>
      </c>
      <c r="AA2739">
        <v>0.93388490000000002</v>
      </c>
      <c r="AB2739">
        <v>30</v>
      </c>
      <c r="AC2739">
        <v>8.57650000000001</v>
      </c>
      <c r="AD2739">
        <v>-1.11874482764199</v>
      </c>
      <c r="AE2739">
        <v>-3.6225000000000001</v>
      </c>
      <c r="AF2739">
        <v>-3.3035799144779099</v>
      </c>
      <c r="AG2739">
        <v>-1.11874482764199</v>
      </c>
      <c r="AH2739">
        <v>8.5624312888851204</v>
      </c>
      <c r="AI2739">
        <v>96.950015846773894</v>
      </c>
      <c r="AJ2739">
        <v>111.09774394233099</v>
      </c>
      <c r="AK2739">
        <v>9.2455643320241094</v>
      </c>
      <c r="AL2739">
        <v>90.918349202850393</v>
      </c>
      <c r="AM2739">
        <v>102.470085234537</v>
      </c>
      <c r="AN2739">
        <v>0.99999993780893304</v>
      </c>
    </row>
    <row r="2740" spans="1:40" x14ac:dyDescent="0.25">
      <c r="A2740" t="str">
        <f>"20190312151551165"</f>
        <v>20190312151551165</v>
      </c>
      <c r="B2740" t="str">
        <f>"1552374951160450"</f>
        <v>1552374951160450</v>
      </c>
      <c r="C2740" t="s">
        <v>40</v>
      </c>
      <c r="D2740">
        <v>4.7238530000000001</v>
      </c>
      <c r="E2740">
        <v>0.44373210000000002</v>
      </c>
      <c r="F2740" t="s">
        <v>51</v>
      </c>
      <c r="G2740">
        <v>-468.48630000000003</v>
      </c>
      <c r="H2740" s="1">
        <v>3.0664299999999898E-6</v>
      </c>
      <c r="I2740">
        <v>212.62090000000001</v>
      </c>
      <c r="J2740">
        <v>-477.05239999999998</v>
      </c>
      <c r="K2740">
        <v>1.119095</v>
      </c>
      <c r="L2740">
        <v>216.13720000000001</v>
      </c>
      <c r="M2740">
        <v>0.72756989999999999</v>
      </c>
      <c r="N2740">
        <v>0</v>
      </c>
      <c r="O2740">
        <v>-0.68590050000000002</v>
      </c>
      <c r="P2740">
        <v>0.85895499999999902</v>
      </c>
      <c r="Q2740">
        <v>-2.5714620000000001E-2</v>
      </c>
      <c r="R2740">
        <v>-0.51140549999999996</v>
      </c>
      <c r="S2740">
        <v>2.7879640000000001</v>
      </c>
      <c r="T2740">
        <v>-0.3551337</v>
      </c>
      <c r="U2740">
        <v>-1.177414</v>
      </c>
      <c r="V2740">
        <v>-0.21674560000000001</v>
      </c>
      <c r="W2740">
        <v>-1.7553860000000001E-2</v>
      </c>
      <c r="X2740">
        <v>0.97607029999999995</v>
      </c>
      <c r="Y2740">
        <v>-0.34294639999999998</v>
      </c>
      <c r="Z2740">
        <v>9.5163049999999999E-2</v>
      </c>
      <c r="AA2740">
        <v>0.93452219999999997</v>
      </c>
      <c r="AB2740">
        <v>30</v>
      </c>
      <c r="AC2740">
        <v>8.5660999999999401</v>
      </c>
      <c r="AD2740">
        <v>-1.11909193357</v>
      </c>
      <c r="AE2740">
        <v>-3.5163000000000002</v>
      </c>
      <c r="AF2740">
        <v>-3.2696835539054301</v>
      </c>
      <c r="AG2740">
        <v>-1.11909193357</v>
      </c>
      <c r="AH2740">
        <v>8.5206043253672892</v>
      </c>
      <c r="AI2740">
        <v>96.990775549576497</v>
      </c>
      <c r="AJ2740">
        <v>110.993728677997</v>
      </c>
      <c r="AK2740">
        <v>9.1947754386895593</v>
      </c>
      <c r="AL2740">
        <v>91.005813739679198</v>
      </c>
      <c r="AM2740">
        <v>102.519918218828</v>
      </c>
      <c r="AN2740">
        <v>1.00000001183117</v>
      </c>
    </row>
    <row r="2741" spans="1:40" x14ac:dyDescent="0.25">
      <c r="A2741" t="str">
        <f>"20190312151551189"</f>
        <v>20190312151551189</v>
      </c>
      <c r="B2741" t="str">
        <f>"1552374951180552"</f>
        <v>1552374951180552</v>
      </c>
      <c r="C2741" t="s">
        <v>40</v>
      </c>
      <c r="D2741">
        <v>4.7744039999999996</v>
      </c>
      <c r="E2741">
        <v>0.46592339999999999</v>
      </c>
      <c r="F2741" t="s">
        <v>51</v>
      </c>
      <c r="G2741">
        <v>-468.32760000000002</v>
      </c>
      <c r="H2741" s="1">
        <v>2.9838210000000001E-6</v>
      </c>
      <c r="I2741">
        <v>212.57820000000001</v>
      </c>
      <c r="J2741">
        <v>-476.81790000000001</v>
      </c>
      <c r="K2741">
        <v>1.1194789999999999</v>
      </c>
      <c r="L2741">
        <v>215.934</v>
      </c>
      <c r="M2741">
        <v>0.73661619999999906</v>
      </c>
      <c r="N2741">
        <v>0</v>
      </c>
      <c r="O2741">
        <v>-0.67617439999999995</v>
      </c>
      <c r="P2741">
        <v>0.86588949999999998</v>
      </c>
      <c r="Q2741">
        <v>-2.594602E-2</v>
      </c>
      <c r="R2741">
        <v>-0.49956210000000001</v>
      </c>
      <c r="S2741">
        <v>2.8014830000000002</v>
      </c>
      <c r="T2741">
        <v>-0.35933199999999998</v>
      </c>
      <c r="U2741">
        <v>-1.14274599999999</v>
      </c>
      <c r="V2741">
        <v>-0.2171584</v>
      </c>
      <c r="W2741">
        <v>-1.791471E-2</v>
      </c>
      <c r="X2741">
        <v>0.97597199999999995</v>
      </c>
      <c r="Y2741">
        <v>-0.3418909</v>
      </c>
      <c r="Z2741">
        <v>9.529659E-2</v>
      </c>
      <c r="AA2741">
        <v>0.93489529999999998</v>
      </c>
      <c r="AB2741">
        <v>30</v>
      </c>
      <c r="AC2741">
        <v>8.4902999999999906</v>
      </c>
      <c r="AD2741">
        <v>-1.1194760161790001</v>
      </c>
      <c r="AE2741">
        <v>-3.3558000000000101</v>
      </c>
      <c r="AF2741">
        <v>-3.2208589972913302</v>
      </c>
      <c r="AG2741">
        <v>-1.1194760161790001</v>
      </c>
      <c r="AH2741">
        <v>8.3977152411614906</v>
      </c>
      <c r="AI2741">
        <v>97.094917175345003</v>
      </c>
      <c r="AJ2741">
        <v>110.983812571098</v>
      </c>
      <c r="AK2741">
        <v>9.0635964441753796</v>
      </c>
      <c r="AL2741">
        <v>91.026492158869601</v>
      </c>
      <c r="AM2741">
        <v>102.544232335262</v>
      </c>
      <c r="AN2741">
        <v>1.0000000261544699</v>
      </c>
    </row>
    <row r="2742" spans="1:40" x14ac:dyDescent="0.25">
      <c r="A2742" t="str">
        <f>"20190312151551211"</f>
        <v>20190312151551211</v>
      </c>
      <c r="B2742" t="str">
        <f>"1552374951200071"</f>
        <v>1552374951200071</v>
      </c>
      <c r="C2742" t="s">
        <v>40</v>
      </c>
      <c r="D2742">
        <v>4.7706039999999996</v>
      </c>
      <c r="E2742">
        <v>0.46568720000000002</v>
      </c>
      <c r="F2742" t="s">
        <v>51</v>
      </c>
      <c r="G2742">
        <v>-467.34699999999998</v>
      </c>
      <c r="H2742" s="1">
        <v>2.506045E-6</v>
      </c>
      <c r="I2742">
        <v>211.571</v>
      </c>
      <c r="J2742">
        <v>-476.59039999999999</v>
      </c>
      <c r="K2742">
        <v>1.119845</v>
      </c>
      <c r="L2742">
        <v>215.74260000000001</v>
      </c>
      <c r="M2742">
        <v>0.74549379999999998</v>
      </c>
      <c r="N2742">
        <v>0</v>
      </c>
      <c r="O2742">
        <v>-0.66637230000000003</v>
      </c>
      <c r="P2742">
        <v>0.87271790000000005</v>
      </c>
      <c r="Q2742">
        <v>-2.3718840000000001E-2</v>
      </c>
      <c r="R2742">
        <v>-0.48764869999999999</v>
      </c>
      <c r="S2742">
        <v>2.7295530000000001</v>
      </c>
      <c r="T2742">
        <v>-0.32263770000000003</v>
      </c>
      <c r="U2742">
        <v>-1.257431</v>
      </c>
      <c r="V2742">
        <v>-0.21770919999999999</v>
      </c>
      <c r="W2742">
        <v>-1.5817399999999999E-2</v>
      </c>
      <c r="X2742">
        <v>0.97588549999999996</v>
      </c>
      <c r="Y2742">
        <v>-0.2887652</v>
      </c>
      <c r="Z2742">
        <v>8.3038459999999994E-2</v>
      </c>
      <c r="AA2742">
        <v>0.95379199999999997</v>
      </c>
      <c r="AB2742">
        <v>30</v>
      </c>
      <c r="AC2742">
        <v>9.2433999999999994</v>
      </c>
      <c r="AD2742">
        <v>-1.119842493955</v>
      </c>
      <c r="AE2742">
        <v>-4.1716000000000104</v>
      </c>
      <c r="AF2742">
        <v>-3.01318657797583</v>
      </c>
      <c r="AG2742">
        <v>-1.119842493955</v>
      </c>
      <c r="AH2742">
        <v>9.5551265110527606</v>
      </c>
      <c r="AI2742">
        <v>96.377606449312196</v>
      </c>
      <c r="AJ2742">
        <v>107.50254574028401</v>
      </c>
      <c r="AK2742">
        <v>10.081358202503401</v>
      </c>
      <c r="AL2742">
        <v>90.906308059364505</v>
      </c>
      <c r="AM2742">
        <v>102.576117924355</v>
      </c>
      <c r="AN2742">
        <v>0.99999999750882496</v>
      </c>
    </row>
    <row r="2743" spans="1:40" x14ac:dyDescent="0.25">
      <c r="A2743" t="str">
        <f>"20190312151551235"</f>
        <v>20190312151551235</v>
      </c>
      <c r="B2743" t="str">
        <f>"1552374951230327"</f>
        <v>1552374951230327</v>
      </c>
      <c r="C2743" t="s">
        <v>40</v>
      </c>
      <c r="D2743">
        <v>5.1894400000000003</v>
      </c>
      <c r="E2743">
        <v>0.46473979999999998</v>
      </c>
      <c r="F2743" t="s">
        <v>51</v>
      </c>
      <c r="G2743">
        <v>-467.29610000000002</v>
      </c>
      <c r="H2743" s="1">
        <v>2.4767259999999998E-6</v>
      </c>
      <c r="I2743">
        <v>211.62139999999999</v>
      </c>
      <c r="J2743">
        <v>-476.35109999999997</v>
      </c>
      <c r="K2743">
        <v>1.1202289999999999</v>
      </c>
      <c r="L2743">
        <v>215.54759999999999</v>
      </c>
      <c r="M2743">
        <v>0.75492300000000001</v>
      </c>
      <c r="N2743">
        <v>0</v>
      </c>
      <c r="O2743">
        <v>-0.65566919999999995</v>
      </c>
      <c r="P2743">
        <v>0.88007459999999904</v>
      </c>
      <c r="Q2743">
        <v>-2.2568319999999999E-2</v>
      </c>
      <c r="R2743">
        <v>-0.47429909999999997</v>
      </c>
      <c r="S2743">
        <v>2.7477420000000001</v>
      </c>
      <c r="T2743">
        <v>-0.33106629999999998</v>
      </c>
      <c r="U2743">
        <v>-1.2183839999999999</v>
      </c>
      <c r="V2743">
        <v>-0.21868870000000001</v>
      </c>
      <c r="W2743">
        <v>-1.481676E-2</v>
      </c>
      <c r="X2743">
        <v>0.97568220000000005</v>
      </c>
      <c r="Y2743">
        <v>-0.28860010000000003</v>
      </c>
      <c r="Z2743">
        <v>8.4151770000000001E-2</v>
      </c>
      <c r="AA2743">
        <v>0.9537445</v>
      </c>
      <c r="AB2743">
        <v>30</v>
      </c>
      <c r="AC2743">
        <v>9.0549999999999393</v>
      </c>
      <c r="AD2743">
        <v>-1.1202265232740001</v>
      </c>
      <c r="AE2743">
        <v>-3.9261999999999899</v>
      </c>
      <c r="AF2743">
        <v>-2.9355682617757202</v>
      </c>
      <c r="AG2743">
        <v>-1.1202265232740001</v>
      </c>
      <c r="AH2743">
        <v>9.2913065002023796</v>
      </c>
      <c r="AI2743">
        <v>96.558247362038003</v>
      </c>
      <c r="AJ2743">
        <v>107.53381915094</v>
      </c>
      <c r="AK2743">
        <v>9.8082029426238204</v>
      </c>
      <c r="AL2743">
        <v>90.848968862573699</v>
      </c>
      <c r="AM2743">
        <v>102.633435202893</v>
      </c>
      <c r="AN2743">
        <v>1.0000000196407099</v>
      </c>
    </row>
    <row r="2744" spans="1:40" x14ac:dyDescent="0.25">
      <c r="A2744" t="str">
        <f>"20190312151551255"</f>
        <v>20190312151551255</v>
      </c>
      <c r="B2744" t="str">
        <f>"1552374951250823"</f>
        <v>1552374951250823</v>
      </c>
      <c r="C2744" t="s">
        <v>40</v>
      </c>
      <c r="D2744">
        <v>4.798883</v>
      </c>
      <c r="E2744">
        <v>0.44786239999999999</v>
      </c>
      <c r="F2744" t="s">
        <v>51</v>
      </c>
      <c r="G2744">
        <v>-466.81479999999999</v>
      </c>
      <c r="H2744" s="1">
        <v>2.2251870000000002E-6</v>
      </c>
      <c r="I2744">
        <v>211.51679999999999</v>
      </c>
      <c r="J2744">
        <v>-476.13549999999998</v>
      </c>
      <c r="K2744">
        <v>1.120563</v>
      </c>
      <c r="L2744">
        <v>215.37719999999999</v>
      </c>
      <c r="M2744">
        <v>0.76347390000000004</v>
      </c>
      <c r="N2744">
        <v>0</v>
      </c>
      <c r="O2744">
        <v>-0.64569080000000001</v>
      </c>
      <c r="P2744">
        <v>0.88637459999999901</v>
      </c>
      <c r="Q2744">
        <v>-2.280105E-2</v>
      </c>
      <c r="R2744">
        <v>-0.46240720000000002</v>
      </c>
      <c r="S2744">
        <v>2.7695620000000001</v>
      </c>
      <c r="T2744">
        <v>-0.32533820000000002</v>
      </c>
      <c r="U2744">
        <v>-1.1706240000000001</v>
      </c>
      <c r="V2744">
        <v>-0.21898210000000001</v>
      </c>
      <c r="W2744">
        <v>-1.5164830000000001E-2</v>
      </c>
      <c r="X2744">
        <v>0.97561100000000001</v>
      </c>
      <c r="Y2744">
        <v>-0.29288049999999999</v>
      </c>
      <c r="Z2744">
        <v>8.1930749999999997E-2</v>
      </c>
      <c r="AA2744">
        <v>0.95263229999999999</v>
      </c>
      <c r="AB2744">
        <v>30</v>
      </c>
      <c r="AC2744">
        <v>9.3206999999999791</v>
      </c>
      <c r="AD2744">
        <v>-1.120560774813</v>
      </c>
      <c r="AE2744">
        <v>-3.8603999999999998</v>
      </c>
      <c r="AF2744">
        <v>-3.0338398424921902</v>
      </c>
      <c r="AG2744">
        <v>-1.120560774813</v>
      </c>
      <c r="AH2744">
        <v>9.49254236374132</v>
      </c>
      <c r="AI2744">
        <v>96.415575389827197</v>
      </c>
      <c r="AJ2744">
        <v>107.724007360344</v>
      </c>
      <c r="AK2744">
        <v>10.0283698160451</v>
      </c>
      <c r="AL2744">
        <v>90.868914081861405</v>
      </c>
      <c r="AM2744">
        <v>102.650733007996</v>
      </c>
      <c r="AN2744">
        <v>0.99999997775516902</v>
      </c>
    </row>
    <row r="2745" spans="1:40" x14ac:dyDescent="0.25">
      <c r="A2745" t="str">
        <f>"20190312151551278"</f>
        <v>20190312151551278</v>
      </c>
      <c r="B2745" t="str">
        <f>"1552374951270470"</f>
        <v>1552374951270470</v>
      </c>
      <c r="C2745" t="s">
        <v>40</v>
      </c>
      <c r="D2745">
        <v>4.8559060000000001</v>
      </c>
      <c r="E2745">
        <v>0.44771040000000001</v>
      </c>
      <c r="F2745" t="s">
        <v>51</v>
      </c>
      <c r="G2745">
        <v>-466.4896</v>
      </c>
      <c r="H2745" s="1">
        <v>2.0335160000000001E-6</v>
      </c>
      <c r="I2745">
        <v>211.9427</v>
      </c>
      <c r="J2745">
        <v>-475.89909999999998</v>
      </c>
      <c r="K2745">
        <v>1.1208899999999999</v>
      </c>
      <c r="L2745">
        <v>215.1962</v>
      </c>
      <c r="M2745">
        <v>0.77284949999999997</v>
      </c>
      <c r="N2745">
        <v>0</v>
      </c>
      <c r="O2745">
        <v>-0.63443700000000003</v>
      </c>
      <c r="P2745">
        <v>0.89309249999999996</v>
      </c>
      <c r="Q2745">
        <v>-2.4193610000000001E-2</v>
      </c>
      <c r="R2745">
        <v>-0.44922240000000002</v>
      </c>
      <c r="S2745">
        <v>2.8471980000000001</v>
      </c>
      <c r="T2745">
        <v>-0.330758</v>
      </c>
      <c r="U2745">
        <v>-1.0137480000000001</v>
      </c>
      <c r="V2745">
        <v>-0.21907499999999999</v>
      </c>
      <c r="W2745">
        <v>-1.666283E-2</v>
      </c>
      <c r="X2745">
        <v>0.97556569999999998</v>
      </c>
      <c r="Y2745">
        <v>-0.33347470000000001</v>
      </c>
      <c r="Z2745">
        <v>8.3645819999999996E-2</v>
      </c>
      <c r="AA2745">
        <v>0.93904100000000001</v>
      </c>
      <c r="AB2745">
        <v>30</v>
      </c>
      <c r="AC2745">
        <v>9.40949999999998</v>
      </c>
      <c r="AD2745">
        <v>-1.1208879664839999</v>
      </c>
      <c r="AE2745">
        <v>-3.2534999999999998</v>
      </c>
      <c r="AF2745">
        <v>-3.4123518345531498</v>
      </c>
      <c r="AG2745">
        <v>-1.1208879664839999</v>
      </c>
      <c r="AH2745">
        <v>9.2203040621969805</v>
      </c>
      <c r="AI2745">
        <v>96.504207928123293</v>
      </c>
      <c r="AJ2745">
        <v>110.309061207021</v>
      </c>
      <c r="AK2745">
        <v>9.8951777081340495</v>
      </c>
      <c r="AL2745">
        <v>90.954754046831994</v>
      </c>
      <c r="AM2745">
        <v>102.656495799433</v>
      </c>
      <c r="AN2745">
        <v>0.99999997027254905</v>
      </c>
    </row>
    <row r="2746" spans="1:40" x14ac:dyDescent="0.25">
      <c r="A2746" t="str">
        <f>"20190312151551300"</f>
        <v>20190312151551300</v>
      </c>
      <c r="B2746" t="str">
        <f>"1552374951289990"</f>
        <v>1552374951289990</v>
      </c>
      <c r="C2746" t="s">
        <v>40</v>
      </c>
      <c r="D2746">
        <v>5.2792329999999996</v>
      </c>
      <c r="E2746">
        <v>0.44969229999999999</v>
      </c>
      <c r="F2746" t="s">
        <v>51</v>
      </c>
      <c r="G2746">
        <v>-466.91539999999998</v>
      </c>
      <c r="H2746" s="1">
        <v>2.2510009999999999E-6</v>
      </c>
      <c r="I2746">
        <v>212.1514</v>
      </c>
      <c r="J2746">
        <v>-475.6626</v>
      </c>
      <c r="K2746">
        <v>1.121183</v>
      </c>
      <c r="L2746">
        <v>215.02080000000001</v>
      </c>
      <c r="M2746">
        <v>0.78221049999999903</v>
      </c>
      <c r="N2746">
        <v>0</v>
      </c>
      <c r="O2746">
        <v>-0.622857199999999</v>
      </c>
      <c r="P2746">
        <v>0.89970329999999998</v>
      </c>
      <c r="Q2746">
        <v>-2.4329839999999998E-2</v>
      </c>
      <c r="R2746">
        <v>-0.43582369999999998</v>
      </c>
      <c r="S2746">
        <v>2.8616030000000001</v>
      </c>
      <c r="T2746">
        <v>-0.357039</v>
      </c>
      <c r="U2746">
        <v>-0.96984859999999995</v>
      </c>
      <c r="V2746">
        <v>-0.21911230000000001</v>
      </c>
      <c r="W2746">
        <v>-1.689158E-2</v>
      </c>
      <c r="X2746">
        <v>0.97555349999999996</v>
      </c>
      <c r="Y2746">
        <v>-0.33304400000000001</v>
      </c>
      <c r="Z2746">
        <v>8.9070129999999997E-2</v>
      </c>
      <c r="AA2746">
        <v>0.93869499999999995</v>
      </c>
      <c r="AB2746">
        <v>30</v>
      </c>
      <c r="AC2746">
        <v>8.7472000000000101</v>
      </c>
      <c r="AD2746">
        <v>-1.121180748999</v>
      </c>
      <c r="AE2746">
        <v>-2.8694000000000099</v>
      </c>
      <c r="AF2746">
        <v>-3.1572636457295098</v>
      </c>
      <c r="AG2746">
        <v>-1.121180748999</v>
      </c>
      <c r="AH2746">
        <v>8.5040818939439404</v>
      </c>
      <c r="AI2746">
        <v>97.045856369520095</v>
      </c>
      <c r="AJ2746">
        <v>110.368173447879</v>
      </c>
      <c r="AK2746">
        <v>9.1402827559915494</v>
      </c>
      <c r="AL2746">
        <v>90.967862197078304</v>
      </c>
      <c r="AM2746">
        <v>102.65873447801199</v>
      </c>
      <c r="AN2746">
        <v>1.00000007842421</v>
      </c>
    </row>
    <row r="2747" spans="1:40" x14ac:dyDescent="0.25">
      <c r="A2747" t="str">
        <f>"20190312151551335"</f>
        <v>20190312151551335</v>
      </c>
      <c r="B2747" t="str">
        <f>"1552374951330005"</f>
        <v>1552374951330005</v>
      </c>
      <c r="C2747" t="s">
        <v>40</v>
      </c>
      <c r="D2747">
        <v>4.8901209999999997</v>
      </c>
      <c r="E2747">
        <v>0.45332280000000003</v>
      </c>
      <c r="F2747" t="s">
        <v>51</v>
      </c>
      <c r="G2747">
        <v>-467.5274</v>
      </c>
      <c r="H2747" s="1">
        <v>2.5678990000000002E-6</v>
      </c>
      <c r="I2747">
        <v>212.35210000000001</v>
      </c>
      <c r="J2747">
        <v>-475.28840000000002</v>
      </c>
      <c r="K2747">
        <v>1.121624</v>
      </c>
      <c r="L2747">
        <v>214.75470000000001</v>
      </c>
      <c r="M2747">
        <v>0.79691480000000003</v>
      </c>
      <c r="N2747">
        <v>0</v>
      </c>
      <c r="O2747">
        <v>-0.60392729999999994</v>
      </c>
      <c r="P2747">
        <v>0.90991379999999999</v>
      </c>
      <c r="Q2747">
        <v>-2.276388E-2</v>
      </c>
      <c r="R2747">
        <v>-0.41417280000000001</v>
      </c>
      <c r="S2747">
        <v>2.86795</v>
      </c>
      <c r="T2747">
        <v>-0.39525870000000002</v>
      </c>
      <c r="U2747">
        <v>-0.94082639999999995</v>
      </c>
      <c r="V2747">
        <v>-0.2191234</v>
      </c>
      <c r="W2747">
        <v>-1.5456889999999999E-2</v>
      </c>
      <c r="X2747">
        <v>0.97557470000000002</v>
      </c>
      <c r="Y2747">
        <v>-0.31852530000000001</v>
      </c>
      <c r="Z2747">
        <v>9.5660590000000004E-2</v>
      </c>
      <c r="AA2747">
        <v>0.94307510000000006</v>
      </c>
      <c r="AB2747">
        <v>30</v>
      </c>
      <c r="AC2747">
        <v>7.7610000000000197</v>
      </c>
      <c r="AD2747">
        <v>-1.1216214321009901</v>
      </c>
      <c r="AE2747">
        <v>-2.4026000000000001</v>
      </c>
      <c r="AF2747">
        <v>-2.7208299534757399</v>
      </c>
      <c r="AG2747">
        <v>-1.1216214321009901</v>
      </c>
      <c r="AH2747">
        <v>7.4937820894370599</v>
      </c>
      <c r="AI2747">
        <v>98.008238853853001</v>
      </c>
      <c r="AJ2747">
        <v>109.95486301279</v>
      </c>
      <c r="AK2747">
        <v>8.0509453032949398</v>
      </c>
      <c r="AL2747">
        <v>90.885649840692196</v>
      </c>
      <c r="AM2747">
        <v>102.65908885721601</v>
      </c>
      <c r="AN2747">
        <v>0.99999998757806097</v>
      </c>
    </row>
    <row r="2748" spans="1:40" x14ac:dyDescent="0.25">
      <c r="A2748" t="str">
        <f>"20190312151551356"</f>
        <v>20190312151551356</v>
      </c>
      <c r="B2748" t="str">
        <f>"1552374951350502"</f>
        <v>1552374951350502</v>
      </c>
      <c r="C2748" t="s">
        <v>40</v>
      </c>
      <c r="D2748">
        <v>4.8892249999999997</v>
      </c>
      <c r="E2748">
        <v>0.45438420000000002</v>
      </c>
      <c r="F2748" t="s">
        <v>51</v>
      </c>
      <c r="G2748">
        <v>-466.98390000000001</v>
      </c>
      <c r="H2748" s="1">
        <v>2.2870420000000002E-6</v>
      </c>
      <c r="I2748">
        <v>212.16050000000001</v>
      </c>
      <c r="J2748">
        <v>-475.0591</v>
      </c>
      <c r="K2748">
        <v>1.1218779999999999</v>
      </c>
      <c r="L2748">
        <v>214.59889999999999</v>
      </c>
      <c r="M2748">
        <v>0.80584290000000003</v>
      </c>
      <c r="N2748">
        <v>0</v>
      </c>
      <c r="O2748">
        <v>-0.59196000000000004</v>
      </c>
      <c r="P2748">
        <v>0.91620290000000004</v>
      </c>
      <c r="Q2748">
        <v>-2.0137229999999999E-2</v>
      </c>
      <c r="R2748">
        <v>-0.40020869999999997</v>
      </c>
      <c r="S2748">
        <v>2.8780519999999998</v>
      </c>
      <c r="T2748">
        <v>-0.38871559999999999</v>
      </c>
      <c r="U2748">
        <v>-0.899063099999999</v>
      </c>
      <c r="V2748">
        <v>-0.21958349999999999</v>
      </c>
      <c r="W2748">
        <v>-1.291757E-2</v>
      </c>
      <c r="X2748">
        <v>0.97550820000000005</v>
      </c>
      <c r="Y2748">
        <v>-0.31809150000000003</v>
      </c>
      <c r="Z2748">
        <v>9.2822669999999996E-2</v>
      </c>
      <c r="AA2748">
        <v>0.94350500000000004</v>
      </c>
      <c r="AB2748">
        <v>30</v>
      </c>
      <c r="AC2748">
        <v>8.0751999999999899</v>
      </c>
      <c r="AD2748">
        <v>-1.1218757129579999</v>
      </c>
      <c r="AE2748">
        <v>-2.4383999999999699</v>
      </c>
      <c r="AF2748">
        <v>-2.7665744335624098</v>
      </c>
      <c r="AG2748">
        <v>-1.1218757129579999</v>
      </c>
      <c r="AH2748">
        <v>7.8133700794071501</v>
      </c>
      <c r="AI2748">
        <v>97.7081349134927</v>
      </c>
      <c r="AJ2748">
        <v>109.498142767771</v>
      </c>
      <c r="AK2748">
        <v>8.3642866527601196</v>
      </c>
      <c r="AL2748">
        <v>90.740142817972597</v>
      </c>
      <c r="AM2748">
        <v>102.685647037384</v>
      </c>
      <c r="AN2748">
        <v>1.00000001267709</v>
      </c>
    </row>
    <row r="2749" spans="1:40" x14ac:dyDescent="0.25">
      <c r="A2749" t="str">
        <f>"20190312151551378"</f>
        <v>20190312151551378</v>
      </c>
      <c r="B2749" t="str">
        <f>"1552374951370022"</f>
        <v>1552374951370022</v>
      </c>
      <c r="C2749" t="s">
        <v>40</v>
      </c>
      <c r="D2749">
        <v>4.8547229999999999</v>
      </c>
      <c r="E2749">
        <v>0.45574379999999998</v>
      </c>
      <c r="F2749" t="s">
        <v>51</v>
      </c>
      <c r="G2749">
        <v>-466.52789999999999</v>
      </c>
      <c r="H2749" s="1">
        <v>2.0492459999999998E-6</v>
      </c>
      <c r="I2749">
        <v>212.0496</v>
      </c>
      <c r="J2749">
        <v>-474.81560000000002</v>
      </c>
      <c r="K2749">
        <v>1.122109</v>
      </c>
      <c r="L2749">
        <v>214.4392</v>
      </c>
      <c r="M2749">
        <v>0.81520630000000005</v>
      </c>
      <c r="N2749">
        <v>0</v>
      </c>
      <c r="O2749">
        <v>-0.57899560000000005</v>
      </c>
      <c r="P2749">
        <v>0.92300930000000003</v>
      </c>
      <c r="Q2749">
        <v>-2.1624549999999999E-2</v>
      </c>
      <c r="R2749">
        <v>-0.3841695</v>
      </c>
      <c r="S2749">
        <v>2.8889469999999999</v>
      </c>
      <c r="T2749">
        <v>-0.37990800000000002</v>
      </c>
      <c r="U2749">
        <v>-0.86328130000000003</v>
      </c>
      <c r="V2749">
        <v>-0.2209227</v>
      </c>
      <c r="W2749">
        <v>-1.4520419999999999E-2</v>
      </c>
      <c r="X2749">
        <v>0.97518320000000003</v>
      </c>
      <c r="Y2749">
        <v>-0.31506070000000003</v>
      </c>
      <c r="Z2749">
        <v>8.9143749999999994E-2</v>
      </c>
      <c r="AA2749">
        <v>0.94487569999999999</v>
      </c>
      <c r="AB2749">
        <v>30</v>
      </c>
      <c r="AC2749">
        <v>8.2877000000000294</v>
      </c>
      <c r="AD2749">
        <v>-1.122106950754</v>
      </c>
      <c r="AE2749">
        <v>-2.3896000000000002</v>
      </c>
      <c r="AF2749">
        <v>-2.80336808636295</v>
      </c>
      <c r="AG2749">
        <v>-1.122106950754</v>
      </c>
      <c r="AH2749">
        <v>8.0050956586221798</v>
      </c>
      <c r="AI2749">
        <v>97.536256411390198</v>
      </c>
      <c r="AJ2749">
        <v>109.30014954134801</v>
      </c>
      <c r="AK2749">
        <v>8.5556737397039893</v>
      </c>
      <c r="AL2749">
        <v>90.831988039421901</v>
      </c>
      <c r="AM2749">
        <v>102.764602106257</v>
      </c>
      <c r="AN2749">
        <v>0.99999997776725302</v>
      </c>
    </row>
    <row r="2750" spans="1:40" x14ac:dyDescent="0.25">
      <c r="A2750" t="str">
        <f>"20190312151551402"</f>
        <v>20190312151551402</v>
      </c>
      <c r="B2750" t="str">
        <f>"1552374951390518"</f>
        <v>1552374951390518</v>
      </c>
      <c r="C2750" t="s">
        <v>40</v>
      </c>
      <c r="D2750">
        <v>4.8364089999999997</v>
      </c>
      <c r="E2750">
        <v>0.457256</v>
      </c>
      <c r="F2750" t="s">
        <v>51</v>
      </c>
      <c r="G2750">
        <v>-466.2878</v>
      </c>
      <c r="H2750" s="1">
        <v>1.9227580000000001E-6</v>
      </c>
      <c r="I2750">
        <v>212.0196</v>
      </c>
      <c r="J2750">
        <v>-474.55790000000002</v>
      </c>
      <c r="K2750">
        <v>1.122349</v>
      </c>
      <c r="L2750">
        <v>214.2764</v>
      </c>
      <c r="M2750">
        <v>0.82497289999999901</v>
      </c>
      <c r="N2750">
        <v>0</v>
      </c>
      <c r="O2750">
        <v>-0.56499140000000003</v>
      </c>
      <c r="P2750">
        <v>0.92996610000000002</v>
      </c>
      <c r="Q2750">
        <v>-2.204706E-2</v>
      </c>
      <c r="R2750">
        <v>-0.36698370000000002</v>
      </c>
      <c r="S2750">
        <v>2.898987</v>
      </c>
      <c r="T2750">
        <v>-0.3814534</v>
      </c>
      <c r="U2750">
        <v>-0.82252499999999995</v>
      </c>
      <c r="V2750">
        <v>-0.22233249999999999</v>
      </c>
      <c r="W2750">
        <v>-1.505983E-2</v>
      </c>
      <c r="X2750">
        <v>0.97485460000000002</v>
      </c>
      <c r="Y2750">
        <v>-0.31207980000000002</v>
      </c>
      <c r="Z2750">
        <v>8.782674E-2</v>
      </c>
      <c r="AA2750">
        <v>0.94598760000000004</v>
      </c>
      <c r="AB2750">
        <v>30</v>
      </c>
      <c r="AC2750">
        <v>8.27010000000001</v>
      </c>
      <c r="AD2750">
        <v>-1.1223470772419999</v>
      </c>
      <c r="AE2750">
        <v>-2.2567999999999899</v>
      </c>
      <c r="AF2750">
        <v>-2.7636517414488502</v>
      </c>
      <c r="AG2750">
        <v>-1.1223470772419999</v>
      </c>
      <c r="AH2750">
        <v>7.9620305316641398</v>
      </c>
      <c r="AI2750">
        <v>97.585356355634502</v>
      </c>
      <c r="AJ2750">
        <v>109.142086581576</v>
      </c>
      <c r="AK2750">
        <v>8.5024328340163198</v>
      </c>
      <c r="AL2750">
        <v>90.862897305559898</v>
      </c>
      <c r="AM2750">
        <v>102.847550683498</v>
      </c>
      <c r="AN2750">
        <v>1.00000001508851</v>
      </c>
    </row>
    <row r="2751" spans="1:40" x14ac:dyDescent="0.25">
      <c r="A2751" t="str">
        <f>"20190312151551425"</f>
        <v>20190312151551425</v>
      </c>
      <c r="B2751" t="str">
        <f>"1552374951420774"</f>
        <v>1552374951420774</v>
      </c>
      <c r="C2751" t="s">
        <v>40</v>
      </c>
      <c r="D2751">
        <v>4.8426280000000004</v>
      </c>
      <c r="E2751">
        <v>0.45867069999999999</v>
      </c>
      <c r="F2751" t="s">
        <v>51</v>
      </c>
      <c r="G2751">
        <v>-465.84059999999999</v>
      </c>
      <c r="H2751" s="1">
        <v>1.6882899999999999E-6</v>
      </c>
      <c r="I2751">
        <v>211.9401</v>
      </c>
      <c r="J2751">
        <v>-474.28910000000002</v>
      </c>
      <c r="K2751">
        <v>1.1225849999999999</v>
      </c>
      <c r="L2751">
        <v>214.11320000000001</v>
      </c>
      <c r="M2751">
        <v>0.83497739999999998</v>
      </c>
      <c r="N2751">
        <v>0</v>
      </c>
      <c r="O2751">
        <v>-0.55009680000000005</v>
      </c>
      <c r="P2751">
        <v>0.93676110000000001</v>
      </c>
      <c r="Q2751">
        <v>-2.0902319999999999E-2</v>
      </c>
      <c r="R2751">
        <v>-0.34934530000000003</v>
      </c>
      <c r="S2751">
        <v>2.9093930000000001</v>
      </c>
      <c r="T2751">
        <v>-0.37458609999999998</v>
      </c>
      <c r="U2751">
        <v>-0.77975459999999996</v>
      </c>
      <c r="V2751">
        <v>-0.22330449999999999</v>
      </c>
      <c r="W2751">
        <v>-1.401199E-2</v>
      </c>
      <c r="X2751">
        <v>0.97464799999999996</v>
      </c>
      <c r="Y2751">
        <v>-0.30920779999999998</v>
      </c>
      <c r="Z2751">
        <v>8.4496879999999996E-2</v>
      </c>
      <c r="AA2751">
        <v>0.94723329999999994</v>
      </c>
      <c r="AB2751">
        <v>30</v>
      </c>
      <c r="AC2751">
        <v>8.4485000000000205</v>
      </c>
      <c r="AD2751">
        <v>-1.1225833117099999</v>
      </c>
      <c r="AE2751">
        <v>-2.1730999999999998</v>
      </c>
      <c r="AF2751">
        <v>-2.7871411098165302</v>
      </c>
      <c r="AG2751">
        <v>-1.1225833117099999</v>
      </c>
      <c r="AH2751">
        <v>8.1161705946877802</v>
      </c>
      <c r="AI2751">
        <v>97.452878652813695</v>
      </c>
      <c r="AJ2751">
        <v>108.952775465024</v>
      </c>
      <c r="AK2751">
        <v>8.6545117701597594</v>
      </c>
      <c r="AL2751">
        <v>90.802854178815593</v>
      </c>
      <c r="AM2751">
        <v>102.90448566973301</v>
      </c>
      <c r="AN2751">
        <v>0.99999997974400401</v>
      </c>
    </row>
    <row r="2752" spans="1:40" x14ac:dyDescent="0.25">
      <c r="A2752" t="str">
        <f>"20190312151551447"</f>
        <v>20190312151551447</v>
      </c>
      <c r="B2752" t="str">
        <f>"1552374951440294"</f>
        <v>1552374951440294</v>
      </c>
      <c r="C2752" t="s">
        <v>40</v>
      </c>
      <c r="D2752">
        <v>5.1522819999999996</v>
      </c>
      <c r="E2752">
        <v>0.45948369999999999</v>
      </c>
      <c r="F2752" t="s">
        <v>51</v>
      </c>
      <c r="G2752">
        <v>-465.10770000000002</v>
      </c>
      <c r="H2752" s="1">
        <v>1.3043229999999999E-6</v>
      </c>
      <c r="I2752">
        <v>211.80090000000001</v>
      </c>
      <c r="J2752">
        <v>-474.04480000000001</v>
      </c>
      <c r="K2752">
        <v>1.1227830000000001</v>
      </c>
      <c r="L2752">
        <v>213.9708</v>
      </c>
      <c r="M2752">
        <v>0.84388619999999903</v>
      </c>
      <c r="N2752">
        <v>0</v>
      </c>
      <c r="O2752">
        <v>-0.53632840000000004</v>
      </c>
      <c r="P2752">
        <v>0.94275540000000002</v>
      </c>
      <c r="Q2752">
        <v>-2.0733930000000001E-2</v>
      </c>
      <c r="R2752">
        <v>-0.33284049999999998</v>
      </c>
      <c r="S2752">
        <v>2.9202880000000002</v>
      </c>
      <c r="T2752">
        <v>-0.35705579999999998</v>
      </c>
      <c r="U2752">
        <v>-0.73544309999999902</v>
      </c>
      <c r="V2752">
        <v>-0.2244372</v>
      </c>
      <c r="W2752">
        <v>-1.393642E-2</v>
      </c>
      <c r="X2752">
        <v>0.9743889</v>
      </c>
      <c r="Y2752">
        <v>-0.30861850000000002</v>
      </c>
      <c r="Z2752">
        <v>7.9104469999999996E-2</v>
      </c>
      <c r="AA2752">
        <v>0.94789089999999998</v>
      </c>
      <c r="AB2752">
        <v>30</v>
      </c>
      <c r="AC2752">
        <v>8.9370999999999796</v>
      </c>
      <c r="AD2752">
        <v>-1.122781695677</v>
      </c>
      <c r="AE2752">
        <v>-2.1698999999999802</v>
      </c>
      <c r="AF2752">
        <v>-2.9188750608650298</v>
      </c>
      <c r="AG2752">
        <v>-1.122781695677</v>
      </c>
      <c r="AH2752">
        <v>8.5787167907742692</v>
      </c>
      <c r="AI2752">
        <v>97.0631912891117</v>
      </c>
      <c r="AJ2752">
        <v>108.790672430387</v>
      </c>
      <c r="AK2752">
        <v>9.13098308690798</v>
      </c>
      <c r="AL2752">
        <v>90.798523894079494</v>
      </c>
      <c r="AM2752">
        <v>102.971067330054</v>
      </c>
      <c r="AN2752">
        <v>1.0000000044947299</v>
      </c>
    </row>
    <row r="2753" spans="1:40" x14ac:dyDescent="0.25">
      <c r="A2753" t="str">
        <f>"20190312151551467"</f>
        <v>20190312151551467</v>
      </c>
      <c r="B2753" t="str">
        <f>"1552374951459814"</f>
        <v>1552374951459814</v>
      </c>
      <c r="C2753" t="s">
        <v>40</v>
      </c>
      <c r="D2753">
        <v>4.9938589999999996</v>
      </c>
      <c r="E2753">
        <v>0.46068979999999998</v>
      </c>
      <c r="F2753" t="s">
        <v>51</v>
      </c>
      <c r="G2753">
        <v>-464.75189999999998</v>
      </c>
      <c r="H2753" s="1">
        <v>1.115755E-6</v>
      </c>
      <c r="I2753">
        <v>211.7835</v>
      </c>
      <c r="J2753">
        <v>-473.8082</v>
      </c>
      <c r="K2753">
        <v>1.122943</v>
      </c>
      <c r="L2753">
        <v>213.8381</v>
      </c>
      <c r="M2753">
        <v>0.85232770000000002</v>
      </c>
      <c r="N2753">
        <v>0</v>
      </c>
      <c r="O2753">
        <v>-0.52280749999999998</v>
      </c>
      <c r="P2753">
        <v>0.94844130000000004</v>
      </c>
      <c r="Q2753">
        <v>-2.0750169999999998E-2</v>
      </c>
      <c r="R2753">
        <v>-0.31627290000000002</v>
      </c>
      <c r="S2753">
        <v>2.9308169999999998</v>
      </c>
      <c r="T2753">
        <v>-0.35410510000000001</v>
      </c>
      <c r="U2753">
        <v>-0.68981930000000002</v>
      </c>
      <c r="V2753">
        <v>-0.2259689</v>
      </c>
      <c r="W2753">
        <v>-1.4055059999999999E-2</v>
      </c>
      <c r="X2753">
        <v>0.97403309999999999</v>
      </c>
      <c r="Y2753">
        <v>-0.30838369999999998</v>
      </c>
      <c r="Z2753">
        <v>7.7034169999999999E-2</v>
      </c>
      <c r="AA2753">
        <v>0.94813780000000003</v>
      </c>
      <c r="AB2753">
        <v>30</v>
      </c>
      <c r="AC2753">
        <v>9.0563000000000198</v>
      </c>
      <c r="AD2753">
        <v>-1.1229418842450001</v>
      </c>
      <c r="AE2753">
        <v>-2.05459999999999</v>
      </c>
      <c r="AF2753">
        <v>-2.9408205002663799</v>
      </c>
      <c r="AG2753">
        <v>-1.1229418842450001</v>
      </c>
      <c r="AH2753">
        <v>8.6672824887630799</v>
      </c>
      <c r="AI2753">
        <v>96.994715244321696</v>
      </c>
      <c r="AJ2753">
        <v>108.74214293763301</v>
      </c>
      <c r="AK2753">
        <v>9.2212368709516408</v>
      </c>
      <c r="AL2753">
        <v>90.805322147544004</v>
      </c>
      <c r="AM2753">
        <v>103.06117267564601</v>
      </c>
      <c r="AN2753">
        <v>0.99999998418721103</v>
      </c>
    </row>
    <row r="2754" spans="1:40" x14ac:dyDescent="0.25">
      <c r="A2754" t="str">
        <f>"20190312151551491"</f>
        <v>20190312151551491</v>
      </c>
      <c r="B2754" t="str">
        <f>"1552374951480310"</f>
        <v>1552374951480310</v>
      </c>
      <c r="C2754" t="s">
        <v>40</v>
      </c>
      <c r="D2754">
        <v>4.9790029999999996</v>
      </c>
      <c r="E2754">
        <v>0.46129160000000002</v>
      </c>
      <c r="F2754" t="s">
        <v>51</v>
      </c>
      <c r="G2754">
        <v>-464.52499999999998</v>
      </c>
      <c r="H2754" s="1">
        <v>9.9464499999999994E-7</v>
      </c>
      <c r="I2754">
        <v>211.79169999999999</v>
      </c>
      <c r="J2754">
        <v>-473.54689999999999</v>
      </c>
      <c r="K2754">
        <v>1.123092</v>
      </c>
      <c r="L2754">
        <v>213.69720000000001</v>
      </c>
      <c r="M2754">
        <v>0.86141559999999995</v>
      </c>
      <c r="N2754">
        <v>0</v>
      </c>
      <c r="O2754">
        <v>-0.50769279999999894</v>
      </c>
      <c r="P2754">
        <v>0.95470770000000005</v>
      </c>
      <c r="Q2754">
        <v>-2.134569E-2</v>
      </c>
      <c r="R2754">
        <v>-0.29677890000000001</v>
      </c>
      <c r="S2754">
        <v>2.9392399999999999</v>
      </c>
      <c r="T2754">
        <v>-0.35554560000000002</v>
      </c>
      <c r="U2754">
        <v>-0.64790340000000002</v>
      </c>
      <c r="V2754">
        <v>-0.22870770000000001</v>
      </c>
      <c r="W2754">
        <v>-1.479782E-2</v>
      </c>
      <c r="X2754">
        <v>0.97338270000000005</v>
      </c>
      <c r="Y2754">
        <v>-0.30515100000000001</v>
      </c>
      <c r="Z2754">
        <v>7.5590630000000006E-2</v>
      </c>
      <c r="AA2754">
        <v>0.94929920000000001</v>
      </c>
      <c r="AB2754">
        <v>30</v>
      </c>
      <c r="AC2754">
        <v>9.0219000000000094</v>
      </c>
      <c r="AD2754">
        <v>-1.1230910053550001</v>
      </c>
      <c r="AE2754">
        <v>-1.90550000000001</v>
      </c>
      <c r="AF2754">
        <v>-2.8962711741517699</v>
      </c>
      <c r="AG2754">
        <v>-1.1230910053550001</v>
      </c>
      <c r="AH2754">
        <v>8.6121774785861902</v>
      </c>
      <c r="AI2754">
        <v>97.046294662667705</v>
      </c>
      <c r="AJ2754">
        <v>108.587767584351</v>
      </c>
      <c r="AK2754">
        <v>9.1552892386422702</v>
      </c>
      <c r="AL2754">
        <v>90.847883549295005</v>
      </c>
      <c r="AM2754">
        <v>103.222474160329</v>
      </c>
      <c r="AN2754">
        <v>1.00000003408766</v>
      </c>
    </row>
    <row r="2755" spans="1:40" x14ac:dyDescent="0.25">
      <c r="A2755" t="str">
        <f>"20190312151551513"</f>
        <v>20190312151551513</v>
      </c>
      <c r="B2755" t="str">
        <f>"1552374951510565"</f>
        <v>1552374951510565</v>
      </c>
      <c r="C2755" t="s">
        <v>40</v>
      </c>
      <c r="D2755">
        <v>5.1464259999999999</v>
      </c>
      <c r="E2755">
        <v>0.48606110000000002</v>
      </c>
      <c r="F2755" t="s">
        <v>51</v>
      </c>
      <c r="G2755">
        <v>-464.3571</v>
      </c>
      <c r="H2755" s="1">
        <v>9.0274979999999997E-7</v>
      </c>
      <c r="I2755">
        <v>211.85079999999999</v>
      </c>
      <c r="J2755">
        <v>-473.28719999999998</v>
      </c>
      <c r="K2755">
        <v>1.1232249999999999</v>
      </c>
      <c r="L2755">
        <v>213.56309999999999</v>
      </c>
      <c r="M2755">
        <v>0.87018379999999995</v>
      </c>
      <c r="N2755">
        <v>0</v>
      </c>
      <c r="O2755">
        <v>-0.49251200000000001</v>
      </c>
      <c r="P2755">
        <v>0.96025530000000003</v>
      </c>
      <c r="Q2755">
        <v>-2.242417E-2</v>
      </c>
      <c r="R2755">
        <v>-0.27822190000000002</v>
      </c>
      <c r="S2755">
        <v>2.950043</v>
      </c>
      <c r="T2755">
        <v>-0.36052919999999999</v>
      </c>
      <c r="U2755">
        <v>-0.59272769999999997</v>
      </c>
      <c r="V2755">
        <v>-0.2304515</v>
      </c>
      <c r="W2755">
        <v>-1.598103E-2</v>
      </c>
      <c r="X2755">
        <v>0.9729525</v>
      </c>
      <c r="Y2755">
        <v>-0.30614829999999998</v>
      </c>
      <c r="Z2755">
        <v>7.5073689999999998E-2</v>
      </c>
      <c r="AA2755">
        <v>0.9490191</v>
      </c>
      <c r="AB2755">
        <v>30</v>
      </c>
      <c r="AC2755">
        <v>8.9300999999999799</v>
      </c>
      <c r="AD2755">
        <v>-1.1232240972501999</v>
      </c>
      <c r="AE2755">
        <v>-1.7122999999999899</v>
      </c>
      <c r="AF2755">
        <v>-2.8647594209840599</v>
      </c>
      <c r="AG2755">
        <v>-1.1232240972501999</v>
      </c>
      <c r="AH2755">
        <v>8.48558474429956</v>
      </c>
      <c r="AI2755">
        <v>97.148382627870205</v>
      </c>
      <c r="AJ2755">
        <v>108.65483994102</v>
      </c>
      <c r="AK2755">
        <v>9.0262742793164605</v>
      </c>
      <c r="AL2755">
        <v>90.915684617366793</v>
      </c>
      <c r="AM2755">
        <v>103.325388946708</v>
      </c>
      <c r="AN2755">
        <v>0.99999992721417696</v>
      </c>
    </row>
    <row r="2756" spans="1:40" x14ac:dyDescent="0.25">
      <c r="A2756" t="str">
        <f>"20190312151551535"</f>
        <v>20190312151551535</v>
      </c>
      <c r="B2756" t="str">
        <f>"1552374951530086"</f>
        <v>1552374951530086</v>
      </c>
      <c r="C2756" t="s">
        <v>40</v>
      </c>
      <c r="D2756">
        <v>5.178725</v>
      </c>
      <c r="E2756">
        <v>0.48738340000000002</v>
      </c>
      <c r="F2756" t="s">
        <v>51</v>
      </c>
      <c r="G2756">
        <v>-462.55799999999999</v>
      </c>
      <c r="H2756" s="1">
        <v>-1.2428660000000001E-8</v>
      </c>
      <c r="I2756">
        <v>210.88409999999999</v>
      </c>
      <c r="J2756">
        <v>-473.02409999999998</v>
      </c>
      <c r="K2756">
        <v>1.1233359999999999</v>
      </c>
      <c r="L2756">
        <v>213.43369999999999</v>
      </c>
      <c r="M2756">
        <v>0.87877969999999905</v>
      </c>
      <c r="N2756">
        <v>0</v>
      </c>
      <c r="O2756">
        <v>-0.47700399999999998</v>
      </c>
      <c r="P2756">
        <v>0.96526999999999996</v>
      </c>
      <c r="Q2756">
        <v>-2.2579470000000001E-2</v>
      </c>
      <c r="R2756">
        <v>-0.26027689999999998</v>
      </c>
      <c r="S2756">
        <v>2.9067989999999999</v>
      </c>
      <c r="T2756">
        <v>-0.30430869999999999</v>
      </c>
      <c r="U2756">
        <v>-0.72581479999999998</v>
      </c>
      <c r="V2756">
        <v>-0.231321</v>
      </c>
      <c r="W2756">
        <v>-1.619951E-2</v>
      </c>
      <c r="X2756">
        <v>0.97274260000000001</v>
      </c>
      <c r="Y2756">
        <v>-0.24647069999999999</v>
      </c>
      <c r="Z2756">
        <v>5.945425E-2</v>
      </c>
      <c r="AA2756">
        <v>0.96732490000000004</v>
      </c>
      <c r="AB2756">
        <v>30</v>
      </c>
      <c r="AC2756">
        <v>10.4660999999999</v>
      </c>
      <c r="AD2756">
        <v>-1.12333601242866</v>
      </c>
      <c r="AE2756">
        <v>-2.5495999999999901</v>
      </c>
      <c r="AF2756">
        <v>-2.7225222383447201</v>
      </c>
      <c r="AG2756">
        <v>-1.12333601242866</v>
      </c>
      <c r="AH2756">
        <v>10.3026400953578</v>
      </c>
      <c r="AI2756">
        <v>96.017627321582793</v>
      </c>
      <c r="AJ2756">
        <v>104.802325255616</v>
      </c>
      <c r="AK2756">
        <v>10.715334995676701</v>
      </c>
      <c r="AL2756">
        <v>90.928204155703995</v>
      </c>
      <c r="AM2756">
        <v>103.376644935816</v>
      </c>
      <c r="AN2756">
        <v>0.99999999751000002</v>
      </c>
    </row>
    <row r="2757" spans="1:40" x14ac:dyDescent="0.25">
      <c r="A2757" t="str">
        <f>"20190312151551559"</f>
        <v>20190312151551559</v>
      </c>
      <c r="B2757" t="str">
        <f>"1552374951550582"</f>
        <v>1552374951550582</v>
      </c>
      <c r="C2757" t="s">
        <v>40</v>
      </c>
      <c r="D2757">
        <v>5.3321820000000004</v>
      </c>
      <c r="E2757">
        <v>0.48899710000000002</v>
      </c>
      <c r="F2757" t="s">
        <v>51</v>
      </c>
      <c r="G2757">
        <v>-462.19349999999997</v>
      </c>
      <c r="H2757" s="1">
        <v>-2.0723799999999999E-7</v>
      </c>
      <c r="I2757">
        <v>210.90430000000001</v>
      </c>
      <c r="J2757">
        <v>-472.74250000000001</v>
      </c>
      <c r="K2757">
        <v>1.123426</v>
      </c>
      <c r="L2757">
        <v>213.3015</v>
      </c>
      <c r="M2757">
        <v>0.88765360000000004</v>
      </c>
      <c r="N2757">
        <v>0</v>
      </c>
      <c r="O2757">
        <v>-0.4602792</v>
      </c>
      <c r="P2757">
        <v>0.97016849999999999</v>
      </c>
      <c r="Q2757">
        <v>-2.109865E-2</v>
      </c>
      <c r="R2757">
        <v>-0.24151210000000001</v>
      </c>
      <c r="S2757">
        <v>2.9171749999999999</v>
      </c>
      <c r="T2757">
        <v>-0.30256690000000003</v>
      </c>
      <c r="U2757">
        <v>-0.68127439999999995</v>
      </c>
      <c r="V2757">
        <v>-0.23182610000000001</v>
      </c>
      <c r="W2757">
        <v>-1.476266E-2</v>
      </c>
      <c r="X2757">
        <v>0.97264519999999999</v>
      </c>
      <c r="Y2757">
        <v>-0.24302689999999999</v>
      </c>
      <c r="Z2757">
        <v>5.7391270000000001E-2</v>
      </c>
      <c r="AA2757">
        <v>0.96832030000000002</v>
      </c>
      <c r="AB2757">
        <v>30</v>
      </c>
      <c r="AC2757">
        <v>10.548999999999999</v>
      </c>
      <c r="AD2757">
        <v>-1.1234262072379999</v>
      </c>
      <c r="AE2757">
        <v>-2.39719999999999</v>
      </c>
      <c r="AF2757">
        <v>-2.6987891159027702</v>
      </c>
      <c r="AG2757">
        <v>-1.1234262072379999</v>
      </c>
      <c r="AH2757">
        <v>10.356668710849</v>
      </c>
      <c r="AI2757">
        <v>95.992298128037902</v>
      </c>
      <c r="AJ2757">
        <v>104.605589791247</v>
      </c>
      <c r="AK2757">
        <v>10.7613259369607</v>
      </c>
      <c r="AL2757">
        <v>90.845868854648401</v>
      </c>
      <c r="AM2757">
        <v>103.40609418931599</v>
      </c>
      <c r="AN2757">
        <v>0.99999998092726206</v>
      </c>
    </row>
    <row r="2758" spans="1:40" x14ac:dyDescent="0.25">
      <c r="A2758" t="str">
        <f>"20190312151551579"</f>
        <v>20190312151551579</v>
      </c>
      <c r="B2758" t="str">
        <f>"1552374951570102"</f>
        <v>1552374951570102</v>
      </c>
      <c r="C2758" t="s">
        <v>40</v>
      </c>
      <c r="D2758">
        <v>5.1583019999999999</v>
      </c>
      <c r="E2758">
        <v>0.49092190000000002</v>
      </c>
      <c r="F2758" t="s">
        <v>51</v>
      </c>
      <c r="G2758">
        <v>-461.87400000000002</v>
      </c>
      <c r="H2758" s="1">
        <v>-3.7879000000000002E-7</v>
      </c>
      <c r="I2758">
        <v>210.9384</v>
      </c>
      <c r="J2758">
        <v>-472.49700000000001</v>
      </c>
      <c r="K2758">
        <v>1.1234839999999999</v>
      </c>
      <c r="L2758">
        <v>213.19139999999999</v>
      </c>
      <c r="M2758">
        <v>0.89510499999999904</v>
      </c>
      <c r="N2758">
        <v>0</v>
      </c>
      <c r="O2758">
        <v>-0.44561440000000002</v>
      </c>
      <c r="P2758">
        <v>0.97408439999999996</v>
      </c>
      <c r="Q2758">
        <v>-1.9692000000000001E-2</v>
      </c>
      <c r="R2758">
        <v>-0.22532640000000001</v>
      </c>
      <c r="S2758">
        <v>2.9272459999999998</v>
      </c>
      <c r="T2758">
        <v>-0.30257620000000002</v>
      </c>
      <c r="U2758">
        <v>-0.63645940000000001</v>
      </c>
      <c r="V2758">
        <v>-0.23207829999999999</v>
      </c>
      <c r="W2758">
        <v>-1.3385970000000001E-2</v>
      </c>
      <c r="X2758">
        <v>0.97260500000000005</v>
      </c>
      <c r="Y2758">
        <v>-0.24199860000000001</v>
      </c>
      <c r="Z2758">
        <v>5.5962289999999998E-2</v>
      </c>
      <c r="AA2758">
        <v>0.96866140000000001</v>
      </c>
      <c r="AB2758">
        <v>30</v>
      </c>
      <c r="AC2758">
        <v>10.6229999999999</v>
      </c>
      <c r="AD2758">
        <v>-1.12348437879</v>
      </c>
      <c r="AE2758">
        <v>-2.2529999999999801</v>
      </c>
      <c r="AF2758">
        <v>-2.6886042865990798</v>
      </c>
      <c r="AG2758">
        <v>-1.12348437879</v>
      </c>
      <c r="AH2758">
        <v>10.402455038902</v>
      </c>
      <c r="AI2758">
        <v>95.969483213848093</v>
      </c>
      <c r="AJ2758">
        <v>104.49146324694399</v>
      </c>
      <c r="AK2758">
        <v>10.802864481038499</v>
      </c>
      <c r="AL2758">
        <v>90.7669824891464</v>
      </c>
      <c r="AM2758">
        <v>103.420685768675</v>
      </c>
      <c r="AN2758">
        <v>1.0000000037743599</v>
      </c>
    </row>
    <row r="2759" spans="1:40" x14ac:dyDescent="0.25">
      <c r="A2759" t="str">
        <f>"20190312151551604"</f>
        <v>20190312151551604</v>
      </c>
      <c r="B2759" t="str">
        <f>"1552374951600357"</f>
        <v>1552374951600357</v>
      </c>
      <c r="C2759" t="s">
        <v>40</v>
      </c>
      <c r="D2759">
        <v>4.957376</v>
      </c>
      <c r="E2759">
        <v>0.49393629999999999</v>
      </c>
      <c r="F2759" t="s">
        <v>51</v>
      </c>
      <c r="G2759">
        <v>-461.50420000000003</v>
      </c>
      <c r="H2759" s="1">
        <v>-5.7530869999999897E-7</v>
      </c>
      <c r="I2759">
        <v>210.9325</v>
      </c>
      <c r="J2759">
        <v>-472.20699999999999</v>
      </c>
      <c r="K2759">
        <v>1.123535</v>
      </c>
      <c r="L2759">
        <v>213.0675</v>
      </c>
      <c r="M2759">
        <v>0.90355830000000004</v>
      </c>
      <c r="N2759">
        <v>0</v>
      </c>
      <c r="O2759">
        <v>-0.42821379999999998</v>
      </c>
      <c r="P2759">
        <v>0.97826519999999995</v>
      </c>
      <c r="Q2759">
        <v>-1.9078100000000001E-2</v>
      </c>
      <c r="R2759">
        <v>-0.20647779999999999</v>
      </c>
      <c r="S2759">
        <v>2.9342649999999999</v>
      </c>
      <c r="T2759">
        <v>-0.29988670000000001</v>
      </c>
      <c r="U2759">
        <v>-0.60296629999999996</v>
      </c>
      <c r="V2759">
        <v>-0.23206479999999999</v>
      </c>
      <c r="W2759">
        <v>-1.279421E-2</v>
      </c>
      <c r="X2759">
        <v>0.97261620000000004</v>
      </c>
      <c r="Y2759">
        <v>-0.23446739999999999</v>
      </c>
      <c r="Z2759">
        <v>5.3481550000000003E-2</v>
      </c>
      <c r="AA2759">
        <v>0.97065170000000001</v>
      </c>
      <c r="AB2759">
        <v>30</v>
      </c>
      <c r="AC2759">
        <v>10.7027999999999</v>
      </c>
      <c r="AD2759">
        <v>-1.1235355753087</v>
      </c>
      <c r="AE2759">
        <v>-2.13499999999999</v>
      </c>
      <c r="AF2759">
        <v>-2.6264399498731898</v>
      </c>
      <c r="AG2759">
        <v>-1.1235355753087</v>
      </c>
      <c r="AH2759">
        <v>10.4749643089116</v>
      </c>
      <c r="AI2759">
        <v>95.939605469795197</v>
      </c>
      <c r="AJ2759">
        <v>104.07587064261899</v>
      </c>
      <c r="AK2759">
        <v>10.8575041456241</v>
      </c>
      <c r="AL2759">
        <v>90.733074222749593</v>
      </c>
      <c r="AM2759">
        <v>103.419784383381</v>
      </c>
      <c r="AN2759">
        <v>1.0000000178555</v>
      </c>
    </row>
    <row r="2760" spans="1:40" x14ac:dyDescent="0.25">
      <c r="A2760" t="str">
        <f>"20190312151551627"</f>
        <v>20190312151551627</v>
      </c>
      <c r="B2760" t="str">
        <f>"1552374951619879"</f>
        <v>1552374951619879</v>
      </c>
      <c r="C2760" t="s">
        <v>40</v>
      </c>
      <c r="D2760">
        <v>4.9430100000000001</v>
      </c>
      <c r="E2760">
        <v>0.4960138</v>
      </c>
      <c r="F2760" t="s">
        <v>51</v>
      </c>
      <c r="G2760">
        <v>-460.97340000000003</v>
      </c>
      <c r="H2760" s="1">
        <v>-8.5594719999999899E-7</v>
      </c>
      <c r="I2760">
        <v>210.89009999999999</v>
      </c>
      <c r="J2760">
        <v>-471.93790000000001</v>
      </c>
      <c r="K2760">
        <v>1.123556</v>
      </c>
      <c r="L2760">
        <v>212.95830000000001</v>
      </c>
      <c r="M2760">
        <v>0.91105480000000005</v>
      </c>
      <c r="N2760">
        <v>0</v>
      </c>
      <c r="O2760">
        <v>-0.412024</v>
      </c>
      <c r="P2760">
        <v>0.98151250000000001</v>
      </c>
      <c r="Q2760">
        <v>-1.9213279999999999E-2</v>
      </c>
      <c r="R2760">
        <v>-0.19043070000000001</v>
      </c>
      <c r="S2760">
        <v>2.940582</v>
      </c>
      <c r="T2760">
        <v>-0.29410350000000002</v>
      </c>
      <c r="U2760">
        <v>-0.56996150000000001</v>
      </c>
      <c r="V2760">
        <v>-0.23063159999999999</v>
      </c>
      <c r="W2760">
        <v>-1.2892850000000001E-2</v>
      </c>
      <c r="X2760">
        <v>0.97295569999999998</v>
      </c>
      <c r="Y2760">
        <v>-0.2282332</v>
      </c>
      <c r="Z2760">
        <v>5.0673280000000001E-2</v>
      </c>
      <c r="AA2760">
        <v>0.97228689999999995</v>
      </c>
      <c r="AB2760">
        <v>30</v>
      </c>
      <c r="AC2760">
        <v>10.9644999999999</v>
      </c>
      <c r="AD2760">
        <v>-1.1235568559472</v>
      </c>
      <c r="AE2760">
        <v>-2.0682000000000098</v>
      </c>
      <c r="AF2760">
        <v>-2.6072403832617899</v>
      </c>
      <c r="AG2760">
        <v>-1.1235568559472</v>
      </c>
      <c r="AH2760">
        <v>10.733738266579101</v>
      </c>
      <c r="AI2760">
        <v>95.808009908787696</v>
      </c>
      <c r="AJ2760">
        <v>103.65281529895201</v>
      </c>
      <c r="AK2760">
        <v>11.102847364531399</v>
      </c>
      <c r="AL2760">
        <v>90.738726374475903</v>
      </c>
      <c r="AM2760">
        <v>103.335388670838</v>
      </c>
      <c r="AN2760">
        <v>0.99999997733108503</v>
      </c>
    </row>
    <row r="2761" spans="1:40" x14ac:dyDescent="0.25">
      <c r="A2761" t="str">
        <f>"20190312151551671"</f>
        <v>20190312151551671</v>
      </c>
      <c r="B2761" t="str">
        <f>"1552374951659894"</f>
        <v>1552374951659894</v>
      </c>
      <c r="C2761" t="s">
        <v>40</v>
      </c>
      <c r="D2761">
        <v>4.9938219999999998</v>
      </c>
      <c r="E2761">
        <v>0.51473080000000004</v>
      </c>
      <c r="F2761" t="s">
        <v>51</v>
      </c>
      <c r="G2761">
        <v>-460.5992</v>
      </c>
      <c r="H2761" s="1">
        <v>-1.054906E-6</v>
      </c>
      <c r="I2761">
        <v>210.88749999999999</v>
      </c>
      <c r="J2761">
        <v>-471.40140000000002</v>
      </c>
      <c r="K2761">
        <v>1.123572</v>
      </c>
      <c r="L2761">
        <v>212.7569</v>
      </c>
      <c r="M2761">
        <v>0.92499790000000004</v>
      </c>
      <c r="N2761">
        <v>0</v>
      </c>
      <c r="O2761">
        <v>-0.3796889</v>
      </c>
      <c r="P2761">
        <v>0.98677380000000003</v>
      </c>
      <c r="Q2761">
        <v>-2.14898E-2</v>
      </c>
      <c r="R2761">
        <v>-0.16067239999999999</v>
      </c>
      <c r="S2761">
        <v>2.9463810000000001</v>
      </c>
      <c r="T2761">
        <v>-0.29196040000000001</v>
      </c>
      <c r="U2761">
        <v>-0.5381165</v>
      </c>
      <c r="V2761">
        <v>-0.2256861</v>
      </c>
      <c r="W2761">
        <v>-1.500488E-2</v>
      </c>
      <c r="X2761">
        <v>0.97408450000000002</v>
      </c>
      <c r="Y2761">
        <v>-0.20469010000000001</v>
      </c>
      <c r="Z2761">
        <v>4.622544E-2</v>
      </c>
      <c r="AA2761">
        <v>0.97773469999999996</v>
      </c>
      <c r="AB2761">
        <v>30</v>
      </c>
      <c r="AC2761">
        <v>10.802199999999999</v>
      </c>
      <c r="AD2761">
        <v>-1.1235730549059999</v>
      </c>
      <c r="AE2761">
        <v>-1.8694000000000099</v>
      </c>
      <c r="AF2761">
        <v>-2.3478771425483602</v>
      </c>
      <c r="AG2761">
        <v>-1.1235730549059999</v>
      </c>
      <c r="AH2761">
        <v>10.591697377779701</v>
      </c>
      <c r="AI2761">
        <v>95.912844318243302</v>
      </c>
      <c r="AJ2761">
        <v>102.498733481692</v>
      </c>
      <c r="AK2761">
        <v>10.9068325754399</v>
      </c>
      <c r="AL2761">
        <v>90.859748570330595</v>
      </c>
      <c r="AM2761">
        <v>103.044721220543</v>
      </c>
      <c r="AN2761">
        <v>0.99999998764863696</v>
      </c>
    </row>
    <row r="2762" spans="1:40" x14ac:dyDescent="0.25">
      <c r="A2762" t="str">
        <f>"20190312151551691"</f>
        <v>20190312151551691</v>
      </c>
      <c r="B2762" t="str">
        <f>"1552374951680392"</f>
        <v>1552374951680392</v>
      </c>
      <c r="C2762" t="s">
        <v>40</v>
      </c>
      <c r="D2762">
        <v>4.9592720000000003</v>
      </c>
      <c r="E2762">
        <v>0.51617349999999995</v>
      </c>
      <c r="F2762" t="s">
        <v>51</v>
      </c>
      <c r="G2762">
        <v>-461.00049999999999</v>
      </c>
      <c r="H2762" s="1">
        <v>-8.3090059999999896E-7</v>
      </c>
      <c r="I2762">
        <v>210.64750000000001</v>
      </c>
      <c r="J2762">
        <v>-471.14839999999998</v>
      </c>
      <c r="K2762">
        <v>1.1235569999999999</v>
      </c>
      <c r="L2762">
        <v>212.6694</v>
      </c>
      <c r="M2762">
        <v>0.93110170000000003</v>
      </c>
      <c r="N2762">
        <v>0</v>
      </c>
      <c r="O2762">
        <v>-0.36446450000000002</v>
      </c>
      <c r="P2762">
        <v>0.98886839999999998</v>
      </c>
      <c r="Q2762">
        <v>-2.1154940000000001E-2</v>
      </c>
      <c r="R2762">
        <v>-0.14728039999999901</v>
      </c>
      <c r="S2762">
        <v>2.93634</v>
      </c>
      <c r="T2762">
        <v>-0.31720300000000001</v>
      </c>
      <c r="U2762">
        <v>-0.59551999999999905</v>
      </c>
      <c r="V2762">
        <v>-0.2229286</v>
      </c>
      <c r="W2762">
        <v>-1.456814E-2</v>
      </c>
      <c r="X2762">
        <v>0.97472590000000003</v>
      </c>
      <c r="Y2762">
        <v>-0.1692845</v>
      </c>
      <c r="Z2762">
        <v>4.6853939999999997E-2</v>
      </c>
      <c r="AA2762">
        <v>0.98445280000000002</v>
      </c>
      <c r="AB2762">
        <v>30</v>
      </c>
      <c r="AC2762">
        <v>10.1478999999999</v>
      </c>
      <c r="AD2762">
        <v>-1.1235578309006</v>
      </c>
      <c r="AE2762">
        <v>-2.02189999999998</v>
      </c>
      <c r="AF2762">
        <v>-1.79498650204696</v>
      </c>
      <c r="AG2762">
        <v>-1.1235578309006</v>
      </c>
      <c r="AH2762">
        <v>10.068027293420201</v>
      </c>
      <c r="AI2762">
        <v>96.269611615981702</v>
      </c>
      <c r="AJ2762">
        <v>100.108812398788</v>
      </c>
      <c r="AK2762">
        <v>10.288320189562601</v>
      </c>
      <c r="AL2762">
        <v>90.834722476636202</v>
      </c>
      <c r="AM2762">
        <v>102.882493026288</v>
      </c>
      <c r="AN2762">
        <v>0.99999998576591398</v>
      </c>
    </row>
    <row r="2763" spans="1:40" x14ac:dyDescent="0.25">
      <c r="A2763" t="str">
        <f>"20190312151551715"</f>
        <v>20190312151551715</v>
      </c>
      <c r="B2763" t="str">
        <f>"1552374951710646"</f>
        <v>1552374951710646</v>
      </c>
      <c r="C2763" t="s">
        <v>40</v>
      </c>
      <c r="D2763">
        <v>4.9750459999999999</v>
      </c>
      <c r="E2763">
        <v>0.48034959999999999</v>
      </c>
      <c r="F2763" t="s">
        <v>51</v>
      </c>
      <c r="G2763">
        <v>-461.17239999999998</v>
      </c>
      <c r="H2763" s="1">
        <v>-7.4381009999999998E-7</v>
      </c>
      <c r="I2763">
        <v>210.7475</v>
      </c>
      <c r="J2763">
        <v>-470.8578</v>
      </c>
      <c r="K2763">
        <v>1.1235170000000001</v>
      </c>
      <c r="L2763">
        <v>212.5744</v>
      </c>
      <c r="M2763">
        <v>0.93774179999999996</v>
      </c>
      <c r="N2763">
        <v>0</v>
      </c>
      <c r="O2763">
        <v>-0.3470241</v>
      </c>
      <c r="P2763">
        <v>0.99117330000000003</v>
      </c>
      <c r="Q2763">
        <v>-2.05498E-2</v>
      </c>
      <c r="R2763">
        <v>-0.130971</v>
      </c>
      <c r="S2763">
        <v>2.9422609999999998</v>
      </c>
      <c r="T2763">
        <v>-0.33137260000000002</v>
      </c>
      <c r="U2763">
        <v>-0.56680299999999995</v>
      </c>
      <c r="V2763">
        <v>-0.22082060000000001</v>
      </c>
      <c r="W2763">
        <v>-1.3880979999999999E-2</v>
      </c>
      <c r="X2763">
        <v>0.97521570000000002</v>
      </c>
      <c r="Y2763">
        <v>-0.16041359999999999</v>
      </c>
      <c r="Z2763">
        <v>4.6602419999999999E-2</v>
      </c>
      <c r="AA2763">
        <v>0.98594919999999997</v>
      </c>
      <c r="AB2763">
        <v>30</v>
      </c>
      <c r="AC2763">
        <v>9.6854000000000102</v>
      </c>
      <c r="AD2763">
        <v>-1.1235177438101001</v>
      </c>
      <c r="AE2763">
        <v>-1.82689999999999</v>
      </c>
      <c r="AF2763">
        <v>-1.62694313254956</v>
      </c>
      <c r="AG2763">
        <v>-1.1235177438101001</v>
      </c>
      <c r="AH2763">
        <v>9.5927772936578197</v>
      </c>
      <c r="AI2763">
        <v>96.586899308003694</v>
      </c>
      <c r="AJ2763">
        <v>99.625816316049907</v>
      </c>
      <c r="AK2763">
        <v>9.7944174039563698</v>
      </c>
      <c r="AL2763">
        <v>90.795347080338402</v>
      </c>
      <c r="AM2763">
        <v>102.75848476580001</v>
      </c>
      <c r="AN2763">
        <v>1.0000000402583</v>
      </c>
    </row>
    <row r="2764" spans="1:40" x14ac:dyDescent="0.25">
      <c r="A2764" t="str">
        <f>"20190312151551736"</f>
        <v>20190312151551736</v>
      </c>
      <c r="B2764" t="str">
        <f>"1552374951730166"</f>
        <v>1552374951730166</v>
      </c>
      <c r="C2764" t="s">
        <v>40</v>
      </c>
      <c r="D2764">
        <v>4.9689019999999999</v>
      </c>
      <c r="E2764">
        <v>0.47106320000000002</v>
      </c>
      <c r="F2764" t="s">
        <v>52</v>
      </c>
      <c r="G2764">
        <v>-436.56049999999999</v>
      </c>
      <c r="H2764" s="1">
        <v>5.5423890000000004E-6</v>
      </c>
      <c r="I2764">
        <v>209.85679999999999</v>
      </c>
      <c r="J2764">
        <v>-470.59469999999999</v>
      </c>
      <c r="K2764">
        <v>1.1234649999999999</v>
      </c>
      <c r="L2764">
        <v>212.49359999999999</v>
      </c>
      <c r="M2764">
        <v>0.94341149999999996</v>
      </c>
      <c r="N2764">
        <v>0</v>
      </c>
      <c r="O2764">
        <v>-0.33130140000000002</v>
      </c>
      <c r="P2764">
        <v>0.99288900000000002</v>
      </c>
      <c r="Q2764">
        <v>-2.1530859999999999E-2</v>
      </c>
      <c r="R2764">
        <v>-0.1170812</v>
      </c>
      <c r="S2764">
        <v>2.993347</v>
      </c>
      <c r="T2764">
        <v>-9.8056199999999996E-2</v>
      </c>
      <c r="U2764">
        <v>-0.23718259999999999</v>
      </c>
      <c r="V2764">
        <v>-0.2181352</v>
      </c>
      <c r="W2764">
        <v>-1.475577E-2</v>
      </c>
      <c r="X2764">
        <v>0.97580699999999998</v>
      </c>
      <c r="Y2764">
        <v>-0.2554689</v>
      </c>
      <c r="Z2764">
        <v>1.4818039999999999E-2</v>
      </c>
      <c r="AA2764">
        <v>0.96670370000000005</v>
      </c>
      <c r="AB2764">
        <v>30</v>
      </c>
      <c r="AC2764">
        <v>34.034199999999998</v>
      </c>
      <c r="AD2764">
        <v>-1.123459457611</v>
      </c>
      <c r="AE2764">
        <v>-2.6367999999999898</v>
      </c>
      <c r="AF2764">
        <v>-8.7794223297632996</v>
      </c>
      <c r="AG2764">
        <v>-1.123459457611</v>
      </c>
      <c r="AH2764">
        <v>32.949673754190798</v>
      </c>
      <c r="AI2764">
        <v>91.887026797397098</v>
      </c>
      <c r="AJ2764">
        <v>104.919797021066</v>
      </c>
      <c r="AK2764">
        <v>34.117758104905597</v>
      </c>
      <c r="AL2764">
        <v>90.845474027810695</v>
      </c>
      <c r="AM2764">
        <v>102.600922338522</v>
      </c>
      <c r="AN2764">
        <v>0.999999999738166</v>
      </c>
    </row>
    <row r="2765" spans="1:40" x14ac:dyDescent="0.25">
      <c r="A2765" t="str">
        <f>"20190312151551759"</f>
        <v>20190312151551759</v>
      </c>
      <c r="B2765" t="str">
        <f>"1552374951750662"</f>
        <v>1552374951750662</v>
      </c>
      <c r="C2765" t="s">
        <v>40</v>
      </c>
      <c r="D2765">
        <v>5.0263450000000001</v>
      </c>
      <c r="E2765">
        <v>0.46832810000000002</v>
      </c>
      <c r="F2765" t="s">
        <v>51</v>
      </c>
      <c r="G2765">
        <v>-443.18329999999997</v>
      </c>
      <c r="H2765" s="1">
        <v>2.9850700000000001E-7</v>
      </c>
      <c r="I2765">
        <v>211.38409999999999</v>
      </c>
      <c r="J2765">
        <v>-470.30200000000002</v>
      </c>
      <c r="K2765">
        <v>1.123394</v>
      </c>
      <c r="L2765">
        <v>212.4093</v>
      </c>
      <c r="M2765">
        <v>0.94934839999999998</v>
      </c>
      <c r="N2765">
        <v>0</v>
      </c>
      <c r="O2765">
        <v>-0.31388569999999999</v>
      </c>
      <c r="P2765">
        <v>0.99432790000000004</v>
      </c>
      <c r="Q2765">
        <v>-2.317048E-2</v>
      </c>
      <c r="R2765">
        <v>-0.1038038</v>
      </c>
      <c r="S2765">
        <v>3.0044559999999998</v>
      </c>
      <c r="T2765">
        <v>-0.1231385</v>
      </c>
      <c r="U2765">
        <v>-0.1216125</v>
      </c>
      <c r="V2765">
        <v>-0.2131527</v>
      </c>
      <c r="W2765">
        <v>-1.620216E-2</v>
      </c>
      <c r="X2765">
        <v>0.97688450000000004</v>
      </c>
      <c r="Y2765">
        <v>-0.27477750000000001</v>
      </c>
      <c r="Z2765">
        <v>1.8294609999999999E-2</v>
      </c>
      <c r="AA2765">
        <v>0.96133380000000002</v>
      </c>
      <c r="AB2765">
        <v>30</v>
      </c>
      <c r="AC2765">
        <v>27.118699999999901</v>
      </c>
      <c r="AD2765">
        <v>-1.123393701493</v>
      </c>
      <c r="AE2765">
        <v>-1.0252000000000101</v>
      </c>
      <c r="AF2765">
        <v>-7.5268067836164301</v>
      </c>
      <c r="AG2765">
        <v>-1.123393701493</v>
      </c>
      <c r="AH2765">
        <v>26.025075417195101</v>
      </c>
      <c r="AI2765">
        <v>92.374490663129905</v>
      </c>
      <c r="AJ2765">
        <v>106.13059034062501</v>
      </c>
      <c r="AK2765">
        <v>27.114929176325401</v>
      </c>
      <c r="AL2765">
        <v>90.928356048988903</v>
      </c>
      <c r="AM2765">
        <v>102.30881438467</v>
      </c>
      <c r="AN2765">
        <v>0.99999995492310101</v>
      </c>
    </row>
    <row r="2766" spans="1:40" x14ac:dyDescent="0.25">
      <c r="A2766" t="str">
        <f>"20190312151551780"</f>
        <v>20190312151551780</v>
      </c>
      <c r="B2766" t="str">
        <f>"1552374951770182"</f>
        <v>1552374951770182</v>
      </c>
      <c r="C2766" t="s">
        <v>40</v>
      </c>
      <c r="D2766">
        <v>4.9502030000000001</v>
      </c>
      <c r="E2766">
        <v>0.46750439999999999</v>
      </c>
      <c r="F2766" t="s">
        <v>51</v>
      </c>
      <c r="G2766">
        <v>-445.84609999999998</v>
      </c>
      <c r="H2766" s="1">
        <v>1.69182799999999E-6</v>
      </c>
      <c r="I2766">
        <v>211.92519999999999</v>
      </c>
      <c r="J2766">
        <v>-470.03489999999999</v>
      </c>
      <c r="K2766">
        <v>1.123319</v>
      </c>
      <c r="L2766">
        <v>212.3372</v>
      </c>
      <c r="M2766">
        <v>0.95443029999999995</v>
      </c>
      <c r="N2766">
        <v>0</v>
      </c>
      <c r="O2766">
        <v>-0.29807709999999998</v>
      </c>
      <c r="P2766">
        <v>0.99538729999999997</v>
      </c>
      <c r="Q2766">
        <v>-2.4119479999999999E-2</v>
      </c>
      <c r="R2766">
        <v>-9.2858590000000005E-2</v>
      </c>
      <c r="S2766">
        <v>3.0077210000000001</v>
      </c>
      <c r="T2766">
        <v>-0.1381607</v>
      </c>
      <c r="U2766">
        <v>-5.9539790000000002E-2</v>
      </c>
      <c r="V2766">
        <v>-0.20764079999999999</v>
      </c>
      <c r="W2766">
        <v>-1.6936010000000001E-2</v>
      </c>
      <c r="X2766">
        <v>0.97805850000000005</v>
      </c>
      <c r="Y2766">
        <v>-0.2785589</v>
      </c>
      <c r="Z2766">
        <v>1.9909699999999999E-2</v>
      </c>
      <c r="AA2766">
        <v>0.96021279999999998</v>
      </c>
      <c r="AB2766">
        <v>30</v>
      </c>
      <c r="AC2766">
        <v>24.188800000000001</v>
      </c>
      <c r="AD2766">
        <v>-1.123317308172</v>
      </c>
      <c r="AE2766">
        <v>-0.41200000000000597</v>
      </c>
      <c r="AF2766">
        <v>-6.8029604260571102</v>
      </c>
      <c r="AG2766">
        <v>-1.123317308172</v>
      </c>
      <c r="AH2766">
        <v>23.161864638971998</v>
      </c>
      <c r="AI2766">
        <v>92.664219103656507</v>
      </c>
      <c r="AJ2766">
        <v>106.36824414426199</v>
      </c>
      <c r="AK2766">
        <v>24.166383384515701</v>
      </c>
      <c r="AL2766">
        <v>90.970408308241502</v>
      </c>
      <c r="AM2766">
        <v>101.985877651572</v>
      </c>
      <c r="AN2766">
        <v>0.99999997984080402</v>
      </c>
    </row>
    <row r="2767" spans="1:40" x14ac:dyDescent="0.25">
      <c r="A2767" t="str">
        <f>"20190312151551803"</f>
        <v>20190312151551803</v>
      </c>
      <c r="B2767" t="str">
        <f>"1552374951800438"</f>
        <v>1552374951800438</v>
      </c>
      <c r="C2767" t="s">
        <v>40</v>
      </c>
      <c r="D2767">
        <v>4.896039</v>
      </c>
      <c r="E2767">
        <v>0.467839</v>
      </c>
      <c r="F2767" t="s">
        <v>51</v>
      </c>
      <c r="G2767">
        <v>-447.17919999999998</v>
      </c>
      <c r="H2767" s="1">
        <v>2.3896290000000001E-6</v>
      </c>
      <c r="I2767">
        <v>212.1908</v>
      </c>
      <c r="J2767">
        <v>-469.74930000000001</v>
      </c>
      <c r="K2767">
        <v>1.123227</v>
      </c>
      <c r="L2767">
        <v>212.2653</v>
      </c>
      <c r="M2767">
        <v>0.95950789999999997</v>
      </c>
      <c r="N2767">
        <v>0</v>
      </c>
      <c r="O2767">
        <v>-0.28130529999999998</v>
      </c>
      <c r="P2767">
        <v>0.99646299999999999</v>
      </c>
      <c r="Q2767">
        <v>-2.3080300000000002E-2</v>
      </c>
      <c r="R2767">
        <v>-8.0800510000000006E-2</v>
      </c>
      <c r="S2767">
        <v>3.0085139999999999</v>
      </c>
      <c r="T2767">
        <v>-0.1478631</v>
      </c>
      <c r="U2767">
        <v>-1.927185E-2</v>
      </c>
      <c r="V2767">
        <v>-0.20238829999999999</v>
      </c>
      <c r="W2767">
        <v>-1.5686289999999999E-2</v>
      </c>
      <c r="X2767">
        <v>0.97917969999999999</v>
      </c>
      <c r="Y2767">
        <v>-0.27451880000000001</v>
      </c>
      <c r="Z2767">
        <v>2.0414950000000001E-2</v>
      </c>
      <c r="AA2767">
        <v>0.96136500000000003</v>
      </c>
      <c r="AB2767">
        <v>30</v>
      </c>
      <c r="AC2767">
        <v>22.5701</v>
      </c>
      <c r="AD2767">
        <v>-1.123224610371</v>
      </c>
      <c r="AE2767">
        <v>-7.4500000000000399E-2</v>
      </c>
      <c r="AF2767">
        <v>-6.2627601339289001</v>
      </c>
      <c r="AG2767">
        <v>-1.123224610371</v>
      </c>
      <c r="AH2767">
        <v>21.625884390298701</v>
      </c>
      <c r="AI2767">
        <v>92.856062666933596</v>
      </c>
      <c r="AJ2767">
        <v>106.150781723359</v>
      </c>
      <c r="AK2767">
        <v>22.542463789103401</v>
      </c>
      <c r="AL2767">
        <v>90.898795089457394</v>
      </c>
      <c r="AM2767">
        <v>101.67811243440499</v>
      </c>
      <c r="AN2767">
        <v>0.99999998428147097</v>
      </c>
    </row>
    <row r="2768" spans="1:40" x14ac:dyDescent="0.25">
      <c r="A2768" t="str">
        <f>"20190312151551827"</f>
        <v>20190312151551827</v>
      </c>
      <c r="B2768" t="str">
        <f>"1552374951819959"</f>
        <v>1552374951819959</v>
      </c>
      <c r="C2768" t="s">
        <v>40</v>
      </c>
      <c r="D2768">
        <v>4.8852830000000003</v>
      </c>
      <c r="E2768">
        <v>0.46866679999999999</v>
      </c>
      <c r="F2768" t="s">
        <v>51</v>
      </c>
      <c r="G2768">
        <v>-447.63869999999997</v>
      </c>
      <c r="H2768" s="1">
        <v>2.6261769999999999E-6</v>
      </c>
      <c r="I2768">
        <v>212.3732</v>
      </c>
      <c r="J2768">
        <v>-469.44650000000001</v>
      </c>
      <c r="K2768">
        <v>1.1231040000000001</v>
      </c>
      <c r="L2768">
        <v>212.1944</v>
      </c>
      <c r="M2768">
        <v>0.96449479999999999</v>
      </c>
      <c r="N2768">
        <v>0</v>
      </c>
      <c r="O2768">
        <v>-0.26370260000000001</v>
      </c>
      <c r="P2768">
        <v>0.99749960000000004</v>
      </c>
      <c r="Q2768">
        <v>-2.1601749999999999E-2</v>
      </c>
      <c r="R2768">
        <v>-6.7290489999999994E-2</v>
      </c>
      <c r="S2768">
        <v>3.0083009999999999</v>
      </c>
      <c r="T2768">
        <v>-0.1528224</v>
      </c>
      <c r="U2768">
        <v>1.467896E-2</v>
      </c>
      <c r="V2768">
        <v>-0.19780410000000001</v>
      </c>
      <c r="W2768">
        <v>-1.401751E-2</v>
      </c>
      <c r="X2768">
        <v>0.98014129999999999</v>
      </c>
      <c r="Y2768">
        <v>-0.26775450000000001</v>
      </c>
      <c r="Z2768">
        <v>2.0066859999999999E-2</v>
      </c>
      <c r="AA2768">
        <v>0.96327819999999997</v>
      </c>
      <c r="AB2768">
        <v>30</v>
      </c>
      <c r="AC2768">
        <v>21.8078</v>
      </c>
      <c r="AD2768">
        <v>-1.123101373823</v>
      </c>
      <c r="AE2768">
        <v>0.17879999999999499</v>
      </c>
      <c r="AF2768">
        <v>-5.9081804894660097</v>
      </c>
      <c r="AG2768">
        <v>-1.123101373823</v>
      </c>
      <c r="AH2768">
        <v>20.933055210407101</v>
      </c>
      <c r="AI2768">
        <v>92.955832862142401</v>
      </c>
      <c r="AJ2768">
        <v>105.76127781070301</v>
      </c>
      <c r="AK2768">
        <v>21.779824467473201</v>
      </c>
      <c r="AL2768">
        <v>90.803170498236</v>
      </c>
      <c r="AM2768">
        <v>101.409714589042</v>
      </c>
      <c r="AN2768">
        <v>0.99999996026454896</v>
      </c>
    </row>
    <row r="2769" spans="1:40" x14ac:dyDescent="0.25">
      <c r="A2769" t="str">
        <f>"20190312151551870"</f>
        <v>20190312151551870</v>
      </c>
      <c r="B2769" t="str">
        <f>"1552374951859974"</f>
        <v>1552374951859974</v>
      </c>
      <c r="C2769" t="s">
        <v>40</v>
      </c>
      <c r="D2769">
        <v>4.8973839999999997</v>
      </c>
      <c r="E2769">
        <v>0.47044780000000003</v>
      </c>
      <c r="F2769" t="s">
        <v>51</v>
      </c>
      <c r="G2769">
        <v>-447.24149999999997</v>
      </c>
      <c r="H2769" s="1">
        <v>2.4068410000000001E-6</v>
      </c>
      <c r="I2769">
        <v>212.55539999999999</v>
      </c>
      <c r="J2769">
        <v>-468.89389999999997</v>
      </c>
      <c r="K2769">
        <v>1.122779</v>
      </c>
      <c r="L2769">
        <v>212.0795</v>
      </c>
      <c r="M2769">
        <v>0.97256140000000002</v>
      </c>
      <c r="N2769">
        <v>0</v>
      </c>
      <c r="O2769">
        <v>-0.23219880000000001</v>
      </c>
      <c r="P2769">
        <v>0.99891660000000004</v>
      </c>
      <c r="Q2769">
        <v>-2.1357109999999999E-2</v>
      </c>
      <c r="R2769">
        <v>-4.1345310000000003E-2</v>
      </c>
      <c r="S2769">
        <v>3.007568</v>
      </c>
      <c r="T2769">
        <v>-0.15211859999999999</v>
      </c>
      <c r="U2769">
        <v>4.8889160000000001E-2</v>
      </c>
      <c r="V2769">
        <v>-0.19141659999999999</v>
      </c>
      <c r="W2769">
        <v>-1.3491090000000001E-2</v>
      </c>
      <c r="X2769">
        <v>0.98141619999999996</v>
      </c>
      <c r="Y2769">
        <v>-0.2473919</v>
      </c>
      <c r="Z2769">
        <v>1.7913350000000001E-2</v>
      </c>
      <c r="AA2769">
        <v>0.96874990000000005</v>
      </c>
      <c r="AB2769">
        <v>30</v>
      </c>
      <c r="AC2769">
        <v>21.6524</v>
      </c>
      <c r="AD2769">
        <v>-1.1227765931589999</v>
      </c>
      <c r="AE2769">
        <v>0.47589999999999499</v>
      </c>
      <c r="AF2769">
        <v>-5.4763562170706601</v>
      </c>
      <c r="AG2769">
        <v>-1.1227765931589999</v>
      </c>
      <c r="AH2769">
        <v>20.8938101476854</v>
      </c>
      <c r="AI2769">
        <v>92.975637372605405</v>
      </c>
      <c r="AJ2769">
        <v>104.687088180635</v>
      </c>
      <c r="AK2769">
        <v>21.628740305018098</v>
      </c>
      <c r="AL2769">
        <v>90.773005936661704</v>
      </c>
      <c r="AM2769">
        <v>101.03648347276599</v>
      </c>
      <c r="AN2769">
        <v>1.00000004094369</v>
      </c>
    </row>
    <row r="2770" spans="1:40" x14ac:dyDescent="0.25">
      <c r="A2770" t="str">
        <f>"20190312151551892"</f>
        <v>20190312151551892</v>
      </c>
      <c r="B2770" t="str">
        <f>"1552374951880474"</f>
        <v>1552374951880474</v>
      </c>
      <c r="C2770" t="s">
        <v>40</v>
      </c>
      <c r="D2770">
        <v>4.8719489999999999</v>
      </c>
      <c r="E2770">
        <v>0.47199469999999999</v>
      </c>
      <c r="F2770" t="s">
        <v>51</v>
      </c>
      <c r="G2770">
        <v>-446.41559999999998</v>
      </c>
      <c r="H2770" s="1">
        <v>1.9514550000000001E-6</v>
      </c>
      <c r="I2770">
        <v>212.9194</v>
      </c>
      <c r="J2770">
        <v>-468.62099999999998</v>
      </c>
      <c r="K2770">
        <v>1.122595</v>
      </c>
      <c r="L2770">
        <v>212.02930000000001</v>
      </c>
      <c r="M2770">
        <v>0.97607029999999995</v>
      </c>
      <c r="N2770">
        <v>0</v>
      </c>
      <c r="O2770">
        <v>-0.21698020000000001</v>
      </c>
      <c r="P2770">
        <v>0.99928340000000004</v>
      </c>
      <c r="Q2770">
        <v>-2.2825020000000001E-2</v>
      </c>
      <c r="R2770">
        <v>-3.0199529999999999E-2</v>
      </c>
      <c r="S2770">
        <v>3.0047000000000001</v>
      </c>
      <c r="T2770">
        <v>-0.1500831</v>
      </c>
      <c r="U2770">
        <v>0.1122742</v>
      </c>
      <c r="V2770">
        <v>-0.18698609999999999</v>
      </c>
      <c r="W2770">
        <v>-1.478172E-2</v>
      </c>
      <c r="X2770">
        <v>0.98225130000000005</v>
      </c>
      <c r="Y2770">
        <v>-0.25271900000000003</v>
      </c>
      <c r="Z2770">
        <v>1.7079750000000001E-2</v>
      </c>
      <c r="AA2770">
        <v>0.96738900000000005</v>
      </c>
      <c r="AB2770">
        <v>30</v>
      </c>
      <c r="AC2770">
        <v>22.205400000000001</v>
      </c>
      <c r="AD2770">
        <v>-1.122593048545</v>
      </c>
      <c r="AE2770">
        <v>0.89009999999998901</v>
      </c>
      <c r="AF2770">
        <v>-5.6730432569197902</v>
      </c>
      <c r="AG2770">
        <v>-1.122593048545</v>
      </c>
      <c r="AH2770">
        <v>21.428435114094999</v>
      </c>
      <c r="AI2770">
        <v>92.899169826029393</v>
      </c>
      <c r="AJ2770">
        <v>104.82850500822801</v>
      </c>
      <c r="AK2770">
        <v>22.195077526030499</v>
      </c>
      <c r="AL2770">
        <v>90.846961050314803</v>
      </c>
      <c r="AM2770">
        <v>100.778140545011</v>
      </c>
      <c r="AN2770">
        <v>0.99999995859552804</v>
      </c>
    </row>
    <row r="2771" spans="1:40" x14ac:dyDescent="0.25">
      <c r="A2771" t="str">
        <f>"20190312151551914"</f>
        <v>20190312151551914</v>
      </c>
      <c r="B2771" t="str">
        <f>"1552374951910726"</f>
        <v>1552374951910726</v>
      </c>
      <c r="C2771" t="s">
        <v>40</v>
      </c>
      <c r="D2771">
        <v>4.8968189999999998</v>
      </c>
      <c r="E2771">
        <v>0.47436909999999999</v>
      </c>
      <c r="F2771" t="s">
        <v>51</v>
      </c>
      <c r="G2771">
        <v>-447.45229999999998</v>
      </c>
      <c r="H2771" s="1">
        <v>2.5007960000000002E-6</v>
      </c>
      <c r="I2771">
        <v>212.9725</v>
      </c>
      <c r="J2771">
        <v>-468.3372</v>
      </c>
      <c r="K2771">
        <v>1.12236</v>
      </c>
      <c r="L2771">
        <v>211.98150000000001</v>
      </c>
      <c r="M2771">
        <v>0.97938970000000003</v>
      </c>
      <c r="N2771">
        <v>0</v>
      </c>
      <c r="O2771">
        <v>-0.20147309999999999</v>
      </c>
      <c r="P2771">
        <v>0.99956350000000005</v>
      </c>
      <c r="Q2771">
        <v>-2.2641149999999999E-2</v>
      </c>
      <c r="R2771">
        <v>-1.8985740000000001E-2</v>
      </c>
      <c r="S2771">
        <v>3.0025629999999999</v>
      </c>
      <c r="T2771">
        <v>-0.159227799999999</v>
      </c>
      <c r="U2771">
        <v>0.13378909999999999</v>
      </c>
      <c r="V2771">
        <v>-0.18244279999999999</v>
      </c>
      <c r="W2771">
        <v>-1.440819E-2</v>
      </c>
      <c r="X2771">
        <v>0.98311090000000001</v>
      </c>
      <c r="Y2771">
        <v>-0.24427160000000001</v>
      </c>
      <c r="Z2771">
        <v>1.70984E-2</v>
      </c>
      <c r="AA2771">
        <v>0.96955610000000003</v>
      </c>
      <c r="AB2771">
        <v>30</v>
      </c>
      <c r="AC2771">
        <v>20.884899999999998</v>
      </c>
      <c r="AD2771">
        <v>-1.122357499204</v>
      </c>
      <c r="AE2771">
        <v>0.990999999999985</v>
      </c>
      <c r="AF2771">
        <v>-5.16397000160236</v>
      </c>
      <c r="AG2771">
        <v>-1.122357499204</v>
      </c>
      <c r="AH2771">
        <v>20.198663763941699</v>
      </c>
      <c r="AI2771">
        <v>93.081510690018504</v>
      </c>
      <c r="AJ2771">
        <v>104.340998388721</v>
      </c>
      <c r="AK2771">
        <v>20.878512647749599</v>
      </c>
      <c r="AL2771">
        <v>90.825557037488494</v>
      </c>
      <c r="AM2771">
        <v>100.513182088912</v>
      </c>
      <c r="AN2771">
        <v>1.00000000645486</v>
      </c>
    </row>
    <row r="2772" spans="1:40" x14ac:dyDescent="0.25">
      <c r="A2772" t="str">
        <f>"20190312151551938"</f>
        <v>20190312151551938</v>
      </c>
      <c r="B2772" t="str">
        <f>"1552374951930247"</f>
        <v>1552374951930247</v>
      </c>
      <c r="C2772" t="s">
        <v>40</v>
      </c>
      <c r="D2772">
        <v>5.065728</v>
      </c>
      <c r="E2772">
        <v>0.47526269999999998</v>
      </c>
      <c r="F2772" t="s">
        <v>51</v>
      </c>
      <c r="G2772">
        <v>-447.15570000000002</v>
      </c>
      <c r="H2772" s="1">
        <v>2.3404460000000001E-6</v>
      </c>
      <c r="I2772">
        <v>213.03059999999999</v>
      </c>
      <c r="J2772">
        <v>-468.03519999999997</v>
      </c>
      <c r="K2772">
        <v>1.1220650000000001</v>
      </c>
      <c r="L2772">
        <v>211.9357</v>
      </c>
      <c r="M2772">
        <v>0.98255749999999997</v>
      </c>
      <c r="N2772">
        <v>0</v>
      </c>
      <c r="O2772">
        <v>-0.185416</v>
      </c>
      <c r="P2772">
        <v>0.99975139999999996</v>
      </c>
      <c r="Q2772">
        <v>-2.1074099999999998E-2</v>
      </c>
      <c r="R2772">
        <v>-7.2789169999999898E-3</v>
      </c>
      <c r="S2772">
        <v>3.0005489999999999</v>
      </c>
      <c r="T2772">
        <v>-0.15899250000000001</v>
      </c>
      <c r="U2772">
        <v>0.1486053</v>
      </c>
      <c r="V2772">
        <v>-0.1779279</v>
      </c>
      <c r="W2772">
        <v>-1.2645689999999999E-2</v>
      </c>
      <c r="X2772">
        <v>0.98396220000000001</v>
      </c>
      <c r="Y2772">
        <v>-0.2332302</v>
      </c>
      <c r="Z2772">
        <v>1.5952290000000001E-2</v>
      </c>
      <c r="AA2772">
        <v>0.97229069999999995</v>
      </c>
      <c r="AB2772">
        <v>30</v>
      </c>
      <c r="AC2772">
        <v>20.879499999999901</v>
      </c>
      <c r="AD2772">
        <v>-1.122062659554</v>
      </c>
      <c r="AE2772">
        <v>1.09489999999999</v>
      </c>
      <c r="AF2772">
        <v>-4.9334857636913902</v>
      </c>
      <c r="AG2772">
        <v>-1.122062659554</v>
      </c>
      <c r="AH2772">
        <v>20.2560073022496</v>
      </c>
      <c r="AI2772">
        <v>93.080729240986201</v>
      </c>
      <c r="AJ2772">
        <v>103.68826097636099</v>
      </c>
      <c r="AK2772">
        <v>20.8783174183481</v>
      </c>
      <c r="AL2772">
        <v>90.724564028123496</v>
      </c>
      <c r="AM2772">
        <v>100.249918196078</v>
      </c>
      <c r="AN2772">
        <v>0.99999993105141005</v>
      </c>
    </row>
    <row r="2773" spans="1:40" x14ac:dyDescent="0.25">
      <c r="A2773" t="str">
        <f>"20190312151551960"</f>
        <v>20190312151551960</v>
      </c>
      <c r="B2773" t="str">
        <f>"1552374951950742"</f>
        <v>1552374951950742</v>
      </c>
      <c r="C2773" t="s">
        <v>40</v>
      </c>
      <c r="D2773">
        <v>4.9111459999999996</v>
      </c>
      <c r="E2773">
        <v>0.49924619999999997</v>
      </c>
      <c r="F2773" t="s">
        <v>51</v>
      </c>
      <c r="G2773">
        <v>-446.36320000000001</v>
      </c>
      <c r="H2773" s="1">
        <v>1.910931E-6</v>
      </c>
      <c r="I2773">
        <v>213.20869999999999</v>
      </c>
      <c r="J2773">
        <v>-467.74160000000001</v>
      </c>
      <c r="K2773">
        <v>1.1217809999999999</v>
      </c>
      <c r="L2773">
        <v>211.8954</v>
      </c>
      <c r="M2773">
        <v>0.98531219999999997</v>
      </c>
      <c r="N2773">
        <v>0</v>
      </c>
      <c r="O2773">
        <v>-0.1701782</v>
      </c>
      <c r="P2773">
        <v>0.99975000000000003</v>
      </c>
      <c r="Q2773">
        <v>-2.2139699999999998E-2</v>
      </c>
      <c r="R2773">
        <v>3.1832800000000001E-3</v>
      </c>
      <c r="S2773">
        <v>2.9987180000000002</v>
      </c>
      <c r="T2773">
        <v>-0.15525829999999999</v>
      </c>
      <c r="U2773">
        <v>0.17614749999999901</v>
      </c>
      <c r="V2773">
        <v>-0.17295779999999999</v>
      </c>
      <c r="W2773">
        <v>-1.351072E-2</v>
      </c>
      <c r="X2773">
        <v>0.98483659999999995</v>
      </c>
      <c r="Y2773">
        <v>-0.22715650000000001</v>
      </c>
      <c r="Z2773">
        <v>1.464854E-2</v>
      </c>
      <c r="AA2773">
        <v>0.97374810000000001</v>
      </c>
      <c r="AB2773">
        <v>30</v>
      </c>
      <c r="AC2773">
        <v>21.378399999999999</v>
      </c>
      <c r="AD2773">
        <v>-1.12177908906899</v>
      </c>
      <c r="AE2773">
        <v>1.3132999999999899</v>
      </c>
      <c r="AF2773">
        <v>-4.9191462790262204</v>
      </c>
      <c r="AG2773">
        <v>-1.12177908906899</v>
      </c>
      <c r="AH2773">
        <v>20.785963636131399</v>
      </c>
      <c r="AI2773">
        <v>93.006268022591797</v>
      </c>
      <c r="AJ2773">
        <v>103.314494897329</v>
      </c>
      <c r="AK2773">
        <v>21.389545874602099</v>
      </c>
      <c r="AL2773">
        <v>90.7741307603373</v>
      </c>
      <c r="AM2773">
        <v>99.960754622427004</v>
      </c>
      <c r="AN2773">
        <v>1.0000000344176501</v>
      </c>
    </row>
    <row r="2774" spans="1:40" x14ac:dyDescent="0.25">
      <c r="A2774" t="str">
        <f>"20190312151551983"</f>
        <v>20190312151551983</v>
      </c>
      <c r="B2774" t="str">
        <f>"1552374951970262"</f>
        <v>1552374951970262</v>
      </c>
      <c r="C2774" t="s">
        <v>40</v>
      </c>
      <c r="D2774">
        <v>4.9031739999999999</v>
      </c>
      <c r="E2774">
        <v>0.4991641</v>
      </c>
      <c r="F2774" t="s">
        <v>51</v>
      </c>
      <c r="G2774">
        <v>-441.09370000000001</v>
      </c>
      <c r="H2774" s="1">
        <v>-8.4203140000000003E-7</v>
      </c>
      <c r="I2774">
        <v>212.03639999999999</v>
      </c>
      <c r="J2774">
        <v>-467.44</v>
      </c>
      <c r="K2774">
        <v>1.121462</v>
      </c>
      <c r="L2774">
        <v>211.85839999999999</v>
      </c>
      <c r="M2774">
        <v>0.98782040000000004</v>
      </c>
      <c r="N2774">
        <v>0</v>
      </c>
      <c r="O2774">
        <v>-0.15496399999999999</v>
      </c>
      <c r="P2774">
        <v>0.9996138</v>
      </c>
      <c r="Q2774">
        <v>-2.5610709999999998E-2</v>
      </c>
      <c r="R2774">
        <v>1.0790020000000001E-2</v>
      </c>
      <c r="S2774">
        <v>2.9978940000000001</v>
      </c>
      <c r="T2774">
        <v>-0.12620039999999999</v>
      </c>
      <c r="U2774">
        <v>1.5853880000000001E-2</v>
      </c>
      <c r="V2774">
        <v>-0.1651561</v>
      </c>
      <c r="W2774">
        <v>-1.6691299999999999E-2</v>
      </c>
      <c r="X2774">
        <v>0.98612619999999895</v>
      </c>
      <c r="Y2774">
        <v>-0.15992329999999999</v>
      </c>
      <c r="Z2774">
        <v>9.8665509999999994E-3</v>
      </c>
      <c r="AA2774">
        <v>0.98708019999999996</v>
      </c>
      <c r="AB2774">
        <v>30</v>
      </c>
      <c r="AC2774">
        <v>26.3462999999999</v>
      </c>
      <c r="AD2774">
        <v>-1.1214628420313999</v>
      </c>
      <c r="AE2774">
        <v>0.17799999999999699</v>
      </c>
      <c r="AF2774">
        <v>-4.2512771571028596</v>
      </c>
      <c r="AG2774">
        <v>-1.1214628420313999</v>
      </c>
      <c r="AH2774">
        <v>25.953368026702801</v>
      </c>
      <c r="AI2774">
        <v>92.441749406420897</v>
      </c>
      <c r="AJ2774">
        <v>99.302687795073993</v>
      </c>
      <c r="AK2774">
        <v>26.323152324561001</v>
      </c>
      <c r="AL2774">
        <v>90.956385446999803</v>
      </c>
      <c r="AM2774">
        <v>99.507639453882504</v>
      </c>
      <c r="AN2774">
        <v>1.00000000959466</v>
      </c>
    </row>
    <row r="2775" spans="1:40" x14ac:dyDescent="0.25">
      <c r="A2775" t="str">
        <f>"20190312151552028"</f>
        <v>20190312151552028</v>
      </c>
      <c r="B2775" t="str">
        <f>"1552374952020038"</f>
        <v>1552374952020038</v>
      </c>
      <c r="C2775" t="s">
        <v>40</v>
      </c>
      <c r="D2775">
        <v>4.9239569999999997</v>
      </c>
      <c r="E2775">
        <v>0.50209989999999904</v>
      </c>
      <c r="F2775" t="s">
        <v>51</v>
      </c>
      <c r="G2775">
        <v>-442.64159999999998</v>
      </c>
      <c r="H2775" s="1">
        <v>-2.4749019999999999E-8</v>
      </c>
      <c r="I2775">
        <v>212.18450000000001</v>
      </c>
      <c r="J2775">
        <v>-466.8664</v>
      </c>
      <c r="K2775">
        <v>1.120763</v>
      </c>
      <c r="L2775">
        <v>211.79949999999999</v>
      </c>
      <c r="M2775">
        <v>0.99174759999999995</v>
      </c>
      <c r="N2775">
        <v>0</v>
      </c>
      <c r="O2775">
        <v>-0.12745629999999999</v>
      </c>
      <c r="P2775">
        <v>0.99940340000000005</v>
      </c>
      <c r="Q2775">
        <v>-2.4490069999999999E-2</v>
      </c>
      <c r="R2775">
        <v>2.4349200000000001E-2</v>
      </c>
      <c r="S2775">
        <v>2.997223</v>
      </c>
      <c r="T2775">
        <v>-0.1355441</v>
      </c>
      <c r="U2775">
        <v>3.9413450000000003E-2</v>
      </c>
      <c r="V2775">
        <v>-0.15118029999999999</v>
      </c>
      <c r="W2775">
        <v>-1.505454E-2</v>
      </c>
      <c r="X2775">
        <v>0.98839160000000004</v>
      </c>
      <c r="Y2775">
        <v>-0.14022589999999999</v>
      </c>
      <c r="Z2775">
        <v>8.9197229999999992E-3</v>
      </c>
      <c r="AA2775">
        <v>0.9900793</v>
      </c>
      <c r="AB2775">
        <v>30</v>
      </c>
      <c r="AC2775">
        <v>24.224799999999998</v>
      </c>
      <c r="AD2775">
        <v>-1.1207630247490199</v>
      </c>
      <c r="AE2775">
        <v>0.38500000000001899</v>
      </c>
      <c r="AF2775">
        <v>-3.4623494524582501</v>
      </c>
      <c r="AG2775">
        <v>-1.1207630247490199</v>
      </c>
      <c r="AH2775">
        <v>23.9269119981996</v>
      </c>
      <c r="AI2775">
        <v>92.654232275284002</v>
      </c>
      <c r="AJ2775">
        <v>98.233845589186501</v>
      </c>
      <c r="AK2775">
        <v>24.202088572232199</v>
      </c>
      <c r="AL2775">
        <v>90.862594156229605</v>
      </c>
      <c r="AM2775">
        <v>98.696325676055494</v>
      </c>
      <c r="AN2775">
        <v>1.0000000386166299</v>
      </c>
    </row>
    <row r="2776" spans="1:40" x14ac:dyDescent="0.25">
      <c r="A2776" t="str">
        <f>"20190312151552050"</f>
        <v>20190312151552050</v>
      </c>
      <c r="B2776" t="str">
        <f>"1552374952040534"</f>
        <v>1552374952040534</v>
      </c>
      <c r="C2776" t="s">
        <v>40</v>
      </c>
      <c r="D2776">
        <v>5.0112629999999996</v>
      </c>
      <c r="E2776">
        <v>0.50399430000000001</v>
      </c>
      <c r="F2776" t="s">
        <v>51</v>
      </c>
      <c r="G2776">
        <v>-441.15910000000002</v>
      </c>
      <c r="H2776" s="1">
        <v>-8.1810149999999904E-7</v>
      </c>
      <c r="I2776">
        <v>212.2852</v>
      </c>
      <c r="J2776">
        <v>-466.57170000000002</v>
      </c>
      <c r="K2776">
        <v>1.1203890000000001</v>
      </c>
      <c r="L2776">
        <v>211.7748</v>
      </c>
      <c r="M2776">
        <v>0.99337830000000005</v>
      </c>
      <c r="N2776">
        <v>0</v>
      </c>
      <c r="O2776">
        <v>-0.1140642</v>
      </c>
      <c r="P2776">
        <v>0.9991797</v>
      </c>
      <c r="Q2776">
        <v>-2.3409780000000002E-2</v>
      </c>
      <c r="R2776">
        <v>3.3051049999999998E-2</v>
      </c>
      <c r="S2776">
        <v>2.997223</v>
      </c>
      <c r="T2776">
        <v>-0.13067019999999999</v>
      </c>
      <c r="U2776">
        <v>5.6625370000000001E-2</v>
      </c>
      <c r="V2776">
        <v>-0.1464965</v>
      </c>
      <c r="W2776">
        <v>-1.379963E-2</v>
      </c>
      <c r="X2776">
        <v>0.98911490000000002</v>
      </c>
      <c r="Y2776">
        <v>-0.1325866</v>
      </c>
      <c r="Z2776">
        <v>7.8522950000000005E-3</v>
      </c>
      <c r="AA2776">
        <v>0.99114029999999997</v>
      </c>
      <c r="AB2776">
        <v>30</v>
      </c>
      <c r="AC2776">
        <v>25.412600000000001</v>
      </c>
      <c r="AD2776">
        <v>-1.1203898181015</v>
      </c>
      <c r="AE2776">
        <v>0.51040000000000396</v>
      </c>
      <c r="AF2776">
        <v>-3.3994049809238001</v>
      </c>
      <c r="AG2776">
        <v>-1.1203898181015</v>
      </c>
      <c r="AH2776">
        <v>25.139640887520301</v>
      </c>
      <c r="AI2776">
        <v>92.528808716378606</v>
      </c>
      <c r="AJ2776">
        <v>97.700877760935896</v>
      </c>
      <c r="AK2776">
        <v>25.393163873812899</v>
      </c>
      <c r="AL2776">
        <v>90.790685678052895</v>
      </c>
      <c r="AM2776">
        <v>98.424756091473597</v>
      </c>
      <c r="AN2776">
        <v>0.99999996985119799</v>
      </c>
    </row>
    <row r="2777" spans="1:40" x14ac:dyDescent="0.25">
      <c r="A2777" t="str">
        <f>"20190312151552072"</f>
        <v>20190312151552072</v>
      </c>
      <c r="B2777" t="str">
        <f>"1552374952061031"</f>
        <v>1552374952061031</v>
      </c>
      <c r="C2777" t="s">
        <v>40</v>
      </c>
      <c r="D2777">
        <v>5.0220960000000003</v>
      </c>
      <c r="E2777">
        <v>0.50407489999999999</v>
      </c>
      <c r="F2777" t="s">
        <v>51</v>
      </c>
      <c r="G2777">
        <v>-451.47089999999997</v>
      </c>
      <c r="H2777" s="1">
        <v>-6.4477939999999997E-7</v>
      </c>
      <c r="I2777">
        <v>212.11709999999999</v>
      </c>
      <c r="J2777">
        <v>-466.28640000000001</v>
      </c>
      <c r="K2777">
        <v>1.119998</v>
      </c>
      <c r="L2777">
        <v>211.7542</v>
      </c>
      <c r="M2777">
        <v>0.99472720000000003</v>
      </c>
      <c r="N2777">
        <v>0</v>
      </c>
      <c r="O2777">
        <v>-0.1016455</v>
      </c>
      <c r="P2777">
        <v>0.99895339999999999</v>
      </c>
      <c r="Q2777">
        <v>-2.4414470000000001E-2</v>
      </c>
      <c r="R2777">
        <v>3.8688409999999999E-2</v>
      </c>
      <c r="S2777">
        <v>2.9949949999999999</v>
      </c>
      <c r="T2777">
        <v>-0.2222114</v>
      </c>
      <c r="U2777">
        <v>6.7886349999999998E-2</v>
      </c>
      <c r="V2777">
        <v>-0.1397032</v>
      </c>
      <c r="W2777">
        <v>-1.457022E-2</v>
      </c>
      <c r="X2777">
        <v>0.99008620000000003</v>
      </c>
      <c r="Y2777">
        <v>-0.123554</v>
      </c>
      <c r="Z2777">
        <v>1.209989E-2</v>
      </c>
      <c r="AA2777">
        <v>0.99226409999999998</v>
      </c>
      <c r="AB2777">
        <v>30</v>
      </c>
      <c r="AC2777">
        <v>14.8155</v>
      </c>
      <c r="AD2777">
        <v>-1.1199986447793999</v>
      </c>
      <c r="AE2777">
        <v>0.362899999999996</v>
      </c>
      <c r="AF2777">
        <v>-1.8564859274568499</v>
      </c>
      <c r="AG2777">
        <v>-1.1199986447793999</v>
      </c>
      <c r="AH2777">
        <v>14.618369720089101</v>
      </c>
      <c r="AI2777">
        <v>94.346430560300206</v>
      </c>
      <c r="AJ2777">
        <v>97.237635655049004</v>
      </c>
      <c r="AK2777">
        <v>14.778283737849</v>
      </c>
      <c r="AL2777">
        <v>90.834841669811198</v>
      </c>
      <c r="AM2777">
        <v>98.031530431511499</v>
      </c>
      <c r="AN2777">
        <v>0.99999997941576402</v>
      </c>
    </row>
    <row r="2778" spans="1:40" x14ac:dyDescent="0.25">
      <c r="A2778" t="str">
        <f>"20190312151552094"</f>
        <v>20190312151552094</v>
      </c>
      <c r="B2778" t="str">
        <f>"1552374952090310"</f>
        <v>1552374952090310</v>
      </c>
      <c r="C2778" t="s">
        <v>40</v>
      </c>
      <c r="D2778">
        <v>5.0280870000000002</v>
      </c>
      <c r="E2778">
        <v>0.50533799999999995</v>
      </c>
      <c r="F2778" t="s">
        <v>51</v>
      </c>
      <c r="G2778">
        <v>-451.31479999999999</v>
      </c>
      <c r="H2778" s="1">
        <v>-7.304274E-7</v>
      </c>
      <c r="I2778">
        <v>212.1755</v>
      </c>
      <c r="J2778">
        <v>-466.01010000000002</v>
      </c>
      <c r="K2778">
        <v>1.1195600000000001</v>
      </c>
      <c r="L2778">
        <v>211.7372</v>
      </c>
      <c r="M2778">
        <v>0.99582879999999996</v>
      </c>
      <c r="N2778">
        <v>0</v>
      </c>
      <c r="O2778">
        <v>-9.0230340000000006E-2</v>
      </c>
      <c r="P2778">
        <v>0.99874629999999998</v>
      </c>
      <c r="Q2778">
        <v>-2.3932640000000002E-2</v>
      </c>
      <c r="R2778">
        <v>4.396535E-2</v>
      </c>
      <c r="S2778">
        <v>2.9943849999999999</v>
      </c>
      <c r="T2778">
        <v>-0.22400439999999999</v>
      </c>
      <c r="U2778">
        <v>8.4274290000000002E-2</v>
      </c>
      <c r="V2778">
        <v>-0.13360459999999999</v>
      </c>
      <c r="W2778">
        <v>-1.3875149999999999E-2</v>
      </c>
      <c r="X2778">
        <v>0.99093759999999997</v>
      </c>
      <c r="Y2778">
        <v>-0.1176408</v>
      </c>
      <c r="Z2778">
        <v>1.1128320000000001E-2</v>
      </c>
      <c r="AA2778">
        <v>0.99299380000000004</v>
      </c>
      <c r="AB2778">
        <v>30</v>
      </c>
      <c r="AC2778">
        <v>14.6953</v>
      </c>
      <c r="AD2778">
        <v>-1.11956073042739</v>
      </c>
      <c r="AE2778">
        <v>0.43829999999999802</v>
      </c>
      <c r="AF2778">
        <v>-1.75243305362735</v>
      </c>
      <c r="AG2778">
        <v>-1.11956073042739</v>
      </c>
      <c r="AH2778">
        <v>14.511641298118899</v>
      </c>
      <c r="AI2778">
        <v>94.379886332451406</v>
      </c>
      <c r="AJ2778">
        <v>96.8857244095867</v>
      </c>
      <c r="AK2778">
        <v>14.659883048709199</v>
      </c>
      <c r="AL2778">
        <v>90.795013031472905</v>
      </c>
      <c r="AM2778">
        <v>97.678681911987894</v>
      </c>
      <c r="AN2778">
        <v>1.0000000180112201</v>
      </c>
    </row>
    <row r="2779" spans="1:40" x14ac:dyDescent="0.25">
      <c r="A2779" t="str">
        <f>"20190312151552114"</f>
        <v>20190312151552114</v>
      </c>
      <c r="B2779" t="str">
        <f>"1552374952109831"</f>
        <v>1552374952109831</v>
      </c>
      <c r="C2779" t="s">
        <v>40</v>
      </c>
      <c r="D2779">
        <v>5.0338059999999896</v>
      </c>
      <c r="E2779">
        <v>0.50641919999999996</v>
      </c>
      <c r="F2779" t="s">
        <v>51</v>
      </c>
      <c r="G2779">
        <v>-451.63369999999998</v>
      </c>
      <c r="H2779" s="1">
        <v>-5.6047959999999998E-7</v>
      </c>
      <c r="I2779">
        <v>212.17</v>
      </c>
      <c r="J2779">
        <v>-465.72379999999998</v>
      </c>
      <c r="K2779">
        <v>1.1190709999999999</v>
      </c>
      <c r="L2779">
        <v>211.7225</v>
      </c>
      <c r="M2779">
        <v>0.99677939999999998</v>
      </c>
      <c r="N2779">
        <v>0</v>
      </c>
      <c r="O2779">
        <v>-7.9060000000000005E-2</v>
      </c>
      <c r="P2779">
        <v>0.99845589999999995</v>
      </c>
      <c r="Q2779">
        <v>-2.2253180000000001E-2</v>
      </c>
      <c r="R2779">
        <v>5.0901080000000001E-2</v>
      </c>
      <c r="S2779">
        <v>2.9942319999999998</v>
      </c>
      <c r="T2779">
        <v>-0.23317599999999999</v>
      </c>
      <c r="U2779">
        <v>9.0133669999999999E-2</v>
      </c>
      <c r="V2779">
        <v>-0.129436</v>
      </c>
      <c r="W2779">
        <v>-1.2036689999999999E-2</v>
      </c>
      <c r="X2779">
        <v>0.99151469999999997</v>
      </c>
      <c r="Y2779">
        <v>-0.10845870000000001</v>
      </c>
      <c r="Z2779">
        <v>1.0359439999999999E-2</v>
      </c>
      <c r="AA2779">
        <v>0.99404700000000001</v>
      </c>
      <c r="AB2779">
        <v>30</v>
      </c>
      <c r="AC2779">
        <v>14.0901</v>
      </c>
      <c r="AD2779">
        <v>-1.1190715604796</v>
      </c>
      <c r="AE2779">
        <v>0.44749999999999002</v>
      </c>
      <c r="AF2779">
        <v>-1.55039284643064</v>
      </c>
      <c r="AG2779">
        <v>-1.1190715604796</v>
      </c>
      <c r="AH2779">
        <v>13.922869367473901</v>
      </c>
      <c r="AI2779">
        <v>94.567246078819196</v>
      </c>
      <c r="AJ2779">
        <v>96.354042440236995</v>
      </c>
      <c r="AK2779">
        <v>14.053552239895801</v>
      </c>
      <c r="AL2779">
        <v>90.689668204082196</v>
      </c>
      <c r="AM2779">
        <v>97.437544136812704</v>
      </c>
      <c r="AN2779">
        <v>0.99999998015912195</v>
      </c>
    </row>
    <row r="2780" spans="1:40" x14ac:dyDescent="0.25">
      <c r="A2780" t="str">
        <f>"20190312151552138"</f>
        <v>20190312151552138</v>
      </c>
      <c r="B2780" t="str">
        <f>"1552374952130326"</f>
        <v>1552374952130326</v>
      </c>
      <c r="C2780" t="s">
        <v>40</v>
      </c>
      <c r="D2780">
        <v>5.0282679999999997</v>
      </c>
      <c r="E2780">
        <v>0.50767810000000002</v>
      </c>
      <c r="F2780" t="s">
        <v>51</v>
      </c>
      <c r="G2780">
        <v>-451.41199999999998</v>
      </c>
      <c r="H2780" s="1">
        <v>-6.8008689999999998E-7</v>
      </c>
      <c r="I2780">
        <v>212.20769999999999</v>
      </c>
      <c r="J2780">
        <v>-465.42630000000003</v>
      </c>
      <c r="K2780">
        <v>1.118582</v>
      </c>
      <c r="L2780">
        <v>211.71010000000001</v>
      </c>
      <c r="M2780">
        <v>0.99759469999999995</v>
      </c>
      <c r="N2780">
        <v>0</v>
      </c>
      <c r="O2780">
        <v>-6.8025779999999994E-2</v>
      </c>
      <c r="P2780">
        <v>0.99807100000000004</v>
      </c>
      <c r="Q2780">
        <v>-2.4187119999999999E-2</v>
      </c>
      <c r="R2780">
        <v>5.7179849999999997E-2</v>
      </c>
      <c r="S2780">
        <v>2.9942630000000001</v>
      </c>
      <c r="T2780">
        <v>-0.23412949999999999</v>
      </c>
      <c r="U2780">
        <v>0.1015167</v>
      </c>
      <c r="V2780">
        <v>-0.124666</v>
      </c>
      <c r="W2780">
        <v>-1.3810569999999999E-2</v>
      </c>
      <c r="X2780">
        <v>0.99210259999999995</v>
      </c>
      <c r="Y2780">
        <v>-0.1012822</v>
      </c>
      <c r="Z2780">
        <v>9.2610160000000004E-3</v>
      </c>
      <c r="AA2780">
        <v>0.99481459999999999</v>
      </c>
      <c r="AB2780">
        <v>30</v>
      </c>
      <c r="AC2780">
        <v>14.0143</v>
      </c>
      <c r="AD2780">
        <v>-1.1185826800869001</v>
      </c>
      <c r="AE2780">
        <v>0.49759999999997701</v>
      </c>
      <c r="AF2780">
        <v>-1.4406985208366401</v>
      </c>
      <c r="AG2780">
        <v>-1.1185826800869001</v>
      </c>
      <c r="AH2780">
        <v>13.859791715055399</v>
      </c>
      <c r="AI2780">
        <v>94.589549054191707</v>
      </c>
      <c r="AJ2780">
        <v>95.934472229942998</v>
      </c>
      <c r="AK2780">
        <v>13.979294181926701</v>
      </c>
      <c r="AL2780">
        <v>90.791312564469905</v>
      </c>
      <c r="AM2780">
        <v>97.162155071790593</v>
      </c>
      <c r="AN2780">
        <v>0.999999956163241</v>
      </c>
    </row>
    <row r="2781" spans="1:40" x14ac:dyDescent="0.25">
      <c r="A2781" t="str">
        <f>"20190312151552160"</f>
        <v>20190312151552160</v>
      </c>
      <c r="B2781" t="str">
        <f>"1552374952149847"</f>
        <v>1552374952149847</v>
      </c>
      <c r="C2781" t="s">
        <v>40</v>
      </c>
      <c r="D2781">
        <v>5.0254240000000001</v>
      </c>
      <c r="E2781">
        <v>0.50861970000000001</v>
      </c>
      <c r="F2781" t="s">
        <v>51</v>
      </c>
      <c r="G2781">
        <v>-451.3929</v>
      </c>
      <c r="H2781" s="1">
        <v>-6.9102700000000004E-7</v>
      </c>
      <c r="I2781">
        <v>212.22559999999999</v>
      </c>
      <c r="J2781">
        <v>-465.13819999999998</v>
      </c>
      <c r="K2781">
        <v>1.1181380000000001</v>
      </c>
      <c r="L2781">
        <v>211.70070000000001</v>
      </c>
      <c r="M2781">
        <v>0.99823569999999995</v>
      </c>
      <c r="N2781">
        <v>0</v>
      </c>
      <c r="O2781">
        <v>-5.7884699999999997E-2</v>
      </c>
      <c r="P2781">
        <v>0.99776900000000002</v>
      </c>
      <c r="Q2781">
        <v>-2.736618E-2</v>
      </c>
      <c r="R2781">
        <v>6.0896659999999998E-2</v>
      </c>
      <c r="S2781">
        <v>2.9936829999999999</v>
      </c>
      <c r="T2781">
        <v>-0.23862330000000001</v>
      </c>
      <c r="U2781">
        <v>0.10995480000000001</v>
      </c>
      <c r="V2781">
        <v>-0.1182185</v>
      </c>
      <c r="W2781">
        <v>-1.680243E-2</v>
      </c>
      <c r="X2781">
        <v>0.99284539999999999</v>
      </c>
      <c r="Y2781">
        <v>-9.4012159999999997E-2</v>
      </c>
      <c r="Z2781">
        <v>8.3443839999999998E-3</v>
      </c>
      <c r="AA2781">
        <v>0.99553610000000003</v>
      </c>
      <c r="AB2781">
        <v>30</v>
      </c>
      <c r="AC2781">
        <v>13.745299999999901</v>
      </c>
      <c r="AD2781">
        <v>-1.1181386910269999</v>
      </c>
      <c r="AE2781">
        <v>0.52489999999997305</v>
      </c>
      <c r="AF2781">
        <v>-1.3110687243738299</v>
      </c>
      <c r="AG2781">
        <v>-1.1181386910269999</v>
      </c>
      <c r="AH2781">
        <v>13.601984766044801</v>
      </c>
      <c r="AI2781">
        <v>94.677797886881606</v>
      </c>
      <c r="AJ2781">
        <v>95.505619959080207</v>
      </c>
      <c r="AK2781">
        <v>13.7106938157089</v>
      </c>
      <c r="AL2781">
        <v>90.962753665954807</v>
      </c>
      <c r="AM2781">
        <v>96.790261645121802</v>
      </c>
      <c r="AN2781">
        <v>0.99999996184865603</v>
      </c>
    </row>
    <row r="2782" spans="1:40" x14ac:dyDescent="0.25">
      <c r="A2782" t="str">
        <f>"20190312151552182"</f>
        <v>20190312151552182</v>
      </c>
      <c r="B2782" t="str">
        <f>"1552374952170342"</f>
        <v>1552374952170342</v>
      </c>
      <c r="C2782" t="s">
        <v>40</v>
      </c>
      <c r="D2782">
        <v>5.0651699999999904</v>
      </c>
      <c r="E2782">
        <v>0.50955649999999997</v>
      </c>
      <c r="F2782" t="s">
        <v>51</v>
      </c>
      <c r="G2782">
        <v>-451.85160000000002</v>
      </c>
      <c r="H2782" s="1">
        <v>-4.4613110000000001E-7</v>
      </c>
      <c r="I2782">
        <v>212.2064</v>
      </c>
      <c r="J2782">
        <v>-464.84559999999999</v>
      </c>
      <c r="K2782">
        <v>1.1176999999999999</v>
      </c>
      <c r="L2782">
        <v>211.6936</v>
      </c>
      <c r="M2782">
        <v>0.99875230000000004</v>
      </c>
      <c r="N2782">
        <v>0</v>
      </c>
      <c r="O2782">
        <v>-4.8183339999999998E-2</v>
      </c>
      <c r="P2782">
        <v>0.9975598</v>
      </c>
      <c r="Q2782">
        <v>-2.9344760000000001E-2</v>
      </c>
      <c r="R2782">
        <v>6.3354729999999998E-2</v>
      </c>
      <c r="S2782">
        <v>2.9928889999999999</v>
      </c>
      <c r="T2782">
        <v>-0.25186750000000002</v>
      </c>
      <c r="U2782">
        <v>0.11390690000000001</v>
      </c>
      <c r="V2782">
        <v>-0.1109918</v>
      </c>
      <c r="W2782">
        <v>-1.858841E-2</v>
      </c>
      <c r="X2782">
        <v>0.99364750000000002</v>
      </c>
      <c r="Y2782">
        <v>-8.5667489999999999E-2</v>
      </c>
      <c r="Z2782">
        <v>7.6434019999999997E-3</v>
      </c>
      <c r="AA2782">
        <v>0.99629440000000002</v>
      </c>
      <c r="AB2782">
        <v>30</v>
      </c>
      <c r="AC2782">
        <v>12.9939999999999</v>
      </c>
      <c r="AD2782">
        <v>-1.1177004461311</v>
      </c>
      <c r="AE2782">
        <v>0.51279999999999804</v>
      </c>
      <c r="AF2782">
        <v>-1.13000476885427</v>
      </c>
      <c r="AG2782">
        <v>-1.1177004461311</v>
      </c>
      <c r="AH2782">
        <v>12.859198900191201</v>
      </c>
      <c r="AI2782">
        <v>94.948595803432795</v>
      </c>
      <c r="AJ2782">
        <v>95.0219783533841</v>
      </c>
      <c r="AK2782">
        <v>12.9570506450965</v>
      </c>
      <c r="AL2782">
        <v>91.065098750442104</v>
      </c>
      <c r="AM2782">
        <v>96.373597227842296</v>
      </c>
      <c r="AN2782">
        <v>1.0000000314549</v>
      </c>
    </row>
    <row r="2783" spans="1:40" x14ac:dyDescent="0.25">
      <c r="A2783" t="str">
        <f>"20190312151552205"</f>
        <v>20190312151552205</v>
      </c>
      <c r="B2783" t="str">
        <f>"1552374952200598"</f>
        <v>1552374952200598</v>
      </c>
      <c r="C2783" t="s">
        <v>40</v>
      </c>
      <c r="D2783">
        <v>5.0884219999999996</v>
      </c>
      <c r="E2783">
        <v>0.51073749999999996</v>
      </c>
      <c r="F2783" t="s">
        <v>51</v>
      </c>
      <c r="G2783">
        <v>-451.96609999999998</v>
      </c>
      <c r="H2783" s="1">
        <v>-3.8427269999999999E-7</v>
      </c>
      <c r="I2783">
        <v>212.18520000000001</v>
      </c>
      <c r="J2783">
        <v>-464.54500000000002</v>
      </c>
      <c r="K2783">
        <v>1.1172329999999999</v>
      </c>
      <c r="L2783">
        <v>211.68870000000001</v>
      </c>
      <c r="M2783">
        <v>0.99915949999999998</v>
      </c>
      <c r="N2783">
        <v>0</v>
      </c>
      <c r="O2783">
        <v>-3.8865770000000001E-2</v>
      </c>
      <c r="P2783">
        <v>0.99736800000000003</v>
      </c>
      <c r="Q2783">
        <v>-2.8304780000000002E-2</v>
      </c>
      <c r="R2783">
        <v>6.675478E-2</v>
      </c>
      <c r="S2783">
        <v>2.9924620000000002</v>
      </c>
      <c r="T2783">
        <v>-0.25969059999999999</v>
      </c>
      <c r="U2783">
        <v>0.1142273</v>
      </c>
      <c r="V2783">
        <v>-0.1051525</v>
      </c>
      <c r="W2783">
        <v>-1.7396249999999999E-2</v>
      </c>
      <c r="X2783">
        <v>0.99430390000000002</v>
      </c>
      <c r="Y2783">
        <v>-7.6522709999999994E-2</v>
      </c>
      <c r="Z2783">
        <v>6.6785159999999998E-3</v>
      </c>
      <c r="AA2783">
        <v>0.99704550000000003</v>
      </c>
      <c r="AB2783">
        <v>30</v>
      </c>
      <c r="AC2783">
        <v>12.578900000000001</v>
      </c>
      <c r="AD2783">
        <v>-1.1172333842727</v>
      </c>
      <c r="AE2783">
        <v>0.496499999999997</v>
      </c>
      <c r="AF2783">
        <v>-0.97735690415251097</v>
      </c>
      <c r="AG2783">
        <v>-1.1172333842727</v>
      </c>
      <c r="AH2783">
        <v>12.4520190118686</v>
      </c>
      <c r="AI2783">
        <v>95.111387874463205</v>
      </c>
      <c r="AJ2783">
        <v>94.487935104967704</v>
      </c>
      <c r="AK2783">
        <v>12.5401839868865</v>
      </c>
      <c r="AL2783">
        <v>90.996782022825002</v>
      </c>
      <c r="AM2783">
        <v>96.036869969479497</v>
      </c>
      <c r="AN2783">
        <v>0.99999996166275995</v>
      </c>
    </row>
    <row r="2784" spans="1:40" x14ac:dyDescent="0.25">
      <c r="A2784" t="str">
        <f>"20190312151552228"</f>
        <v>20190312151552228</v>
      </c>
      <c r="B2784" t="str">
        <f>"1552374952220119"</f>
        <v>1552374952220119</v>
      </c>
      <c r="C2784" t="s">
        <v>40</v>
      </c>
      <c r="D2784">
        <v>5.0744639999999999</v>
      </c>
      <c r="E2784">
        <v>0.51111579999999901</v>
      </c>
      <c r="F2784" t="s">
        <v>51</v>
      </c>
      <c r="G2784">
        <v>-451.49959999999999</v>
      </c>
      <c r="H2784" s="1">
        <v>-6.3270769999999997E-7</v>
      </c>
      <c r="I2784">
        <v>212.1893</v>
      </c>
      <c r="J2784">
        <v>-464.23020000000002</v>
      </c>
      <c r="K2784">
        <v>1.1167119999999999</v>
      </c>
      <c r="L2784">
        <v>211.6859</v>
      </c>
      <c r="M2784">
        <v>0.99947240000000004</v>
      </c>
      <c r="N2784">
        <v>0</v>
      </c>
      <c r="O2784">
        <v>-2.979789E-2</v>
      </c>
      <c r="P2784">
        <v>0.99717860000000003</v>
      </c>
      <c r="Q2784">
        <v>-2.691996E-2</v>
      </c>
      <c r="R2784">
        <v>7.0073540000000004E-2</v>
      </c>
      <c r="S2784">
        <v>2.99295</v>
      </c>
      <c r="T2784">
        <v>-0.25632179999999999</v>
      </c>
      <c r="U2784">
        <v>0.11485289999999999</v>
      </c>
      <c r="V2784">
        <v>-9.9486599999999994E-2</v>
      </c>
      <c r="W2784">
        <v>-1.5868009999999998E-2</v>
      </c>
      <c r="X2784">
        <v>0.99491240000000003</v>
      </c>
      <c r="Y2784">
        <v>-6.7751039999999998E-2</v>
      </c>
      <c r="Z2784">
        <v>5.4414479999999998E-3</v>
      </c>
      <c r="AA2784">
        <v>0.9976874</v>
      </c>
      <c r="AB2784">
        <v>30</v>
      </c>
      <c r="AC2784">
        <v>12.730600000000001</v>
      </c>
      <c r="AD2784">
        <v>-1.1167126327076999</v>
      </c>
      <c r="AE2784">
        <v>0.50339999999999896</v>
      </c>
      <c r="AF2784">
        <v>-0.87582454001362697</v>
      </c>
      <c r="AG2784">
        <v>-1.1167126327076999</v>
      </c>
      <c r="AH2784">
        <v>12.613043845933401</v>
      </c>
      <c r="AI2784">
        <v>95.047474648972795</v>
      </c>
      <c r="AJ2784">
        <v>93.972128479750197</v>
      </c>
      <c r="AK2784">
        <v>12.692635297225699</v>
      </c>
      <c r="AL2784">
        <v>90.909208132750393</v>
      </c>
      <c r="AM2784">
        <v>95.7103285711555</v>
      </c>
      <c r="AN2784">
        <v>1.00000003049733</v>
      </c>
    </row>
    <row r="2785" spans="1:40" x14ac:dyDescent="0.25">
      <c r="A2785" t="str">
        <f>"20190312151552250"</f>
        <v>20190312151552250</v>
      </c>
      <c r="B2785" t="str">
        <f>"1552374952240614"</f>
        <v>1552374952240614</v>
      </c>
      <c r="C2785" t="s">
        <v>40</v>
      </c>
      <c r="D2785">
        <v>5.1725719999999997</v>
      </c>
      <c r="E2785">
        <v>0.51194269999999997</v>
      </c>
      <c r="F2785" t="s">
        <v>51</v>
      </c>
      <c r="G2785">
        <v>-451.00810000000001</v>
      </c>
      <c r="H2785" s="1">
        <v>-8.956811E-7</v>
      </c>
      <c r="I2785">
        <v>212.22219999999999</v>
      </c>
      <c r="J2785">
        <v>-463.94439999999997</v>
      </c>
      <c r="K2785">
        <v>1.1162160000000001</v>
      </c>
      <c r="L2785">
        <v>211.68530000000001</v>
      </c>
      <c r="M2785">
        <v>0.99967110000000003</v>
      </c>
      <c r="N2785">
        <v>0</v>
      </c>
      <c r="O2785">
        <v>-2.2198639999999999E-2</v>
      </c>
      <c r="P2785">
        <v>0.99707060000000003</v>
      </c>
      <c r="Q2785">
        <v>-2.7074979999999998E-2</v>
      </c>
      <c r="R2785">
        <v>7.1535199999999993E-2</v>
      </c>
      <c r="S2785">
        <v>2.9931640000000002</v>
      </c>
      <c r="T2785">
        <v>-0.25279689999999999</v>
      </c>
      <c r="U2785">
        <v>0.1213989</v>
      </c>
      <c r="V2785">
        <v>-9.339712E-2</v>
      </c>
      <c r="W2785">
        <v>-1.588003E-2</v>
      </c>
      <c r="X2785">
        <v>0.99550229999999995</v>
      </c>
      <c r="Y2785">
        <v>-6.2396899999999998E-2</v>
      </c>
      <c r="Z2785">
        <v>4.5002109999999996E-3</v>
      </c>
      <c r="AA2785">
        <v>0.99804130000000002</v>
      </c>
      <c r="AB2785">
        <v>30</v>
      </c>
      <c r="AC2785">
        <v>12.9362999999999</v>
      </c>
      <c r="AD2785">
        <v>-1.1162168956810901</v>
      </c>
      <c r="AE2785">
        <v>0.53689999999997395</v>
      </c>
      <c r="AF2785">
        <v>-0.81788079912364897</v>
      </c>
      <c r="AG2785">
        <v>-1.1162168956810901</v>
      </c>
      <c r="AH2785">
        <v>12.825865203575001</v>
      </c>
      <c r="AI2785">
        <v>94.963807048405798</v>
      </c>
      <c r="AJ2785">
        <v>93.648701552063699</v>
      </c>
      <c r="AK2785">
        <v>12.900297957026201</v>
      </c>
      <c r="AL2785">
        <v>90.909896930397494</v>
      </c>
      <c r="AM2785">
        <v>95.359749101015694</v>
      </c>
      <c r="AN2785">
        <v>1.0000000133411899</v>
      </c>
    </row>
    <row r="2786" spans="1:40" x14ac:dyDescent="0.25">
      <c r="A2786" t="str">
        <f>"20190312151552271"</f>
        <v>20190312151552271</v>
      </c>
      <c r="B2786" t="str">
        <f>"1552374952260135"</f>
        <v>1552374952260135</v>
      </c>
      <c r="C2786" t="s">
        <v>40</v>
      </c>
      <c r="D2786">
        <v>5.1533790000000002</v>
      </c>
      <c r="E2786">
        <v>0.51278550000000001</v>
      </c>
      <c r="F2786" t="s">
        <v>51</v>
      </c>
      <c r="G2786">
        <v>-450.32510000000002</v>
      </c>
      <c r="H2786" s="1">
        <v>-1.259346E-6</v>
      </c>
      <c r="I2786">
        <v>212.22659999999999</v>
      </c>
      <c r="J2786">
        <v>-463.65820000000002</v>
      </c>
      <c r="K2786">
        <v>1.1156980000000001</v>
      </c>
      <c r="L2786">
        <v>211.68629999999999</v>
      </c>
      <c r="M2786">
        <v>0.99980329999999995</v>
      </c>
      <c r="N2786">
        <v>0</v>
      </c>
      <c r="O2786">
        <v>-1.519261E-2</v>
      </c>
      <c r="P2786">
        <v>0.99705589999999999</v>
      </c>
      <c r="Q2786">
        <v>-2.6467890000000001E-2</v>
      </c>
      <c r="R2786">
        <v>7.1967299999999998E-2</v>
      </c>
      <c r="S2786">
        <v>2.9936219999999998</v>
      </c>
      <c r="T2786">
        <v>-0.24535170000000001</v>
      </c>
      <c r="U2786">
        <v>0.1189728</v>
      </c>
      <c r="V2786">
        <v>-8.6881490000000006E-2</v>
      </c>
      <c r="W2786">
        <v>-1.5130019999999999E-2</v>
      </c>
      <c r="X2786">
        <v>0.99610379999999998</v>
      </c>
      <c r="Y2786">
        <v>-5.4654149999999999E-2</v>
      </c>
      <c r="Z2786">
        <v>3.4777950000000001E-3</v>
      </c>
      <c r="AA2786">
        <v>0.99849929999999998</v>
      </c>
      <c r="AB2786">
        <v>30</v>
      </c>
      <c r="AC2786">
        <v>13.3331</v>
      </c>
      <c r="AD2786">
        <v>-1.11569925934599</v>
      </c>
      <c r="AE2786">
        <v>0.540300000000002</v>
      </c>
      <c r="AF2786">
        <v>-0.73766192630068095</v>
      </c>
      <c r="AG2786">
        <v>-1.11569925934599</v>
      </c>
      <c r="AH2786">
        <v>13.2308589806531</v>
      </c>
      <c r="AI2786">
        <v>94.812655063251498</v>
      </c>
      <c r="AJ2786">
        <v>93.191115888671206</v>
      </c>
      <c r="AK2786">
        <v>13.2982915940638</v>
      </c>
      <c r="AL2786">
        <v>90.8669193280694</v>
      </c>
      <c r="AM2786">
        <v>94.9847984440311</v>
      </c>
      <c r="AN2786">
        <v>1.0000000455921201</v>
      </c>
    </row>
    <row r="2787" spans="1:40" x14ac:dyDescent="0.25">
      <c r="A2787" t="str">
        <f>"20190312151552293"</f>
        <v>20190312151552293</v>
      </c>
      <c r="B2787" t="str">
        <f>"1552374952290390"</f>
        <v>1552374952290390</v>
      </c>
      <c r="C2787" t="s">
        <v>40</v>
      </c>
      <c r="D2787">
        <v>5.1679919999999999</v>
      </c>
      <c r="E2787">
        <v>0.51418790000000003</v>
      </c>
      <c r="F2787" t="s">
        <v>51</v>
      </c>
      <c r="G2787">
        <v>-450.01429999999999</v>
      </c>
      <c r="H2787" s="1">
        <v>-1.4237969999999999E-6</v>
      </c>
      <c r="I2787">
        <v>212.2047</v>
      </c>
      <c r="J2787">
        <v>-463.37689999999998</v>
      </c>
      <c r="K2787">
        <v>1.115183</v>
      </c>
      <c r="L2787">
        <v>211.68860000000001</v>
      </c>
      <c r="M2787">
        <v>0.99987990000000004</v>
      </c>
      <c r="N2787">
        <v>0</v>
      </c>
      <c r="O2787">
        <v>-8.9179700000000008E-3</v>
      </c>
      <c r="P2787">
        <v>0.99706419999999996</v>
      </c>
      <c r="Q2787">
        <v>-2.5387489999999999E-2</v>
      </c>
      <c r="R2787">
        <v>7.2238919999999998E-2</v>
      </c>
      <c r="S2787">
        <v>2.9941409999999999</v>
      </c>
      <c r="T2787">
        <v>-0.2448381</v>
      </c>
      <c r="U2787">
        <v>0.1137695</v>
      </c>
      <c r="V2787">
        <v>-8.0936079999999994E-2</v>
      </c>
      <c r="W2787">
        <v>-1.3927739999999999E-2</v>
      </c>
      <c r="X2787">
        <v>0.99662200000000001</v>
      </c>
      <c r="Y2787">
        <v>-4.6695359999999998E-2</v>
      </c>
      <c r="Z2787">
        <v>2.6331810000000001E-3</v>
      </c>
      <c r="AA2787">
        <v>0.99890570000000001</v>
      </c>
      <c r="AB2787">
        <v>30</v>
      </c>
      <c r="AC2787">
        <v>13.362599999999899</v>
      </c>
      <c r="AD2787">
        <v>-1.1151844237969999</v>
      </c>
      <c r="AE2787">
        <v>0.51609999999999401</v>
      </c>
      <c r="AF2787">
        <v>-0.63086895327808101</v>
      </c>
      <c r="AG2787">
        <v>-1.1151844237969999</v>
      </c>
      <c r="AH2787">
        <v>13.265213067072599</v>
      </c>
      <c r="AI2787">
        <v>94.800061530040594</v>
      </c>
      <c r="AJ2787">
        <v>92.722829530917707</v>
      </c>
      <c r="AK2787">
        <v>13.3269467489791</v>
      </c>
      <c r="AL2787">
        <v>90.798026505321104</v>
      </c>
      <c r="AM2787">
        <v>94.642824884624901</v>
      </c>
      <c r="AN2787">
        <v>1.0000000209356299</v>
      </c>
    </row>
    <row r="2788" spans="1:40" x14ac:dyDescent="0.25">
      <c r="A2788" t="str">
        <f>"20190312151552315"</f>
        <v>20190312151552315</v>
      </c>
      <c r="B2788" t="str">
        <f>"1552374952309911"</f>
        <v>1552374952309911</v>
      </c>
      <c r="C2788" t="s">
        <v>40</v>
      </c>
      <c r="D2788">
        <v>5.1398769999999896</v>
      </c>
      <c r="E2788">
        <v>0.51517369999999996</v>
      </c>
      <c r="F2788" t="s">
        <v>51</v>
      </c>
      <c r="G2788">
        <v>-449.60820000000001</v>
      </c>
      <c r="H2788" s="1">
        <v>3.6834289999999999E-6</v>
      </c>
      <c r="I2788">
        <v>212.16390000000001</v>
      </c>
      <c r="J2788">
        <v>-463.08229999999998</v>
      </c>
      <c r="K2788">
        <v>1.114641</v>
      </c>
      <c r="L2788">
        <v>211.69239999999999</v>
      </c>
      <c r="M2788">
        <v>0.99991629999999998</v>
      </c>
      <c r="N2788">
        <v>0</v>
      </c>
      <c r="O2788">
        <v>-3.0166709999999998E-3</v>
      </c>
      <c r="P2788">
        <v>0.9970154</v>
      </c>
      <c r="Q2788">
        <v>-2.6959239999999999E-2</v>
      </c>
      <c r="R2788">
        <v>7.2343599999999994E-2</v>
      </c>
      <c r="S2788">
        <v>2.995209</v>
      </c>
      <c r="T2788">
        <v>-0.2425938</v>
      </c>
      <c r="U2788">
        <v>0.1033936</v>
      </c>
      <c r="V2788">
        <v>-7.5155330000000006E-2</v>
      </c>
      <c r="W2788">
        <v>-1.5393159999999999E-2</v>
      </c>
      <c r="X2788">
        <v>0.99705299999999997</v>
      </c>
      <c r="Y2788">
        <v>-3.7381919999999999E-2</v>
      </c>
      <c r="Z2788">
        <v>1.7548150000000001E-3</v>
      </c>
      <c r="AA2788">
        <v>0.99929950000000001</v>
      </c>
      <c r="AB2788">
        <v>30</v>
      </c>
      <c r="AC2788">
        <v>13.4740999999999</v>
      </c>
      <c r="AD2788">
        <v>-1.114637316571</v>
      </c>
      <c r="AE2788">
        <v>0.47150000000002001</v>
      </c>
      <c r="AF2788">
        <v>-0.50867124939044395</v>
      </c>
      <c r="AG2788">
        <v>-1.114637316571</v>
      </c>
      <c r="AH2788">
        <v>13.381156502122399</v>
      </c>
      <c r="AI2788">
        <v>94.758268669103899</v>
      </c>
      <c r="AJ2788">
        <v>92.176993389527397</v>
      </c>
      <c r="AK2788">
        <v>13.437131841347</v>
      </c>
      <c r="AL2788">
        <v>90.881997953791497</v>
      </c>
      <c r="AM2788">
        <v>94.310659038079393</v>
      </c>
      <c r="AN2788">
        <v>0.999999978905597</v>
      </c>
    </row>
    <row r="2789" spans="1:40" x14ac:dyDescent="0.25">
      <c r="A2789" t="str">
        <f>"20190312151552339"</f>
        <v>20190312151552339</v>
      </c>
      <c r="B2789" t="str">
        <f>"1552374952330407"</f>
        <v>1552374952330407</v>
      </c>
      <c r="C2789" t="s">
        <v>40</v>
      </c>
      <c r="D2789">
        <v>5.1611269999999996</v>
      </c>
      <c r="E2789">
        <v>0.51605699999999999</v>
      </c>
      <c r="F2789" t="s">
        <v>51</v>
      </c>
      <c r="G2789">
        <v>-449.62299999999999</v>
      </c>
      <c r="H2789" s="1">
        <v>3.693067E-6</v>
      </c>
      <c r="I2789">
        <v>212.1232</v>
      </c>
      <c r="J2789">
        <v>-462.76889999999997</v>
      </c>
      <c r="K2789">
        <v>1.114155</v>
      </c>
      <c r="L2789">
        <v>211.69759999999999</v>
      </c>
      <c r="M2789">
        <v>0.99991790000000003</v>
      </c>
      <c r="N2789">
        <v>0</v>
      </c>
      <c r="O2789">
        <v>2.7182360000000002E-3</v>
      </c>
      <c r="P2789">
        <v>0.99700900000000003</v>
      </c>
      <c r="Q2789">
        <v>-2.91253E-2</v>
      </c>
      <c r="R2789">
        <v>7.1586440000000001E-2</v>
      </c>
      <c r="S2789">
        <v>2.9953919999999998</v>
      </c>
      <c r="T2789">
        <v>-0.24806420000000001</v>
      </c>
      <c r="U2789">
        <v>9.587097E-2</v>
      </c>
      <c r="V2789">
        <v>-6.8672259999999999E-2</v>
      </c>
      <c r="W2789">
        <v>-1.7465370000000001E-2</v>
      </c>
      <c r="X2789">
        <v>0.9974864</v>
      </c>
      <c r="Y2789">
        <v>-2.9182099999999999E-2</v>
      </c>
      <c r="Z2789">
        <v>9.8130500000000002E-4</v>
      </c>
      <c r="AA2789">
        <v>0.99957359999999995</v>
      </c>
      <c r="AB2789">
        <v>30</v>
      </c>
      <c r="AC2789">
        <v>13.1458999999999</v>
      </c>
      <c r="AD2789">
        <v>-1.114151306933</v>
      </c>
      <c r="AE2789">
        <v>0.42560000000000198</v>
      </c>
      <c r="AF2789">
        <v>-0.387084438852484</v>
      </c>
      <c r="AG2789">
        <v>-1.114151306933</v>
      </c>
      <c r="AH2789">
        <v>13.053344006381201</v>
      </c>
      <c r="AI2789">
        <v>94.876449628238504</v>
      </c>
      <c r="AJ2789">
        <v>91.698553807862893</v>
      </c>
      <c r="AK2789">
        <v>13.1065234614855</v>
      </c>
      <c r="AL2789">
        <v>91.000742852328599</v>
      </c>
      <c r="AM2789">
        <v>93.938331383324098</v>
      </c>
      <c r="AN2789">
        <v>1.00000001831385</v>
      </c>
    </row>
    <row r="2790" spans="1:40" x14ac:dyDescent="0.25">
      <c r="A2790" t="str">
        <f>"20190312151552360"</f>
        <v>20190312151552360</v>
      </c>
      <c r="B2790" t="str">
        <f>"1552374952350903"</f>
        <v>1552374952350903</v>
      </c>
      <c r="C2790" t="s">
        <v>40</v>
      </c>
      <c r="D2790">
        <v>5.1772400000000003</v>
      </c>
      <c r="E2790">
        <v>0.51646040000000004</v>
      </c>
      <c r="F2790" t="s">
        <v>41</v>
      </c>
      <c r="G2790">
        <v>-461.85329999999999</v>
      </c>
      <c r="H2790">
        <v>1.0371950000000001</v>
      </c>
      <c r="I2790">
        <v>211.72389999999999</v>
      </c>
      <c r="J2790">
        <v>-462.48230000000001</v>
      </c>
      <c r="K2790">
        <v>1.1137709999999901</v>
      </c>
      <c r="L2790">
        <v>211.70359999999999</v>
      </c>
      <c r="M2790">
        <v>0.99989439999999996</v>
      </c>
      <c r="N2790">
        <v>0</v>
      </c>
      <c r="O2790">
        <v>7.5063179999999997E-3</v>
      </c>
      <c r="P2790">
        <v>0.99705849999999996</v>
      </c>
      <c r="Q2790">
        <v>-3.0984379999999999E-2</v>
      </c>
      <c r="R2790">
        <v>7.0104349999999996E-2</v>
      </c>
      <c r="S2790">
        <v>2.995422</v>
      </c>
      <c r="T2790">
        <v>-0.25188700000000003</v>
      </c>
      <c r="U2790">
        <v>8.6288450000000003E-2</v>
      </c>
      <c r="V2790">
        <v>-6.2409520000000003E-2</v>
      </c>
      <c r="W2790">
        <v>-1.9251130000000002E-2</v>
      </c>
      <c r="X2790">
        <v>0.997865</v>
      </c>
      <c r="Y2790">
        <v>-2.1241800000000002E-2</v>
      </c>
      <c r="Z2790">
        <v>2.6136449999999999E-4</v>
      </c>
      <c r="AA2790">
        <v>0.9997743</v>
      </c>
      <c r="AB2790">
        <v>30</v>
      </c>
      <c r="AC2790">
        <v>0.62900000000001899</v>
      </c>
      <c r="AD2790">
        <v>-7.65759999999997E-2</v>
      </c>
      <c r="AE2790">
        <v>2.02999999999917E-2</v>
      </c>
      <c r="AF2790">
        <v>-1.5350314667842899E-2</v>
      </c>
      <c r="AG2790">
        <v>-7.65759999999997E-2</v>
      </c>
      <c r="AH2790">
        <v>0.61995572468367799</v>
      </c>
      <c r="AI2790">
        <v>97.039287446016402</v>
      </c>
      <c r="AJ2790">
        <v>91.418373185475602</v>
      </c>
      <c r="AK2790">
        <v>0.62485567654016405</v>
      </c>
      <c r="AL2790">
        <v>91.103076579474504</v>
      </c>
      <c r="AM2790">
        <v>93.578791320473599</v>
      </c>
      <c r="AN2790">
        <v>1.0000000562089499</v>
      </c>
    </row>
    <row r="2791" spans="1:40" x14ac:dyDescent="0.25">
      <c r="A2791" t="str">
        <f>"20190312151552383"</f>
        <v>20190312151552383</v>
      </c>
      <c r="B2791" t="str">
        <f>"1552374952380182"</f>
        <v>1552374952380182</v>
      </c>
      <c r="C2791" t="s">
        <v>40</v>
      </c>
      <c r="D2791">
        <v>5.059126</v>
      </c>
      <c r="E2791">
        <v>0.52727590000000002</v>
      </c>
      <c r="F2791" t="s">
        <v>41</v>
      </c>
      <c r="G2791">
        <v>-461.59190000000001</v>
      </c>
      <c r="H2791">
        <v>1.037167</v>
      </c>
      <c r="I2791">
        <v>211.72669999999999</v>
      </c>
      <c r="J2791">
        <v>-462.17930000000001</v>
      </c>
      <c r="K2791">
        <v>1.1133949999999999</v>
      </c>
      <c r="L2791">
        <v>211.71090000000001</v>
      </c>
      <c r="M2791">
        <v>0.99985029999999997</v>
      </c>
      <c r="N2791">
        <v>0</v>
      </c>
      <c r="O2791">
        <v>1.2079060000000001E-2</v>
      </c>
      <c r="P2791">
        <v>0.99704369999999998</v>
      </c>
      <c r="Q2791">
        <v>-3.1290180000000001E-2</v>
      </c>
      <c r="R2791">
        <v>7.0178580000000004E-2</v>
      </c>
      <c r="S2791">
        <v>2.9952700000000001</v>
      </c>
      <c r="T2791">
        <v>-0.25791219999999998</v>
      </c>
      <c r="U2791">
        <v>7.8598020000000005E-2</v>
      </c>
      <c r="V2791">
        <v>-5.7935899999999999E-2</v>
      </c>
      <c r="W2791">
        <v>-1.951454E-2</v>
      </c>
      <c r="X2791">
        <v>0.9981295</v>
      </c>
      <c r="Y2791">
        <v>-1.4146300000000001E-2</v>
      </c>
      <c r="Z2791">
        <v>-4.3019139999999999E-4</v>
      </c>
      <c r="AA2791">
        <v>0.99989989999999995</v>
      </c>
      <c r="AB2791">
        <v>30</v>
      </c>
      <c r="AC2791">
        <v>0.58740000000000203</v>
      </c>
      <c r="AD2791">
        <v>-7.6228000000000101E-2</v>
      </c>
      <c r="AE2791">
        <v>1.5799999999984399E-2</v>
      </c>
      <c r="AF2791">
        <v>-8.5590266393784E-3</v>
      </c>
      <c r="AG2791">
        <v>-7.6228000000000101E-2</v>
      </c>
      <c r="AH2791">
        <v>0.57782405457921404</v>
      </c>
      <c r="AI2791">
        <v>97.514391602060698</v>
      </c>
      <c r="AJ2791">
        <v>90.8486324478597</v>
      </c>
      <c r="AK2791">
        <v>0.58289330324801003</v>
      </c>
      <c r="AL2791">
        <v>91.1181718232056</v>
      </c>
      <c r="AM2791">
        <v>93.321975869341898</v>
      </c>
      <c r="AN2791">
        <v>0.99999994227523403</v>
      </c>
    </row>
    <row r="2792" spans="1:40" x14ac:dyDescent="0.25">
      <c r="A2792" t="str">
        <f>"20190312151552404"</f>
        <v>20190312151552404</v>
      </c>
      <c r="B2792" t="str">
        <f>"1552374952400679"</f>
        <v>1552374952400679</v>
      </c>
      <c r="C2792" t="s">
        <v>40</v>
      </c>
      <c r="D2792">
        <v>5.1581970000000004</v>
      </c>
      <c r="E2792">
        <v>0.52478740000000001</v>
      </c>
      <c r="F2792" t="s">
        <v>51</v>
      </c>
      <c r="G2792">
        <v>-445.0899</v>
      </c>
      <c r="H2792" s="1">
        <v>1.300552E-6</v>
      </c>
      <c r="I2792">
        <v>211.6712</v>
      </c>
      <c r="J2792">
        <v>-461.89909999999998</v>
      </c>
      <c r="K2792">
        <v>1.1130420000000001</v>
      </c>
      <c r="L2792">
        <v>211.71850000000001</v>
      </c>
      <c r="M2792">
        <v>0.99979799999999996</v>
      </c>
      <c r="N2792">
        <v>0</v>
      </c>
      <c r="O2792">
        <v>1.58721E-2</v>
      </c>
      <c r="P2792">
        <v>0.99711939999999999</v>
      </c>
      <c r="Q2792">
        <v>-3.046455E-2</v>
      </c>
      <c r="R2792">
        <v>6.9459919999999994E-2</v>
      </c>
      <c r="S2792">
        <v>3.0032040000000002</v>
      </c>
      <c r="T2792">
        <v>-0.19566230000000001</v>
      </c>
      <c r="U2792">
        <v>-6.9732669999999896E-3</v>
      </c>
      <c r="V2792">
        <v>-5.3454229999999998E-2</v>
      </c>
      <c r="W2792">
        <v>-1.8649809999999999E-2</v>
      </c>
      <c r="X2792">
        <v>0.99839619999999996</v>
      </c>
      <c r="Y2792">
        <v>1.8122840000000001E-2</v>
      </c>
      <c r="Z2792">
        <v>-1.622776E-3</v>
      </c>
      <c r="AA2792">
        <v>0.99983449999999996</v>
      </c>
      <c r="AB2792">
        <v>30</v>
      </c>
      <c r="AC2792">
        <v>16.809199999999901</v>
      </c>
      <c r="AD2792">
        <v>-1.113040699448</v>
      </c>
      <c r="AE2792">
        <v>-4.7300000000007003E-2</v>
      </c>
      <c r="AF2792">
        <v>0.31274040324119101</v>
      </c>
      <c r="AG2792">
        <v>-1.113040699448</v>
      </c>
      <c r="AH2792">
        <v>16.732964977429901</v>
      </c>
      <c r="AI2792">
        <v>93.804922828064093</v>
      </c>
      <c r="AJ2792">
        <v>88.9292621360065</v>
      </c>
      <c r="AK2792">
        <v>16.7728585248413</v>
      </c>
      <c r="AL2792">
        <v>91.068617278720893</v>
      </c>
      <c r="AM2792">
        <v>93.064695503291802</v>
      </c>
      <c r="AN2792">
        <v>1.0000000711461801</v>
      </c>
    </row>
    <row r="2793" spans="1:40" x14ac:dyDescent="0.25">
      <c r="A2793" t="str">
        <f>"20190312151552429"</f>
        <v>20190312151552429</v>
      </c>
      <c r="B2793" t="str">
        <f>"1552374952420199"</f>
        <v>1552374952420199</v>
      </c>
      <c r="C2793" t="s">
        <v>40</v>
      </c>
      <c r="D2793">
        <v>5.1649649999999996</v>
      </c>
      <c r="E2793">
        <v>0.50773069999999998</v>
      </c>
      <c r="F2793" t="s">
        <v>51</v>
      </c>
      <c r="G2793">
        <v>-444.73289999999997</v>
      </c>
      <c r="H2793" s="1">
        <v>1.1058799999999999E-6</v>
      </c>
      <c r="I2793">
        <v>211.77869999999999</v>
      </c>
      <c r="J2793">
        <v>-461.57369999999997</v>
      </c>
      <c r="K2793">
        <v>1.112611</v>
      </c>
      <c r="L2793">
        <v>211.72819999999999</v>
      </c>
      <c r="M2793">
        <v>0.99972899999999998</v>
      </c>
      <c r="N2793">
        <v>0</v>
      </c>
      <c r="O2793">
        <v>1.9787409999999998E-2</v>
      </c>
      <c r="P2793">
        <v>0.99715849999999995</v>
      </c>
      <c r="Q2793">
        <v>-3.019517E-2</v>
      </c>
      <c r="R2793">
        <v>6.9016670000000002E-2</v>
      </c>
      <c r="S2793">
        <v>3.0019529999999999</v>
      </c>
      <c r="T2793">
        <v>-0.19464429999999999</v>
      </c>
      <c r="U2793">
        <v>1.0528559999999999E-2</v>
      </c>
      <c r="V2793">
        <v>-4.912271E-2</v>
      </c>
      <c r="W2793">
        <v>-1.8346210000000002E-2</v>
      </c>
      <c r="X2793">
        <v>0.99862430000000002</v>
      </c>
      <c r="Y2793">
        <v>1.6206669999999999E-2</v>
      </c>
      <c r="Z2793">
        <v>-1.806535E-3</v>
      </c>
      <c r="AA2793">
        <v>0.99986699999999995</v>
      </c>
      <c r="AB2793">
        <v>30</v>
      </c>
      <c r="AC2793">
        <v>16.840800000000002</v>
      </c>
      <c r="AD2793">
        <v>-1.11260989412</v>
      </c>
      <c r="AE2793">
        <v>5.0499999999999497E-2</v>
      </c>
      <c r="AF2793">
        <v>0.281541910956082</v>
      </c>
      <c r="AG2793">
        <v>-1.11260989412</v>
      </c>
      <c r="AH2793">
        <v>16.765325614021702</v>
      </c>
      <c r="AI2793">
        <v>93.796261806701494</v>
      </c>
      <c r="AJ2793">
        <v>89.037916261997196</v>
      </c>
      <c r="AK2793">
        <v>16.804562165325599</v>
      </c>
      <c r="AL2793">
        <v>91.051219317889903</v>
      </c>
      <c r="AM2793">
        <v>92.816131307952304</v>
      </c>
      <c r="AN2793">
        <v>1.0000000583047901</v>
      </c>
    </row>
    <row r="2794" spans="1:40" x14ac:dyDescent="0.25">
      <c r="A2794" t="str">
        <f>"20190312151552451"</f>
        <v>20190312151552451</v>
      </c>
      <c r="B2794" t="str">
        <f>"1552374952440695"</f>
        <v>1552374952440695</v>
      </c>
      <c r="C2794" t="s">
        <v>40</v>
      </c>
      <c r="D2794">
        <v>5.1759170000000001</v>
      </c>
      <c r="E2794">
        <v>0.50816640000000002</v>
      </c>
      <c r="F2794" t="s">
        <v>51</v>
      </c>
      <c r="G2794">
        <v>-449.36419999999998</v>
      </c>
      <c r="H2794" s="1">
        <v>3.5468359999999998E-6</v>
      </c>
      <c r="I2794">
        <v>212.31809999999999</v>
      </c>
      <c r="J2794">
        <v>-461.28179999999998</v>
      </c>
      <c r="K2794">
        <v>1.1122110000000001</v>
      </c>
      <c r="L2794">
        <v>211.73740000000001</v>
      </c>
      <c r="M2794">
        <v>0.99966410000000006</v>
      </c>
      <c r="N2794">
        <v>0</v>
      </c>
      <c r="O2794">
        <v>2.2857590000000001E-2</v>
      </c>
      <c r="P2794">
        <v>0.99721890000000002</v>
      </c>
      <c r="Q2794">
        <v>-3.0767639999999999E-2</v>
      </c>
      <c r="R2794">
        <v>6.7880979999999994E-2</v>
      </c>
      <c r="S2794">
        <v>2.990326</v>
      </c>
      <c r="T2794">
        <v>-0.27249839999999997</v>
      </c>
      <c r="U2794">
        <v>0.14448549999999999</v>
      </c>
      <c r="V2794">
        <v>-4.4933359999999999E-2</v>
      </c>
      <c r="W2794">
        <v>-1.8887620000000001E-2</v>
      </c>
      <c r="X2794">
        <v>0.99881140000000002</v>
      </c>
      <c r="Y2794">
        <v>-2.5405529999999999E-2</v>
      </c>
      <c r="Z2794">
        <v>-9.2265960000000003E-4</v>
      </c>
      <c r="AA2794">
        <v>0.99967680000000003</v>
      </c>
      <c r="AB2794">
        <v>30</v>
      </c>
      <c r="AC2794">
        <v>11.917599999999901</v>
      </c>
      <c r="AD2794">
        <v>-1.112207453164</v>
      </c>
      <c r="AE2794">
        <v>0.58069999999997801</v>
      </c>
      <c r="AF2794">
        <v>-0.30546615708222502</v>
      </c>
      <c r="AG2794">
        <v>-1.112207453164</v>
      </c>
      <c r="AH2794">
        <v>11.8250140334669</v>
      </c>
      <c r="AI2794">
        <v>95.371393779124006</v>
      </c>
      <c r="AJ2794">
        <v>91.479747090945907</v>
      </c>
      <c r="AK2794">
        <v>11.881130917706701</v>
      </c>
      <c r="AL2794">
        <v>91.082245285316205</v>
      </c>
      <c r="AM2794">
        <v>92.5758188464185</v>
      </c>
      <c r="AN2794">
        <v>0.99999998090005604</v>
      </c>
    </row>
    <row r="2795" spans="1:40" x14ac:dyDescent="0.25">
      <c r="A2795" t="str">
        <f>"20190312151552473"</f>
        <v>20190312151552473</v>
      </c>
      <c r="B2795" t="str">
        <f>"1552374952469975"</f>
        <v>1552374952469975</v>
      </c>
      <c r="C2795" t="s">
        <v>40</v>
      </c>
      <c r="D2795">
        <v>5.1255860000000002</v>
      </c>
      <c r="E2795">
        <v>0.50894859999999997</v>
      </c>
      <c r="F2795" t="s">
        <v>51</v>
      </c>
      <c r="G2795">
        <v>-448.90429999999998</v>
      </c>
      <c r="H2795" s="1">
        <v>3.3025539999999999E-6</v>
      </c>
      <c r="I2795">
        <v>212.30789999999999</v>
      </c>
      <c r="J2795">
        <v>-460.98270000000002</v>
      </c>
      <c r="K2795">
        <v>1.1118129999999999</v>
      </c>
      <c r="L2795">
        <v>211.7474</v>
      </c>
      <c r="M2795">
        <v>0.99959900000000002</v>
      </c>
      <c r="N2795">
        <v>0</v>
      </c>
      <c r="O2795">
        <v>2.5564969999999999E-2</v>
      </c>
      <c r="P2795">
        <v>0.99726550000000003</v>
      </c>
      <c r="Q2795">
        <v>-3.1562310000000003E-2</v>
      </c>
      <c r="R2795">
        <v>6.6825190000000007E-2</v>
      </c>
      <c r="S2795">
        <v>2.990631</v>
      </c>
      <c r="T2795">
        <v>-0.26872960000000001</v>
      </c>
      <c r="U2795">
        <v>0.1378326</v>
      </c>
      <c r="V2795">
        <v>-4.1185609999999997E-2</v>
      </c>
      <c r="W2795">
        <v>-1.965832E-2</v>
      </c>
      <c r="X2795">
        <v>0.99895809999999996</v>
      </c>
      <c r="Y2795">
        <v>-2.0504809999999998E-2</v>
      </c>
      <c r="Z2795">
        <v>-1.372098E-3</v>
      </c>
      <c r="AA2795">
        <v>0.99978880000000003</v>
      </c>
      <c r="AB2795">
        <v>30</v>
      </c>
      <c r="AC2795">
        <v>12.0784</v>
      </c>
      <c r="AD2795">
        <v>-1.1118096974459999</v>
      </c>
      <c r="AE2795">
        <v>0.56049999999999001</v>
      </c>
      <c r="AF2795">
        <v>-0.24940129233410499</v>
      </c>
      <c r="AG2795">
        <v>-1.1118096974459999</v>
      </c>
      <c r="AH2795">
        <v>11.9874295922823</v>
      </c>
      <c r="AI2795">
        <v>95.297767635548695</v>
      </c>
      <c r="AJ2795">
        <v>91.191880218095207</v>
      </c>
      <c r="AK2795">
        <v>12.041461291632301</v>
      </c>
      <c r="AL2795">
        <v>91.126411332327706</v>
      </c>
      <c r="AM2795">
        <v>92.360885761768898</v>
      </c>
      <c r="AN2795">
        <v>0.99999999478595203</v>
      </c>
    </row>
    <row r="2796" spans="1:40" x14ac:dyDescent="0.25">
      <c r="A2796" t="str">
        <f>"20190312151552495"</f>
        <v>20190312151552495</v>
      </c>
      <c r="B2796" t="str">
        <f>"1552374952490470"</f>
        <v>1552374952490470</v>
      </c>
      <c r="C2796" t="s">
        <v>40</v>
      </c>
      <c r="D2796">
        <v>5.1276080000000004</v>
      </c>
      <c r="E2796">
        <v>0.50884499999999999</v>
      </c>
      <c r="F2796" t="s">
        <v>41</v>
      </c>
      <c r="G2796">
        <v>-460.0016</v>
      </c>
      <c r="H2796">
        <v>1.028511</v>
      </c>
      <c r="I2796">
        <v>211.78899999999999</v>
      </c>
      <c r="J2796">
        <v>-460.7002</v>
      </c>
      <c r="K2796">
        <v>1.111459</v>
      </c>
      <c r="L2796">
        <v>211.75710000000001</v>
      </c>
      <c r="M2796">
        <v>0.99954270000000001</v>
      </c>
      <c r="N2796">
        <v>0</v>
      </c>
      <c r="O2796">
        <v>2.7699359999999999E-2</v>
      </c>
      <c r="P2796">
        <v>0.99730010000000002</v>
      </c>
      <c r="Q2796">
        <v>-3.1892200000000002E-2</v>
      </c>
      <c r="R2796">
        <v>6.6147339999999999E-2</v>
      </c>
      <c r="S2796">
        <v>2.9915769999999999</v>
      </c>
      <c r="T2796">
        <v>-0.25430009999999997</v>
      </c>
      <c r="U2796">
        <v>0.12844849999999999</v>
      </c>
      <c r="V2796">
        <v>-3.8390050000000002E-2</v>
      </c>
      <c r="W2796">
        <v>-1.9974510000000001E-2</v>
      </c>
      <c r="X2796">
        <v>0.99906320000000004</v>
      </c>
      <c r="Y2796">
        <v>-1.524962E-2</v>
      </c>
      <c r="Z2796">
        <v>-1.7021919999999999E-3</v>
      </c>
      <c r="AA2796">
        <v>0.9998823</v>
      </c>
      <c r="AB2796">
        <v>30</v>
      </c>
      <c r="AC2796">
        <v>0.698599999999999</v>
      </c>
      <c r="AD2796">
        <v>-8.2947999999999994E-2</v>
      </c>
      <c r="AE2796">
        <v>3.1900000000007298E-2</v>
      </c>
      <c r="AF2796">
        <v>-1.2361650689896799E-2</v>
      </c>
      <c r="AG2796">
        <v>-8.2947999999999994E-2</v>
      </c>
      <c r="AH2796">
        <v>0.68951508773468795</v>
      </c>
      <c r="AI2796">
        <v>96.858571433134898</v>
      </c>
      <c r="AJ2796">
        <v>91.027090714611305</v>
      </c>
      <c r="AK2796">
        <v>0.69459645645911094</v>
      </c>
      <c r="AL2796">
        <v>91.144531205919407</v>
      </c>
      <c r="AM2796">
        <v>92.200567681578306</v>
      </c>
      <c r="AN2796">
        <v>1.00000002729149</v>
      </c>
    </row>
    <row r="2797" spans="1:40" x14ac:dyDescent="0.25">
      <c r="A2797" t="str">
        <f>"20190312151552516"</f>
        <v>20190312151552516</v>
      </c>
      <c r="B2797" t="str">
        <f>"1552374952509992"</f>
        <v>1552374952509992</v>
      </c>
      <c r="C2797" t="s">
        <v>40</v>
      </c>
      <c r="D2797">
        <v>5.1565709999999996</v>
      </c>
      <c r="E2797">
        <v>0.50861440000000002</v>
      </c>
      <c r="F2797" t="s">
        <v>41</v>
      </c>
      <c r="G2797">
        <v>-459.73610000000002</v>
      </c>
      <c r="H2797">
        <v>1.026745</v>
      </c>
      <c r="I2797">
        <v>211.798</v>
      </c>
      <c r="J2797">
        <v>-460.40129999999999</v>
      </c>
      <c r="K2797">
        <v>1.111151</v>
      </c>
      <c r="L2797">
        <v>211.76759999999999</v>
      </c>
      <c r="M2797">
        <v>0.9994883</v>
      </c>
      <c r="N2797">
        <v>0</v>
      </c>
      <c r="O2797">
        <v>2.961244E-2</v>
      </c>
      <c r="P2797">
        <v>0.99729679999999998</v>
      </c>
      <c r="Q2797">
        <v>-3.1533529999999997E-2</v>
      </c>
      <c r="R2797">
        <v>6.6369490000000003E-2</v>
      </c>
      <c r="S2797">
        <v>2.9913020000000001</v>
      </c>
      <c r="T2797">
        <v>-0.26285510000000001</v>
      </c>
      <c r="U2797">
        <v>0.1271362</v>
      </c>
      <c r="V2797">
        <v>-3.6717180000000002E-2</v>
      </c>
      <c r="W2797">
        <v>-1.9614099999999999E-2</v>
      </c>
      <c r="X2797">
        <v>0.99913320000000005</v>
      </c>
      <c r="Y2797">
        <v>-1.292127E-2</v>
      </c>
      <c r="Z2797">
        <v>-2.0290960000000002E-3</v>
      </c>
      <c r="AA2797">
        <v>0.99991450000000004</v>
      </c>
      <c r="AB2797">
        <v>30</v>
      </c>
      <c r="AC2797">
        <v>0.66519999999997004</v>
      </c>
      <c r="AD2797">
        <v>-8.4405999999999898E-2</v>
      </c>
      <c r="AE2797">
        <v>3.0400000000014402E-2</v>
      </c>
      <c r="AF2797">
        <v>-1.05180369117449E-2</v>
      </c>
      <c r="AG2797">
        <v>-8.4405999999999898E-2</v>
      </c>
      <c r="AH2797">
        <v>0.65528010533780201</v>
      </c>
      <c r="AI2797">
        <v>97.338863859053603</v>
      </c>
      <c r="AJ2797">
        <v>90.919587474112305</v>
      </c>
      <c r="AK2797">
        <v>0.66077758617253202</v>
      </c>
      <c r="AL2797">
        <v>91.123877209735298</v>
      </c>
      <c r="AM2797">
        <v>92.104617471260099</v>
      </c>
      <c r="AN2797">
        <v>1.0000000077841</v>
      </c>
    </row>
    <row r="2798" spans="1:40" x14ac:dyDescent="0.25">
      <c r="A2798" t="str">
        <f>"20190312151552540"</f>
        <v>20190312151552540</v>
      </c>
      <c r="B2798" t="str">
        <f>"1552374952530487"</f>
        <v>1552374952530487</v>
      </c>
      <c r="C2798" t="s">
        <v>40</v>
      </c>
      <c r="D2798">
        <v>5.1740789999999999</v>
      </c>
      <c r="E2798">
        <v>0.50874259999999905</v>
      </c>
      <c r="F2798" t="s">
        <v>41</v>
      </c>
      <c r="G2798">
        <v>-459.46879999999999</v>
      </c>
      <c r="H2798">
        <v>1.027695</v>
      </c>
      <c r="I2798">
        <v>211.80760000000001</v>
      </c>
      <c r="J2798">
        <v>-460.08690000000001</v>
      </c>
      <c r="K2798">
        <v>1.11087</v>
      </c>
      <c r="L2798">
        <v>211.77889999999999</v>
      </c>
      <c r="M2798">
        <v>0.9994383</v>
      </c>
      <c r="N2798">
        <v>0</v>
      </c>
      <c r="O2798">
        <v>3.1268089999999998E-2</v>
      </c>
      <c r="P2798">
        <v>0.99734690000000004</v>
      </c>
      <c r="Q2798">
        <v>-3.0147E-2</v>
      </c>
      <c r="R2798">
        <v>6.6260990000000006E-2</v>
      </c>
      <c r="S2798">
        <v>2.9910580000000002</v>
      </c>
      <c r="T2798">
        <v>-0.26781080000000002</v>
      </c>
      <c r="U2798">
        <v>0.1293793</v>
      </c>
      <c r="V2798">
        <v>-3.497194E-2</v>
      </c>
      <c r="W2798">
        <v>-1.8228640000000001E-2</v>
      </c>
      <c r="X2798">
        <v>0.99922200000000005</v>
      </c>
      <c r="Y2798">
        <v>-1.2029430000000001E-2</v>
      </c>
      <c r="Z2798">
        <v>-2.2549430000000001E-3</v>
      </c>
      <c r="AA2798">
        <v>0.99992510000000001</v>
      </c>
      <c r="AB2798">
        <v>30</v>
      </c>
      <c r="AC2798">
        <v>0.61810000000002596</v>
      </c>
      <c r="AD2798">
        <v>-8.3174999999999999E-2</v>
      </c>
      <c r="AE2798">
        <v>2.87000000000148E-2</v>
      </c>
      <c r="AF2798">
        <v>-9.1916693014863892E-3</v>
      </c>
      <c r="AG2798">
        <v>-8.3174999999999999E-2</v>
      </c>
      <c r="AH2798">
        <v>0.60771442660728103</v>
      </c>
      <c r="AI2798">
        <v>97.792500681241705</v>
      </c>
      <c r="AJ2798">
        <v>90.866531516898206</v>
      </c>
      <c r="AK2798">
        <v>0.61344876861573705</v>
      </c>
      <c r="AL2798">
        <v>91.044482026774304</v>
      </c>
      <c r="AM2798">
        <v>92.004486497810007</v>
      </c>
      <c r="AN2798">
        <v>0.99999996259380497</v>
      </c>
    </row>
    <row r="2799" spans="1:40" x14ac:dyDescent="0.25">
      <c r="A2799" t="str">
        <f>"20190312151552562"</f>
        <v>20190312151552562</v>
      </c>
      <c r="B2799" t="str">
        <f>"1552374952550007"</f>
        <v>1552374952550007</v>
      </c>
      <c r="C2799" t="s">
        <v>40</v>
      </c>
      <c r="D2799">
        <v>5.1339059999999996</v>
      </c>
      <c r="E2799">
        <v>0.50864929999999997</v>
      </c>
      <c r="F2799" t="s">
        <v>41</v>
      </c>
      <c r="G2799">
        <v>-459.19900000000001</v>
      </c>
      <c r="H2799">
        <v>1.0315460000000001</v>
      </c>
      <c r="I2799">
        <v>211.8167</v>
      </c>
      <c r="J2799">
        <v>-459.80130000000003</v>
      </c>
      <c r="K2799">
        <v>1.1106370000000001</v>
      </c>
      <c r="L2799">
        <v>211.7893</v>
      </c>
      <c r="M2799">
        <v>0.99940030000000002</v>
      </c>
      <c r="N2799">
        <v>0</v>
      </c>
      <c r="O2799">
        <v>3.2467719999999999E-2</v>
      </c>
      <c r="P2799">
        <v>0.99742109999999995</v>
      </c>
      <c r="Q2799">
        <v>-2.950092E-2</v>
      </c>
      <c r="R2799">
        <v>6.5428509999999995E-2</v>
      </c>
      <c r="S2799">
        <v>2.9913940000000001</v>
      </c>
      <c r="T2799">
        <v>-0.26741979999999999</v>
      </c>
      <c r="U2799">
        <v>0.12783810000000001</v>
      </c>
      <c r="V2799">
        <v>-3.2951080000000001E-2</v>
      </c>
      <c r="W2799">
        <v>-1.7582609999999999E-2</v>
      </c>
      <c r="X2799">
        <v>0.99930229999999998</v>
      </c>
      <c r="Y2799">
        <v>-1.0321459999999999E-2</v>
      </c>
      <c r="Z2799">
        <v>-2.43451E-3</v>
      </c>
      <c r="AA2799">
        <v>0.99994380000000005</v>
      </c>
      <c r="AB2799">
        <v>30</v>
      </c>
      <c r="AC2799">
        <v>0.60230000000001305</v>
      </c>
      <c r="AD2799">
        <v>-7.9091000000000203E-2</v>
      </c>
      <c r="AE2799">
        <v>2.7400000000000001E-2</v>
      </c>
      <c r="AF2799">
        <v>-7.6963881427807596E-3</v>
      </c>
      <c r="AG2799">
        <v>-7.9091000000000203E-2</v>
      </c>
      <c r="AH2799">
        <v>0.59267336543643001</v>
      </c>
      <c r="AI2799">
        <v>97.6004579542264</v>
      </c>
      <c r="AJ2799">
        <v>90.743994582635196</v>
      </c>
      <c r="AK2799">
        <v>0.59797687143332601</v>
      </c>
      <c r="AL2799">
        <v>91.007461255157807</v>
      </c>
      <c r="AM2799">
        <v>91.888591678083998</v>
      </c>
      <c r="AN2799">
        <v>1.0000000043164301</v>
      </c>
    </row>
    <row r="2800" spans="1:40" x14ac:dyDescent="0.25">
      <c r="A2800" t="str">
        <f>"20190312151552583"</f>
        <v>20190312151552583</v>
      </c>
      <c r="B2800" t="str">
        <f>"1552374952580263"</f>
        <v>1552374952580263</v>
      </c>
      <c r="C2800" t="s">
        <v>40</v>
      </c>
      <c r="D2800">
        <v>5.1943859999999997</v>
      </c>
      <c r="E2800">
        <v>0.50886739999999997</v>
      </c>
      <c r="F2800" t="s">
        <v>41</v>
      </c>
      <c r="G2800">
        <v>-458.93119999999999</v>
      </c>
      <c r="H2800">
        <v>1.0325770000000001</v>
      </c>
      <c r="I2800">
        <v>211.82570000000001</v>
      </c>
      <c r="J2800">
        <v>-459.51670000000001</v>
      </c>
      <c r="K2800">
        <v>1.1103940000000001</v>
      </c>
      <c r="L2800">
        <v>211.7998</v>
      </c>
      <c r="M2800">
        <v>0.99937069999999995</v>
      </c>
      <c r="N2800">
        <v>0</v>
      </c>
      <c r="O2800">
        <v>3.338083E-2</v>
      </c>
      <c r="P2800">
        <v>0.99756369999999905</v>
      </c>
      <c r="Q2800">
        <v>-2.845164E-2</v>
      </c>
      <c r="R2800">
        <v>6.3699140000000001E-2</v>
      </c>
      <c r="S2800">
        <v>2.9915470000000002</v>
      </c>
      <c r="T2800">
        <v>-0.26859860000000002</v>
      </c>
      <c r="U2800">
        <v>0.12634280000000001</v>
      </c>
      <c r="V2800">
        <v>-3.0318359999999999E-2</v>
      </c>
      <c r="W2800">
        <v>-1.6530619999999999E-2</v>
      </c>
      <c r="X2800">
        <v>0.99940359999999995</v>
      </c>
      <c r="Y2800">
        <v>-8.9168010000000002E-3</v>
      </c>
      <c r="Z2800">
        <v>-2.5897379999999998E-3</v>
      </c>
      <c r="AA2800">
        <v>0.99995690000000004</v>
      </c>
      <c r="AB2800">
        <v>30</v>
      </c>
      <c r="AC2800">
        <v>0.585500000000024</v>
      </c>
      <c r="AD2800">
        <v>-7.7816999999999997E-2</v>
      </c>
      <c r="AE2800">
        <v>2.5900000000007101E-2</v>
      </c>
      <c r="AF2800">
        <v>-6.22985068311014E-3</v>
      </c>
      <c r="AG2800">
        <v>-7.7816999999999997E-2</v>
      </c>
      <c r="AH2800">
        <v>0.57588556343414898</v>
      </c>
      <c r="AI2800">
        <v>97.695081842795602</v>
      </c>
      <c r="AJ2800">
        <v>90.619793672297604</v>
      </c>
      <c r="AK2800">
        <v>0.58115271547193204</v>
      </c>
      <c r="AL2800">
        <v>90.947177890440997</v>
      </c>
      <c r="AM2800">
        <v>91.737617790164407</v>
      </c>
      <c r="AN2800">
        <v>1.00000001002181</v>
      </c>
    </row>
    <row r="2801" spans="1:40" x14ac:dyDescent="0.25">
      <c r="A2801" t="str">
        <f>"20190312151552606"</f>
        <v>20190312151552606</v>
      </c>
      <c r="B2801" t="str">
        <f>"1552374952600759"</f>
        <v>1552374952600759</v>
      </c>
      <c r="C2801" t="s">
        <v>40</v>
      </c>
      <c r="D2801">
        <v>5.200634</v>
      </c>
      <c r="E2801">
        <v>0.50892289999999996</v>
      </c>
      <c r="F2801" t="s">
        <v>41</v>
      </c>
      <c r="G2801">
        <v>-458.66250000000002</v>
      </c>
      <c r="H2801">
        <v>1.0344880000000001</v>
      </c>
      <c r="I2801">
        <v>211.83359999999999</v>
      </c>
      <c r="J2801">
        <v>-459.20310000000001</v>
      </c>
      <c r="K2801">
        <v>1.11012</v>
      </c>
      <c r="L2801">
        <v>211.81129999999999</v>
      </c>
      <c r="M2801">
        <v>0.9993476</v>
      </c>
      <c r="N2801">
        <v>0</v>
      </c>
      <c r="O2801">
        <v>3.4068599999999997E-2</v>
      </c>
      <c r="P2801">
        <v>0.99772660000000002</v>
      </c>
      <c r="Q2801">
        <v>-2.7344090000000001E-2</v>
      </c>
      <c r="R2801">
        <v>6.1596100000000001E-2</v>
      </c>
      <c r="S2801">
        <v>2.9920960000000001</v>
      </c>
      <c r="T2801">
        <v>-0.26598830000000001</v>
      </c>
      <c r="U2801">
        <v>0.1196289</v>
      </c>
      <c r="V2801">
        <v>-2.7536620000000001E-2</v>
      </c>
      <c r="W2801">
        <v>-1.541993E-2</v>
      </c>
      <c r="X2801">
        <v>0.99950190000000005</v>
      </c>
      <c r="Y2801">
        <v>-5.9931519999999999E-3</v>
      </c>
      <c r="Z2801">
        <v>-2.754945E-3</v>
      </c>
      <c r="AA2801">
        <v>0.99997820000000004</v>
      </c>
      <c r="AB2801">
        <v>30</v>
      </c>
      <c r="AC2801">
        <v>0.54059999999998298</v>
      </c>
      <c r="AD2801">
        <v>-7.5632000000000102E-2</v>
      </c>
      <c r="AE2801">
        <v>2.2300000000001301E-2</v>
      </c>
      <c r="AF2801">
        <v>-3.7941080568239401E-3</v>
      </c>
      <c r="AG2801">
        <v>-7.5632000000000102E-2</v>
      </c>
      <c r="AH2801">
        <v>0.53067659031209602</v>
      </c>
      <c r="AI2801">
        <v>98.110963469643707</v>
      </c>
      <c r="AJ2801">
        <v>90.409633058547996</v>
      </c>
      <c r="AK2801">
        <v>0.53605245842661697</v>
      </c>
      <c r="AL2801">
        <v>90.883531886484604</v>
      </c>
      <c r="AM2801">
        <v>91.578119173435397</v>
      </c>
      <c r="AN2801">
        <v>1.00000004389291</v>
      </c>
    </row>
    <row r="2802" spans="1:40" x14ac:dyDescent="0.25">
      <c r="A2802" t="str">
        <f>"20190312151552630"</f>
        <v>20190312151552630</v>
      </c>
      <c r="B2802" t="str">
        <f>"1552374952620278"</f>
        <v>1552374952620278</v>
      </c>
      <c r="C2802" t="s">
        <v>40</v>
      </c>
      <c r="D2802">
        <v>5.1395410000000004</v>
      </c>
      <c r="E2802">
        <v>0.50899439999999996</v>
      </c>
      <c r="F2802" t="s">
        <v>41</v>
      </c>
      <c r="G2802">
        <v>-458.3922</v>
      </c>
      <c r="H2802">
        <v>1.0383039999999999</v>
      </c>
      <c r="I2802">
        <v>211.84139999999999</v>
      </c>
      <c r="J2802">
        <v>-458.89499999999998</v>
      </c>
      <c r="K2802">
        <v>1.1098460000000001</v>
      </c>
      <c r="L2802">
        <v>211.82239999999999</v>
      </c>
      <c r="M2802">
        <v>0.99933510000000003</v>
      </c>
      <c r="N2802">
        <v>0</v>
      </c>
      <c r="O2802">
        <v>3.4439549999999999E-2</v>
      </c>
      <c r="P2802">
        <v>0.9978032</v>
      </c>
      <c r="Q2802">
        <v>-2.6305530000000001E-2</v>
      </c>
      <c r="R2802">
        <v>6.0800319999999998E-2</v>
      </c>
      <c r="S2802">
        <v>2.9926149999999998</v>
      </c>
      <c r="T2802">
        <v>-0.26512469999999999</v>
      </c>
      <c r="U2802">
        <v>0.1128387</v>
      </c>
      <c r="V2802">
        <v>-2.6379819999999998E-2</v>
      </c>
      <c r="W2802">
        <v>-1.438071E-2</v>
      </c>
      <c r="X2802">
        <v>0.99954860000000001</v>
      </c>
      <c r="Y2802">
        <v>-3.3605290000000001E-3</v>
      </c>
      <c r="Z2802">
        <v>-2.8948200000000002E-3</v>
      </c>
      <c r="AA2802">
        <v>0.99999020000000005</v>
      </c>
      <c r="AB2802">
        <v>30</v>
      </c>
      <c r="AC2802">
        <v>0.50279999999997904</v>
      </c>
      <c r="AD2802">
        <v>-7.1541999999999703E-2</v>
      </c>
      <c r="AE2802">
        <v>1.9000000000005401E-2</v>
      </c>
      <c r="AF2802">
        <v>-1.6381625258666101E-3</v>
      </c>
      <c r="AG2802">
        <v>-7.1541999999999703E-2</v>
      </c>
      <c r="AH2802">
        <v>0.493185465784241</v>
      </c>
      <c r="AI2802">
        <v>98.253768001025506</v>
      </c>
      <c r="AJ2802">
        <v>90.190312692116294</v>
      </c>
      <c r="AK2802">
        <v>0.49835012290685698</v>
      </c>
      <c r="AL2802">
        <v>90.823982349016205</v>
      </c>
      <c r="AM2802">
        <v>91.511783995456696</v>
      </c>
      <c r="AN2802">
        <v>1.00000005174264</v>
      </c>
    </row>
    <row r="2803" spans="1:40" x14ac:dyDescent="0.25">
      <c r="A2803" t="str">
        <f>"20190312151552653"</f>
        <v>20190312151552653</v>
      </c>
      <c r="B2803" t="str">
        <f>"1552374952650535"</f>
        <v>1552374952650535</v>
      </c>
      <c r="C2803" t="s">
        <v>40</v>
      </c>
      <c r="D2803">
        <v>5.1292839999999904</v>
      </c>
      <c r="E2803">
        <v>0.50924840000000005</v>
      </c>
      <c r="F2803" t="s">
        <v>41</v>
      </c>
      <c r="G2803">
        <v>-458.12200000000001</v>
      </c>
      <c r="H2803">
        <v>1.0412509999999999</v>
      </c>
      <c r="I2803">
        <v>211.85069999999999</v>
      </c>
      <c r="J2803">
        <v>-458.5838</v>
      </c>
      <c r="K2803">
        <v>1.1095790000000001</v>
      </c>
      <c r="L2803">
        <v>211.83340000000001</v>
      </c>
      <c r="M2803">
        <v>0.99933329999999998</v>
      </c>
      <c r="N2803">
        <v>0</v>
      </c>
      <c r="O2803">
        <v>3.4503150000000003E-2</v>
      </c>
      <c r="P2803">
        <v>0.9979905</v>
      </c>
      <c r="Q2803">
        <v>-2.455363E-2</v>
      </c>
      <c r="R2803">
        <v>5.8414689999999998E-2</v>
      </c>
      <c r="S2803">
        <v>2.9928889999999999</v>
      </c>
      <c r="T2803">
        <v>-0.26546940000000002</v>
      </c>
      <c r="U2803">
        <v>0.1098175</v>
      </c>
      <c r="V2803">
        <v>-2.3936200000000001E-2</v>
      </c>
      <c r="W2803">
        <v>-1.2625910000000001E-2</v>
      </c>
      <c r="X2803">
        <v>0.99963369999999996</v>
      </c>
      <c r="Y2803">
        <v>-2.2901179999999998E-3</v>
      </c>
      <c r="Z2803">
        <v>-2.9513600000000001E-3</v>
      </c>
      <c r="AA2803">
        <v>0.99999300000000002</v>
      </c>
      <c r="AB2803">
        <v>30</v>
      </c>
      <c r="AC2803">
        <v>0.46180000000003901</v>
      </c>
      <c r="AD2803">
        <v>-6.8328000000000097E-2</v>
      </c>
      <c r="AE2803">
        <v>1.7299999999977399E-2</v>
      </c>
      <c r="AF2803">
        <v>-1.32601915603359E-3</v>
      </c>
      <c r="AG2803">
        <v>-6.8328000000000097E-2</v>
      </c>
      <c r="AH2803">
        <v>0.45223539082171499</v>
      </c>
      <c r="AI2803">
        <v>98.5917672088096</v>
      </c>
      <c r="AJ2803">
        <v>90.167998977978201</v>
      </c>
      <c r="AK2803">
        <v>0.45737000625584401</v>
      </c>
      <c r="AL2803">
        <v>90.723430617149305</v>
      </c>
      <c r="AM2803">
        <v>91.371683664460505</v>
      </c>
      <c r="AN2803">
        <v>0.99999994472472697</v>
      </c>
    </row>
    <row r="2804" spans="1:40" x14ac:dyDescent="0.25">
      <c r="A2804" t="str">
        <f>"20190312151552675"</f>
        <v>20190312151552675</v>
      </c>
      <c r="B2804" t="str">
        <f>"1552374952670055"</f>
        <v>1552374952670055</v>
      </c>
      <c r="C2804" t="s">
        <v>40</v>
      </c>
      <c r="D2804">
        <v>5.1834959999999999</v>
      </c>
      <c r="E2804">
        <v>0.50932509999999998</v>
      </c>
      <c r="F2804" t="s">
        <v>41</v>
      </c>
      <c r="G2804">
        <v>-457.59820000000002</v>
      </c>
      <c r="H2804">
        <v>1.023933</v>
      </c>
      <c r="I2804">
        <v>211.8664</v>
      </c>
      <c r="J2804">
        <v>-458.28609999999998</v>
      </c>
      <c r="K2804">
        <v>1.109332</v>
      </c>
      <c r="L2804">
        <v>211.84360000000001</v>
      </c>
      <c r="M2804">
        <v>0.99934290000000003</v>
      </c>
      <c r="N2804">
        <v>0</v>
      </c>
      <c r="O2804">
        <v>3.4228149999999999E-2</v>
      </c>
      <c r="P2804">
        <v>0.99818519999999999</v>
      </c>
      <c r="Q2804">
        <v>-2.2887979999999999E-2</v>
      </c>
      <c r="R2804">
        <v>5.570162E-2</v>
      </c>
      <c r="S2804">
        <v>2.993805</v>
      </c>
      <c r="T2804">
        <v>-0.26017059999999997</v>
      </c>
      <c r="U2804">
        <v>0.10066219999999999</v>
      </c>
      <c r="V2804">
        <v>-2.1501280000000001E-2</v>
      </c>
      <c r="W2804">
        <v>-1.0958239999999999E-2</v>
      </c>
      <c r="X2804">
        <v>0.99970879999999995</v>
      </c>
      <c r="Y2804">
        <v>4.9576209999999999E-4</v>
      </c>
      <c r="Z2804">
        <v>-2.988943E-3</v>
      </c>
      <c r="AA2804">
        <v>0.99999539999999998</v>
      </c>
      <c r="AB2804">
        <v>30</v>
      </c>
      <c r="AC2804">
        <v>0.68789999999995599</v>
      </c>
      <c r="AD2804">
        <v>-8.5399000000000003E-2</v>
      </c>
      <c r="AE2804">
        <v>2.2799999999989402E-2</v>
      </c>
      <c r="AF2804">
        <v>7.4904878073420796E-4</v>
      </c>
      <c r="AG2804">
        <v>-8.5399000000000003E-2</v>
      </c>
      <c r="AH2804">
        <v>0.677841982149613</v>
      </c>
      <c r="AI2804">
        <v>97.180663034685693</v>
      </c>
      <c r="AJ2804">
        <v>89.936685367022903</v>
      </c>
      <c r="AK2804">
        <v>0.68320077798520695</v>
      </c>
      <c r="AL2804">
        <v>90.6278734466012</v>
      </c>
      <c r="AM2804">
        <v>91.232101485288197</v>
      </c>
      <c r="AN2804">
        <v>1.0000000364314801</v>
      </c>
    </row>
    <row r="2805" spans="1:40" x14ac:dyDescent="0.25">
      <c r="A2805" t="str">
        <f>"20190312151552696"</f>
        <v>20190312151552696</v>
      </c>
      <c r="B2805" t="str">
        <f>"1552374952690551"</f>
        <v>1552374952690551</v>
      </c>
      <c r="C2805" t="s">
        <v>40</v>
      </c>
      <c r="D2805">
        <v>5.1326239999999999</v>
      </c>
      <c r="E2805">
        <v>0.50942129999999997</v>
      </c>
      <c r="F2805" t="s">
        <v>41</v>
      </c>
      <c r="G2805">
        <v>-457.3288</v>
      </c>
      <c r="H2805">
        <v>1.026864</v>
      </c>
      <c r="I2805">
        <v>211.87299999999999</v>
      </c>
      <c r="J2805">
        <v>-458.01029999999997</v>
      </c>
      <c r="K2805">
        <v>1.109127</v>
      </c>
      <c r="L2805">
        <v>211.8526</v>
      </c>
      <c r="M2805">
        <v>0.99935890000000005</v>
      </c>
      <c r="N2805">
        <v>0</v>
      </c>
      <c r="O2805">
        <v>3.3759900000000002E-2</v>
      </c>
      <c r="P2805">
        <v>0.9983708</v>
      </c>
      <c r="Q2805">
        <v>-2.118008E-2</v>
      </c>
      <c r="R2805">
        <v>5.2984650000000001E-2</v>
      </c>
      <c r="S2805">
        <v>2.9944459999999999</v>
      </c>
      <c r="T2805">
        <v>-0.25789899999999999</v>
      </c>
      <c r="U2805">
        <v>9.1781619999999994E-2</v>
      </c>
      <c r="V2805">
        <v>-1.9252020000000002E-2</v>
      </c>
      <c r="W2805">
        <v>-9.2506440000000006E-3</v>
      </c>
      <c r="X2805">
        <v>0.99977190000000005</v>
      </c>
      <c r="Y2805">
        <v>2.991825E-3</v>
      </c>
      <c r="Z2805">
        <v>-3.0295349999999999E-3</v>
      </c>
      <c r="AA2805">
        <v>0.99999090000000002</v>
      </c>
      <c r="AB2805">
        <v>30</v>
      </c>
      <c r="AC2805">
        <v>0.68149999999997102</v>
      </c>
      <c r="AD2805">
        <v>-8.2262999999999906E-2</v>
      </c>
      <c r="AE2805">
        <v>2.0399999999994999E-2</v>
      </c>
      <c r="AF2805">
        <v>2.5830337854882198E-3</v>
      </c>
      <c r="AG2805">
        <v>-8.2262999999999906E-2</v>
      </c>
      <c r="AH2805">
        <v>0.67201729396330501</v>
      </c>
      <c r="AI2805">
        <v>96.978920474207399</v>
      </c>
      <c r="AJ2805">
        <v>89.779773219012995</v>
      </c>
      <c r="AK2805">
        <v>0.67703848976132797</v>
      </c>
      <c r="AL2805">
        <v>90.530030400986604</v>
      </c>
      <c r="AM2805">
        <v>91.103174815986705</v>
      </c>
      <c r="AN2805">
        <v>1.00000003335905</v>
      </c>
    </row>
    <row r="2806" spans="1:40" x14ac:dyDescent="0.25">
      <c r="A2806" t="str">
        <f>"20190312151552718"</f>
        <v>20190312151552718</v>
      </c>
      <c r="B2806" t="str">
        <f>"1552374952710071"</f>
        <v>1552374952710071</v>
      </c>
      <c r="C2806" t="s">
        <v>40</v>
      </c>
      <c r="D2806">
        <v>5.1432650000000004</v>
      </c>
      <c r="E2806">
        <v>0.50951120000000005</v>
      </c>
      <c r="F2806" t="s">
        <v>41</v>
      </c>
      <c r="G2806">
        <v>-457.05939999999998</v>
      </c>
      <c r="H2806">
        <v>1.0292110000000001</v>
      </c>
      <c r="I2806">
        <v>211.87899999999999</v>
      </c>
      <c r="J2806">
        <v>-457.70679999999999</v>
      </c>
      <c r="K2806">
        <v>1.108935</v>
      </c>
      <c r="L2806">
        <v>211.8622</v>
      </c>
      <c r="M2806">
        <v>0.9993843</v>
      </c>
      <c r="N2806">
        <v>0</v>
      </c>
      <c r="O2806">
        <v>3.3001059999999999E-2</v>
      </c>
      <c r="P2806">
        <v>0.99858729999999996</v>
      </c>
      <c r="Q2806">
        <v>-1.9307060000000001E-2</v>
      </c>
      <c r="R2806">
        <v>4.950748E-2</v>
      </c>
      <c r="S2806">
        <v>2.9951479999999999</v>
      </c>
      <c r="T2806">
        <v>-0.25181249999999999</v>
      </c>
      <c r="U2806">
        <v>8.2870479999999996E-2</v>
      </c>
      <c r="V2806">
        <v>-1.6531520000000001E-2</v>
      </c>
      <c r="W2806">
        <v>-7.3802999999999898E-3</v>
      </c>
      <c r="X2806">
        <v>0.99983610000000001</v>
      </c>
      <c r="Y2806">
        <v>5.2135159999999996E-3</v>
      </c>
      <c r="Z2806">
        <v>-2.9873360000000002E-3</v>
      </c>
      <c r="AA2806">
        <v>0.99998189999999998</v>
      </c>
      <c r="AB2806">
        <v>30</v>
      </c>
      <c r="AC2806">
        <v>0.64740000000000397</v>
      </c>
      <c r="AD2806">
        <v>-7.9723999999999906E-2</v>
      </c>
      <c r="AE2806">
        <v>1.6800000000017599E-2</v>
      </c>
      <c r="AF2806">
        <v>4.5072498382354902E-3</v>
      </c>
      <c r="AG2806">
        <v>-7.9723999999999906E-2</v>
      </c>
      <c r="AH2806">
        <v>0.63793423143376904</v>
      </c>
      <c r="AI2806">
        <v>97.123268136326502</v>
      </c>
      <c r="AJ2806">
        <v>89.595190094594599</v>
      </c>
      <c r="AK2806">
        <v>0.64291236969908905</v>
      </c>
      <c r="AL2806">
        <v>90.422863883197707</v>
      </c>
      <c r="AM2806">
        <v>90.947255280059096</v>
      </c>
      <c r="AN2806">
        <v>0.99999999342240498</v>
      </c>
    </row>
    <row r="2807" spans="1:40" x14ac:dyDescent="0.25">
      <c r="A2807" t="str">
        <f>"20190312151552741"</f>
        <v>20190312151552741</v>
      </c>
      <c r="B2807" t="str">
        <f>"1552374952730567"</f>
        <v>1552374952730567</v>
      </c>
      <c r="C2807" t="s">
        <v>40</v>
      </c>
      <c r="D2807">
        <v>5.5615870000000003</v>
      </c>
      <c r="E2807">
        <v>0.50985599999999998</v>
      </c>
      <c r="F2807" t="s">
        <v>41</v>
      </c>
      <c r="G2807">
        <v>-456.78960000000001</v>
      </c>
      <c r="H2807">
        <v>1.032424</v>
      </c>
      <c r="I2807">
        <v>211.8836</v>
      </c>
      <c r="J2807">
        <v>-457.4117</v>
      </c>
      <c r="K2807">
        <v>1.1087530000000001</v>
      </c>
      <c r="L2807">
        <v>211.87110000000001</v>
      </c>
      <c r="M2807">
        <v>0.99941590000000002</v>
      </c>
      <c r="N2807">
        <v>0</v>
      </c>
      <c r="O2807">
        <v>3.2035689999999999E-2</v>
      </c>
      <c r="P2807">
        <v>0.99882079999999995</v>
      </c>
      <c r="Q2807">
        <v>-1.710861E-2</v>
      </c>
      <c r="R2807">
        <v>4.5437959999999999E-2</v>
      </c>
      <c r="S2807">
        <v>2.9958800000000001</v>
      </c>
      <c r="T2807">
        <v>-0.24990979999999999</v>
      </c>
      <c r="U2807">
        <v>7.1487430000000005E-2</v>
      </c>
      <c r="V2807">
        <v>-1.342221E-2</v>
      </c>
      <c r="W2807">
        <v>-5.1864509999999999E-3</v>
      </c>
      <c r="X2807">
        <v>0.99989649999999997</v>
      </c>
      <c r="Y2807">
        <v>8.0468789999999998E-3</v>
      </c>
      <c r="Z2807">
        <v>-3.0019259999999998E-3</v>
      </c>
      <c r="AA2807">
        <v>0.99996309999999999</v>
      </c>
      <c r="AB2807">
        <v>30</v>
      </c>
      <c r="AC2807">
        <v>0.622099999999989</v>
      </c>
      <c r="AD2807">
        <v>-7.6328999999999994E-2</v>
      </c>
      <c r="AE2807">
        <v>1.24999999999886E-2</v>
      </c>
      <c r="AF2807">
        <v>7.3269730032630197E-3</v>
      </c>
      <c r="AG2807">
        <v>-7.6328999999999994E-2</v>
      </c>
      <c r="AH2807">
        <v>0.61295724179522004</v>
      </c>
      <c r="AI2807">
        <v>97.097762069146</v>
      </c>
      <c r="AJ2807">
        <v>89.315148581192204</v>
      </c>
      <c r="AK2807">
        <v>0.61773487925128101</v>
      </c>
      <c r="AL2807">
        <v>90.297163075443706</v>
      </c>
      <c r="AM2807">
        <v>90.769069396775507</v>
      </c>
      <c r="AN2807">
        <v>1.0000000328537499</v>
      </c>
    </row>
    <row r="2808" spans="1:40" x14ac:dyDescent="0.25">
      <c r="A2808" t="str">
        <f>"20190312151552876"</f>
        <v>20190312151552876</v>
      </c>
      <c r="B2808" t="str">
        <f>"1552374952870135"</f>
        <v>1552374952870135</v>
      </c>
      <c r="C2808" t="s">
        <v>40</v>
      </c>
      <c r="D2808">
        <v>5.1160489999999896</v>
      </c>
      <c r="E2808">
        <v>0.54238719999999996</v>
      </c>
      <c r="F2808" t="s">
        <v>52</v>
      </c>
      <c r="G2808">
        <v>-402.75330000000002</v>
      </c>
      <c r="H2808">
        <v>8.0001520000000007E-2</v>
      </c>
      <c r="I2808">
        <v>207.48269999999999</v>
      </c>
      <c r="J2808">
        <v>-455.58499999999998</v>
      </c>
      <c r="K2808">
        <v>1.107904</v>
      </c>
      <c r="L2808">
        <v>211.91290000000001</v>
      </c>
      <c r="M2808">
        <v>0.99968630000000003</v>
      </c>
      <c r="N2808">
        <v>0</v>
      </c>
      <c r="O2808">
        <v>2.2047480000000001E-2</v>
      </c>
      <c r="P2808">
        <v>0.9998437</v>
      </c>
      <c r="Q2808">
        <v>3.6611830000000001E-3</v>
      </c>
      <c r="R2808">
        <v>1.7304449999999999E-2</v>
      </c>
      <c r="S2808">
        <v>3.0061650000000002</v>
      </c>
      <c r="T2808">
        <v>-5.8165550000000003E-2</v>
      </c>
      <c r="U2808">
        <v>-0.25038149999999998</v>
      </c>
      <c r="V2808">
        <v>4.8034330000000002E-3</v>
      </c>
      <c r="W2808">
        <v>1.5525499999999999E-2</v>
      </c>
      <c r="X2808">
        <v>0.99986790000000003</v>
      </c>
      <c r="Y2808">
        <v>0.1049311</v>
      </c>
      <c r="Z2808">
        <v>-1.4392109999999999E-3</v>
      </c>
      <c r="AA2808">
        <v>0.99447850000000004</v>
      </c>
      <c r="AB2808">
        <v>30</v>
      </c>
      <c r="AC2808">
        <v>52.831699999999898</v>
      </c>
      <c r="AD2808">
        <v>-1.0279024800000001</v>
      </c>
      <c r="AE2808">
        <v>-4.4302000000000099</v>
      </c>
      <c r="AF2808">
        <v>5.5919090802865297</v>
      </c>
      <c r="AG2808">
        <v>-1.0279024800000001</v>
      </c>
      <c r="AH2808">
        <v>52.701364058828403</v>
      </c>
      <c r="AI2808">
        <v>91.111135878353807</v>
      </c>
      <c r="AJ2808">
        <v>83.943259663731695</v>
      </c>
      <c r="AK2808">
        <v>53.007167480744997</v>
      </c>
      <c r="AL2808">
        <v>89.110418604669505</v>
      </c>
      <c r="AM2808">
        <v>89.724749318527799</v>
      </c>
      <c r="AN2808">
        <v>0.99999996578462202</v>
      </c>
    </row>
    <row r="2809" spans="1:40" x14ac:dyDescent="0.25">
      <c r="A2809" t="str">
        <f>"20190312151552897"</f>
        <v>20190312151552897</v>
      </c>
      <c r="B2809" t="str">
        <f>"1552374952890708"</f>
        <v>1552374952890708</v>
      </c>
      <c r="C2809" t="s">
        <v>40</v>
      </c>
      <c r="D2809">
        <v>5.1039500000000002</v>
      </c>
      <c r="E2809">
        <v>0.54298059999999904</v>
      </c>
      <c r="F2809" t="s">
        <v>52</v>
      </c>
      <c r="G2809">
        <v>-402.35660000000001</v>
      </c>
      <c r="H2809">
        <v>8.0001630000000004E-2</v>
      </c>
      <c r="I2809">
        <v>206.83340000000001</v>
      </c>
      <c r="J2809">
        <v>-455.30349999999999</v>
      </c>
      <c r="K2809">
        <v>1.107858</v>
      </c>
      <c r="L2809">
        <v>211.9171</v>
      </c>
      <c r="M2809">
        <v>0.99972729999999999</v>
      </c>
      <c r="N2809">
        <v>0</v>
      </c>
      <c r="O2809">
        <v>2.010675E-2</v>
      </c>
      <c r="P2809">
        <v>0.99989229999999996</v>
      </c>
      <c r="Q2809">
        <v>7.5339569999999896E-3</v>
      </c>
      <c r="R2809">
        <v>1.259885E-2</v>
      </c>
      <c r="S2809">
        <v>3.0056150000000001</v>
      </c>
      <c r="T2809">
        <v>-5.8041929999999999E-2</v>
      </c>
      <c r="U2809">
        <v>-0.28681950000000001</v>
      </c>
      <c r="V2809">
        <v>7.5851800000000004E-3</v>
      </c>
      <c r="W2809">
        <v>1.938395E-2</v>
      </c>
      <c r="X2809">
        <v>0.99978330000000004</v>
      </c>
      <c r="Y2809">
        <v>0.1149694</v>
      </c>
      <c r="Z2809">
        <v>-1.4949469999999999E-3</v>
      </c>
      <c r="AA2809">
        <v>0.99336789999999997</v>
      </c>
      <c r="AB2809">
        <v>30</v>
      </c>
      <c r="AC2809">
        <v>52.9468999999999</v>
      </c>
      <c r="AD2809">
        <v>-1.0278563700000001</v>
      </c>
      <c r="AE2809">
        <v>-5.0836999999999897</v>
      </c>
      <c r="AF2809">
        <v>6.14504260886984</v>
      </c>
      <c r="AG2809">
        <v>-1.0278563700000001</v>
      </c>
      <c r="AH2809">
        <v>52.814248855359203</v>
      </c>
      <c r="AI2809">
        <v>91.107464707428406</v>
      </c>
      <c r="AJ2809">
        <v>83.363363504607904</v>
      </c>
      <c r="AK2809">
        <v>53.1804749841329</v>
      </c>
      <c r="AL2809">
        <v>88.889311868021906</v>
      </c>
      <c r="AM2809">
        <v>89.565315341187102</v>
      </c>
      <c r="AN2809">
        <v>0.99999995971606104</v>
      </c>
    </row>
    <row r="2810" spans="1:40" x14ac:dyDescent="0.25">
      <c r="A2810" t="str">
        <f>"20190312151552919"</f>
        <v>20190312151552919</v>
      </c>
      <c r="B2810" t="str">
        <f>"1552374952910228"</f>
        <v>1552374952910228</v>
      </c>
      <c r="C2810" t="s">
        <v>40</v>
      </c>
      <c r="D2810">
        <v>5.1241899999999996</v>
      </c>
      <c r="E2810">
        <v>0.54291690000000004</v>
      </c>
      <c r="F2810" t="s">
        <v>52</v>
      </c>
      <c r="G2810">
        <v>-409.76080000000002</v>
      </c>
      <c r="H2810">
        <v>3.4054889999999997E-2</v>
      </c>
      <c r="I2810">
        <v>207.2807</v>
      </c>
      <c r="J2810">
        <v>-455.0163</v>
      </c>
      <c r="K2810">
        <v>1.107829</v>
      </c>
      <c r="L2810">
        <v>211.92070000000001</v>
      </c>
      <c r="M2810">
        <v>0.99976589999999999</v>
      </c>
      <c r="N2810">
        <v>0</v>
      </c>
      <c r="O2810">
        <v>1.8094800000000001E-2</v>
      </c>
      <c r="P2810">
        <v>0.99991549999999996</v>
      </c>
      <c r="Q2810">
        <v>1.021276E-2</v>
      </c>
      <c r="R2810">
        <v>8.0419289999999997E-3</v>
      </c>
      <c r="S2810">
        <v>3.0046390000000001</v>
      </c>
      <c r="T2810">
        <v>-7.0843340000000005E-2</v>
      </c>
      <c r="U2810">
        <v>-0.30587769999999997</v>
      </c>
      <c r="V2810">
        <v>1.0142190000000001E-2</v>
      </c>
      <c r="W2810">
        <v>2.2043170000000001E-2</v>
      </c>
      <c r="X2810">
        <v>0.99970559999999997</v>
      </c>
      <c r="Y2810">
        <v>0.119227</v>
      </c>
      <c r="Z2810">
        <v>-1.8273409999999999E-3</v>
      </c>
      <c r="AA2810">
        <v>0.99286529999999995</v>
      </c>
      <c r="AB2810">
        <v>30</v>
      </c>
      <c r="AC2810">
        <v>45.255499999999898</v>
      </c>
      <c r="AD2810">
        <v>-1.07377411</v>
      </c>
      <c r="AE2810">
        <v>-4.6400000000000103</v>
      </c>
      <c r="AF2810">
        <v>5.4551479365201496</v>
      </c>
      <c r="AG2810">
        <v>-1.07377411</v>
      </c>
      <c r="AH2810">
        <v>45.138976341544598</v>
      </c>
      <c r="AI2810">
        <v>91.352865360689805</v>
      </c>
      <c r="AJ2810">
        <v>83.109092943399602</v>
      </c>
      <c r="AK2810">
        <v>45.480092513221102</v>
      </c>
      <c r="AL2810">
        <v>88.736917121743801</v>
      </c>
      <c r="AM2810">
        <v>89.418744131679205</v>
      </c>
      <c r="AN2810">
        <v>1.0000000260165001</v>
      </c>
    </row>
    <row r="2811" spans="1:40" x14ac:dyDescent="0.25">
      <c r="A2811" t="str">
        <f>"20190312151552942"</f>
        <v>20190312151552942</v>
      </c>
      <c r="B2811" t="str">
        <f>"1552374952930724"</f>
        <v>1552374952930724</v>
      </c>
      <c r="C2811" t="s">
        <v>40</v>
      </c>
      <c r="D2811">
        <v>5.0179960000000001</v>
      </c>
      <c r="E2811">
        <v>0.54196420000000001</v>
      </c>
      <c r="F2811" t="s">
        <v>52</v>
      </c>
      <c r="G2811">
        <v>-411.32409999999999</v>
      </c>
      <c r="H2811" s="1">
        <v>3.5570419999999999E-6</v>
      </c>
      <c r="I2811">
        <v>207.2799</v>
      </c>
      <c r="J2811">
        <v>-454.69659999999999</v>
      </c>
      <c r="K2811">
        <v>1.10781</v>
      </c>
      <c r="L2811">
        <v>211.92410000000001</v>
      </c>
      <c r="M2811">
        <v>0.99980429999999998</v>
      </c>
      <c r="N2811">
        <v>0</v>
      </c>
      <c r="O2811">
        <v>1.5838669999999999E-2</v>
      </c>
      <c r="P2811">
        <v>0.99991280000000005</v>
      </c>
      <c r="Q2811">
        <v>1.2804879999999999E-2</v>
      </c>
      <c r="R2811">
        <v>3.2550980000000001E-3</v>
      </c>
      <c r="S2811">
        <v>3.003571</v>
      </c>
      <c r="T2811">
        <v>-7.6156260000000003E-2</v>
      </c>
      <c r="U2811">
        <v>-0.3190308</v>
      </c>
      <c r="V2811">
        <v>1.268378E-2</v>
      </c>
      <c r="W2811">
        <v>2.460977E-2</v>
      </c>
      <c r="X2811">
        <v>0.99961670000000002</v>
      </c>
      <c r="Y2811">
        <v>0.1213173</v>
      </c>
      <c r="Z2811">
        <v>-1.93396E-3</v>
      </c>
      <c r="AA2811">
        <v>0.99261189999999999</v>
      </c>
      <c r="AB2811">
        <v>30</v>
      </c>
      <c r="AC2811">
        <v>43.372500000000002</v>
      </c>
      <c r="AD2811">
        <v>-1.1078064429579999</v>
      </c>
      <c r="AE2811">
        <v>-4.6442000000000103</v>
      </c>
      <c r="AF2811">
        <v>5.3271923849874998</v>
      </c>
      <c r="AG2811">
        <v>-1.1078064429579999</v>
      </c>
      <c r="AH2811">
        <v>43.265589947988303</v>
      </c>
      <c r="AI2811">
        <v>91.455737547107702</v>
      </c>
      <c r="AJ2811">
        <v>82.980632635510503</v>
      </c>
      <c r="AK2811">
        <v>43.606392735116202</v>
      </c>
      <c r="AL2811">
        <v>88.589821722722107</v>
      </c>
      <c r="AM2811">
        <v>89.273033289044903</v>
      </c>
      <c r="AN2811">
        <v>1.00000003298671</v>
      </c>
    </row>
    <row r="2812" spans="1:40" x14ac:dyDescent="0.25">
      <c r="A2812" t="str">
        <f>"20190312151552964"</f>
        <v>20190312151552964</v>
      </c>
      <c r="B2812" t="str">
        <f>"1552374952960005"</f>
        <v>1552374952960005</v>
      </c>
      <c r="C2812" t="s">
        <v>40</v>
      </c>
      <c r="D2812">
        <v>5.0609299999999999</v>
      </c>
      <c r="E2812">
        <v>0.54036619999999902</v>
      </c>
      <c r="F2812" t="s">
        <v>52</v>
      </c>
      <c r="G2812">
        <v>-415.8039</v>
      </c>
      <c r="H2812" s="1">
        <v>4.3495609999999998E-6</v>
      </c>
      <c r="I2812">
        <v>207.70070000000001</v>
      </c>
      <c r="J2812">
        <v>-454.39929999999998</v>
      </c>
      <c r="K2812">
        <v>1.107796</v>
      </c>
      <c r="L2812">
        <v>211.92660000000001</v>
      </c>
      <c r="M2812">
        <v>0.99983560000000005</v>
      </c>
      <c r="N2812">
        <v>0</v>
      </c>
      <c r="O2812">
        <v>1.3739970000000001E-2</v>
      </c>
      <c r="P2812">
        <v>0.99988379999999999</v>
      </c>
      <c r="Q2812">
        <v>1.5191339999999999E-2</v>
      </c>
      <c r="R2812">
        <v>-1.348368E-3</v>
      </c>
      <c r="S2812">
        <v>3.00238</v>
      </c>
      <c r="T2812">
        <v>-8.5518720000000006E-2</v>
      </c>
      <c r="U2812">
        <v>-0.3260345</v>
      </c>
      <c r="V2812">
        <v>1.5198069999999999E-2</v>
      </c>
      <c r="W2812">
        <v>2.6966939999999998E-2</v>
      </c>
      <c r="X2812">
        <v>0.99952079999999999</v>
      </c>
      <c r="Y2812">
        <v>0.12155349999999999</v>
      </c>
      <c r="Z2812">
        <v>-2.1159529999999998E-3</v>
      </c>
      <c r="AA2812">
        <v>0.99258259999999998</v>
      </c>
      <c r="AB2812">
        <v>30</v>
      </c>
      <c r="AC2812">
        <v>38.595399999999898</v>
      </c>
      <c r="AD2812">
        <v>-1.107791650439</v>
      </c>
      <c r="AE2812">
        <v>-4.2258999999999904</v>
      </c>
      <c r="AF2812">
        <v>4.7519692832054803</v>
      </c>
      <c r="AG2812">
        <v>-1.107791650439</v>
      </c>
      <c r="AH2812">
        <v>38.502344202777003</v>
      </c>
      <c r="AI2812">
        <v>91.635659037878796</v>
      </c>
      <c r="AJ2812">
        <v>82.964120917526998</v>
      </c>
      <c r="AK2812">
        <v>38.810294040607701</v>
      </c>
      <c r="AL2812">
        <v>88.4547208418183</v>
      </c>
      <c r="AM2812">
        <v>89.128864384109605</v>
      </c>
      <c r="AN2812">
        <v>1.00000001340866</v>
      </c>
    </row>
    <row r="2813" spans="1:40" x14ac:dyDescent="0.25">
      <c r="A2813" t="str">
        <f>"20190312151552988"</f>
        <v>20190312151552988</v>
      </c>
      <c r="B2813" t="str">
        <f>"1552374952980249"</f>
        <v>1552374952980249</v>
      </c>
      <c r="C2813" t="s">
        <v>40</v>
      </c>
      <c r="D2813">
        <v>5.1087870000000004</v>
      </c>
      <c r="E2813">
        <v>0.54027380000000003</v>
      </c>
      <c r="F2813" t="s">
        <v>52</v>
      </c>
      <c r="G2813">
        <v>-417.49130000000002</v>
      </c>
      <c r="H2813" s="1">
        <v>4.5774070000000004E-6</v>
      </c>
      <c r="I2813">
        <v>207.90280000000001</v>
      </c>
      <c r="J2813">
        <v>-454.0874</v>
      </c>
      <c r="K2813">
        <v>1.1077950000000001</v>
      </c>
      <c r="L2813">
        <v>211.92859999999999</v>
      </c>
      <c r="M2813">
        <v>0.99986339999999996</v>
      </c>
      <c r="N2813">
        <v>0</v>
      </c>
      <c r="O2813">
        <v>1.1546560000000001E-2</v>
      </c>
      <c r="P2813">
        <v>0.99984709999999999</v>
      </c>
      <c r="Q2813">
        <v>1.6594040000000001E-2</v>
      </c>
      <c r="R2813">
        <v>-5.5101849999999999E-3</v>
      </c>
      <c r="S2813">
        <v>3.001312</v>
      </c>
      <c r="T2813">
        <v>-9.0084200000000003E-2</v>
      </c>
      <c r="U2813">
        <v>-0.32720949999999999</v>
      </c>
      <c r="V2813">
        <v>1.7172400000000001E-2</v>
      </c>
      <c r="W2813">
        <v>2.834066E-2</v>
      </c>
      <c r="X2813">
        <v>0.99945079999999997</v>
      </c>
      <c r="Y2813">
        <v>0.1197936</v>
      </c>
      <c r="Z2813">
        <v>-2.1376289999999998E-3</v>
      </c>
      <c r="AA2813">
        <v>0.99279649999999997</v>
      </c>
      <c r="AB2813">
        <v>30</v>
      </c>
      <c r="AC2813">
        <v>36.5960999999999</v>
      </c>
      <c r="AD2813">
        <v>-1.107790422593</v>
      </c>
      <c r="AE2813">
        <v>-4.0257999999999701</v>
      </c>
      <c r="AF2813">
        <v>4.4440966942608702</v>
      </c>
      <c r="AG2813">
        <v>-1.107790422593</v>
      </c>
      <c r="AH2813">
        <v>36.514114193510203</v>
      </c>
      <c r="AI2813">
        <v>91.725024192139003</v>
      </c>
      <c r="AJ2813">
        <v>83.0607171406959</v>
      </c>
      <c r="AK2813">
        <v>36.8002409011821</v>
      </c>
      <c r="AL2813">
        <v>88.375982332541795</v>
      </c>
      <c r="AM2813">
        <v>89.015650155245893</v>
      </c>
      <c r="AN2813">
        <v>0.99999999297581699</v>
      </c>
    </row>
    <row r="2814" spans="1:40" x14ac:dyDescent="0.25">
      <c r="A2814" t="str">
        <f>"20190312151553020"</f>
        <v>20190312151553020</v>
      </c>
      <c r="B2814" t="str">
        <f>"1552374953010503"</f>
        <v>1552374953010503</v>
      </c>
      <c r="C2814" t="s">
        <v>40</v>
      </c>
      <c r="D2814">
        <v>5.0163060000000002</v>
      </c>
      <c r="E2814">
        <v>0.539440699999999</v>
      </c>
      <c r="F2814" t="s">
        <v>52</v>
      </c>
      <c r="G2814">
        <v>-420.4676</v>
      </c>
      <c r="H2814" s="1">
        <v>4.822341E-6</v>
      </c>
      <c r="I2814">
        <v>208.12780000000001</v>
      </c>
      <c r="J2814">
        <v>-453.65690000000001</v>
      </c>
      <c r="K2814">
        <v>1.1077859999999999</v>
      </c>
      <c r="L2814">
        <v>211.93020000000001</v>
      </c>
      <c r="M2814">
        <v>0.99989410000000001</v>
      </c>
      <c r="N2814">
        <v>0</v>
      </c>
      <c r="O2814">
        <v>8.5344569999999901E-3</v>
      </c>
      <c r="P2814">
        <v>0.99977199999999999</v>
      </c>
      <c r="Q2814">
        <v>1.796617E-2</v>
      </c>
      <c r="R2814">
        <v>-1.155073E-2</v>
      </c>
      <c r="S2814">
        <v>3.0002749999999998</v>
      </c>
      <c r="T2814">
        <v>-9.8860619999999996E-2</v>
      </c>
      <c r="U2814">
        <v>-0.33918759999999998</v>
      </c>
      <c r="V2814">
        <v>2.02063E-2</v>
      </c>
      <c r="W2814">
        <v>2.9665239999999999E-2</v>
      </c>
      <c r="X2814">
        <v>0.99935560000000001</v>
      </c>
      <c r="Y2814">
        <v>0.1207442</v>
      </c>
      <c r="Z2814">
        <v>-2.2627419999999999E-3</v>
      </c>
      <c r="AA2814">
        <v>0.99268109999999998</v>
      </c>
      <c r="AB2814">
        <v>30</v>
      </c>
      <c r="AC2814">
        <v>33.189300000000003</v>
      </c>
      <c r="AD2814">
        <v>-1.1077811776590001</v>
      </c>
      <c r="AE2814">
        <v>-3.8024</v>
      </c>
      <c r="AF2814">
        <v>4.08104617511305</v>
      </c>
      <c r="AG2814">
        <v>-1.1077811776590001</v>
      </c>
      <c r="AH2814">
        <v>33.119218386168697</v>
      </c>
      <c r="AI2814">
        <v>91.901361586122405</v>
      </c>
      <c r="AJ2814">
        <v>82.975259276314503</v>
      </c>
      <c r="AK2814">
        <v>33.388092840587902</v>
      </c>
      <c r="AL2814">
        <v>88.300057500990505</v>
      </c>
      <c r="AM2814">
        <v>88.841675596488599</v>
      </c>
      <c r="AN2814">
        <v>0.99999996813765302</v>
      </c>
    </row>
    <row r="2815" spans="1:40" x14ac:dyDescent="0.25">
      <c r="A2815" t="str">
        <f>"20190312151553043"</f>
        <v>20190312151553043</v>
      </c>
      <c r="B2815" t="str">
        <f>"1552374953030024"</f>
        <v>1552374953030024</v>
      </c>
      <c r="C2815" t="s">
        <v>40</v>
      </c>
      <c r="D2815">
        <v>5.0632000000000001</v>
      </c>
      <c r="E2815">
        <v>0.53934879999999996</v>
      </c>
      <c r="F2815" t="s">
        <v>52</v>
      </c>
      <c r="G2815">
        <v>-421.09</v>
      </c>
      <c r="H2815" s="1">
        <v>4.6870649999999997E-6</v>
      </c>
      <c r="I2815">
        <v>208.12010000000001</v>
      </c>
      <c r="J2815">
        <v>-453.34160000000003</v>
      </c>
      <c r="K2815">
        <v>1.107775</v>
      </c>
      <c r="L2815">
        <v>211.93049999999999</v>
      </c>
      <c r="M2815">
        <v>0.99991079999999999</v>
      </c>
      <c r="N2815">
        <v>0</v>
      </c>
      <c r="O2815">
        <v>6.3376309999999998E-3</v>
      </c>
      <c r="P2815">
        <v>0.99970029999999999</v>
      </c>
      <c r="Q2815">
        <v>1.884019E-2</v>
      </c>
      <c r="R2815">
        <v>-1.563463E-2</v>
      </c>
      <c r="S2815">
        <v>2.9984739999999999</v>
      </c>
      <c r="T2815">
        <v>-0.101995</v>
      </c>
      <c r="U2815">
        <v>-0.35079959999999999</v>
      </c>
      <c r="V2815">
        <v>2.2097240000000001E-2</v>
      </c>
      <c r="W2815">
        <v>3.0504090000000001E-2</v>
      </c>
      <c r="X2815">
        <v>0.99929029999999996</v>
      </c>
      <c r="Y2815">
        <v>0.1224195</v>
      </c>
      <c r="Z2815">
        <v>-2.289237E-3</v>
      </c>
      <c r="AA2815">
        <v>0.99247580000000002</v>
      </c>
      <c r="AB2815">
        <v>30</v>
      </c>
      <c r="AC2815">
        <v>32.251600000000003</v>
      </c>
      <c r="AD2815">
        <v>-1.1077703129350001</v>
      </c>
      <c r="AE2815">
        <v>-3.81039999999998</v>
      </c>
      <c r="AF2815">
        <v>4.0100705050810799</v>
      </c>
      <c r="AG2815">
        <v>-1.1077703129350001</v>
      </c>
      <c r="AH2815">
        <v>32.189348424332103</v>
      </c>
      <c r="AI2815">
        <v>91.955902833644799</v>
      </c>
      <c r="AJ2815">
        <v>82.898816512542297</v>
      </c>
      <c r="AK2815">
        <v>32.457078927485</v>
      </c>
      <c r="AL2815">
        <v>88.251973128807293</v>
      </c>
      <c r="AM2815">
        <v>88.733228684127994</v>
      </c>
      <c r="AN2815">
        <v>0.99999994559821603</v>
      </c>
    </row>
    <row r="2816" spans="1:40" x14ac:dyDescent="0.25">
      <c r="A2816" t="str">
        <f>"20190312151553067"</f>
        <v>20190312151553067</v>
      </c>
      <c r="B2816" t="str">
        <f>"1552374953060279"</f>
        <v>1552374953060279</v>
      </c>
      <c r="C2816" t="s">
        <v>40</v>
      </c>
      <c r="D2816">
        <v>4.9864129999999998</v>
      </c>
      <c r="E2816">
        <v>0.53872109999999995</v>
      </c>
      <c r="F2816" t="s">
        <v>52</v>
      </c>
      <c r="G2816">
        <v>-421.37369999999999</v>
      </c>
      <c r="H2816" s="1">
        <v>4.6427060000000002E-6</v>
      </c>
      <c r="I2816">
        <v>208.0676</v>
      </c>
      <c r="J2816">
        <v>-453.0301</v>
      </c>
      <c r="K2816">
        <v>1.1077650000000001</v>
      </c>
      <c r="L2816">
        <v>211.93020000000001</v>
      </c>
      <c r="M2816">
        <v>0.99992259999999999</v>
      </c>
      <c r="N2816">
        <v>0</v>
      </c>
      <c r="O2816">
        <v>4.1718880000000003E-3</v>
      </c>
      <c r="P2816">
        <v>0.99962930000000005</v>
      </c>
      <c r="Q2816">
        <v>1.9223480000000001E-2</v>
      </c>
      <c r="R2816">
        <v>-1.9289890000000001E-2</v>
      </c>
      <c r="S2816">
        <v>2.9971619999999999</v>
      </c>
      <c r="T2816">
        <v>-0.10385949999999999</v>
      </c>
      <c r="U2816">
        <v>-0.36216739999999997</v>
      </c>
      <c r="V2816">
        <v>2.3588939999999999E-2</v>
      </c>
      <c r="W2816">
        <v>3.085154E-2</v>
      </c>
      <c r="X2816">
        <v>0.99924559999999996</v>
      </c>
      <c r="Y2816">
        <v>0.1240293</v>
      </c>
      <c r="Z2816">
        <v>-2.284566E-3</v>
      </c>
      <c r="AA2816">
        <v>0.99227600000000005</v>
      </c>
      <c r="AB2816">
        <v>30</v>
      </c>
      <c r="AC2816">
        <v>31.656400000000001</v>
      </c>
      <c r="AD2816">
        <v>-1.10776035729399</v>
      </c>
      <c r="AE2816">
        <v>-3.8626000000000098</v>
      </c>
      <c r="AF2816">
        <v>3.98982842561837</v>
      </c>
      <c r="AG2816">
        <v>-1.10776035729399</v>
      </c>
      <c r="AH2816">
        <v>31.601879335655099</v>
      </c>
      <c r="AI2816">
        <v>91.991803805647194</v>
      </c>
      <c r="AJ2816">
        <v>82.804313967836194</v>
      </c>
      <c r="AK2816">
        <v>31.8720040383464</v>
      </c>
      <c r="AL2816">
        <v>88.232056452772596</v>
      </c>
      <c r="AM2816">
        <v>88.647684086456806</v>
      </c>
      <c r="AN2816">
        <v>1.0000000123650199</v>
      </c>
    </row>
    <row r="2817" spans="1:40" x14ac:dyDescent="0.25">
      <c r="A2817" t="str">
        <f>"20190312151553089"</f>
        <v>20190312151553089</v>
      </c>
      <c r="B2817" t="str">
        <f>"1552374953080306"</f>
        <v>1552374953080306</v>
      </c>
      <c r="C2817" t="s">
        <v>40</v>
      </c>
      <c r="D2817">
        <v>5.1753169999999997</v>
      </c>
      <c r="E2817">
        <v>0.53818029999999994</v>
      </c>
      <c r="F2817" t="s">
        <v>52</v>
      </c>
      <c r="G2817">
        <v>-424.40960000000001</v>
      </c>
      <c r="H2817" s="1">
        <v>3.9383860000000003E-6</v>
      </c>
      <c r="I2817">
        <v>208.41220000000001</v>
      </c>
      <c r="J2817">
        <v>-452.7296</v>
      </c>
      <c r="K2817">
        <v>1.107756</v>
      </c>
      <c r="L2817">
        <v>211.92920000000001</v>
      </c>
      <c r="M2817">
        <v>0.99992939999999997</v>
      </c>
      <c r="N2817">
        <v>0</v>
      </c>
      <c r="O2817">
        <v>2.0842009999999999E-3</v>
      </c>
      <c r="P2817">
        <v>0.99955510000000003</v>
      </c>
      <c r="Q2817">
        <v>1.906304E-2</v>
      </c>
      <c r="R2817">
        <v>-2.2942339999999999E-2</v>
      </c>
      <c r="S2817">
        <v>2.9962770000000001</v>
      </c>
      <c r="T2817">
        <v>-0.11597159999999999</v>
      </c>
      <c r="U2817">
        <v>-0.3683014</v>
      </c>
      <c r="V2817">
        <v>2.5153539999999999E-2</v>
      </c>
      <c r="W2817">
        <v>3.0654230000000001E-2</v>
      </c>
      <c r="X2817">
        <v>0.99921349999999998</v>
      </c>
      <c r="Y2817">
        <v>0.123977</v>
      </c>
      <c r="Z2817">
        <v>-2.4697450000000002E-3</v>
      </c>
      <c r="AA2817">
        <v>0.992282</v>
      </c>
      <c r="AB2817">
        <v>30</v>
      </c>
      <c r="AC2817">
        <v>28.32</v>
      </c>
      <c r="AD2817">
        <v>-1.107752061614</v>
      </c>
      <c r="AE2817">
        <v>-3.5169999999999901</v>
      </c>
      <c r="AF2817">
        <v>3.5706407774165698</v>
      </c>
      <c r="AG2817">
        <v>-1.107752061614</v>
      </c>
      <c r="AH2817">
        <v>28.270010966670799</v>
      </c>
      <c r="AI2817">
        <v>92.226300506590604</v>
      </c>
      <c r="AJ2817">
        <v>82.801380745401204</v>
      </c>
      <c r="AK2817">
        <v>28.516137716160799</v>
      </c>
      <c r="AL2817">
        <v>88.243366811638694</v>
      </c>
      <c r="AM2817">
        <v>88.557978478839999</v>
      </c>
      <c r="AN2817">
        <v>1.0000000004868299</v>
      </c>
    </row>
    <row r="2818" spans="1:40" x14ac:dyDescent="0.25">
      <c r="A2818" t="str">
        <f>"20190312151553109"</f>
        <v>20190312151553109</v>
      </c>
      <c r="B2818" t="str">
        <f>"1552374953100803"</f>
        <v>1552374953100803</v>
      </c>
      <c r="C2818" t="s">
        <v>40</v>
      </c>
      <c r="D2818">
        <v>6.2809860000000004</v>
      </c>
      <c r="E2818">
        <v>0.53752359999999999</v>
      </c>
      <c r="F2818" t="s">
        <v>52</v>
      </c>
      <c r="G2818">
        <v>-425.56659999999999</v>
      </c>
      <c r="H2818" s="1">
        <v>3.7019789999999999E-6</v>
      </c>
      <c r="I2818">
        <v>208.5299</v>
      </c>
      <c r="J2818">
        <v>-452.44659999999999</v>
      </c>
      <c r="K2818">
        <v>1.1077539999999999</v>
      </c>
      <c r="L2818">
        <v>211.92779999999999</v>
      </c>
      <c r="M2818">
        <v>0.99993189999999998</v>
      </c>
      <c r="N2818">
        <v>0</v>
      </c>
      <c r="O2818">
        <v>1.1938069999999999E-4</v>
      </c>
      <c r="P2818">
        <v>0.99948809999999999</v>
      </c>
      <c r="Q2818">
        <v>1.8951820000000001E-2</v>
      </c>
      <c r="R2818">
        <v>-2.577724E-2</v>
      </c>
      <c r="S2818">
        <v>2.9950260000000002</v>
      </c>
      <c r="T2818">
        <v>-0.1221424</v>
      </c>
      <c r="U2818">
        <v>-0.37481690000000001</v>
      </c>
      <c r="V2818">
        <v>2.6023899999999999E-2</v>
      </c>
      <c r="W2818">
        <v>3.0506950000000001E-2</v>
      </c>
      <c r="X2818">
        <v>0.99919570000000002</v>
      </c>
      <c r="Y2818">
        <v>0.1241946</v>
      </c>
      <c r="Z2818">
        <v>-2.5264100000000002E-3</v>
      </c>
      <c r="AA2818">
        <v>0.99225469999999905</v>
      </c>
      <c r="AB2818">
        <v>30</v>
      </c>
      <c r="AC2818">
        <v>26.8799999999999</v>
      </c>
      <c r="AD2818">
        <v>-1.1077502980209999</v>
      </c>
      <c r="AE2818">
        <v>-3.3978999999999902</v>
      </c>
      <c r="AF2818">
        <v>3.3954332377726502</v>
      </c>
      <c r="AG2818">
        <v>-1.1077502980209999</v>
      </c>
      <c r="AH2818">
        <v>26.8347363734417</v>
      </c>
      <c r="AI2818">
        <v>92.345176438471</v>
      </c>
      <c r="AJ2818">
        <v>82.788614534661406</v>
      </c>
      <c r="AK2818">
        <v>27.071371480349001</v>
      </c>
      <c r="AL2818">
        <v>88.251809250461307</v>
      </c>
      <c r="AM2818">
        <v>88.508077418577798</v>
      </c>
      <c r="AN2818">
        <v>0.99999998213400099</v>
      </c>
    </row>
    <row r="2819" spans="1:40" x14ac:dyDescent="0.25">
      <c r="A2819" t="str">
        <f>"20190312151553132"</f>
        <v>20190312151553132</v>
      </c>
      <c r="B2819" t="str">
        <f>"1552374953120322"</f>
        <v>1552374953120322</v>
      </c>
      <c r="C2819" t="s">
        <v>40</v>
      </c>
      <c r="D2819">
        <v>5.037528</v>
      </c>
      <c r="E2819">
        <v>0.5370627</v>
      </c>
      <c r="F2819" t="s">
        <v>52</v>
      </c>
      <c r="G2819">
        <v>-426.25189999999998</v>
      </c>
      <c r="H2819" s="1">
        <v>3.5568899999999999E-6</v>
      </c>
      <c r="I2819">
        <v>208.61879999999999</v>
      </c>
      <c r="J2819">
        <v>-452.14870000000002</v>
      </c>
      <c r="K2819">
        <v>1.1077459999999999</v>
      </c>
      <c r="L2819">
        <v>211.92570000000001</v>
      </c>
      <c r="M2819">
        <v>0.9999306</v>
      </c>
      <c r="N2819">
        <v>0</v>
      </c>
      <c r="O2819">
        <v>-1.9499160000000001E-3</v>
      </c>
      <c r="P2819">
        <v>0.99943230000000005</v>
      </c>
      <c r="Q2819">
        <v>1.8917170000000001E-2</v>
      </c>
      <c r="R2819">
        <v>-2.788533E-2</v>
      </c>
      <c r="S2819">
        <v>2.9941710000000001</v>
      </c>
      <c r="T2819">
        <v>-0.12662089999999901</v>
      </c>
      <c r="U2819">
        <v>-0.37823489999999999</v>
      </c>
      <c r="V2819">
        <v>2.6063530000000001E-2</v>
      </c>
      <c r="W2819">
        <v>3.043212E-2</v>
      </c>
      <c r="X2819">
        <v>0.99919690000000005</v>
      </c>
      <c r="Y2819">
        <v>0.1232861</v>
      </c>
      <c r="Z2819">
        <v>-2.5132660000000001E-3</v>
      </c>
      <c r="AA2819">
        <v>0.99236800000000003</v>
      </c>
      <c r="AB2819">
        <v>30</v>
      </c>
      <c r="AC2819">
        <v>25.896799999999999</v>
      </c>
      <c r="AD2819">
        <v>-1.10774244310999</v>
      </c>
      <c r="AE2819">
        <v>-3.3069000000000099</v>
      </c>
      <c r="AF2819">
        <v>3.2505415538571598</v>
      </c>
      <c r="AG2819">
        <v>-1.10774244310999</v>
      </c>
      <c r="AH2819">
        <v>25.856647938090301</v>
      </c>
      <c r="AI2819">
        <v>92.434012939525502</v>
      </c>
      <c r="AJ2819">
        <v>82.834709749533005</v>
      </c>
      <c r="AK2819">
        <v>26.083699053392898</v>
      </c>
      <c r="AL2819">
        <v>88.256098600041</v>
      </c>
      <c r="AM2819">
        <v>88.505808295543602</v>
      </c>
      <c r="AN2819">
        <v>0.99999993324668002</v>
      </c>
    </row>
    <row r="2820" spans="1:40" x14ac:dyDescent="0.25">
      <c r="A2820" t="str">
        <f>"20190312151553153"</f>
        <v>20190312151553153</v>
      </c>
      <c r="B2820" t="str">
        <f>"1552374953150578"</f>
        <v>1552374953150578</v>
      </c>
      <c r="C2820" t="s">
        <v>40</v>
      </c>
      <c r="D2820">
        <v>4.9859910000000003</v>
      </c>
      <c r="E2820">
        <v>0.5364835</v>
      </c>
      <c r="F2820" t="s">
        <v>52</v>
      </c>
      <c r="G2820">
        <v>-427.33949999999999</v>
      </c>
      <c r="H2820" s="1">
        <v>3.324367E-6</v>
      </c>
      <c r="I2820">
        <v>208.76830000000001</v>
      </c>
      <c r="J2820">
        <v>-451.85789999999997</v>
      </c>
      <c r="K2820">
        <v>1.107739</v>
      </c>
      <c r="L2820">
        <v>211.923</v>
      </c>
      <c r="M2820">
        <v>0.99992510000000001</v>
      </c>
      <c r="N2820">
        <v>0</v>
      </c>
      <c r="O2820">
        <v>-3.9694229999999997E-3</v>
      </c>
      <c r="P2820">
        <v>0.9993514</v>
      </c>
      <c r="Q2820">
        <v>1.9949359999999999E-2</v>
      </c>
      <c r="R2820">
        <v>-2.9983249999999999E-2</v>
      </c>
      <c r="S2820">
        <v>2.9935909999999999</v>
      </c>
      <c r="T2820">
        <v>-0.1336656</v>
      </c>
      <c r="U2820">
        <v>-0.38098140000000003</v>
      </c>
      <c r="V2820">
        <v>2.6147219999999999E-2</v>
      </c>
      <c r="W2820">
        <v>3.1421079999999997E-2</v>
      </c>
      <c r="X2820">
        <v>0.99916419999999995</v>
      </c>
      <c r="Y2820">
        <v>0.1221926</v>
      </c>
      <c r="Z2820">
        <v>-2.5392520000000001E-3</v>
      </c>
      <c r="AA2820">
        <v>0.99250320000000003</v>
      </c>
      <c r="AB2820">
        <v>30</v>
      </c>
      <c r="AC2820">
        <v>24.5183999999999</v>
      </c>
      <c r="AD2820">
        <v>-1.1077356756329999</v>
      </c>
      <c r="AE2820">
        <v>-3.1546999999999898</v>
      </c>
      <c r="AF2820">
        <v>3.0512179666732999</v>
      </c>
      <c r="AG2820">
        <v>-1.1077356756329999</v>
      </c>
      <c r="AH2820">
        <v>24.481571742491202</v>
      </c>
      <c r="AI2820">
        <v>92.570873841400399</v>
      </c>
      <c r="AJ2820">
        <v>82.8956742651593</v>
      </c>
      <c r="AK2820">
        <v>24.695836985005499</v>
      </c>
      <c r="AL2820">
        <v>88.199408416687604</v>
      </c>
      <c r="AM2820">
        <v>88.500963595681995</v>
      </c>
      <c r="AN2820">
        <v>1.0000000299718601</v>
      </c>
    </row>
    <row r="2821" spans="1:40" x14ac:dyDescent="0.25">
      <c r="A2821" t="str">
        <f>"20190312151553187"</f>
        <v>20190312151553187</v>
      </c>
      <c r="B2821" t="str">
        <f>"1552374953180834"</f>
        <v>1552374953180834</v>
      </c>
      <c r="C2821" t="s">
        <v>40</v>
      </c>
      <c r="D2821">
        <v>4.8850680000000004</v>
      </c>
      <c r="E2821">
        <v>0.53584639999999994</v>
      </c>
      <c r="F2821" t="s">
        <v>52</v>
      </c>
      <c r="G2821">
        <v>-428.05459999999999</v>
      </c>
      <c r="H2821" s="1">
        <v>3.1681490000000001E-6</v>
      </c>
      <c r="I2821">
        <v>208.8792</v>
      </c>
      <c r="J2821">
        <v>-451.39240000000001</v>
      </c>
      <c r="K2821">
        <v>1.1077330000000001</v>
      </c>
      <c r="L2821">
        <v>211.91739999999999</v>
      </c>
      <c r="M2821">
        <v>0.99990789999999996</v>
      </c>
      <c r="N2821">
        <v>0</v>
      </c>
      <c r="O2821">
        <v>-7.2037730000000001E-3</v>
      </c>
      <c r="P2821">
        <v>0.99925319999999995</v>
      </c>
      <c r="Q2821">
        <v>2.194513E-2</v>
      </c>
      <c r="R2821">
        <v>-3.1806800000000003E-2</v>
      </c>
      <c r="S2821">
        <v>2.9932560000000001</v>
      </c>
      <c r="T2821">
        <v>-0.13929710000000001</v>
      </c>
      <c r="U2821">
        <v>-0.38275150000000002</v>
      </c>
      <c r="V2821">
        <v>2.474666E-2</v>
      </c>
      <c r="W2821">
        <v>3.334935E-2</v>
      </c>
      <c r="X2821">
        <v>0.99913730000000001</v>
      </c>
      <c r="Y2821">
        <v>0.1195696</v>
      </c>
      <c r="Z2821">
        <v>-2.4357570000000002E-3</v>
      </c>
      <c r="AA2821">
        <v>0.99282280000000001</v>
      </c>
      <c r="AB2821">
        <v>30</v>
      </c>
      <c r="AC2821">
        <v>23.337800000000001</v>
      </c>
      <c r="AD2821">
        <v>-1.107729831851</v>
      </c>
      <c r="AE2821">
        <v>-3.0381999999999798</v>
      </c>
      <c r="AF2821">
        <v>2.8636457423208999</v>
      </c>
      <c r="AG2821">
        <v>-1.107729831851</v>
      </c>
      <c r="AH2821">
        <v>23.307447342551001</v>
      </c>
      <c r="AI2821">
        <v>92.700763070793101</v>
      </c>
      <c r="AJ2821">
        <v>82.995517251270101</v>
      </c>
      <c r="AK2821">
        <v>23.5088203435152</v>
      </c>
      <c r="AL2821">
        <v>88.088868554469897</v>
      </c>
      <c r="AM2821">
        <v>88.581186643109405</v>
      </c>
      <c r="AN2821">
        <v>0.99999996028893301</v>
      </c>
    </row>
    <row r="2822" spans="1:40" x14ac:dyDescent="0.25">
      <c r="A2822" t="str">
        <f>"20190312151553210"</f>
        <v>20190312151553210</v>
      </c>
      <c r="B2822" t="str">
        <f>"1552374953200354"</f>
        <v>1552374953200354</v>
      </c>
      <c r="C2822" t="s">
        <v>40</v>
      </c>
      <c r="D2822">
        <v>5.0136229999999999</v>
      </c>
      <c r="E2822">
        <v>0.53544669999999905</v>
      </c>
      <c r="F2822" t="s">
        <v>52</v>
      </c>
      <c r="G2822">
        <v>-427.85950000000003</v>
      </c>
      <c r="H2822" s="1">
        <v>3.1965030000000001E-6</v>
      </c>
      <c r="I2822">
        <v>208.90280000000001</v>
      </c>
      <c r="J2822">
        <v>-451.1028</v>
      </c>
      <c r="K2822">
        <v>1.1077330000000001</v>
      </c>
      <c r="L2822">
        <v>211.91329999999999</v>
      </c>
      <c r="M2822">
        <v>0.9998918</v>
      </c>
      <c r="N2822">
        <v>0</v>
      </c>
      <c r="O2822">
        <v>-9.2160079999999995E-3</v>
      </c>
      <c r="P2822">
        <v>0.99922940000000005</v>
      </c>
      <c r="Q2822">
        <v>2.2771079999999999E-2</v>
      </c>
      <c r="R2822">
        <v>-3.1971960000000001E-2</v>
      </c>
      <c r="S2822">
        <v>2.9931030000000001</v>
      </c>
      <c r="T2822">
        <v>-0.14088999999999999</v>
      </c>
      <c r="U2822">
        <v>-0.38342290000000001</v>
      </c>
      <c r="V2822">
        <v>2.2904029999999999E-2</v>
      </c>
      <c r="W2822">
        <v>3.4139509999999998E-2</v>
      </c>
      <c r="X2822">
        <v>0.9991546</v>
      </c>
      <c r="Y2822">
        <v>0.11779820000000001</v>
      </c>
      <c r="Z2822">
        <v>-2.3279110000000002E-3</v>
      </c>
      <c r="AA2822">
        <v>0.9930348</v>
      </c>
      <c r="AB2822">
        <v>30</v>
      </c>
      <c r="AC2822">
        <v>23.243299999999898</v>
      </c>
      <c r="AD2822">
        <v>-1.107729803497</v>
      </c>
      <c r="AE2822">
        <v>-3.0104999999999702</v>
      </c>
      <c r="AF2822">
        <v>2.7899154617784299</v>
      </c>
      <c r="AG2822">
        <v>-1.107729803497</v>
      </c>
      <c r="AH2822">
        <v>23.2181942644761</v>
      </c>
      <c r="AI2822">
        <v>92.712005962057901</v>
      </c>
      <c r="AJ2822">
        <v>83.148147634018699</v>
      </c>
      <c r="AK2822">
        <v>23.411433926702902</v>
      </c>
      <c r="AL2822">
        <v>88.043570013354298</v>
      </c>
      <c r="AM2822">
        <v>88.686815372822807</v>
      </c>
      <c r="AN2822">
        <v>1.00000000771722</v>
      </c>
    </row>
    <row r="2823" spans="1:40" x14ac:dyDescent="0.25">
      <c r="A2823" t="str">
        <f>"20190312151553232"</f>
        <v>20190312151553232</v>
      </c>
      <c r="B2823" t="str">
        <f>"1552374953220850"</f>
        <v>1552374953220850</v>
      </c>
      <c r="C2823" t="s">
        <v>40</v>
      </c>
      <c r="D2823">
        <v>4.973579</v>
      </c>
      <c r="E2823">
        <v>0.53504969999999996</v>
      </c>
      <c r="F2823" t="s">
        <v>52</v>
      </c>
      <c r="G2823">
        <v>-427.74380000000002</v>
      </c>
      <c r="H2823" s="1">
        <v>3.206972E-6</v>
      </c>
      <c r="I2823">
        <v>208.9408</v>
      </c>
      <c r="J2823">
        <v>-450.79079999999999</v>
      </c>
      <c r="K2823">
        <v>1.1077300000000001</v>
      </c>
      <c r="L2823">
        <v>211.90819999999999</v>
      </c>
      <c r="M2823">
        <v>0.99987000000000004</v>
      </c>
      <c r="N2823">
        <v>0</v>
      </c>
      <c r="O2823">
        <v>-1.138402E-2</v>
      </c>
      <c r="P2823">
        <v>0.9991913</v>
      </c>
      <c r="Q2823">
        <v>2.3807760000000001E-2</v>
      </c>
      <c r="R2823">
        <v>-3.2406329999999997E-2</v>
      </c>
      <c r="S2823">
        <v>2.993347</v>
      </c>
      <c r="T2823">
        <v>-0.1419501</v>
      </c>
      <c r="U2823">
        <v>-0.3809052</v>
      </c>
      <c r="V2823">
        <v>2.1175880000000001E-2</v>
      </c>
      <c r="W2823">
        <v>3.5135020000000003E-2</v>
      </c>
      <c r="X2823">
        <v>0.9991582</v>
      </c>
      <c r="Y2823">
        <v>0.1148164</v>
      </c>
      <c r="Z2823">
        <v>-2.172654E-3</v>
      </c>
      <c r="AA2823">
        <v>0.99338439999999995</v>
      </c>
      <c r="AB2823">
        <v>30</v>
      </c>
      <c r="AC2823">
        <v>23.046999999999901</v>
      </c>
      <c r="AD2823">
        <v>-1.1077267930279999</v>
      </c>
      <c r="AE2823">
        <v>-2.9673999999999898</v>
      </c>
      <c r="AF2823">
        <v>2.6986904100968201</v>
      </c>
      <c r="AG2823">
        <v>-1.1077267930279999</v>
      </c>
      <c r="AH2823">
        <v>23.026961687969699</v>
      </c>
      <c r="AI2823">
        <v>92.735434140044802</v>
      </c>
      <c r="AJ2823">
        <v>83.315599984406006</v>
      </c>
      <c r="AK2823">
        <v>23.211009309307599</v>
      </c>
      <c r="AL2823">
        <v>87.986497224023196</v>
      </c>
      <c r="AM2823">
        <v>88.785871004939096</v>
      </c>
      <c r="AN2823">
        <v>0.99999999807570705</v>
      </c>
    </row>
    <row r="2824" spans="1:40" x14ac:dyDescent="0.25">
      <c r="A2824" t="str">
        <f>"20190312151553255"</f>
        <v>20190312151553255</v>
      </c>
      <c r="B2824" t="str">
        <f>"1552374953250131"</f>
        <v>1552374953250131</v>
      </c>
      <c r="C2824" t="s">
        <v>40</v>
      </c>
      <c r="D2824">
        <v>4.9090959999999999</v>
      </c>
      <c r="E2824">
        <v>0.53447860000000003</v>
      </c>
      <c r="F2824" t="s">
        <v>52</v>
      </c>
      <c r="G2824">
        <v>-427.61869999999999</v>
      </c>
      <c r="H2824" s="1">
        <v>3.22124E-6</v>
      </c>
      <c r="I2824">
        <v>208.97069999999999</v>
      </c>
      <c r="J2824">
        <v>-450.47219999999999</v>
      </c>
      <c r="K2824">
        <v>1.1077239999999999</v>
      </c>
      <c r="L2824">
        <v>211.90219999999999</v>
      </c>
      <c r="M2824">
        <v>0.99984289999999998</v>
      </c>
      <c r="N2824">
        <v>0</v>
      </c>
      <c r="O2824">
        <v>-1.359848E-2</v>
      </c>
      <c r="P2824">
        <v>0.99917389999999995</v>
      </c>
      <c r="Q2824">
        <v>2.4334950000000001E-2</v>
      </c>
      <c r="R2824">
        <v>-3.2552339999999999E-2</v>
      </c>
      <c r="S2824">
        <v>2.9935610000000001</v>
      </c>
      <c r="T2824">
        <v>-0.1431055</v>
      </c>
      <c r="U2824">
        <v>-0.37948609999999999</v>
      </c>
      <c r="V2824">
        <v>1.9110599999999998E-2</v>
      </c>
      <c r="W2824">
        <v>3.5614890000000003E-2</v>
      </c>
      <c r="X2824">
        <v>0.99918280000000004</v>
      </c>
      <c r="Y2824">
        <v>0.11214730000000001</v>
      </c>
      <c r="Z2824">
        <v>-2.021381E-3</v>
      </c>
      <c r="AA2824">
        <v>0.9936895</v>
      </c>
      <c r="AB2824">
        <v>30</v>
      </c>
      <c r="AC2824">
        <v>22.8535</v>
      </c>
      <c r="AD2824">
        <v>-1.1077207787600001</v>
      </c>
      <c r="AE2824">
        <v>-2.9315000000000002</v>
      </c>
      <c r="AF2824">
        <v>2.6143931576553601</v>
      </c>
      <c r="AG2824">
        <v>-1.1077207787600001</v>
      </c>
      <c r="AH2824">
        <v>22.838465240693701</v>
      </c>
      <c r="AI2824">
        <v>92.758818714411007</v>
      </c>
      <c r="AJ2824">
        <v>83.469592455718697</v>
      </c>
      <c r="AK2824">
        <v>23.014291026596101</v>
      </c>
      <c r="AL2824">
        <v>87.958985383816099</v>
      </c>
      <c r="AM2824">
        <v>88.904281341800697</v>
      </c>
      <c r="AN2824">
        <v>0.99999995161895405</v>
      </c>
    </row>
    <row r="2825" spans="1:40" x14ac:dyDescent="0.25">
      <c r="A2825" t="str">
        <f>"20190312151553278"</f>
        <v>20190312151553278</v>
      </c>
      <c r="B2825" t="str">
        <f>"1552374953270628"</f>
        <v>1552374953270628</v>
      </c>
      <c r="C2825" t="s">
        <v>40</v>
      </c>
      <c r="D2825">
        <v>4.9842309999999896</v>
      </c>
      <c r="E2825">
        <v>0.53417740000000002</v>
      </c>
      <c r="F2825" t="s">
        <v>52</v>
      </c>
      <c r="G2825">
        <v>-427.67129999999997</v>
      </c>
      <c r="H2825" s="1">
        <v>3.1927980000000001E-6</v>
      </c>
      <c r="I2825">
        <v>209.0429</v>
      </c>
      <c r="J2825">
        <v>-450.1678</v>
      </c>
      <c r="K2825">
        <v>1.107718</v>
      </c>
      <c r="L2825">
        <v>211.89580000000001</v>
      </c>
      <c r="M2825">
        <v>0.9998127</v>
      </c>
      <c r="N2825">
        <v>0</v>
      </c>
      <c r="O2825">
        <v>-1.5712650000000002E-2</v>
      </c>
      <c r="P2825">
        <v>0.99915069999999995</v>
      </c>
      <c r="Q2825">
        <v>2.437216E-2</v>
      </c>
      <c r="R2825">
        <v>-3.3227659999999999E-2</v>
      </c>
      <c r="S2825">
        <v>2.9937740000000002</v>
      </c>
      <c r="T2825">
        <v>-0.14544460000000001</v>
      </c>
      <c r="U2825">
        <v>-0.37542720000000002</v>
      </c>
      <c r="V2825">
        <v>1.7672739999999999E-2</v>
      </c>
      <c r="W2825">
        <v>3.5599159999999998E-2</v>
      </c>
      <c r="X2825">
        <v>0.99920989999999998</v>
      </c>
      <c r="Y2825">
        <v>0.1087133</v>
      </c>
      <c r="Z2825">
        <v>-1.8691650000000001E-3</v>
      </c>
      <c r="AA2825">
        <v>0.99407140000000005</v>
      </c>
      <c r="AB2825">
        <v>30</v>
      </c>
      <c r="AC2825">
        <v>22.496500000000001</v>
      </c>
      <c r="AD2825">
        <v>-1.107714807202</v>
      </c>
      <c r="AE2825">
        <v>-2.8529</v>
      </c>
      <c r="AF2825">
        <v>2.49309666696321</v>
      </c>
      <c r="AG2825">
        <v>-1.107714807202</v>
      </c>
      <c r="AH2825">
        <v>22.484899627432402</v>
      </c>
      <c r="AI2825">
        <v>92.803235403334298</v>
      </c>
      <c r="AJ2825">
        <v>83.672961802277001</v>
      </c>
      <c r="AK2825">
        <v>22.649796342144601</v>
      </c>
      <c r="AL2825">
        <v>87.959887368315506</v>
      </c>
      <c r="AM2825">
        <v>88.986731566724401</v>
      </c>
      <c r="AN2825">
        <v>1.0000000250949099</v>
      </c>
    </row>
    <row r="2826" spans="1:40" x14ac:dyDescent="0.25">
      <c r="A2826" t="str">
        <f>"20190312151553300"</f>
        <v>20190312151553300</v>
      </c>
      <c r="B2826" t="str">
        <f>"1552374953290655"</f>
        <v>1552374953290655</v>
      </c>
      <c r="C2826" t="s">
        <v>40</v>
      </c>
      <c r="D2826">
        <v>4.9334670000000003</v>
      </c>
      <c r="E2826">
        <v>0.53400559999999997</v>
      </c>
      <c r="F2826" t="s">
        <v>52</v>
      </c>
      <c r="G2826">
        <v>-427.9239</v>
      </c>
      <c r="H2826" s="1">
        <v>3.1305790000000002E-6</v>
      </c>
      <c r="I2826">
        <v>209.1086</v>
      </c>
      <c r="J2826">
        <v>-449.86309999999997</v>
      </c>
      <c r="K2826">
        <v>1.1077079999999999</v>
      </c>
      <c r="L2826">
        <v>211.8888</v>
      </c>
      <c r="M2826">
        <v>0.9997779</v>
      </c>
      <c r="N2826">
        <v>0</v>
      </c>
      <c r="O2826">
        <v>-1.7827530000000001E-2</v>
      </c>
      <c r="P2826">
        <v>0.99911430000000001</v>
      </c>
      <c r="Q2826">
        <v>2.4654929999999999E-2</v>
      </c>
      <c r="R2826">
        <v>-3.4103189999999999E-2</v>
      </c>
      <c r="S2826">
        <v>2.993652</v>
      </c>
      <c r="T2826">
        <v>-0.14907999999999999</v>
      </c>
      <c r="U2826">
        <v>-0.37510680000000002</v>
      </c>
      <c r="V2826">
        <v>1.6435269999999998E-2</v>
      </c>
      <c r="W2826">
        <v>3.5826940000000002E-2</v>
      </c>
      <c r="X2826">
        <v>0.99922290000000002</v>
      </c>
      <c r="Y2826">
        <v>0.1065103</v>
      </c>
      <c r="Z2826">
        <v>-1.7565289999999999E-3</v>
      </c>
      <c r="AA2826">
        <v>0.99431000000000003</v>
      </c>
      <c r="AB2826">
        <v>30</v>
      </c>
      <c r="AC2826">
        <v>21.9391999999999</v>
      </c>
      <c r="AD2826">
        <v>-1.1077048694210001</v>
      </c>
      <c r="AE2826">
        <v>-2.7801999999999998</v>
      </c>
      <c r="AF2826">
        <v>2.3826338020889599</v>
      </c>
      <c r="AG2826">
        <v>-1.1077048694210001</v>
      </c>
      <c r="AH2826">
        <v>21.930258760944199</v>
      </c>
      <c r="AI2826">
        <v>92.874684099704893</v>
      </c>
      <c r="AJ2826">
        <v>83.799366572273499</v>
      </c>
      <c r="AK2826">
        <v>22.087104908397698</v>
      </c>
      <c r="AL2826">
        <v>87.946828247872801</v>
      </c>
      <c r="AM2826">
        <v>89.057681023429097</v>
      </c>
      <c r="AN2826">
        <v>1.0000000458070699</v>
      </c>
    </row>
    <row r="2827" spans="1:40" x14ac:dyDescent="0.25">
      <c r="A2827" t="str">
        <f>"20190312151553321"</f>
        <v>20190312151553321</v>
      </c>
      <c r="B2827" t="str">
        <f>"1552374953310175"</f>
        <v>1552374953310175</v>
      </c>
      <c r="C2827" t="s">
        <v>40</v>
      </c>
      <c r="D2827">
        <v>4.8959630000000001</v>
      </c>
      <c r="E2827">
        <v>0.53376919999999894</v>
      </c>
      <c r="F2827" t="s">
        <v>52</v>
      </c>
      <c r="G2827">
        <v>-427.71660000000003</v>
      </c>
      <c r="H2827" s="1">
        <v>3.1684570000000001E-6</v>
      </c>
      <c r="I2827">
        <v>209.1044</v>
      </c>
      <c r="J2827">
        <v>-449.57709999999997</v>
      </c>
      <c r="K2827">
        <v>1.107702</v>
      </c>
      <c r="L2827">
        <v>211.8817</v>
      </c>
      <c r="M2827">
        <v>0.99974110000000005</v>
      </c>
      <c r="N2827">
        <v>0</v>
      </c>
      <c r="O2827">
        <v>-1.9812E-2</v>
      </c>
      <c r="P2827">
        <v>0.99907000000000001</v>
      </c>
      <c r="Q2827">
        <v>2.5253169999999998E-2</v>
      </c>
      <c r="R2827">
        <v>-3.4947730000000003E-2</v>
      </c>
      <c r="S2827">
        <v>2.9935</v>
      </c>
      <c r="T2827">
        <v>-0.14972659999999999</v>
      </c>
      <c r="U2827">
        <v>-0.37635800000000003</v>
      </c>
      <c r="V2827">
        <v>1.529904E-2</v>
      </c>
      <c r="W2827">
        <v>3.6370189999999997E-2</v>
      </c>
      <c r="X2827">
        <v>0.99922129999999998</v>
      </c>
      <c r="Y2827">
        <v>0.1049554</v>
      </c>
      <c r="Z2827">
        <v>-1.6267300000000001E-3</v>
      </c>
      <c r="AA2827">
        <v>0.99447560000000002</v>
      </c>
      <c r="AB2827">
        <v>30</v>
      </c>
      <c r="AC2827">
        <v>21.860499999999899</v>
      </c>
      <c r="AD2827">
        <v>-1.1076988315430001</v>
      </c>
      <c r="AE2827">
        <v>-2.7772999999999901</v>
      </c>
      <c r="AF2827">
        <v>2.3377205361914402</v>
      </c>
      <c r="AG2827">
        <v>-1.1076988315430001</v>
      </c>
      <c r="AH2827">
        <v>21.856010493391601</v>
      </c>
      <c r="AI2827">
        <v>92.884935058243897</v>
      </c>
      <c r="AJ2827">
        <v>83.894850384279295</v>
      </c>
      <c r="AK2827">
        <v>22.008569437698</v>
      </c>
      <c r="AL2827">
        <v>87.915681981313796</v>
      </c>
      <c r="AM2827">
        <v>89.1228150006487</v>
      </c>
      <c r="AN2827">
        <v>1.00000002885962</v>
      </c>
    </row>
    <row r="2828" spans="1:40" x14ac:dyDescent="0.25">
      <c r="A2828" t="str">
        <f>"20190312151553344"</f>
        <v>20190312151553344</v>
      </c>
      <c r="B2828" t="str">
        <f>"1552374953340431"</f>
        <v>1552374953340431</v>
      </c>
      <c r="C2828" t="s">
        <v>40</v>
      </c>
      <c r="D2828">
        <v>5.2457640000000003</v>
      </c>
      <c r="E2828">
        <v>0.53336149999999904</v>
      </c>
      <c r="F2828" t="s">
        <v>52</v>
      </c>
      <c r="G2828">
        <v>-427.56619999999998</v>
      </c>
      <c r="H2828" s="1">
        <v>3.1949239999999999E-6</v>
      </c>
      <c r="I2828">
        <v>209.1053</v>
      </c>
      <c r="J2828">
        <v>-449.27109999999999</v>
      </c>
      <c r="K2828">
        <v>1.1076900000000001</v>
      </c>
      <c r="L2828">
        <v>211.8734</v>
      </c>
      <c r="M2828">
        <v>0.99969759999999996</v>
      </c>
      <c r="N2828">
        <v>0</v>
      </c>
      <c r="O2828">
        <v>-2.1934430000000001E-2</v>
      </c>
      <c r="P2828">
        <v>0.99901419999999996</v>
      </c>
      <c r="Q2828">
        <v>2.608825E-2</v>
      </c>
      <c r="R2828">
        <v>-3.5919359999999997E-2</v>
      </c>
      <c r="S2828">
        <v>2.9934080000000001</v>
      </c>
      <c r="T2828">
        <v>-0.150643</v>
      </c>
      <c r="U2828">
        <v>-0.37757869999999999</v>
      </c>
      <c r="V2828">
        <v>1.415281E-2</v>
      </c>
      <c r="W2828">
        <v>3.7141189999999998E-2</v>
      </c>
      <c r="X2828">
        <v>0.99920980000000004</v>
      </c>
      <c r="Y2828">
        <v>0.10325040000000001</v>
      </c>
      <c r="Z2828">
        <v>-1.4877359999999999E-3</v>
      </c>
      <c r="AA2828">
        <v>0.99465429999999999</v>
      </c>
      <c r="AB2828">
        <v>30</v>
      </c>
      <c r="AC2828">
        <v>21.704899999999999</v>
      </c>
      <c r="AD2828">
        <v>-1.107686805076</v>
      </c>
      <c r="AE2828">
        <v>-2.7681</v>
      </c>
      <c r="AF2828">
        <v>2.2854627717509501</v>
      </c>
      <c r="AG2828">
        <v>-1.107686805076</v>
      </c>
      <c r="AH2828">
        <v>21.704773268994899</v>
      </c>
      <c r="AI2828">
        <v>92.905477247146706</v>
      </c>
      <c r="AJ2828">
        <v>83.989036445407805</v>
      </c>
      <c r="AK2828">
        <v>21.852860059902302</v>
      </c>
      <c r="AL2828">
        <v>87.871476998023695</v>
      </c>
      <c r="AM2828">
        <v>89.188516705180604</v>
      </c>
      <c r="AN2828">
        <v>0.99999999722077604</v>
      </c>
    </row>
    <row r="2829" spans="1:40" x14ac:dyDescent="0.25">
      <c r="A2829" t="str">
        <f>"20190312151553365"</f>
        <v>20190312151553365</v>
      </c>
      <c r="B2829" t="str">
        <f>"1552374953360927"</f>
        <v>1552374953360927</v>
      </c>
      <c r="C2829" t="s">
        <v>40</v>
      </c>
      <c r="D2829">
        <v>4.81595</v>
      </c>
      <c r="E2829">
        <v>0.5332036</v>
      </c>
      <c r="F2829" t="s">
        <v>52</v>
      </c>
      <c r="G2829">
        <v>-427.06330000000003</v>
      </c>
      <c r="H2829" s="1">
        <v>3.292476E-6</v>
      </c>
      <c r="I2829">
        <v>209.07380000000001</v>
      </c>
      <c r="J2829">
        <v>-448.97059999999999</v>
      </c>
      <c r="K2829">
        <v>1.1076790000000001</v>
      </c>
      <c r="L2829">
        <v>211.8647</v>
      </c>
      <c r="M2829">
        <v>0.9996507</v>
      </c>
      <c r="N2829">
        <v>0</v>
      </c>
      <c r="O2829">
        <v>-2.4012260000000001E-2</v>
      </c>
      <c r="P2829">
        <v>0.99897380000000002</v>
      </c>
      <c r="Q2829">
        <v>2.6306699999999999E-2</v>
      </c>
      <c r="R2829">
        <v>-3.6867629999999998E-2</v>
      </c>
      <c r="S2829">
        <v>2.9932859999999999</v>
      </c>
      <c r="T2829">
        <v>-0.14929999999999999</v>
      </c>
      <c r="U2829">
        <v>-0.37734990000000002</v>
      </c>
      <c r="V2829">
        <v>1.3024890000000001E-2</v>
      </c>
      <c r="W2829">
        <v>3.7294149999999998E-2</v>
      </c>
      <c r="X2829">
        <v>0.99921939999999998</v>
      </c>
      <c r="Y2829">
        <v>0.10112</v>
      </c>
      <c r="Z2829">
        <v>-1.3185880000000001E-3</v>
      </c>
      <c r="AA2829">
        <v>0.99487329999999996</v>
      </c>
      <c r="AB2829">
        <v>30</v>
      </c>
      <c r="AC2829">
        <v>21.9072999999999</v>
      </c>
      <c r="AD2829">
        <v>-1.107675707524</v>
      </c>
      <c r="AE2829">
        <v>-2.7908999999999899</v>
      </c>
      <c r="AF2829">
        <v>2.2583380798556698</v>
      </c>
      <c r="AG2829">
        <v>-1.107675707524</v>
      </c>
      <c r="AH2829">
        <v>21.9128766509772</v>
      </c>
      <c r="AI2829">
        <v>92.878564876445694</v>
      </c>
      <c r="AJ2829">
        <v>84.115878506315497</v>
      </c>
      <c r="AK2829">
        <v>22.056772190801301</v>
      </c>
      <c r="AL2829">
        <v>87.8627068700103</v>
      </c>
      <c r="AM2829">
        <v>89.253188075723202</v>
      </c>
      <c r="AN2829">
        <v>0.99999995536004604</v>
      </c>
    </row>
    <row r="2830" spans="1:40" x14ac:dyDescent="0.25">
      <c r="A2830" t="str">
        <f>"20190312151553389"</f>
        <v>20190312151553389</v>
      </c>
      <c r="B2830" t="str">
        <f>"1552374953380447"</f>
        <v>1552374953380447</v>
      </c>
      <c r="C2830" t="s">
        <v>40</v>
      </c>
      <c r="D2830">
        <v>4.7827840000000004</v>
      </c>
      <c r="E2830">
        <v>0.53305019999999903</v>
      </c>
      <c r="F2830" t="s">
        <v>52</v>
      </c>
      <c r="G2830">
        <v>-426.97320000000002</v>
      </c>
      <c r="H2830" s="1">
        <v>3.3071789999999999E-6</v>
      </c>
      <c r="I2830">
        <v>209.07859999999999</v>
      </c>
      <c r="J2830">
        <v>-448.66399999999999</v>
      </c>
      <c r="K2830">
        <v>1.1076680000000001</v>
      </c>
      <c r="L2830">
        <v>211.8552</v>
      </c>
      <c r="M2830">
        <v>0.9995986</v>
      </c>
      <c r="N2830">
        <v>0</v>
      </c>
      <c r="O2830">
        <v>-2.6119119999999999E-2</v>
      </c>
      <c r="P2830">
        <v>0.99897919999999996</v>
      </c>
      <c r="Q2830">
        <v>2.5447069999999999E-2</v>
      </c>
      <c r="R2830">
        <v>-3.7325610000000002E-2</v>
      </c>
      <c r="S2830">
        <v>2.9930729999999999</v>
      </c>
      <c r="T2830">
        <v>-0.1507155</v>
      </c>
      <c r="U2830">
        <v>-0.37908940000000002</v>
      </c>
      <c r="V2830">
        <v>1.137149E-2</v>
      </c>
      <c r="W2830">
        <v>3.6373999999999997E-2</v>
      </c>
      <c r="X2830">
        <v>0.99927350000000004</v>
      </c>
      <c r="Y2830">
        <v>9.9603659999999997E-2</v>
      </c>
      <c r="Z2830">
        <v>-1.187621E-3</v>
      </c>
      <c r="AA2830">
        <v>0.99502650000000004</v>
      </c>
      <c r="AB2830">
        <v>30</v>
      </c>
      <c r="AC2830">
        <v>21.6907999999999</v>
      </c>
      <c r="AD2830">
        <v>-1.1076646928210001</v>
      </c>
      <c r="AE2830">
        <v>-2.7766000000000002</v>
      </c>
      <c r="AF2830">
        <v>2.2034205607551201</v>
      </c>
      <c r="AG2830">
        <v>-1.1076646928210001</v>
      </c>
      <c r="AH2830">
        <v>21.700249294407399</v>
      </c>
      <c r="AI2830">
        <v>92.907139997433703</v>
      </c>
      <c r="AJ2830">
        <v>84.202117828297602</v>
      </c>
      <c r="AK2830">
        <v>21.839935958667802</v>
      </c>
      <c r="AL2830">
        <v>87.915463382141994</v>
      </c>
      <c r="AM2830">
        <v>89.348016072212801</v>
      </c>
      <c r="AN2830">
        <v>0.99999995323153401</v>
      </c>
    </row>
    <row r="2831" spans="1:40" x14ac:dyDescent="0.25">
      <c r="A2831" t="str">
        <f>"20190312151553410"</f>
        <v>20190312151553410</v>
      </c>
      <c r="B2831" t="str">
        <f>"1552374953400943"</f>
        <v>1552374953400943</v>
      </c>
      <c r="C2831" t="s">
        <v>40</v>
      </c>
      <c r="D2831">
        <v>4.6981349999999997</v>
      </c>
      <c r="E2831">
        <v>0.53288970000000002</v>
      </c>
      <c r="F2831" t="s">
        <v>52</v>
      </c>
      <c r="G2831">
        <v>-427.3614</v>
      </c>
      <c r="H2831" s="1">
        <v>3.2191880000000001E-6</v>
      </c>
      <c r="I2831">
        <v>209.15090000000001</v>
      </c>
      <c r="J2831">
        <v>-448.37110000000001</v>
      </c>
      <c r="K2831">
        <v>1.1076729999999999</v>
      </c>
      <c r="L2831">
        <v>211.84540000000001</v>
      </c>
      <c r="M2831">
        <v>0.99954520000000002</v>
      </c>
      <c r="N2831">
        <v>0</v>
      </c>
      <c r="O2831">
        <v>-2.810909E-2</v>
      </c>
      <c r="P2831">
        <v>0.99895160000000005</v>
      </c>
      <c r="Q2831">
        <v>2.5282470000000001E-2</v>
      </c>
      <c r="R2831">
        <v>-3.8166560000000002E-2</v>
      </c>
      <c r="S2831">
        <v>2.9928279999999998</v>
      </c>
      <c r="T2831">
        <v>-0.15561649999999999</v>
      </c>
      <c r="U2831">
        <v>-0.37992860000000001</v>
      </c>
      <c r="V2831">
        <v>1.022091E-2</v>
      </c>
      <c r="W2831">
        <v>3.6155270000000003E-2</v>
      </c>
      <c r="X2831">
        <v>0.99929389999999996</v>
      </c>
      <c r="Y2831">
        <v>9.7906190000000004E-2</v>
      </c>
      <c r="Z2831">
        <v>-1.0794649999999999E-3</v>
      </c>
      <c r="AA2831">
        <v>0.9951951</v>
      </c>
      <c r="AB2831">
        <v>30</v>
      </c>
      <c r="AC2831">
        <v>21.009699999999999</v>
      </c>
      <c r="AD2831">
        <v>-1.107669780812</v>
      </c>
      <c r="AE2831">
        <v>-2.6945000000000001</v>
      </c>
      <c r="AF2831">
        <v>2.09710164296941</v>
      </c>
      <c r="AG2831">
        <v>-1.107669780812</v>
      </c>
      <c r="AH2831">
        <v>21.019661113540199</v>
      </c>
      <c r="AI2831">
        <v>93.001642133016404</v>
      </c>
      <c r="AJ2831">
        <v>84.302535536896201</v>
      </c>
      <c r="AK2831">
        <v>21.1530357389275</v>
      </c>
      <c r="AL2831">
        <v>87.928004002459204</v>
      </c>
      <c r="AM2831">
        <v>89.413991633737695</v>
      </c>
      <c r="AN2831">
        <v>0.99999998456360495</v>
      </c>
    </row>
    <row r="2832" spans="1:40" x14ac:dyDescent="0.25">
      <c r="A2832" t="str">
        <f>"20190312151553433"</f>
        <v>20190312151553433</v>
      </c>
      <c r="B2832" t="str">
        <f>"1552374953420464"</f>
        <v>1552374953420464</v>
      </c>
      <c r="C2832" t="s">
        <v>40</v>
      </c>
      <c r="D2832">
        <v>4.7219800000000003</v>
      </c>
      <c r="E2832">
        <v>0.53274650000000001</v>
      </c>
      <c r="F2832" t="s">
        <v>52</v>
      </c>
      <c r="G2832">
        <v>-427.45600000000002</v>
      </c>
      <c r="H2832" s="1">
        <v>3.1945200000000002E-6</v>
      </c>
      <c r="I2832">
        <v>209.1806</v>
      </c>
      <c r="J2832">
        <v>-448.06610000000001</v>
      </c>
      <c r="K2832">
        <v>1.1076820000000001</v>
      </c>
      <c r="L2832">
        <v>211.8348</v>
      </c>
      <c r="M2832">
        <v>0.99948650000000006</v>
      </c>
      <c r="N2832">
        <v>0</v>
      </c>
      <c r="O2832">
        <v>-3.0145390000000001E-2</v>
      </c>
      <c r="P2832">
        <v>0.99891770000000002</v>
      </c>
      <c r="Q2832">
        <v>2.4390519999999999E-2</v>
      </c>
      <c r="R2832">
        <v>-3.9604050000000002E-2</v>
      </c>
      <c r="S2832">
        <v>2.9925839999999999</v>
      </c>
      <c r="T2832">
        <v>-0.15848789999999999</v>
      </c>
      <c r="U2832">
        <v>-0.38128659999999998</v>
      </c>
      <c r="V2832">
        <v>9.6163389999999998E-3</v>
      </c>
      <c r="W2832">
        <v>3.5209829999999998E-2</v>
      </c>
      <c r="X2832">
        <v>0.99933369999999999</v>
      </c>
      <c r="Y2832">
        <v>9.6334699999999995E-2</v>
      </c>
      <c r="Z2832">
        <v>-9.5079249999999995E-4</v>
      </c>
      <c r="AA2832">
        <v>0.99534849999999997</v>
      </c>
      <c r="AB2832">
        <v>30</v>
      </c>
      <c r="AC2832">
        <v>20.610099999999999</v>
      </c>
      <c r="AD2832">
        <v>-1.10767880548</v>
      </c>
      <c r="AE2832">
        <v>-2.6541999999999999</v>
      </c>
      <c r="AF2832">
        <v>2.0259011452242102</v>
      </c>
      <c r="AG2832">
        <v>-1.10767880548</v>
      </c>
      <c r="AH2832">
        <v>20.622154073463498</v>
      </c>
      <c r="AI2832">
        <v>93.059874916480794</v>
      </c>
      <c r="AJ2832">
        <v>84.389319342959496</v>
      </c>
      <c r="AK2832">
        <v>20.751011214299901</v>
      </c>
      <c r="AL2832">
        <v>87.982208327408799</v>
      </c>
      <c r="AM2832">
        <v>89.448674017777194</v>
      </c>
      <c r="AN2832">
        <v>1.00000002503004</v>
      </c>
    </row>
    <row r="2833" spans="1:40" x14ac:dyDescent="0.25">
      <c r="A2833" t="str">
        <f>"20190312151553457"</f>
        <v>20190312151553457</v>
      </c>
      <c r="B2833" t="str">
        <f>"1552374953450721"</f>
        <v>1552374953450721</v>
      </c>
      <c r="C2833" t="s">
        <v>40</v>
      </c>
      <c r="D2833">
        <v>4.8330659999999996</v>
      </c>
      <c r="E2833">
        <v>0.53251949999999904</v>
      </c>
      <c r="F2833" t="s">
        <v>52</v>
      </c>
      <c r="G2833">
        <v>-427.49759999999998</v>
      </c>
      <c r="H2833" s="1">
        <v>3.1843609999999999E-6</v>
      </c>
      <c r="I2833">
        <v>209.19110000000001</v>
      </c>
      <c r="J2833">
        <v>-447.73079999999999</v>
      </c>
      <c r="K2833">
        <v>1.1077109999999999</v>
      </c>
      <c r="L2833">
        <v>211.82230000000001</v>
      </c>
      <c r="M2833">
        <v>0.99941939999999996</v>
      </c>
      <c r="N2833">
        <v>0</v>
      </c>
      <c r="O2833">
        <v>-3.2310819999999997E-2</v>
      </c>
      <c r="P2833">
        <v>0.99887590000000004</v>
      </c>
      <c r="Q2833">
        <v>2.3309150000000001E-2</v>
      </c>
      <c r="R2833">
        <v>-4.1277349999999997E-2</v>
      </c>
      <c r="S2833">
        <v>2.9919739999999999</v>
      </c>
      <c r="T2833">
        <v>-0.1611271</v>
      </c>
      <c r="U2833">
        <v>-0.384552</v>
      </c>
      <c r="V2833">
        <v>9.1163379999999999E-3</v>
      </c>
      <c r="W2833">
        <v>3.4076120000000001E-2</v>
      </c>
      <c r="X2833">
        <v>0.99937770000000004</v>
      </c>
      <c r="Y2833">
        <v>9.5273910000000003E-2</v>
      </c>
      <c r="Z2833">
        <v>-8.2240999999999998E-4</v>
      </c>
      <c r="AA2833">
        <v>0.99545070000000002</v>
      </c>
      <c r="AB2833">
        <v>30</v>
      </c>
      <c r="AC2833">
        <v>20.2332</v>
      </c>
      <c r="AD2833">
        <v>-1.1077078156389999</v>
      </c>
      <c r="AE2833">
        <v>-2.6312000000000002</v>
      </c>
      <c r="AF2833">
        <v>1.97022947640317</v>
      </c>
      <c r="AG2833">
        <v>-1.1077078156389999</v>
      </c>
      <c r="AH2833">
        <v>20.247976820023698</v>
      </c>
      <c r="AI2833">
        <v>93.1166729734082</v>
      </c>
      <c r="AJ2833">
        <v>84.442330339529306</v>
      </c>
      <c r="AK2833">
        <v>20.373742564848801</v>
      </c>
      <c r="AL2833">
        <v>88.047204167224095</v>
      </c>
      <c r="AM2833">
        <v>89.477361557188402</v>
      </c>
      <c r="AN2833">
        <v>1.00000003841503</v>
      </c>
    </row>
    <row r="2834" spans="1:40" x14ac:dyDescent="0.25">
      <c r="A2834" t="str">
        <f>"20190312151553479"</f>
        <v>20190312151553479</v>
      </c>
      <c r="B2834" t="str">
        <f>"1552374953470239"</f>
        <v>1552374953470239</v>
      </c>
      <c r="C2834" t="s">
        <v>40</v>
      </c>
      <c r="D2834">
        <v>4.6190699999999998</v>
      </c>
      <c r="E2834">
        <v>0.53237939999999995</v>
      </c>
      <c r="F2834" t="s">
        <v>52</v>
      </c>
      <c r="G2834">
        <v>-427.56569999999999</v>
      </c>
      <c r="H2834" s="1">
        <v>3.1679289999999999E-6</v>
      </c>
      <c r="I2834">
        <v>209.20750000000001</v>
      </c>
      <c r="J2834">
        <v>-447.42669999999998</v>
      </c>
      <c r="K2834">
        <v>1.1077619999999999</v>
      </c>
      <c r="L2834">
        <v>211.81049999999999</v>
      </c>
      <c r="M2834">
        <v>0.99935719999999995</v>
      </c>
      <c r="N2834">
        <v>0</v>
      </c>
      <c r="O2834">
        <v>-3.4201049999999997E-2</v>
      </c>
      <c r="P2834">
        <v>0.99881609999999998</v>
      </c>
      <c r="Q2834">
        <v>2.3043060000000001E-2</v>
      </c>
      <c r="R2834">
        <v>-4.28452E-2</v>
      </c>
      <c r="S2834">
        <v>2.9911799999999999</v>
      </c>
      <c r="T2834">
        <v>-0.1643114</v>
      </c>
      <c r="U2834">
        <v>-0.38786320000000002</v>
      </c>
      <c r="V2834">
        <v>8.7891649999999998E-3</v>
      </c>
      <c r="W2834">
        <v>3.3767770000000003E-2</v>
      </c>
      <c r="X2834">
        <v>0.99939109999999998</v>
      </c>
      <c r="Y2834">
        <v>9.4508739999999994E-2</v>
      </c>
      <c r="Z2834">
        <v>-7.1471990000000003E-4</v>
      </c>
      <c r="AA2834">
        <v>0.99552379999999996</v>
      </c>
      <c r="AB2834">
        <v>30</v>
      </c>
      <c r="AC2834">
        <v>19.860999999999901</v>
      </c>
      <c r="AD2834">
        <v>-1.1077588320709999</v>
      </c>
      <c r="AE2834">
        <v>-2.6029999999999802</v>
      </c>
      <c r="AF2834">
        <v>1.9163099145997899</v>
      </c>
      <c r="AG2834">
        <v>-1.1077588320709999</v>
      </c>
      <c r="AH2834">
        <v>19.877616567541601</v>
      </c>
      <c r="AI2834">
        <v>93.175044616611899</v>
      </c>
      <c r="AJ2834">
        <v>84.493393880704403</v>
      </c>
      <c r="AK2834">
        <v>20.000475337476999</v>
      </c>
      <c r="AL2834">
        <v>88.064881499251001</v>
      </c>
      <c r="AM2834">
        <v>89.4961241123722</v>
      </c>
      <c r="AN2834">
        <v>1.00000004123568</v>
      </c>
    </row>
    <row r="2835" spans="1:40" x14ac:dyDescent="0.25">
      <c r="A2835" t="str">
        <f>"20190312151553500"</f>
        <v>20190312151553500</v>
      </c>
      <c r="B2835" t="str">
        <f>"1552374953490736"</f>
        <v>1552374953490736</v>
      </c>
      <c r="C2835" t="s">
        <v>40</v>
      </c>
      <c r="D2835">
        <v>4.5940019999999997</v>
      </c>
      <c r="E2835">
        <v>0.53226019999999996</v>
      </c>
      <c r="F2835" t="s">
        <v>52</v>
      </c>
      <c r="G2835">
        <v>-427.29079999999999</v>
      </c>
      <c r="H2835" s="1">
        <v>3.2253380000000001E-6</v>
      </c>
      <c r="I2835">
        <v>209.17490000000001</v>
      </c>
      <c r="J2835">
        <v>-447.13740000000001</v>
      </c>
      <c r="K2835">
        <v>1.107804</v>
      </c>
      <c r="L2835">
        <v>211.7988</v>
      </c>
      <c r="M2835">
        <v>0.99929679999999999</v>
      </c>
      <c r="N2835">
        <v>0</v>
      </c>
      <c r="O2835">
        <v>-3.5932749999999999E-2</v>
      </c>
      <c r="P2835">
        <v>0.99874560000000001</v>
      </c>
      <c r="Q2835">
        <v>2.299141E-2</v>
      </c>
      <c r="R2835">
        <v>-4.448589E-2</v>
      </c>
      <c r="S2835">
        <v>2.99057</v>
      </c>
      <c r="T2835">
        <v>-0.16452320000000001</v>
      </c>
      <c r="U2835">
        <v>-0.3914337</v>
      </c>
      <c r="V2835">
        <v>8.6943319999999904E-3</v>
      </c>
      <c r="W2835">
        <v>3.367771E-2</v>
      </c>
      <c r="X2835">
        <v>0.99939500000000003</v>
      </c>
      <c r="Y2835">
        <v>9.3981400000000007E-2</v>
      </c>
      <c r="Z2835">
        <v>-6.0666069999999999E-4</v>
      </c>
      <c r="AA2835">
        <v>0.99557379999999995</v>
      </c>
      <c r="AB2835">
        <v>31</v>
      </c>
      <c r="AC2835">
        <v>19.846599999999999</v>
      </c>
      <c r="AD2835">
        <v>-1.107800774662</v>
      </c>
      <c r="AE2835">
        <v>-2.6238999999999901</v>
      </c>
      <c r="AF2835">
        <v>1.9031936318717599</v>
      </c>
      <c r="AG2835">
        <v>-1.107800774662</v>
      </c>
      <c r="AH2835">
        <v>19.867234825157801</v>
      </c>
      <c r="AI2835">
        <v>93.177004487723195</v>
      </c>
      <c r="AJ2835">
        <v>84.528014231727298</v>
      </c>
      <c r="AK2835">
        <v>19.9889066272946</v>
      </c>
      <c r="AL2835">
        <v>88.070044554442205</v>
      </c>
      <c r="AM2835">
        <v>89.501562482563699</v>
      </c>
      <c r="AN2835">
        <v>1.0000000727923799</v>
      </c>
    </row>
    <row r="2836" spans="1:40" x14ac:dyDescent="0.25">
      <c r="A2836" t="str">
        <f>"20190312151553522"</f>
        <v>20190312151553522</v>
      </c>
      <c r="B2836" t="str">
        <f>"1552374953510255"</f>
        <v>1552374953510255</v>
      </c>
      <c r="C2836" t="s">
        <v>40</v>
      </c>
      <c r="D2836">
        <v>4.9116770000000001</v>
      </c>
      <c r="E2836">
        <v>0.53215349999999995</v>
      </c>
      <c r="F2836" t="s">
        <v>52</v>
      </c>
      <c r="G2836">
        <v>-427.20209999999997</v>
      </c>
      <c r="H2836" s="1">
        <v>3.2444199999999999E-6</v>
      </c>
      <c r="I2836">
        <v>209.16229999999999</v>
      </c>
      <c r="J2836">
        <v>-446.83269999999999</v>
      </c>
      <c r="K2836">
        <v>1.107853</v>
      </c>
      <c r="L2836">
        <v>211.786</v>
      </c>
      <c r="M2836">
        <v>0.99923340000000005</v>
      </c>
      <c r="N2836">
        <v>0</v>
      </c>
      <c r="O2836">
        <v>-3.766473E-2</v>
      </c>
      <c r="P2836">
        <v>0.99868939999999995</v>
      </c>
      <c r="Q2836">
        <v>2.2284519999999999E-2</v>
      </c>
      <c r="R2836">
        <v>-4.6078609999999999E-2</v>
      </c>
      <c r="S2836">
        <v>2.98996</v>
      </c>
      <c r="T2836">
        <v>-0.16615160000000001</v>
      </c>
      <c r="U2836">
        <v>-0.39543149999999999</v>
      </c>
      <c r="V2836">
        <v>8.5475039999999992E-3</v>
      </c>
      <c r="W2836">
        <v>3.29314E-2</v>
      </c>
      <c r="X2836">
        <v>0.99942109999999995</v>
      </c>
      <c r="Y2836">
        <v>9.3591969999999997E-2</v>
      </c>
      <c r="Z2836">
        <v>-5.0637800000000004E-4</v>
      </c>
      <c r="AA2836">
        <v>0.99561049999999995</v>
      </c>
      <c r="AB2836">
        <v>31</v>
      </c>
      <c r="AC2836">
        <v>19.630600000000001</v>
      </c>
      <c r="AD2836">
        <v>-1.10784975558</v>
      </c>
      <c r="AE2836">
        <v>-2.6236999999999799</v>
      </c>
      <c r="AF2836">
        <v>1.87654300780729</v>
      </c>
      <c r="AG2836">
        <v>-1.10784975558</v>
      </c>
      <c r="AH2836">
        <v>19.653998455670401</v>
      </c>
      <c r="AI2836">
        <v>93.211639558959405</v>
      </c>
      <c r="AJ2836">
        <v>84.545992733294497</v>
      </c>
      <c r="AK2836">
        <v>19.774438046037702</v>
      </c>
      <c r="AL2836">
        <v>88.112828630654306</v>
      </c>
      <c r="AM2836">
        <v>89.509992369981603</v>
      </c>
      <c r="AN2836">
        <v>1.00000003602789</v>
      </c>
    </row>
    <row r="2837" spans="1:40" x14ac:dyDescent="0.25">
      <c r="A2837" t="str">
        <f>"20190312151553544"</f>
        <v>20190312151553544</v>
      </c>
      <c r="B2837" t="str">
        <f>"1552374953540511"</f>
        <v>1552374953540511</v>
      </c>
      <c r="C2837" t="s">
        <v>40</v>
      </c>
      <c r="D2837">
        <v>4.5579809999999998</v>
      </c>
      <c r="E2837">
        <v>0.53201940000000003</v>
      </c>
      <c r="F2837" t="s">
        <v>52</v>
      </c>
      <c r="G2837">
        <v>-427.24400000000003</v>
      </c>
      <c r="H2837" s="1">
        <v>3.2356699999999998E-6</v>
      </c>
      <c r="I2837">
        <v>209.16730000000001</v>
      </c>
      <c r="J2837">
        <v>-446.54309999999998</v>
      </c>
      <c r="K2837">
        <v>1.1079349999999999</v>
      </c>
      <c r="L2837">
        <v>211.77350000000001</v>
      </c>
      <c r="M2837">
        <v>0.99917460000000002</v>
      </c>
      <c r="N2837">
        <v>0</v>
      </c>
      <c r="O2837">
        <v>-3.9203710000000003E-2</v>
      </c>
      <c r="P2837">
        <v>0.99860579999999999</v>
      </c>
      <c r="Q2837">
        <v>2.253585E-2</v>
      </c>
      <c r="R2837">
        <v>-4.7735260000000002E-2</v>
      </c>
      <c r="S2837">
        <v>2.9892880000000002</v>
      </c>
      <c r="T2837">
        <v>-0.16906070000000001</v>
      </c>
      <c r="U2837">
        <v>-0.39962769999999997</v>
      </c>
      <c r="V2837">
        <v>8.6615019999999997E-3</v>
      </c>
      <c r="W2837">
        <v>3.3145380000000002E-2</v>
      </c>
      <c r="X2837">
        <v>0.999413</v>
      </c>
      <c r="Y2837">
        <v>9.346053E-2</v>
      </c>
      <c r="Z2837">
        <v>-4.2518439999999997E-4</v>
      </c>
      <c r="AA2837">
        <v>0.99562289999999998</v>
      </c>
      <c r="AB2837">
        <v>31</v>
      </c>
      <c r="AC2837">
        <v>19.2990999999999</v>
      </c>
      <c r="AD2837">
        <v>-1.10793176433</v>
      </c>
      <c r="AE2837">
        <v>-2.6061999999999999</v>
      </c>
      <c r="AF2837">
        <v>1.8415963802177799</v>
      </c>
      <c r="AG2837">
        <v>-1.10793176433</v>
      </c>
      <c r="AH2837">
        <v>19.3238946513382</v>
      </c>
      <c r="AI2837">
        <v>93.266681094254295</v>
      </c>
      <c r="AJ2837">
        <v>84.556067132020402</v>
      </c>
      <c r="AK2837">
        <v>19.443042316419</v>
      </c>
      <c r="AL2837">
        <v>88.100561698319197</v>
      </c>
      <c r="AM2837">
        <v>89.503453442612894</v>
      </c>
      <c r="AN2837">
        <v>0.99999999120062</v>
      </c>
    </row>
    <row r="2838" spans="1:40" x14ac:dyDescent="0.25">
      <c r="A2838" t="str">
        <f>"20190312151553567"</f>
        <v>20190312151553567</v>
      </c>
      <c r="B2838" t="str">
        <f>"1552374953561007"</f>
        <v>1552374953561007</v>
      </c>
      <c r="C2838" t="s">
        <v>40</v>
      </c>
      <c r="D2838">
        <v>4.5419359999999998</v>
      </c>
      <c r="E2838">
        <v>0.5319469</v>
      </c>
      <c r="F2838" t="s">
        <v>52</v>
      </c>
      <c r="G2838">
        <v>-426.78449999999998</v>
      </c>
      <c r="H2838" s="1">
        <v>3.333141E-6</v>
      </c>
      <c r="I2838">
        <v>209.107</v>
      </c>
      <c r="J2838">
        <v>-446.21010000000001</v>
      </c>
      <c r="K2838">
        <v>1.1080350000000001</v>
      </c>
      <c r="L2838">
        <v>211.7586</v>
      </c>
      <c r="M2838">
        <v>0.9991101</v>
      </c>
      <c r="N2838">
        <v>0</v>
      </c>
      <c r="O2838">
        <v>-4.0828639999999999E-2</v>
      </c>
      <c r="P2838">
        <v>0.99850240000000001</v>
      </c>
      <c r="Q2838">
        <v>2.3314729999999999E-2</v>
      </c>
      <c r="R2838">
        <v>-4.9496760000000001E-2</v>
      </c>
      <c r="S2838">
        <v>2.9886780000000002</v>
      </c>
      <c r="T2838">
        <v>-0.1675854</v>
      </c>
      <c r="U2838">
        <v>-0.40333560000000002</v>
      </c>
      <c r="V2838">
        <v>8.7939430000000002E-3</v>
      </c>
      <c r="W2838">
        <v>3.3886449999999999E-2</v>
      </c>
      <c r="X2838">
        <v>0.99938700000000003</v>
      </c>
      <c r="Y2838">
        <v>9.3085940000000006E-2</v>
      </c>
      <c r="Z2838">
        <v>-3.206355E-4</v>
      </c>
      <c r="AA2838">
        <v>0.99565800000000004</v>
      </c>
      <c r="AB2838">
        <v>31</v>
      </c>
      <c r="AC2838">
        <v>19.425599999999999</v>
      </c>
      <c r="AD2838">
        <v>-1.108031666859</v>
      </c>
      <c r="AE2838">
        <v>-2.6516000000000002</v>
      </c>
      <c r="AF2838">
        <v>1.85031354788708</v>
      </c>
      <c r="AG2838">
        <v>-1.108031666859</v>
      </c>
      <c r="AH2838">
        <v>19.455526301712201</v>
      </c>
      <c r="AI2838">
        <v>93.244978902698193</v>
      </c>
      <c r="AJ2838">
        <v>84.567237807303897</v>
      </c>
      <c r="AK2838">
        <v>19.5747004594419</v>
      </c>
      <c r="AL2838">
        <v>88.058077663191</v>
      </c>
      <c r="AM2838">
        <v>89.495848139365194</v>
      </c>
      <c r="AN2838">
        <v>1.00000000034804</v>
      </c>
    </row>
    <row r="2839" spans="1:40" x14ac:dyDescent="0.25">
      <c r="A2839" t="str">
        <f>"20190312151553590"</f>
        <v>20190312151553590</v>
      </c>
      <c r="B2839" t="str">
        <f>"1552374953580527"</f>
        <v>1552374953580527</v>
      </c>
      <c r="C2839" t="s">
        <v>40</v>
      </c>
      <c r="D2839">
        <v>4.5140079999999996</v>
      </c>
      <c r="E2839">
        <v>0.53185340000000003</v>
      </c>
      <c r="F2839" t="s">
        <v>52</v>
      </c>
      <c r="G2839">
        <v>-426.1069</v>
      </c>
      <c r="H2839" s="1">
        <v>3.4786130000000002E-6</v>
      </c>
      <c r="I2839">
        <v>209.01150000000001</v>
      </c>
      <c r="J2839">
        <v>-445.91320000000002</v>
      </c>
      <c r="K2839">
        <v>1.108136</v>
      </c>
      <c r="L2839">
        <v>211.74510000000001</v>
      </c>
      <c r="M2839">
        <v>0.99905630000000001</v>
      </c>
      <c r="N2839">
        <v>0</v>
      </c>
      <c r="O2839">
        <v>-4.2132459999999997E-2</v>
      </c>
      <c r="P2839">
        <v>0.99846080000000004</v>
      </c>
      <c r="Q2839">
        <v>2.3439970000000001E-2</v>
      </c>
      <c r="R2839">
        <v>-5.0268680000000003E-2</v>
      </c>
      <c r="S2839">
        <v>2.9880369999999998</v>
      </c>
      <c r="T2839">
        <v>-0.1646928</v>
      </c>
      <c r="U2839">
        <v>-0.4083252</v>
      </c>
      <c r="V2839">
        <v>8.2538650000000009E-3</v>
      </c>
      <c r="W2839">
        <v>3.3984149999999998E-2</v>
      </c>
      <c r="X2839">
        <v>0.99938830000000001</v>
      </c>
      <c r="Y2839">
        <v>9.3451549999999994E-2</v>
      </c>
      <c r="Z2839">
        <v>-2.5384829999999998E-4</v>
      </c>
      <c r="AA2839">
        <v>0.99562379999999995</v>
      </c>
      <c r="AB2839">
        <v>31</v>
      </c>
      <c r="AC2839">
        <v>19.8063</v>
      </c>
      <c r="AD2839">
        <v>-1.1081325213869999</v>
      </c>
      <c r="AE2839">
        <v>-2.7335999999999898</v>
      </c>
      <c r="AF2839">
        <v>1.89082967029254</v>
      </c>
      <c r="AG2839">
        <v>-1.1081325213869999</v>
      </c>
      <c r="AH2839">
        <v>19.842938444214099</v>
      </c>
      <c r="AI2839">
        <v>93.181989205811604</v>
      </c>
      <c r="AJ2839">
        <v>84.556732048771593</v>
      </c>
      <c r="AK2839">
        <v>19.963601895146201</v>
      </c>
      <c r="AL2839">
        <v>88.052476661165798</v>
      </c>
      <c r="AM2839">
        <v>89.526809672254004</v>
      </c>
      <c r="AN2839">
        <v>1.0000000114577701</v>
      </c>
    </row>
    <row r="2840" spans="1:40" x14ac:dyDescent="0.25">
      <c r="A2840" t="str">
        <f>"20190312151553612"</f>
        <v>20190312151553612</v>
      </c>
      <c r="B2840" t="str">
        <f>"1552374953600047"</f>
        <v>1552374953600047</v>
      </c>
      <c r="C2840" t="s">
        <v>40</v>
      </c>
      <c r="D2840">
        <v>4.5166690000000003</v>
      </c>
      <c r="E2840">
        <v>0.53178789999999998</v>
      </c>
      <c r="F2840" t="s">
        <v>52</v>
      </c>
      <c r="G2840">
        <v>-425.70740000000001</v>
      </c>
      <c r="H2840" s="1">
        <v>3.5595879999999999E-6</v>
      </c>
      <c r="I2840">
        <v>208.97329999999999</v>
      </c>
      <c r="J2840">
        <v>-445.60739999999998</v>
      </c>
      <c r="K2840">
        <v>1.1082510000000001</v>
      </c>
      <c r="L2840">
        <v>211.73089999999999</v>
      </c>
      <c r="M2840">
        <v>0.99900580000000005</v>
      </c>
      <c r="N2840">
        <v>0</v>
      </c>
      <c r="O2840">
        <v>-4.3319139999999999E-2</v>
      </c>
      <c r="P2840">
        <v>0.99844429999999995</v>
      </c>
      <c r="Q2840">
        <v>2.3227850000000001E-2</v>
      </c>
      <c r="R2840">
        <v>-5.0691689999999998E-2</v>
      </c>
      <c r="S2840">
        <v>2.987854</v>
      </c>
      <c r="T2840">
        <v>-0.1638607</v>
      </c>
      <c r="U2840">
        <v>-0.40986630000000002</v>
      </c>
      <c r="V2840">
        <v>7.479304E-3</v>
      </c>
      <c r="W2840">
        <v>3.3747770000000003E-2</v>
      </c>
      <c r="X2840">
        <v>0.99940240000000002</v>
      </c>
      <c r="Y2840">
        <v>9.278467E-2</v>
      </c>
      <c r="Z2840">
        <v>-1.6979849999999901E-4</v>
      </c>
      <c r="AA2840">
        <v>0.99568619999999997</v>
      </c>
      <c r="AB2840">
        <v>31</v>
      </c>
      <c r="AC2840">
        <v>19.899999999999899</v>
      </c>
      <c r="AD2840">
        <v>-1.108247440412</v>
      </c>
      <c r="AE2840">
        <v>-2.7575999999999898</v>
      </c>
      <c r="AF2840">
        <v>1.8871697161727199</v>
      </c>
      <c r="AG2840">
        <v>-1.108247440412</v>
      </c>
      <c r="AH2840">
        <v>19.9401025724775</v>
      </c>
      <c r="AI2840">
        <v>93.167036069464899</v>
      </c>
      <c r="AJ2840">
        <v>84.593520801452897</v>
      </c>
      <c r="AK2840">
        <v>20.0598432827313</v>
      </c>
      <c r="AL2840">
        <v>88.066027997305994</v>
      </c>
      <c r="AM2840">
        <v>89.571219207695407</v>
      </c>
      <c r="AN2840">
        <v>1.0000000045470201</v>
      </c>
    </row>
    <row r="2841" spans="1:40" x14ac:dyDescent="0.25">
      <c r="A2841" t="str">
        <f>"20190312151553634"</f>
        <v>20190312151553634</v>
      </c>
      <c r="B2841" t="str">
        <f>"1552374953630303"</f>
        <v>1552374953630303</v>
      </c>
      <c r="C2841" t="s">
        <v>40</v>
      </c>
      <c r="D2841">
        <v>4.5831470000000003</v>
      </c>
      <c r="E2841">
        <v>0.53167229999999999</v>
      </c>
      <c r="F2841" t="s">
        <v>52</v>
      </c>
      <c r="G2841">
        <v>-425.45170000000002</v>
      </c>
      <c r="H2841" s="1">
        <v>3.608377E-6</v>
      </c>
      <c r="I2841">
        <v>208.96039999999999</v>
      </c>
      <c r="J2841">
        <v>-445.30689999999998</v>
      </c>
      <c r="K2841">
        <v>1.1083730000000001</v>
      </c>
      <c r="L2841">
        <v>211.71680000000001</v>
      </c>
      <c r="M2841">
        <v>0.99896240000000003</v>
      </c>
      <c r="N2841">
        <v>0</v>
      </c>
      <c r="O2841">
        <v>-4.4312789999999998E-2</v>
      </c>
      <c r="P2841">
        <v>0.99844560000000004</v>
      </c>
      <c r="Q2841">
        <v>2.31407E-2</v>
      </c>
      <c r="R2841">
        <v>-5.0706090000000002E-2</v>
      </c>
      <c r="S2841">
        <v>2.9876399999999999</v>
      </c>
      <c r="T2841">
        <v>-0.1642729</v>
      </c>
      <c r="U2841">
        <v>-0.41067500000000001</v>
      </c>
      <c r="V2841">
        <v>6.488303E-3</v>
      </c>
      <c r="W2841">
        <v>3.3640539999999997E-2</v>
      </c>
      <c r="X2841">
        <v>0.999413</v>
      </c>
      <c r="Y2841">
        <v>9.2070570000000004E-2</v>
      </c>
      <c r="Z2841" s="1">
        <v>-9.6490839999999997E-5</v>
      </c>
      <c r="AA2841">
        <v>0.99575250000000004</v>
      </c>
      <c r="AB2841">
        <v>31</v>
      </c>
      <c r="AC2841">
        <v>19.8551999999999</v>
      </c>
      <c r="AD2841">
        <v>-1.108369391623</v>
      </c>
      <c r="AE2841">
        <v>-2.75640000000001</v>
      </c>
      <c r="AF2841">
        <v>1.8680929639794699</v>
      </c>
      <c r="AG2841">
        <v>-1.108369391623</v>
      </c>
      <c r="AH2841">
        <v>19.897014671174901</v>
      </c>
      <c r="AI2841">
        <v>93.174452086012096</v>
      </c>
      <c r="AJ2841">
        <v>84.636331275039893</v>
      </c>
      <c r="AK2841">
        <v>20.015230372276601</v>
      </c>
      <c r="AL2841">
        <v>88.072175429435404</v>
      </c>
      <c r="AM2841">
        <v>89.628034500834204</v>
      </c>
      <c r="AN2841">
        <v>1.0000000642881499</v>
      </c>
    </row>
    <row r="2842" spans="1:40" x14ac:dyDescent="0.25">
      <c r="A2842" t="str">
        <f>"20190312151553658"</f>
        <v>20190312151553658</v>
      </c>
      <c r="B2842" t="str">
        <f>"1552374953650799"</f>
        <v>1552374953650799</v>
      </c>
      <c r="C2842" t="s">
        <v>40</v>
      </c>
      <c r="D2842">
        <v>4.4964380000000004</v>
      </c>
      <c r="E2842">
        <v>0.53165960000000001</v>
      </c>
      <c r="F2842" t="s">
        <v>41</v>
      </c>
      <c r="G2842">
        <v>-444.3091</v>
      </c>
      <c r="H2842">
        <v>1.053191</v>
      </c>
      <c r="I2842">
        <v>211.57939999999999</v>
      </c>
      <c r="J2842">
        <v>-444.97280000000001</v>
      </c>
      <c r="K2842">
        <v>1.1085179999999999</v>
      </c>
      <c r="L2842">
        <v>211.70089999999999</v>
      </c>
      <c r="M2842">
        <v>0.99892259999999999</v>
      </c>
      <c r="N2842">
        <v>0</v>
      </c>
      <c r="O2842">
        <v>-4.5205339999999997E-2</v>
      </c>
      <c r="P2842">
        <v>0.99844500000000003</v>
      </c>
      <c r="Q2842">
        <v>2.3885469999999999E-2</v>
      </c>
      <c r="R2842">
        <v>-5.037146E-2</v>
      </c>
      <c r="S2842">
        <v>2.9877319999999998</v>
      </c>
      <c r="T2842">
        <v>-0.1653067</v>
      </c>
      <c r="U2842">
        <v>-0.40985110000000002</v>
      </c>
      <c r="V2842">
        <v>5.2500759999999898E-3</v>
      </c>
      <c r="W2842">
        <v>3.4366340000000002E-2</v>
      </c>
      <c r="X2842">
        <v>0.99939549999999999</v>
      </c>
      <c r="Y2842">
        <v>9.0909370000000003E-2</v>
      </c>
      <c r="Z2842" s="1">
        <v>-1.61353999999999E-5</v>
      </c>
      <c r="AA2842">
        <v>0.9958591</v>
      </c>
      <c r="AB2842">
        <v>31</v>
      </c>
      <c r="AC2842">
        <v>0.66370000000000495</v>
      </c>
      <c r="AD2842">
        <v>-5.5327000000000098E-2</v>
      </c>
      <c r="AE2842">
        <v>-0.121499999999997</v>
      </c>
      <c r="AF2842">
        <v>9.0761083224021502E-2</v>
      </c>
      <c r="AG2842">
        <v>-5.5327000000000098E-2</v>
      </c>
      <c r="AH2842">
        <v>0.66404925207430898</v>
      </c>
      <c r="AI2842">
        <v>94.719073807002403</v>
      </c>
      <c r="AJ2842">
        <v>82.217138317042995</v>
      </c>
      <c r="AK2842">
        <v>0.67250283295867797</v>
      </c>
      <c r="AL2842">
        <v>88.030565940171996</v>
      </c>
      <c r="AM2842">
        <v>89.699013623857397</v>
      </c>
      <c r="AN2842">
        <v>0.99999998702162496</v>
      </c>
    </row>
    <row r="2843" spans="1:40" x14ac:dyDescent="0.25">
      <c r="A2843" t="str">
        <f>"20190312151553681"</f>
        <v>20190312151553681</v>
      </c>
      <c r="B2843" t="str">
        <f>"1552374953670319"</f>
        <v>1552374953670319</v>
      </c>
      <c r="C2843" t="s">
        <v>40</v>
      </c>
      <c r="D2843">
        <v>5.0742390000000004</v>
      </c>
      <c r="E2843">
        <v>0.531582</v>
      </c>
      <c r="F2843" t="s">
        <v>52</v>
      </c>
      <c r="G2843">
        <v>-424.81819999999999</v>
      </c>
      <c r="H2843" s="1">
        <v>3.7250630000000002E-6</v>
      </c>
      <c r="I2843">
        <v>208.94399999999999</v>
      </c>
      <c r="J2843">
        <v>-444.65780000000001</v>
      </c>
      <c r="K2843">
        <v>1.1086480000000001</v>
      </c>
      <c r="L2843">
        <v>211.6859</v>
      </c>
      <c r="M2843">
        <v>0.99889159999999999</v>
      </c>
      <c r="N2843">
        <v>0</v>
      </c>
      <c r="O2843">
        <v>-4.5890889999999997E-2</v>
      </c>
      <c r="P2843">
        <v>0.9984632</v>
      </c>
      <c r="Q2843">
        <v>2.39966E-2</v>
      </c>
      <c r="R2843">
        <v>-4.9957719999999997E-2</v>
      </c>
      <c r="S2843">
        <v>2.9879760000000002</v>
      </c>
      <c r="T2843">
        <v>-0.16434099999999999</v>
      </c>
      <c r="U2843">
        <v>-0.40872190000000003</v>
      </c>
      <c r="V2843">
        <v>4.1393840000000003E-3</v>
      </c>
      <c r="W2843">
        <v>3.4461650000000003E-2</v>
      </c>
      <c r="X2843">
        <v>0.99939750000000005</v>
      </c>
      <c r="Y2843">
        <v>8.9848910000000004E-2</v>
      </c>
      <c r="Z2843" s="1">
        <v>5.0388279999999897E-5</v>
      </c>
      <c r="AA2843">
        <v>0.99595540000000005</v>
      </c>
      <c r="AB2843">
        <v>31</v>
      </c>
      <c r="AC2843">
        <v>19.839600000000001</v>
      </c>
      <c r="AD2843">
        <v>-1.10864427493699</v>
      </c>
      <c r="AE2843">
        <v>-2.7418999999999798</v>
      </c>
      <c r="AF2843">
        <v>1.82291858999556</v>
      </c>
      <c r="AG2843">
        <v>-1.10864427493699</v>
      </c>
      <c r="AH2843">
        <v>19.883605797188501</v>
      </c>
      <c r="AI2843">
        <v>93.178018961684501</v>
      </c>
      <c r="AJ2843">
        <v>84.761796044530499</v>
      </c>
      <c r="AK2843">
        <v>19.997747468454801</v>
      </c>
      <c r="AL2843">
        <v>88.025101969984405</v>
      </c>
      <c r="AM2843">
        <v>89.762689143436802</v>
      </c>
      <c r="AN2843">
        <v>1.00000005141343</v>
      </c>
    </row>
    <row r="2844" spans="1:40" x14ac:dyDescent="0.25">
      <c r="A2844" t="str">
        <f>"20190312151553703"</f>
        <v>20190312151553703</v>
      </c>
      <c r="B2844" t="str">
        <f>"1552374953700576"</f>
        <v>1552374953700576</v>
      </c>
      <c r="C2844" t="s">
        <v>40</v>
      </c>
      <c r="D2844">
        <v>4.9620069999999998</v>
      </c>
      <c r="E2844">
        <v>0.53147359999999999</v>
      </c>
      <c r="F2844" t="s">
        <v>52</v>
      </c>
      <c r="G2844">
        <v>-424.57549999999998</v>
      </c>
      <c r="H2844" s="1">
        <v>3.7655869999999998E-6</v>
      </c>
      <c r="I2844">
        <v>208.95359999999999</v>
      </c>
      <c r="J2844">
        <v>-444.35520000000002</v>
      </c>
      <c r="K2844">
        <v>1.1087629999999999</v>
      </c>
      <c r="L2844">
        <v>211.67140000000001</v>
      </c>
      <c r="M2844">
        <v>0.99886830000000004</v>
      </c>
      <c r="N2844">
        <v>0</v>
      </c>
      <c r="O2844">
        <v>-4.6398679999999998E-2</v>
      </c>
      <c r="P2844">
        <v>0.99847419999999998</v>
      </c>
      <c r="Q2844">
        <v>2.4128199999999999E-2</v>
      </c>
      <c r="R2844">
        <v>-4.9672180000000003E-2</v>
      </c>
      <c r="S2844">
        <v>2.988251</v>
      </c>
      <c r="T2844">
        <v>-0.16496629999999901</v>
      </c>
      <c r="U2844">
        <v>-0.4065704</v>
      </c>
      <c r="V2844">
        <v>3.335878E-3</v>
      </c>
      <c r="W2844">
        <v>3.4579840000000001E-2</v>
      </c>
      <c r="X2844">
        <v>0.99939639999999996</v>
      </c>
      <c r="Y2844">
        <v>8.8628360000000003E-2</v>
      </c>
      <c r="Z2844">
        <v>1.1191680000000001E-4</v>
      </c>
      <c r="AA2844">
        <v>0.99606479999999997</v>
      </c>
      <c r="AB2844">
        <v>31</v>
      </c>
      <c r="AC2844">
        <v>19.779699999999998</v>
      </c>
      <c r="AD2844">
        <v>-1.1087592344129999</v>
      </c>
      <c r="AE2844">
        <v>-2.7178000000000102</v>
      </c>
      <c r="AF2844">
        <v>1.7915453929865499</v>
      </c>
      <c r="AG2844">
        <v>-1.1087592344129999</v>
      </c>
      <c r="AH2844">
        <v>19.823369219865398</v>
      </c>
      <c r="AI2844">
        <v>93.188360436564807</v>
      </c>
      <c r="AJ2844">
        <v>84.835898795657201</v>
      </c>
      <c r="AK2844">
        <v>19.9350181630751</v>
      </c>
      <c r="AL2844">
        <v>88.018326098948094</v>
      </c>
      <c r="AM2844">
        <v>89.8087535430965</v>
      </c>
      <c r="AN2844">
        <v>1.0000000288747</v>
      </c>
    </row>
    <row r="2845" spans="1:40" x14ac:dyDescent="0.25">
      <c r="A2845" t="str">
        <f>"20190312151553724"</f>
        <v>20190312151553724</v>
      </c>
      <c r="B2845" t="str">
        <f>"1552374953720095"</f>
        <v>1552374953720095</v>
      </c>
      <c r="C2845" t="s">
        <v>40</v>
      </c>
      <c r="D2845">
        <v>4.4421749999999998</v>
      </c>
      <c r="E2845">
        <v>0.53137080000000003</v>
      </c>
      <c r="F2845" t="s">
        <v>52</v>
      </c>
      <c r="G2845">
        <v>-424.17660000000001</v>
      </c>
      <c r="H2845" s="1">
        <v>3.8407980000000001E-6</v>
      </c>
      <c r="I2845">
        <v>208.93680000000001</v>
      </c>
      <c r="J2845">
        <v>-444.06470000000002</v>
      </c>
      <c r="K2845">
        <v>1.108878</v>
      </c>
      <c r="L2845">
        <v>211.6575</v>
      </c>
      <c r="M2845">
        <v>0.99885279999999999</v>
      </c>
      <c r="N2845">
        <v>0</v>
      </c>
      <c r="O2845">
        <v>-4.6734060000000001E-2</v>
      </c>
      <c r="P2845">
        <v>0.99851939999999995</v>
      </c>
      <c r="Q2845">
        <v>2.407757E-2</v>
      </c>
      <c r="R2845">
        <v>-4.878176E-2</v>
      </c>
      <c r="S2845">
        <v>2.9883419999999998</v>
      </c>
      <c r="T2845">
        <v>-0.16420170000000001</v>
      </c>
      <c r="U2845">
        <v>-0.4049835</v>
      </c>
      <c r="V2845">
        <v>2.0987250000000001E-3</v>
      </c>
      <c r="W2845">
        <v>3.4518359999999998E-2</v>
      </c>
      <c r="X2845">
        <v>0.99940189999999995</v>
      </c>
      <c r="Y2845">
        <v>8.7772790000000003E-2</v>
      </c>
      <c r="Z2845">
        <v>1.530759E-4</v>
      </c>
      <c r="AA2845">
        <v>0.99614049999999998</v>
      </c>
      <c r="AB2845">
        <v>31</v>
      </c>
      <c r="AC2845">
        <v>19.888100000000001</v>
      </c>
      <c r="AD2845">
        <v>-1.1088741592019999</v>
      </c>
      <c r="AE2845">
        <v>-2.7206999999999901</v>
      </c>
      <c r="AF2845">
        <v>1.78278430715139</v>
      </c>
      <c r="AG2845">
        <v>-1.1088741592019999</v>
      </c>
      <c r="AH2845">
        <v>19.9326971955755</v>
      </c>
      <c r="AI2845">
        <v>93.171500506211402</v>
      </c>
      <c r="AJ2845">
        <v>84.8890538254239</v>
      </c>
      <c r="AK2845">
        <v>20.042962337870001</v>
      </c>
      <c r="AL2845">
        <v>88.021850769148998</v>
      </c>
      <c r="AM2845">
        <v>89.879680128587296</v>
      </c>
      <c r="AN2845">
        <v>1.0000000397736599</v>
      </c>
    </row>
    <row r="2846" spans="1:40" x14ac:dyDescent="0.25">
      <c r="A2846" t="str">
        <f>"20190312151553745"</f>
        <v>20190312151553745</v>
      </c>
      <c r="B2846" t="str">
        <f>"1552374953740592"</f>
        <v>1552374953740592</v>
      </c>
      <c r="C2846" t="s">
        <v>40</v>
      </c>
      <c r="D2846">
        <v>4.5006490000000001</v>
      </c>
      <c r="E2846">
        <v>0.51012930000000001</v>
      </c>
      <c r="F2846" t="s">
        <v>52</v>
      </c>
      <c r="G2846">
        <v>-423.87049999999999</v>
      </c>
      <c r="H2846" s="1">
        <v>3.8929520000000002E-6</v>
      </c>
      <c r="I2846">
        <v>208.94489999999999</v>
      </c>
      <c r="J2846">
        <v>-443.76870000000002</v>
      </c>
      <c r="K2846">
        <v>1.1090040000000001</v>
      </c>
      <c r="L2846">
        <v>211.64330000000001</v>
      </c>
      <c r="M2846">
        <v>0.9988435</v>
      </c>
      <c r="N2846">
        <v>0</v>
      </c>
      <c r="O2846">
        <v>-4.6934620000000003E-2</v>
      </c>
      <c r="P2846">
        <v>0.99857340000000006</v>
      </c>
      <c r="Q2846">
        <v>2.3742289999999999E-2</v>
      </c>
      <c r="R2846">
        <v>-4.782703E-2</v>
      </c>
      <c r="S2846">
        <v>2.9887999999999999</v>
      </c>
      <c r="T2846">
        <v>-0.16411700000000001</v>
      </c>
      <c r="U2846">
        <v>-0.401474</v>
      </c>
      <c r="V2846">
        <v>9.3128449999999995E-4</v>
      </c>
      <c r="W2846">
        <v>3.417953E-2</v>
      </c>
      <c r="X2846">
        <v>0.99941530000000001</v>
      </c>
      <c r="Y2846">
        <v>8.6406010000000005E-2</v>
      </c>
      <c r="Z2846">
        <v>2.012637E-4</v>
      </c>
      <c r="AA2846">
        <v>0.99626000000000003</v>
      </c>
      <c r="AB2846">
        <v>31</v>
      </c>
      <c r="AC2846">
        <v>19.898199999999999</v>
      </c>
      <c r="AD2846">
        <v>-1.109000107048</v>
      </c>
      <c r="AE2846">
        <v>-2.6984000000000199</v>
      </c>
      <c r="AF2846">
        <v>1.7561042901914199</v>
      </c>
      <c r="AG2846">
        <v>-1.109000107048</v>
      </c>
      <c r="AH2846">
        <v>19.942097919344398</v>
      </c>
      <c r="AI2846">
        <v>93.170752332632105</v>
      </c>
      <c r="AJ2846">
        <v>84.967506133383395</v>
      </c>
      <c r="AK2846">
        <v>20.049963913687701</v>
      </c>
      <c r="AL2846">
        <v>88.041275730610295</v>
      </c>
      <c r="AM2846">
        <v>89.946610127009194</v>
      </c>
      <c r="AN2846">
        <v>1.0000000247179599</v>
      </c>
    </row>
    <row r="2847" spans="1:40" x14ac:dyDescent="0.25">
      <c r="A2847" t="str">
        <f>"20190312151553768"</f>
        <v>20190312151553768</v>
      </c>
      <c r="B2847" t="str">
        <f>"1552374953760111"</f>
        <v>1552374953760111</v>
      </c>
      <c r="C2847" t="s">
        <v>40</v>
      </c>
      <c r="D2847">
        <v>4.5400919999999996</v>
      </c>
      <c r="E2847">
        <v>0.50795059999999903</v>
      </c>
      <c r="F2847" t="s">
        <v>52</v>
      </c>
      <c r="G2847">
        <v>-418.93790000000001</v>
      </c>
      <c r="H2847" s="1">
        <v>4.2167800000000003E-6</v>
      </c>
      <c r="I2847">
        <v>209.74809999999999</v>
      </c>
      <c r="J2847">
        <v>-443.44929999999999</v>
      </c>
      <c r="K2847">
        <v>1.1091390000000001</v>
      </c>
      <c r="L2847">
        <v>211.62819999999999</v>
      </c>
      <c r="M2847">
        <v>0.99884010000000001</v>
      </c>
      <c r="N2847">
        <v>0</v>
      </c>
      <c r="O2847">
        <v>-4.7004280000000002E-2</v>
      </c>
      <c r="P2847">
        <v>0.99862059999999997</v>
      </c>
      <c r="Q2847">
        <v>2.394754E-2</v>
      </c>
      <c r="R2847">
        <v>-4.6724740000000001E-2</v>
      </c>
      <c r="S2847">
        <v>2.9964900000000001</v>
      </c>
      <c r="T2847">
        <v>-0.13383020000000001</v>
      </c>
      <c r="U2847">
        <v>-0.228714</v>
      </c>
      <c r="V2847">
        <v>-2.5287600000000002E-4</v>
      </c>
      <c r="W2847">
        <v>3.4391119999999997E-2</v>
      </c>
      <c r="X2847">
        <v>0.99940839999999997</v>
      </c>
      <c r="Y2847">
        <v>2.9168909999999999E-2</v>
      </c>
      <c r="Z2847">
        <v>1.4437219999999999E-3</v>
      </c>
      <c r="AA2847">
        <v>0.9995735</v>
      </c>
      <c r="AB2847">
        <v>31</v>
      </c>
      <c r="AC2847">
        <v>24.511399999999899</v>
      </c>
      <c r="AD2847">
        <v>-1.10913478321999</v>
      </c>
      <c r="AE2847">
        <v>-1.8800999999999899</v>
      </c>
      <c r="AF2847">
        <v>0.72434369232037099</v>
      </c>
      <c r="AG2847">
        <v>-1.10913478321999</v>
      </c>
      <c r="AH2847">
        <v>24.522764204795799</v>
      </c>
      <c r="AI2847">
        <v>92.588526088026896</v>
      </c>
      <c r="AJ2847">
        <v>88.308111893430905</v>
      </c>
      <c r="AK2847">
        <v>24.558518236977701</v>
      </c>
      <c r="AL2847">
        <v>88.029145300154298</v>
      </c>
      <c r="AM2847">
        <v>90.014497303835896</v>
      </c>
      <c r="AN2847">
        <v>0.99999998153584202</v>
      </c>
    </row>
    <row r="2848" spans="1:40" x14ac:dyDescent="0.25">
      <c r="A2848" t="str">
        <f>"20190312151553790"</f>
        <v>20190312151553790</v>
      </c>
      <c r="B2848" t="str">
        <f>"1552374953780608"</f>
        <v>1552374953780608</v>
      </c>
      <c r="C2848" t="s">
        <v>40</v>
      </c>
      <c r="D2848">
        <v>4.749422</v>
      </c>
      <c r="E2848">
        <v>0.50747810000000004</v>
      </c>
      <c r="F2848" t="s">
        <v>52</v>
      </c>
      <c r="G2848">
        <v>-419.09129999999999</v>
      </c>
      <c r="H2848" s="1">
        <v>4.2274980000000001E-6</v>
      </c>
      <c r="I2848">
        <v>209.9367</v>
      </c>
      <c r="J2848">
        <v>-443.15339999999998</v>
      </c>
      <c r="K2848">
        <v>1.109264</v>
      </c>
      <c r="L2848">
        <v>211.61429999999999</v>
      </c>
      <c r="M2848">
        <v>0.9988437</v>
      </c>
      <c r="N2848">
        <v>0</v>
      </c>
      <c r="O2848">
        <v>-4.6927049999999998E-2</v>
      </c>
      <c r="P2848">
        <v>0.99867839999999997</v>
      </c>
      <c r="Q2848">
        <v>2.3966069999999999E-2</v>
      </c>
      <c r="R2848">
        <v>-4.5468599999999998E-2</v>
      </c>
      <c r="S2848">
        <v>2.997681</v>
      </c>
      <c r="T2848">
        <v>-0.13649829999999999</v>
      </c>
      <c r="U2848">
        <v>-0.2081604</v>
      </c>
      <c r="V2848">
        <v>-1.443309E-3</v>
      </c>
      <c r="W2848">
        <v>3.442067E-2</v>
      </c>
      <c r="X2848">
        <v>0.99940640000000003</v>
      </c>
      <c r="Y2848">
        <v>2.240572E-2</v>
      </c>
      <c r="Z2848">
        <v>1.622556E-3</v>
      </c>
      <c r="AA2848">
        <v>0.99974759999999996</v>
      </c>
      <c r="AB2848">
        <v>31</v>
      </c>
      <c r="AC2848">
        <v>24.062099999999901</v>
      </c>
      <c r="AD2848">
        <v>-1.1092597725019999</v>
      </c>
      <c r="AE2848">
        <v>-1.67759999999998</v>
      </c>
      <c r="AF2848">
        <v>0.54537321953781803</v>
      </c>
      <c r="AG2848">
        <v>-1.1092597725019999</v>
      </c>
      <c r="AH2848">
        <v>24.063425290841</v>
      </c>
      <c r="AI2848">
        <v>92.638637675604798</v>
      </c>
      <c r="AJ2848">
        <v>88.701671319206199</v>
      </c>
      <c r="AK2848">
        <v>24.095151502312</v>
      </c>
      <c r="AL2848">
        <v>88.027451261057294</v>
      </c>
      <c r="AM2848">
        <v>90.082744573922</v>
      </c>
      <c r="AN2848">
        <v>1.0000000090125301</v>
      </c>
    </row>
    <row r="2849" spans="1:40" x14ac:dyDescent="0.25">
      <c r="A2849" t="str">
        <f>"20190312151553813"</f>
        <v>20190312151553813</v>
      </c>
      <c r="B2849" t="str">
        <f>"1552374953810864"</f>
        <v>1552374953810864</v>
      </c>
      <c r="C2849" t="s">
        <v>40</v>
      </c>
      <c r="D2849">
        <v>4.7817769999999999</v>
      </c>
      <c r="E2849">
        <v>0.50706459999999998</v>
      </c>
      <c r="F2849" t="s">
        <v>52</v>
      </c>
      <c r="G2849">
        <v>-417.81569999999999</v>
      </c>
      <c r="H2849" s="1">
        <v>4.0028129999999998E-6</v>
      </c>
      <c r="I2849">
        <v>209.9187</v>
      </c>
      <c r="J2849">
        <v>-442.8347</v>
      </c>
      <c r="K2849">
        <v>1.109397</v>
      </c>
      <c r="L2849">
        <v>211.5994</v>
      </c>
      <c r="M2849">
        <v>0.99885429999999997</v>
      </c>
      <c r="N2849">
        <v>0</v>
      </c>
      <c r="O2849">
        <v>-4.669384E-2</v>
      </c>
      <c r="P2849">
        <v>0.99874589999999996</v>
      </c>
      <c r="Q2849">
        <v>2.3730729999999998E-2</v>
      </c>
      <c r="R2849">
        <v>-4.4086010000000002E-2</v>
      </c>
      <c r="S2849">
        <v>2.997986</v>
      </c>
      <c r="T2849">
        <v>-0.13124920000000001</v>
      </c>
      <c r="U2849">
        <v>-0.20062260000000001</v>
      </c>
      <c r="V2849">
        <v>-2.6046899999999998E-3</v>
      </c>
      <c r="W2849">
        <v>3.4196690000000002E-2</v>
      </c>
      <c r="X2849">
        <v>0.99941170000000001</v>
      </c>
      <c r="Y2849">
        <v>2.0130039999999998E-2</v>
      </c>
      <c r="Z2849">
        <v>1.599781E-3</v>
      </c>
      <c r="AA2849">
        <v>0.99979609999999997</v>
      </c>
      <c r="AB2849">
        <v>31</v>
      </c>
      <c r="AC2849">
        <v>25.018999999999998</v>
      </c>
      <c r="AD2849">
        <v>-1.109392997187</v>
      </c>
      <c r="AE2849">
        <v>-1.6807000000000001</v>
      </c>
      <c r="AF2849">
        <v>0.50957183657239402</v>
      </c>
      <c r="AG2849">
        <v>-1.109392997187</v>
      </c>
      <c r="AH2849">
        <v>25.021214053917301</v>
      </c>
      <c r="AI2849">
        <v>92.538197436360605</v>
      </c>
      <c r="AJ2849">
        <v>88.833298813016</v>
      </c>
      <c r="AK2849">
        <v>25.050979402226599</v>
      </c>
      <c r="AL2849">
        <v>88.0402918567207</v>
      </c>
      <c r="AM2849">
        <v>90.149325254094094</v>
      </c>
      <c r="AN2849">
        <v>0.99999997205692004</v>
      </c>
    </row>
    <row r="2850" spans="1:40" x14ac:dyDescent="0.25">
      <c r="A2850" t="str">
        <f>"20190312151553835"</f>
        <v>20190312151553835</v>
      </c>
      <c r="B2850" t="str">
        <f>"1552374953830384"</f>
        <v>1552374953830384</v>
      </c>
      <c r="C2850" t="s">
        <v>40</v>
      </c>
      <c r="D2850">
        <v>4.5380310000000001</v>
      </c>
      <c r="E2850">
        <v>0.50671009999999905</v>
      </c>
      <c r="F2850" t="s">
        <v>52</v>
      </c>
      <c r="G2850">
        <v>-417.30290000000002</v>
      </c>
      <c r="H2850" s="1">
        <v>3.9089510000000003E-6</v>
      </c>
      <c r="I2850">
        <v>209.95179999999999</v>
      </c>
      <c r="J2850">
        <v>-442.53199999999998</v>
      </c>
      <c r="K2850">
        <v>1.1095200000000001</v>
      </c>
      <c r="L2850">
        <v>211.5856</v>
      </c>
      <c r="M2850">
        <v>0.99887170000000003</v>
      </c>
      <c r="N2850">
        <v>0</v>
      </c>
      <c r="O2850">
        <v>-4.6320130000000001E-2</v>
      </c>
      <c r="P2850">
        <v>0.99879949999999995</v>
      </c>
      <c r="Q2850">
        <v>2.3503599999999999E-2</v>
      </c>
      <c r="R2850">
        <v>-4.2978830000000003E-2</v>
      </c>
      <c r="S2850">
        <v>2.998291</v>
      </c>
      <c r="T2850">
        <v>-0.13028029999999999</v>
      </c>
      <c r="U2850">
        <v>-0.1934814</v>
      </c>
      <c r="V2850">
        <v>-3.3490949999999998E-3</v>
      </c>
      <c r="W2850">
        <v>3.3981280000000003E-2</v>
      </c>
      <c r="X2850">
        <v>0.99941690000000005</v>
      </c>
      <c r="Y2850">
        <v>1.812743E-2</v>
      </c>
      <c r="Z2850">
        <v>1.6152269999999999E-3</v>
      </c>
      <c r="AA2850">
        <v>0.99983440000000001</v>
      </c>
      <c r="AB2850">
        <v>31</v>
      </c>
      <c r="AC2850">
        <v>25.229099999999899</v>
      </c>
      <c r="AD2850">
        <v>-1.1095160910490001</v>
      </c>
      <c r="AE2850">
        <v>-1.6337999999999999</v>
      </c>
      <c r="AF2850">
        <v>0.46247611649103099</v>
      </c>
      <c r="AG2850">
        <v>-1.1095160910490001</v>
      </c>
      <c r="AH2850">
        <v>25.229109133321099</v>
      </c>
      <c r="AI2850">
        <v>92.517686873113504</v>
      </c>
      <c r="AJ2850">
        <v>88.949825693487895</v>
      </c>
      <c r="AK2850">
        <v>25.257728674123602</v>
      </c>
      <c r="AL2850">
        <v>88.052641254419797</v>
      </c>
      <c r="AM2850">
        <v>90.192000245762102</v>
      </c>
      <c r="AN2850">
        <v>1.0000000419166799</v>
      </c>
    </row>
    <row r="2851" spans="1:40" x14ac:dyDescent="0.25">
      <c r="A2851" t="str">
        <f>"20190312151553860"</f>
        <v>20190312151553860</v>
      </c>
      <c r="B2851" t="str">
        <f>"1552374953850879"</f>
        <v>1552374953850879</v>
      </c>
      <c r="C2851" t="s">
        <v>40</v>
      </c>
      <c r="D2851">
        <v>4.547282</v>
      </c>
      <c r="E2851">
        <v>0.50636289999999995</v>
      </c>
      <c r="F2851" t="s">
        <v>52</v>
      </c>
      <c r="G2851">
        <v>-417.24990000000003</v>
      </c>
      <c r="H2851" s="1">
        <v>3.894724E-6</v>
      </c>
      <c r="I2851">
        <v>210.00700000000001</v>
      </c>
      <c r="J2851">
        <v>-442.18400000000003</v>
      </c>
      <c r="K2851">
        <v>1.109637</v>
      </c>
      <c r="L2851">
        <v>211.57</v>
      </c>
      <c r="M2851">
        <v>0.99889740000000005</v>
      </c>
      <c r="N2851">
        <v>0</v>
      </c>
      <c r="O2851">
        <v>-4.5760889999999999E-2</v>
      </c>
      <c r="P2851">
        <v>0.99888509999999997</v>
      </c>
      <c r="Q2851">
        <v>2.294032E-2</v>
      </c>
      <c r="R2851">
        <v>-4.1262670000000001E-2</v>
      </c>
      <c r="S2851">
        <v>2.9986269999999999</v>
      </c>
      <c r="T2851">
        <v>-0.1315964</v>
      </c>
      <c r="U2851">
        <v>-0.18722530000000001</v>
      </c>
      <c r="V2851">
        <v>-4.516745E-3</v>
      </c>
      <c r="W2851">
        <v>3.3430840000000003E-2</v>
      </c>
      <c r="X2851">
        <v>0.99943079999999995</v>
      </c>
      <c r="Y2851">
        <v>1.660385E-2</v>
      </c>
      <c r="Z2851">
        <v>1.6403909999999999E-3</v>
      </c>
      <c r="AA2851">
        <v>0.99986079999999999</v>
      </c>
      <c r="AB2851">
        <v>31</v>
      </c>
      <c r="AC2851">
        <v>24.934100000000001</v>
      </c>
      <c r="AD2851">
        <v>-1.109633105276</v>
      </c>
      <c r="AE2851">
        <v>-1.56299999999998</v>
      </c>
      <c r="AF2851">
        <v>0.41946563634737599</v>
      </c>
      <c r="AG2851">
        <v>-1.109633105276</v>
      </c>
      <c r="AH2851">
        <v>24.9303240453341</v>
      </c>
      <c r="AI2851">
        <v>92.5481570098015</v>
      </c>
      <c r="AJ2851">
        <v>89.036059739995295</v>
      </c>
      <c r="AK2851">
        <v>24.958531488326098</v>
      </c>
      <c r="AL2851">
        <v>88.084196940679703</v>
      </c>
      <c r="AM2851">
        <v>90.2589360501931</v>
      </c>
      <c r="AN2851">
        <v>0.99999997301856902</v>
      </c>
    </row>
    <row r="2852" spans="1:40" x14ac:dyDescent="0.25">
      <c r="A2852" t="str">
        <f>"20190312151553883"</f>
        <v>20190312151553883</v>
      </c>
      <c r="B2852" t="str">
        <f>"1552374953870401"</f>
        <v>1552374953870401</v>
      </c>
      <c r="C2852" t="s">
        <v>40</v>
      </c>
      <c r="D2852">
        <v>4.6774639999999996</v>
      </c>
      <c r="E2852">
        <v>0.5064282</v>
      </c>
      <c r="F2852" t="s">
        <v>52</v>
      </c>
      <c r="G2852">
        <v>-418.19589999999999</v>
      </c>
      <c r="H2852" s="1">
        <v>4.0516119999999998E-6</v>
      </c>
      <c r="I2852">
        <v>210.1319</v>
      </c>
      <c r="J2852">
        <v>-441.87419999999997</v>
      </c>
      <c r="K2852">
        <v>1.1097250000000001</v>
      </c>
      <c r="L2852">
        <v>211.5564</v>
      </c>
      <c r="M2852">
        <v>0.99892429999999999</v>
      </c>
      <c r="N2852">
        <v>0</v>
      </c>
      <c r="O2852">
        <v>-4.5163149999999999E-2</v>
      </c>
      <c r="P2852">
        <v>0.99896459999999998</v>
      </c>
      <c r="Q2852">
        <v>2.2709509999999999E-2</v>
      </c>
      <c r="R2852">
        <v>-3.9420160000000003E-2</v>
      </c>
      <c r="S2852">
        <v>2.9990839999999999</v>
      </c>
      <c r="T2852">
        <v>-0.13873079999999999</v>
      </c>
      <c r="U2852">
        <v>-0.17979429999999999</v>
      </c>
      <c r="V2852">
        <v>-5.7701519999999997E-3</v>
      </c>
      <c r="W2852">
        <v>3.3210669999999998E-2</v>
      </c>
      <c r="X2852">
        <v>0.99943170000000003</v>
      </c>
      <c r="Y2852">
        <v>1.4728899999999901E-2</v>
      </c>
      <c r="Z2852">
        <v>1.74486E-3</v>
      </c>
      <c r="AA2852">
        <v>0.99988999999999995</v>
      </c>
      <c r="AB2852">
        <v>31</v>
      </c>
      <c r="AC2852">
        <v>23.678299999999901</v>
      </c>
      <c r="AD2852">
        <v>-1.109720948388</v>
      </c>
      <c r="AE2852">
        <v>-1.4244999999999901</v>
      </c>
      <c r="AF2852">
        <v>0.35282840897539097</v>
      </c>
      <c r="AG2852">
        <v>-1.109720948388</v>
      </c>
      <c r="AH2852">
        <v>23.666679193493</v>
      </c>
      <c r="AI2852">
        <v>92.684311578459997</v>
      </c>
      <c r="AJ2852">
        <v>89.145884342845093</v>
      </c>
      <c r="AK2852">
        <v>23.695309082541801</v>
      </c>
      <c r="AL2852">
        <v>88.096818780812796</v>
      </c>
      <c r="AM2852">
        <v>90.330789671288301</v>
      </c>
      <c r="AN2852">
        <v>0.99999998311042004</v>
      </c>
    </row>
    <row r="2853" spans="1:40" x14ac:dyDescent="0.25">
      <c r="A2853" t="str">
        <f>"20190312151553903"</f>
        <v>20190312151553903</v>
      </c>
      <c r="B2853" t="str">
        <f>"1552374953900655"</f>
        <v>1552374953900655</v>
      </c>
      <c r="C2853" t="s">
        <v>40</v>
      </c>
      <c r="D2853">
        <v>4.5537739999999998</v>
      </c>
      <c r="E2853">
        <v>0.50635600000000003</v>
      </c>
      <c r="F2853" t="s">
        <v>52</v>
      </c>
      <c r="G2853">
        <v>-419.25119999999998</v>
      </c>
      <c r="H2853" s="1">
        <v>4.2296409999999998E-6</v>
      </c>
      <c r="I2853">
        <v>210.23670000000001</v>
      </c>
      <c r="J2853">
        <v>-441.57780000000002</v>
      </c>
      <c r="K2853">
        <v>1.1097980000000001</v>
      </c>
      <c r="L2853">
        <v>211.5436</v>
      </c>
      <c r="M2853">
        <v>0.99895369999999994</v>
      </c>
      <c r="N2853">
        <v>0</v>
      </c>
      <c r="O2853">
        <v>-4.4507070000000003E-2</v>
      </c>
      <c r="P2853">
        <v>0.99902639999999998</v>
      </c>
      <c r="Q2853">
        <v>2.2535860000000001E-2</v>
      </c>
      <c r="R2853">
        <v>-3.792976E-2</v>
      </c>
      <c r="S2853">
        <v>2.9994809999999998</v>
      </c>
      <c r="T2853">
        <v>-0.14713280000000001</v>
      </c>
      <c r="U2853">
        <v>-0.1749725</v>
      </c>
      <c r="V2853">
        <v>-6.6113259999999998E-3</v>
      </c>
      <c r="W2853">
        <v>3.3045770000000002E-2</v>
      </c>
      <c r="X2853">
        <v>0.99943199999999999</v>
      </c>
      <c r="Y2853">
        <v>1.378034E-2</v>
      </c>
      <c r="Z2853">
        <v>1.841414E-3</v>
      </c>
      <c r="AA2853">
        <v>0.9999034</v>
      </c>
      <c r="AB2853">
        <v>31</v>
      </c>
      <c r="AC2853">
        <v>22.326599999999999</v>
      </c>
      <c r="AD2853">
        <v>-1.109793770359</v>
      </c>
      <c r="AE2853">
        <v>-1.30689999999998</v>
      </c>
      <c r="AF2853">
        <v>0.31109226653789102</v>
      </c>
      <c r="AG2853">
        <v>-1.109793770359</v>
      </c>
      <c r="AH2853">
        <v>22.307713035060601</v>
      </c>
      <c r="AI2853">
        <v>92.847802065979394</v>
      </c>
      <c r="AJ2853">
        <v>89.201033357928196</v>
      </c>
      <c r="AK2853">
        <v>22.33746810777</v>
      </c>
      <c r="AL2853">
        <v>88.1062721280815</v>
      </c>
      <c r="AM2853">
        <v>90.379010829721196</v>
      </c>
      <c r="AN2853">
        <v>1.0000000275851799</v>
      </c>
    </row>
    <row r="2854" spans="1:40" x14ac:dyDescent="0.25">
      <c r="A2854" t="str">
        <f>"20190312151553924"</f>
        <v>20190312151553924</v>
      </c>
      <c r="B2854" t="str">
        <f>"1552374953920176"</f>
        <v>1552374953920176</v>
      </c>
      <c r="C2854" t="s">
        <v>40</v>
      </c>
      <c r="D2854">
        <v>4.559323</v>
      </c>
      <c r="E2854">
        <v>0.50632690000000002</v>
      </c>
      <c r="F2854" t="s">
        <v>52</v>
      </c>
      <c r="G2854">
        <v>-419.8372</v>
      </c>
      <c r="H2854" s="1">
        <v>4.3270829999999998E-6</v>
      </c>
      <c r="I2854">
        <v>210.31110000000001</v>
      </c>
      <c r="J2854">
        <v>-441.2953</v>
      </c>
      <c r="K2854">
        <v>1.1098589999999999</v>
      </c>
      <c r="L2854">
        <v>211.5316</v>
      </c>
      <c r="M2854">
        <v>0.99898430000000005</v>
      </c>
      <c r="N2854">
        <v>0</v>
      </c>
      <c r="O2854">
        <v>-4.381198E-2</v>
      </c>
      <c r="P2854">
        <v>0.99907539999999995</v>
      </c>
      <c r="Q2854">
        <v>2.271364E-2</v>
      </c>
      <c r="R2854">
        <v>-3.6507749999999999E-2</v>
      </c>
      <c r="S2854">
        <v>2.9999389999999999</v>
      </c>
      <c r="T2854">
        <v>-0.15313829999999901</v>
      </c>
      <c r="U2854">
        <v>-0.17007449999999999</v>
      </c>
      <c r="V2854">
        <v>-7.3442380000000003E-3</v>
      </c>
      <c r="W2854">
        <v>3.323164E-2</v>
      </c>
      <c r="X2854">
        <v>0.99942070000000005</v>
      </c>
      <c r="Y2854">
        <v>1.284337E-2</v>
      </c>
      <c r="Z2854">
        <v>1.9047929999999999E-3</v>
      </c>
      <c r="AA2854">
        <v>0.99991569999999996</v>
      </c>
      <c r="AB2854">
        <v>31</v>
      </c>
      <c r="AC2854">
        <v>21.458100000000002</v>
      </c>
      <c r="AD2854">
        <v>-1.109854672917</v>
      </c>
      <c r="AE2854">
        <v>-1.2204999999999799</v>
      </c>
      <c r="AF2854">
        <v>0.27841157301389702</v>
      </c>
      <c r="AG2854">
        <v>-1.109854672917</v>
      </c>
      <c r="AH2854">
        <v>21.433815033119199</v>
      </c>
      <c r="AI2854">
        <v>92.963909934887297</v>
      </c>
      <c r="AJ2854">
        <v>89.255806256651496</v>
      </c>
      <c r="AK2854">
        <v>21.4643359383176</v>
      </c>
      <c r="AL2854">
        <v>88.095616671502597</v>
      </c>
      <c r="AM2854">
        <v>90.421030169820099</v>
      </c>
      <c r="AN2854">
        <v>1.0000000076586899</v>
      </c>
    </row>
    <row r="2855" spans="1:40" x14ac:dyDescent="0.25">
      <c r="A2855" t="str">
        <f>"20190312151553948"</f>
        <v>20190312151553948</v>
      </c>
      <c r="B2855" t="str">
        <f>"1552374953940672"</f>
        <v>1552374953940672</v>
      </c>
      <c r="C2855" t="s">
        <v>40</v>
      </c>
      <c r="D2855">
        <v>4.5974949999999897</v>
      </c>
      <c r="E2855">
        <v>0.50635189999999997</v>
      </c>
      <c r="F2855" t="s">
        <v>52</v>
      </c>
      <c r="G2855">
        <v>-419.99299999999999</v>
      </c>
      <c r="H2855" s="1">
        <v>4.3381739999999999E-6</v>
      </c>
      <c r="I2855">
        <v>210.35730000000001</v>
      </c>
      <c r="J2855">
        <v>-440.9658</v>
      </c>
      <c r="K2855">
        <v>1.1099330000000001</v>
      </c>
      <c r="L2855">
        <v>211.5181</v>
      </c>
      <c r="M2855">
        <v>0.99902250000000004</v>
      </c>
      <c r="N2855">
        <v>0</v>
      </c>
      <c r="O2855">
        <v>-4.2927180000000002E-2</v>
      </c>
      <c r="P2855">
        <v>0.9991371</v>
      </c>
      <c r="Q2855">
        <v>2.2368059999999999E-2</v>
      </c>
      <c r="R2855">
        <v>-3.4997750000000001E-2</v>
      </c>
      <c r="S2855">
        <v>3.0002749999999998</v>
      </c>
      <c r="T2855">
        <v>-0.1563156</v>
      </c>
      <c r="U2855">
        <v>-0.16540529999999901</v>
      </c>
      <c r="V2855">
        <v>-7.9748159999999992E-3</v>
      </c>
      <c r="W2855">
        <v>3.2895649999999999E-2</v>
      </c>
      <c r="X2855">
        <v>0.99942699999999995</v>
      </c>
      <c r="Y2855">
        <v>1.2172769999999999E-2</v>
      </c>
      <c r="Z2855">
        <v>1.915618E-3</v>
      </c>
      <c r="AA2855">
        <v>0.99992409999999998</v>
      </c>
      <c r="AB2855">
        <v>31</v>
      </c>
      <c r="AC2855">
        <v>20.9727999999999</v>
      </c>
      <c r="AD2855">
        <v>-1.109928661826</v>
      </c>
      <c r="AE2855">
        <v>-1.1607999999999901</v>
      </c>
      <c r="AF2855">
        <v>0.25865437349327303</v>
      </c>
      <c r="AG2855">
        <v>-1.109928661826</v>
      </c>
      <c r="AH2855">
        <v>20.944815405732101</v>
      </c>
      <c r="AI2855">
        <v>93.033207119180702</v>
      </c>
      <c r="AJ2855">
        <v>89.292471651501103</v>
      </c>
      <c r="AK2855">
        <v>20.975798819102501</v>
      </c>
      <c r="AL2855">
        <v>88.114878044097907</v>
      </c>
      <c r="AM2855">
        <v>90.457175563629406</v>
      </c>
      <c r="AN2855">
        <v>1.0000000249040699</v>
      </c>
    </row>
    <row r="2856" spans="1:40" x14ac:dyDescent="0.25">
      <c r="A2856" t="str">
        <f>"20190312151553970"</f>
        <v>20190312151553970</v>
      </c>
      <c r="B2856" t="str">
        <f>"1552374953960192"</f>
        <v>1552374953960192</v>
      </c>
      <c r="C2856" t="s">
        <v>40</v>
      </c>
      <c r="D2856">
        <v>4.5755589999999904</v>
      </c>
      <c r="E2856">
        <v>0.50643939999999998</v>
      </c>
      <c r="F2856" t="s">
        <v>52</v>
      </c>
      <c r="G2856">
        <v>-420.33229999999998</v>
      </c>
      <c r="H2856" s="1">
        <v>4.2734639999999997E-6</v>
      </c>
      <c r="I2856">
        <v>210.4091</v>
      </c>
      <c r="J2856">
        <v>-440.64530000000002</v>
      </c>
      <c r="K2856">
        <v>1.109996</v>
      </c>
      <c r="L2856">
        <v>211.5052</v>
      </c>
      <c r="M2856">
        <v>0.99906209999999995</v>
      </c>
      <c r="N2856">
        <v>0</v>
      </c>
      <c r="O2856">
        <v>-4.1996319999999997E-2</v>
      </c>
      <c r="P2856">
        <v>0.99919250000000004</v>
      </c>
      <c r="Q2856">
        <v>2.199984E-2</v>
      </c>
      <c r="R2856">
        <v>-3.362594E-2</v>
      </c>
      <c r="S2856">
        <v>3.0005190000000002</v>
      </c>
      <c r="T2856">
        <v>-0.16140570000000001</v>
      </c>
      <c r="U2856">
        <v>-0.16125490000000001</v>
      </c>
      <c r="V2856">
        <v>-8.4219310000000006E-3</v>
      </c>
      <c r="W2856">
        <v>3.2535840000000003E-2</v>
      </c>
      <c r="X2856">
        <v>0.99943510000000002</v>
      </c>
      <c r="Y2856">
        <v>1.1723000000000001E-2</v>
      </c>
      <c r="Z2856">
        <v>1.9399759999999999E-3</v>
      </c>
      <c r="AA2856">
        <v>0.99992939999999997</v>
      </c>
      <c r="AB2856">
        <v>31</v>
      </c>
      <c r="AC2856">
        <v>20.312999999999999</v>
      </c>
      <c r="AD2856">
        <v>-1.109991726536</v>
      </c>
      <c r="AE2856">
        <v>-1.0961000000000001</v>
      </c>
      <c r="AF2856">
        <v>0.241295759727856</v>
      </c>
      <c r="AG2856">
        <v>-1.109991726536</v>
      </c>
      <c r="AH2856">
        <v>20.280729246203101</v>
      </c>
      <c r="AI2856">
        <v>93.132528619056899</v>
      </c>
      <c r="AJ2856">
        <v>89.318339287487703</v>
      </c>
      <c r="AK2856">
        <v>20.312515453149601</v>
      </c>
      <c r="AL2856">
        <v>88.135504660146097</v>
      </c>
      <c r="AM2856">
        <v>90.482802415614401</v>
      </c>
      <c r="AN2856">
        <v>1.0000000144591401</v>
      </c>
    </row>
    <row r="2857" spans="1:40" x14ac:dyDescent="0.25">
      <c r="A2857" t="str">
        <f>"20190312151553994"</f>
        <v>20190312151553994</v>
      </c>
      <c r="B2857" t="str">
        <f>"1552374953990448"</f>
        <v>1552374953990448</v>
      </c>
      <c r="C2857" t="s">
        <v>40</v>
      </c>
      <c r="D2857">
        <v>4.6195339999999998</v>
      </c>
      <c r="E2857">
        <v>0.50666820000000001</v>
      </c>
      <c r="F2857" t="s">
        <v>52</v>
      </c>
      <c r="G2857">
        <v>-420.43900000000002</v>
      </c>
      <c r="H2857" s="1">
        <v>4.2514919999999996E-6</v>
      </c>
      <c r="I2857">
        <v>210.44390000000001</v>
      </c>
      <c r="J2857">
        <v>-440.33089999999999</v>
      </c>
      <c r="K2857">
        <v>1.1100589999999999</v>
      </c>
      <c r="L2857">
        <v>211.49289999999999</v>
      </c>
      <c r="M2857">
        <v>0.99910279999999996</v>
      </c>
      <c r="N2857">
        <v>0</v>
      </c>
      <c r="O2857">
        <v>-4.1013399999999998E-2</v>
      </c>
      <c r="P2857">
        <v>0.99922750000000005</v>
      </c>
      <c r="Q2857">
        <v>2.1879849999999999E-2</v>
      </c>
      <c r="R2857">
        <v>-3.2645970000000003E-2</v>
      </c>
      <c r="S2857">
        <v>3.0007630000000001</v>
      </c>
      <c r="T2857">
        <v>-0.1648406</v>
      </c>
      <c r="U2857">
        <v>-0.157608</v>
      </c>
      <c r="V2857">
        <v>-8.423392E-3</v>
      </c>
      <c r="W2857">
        <v>3.2423840000000002E-2</v>
      </c>
      <c r="X2857">
        <v>0.99943870000000001</v>
      </c>
      <c r="Y2857">
        <v>1.1491329999999999E-2</v>
      </c>
      <c r="Z2857">
        <v>1.9336170000000001E-3</v>
      </c>
      <c r="AA2857">
        <v>0.99993209999999999</v>
      </c>
      <c r="AB2857">
        <v>31</v>
      </c>
      <c r="AC2857">
        <v>19.8918999999999</v>
      </c>
      <c r="AD2857">
        <v>-1.1100547485079999</v>
      </c>
      <c r="AE2857">
        <v>-1.04899999999997</v>
      </c>
      <c r="AF2857">
        <v>0.231518354873992</v>
      </c>
      <c r="AG2857">
        <v>-1.1100547485079999</v>
      </c>
      <c r="AH2857">
        <v>19.856522237727699</v>
      </c>
      <c r="AI2857">
        <v>93.199503397929305</v>
      </c>
      <c r="AJ2857">
        <v>89.331986568543996</v>
      </c>
      <c r="AK2857">
        <v>19.888873715489801</v>
      </c>
      <c r="AL2857">
        <v>88.141925123836998</v>
      </c>
      <c r="AM2857">
        <v>90.482884426829997</v>
      </c>
      <c r="AN2857">
        <v>0.99999998699541004</v>
      </c>
    </row>
    <row r="2858" spans="1:40" x14ac:dyDescent="0.25">
      <c r="A2858" t="str">
        <f>"20190312151554014"</f>
        <v>20190312151554014</v>
      </c>
      <c r="B2858" t="str">
        <f>"1552374954010943"</f>
        <v>1552374954010943</v>
      </c>
      <c r="C2858" t="s">
        <v>40</v>
      </c>
      <c r="D2858">
        <v>4.7403599999999999</v>
      </c>
      <c r="E2858">
        <v>0.50662050000000003</v>
      </c>
      <c r="F2858" t="s">
        <v>52</v>
      </c>
      <c r="G2858">
        <v>-420.0154</v>
      </c>
      <c r="H2858" s="1">
        <v>4.3275520000000002E-6</v>
      </c>
      <c r="I2858">
        <v>210.43340000000001</v>
      </c>
      <c r="J2858">
        <v>-440.03300000000002</v>
      </c>
      <c r="K2858">
        <v>1.110123</v>
      </c>
      <c r="L2858">
        <v>211.48169999999999</v>
      </c>
      <c r="M2858">
        <v>0.99914340000000001</v>
      </c>
      <c r="N2858">
        <v>0</v>
      </c>
      <c r="O2858">
        <v>-4.0010400000000002E-2</v>
      </c>
      <c r="P2858">
        <v>0.99929049999999997</v>
      </c>
      <c r="Q2858">
        <v>2.1311009999999998E-2</v>
      </c>
      <c r="R2858">
        <v>-3.105407E-2</v>
      </c>
      <c r="S2858">
        <v>3.0007929999999998</v>
      </c>
      <c r="T2858">
        <v>-0.1639661</v>
      </c>
      <c r="U2858">
        <v>-0.15650939999999999</v>
      </c>
      <c r="V2858">
        <v>-9.0164029999999992E-3</v>
      </c>
      <c r="W2858">
        <v>3.1865749999999998E-2</v>
      </c>
      <c r="X2858">
        <v>0.99945150000000005</v>
      </c>
      <c r="Y2858">
        <v>1.2126609999999999E-2</v>
      </c>
      <c r="Z2858">
        <v>1.8513780000000001E-3</v>
      </c>
      <c r="AA2858">
        <v>0.99992479999999995</v>
      </c>
      <c r="AB2858">
        <v>31</v>
      </c>
      <c r="AC2858">
        <v>20.017600000000002</v>
      </c>
      <c r="AD2858">
        <v>-1.1101186724480001</v>
      </c>
      <c r="AE2858">
        <v>-1.04829999999998</v>
      </c>
      <c r="AF2858">
        <v>0.24574986769169899</v>
      </c>
      <c r="AG2858">
        <v>-1.1101186724480001</v>
      </c>
      <c r="AH2858">
        <v>19.9822274985466</v>
      </c>
      <c r="AI2858">
        <v>93.179575651044502</v>
      </c>
      <c r="AJ2858">
        <v>89.295387843715005</v>
      </c>
      <c r="AK2858">
        <v>20.0145490148556</v>
      </c>
      <c r="AL2858">
        <v>88.173917903595907</v>
      </c>
      <c r="AM2858">
        <v>90.516871328388405</v>
      </c>
      <c r="AN2858">
        <v>1.00000001119918</v>
      </c>
    </row>
    <row r="2859" spans="1:40" x14ac:dyDescent="0.25">
      <c r="A2859" t="str">
        <f>"20190312151554036"</f>
        <v>20190312151554036</v>
      </c>
      <c r="B2859" t="str">
        <f>"1552374954030464"</f>
        <v>1552374954030464</v>
      </c>
      <c r="C2859" t="s">
        <v>40</v>
      </c>
      <c r="D2859">
        <v>4.6060150000000002</v>
      </c>
      <c r="E2859">
        <v>0.49196250000000002</v>
      </c>
      <c r="F2859" t="s">
        <v>52</v>
      </c>
      <c r="G2859">
        <v>-419.68599999999998</v>
      </c>
      <c r="H2859" s="1">
        <v>4.287613E-6</v>
      </c>
      <c r="I2859">
        <v>210.45570000000001</v>
      </c>
      <c r="J2859">
        <v>-439.73129999999998</v>
      </c>
      <c r="K2859">
        <v>1.1101859999999999</v>
      </c>
      <c r="L2859">
        <v>211.47069999999999</v>
      </c>
      <c r="M2859">
        <v>0.99918560000000001</v>
      </c>
      <c r="N2859">
        <v>0</v>
      </c>
      <c r="O2859">
        <v>-3.8938929999999997E-2</v>
      </c>
      <c r="P2859">
        <v>0.99932840000000001</v>
      </c>
      <c r="Q2859">
        <v>2.1335369999999999E-2</v>
      </c>
      <c r="R2859">
        <v>-2.9793969999999999E-2</v>
      </c>
      <c r="S2859">
        <v>3.0009459999999999</v>
      </c>
      <c r="T2859">
        <v>-0.1637294</v>
      </c>
      <c r="U2859">
        <v>-0.15132139999999999</v>
      </c>
      <c r="V2859">
        <v>-9.2098820000000008E-3</v>
      </c>
      <c r="W2859">
        <v>3.1904830000000002E-2</v>
      </c>
      <c r="X2859">
        <v>0.99944849999999996</v>
      </c>
      <c r="Y2859">
        <v>1.14714E-2</v>
      </c>
      <c r="Z2859">
        <v>1.8082479999999999E-3</v>
      </c>
      <c r="AA2859">
        <v>0.99993259999999995</v>
      </c>
      <c r="AB2859">
        <v>31</v>
      </c>
      <c r="AC2859">
        <v>20.045300000000001</v>
      </c>
      <c r="AD2859">
        <v>-1.1101817123869999</v>
      </c>
      <c r="AE2859">
        <v>-1.0149999999999799</v>
      </c>
      <c r="AF2859">
        <v>0.23293126879499301</v>
      </c>
      <c r="AG2859">
        <v>-1.1101817123869999</v>
      </c>
      <c r="AH2859">
        <v>20.0084052292646</v>
      </c>
      <c r="AI2859">
        <v>93.175629076882501</v>
      </c>
      <c r="AJ2859">
        <v>89.333011522181394</v>
      </c>
      <c r="AK2859">
        <v>20.040534928712901</v>
      </c>
      <c r="AL2859">
        <v>88.171677665452506</v>
      </c>
      <c r="AM2859">
        <v>90.527963604812598</v>
      </c>
      <c r="AN2859">
        <v>1.0000000221280101</v>
      </c>
    </row>
    <row r="2860" spans="1:40" x14ac:dyDescent="0.25">
      <c r="A2860" t="str">
        <f>"20190312151554059"</f>
        <v>20190312151554059</v>
      </c>
      <c r="B2860" t="str">
        <f>"1552374954049984"</f>
        <v>1552374954049984</v>
      </c>
      <c r="C2860" t="s">
        <v>40</v>
      </c>
      <c r="D2860">
        <v>4.6076230000000002</v>
      </c>
      <c r="E2860">
        <v>0.49102279999999998</v>
      </c>
      <c r="F2860" t="s">
        <v>52</v>
      </c>
      <c r="G2860">
        <v>-419.55169999999998</v>
      </c>
      <c r="H2860" s="1">
        <v>4.1931079999999999E-6</v>
      </c>
      <c r="I2860">
        <v>211.26429999999999</v>
      </c>
      <c r="J2860">
        <v>-439.41180000000003</v>
      </c>
      <c r="K2860">
        <v>1.110247</v>
      </c>
      <c r="L2860">
        <v>211.45949999999999</v>
      </c>
      <c r="M2860">
        <v>0.99923139999999999</v>
      </c>
      <c r="N2860">
        <v>0</v>
      </c>
      <c r="O2860">
        <v>-3.7738000000000001E-2</v>
      </c>
      <c r="P2860">
        <v>0.99936440000000004</v>
      </c>
      <c r="Q2860">
        <v>2.1191379999999999E-2</v>
      </c>
      <c r="R2860">
        <v>-2.86684E-2</v>
      </c>
      <c r="S2860">
        <v>3.0046689999999998</v>
      </c>
      <c r="T2860">
        <v>-0.1653019</v>
      </c>
      <c r="U2860">
        <v>-3.07312E-2</v>
      </c>
      <c r="V2860">
        <v>-9.1384329999999996E-3</v>
      </c>
      <c r="W2860">
        <v>3.177663E-2</v>
      </c>
      <c r="X2860">
        <v>0.99945320000000004</v>
      </c>
      <c r="Y2860">
        <v>-2.7419659999999998E-2</v>
      </c>
      <c r="Z2860">
        <v>2.8278380000000001E-3</v>
      </c>
      <c r="AA2860">
        <v>0.99961999999999995</v>
      </c>
      <c r="AB2860">
        <v>31</v>
      </c>
      <c r="AC2860">
        <v>19.860099999999999</v>
      </c>
      <c r="AD2860">
        <v>-1.1102428068920001</v>
      </c>
      <c r="AE2860">
        <v>-0.19519999999999901</v>
      </c>
      <c r="AF2860">
        <v>-0.55273444076791001</v>
      </c>
      <c r="AG2860">
        <v>-1.1102428068920001</v>
      </c>
      <c r="AH2860">
        <v>19.791472634385801</v>
      </c>
      <c r="AI2860">
        <v>93.209509056461499</v>
      </c>
      <c r="AJ2860">
        <v>91.599735471393402</v>
      </c>
      <c r="AK2860">
        <v>19.8302935805274</v>
      </c>
      <c r="AL2860">
        <v>88.179026637573003</v>
      </c>
      <c r="AM2860">
        <v>90.523865501429697</v>
      </c>
      <c r="AN2860">
        <v>0.99999998208104601</v>
      </c>
    </row>
    <row r="2861" spans="1:40" x14ac:dyDescent="0.25">
      <c r="A2861" t="str">
        <f>"20190312151554082"</f>
        <v>20190312151554082</v>
      </c>
      <c r="B2861" t="str">
        <f>"1552374954071456"</f>
        <v>1552374954071456</v>
      </c>
      <c r="C2861" t="s">
        <v>40</v>
      </c>
      <c r="D2861">
        <v>4.9392639999999997</v>
      </c>
      <c r="E2861">
        <v>0.49083169999999998</v>
      </c>
      <c r="F2861" t="s">
        <v>52</v>
      </c>
      <c r="G2861">
        <v>-420.2903</v>
      </c>
      <c r="H2861" s="1">
        <v>4.2001970000000002E-6</v>
      </c>
      <c r="I2861">
        <v>211.33240000000001</v>
      </c>
      <c r="J2861">
        <v>-439.0933</v>
      </c>
      <c r="K2861">
        <v>1.1103080000000001</v>
      </c>
      <c r="L2861">
        <v>211.4487</v>
      </c>
      <c r="M2861">
        <v>0.99927849999999996</v>
      </c>
      <c r="N2861">
        <v>0</v>
      </c>
      <c r="O2861">
        <v>-3.6466239999999997E-2</v>
      </c>
      <c r="P2861">
        <v>0.99940530000000005</v>
      </c>
      <c r="Q2861">
        <v>2.1113839999999998E-2</v>
      </c>
      <c r="R2861">
        <v>-2.7265540000000001E-2</v>
      </c>
      <c r="S2861">
        <v>3.0050659999999998</v>
      </c>
      <c r="T2861">
        <v>-0.17448150000000001</v>
      </c>
      <c r="U2861">
        <v>-1.9973749999999998E-2</v>
      </c>
      <c r="V2861">
        <v>-9.2742769999999992E-3</v>
      </c>
      <c r="W2861">
        <v>3.1713709999999999E-2</v>
      </c>
      <c r="X2861">
        <v>0.99945399999999995</v>
      </c>
      <c r="Y2861">
        <v>-2.971393E-2</v>
      </c>
      <c r="Z2861">
        <v>2.9771139999999999E-3</v>
      </c>
      <c r="AA2861">
        <v>0.99955400000000005</v>
      </c>
      <c r="AB2861">
        <v>31</v>
      </c>
      <c r="AC2861">
        <v>18.803000000000001</v>
      </c>
      <c r="AD2861">
        <v>-1.1103037998029901</v>
      </c>
      <c r="AE2861">
        <v>-0.116299999999995</v>
      </c>
      <c r="AF2861">
        <v>-0.56751197518007201</v>
      </c>
      <c r="AG2861">
        <v>-1.1103037998029901</v>
      </c>
      <c r="AH2861">
        <v>18.729430076635801</v>
      </c>
      <c r="AI2861">
        <v>93.391041588524601</v>
      </c>
      <c r="AJ2861">
        <v>91.735562433184498</v>
      </c>
      <c r="AK2861">
        <v>18.7708922367963</v>
      </c>
      <c r="AL2861">
        <v>88.182633601926199</v>
      </c>
      <c r="AM2861">
        <v>90.531651961275003</v>
      </c>
      <c r="AN2861">
        <v>1.0000000348659099</v>
      </c>
    </row>
    <row r="2862" spans="1:40" x14ac:dyDescent="0.25">
      <c r="A2862" t="str">
        <f>"20190312151554107"</f>
        <v>20190312151554107</v>
      </c>
      <c r="B2862" t="str">
        <f>"1552374954100268"</f>
        <v>1552374954100268</v>
      </c>
      <c r="C2862" t="s">
        <v>40</v>
      </c>
      <c r="D2862">
        <v>4.8362030000000003</v>
      </c>
      <c r="E2862">
        <v>0.49108750000000001</v>
      </c>
      <c r="F2862" t="s">
        <v>52</v>
      </c>
      <c r="G2862">
        <v>-419.30309999999997</v>
      </c>
      <c r="H2862" s="1">
        <v>4.1409270000000001E-6</v>
      </c>
      <c r="I2862">
        <v>211.35679999999999</v>
      </c>
      <c r="J2862">
        <v>-438.75450000000001</v>
      </c>
      <c r="K2862">
        <v>1.110376</v>
      </c>
      <c r="L2862">
        <v>211.43780000000001</v>
      </c>
      <c r="M2862">
        <v>0.99932969999999999</v>
      </c>
      <c r="N2862">
        <v>0</v>
      </c>
      <c r="O2862">
        <v>-3.5026920000000003E-2</v>
      </c>
      <c r="P2862">
        <v>0.99942509999999996</v>
      </c>
      <c r="Q2862">
        <v>2.159231E-2</v>
      </c>
      <c r="R2862">
        <v>-2.61458E-2</v>
      </c>
      <c r="S2862">
        <v>3.0049739999999998</v>
      </c>
      <c r="T2862">
        <v>-0.1685902</v>
      </c>
      <c r="U2862">
        <v>-1.396179E-2</v>
      </c>
      <c r="V2862">
        <v>-8.9610239999999997E-3</v>
      </c>
      <c r="W2862">
        <v>3.2207939999999997E-2</v>
      </c>
      <c r="X2862">
        <v>0.99944100000000002</v>
      </c>
      <c r="Y2862">
        <v>-3.028252E-2</v>
      </c>
      <c r="Z2862">
        <v>2.8121639999999998E-3</v>
      </c>
      <c r="AA2862">
        <v>0.99953740000000002</v>
      </c>
      <c r="AB2862">
        <v>31</v>
      </c>
      <c r="AC2862">
        <v>19.4514</v>
      </c>
      <c r="AD2862">
        <v>-1.1103718590729901</v>
      </c>
      <c r="AE2862">
        <v>-8.1000000000017197E-2</v>
      </c>
      <c r="AF2862">
        <v>-0.59846080088835096</v>
      </c>
      <c r="AG2862">
        <v>-1.1103718590729901</v>
      </c>
      <c r="AH2862">
        <v>19.379151603846999</v>
      </c>
      <c r="AI2862">
        <v>93.277745245259496</v>
      </c>
      <c r="AJ2862">
        <v>91.768827898930596</v>
      </c>
      <c r="AK2862">
        <v>19.420159574022801</v>
      </c>
      <c r="AL2862">
        <v>88.1543017376856</v>
      </c>
      <c r="AM2862">
        <v>90.513702257392893</v>
      </c>
      <c r="AN2862">
        <v>0.99999998191558503</v>
      </c>
    </row>
    <row r="2863" spans="1:40" x14ac:dyDescent="0.25">
      <c r="A2863" t="str">
        <f>"20190312151554126"</f>
        <v>20190312151554126</v>
      </c>
      <c r="B2863" t="str">
        <f>"1552374954120763"</f>
        <v>1552374954120763</v>
      </c>
      <c r="C2863" t="s">
        <v>40</v>
      </c>
      <c r="D2863">
        <v>4.6352039999999999</v>
      </c>
      <c r="E2863">
        <v>0.4912456</v>
      </c>
      <c r="F2863" t="s">
        <v>52</v>
      </c>
      <c r="G2863">
        <v>-418.34300000000002</v>
      </c>
      <c r="H2863" s="1">
        <v>3.971093E-6</v>
      </c>
      <c r="I2863">
        <v>211.35149999999999</v>
      </c>
      <c r="J2863">
        <v>-438.47390000000001</v>
      </c>
      <c r="K2863">
        <v>1.110439</v>
      </c>
      <c r="L2863">
        <v>211.42920000000001</v>
      </c>
      <c r="M2863">
        <v>0.99937310000000001</v>
      </c>
      <c r="N2863">
        <v>0</v>
      </c>
      <c r="O2863">
        <v>-3.3765660000000003E-2</v>
      </c>
      <c r="P2863">
        <v>0.99944849999999996</v>
      </c>
      <c r="Q2863">
        <v>2.1337729999999999E-2</v>
      </c>
      <c r="R2863">
        <v>-2.54542E-2</v>
      </c>
      <c r="S2863">
        <v>3.0049130000000002</v>
      </c>
      <c r="T2863">
        <v>-0.16346620000000001</v>
      </c>
      <c r="U2863">
        <v>-1.2710569999999999E-2</v>
      </c>
      <c r="V2863">
        <v>-8.3953980000000001E-3</v>
      </c>
      <c r="W2863">
        <v>3.1966790000000002E-2</v>
      </c>
      <c r="X2863">
        <v>0.9994537</v>
      </c>
      <c r="Y2863">
        <v>-2.944635E-2</v>
      </c>
      <c r="Z2863">
        <v>2.635624E-3</v>
      </c>
      <c r="AA2863">
        <v>0.99956290000000003</v>
      </c>
      <c r="AB2863">
        <v>31</v>
      </c>
      <c r="AC2863">
        <v>20.1309</v>
      </c>
      <c r="AD2863">
        <v>-1.110435028907</v>
      </c>
      <c r="AE2863">
        <v>-7.7700000000021405E-2</v>
      </c>
      <c r="AF2863">
        <v>-0.60028946514114301</v>
      </c>
      <c r="AG2863">
        <v>-1.110435028907</v>
      </c>
      <c r="AH2863">
        <v>20.0610045278024</v>
      </c>
      <c r="AI2863">
        <v>93.166840537981798</v>
      </c>
      <c r="AJ2863">
        <v>91.713961673647702</v>
      </c>
      <c r="AK2863">
        <v>20.100679492491999</v>
      </c>
      <c r="AL2863">
        <v>88.168125818813394</v>
      </c>
      <c r="AM2863">
        <v>90.481272478790999</v>
      </c>
      <c r="AN2863">
        <v>1.00000002840708</v>
      </c>
    </row>
    <row r="2864" spans="1:40" x14ac:dyDescent="0.25">
      <c r="A2864" t="str">
        <f>"20190312151554148"</f>
        <v>20190312151554148</v>
      </c>
      <c r="B2864" t="str">
        <f>"1552374954140284"</f>
        <v>1552374954140284</v>
      </c>
      <c r="C2864" t="s">
        <v>40</v>
      </c>
      <c r="D2864">
        <v>4.652552</v>
      </c>
      <c r="E2864">
        <v>0.49153079999999999</v>
      </c>
      <c r="F2864" t="s">
        <v>52</v>
      </c>
      <c r="G2864">
        <v>-418.53530000000001</v>
      </c>
      <c r="H2864" s="1">
        <v>4.0054120000000001E-6</v>
      </c>
      <c r="I2864">
        <v>211.34899999999999</v>
      </c>
      <c r="J2864">
        <v>-438.17329999999998</v>
      </c>
      <c r="K2864">
        <v>1.1105069999999999</v>
      </c>
      <c r="L2864">
        <v>211.4205</v>
      </c>
      <c r="M2864">
        <v>0.99941979999999997</v>
      </c>
      <c r="N2864">
        <v>0</v>
      </c>
      <c r="O2864">
        <v>-3.2348929999999998E-2</v>
      </c>
      <c r="P2864">
        <v>0.99948190000000003</v>
      </c>
      <c r="Q2864">
        <v>2.105216E-2</v>
      </c>
      <c r="R2864">
        <v>-2.4347580000000001E-2</v>
      </c>
      <c r="S2864">
        <v>3.0049130000000002</v>
      </c>
      <c r="T2864">
        <v>-0.1673521</v>
      </c>
      <c r="U2864">
        <v>-1.208496E-2</v>
      </c>
      <c r="V2864">
        <v>-8.0890289999999993E-3</v>
      </c>
      <c r="W2864">
        <v>3.1693699999999998E-2</v>
      </c>
      <c r="X2864">
        <v>0.99946489999999999</v>
      </c>
      <c r="Y2864">
        <v>-2.8237040000000001E-2</v>
      </c>
      <c r="Z2864">
        <v>2.585726E-3</v>
      </c>
      <c r="AA2864">
        <v>0.99959790000000004</v>
      </c>
      <c r="AB2864">
        <v>31</v>
      </c>
      <c r="AC2864">
        <v>19.637999999999899</v>
      </c>
      <c r="AD2864">
        <v>-1.1105029945879901</v>
      </c>
      <c r="AE2864">
        <v>-7.1499999999986102E-2</v>
      </c>
      <c r="AF2864">
        <v>-0.56204454563100603</v>
      </c>
      <c r="AG2864">
        <v>-1.1105029945879901</v>
      </c>
      <c r="AH2864">
        <v>19.567463007521201</v>
      </c>
      <c r="AI2864">
        <v>93.246859767714398</v>
      </c>
      <c r="AJ2864">
        <v>91.645278623524803</v>
      </c>
      <c r="AK2864">
        <v>19.607006898631202</v>
      </c>
      <c r="AL2864">
        <v>88.183780612191995</v>
      </c>
      <c r="AM2864">
        <v>90.463705231709795</v>
      </c>
      <c r="AN2864">
        <v>1.0000000046709301</v>
      </c>
    </row>
    <row r="2865" spans="1:40" x14ac:dyDescent="0.25">
      <c r="A2865" t="str">
        <f>"20190312151554169"</f>
        <v>20190312151554169</v>
      </c>
      <c r="B2865" t="str">
        <f>"1552374954160780"</f>
        <v>1552374954160780</v>
      </c>
      <c r="C2865" t="s">
        <v>40</v>
      </c>
      <c r="D2865">
        <v>4.8014429999999999</v>
      </c>
      <c r="E2865">
        <v>0.49157129999999999</v>
      </c>
      <c r="F2865" t="s">
        <v>52</v>
      </c>
      <c r="G2865">
        <v>-419.1771</v>
      </c>
      <c r="H2865" s="1">
        <v>4.1191610000000003E-6</v>
      </c>
      <c r="I2865">
        <v>211.3501</v>
      </c>
      <c r="J2865">
        <v>-437.87</v>
      </c>
      <c r="K2865">
        <v>1.110563</v>
      </c>
      <c r="L2865">
        <v>211.41220000000001</v>
      </c>
      <c r="M2865">
        <v>0.99946670000000004</v>
      </c>
      <c r="N2865">
        <v>0</v>
      </c>
      <c r="O2865">
        <v>-3.085918E-2</v>
      </c>
      <c r="P2865">
        <v>0.99951489999999998</v>
      </c>
      <c r="Q2865">
        <v>2.1097089999999999E-2</v>
      </c>
      <c r="R2865">
        <v>-2.2910389999999999E-2</v>
      </c>
      <c r="S2865">
        <v>3.0050349999999999</v>
      </c>
      <c r="T2865">
        <v>-0.17567160000000001</v>
      </c>
      <c r="U2865">
        <v>-1.113892E-2</v>
      </c>
      <c r="V2865">
        <v>-8.0413569999999903E-3</v>
      </c>
      <c r="W2865">
        <v>3.1750420000000001E-2</v>
      </c>
      <c r="X2865">
        <v>0.99946349999999995</v>
      </c>
      <c r="Y2865">
        <v>-2.7056899999999998E-2</v>
      </c>
      <c r="Z2865">
        <v>2.5924989999999998E-3</v>
      </c>
      <c r="AA2865">
        <v>0.99963049999999998</v>
      </c>
      <c r="AB2865">
        <v>31</v>
      </c>
      <c r="AC2865">
        <v>18.692900000000002</v>
      </c>
      <c r="AD2865">
        <v>-1.1105588808389999</v>
      </c>
      <c r="AE2865">
        <v>-6.2100000000015101E-2</v>
      </c>
      <c r="AF2865">
        <v>-0.51299935504536298</v>
      </c>
      <c r="AG2865">
        <v>-1.1105588808389999</v>
      </c>
      <c r="AH2865">
        <v>18.620191052278599</v>
      </c>
      <c r="AI2865">
        <v>93.411941246598602</v>
      </c>
      <c r="AJ2865">
        <v>91.578139799046298</v>
      </c>
      <c r="AK2865">
        <v>18.6603329067154</v>
      </c>
      <c r="AL2865">
        <v>88.180529187516996</v>
      </c>
      <c r="AM2865">
        <v>90.460973188577</v>
      </c>
      <c r="AN2865">
        <v>1.00000002021241</v>
      </c>
    </row>
    <row r="2866" spans="1:40" x14ac:dyDescent="0.25">
      <c r="A2866" t="str">
        <f>"20190312151554192"</f>
        <v>20190312151554192</v>
      </c>
      <c r="B2866" t="str">
        <f>"1552374954180299"</f>
        <v>1552374954180299</v>
      </c>
      <c r="C2866" t="s">
        <v>40</v>
      </c>
      <c r="D2866">
        <v>4.9689449999999997</v>
      </c>
      <c r="E2866">
        <v>0.49139539999999998</v>
      </c>
      <c r="F2866" t="s">
        <v>52</v>
      </c>
      <c r="G2866">
        <v>-419.36989999999997</v>
      </c>
      <c r="H2866" s="1">
        <v>4.1519040000000001E-6</v>
      </c>
      <c r="I2866">
        <v>211.36680000000001</v>
      </c>
      <c r="J2866">
        <v>-437.55</v>
      </c>
      <c r="K2866">
        <v>1.1106020000000001</v>
      </c>
      <c r="L2866">
        <v>211.40389999999999</v>
      </c>
      <c r="M2866">
        <v>0.99951520000000005</v>
      </c>
      <c r="N2866">
        <v>0</v>
      </c>
      <c r="O2866">
        <v>-2.9236959999999999E-2</v>
      </c>
      <c r="P2866">
        <v>0.99957050000000003</v>
      </c>
      <c r="Q2866">
        <v>2.0284369999999999E-2</v>
      </c>
      <c r="R2866">
        <v>-2.1144739999999999E-2</v>
      </c>
      <c r="S2866">
        <v>3.005096</v>
      </c>
      <c r="T2866">
        <v>-0.180396</v>
      </c>
      <c r="U2866">
        <v>-7.3699949999999998E-3</v>
      </c>
      <c r="V2866">
        <v>-8.1864429999999998E-3</v>
      </c>
      <c r="W2866">
        <v>3.0947809999999999E-2</v>
      </c>
      <c r="X2866">
        <v>0.99948749999999997</v>
      </c>
      <c r="Y2866">
        <v>-2.6686439999999999E-2</v>
      </c>
      <c r="Z2866">
        <v>2.5536830000000002E-3</v>
      </c>
      <c r="AA2866">
        <v>0.99964059999999999</v>
      </c>
      <c r="AB2866">
        <v>31</v>
      </c>
      <c r="AC2866">
        <v>18.180099999999999</v>
      </c>
      <c r="AD2866">
        <v>-1.1105978480959999</v>
      </c>
      <c r="AE2866">
        <v>-3.7099999999981002E-2</v>
      </c>
      <c r="AF2866">
        <v>-0.49263873505344002</v>
      </c>
      <c r="AG2866">
        <v>-1.1105978480959999</v>
      </c>
      <c r="AH2866">
        <v>18.105844489887598</v>
      </c>
      <c r="AI2866">
        <v>93.508783609680194</v>
      </c>
      <c r="AJ2866">
        <v>91.558566240674494</v>
      </c>
      <c r="AK2866">
        <v>18.1465623520122</v>
      </c>
      <c r="AL2866">
        <v>88.226537973164</v>
      </c>
      <c r="AM2866">
        <v>90.469278649895998</v>
      </c>
      <c r="AN2866">
        <v>1.0000000237245099</v>
      </c>
    </row>
    <row r="2867" spans="1:40" x14ac:dyDescent="0.25">
      <c r="A2867" t="str">
        <f>"20190312151554214"</f>
        <v>20190312151554214</v>
      </c>
      <c r="B2867" t="str">
        <f>"1552374954210556"</f>
        <v>1552374954210556</v>
      </c>
      <c r="C2867" t="s">
        <v>40</v>
      </c>
      <c r="D2867">
        <v>4.6541680000000003</v>
      </c>
      <c r="E2867">
        <v>0.49207390000000001</v>
      </c>
      <c r="F2867" t="s">
        <v>52</v>
      </c>
      <c r="G2867">
        <v>-419.68340000000001</v>
      </c>
      <c r="H2867" s="1">
        <v>4.2045070000000001E-6</v>
      </c>
      <c r="I2867">
        <v>211.40119999999999</v>
      </c>
      <c r="J2867">
        <v>-437.24209999999999</v>
      </c>
      <c r="K2867">
        <v>1.1106400000000001</v>
      </c>
      <c r="L2867">
        <v>211.3965</v>
      </c>
      <c r="M2867">
        <v>0.99956069999999997</v>
      </c>
      <c r="N2867">
        <v>0</v>
      </c>
      <c r="O2867">
        <v>-2.7639560000000001E-2</v>
      </c>
      <c r="P2867">
        <v>0.99961500000000003</v>
      </c>
      <c r="Q2867">
        <v>1.969423E-2</v>
      </c>
      <c r="R2867">
        <v>-1.955049E-2</v>
      </c>
      <c r="S2867">
        <v>3.005096</v>
      </c>
      <c r="T2867">
        <v>-0.1867983</v>
      </c>
      <c r="U2867">
        <v>-4.577637E-4</v>
      </c>
      <c r="V2867">
        <v>-8.1842069999999902E-3</v>
      </c>
      <c r="W2867">
        <v>3.03673E-2</v>
      </c>
      <c r="X2867">
        <v>0.99950530000000004</v>
      </c>
      <c r="Y2867">
        <v>-2.738268E-2</v>
      </c>
      <c r="Z2867">
        <v>2.5666059999999999E-3</v>
      </c>
      <c r="AA2867">
        <v>0.99962169999999895</v>
      </c>
      <c r="AB2867">
        <v>31</v>
      </c>
      <c r="AC2867">
        <v>17.558699999999899</v>
      </c>
      <c r="AD2867">
        <v>-1.110635795493</v>
      </c>
      <c r="AE2867">
        <v>4.6999999999854901E-3</v>
      </c>
      <c r="AF2867">
        <v>-0.48808792873455198</v>
      </c>
      <c r="AG2867">
        <v>-1.110635795493</v>
      </c>
      <c r="AH2867">
        <v>17.481917547255801</v>
      </c>
      <c r="AI2867">
        <v>93.633734677717101</v>
      </c>
      <c r="AJ2867">
        <v>91.599259080125805</v>
      </c>
      <c r="AK2867">
        <v>17.523960249482901</v>
      </c>
      <c r="AL2867">
        <v>88.259814345225706</v>
      </c>
      <c r="AM2867">
        <v>90.469142124799106</v>
      </c>
      <c r="AN2867">
        <v>0.99999999944079898</v>
      </c>
    </row>
    <row r="2868" spans="1:40" x14ac:dyDescent="0.25">
      <c r="A2868" t="str">
        <f>"20190312151554236"</f>
        <v>20190312151554236</v>
      </c>
      <c r="B2868" t="str">
        <f>"1552374954231052"</f>
        <v>1552374954231052</v>
      </c>
      <c r="C2868" t="s">
        <v>40</v>
      </c>
      <c r="D2868">
        <v>4.6636280000000001</v>
      </c>
      <c r="E2868">
        <v>0.49228680000000002</v>
      </c>
      <c r="F2868" t="s">
        <v>52</v>
      </c>
      <c r="G2868">
        <v>-419.26769999999999</v>
      </c>
      <c r="H2868" s="1">
        <v>4.1317209999999997E-6</v>
      </c>
      <c r="I2868">
        <v>211.39009999999999</v>
      </c>
      <c r="J2868">
        <v>-436.92180000000002</v>
      </c>
      <c r="K2868">
        <v>1.110663</v>
      </c>
      <c r="L2868">
        <v>211.38939999999999</v>
      </c>
      <c r="M2868">
        <v>0.99960579999999999</v>
      </c>
      <c r="N2868">
        <v>0</v>
      </c>
      <c r="O2868">
        <v>-2.5955120000000002E-2</v>
      </c>
      <c r="P2868">
        <v>0.99964969999999997</v>
      </c>
      <c r="Q2868">
        <v>1.984758E-2</v>
      </c>
      <c r="R2868">
        <v>-1.7504970000000002E-2</v>
      </c>
      <c r="S2868">
        <v>3.0048219999999999</v>
      </c>
      <c r="T2868">
        <v>-0.18566679999999999</v>
      </c>
      <c r="U2868">
        <v>-1.0681149999999999E-3</v>
      </c>
      <c r="V2868">
        <v>-8.5473319999999995E-3</v>
      </c>
      <c r="W2868">
        <v>3.0528389999999999E-2</v>
      </c>
      <c r="X2868">
        <v>0.99949739999999998</v>
      </c>
      <c r="Y2868">
        <v>-2.5503129999999999E-2</v>
      </c>
      <c r="Z2868">
        <v>2.3893479999999999E-3</v>
      </c>
      <c r="AA2868">
        <v>0.99967189999999995</v>
      </c>
      <c r="AB2868">
        <v>31</v>
      </c>
      <c r="AC2868">
        <v>17.6541</v>
      </c>
      <c r="AD2868">
        <v>-1.110658868279</v>
      </c>
      <c r="AE2868">
        <v>6.9999999999481501E-4</v>
      </c>
      <c r="AF2868">
        <v>-0.45713099939982399</v>
      </c>
      <c r="AG2868">
        <v>-1.110658868279</v>
      </c>
      <c r="AH2868">
        <v>17.578558602176798</v>
      </c>
      <c r="AI2868">
        <v>93.6140715036464</v>
      </c>
      <c r="AJ2868">
        <v>91.489642910674206</v>
      </c>
      <c r="AK2868">
        <v>17.6195418329327</v>
      </c>
      <c r="AL2868">
        <v>88.250580368334198</v>
      </c>
      <c r="AM2868">
        <v>90.4899603663509</v>
      </c>
      <c r="AN2868">
        <v>1.0000000460435301</v>
      </c>
    </row>
    <row r="2869" spans="1:40" x14ac:dyDescent="0.25">
      <c r="A2869" t="str">
        <f>"20190312151554258"</f>
        <v>20190312151554258</v>
      </c>
      <c r="B2869" t="str">
        <f>"1552374954250572"</f>
        <v>1552374954250572</v>
      </c>
      <c r="C2869" t="s">
        <v>40</v>
      </c>
      <c r="D2869">
        <v>4.904191</v>
      </c>
      <c r="E2869">
        <v>0.49235479999999998</v>
      </c>
      <c r="F2869" t="s">
        <v>52</v>
      </c>
      <c r="G2869">
        <v>-418.75310000000002</v>
      </c>
      <c r="H2869" s="1">
        <v>4.0386660000000003E-6</v>
      </c>
      <c r="I2869">
        <v>211.41050000000001</v>
      </c>
      <c r="J2869">
        <v>-436.62400000000002</v>
      </c>
      <c r="K2869">
        <v>1.1106769999999999</v>
      </c>
      <c r="L2869">
        <v>211.38329999999999</v>
      </c>
      <c r="M2869">
        <v>0.99964540000000002</v>
      </c>
      <c r="N2869">
        <v>0</v>
      </c>
      <c r="O2869">
        <v>-2.43815E-2</v>
      </c>
      <c r="P2869">
        <v>0.99966849999999996</v>
      </c>
      <c r="Q2869">
        <v>2.0125759999999999E-2</v>
      </c>
      <c r="R2869">
        <v>-1.6067350000000001E-2</v>
      </c>
      <c r="S2869">
        <v>3.0047299999999999</v>
      </c>
      <c r="T2869">
        <v>-0.18368039999999999</v>
      </c>
      <c r="U2869">
        <v>3.479004E-3</v>
      </c>
      <c r="V2869">
        <v>-8.4133349999999992E-3</v>
      </c>
      <c r="W2869">
        <v>3.0814359999999999E-2</v>
      </c>
      <c r="X2869">
        <v>0.99948970000000004</v>
      </c>
      <c r="Y2869">
        <v>-2.544737E-2</v>
      </c>
      <c r="Z2869">
        <v>2.266119E-3</v>
      </c>
      <c r="AA2869">
        <v>0.99967360000000005</v>
      </c>
      <c r="AB2869">
        <v>31</v>
      </c>
      <c r="AC2869">
        <v>17.870899999999999</v>
      </c>
      <c r="AD2869">
        <v>-1.1106729613339901</v>
      </c>
      <c r="AE2869">
        <v>2.72000000000218E-2</v>
      </c>
      <c r="AF2869">
        <v>-0.46115498176556502</v>
      </c>
      <c r="AG2869">
        <v>-1.1106729613339901</v>
      </c>
      <c r="AH2869">
        <v>17.7961842882074</v>
      </c>
      <c r="AI2869">
        <v>93.570044479233403</v>
      </c>
      <c r="AJ2869">
        <v>91.484381259225003</v>
      </c>
      <c r="AK2869">
        <v>17.8367719490967</v>
      </c>
      <c r="AL2869">
        <v>88.234187674265897</v>
      </c>
      <c r="AM2869">
        <v>90.482283311361698</v>
      </c>
      <c r="AN2869">
        <v>0.99999998469705997</v>
      </c>
    </row>
    <row r="2870" spans="1:40" x14ac:dyDescent="0.25">
      <c r="A2870" t="str">
        <f>"20190312151554283"</f>
        <v>20190312151554283</v>
      </c>
      <c r="B2870" t="str">
        <f>"1552374954280827"</f>
        <v>1552374954280827</v>
      </c>
      <c r="C2870" t="s">
        <v>40</v>
      </c>
      <c r="D2870">
        <v>5.0626300000000004</v>
      </c>
      <c r="E2870">
        <v>0.49282490000000001</v>
      </c>
      <c r="F2870" t="s">
        <v>52</v>
      </c>
      <c r="G2870">
        <v>-418.38799999999998</v>
      </c>
      <c r="H2870" s="1">
        <v>3.9724100000000001E-6</v>
      </c>
      <c r="I2870">
        <v>211.42760000000001</v>
      </c>
      <c r="J2870">
        <v>-436.26350000000002</v>
      </c>
      <c r="K2870">
        <v>1.110692</v>
      </c>
      <c r="L2870">
        <v>211.37649999999999</v>
      </c>
      <c r="M2870">
        <v>0.99968990000000002</v>
      </c>
      <c r="N2870">
        <v>0</v>
      </c>
      <c r="O2870">
        <v>-2.2474839999999999E-2</v>
      </c>
      <c r="P2870">
        <v>0.99969620000000003</v>
      </c>
      <c r="Q2870">
        <v>2.013392E-2</v>
      </c>
      <c r="R2870">
        <v>-1.422492E-2</v>
      </c>
      <c r="S2870">
        <v>3.004791</v>
      </c>
      <c r="T2870">
        <v>-0.18300839999999999</v>
      </c>
      <c r="U2870">
        <v>7.3089599999999998E-3</v>
      </c>
      <c r="V2870">
        <v>-8.3504200000000008E-3</v>
      </c>
      <c r="W2870">
        <v>3.0831520000000001E-2</v>
      </c>
      <c r="X2870">
        <v>0.99948970000000004</v>
      </c>
      <c r="Y2870">
        <v>-2.482024E-2</v>
      </c>
      <c r="Z2870">
        <v>2.1227189999999999E-3</v>
      </c>
      <c r="AA2870">
        <v>0.99968970000000001</v>
      </c>
      <c r="AB2870">
        <v>32</v>
      </c>
      <c r="AC2870">
        <v>17.875499999999899</v>
      </c>
      <c r="AD2870">
        <v>-1.11068802759</v>
      </c>
      <c r="AE2870">
        <v>5.1100000000019401E-2</v>
      </c>
      <c r="AF2870">
        <v>-0.45111757085177001</v>
      </c>
      <c r="AG2870">
        <v>-1.11068802759</v>
      </c>
      <c r="AH2870">
        <v>17.801111295499201</v>
      </c>
      <c r="AI2870">
        <v>93.569159265302702</v>
      </c>
      <c r="AJ2870">
        <v>91.451684750242805</v>
      </c>
      <c r="AK2870">
        <v>17.841432070103298</v>
      </c>
      <c r="AL2870">
        <v>88.233204014082105</v>
      </c>
      <c r="AM2870">
        <v>90.478676960570695</v>
      </c>
      <c r="AN2870">
        <v>0.999999986272888</v>
      </c>
    </row>
    <row r="2871" spans="1:40" x14ac:dyDescent="0.25">
      <c r="A2871" t="str">
        <f>"20190312151554305"</f>
        <v>20190312151554305</v>
      </c>
      <c r="B2871" t="str">
        <f>"1552374954300348"</f>
        <v>1552374954300348</v>
      </c>
      <c r="C2871" t="s">
        <v>40</v>
      </c>
      <c r="D2871">
        <v>4.8391799999999998</v>
      </c>
      <c r="E2871">
        <v>0.49303330000000001</v>
      </c>
      <c r="F2871" t="s">
        <v>52</v>
      </c>
      <c r="G2871">
        <v>-417.8048</v>
      </c>
      <c r="H2871" s="1">
        <v>3.8685100000000002E-6</v>
      </c>
      <c r="I2871">
        <v>211.43270000000001</v>
      </c>
      <c r="J2871">
        <v>-435.9631</v>
      </c>
      <c r="K2871">
        <v>1.1107</v>
      </c>
      <c r="L2871">
        <v>211.37129999999999</v>
      </c>
      <c r="M2871">
        <v>0.99972430000000001</v>
      </c>
      <c r="N2871">
        <v>0</v>
      </c>
      <c r="O2871">
        <v>-2.0888730000000001E-2</v>
      </c>
      <c r="P2871">
        <v>0.99970389999999998</v>
      </c>
      <c r="Q2871">
        <v>2.0550260000000001E-2</v>
      </c>
      <c r="R2871">
        <v>-1.3037730000000001E-2</v>
      </c>
      <c r="S2871">
        <v>3.0046689999999998</v>
      </c>
      <c r="T2871">
        <v>-0.18079500000000001</v>
      </c>
      <c r="U2871">
        <v>9.1552730000000002E-3</v>
      </c>
      <c r="V2871">
        <v>-7.9528380000000003E-3</v>
      </c>
      <c r="W2871">
        <v>3.124998E-2</v>
      </c>
      <c r="X2871">
        <v>0.99947989999999998</v>
      </c>
      <c r="Y2871">
        <v>-2.385524E-2</v>
      </c>
      <c r="Z2871">
        <v>1.9728290000000002E-3</v>
      </c>
      <c r="AA2871">
        <v>0.99971350000000003</v>
      </c>
      <c r="AB2871">
        <v>32</v>
      </c>
      <c r="AC2871">
        <v>18.158300000000001</v>
      </c>
      <c r="AD2871">
        <v>-1.1106961314899999</v>
      </c>
      <c r="AE2871">
        <v>6.1400000000020299E-2</v>
      </c>
      <c r="AF2871">
        <v>-0.43906949780241</v>
      </c>
      <c r="AG2871">
        <v>-1.1106961314899999</v>
      </c>
      <c r="AH2871">
        <v>18.085390042822699</v>
      </c>
      <c r="AI2871">
        <v>93.513316436450296</v>
      </c>
      <c r="AJ2871">
        <v>91.390729662942107</v>
      </c>
      <c r="AK2871">
        <v>18.124783058603398</v>
      </c>
      <c r="AL2871">
        <v>88.209216379114807</v>
      </c>
      <c r="AM2871">
        <v>90.455891545551395</v>
      </c>
      <c r="AN2871">
        <v>0.99999993969312995</v>
      </c>
    </row>
    <row r="2872" spans="1:40" x14ac:dyDescent="0.25">
      <c r="A2872" t="str">
        <f>"20190312151554325"</f>
        <v>20190312151554325</v>
      </c>
      <c r="B2872" t="str">
        <f>"1552374954320844"</f>
        <v>1552374954320844</v>
      </c>
      <c r="C2872" t="s">
        <v>40</v>
      </c>
      <c r="D2872">
        <v>4.8205799999999996</v>
      </c>
      <c r="E2872">
        <v>0.49306630000000001</v>
      </c>
      <c r="F2872" t="s">
        <v>52</v>
      </c>
      <c r="G2872">
        <v>-417.23140000000001</v>
      </c>
      <c r="H2872" s="1">
        <v>3.7659950000000001E-6</v>
      </c>
      <c r="I2872">
        <v>211.44200000000001</v>
      </c>
      <c r="J2872">
        <v>-435.67059999999998</v>
      </c>
      <c r="K2872">
        <v>1.1106990000000001</v>
      </c>
      <c r="L2872">
        <v>211.36670000000001</v>
      </c>
      <c r="M2872">
        <v>0.99975539999999996</v>
      </c>
      <c r="N2872">
        <v>0</v>
      </c>
      <c r="O2872">
        <v>-1.934874E-2</v>
      </c>
      <c r="P2872">
        <v>0.99972830000000001</v>
      </c>
      <c r="Q2872">
        <v>2.0500190000000001E-2</v>
      </c>
      <c r="R2872">
        <v>-1.1111660000000001E-2</v>
      </c>
      <c r="S2872">
        <v>3.0046689999999998</v>
      </c>
      <c r="T2872">
        <v>-0.1781625</v>
      </c>
      <c r="U2872">
        <v>1.133728E-2</v>
      </c>
      <c r="V2872">
        <v>-8.3393649999999996E-3</v>
      </c>
      <c r="W2872">
        <v>3.1190880000000001E-2</v>
      </c>
      <c r="X2872">
        <v>0.99947859999999999</v>
      </c>
      <c r="Y2872">
        <v>-2.3047729999999999E-2</v>
      </c>
      <c r="Z2872">
        <v>1.8290069999999999E-3</v>
      </c>
      <c r="AA2872">
        <v>0.99973270000000003</v>
      </c>
      <c r="AB2872">
        <v>32</v>
      </c>
      <c r="AC2872">
        <v>18.4391999999999</v>
      </c>
      <c r="AD2872">
        <v>-1.11069523400499</v>
      </c>
      <c r="AE2872">
        <v>7.5299999999998493E-2</v>
      </c>
      <c r="AF2872">
        <v>-0.430519625952277</v>
      </c>
      <c r="AG2872">
        <v>-1.11069523400499</v>
      </c>
      <c r="AH2872">
        <v>18.367648054457899</v>
      </c>
      <c r="AI2872">
        <v>93.459525207939905</v>
      </c>
      <c r="AJ2872">
        <v>91.3427109306635</v>
      </c>
      <c r="AK2872">
        <v>18.406234979039102</v>
      </c>
      <c r="AL2872">
        <v>88.212604218954297</v>
      </c>
      <c r="AM2872">
        <v>90.478048585311797</v>
      </c>
      <c r="AN2872">
        <v>0.999999943930867</v>
      </c>
    </row>
    <row r="2873" spans="1:40" x14ac:dyDescent="0.25">
      <c r="A2873" t="str">
        <f>"20190312151554349"</f>
        <v>20190312151554349</v>
      </c>
      <c r="B2873" t="str">
        <f>"1552374954340364"</f>
        <v>1552374954340364</v>
      </c>
      <c r="C2873" t="s">
        <v>40</v>
      </c>
      <c r="D2873">
        <v>4.6280939999999999</v>
      </c>
      <c r="E2873">
        <v>0.49255090000000001</v>
      </c>
      <c r="F2873" t="s">
        <v>52</v>
      </c>
      <c r="G2873">
        <v>-417.01639999999998</v>
      </c>
      <c r="H2873" s="1">
        <v>3.7253230000000001E-6</v>
      </c>
      <c r="I2873">
        <v>211.471</v>
      </c>
      <c r="J2873">
        <v>-435.34739999999999</v>
      </c>
      <c r="K2873">
        <v>1.110692</v>
      </c>
      <c r="L2873">
        <v>211.3622</v>
      </c>
      <c r="M2873">
        <v>0.99978699999999998</v>
      </c>
      <c r="N2873">
        <v>0</v>
      </c>
      <c r="O2873">
        <v>-1.764982E-2</v>
      </c>
      <c r="P2873">
        <v>0.99974819999999998</v>
      </c>
      <c r="Q2873">
        <v>2.0410749999999998E-2</v>
      </c>
      <c r="R2873">
        <v>-9.3248099999999993E-3</v>
      </c>
      <c r="S2873">
        <v>3.0046689999999998</v>
      </c>
      <c r="T2873">
        <v>-0.17890229999999999</v>
      </c>
      <c r="U2873">
        <v>1.6799930000000001E-2</v>
      </c>
      <c r="V2873">
        <v>-8.4275610000000001E-3</v>
      </c>
      <c r="W2873">
        <v>3.108412E-2</v>
      </c>
      <c r="X2873">
        <v>0.99948130000000002</v>
      </c>
      <c r="Y2873">
        <v>-2.3168589999999999E-2</v>
      </c>
      <c r="Z2873">
        <v>1.73912E-3</v>
      </c>
      <c r="AA2873">
        <v>0.99973009999999995</v>
      </c>
      <c r="AB2873">
        <v>32</v>
      </c>
      <c r="AC2873">
        <v>18.331</v>
      </c>
      <c r="AD2873">
        <v>-1.1106882746769999</v>
      </c>
      <c r="AE2873">
        <v>0.108799999999973</v>
      </c>
      <c r="AF2873">
        <v>-0.430759053370942</v>
      </c>
      <c r="AG2873">
        <v>-1.1106882746769999</v>
      </c>
      <c r="AH2873">
        <v>18.2591924336615</v>
      </c>
      <c r="AI2873">
        <v>93.479989501472502</v>
      </c>
      <c r="AJ2873">
        <v>91.351434280054207</v>
      </c>
      <c r="AK2873">
        <v>18.298013283825298</v>
      </c>
      <c r="AL2873">
        <v>88.218724286854993</v>
      </c>
      <c r="AM2873">
        <v>90.483102819339294</v>
      </c>
      <c r="AN2873">
        <v>1.00000005767513</v>
      </c>
    </row>
    <row r="2874" spans="1:40" x14ac:dyDescent="0.25">
      <c r="A2874" t="str">
        <f>"20190312151554370"</f>
        <v>20190312151554370</v>
      </c>
      <c r="B2874" t="str">
        <f>"1552374954360859"</f>
        <v>1552374954360859</v>
      </c>
      <c r="C2874" t="s">
        <v>40</v>
      </c>
      <c r="D2874">
        <v>4.9013609999999996</v>
      </c>
      <c r="E2874">
        <v>0.492033</v>
      </c>
      <c r="F2874" t="s">
        <v>52</v>
      </c>
      <c r="G2874">
        <v>-416.79289999999997</v>
      </c>
      <c r="H2874" s="1">
        <v>3.681025E-6</v>
      </c>
      <c r="I2874">
        <v>211.5241</v>
      </c>
      <c r="J2874">
        <v>-435.04320000000001</v>
      </c>
      <c r="K2874">
        <v>1.1106849999999999</v>
      </c>
      <c r="L2874">
        <v>211.35849999999999</v>
      </c>
      <c r="M2874">
        <v>0.99981410000000004</v>
      </c>
      <c r="N2874">
        <v>0</v>
      </c>
      <c r="O2874">
        <v>-1.605295E-2</v>
      </c>
      <c r="P2874">
        <v>0.99976659999999995</v>
      </c>
      <c r="Q2874">
        <v>2.0252860000000001E-2</v>
      </c>
      <c r="R2874">
        <v>-7.5189990000000002E-3</v>
      </c>
      <c r="S2874">
        <v>3.0046689999999998</v>
      </c>
      <c r="T2874">
        <v>-0.17986240000000001</v>
      </c>
      <c r="U2874">
        <v>2.62145999999999E-2</v>
      </c>
      <c r="V2874">
        <v>-8.6363569999999903E-3</v>
      </c>
      <c r="W2874">
        <v>3.0905869999999998E-2</v>
      </c>
      <c r="X2874">
        <v>0.99948499999999996</v>
      </c>
      <c r="Y2874">
        <v>-2.470346E-2</v>
      </c>
      <c r="Z2874">
        <v>1.6988190000000001E-3</v>
      </c>
      <c r="AA2874">
        <v>0.99969339999999995</v>
      </c>
      <c r="AB2874">
        <v>32</v>
      </c>
      <c r="AC2874">
        <v>18.250299999999999</v>
      </c>
      <c r="AD2874">
        <v>-1.110681318975</v>
      </c>
      <c r="AE2874">
        <v>0.16560000000001099</v>
      </c>
      <c r="AF2874">
        <v>-0.456874524016675</v>
      </c>
      <c r="AG2874">
        <v>-1.110681318975</v>
      </c>
      <c r="AH2874">
        <v>18.1779688506771</v>
      </c>
      <c r="AI2874">
        <v>93.495347721242496</v>
      </c>
      <c r="AJ2874">
        <v>91.439735780947402</v>
      </c>
      <c r="AK2874">
        <v>18.217598602977301</v>
      </c>
      <c r="AL2874">
        <v>88.228942087953399</v>
      </c>
      <c r="AM2874">
        <v>90.495069452613293</v>
      </c>
      <c r="AN2874">
        <v>1.00000001234384</v>
      </c>
    </row>
    <row r="2875" spans="1:40" x14ac:dyDescent="0.25">
      <c r="A2875" t="str">
        <f>"20190312151554392"</f>
        <v>20190312151554392</v>
      </c>
      <c r="B2875" t="str">
        <f>"1552374954380380"</f>
        <v>1552374954380380</v>
      </c>
      <c r="C2875" t="s">
        <v>40</v>
      </c>
      <c r="D2875">
        <v>4.9950549999999998</v>
      </c>
      <c r="E2875">
        <v>0.49154439999999999</v>
      </c>
      <c r="F2875" t="s">
        <v>52</v>
      </c>
      <c r="G2875">
        <v>-416.66539999999998</v>
      </c>
      <c r="H2875" s="1">
        <v>3.6538749999999998E-6</v>
      </c>
      <c r="I2875">
        <v>211.57599999999999</v>
      </c>
      <c r="J2875">
        <v>-434.73</v>
      </c>
      <c r="K2875">
        <v>1.1106769999999999</v>
      </c>
      <c r="L2875">
        <v>211.35509999999999</v>
      </c>
      <c r="M2875">
        <v>0.99983940000000004</v>
      </c>
      <c r="N2875">
        <v>0</v>
      </c>
      <c r="O2875">
        <v>-1.4410040000000001E-2</v>
      </c>
      <c r="P2875">
        <v>0.99978730000000005</v>
      </c>
      <c r="Q2875">
        <v>1.980935E-2</v>
      </c>
      <c r="R2875">
        <v>-5.7651550000000001E-3</v>
      </c>
      <c r="S2875">
        <v>3.0046390000000001</v>
      </c>
      <c r="T2875">
        <v>-0.18158859999999999</v>
      </c>
      <c r="U2875">
        <v>3.5568240000000001E-2</v>
      </c>
      <c r="V2875">
        <v>-8.7460980000000008E-3</v>
      </c>
      <c r="W2875">
        <v>3.043593E-2</v>
      </c>
      <c r="X2875">
        <v>0.99949840000000001</v>
      </c>
      <c r="Y2875">
        <v>-2.6171529999999998E-2</v>
      </c>
      <c r="Z2875">
        <v>1.6602120000000001E-3</v>
      </c>
      <c r="AA2875">
        <v>0.99965610000000005</v>
      </c>
      <c r="AB2875">
        <v>32</v>
      </c>
      <c r="AC2875">
        <v>18.064599999999999</v>
      </c>
      <c r="AD2875">
        <v>-1.110673346125</v>
      </c>
      <c r="AE2875">
        <v>0.22090000000000001</v>
      </c>
      <c r="AF2875">
        <v>-0.479391517145421</v>
      </c>
      <c r="AG2875">
        <v>-1.110673346125</v>
      </c>
      <c r="AH2875">
        <v>17.991539141454499</v>
      </c>
      <c r="AI2875">
        <v>93.531312514171901</v>
      </c>
      <c r="AJ2875">
        <v>91.5263070537206</v>
      </c>
      <c r="AK2875">
        <v>18.0321627151874</v>
      </c>
      <c r="AL2875">
        <v>88.255880223899993</v>
      </c>
      <c r="AM2875">
        <v>90.501353191672294</v>
      </c>
      <c r="AN2875">
        <v>0.99999994583387297</v>
      </c>
    </row>
    <row r="2876" spans="1:40" x14ac:dyDescent="0.25">
      <c r="A2876" t="str">
        <f>"20190312151554415"</f>
        <v>20190312151554415</v>
      </c>
      <c r="B2876" t="str">
        <f>"1552374954410636"</f>
        <v>1552374954410636</v>
      </c>
      <c r="C2876" t="s">
        <v>40</v>
      </c>
      <c r="D2876">
        <v>5.0066709999999999</v>
      </c>
      <c r="E2876">
        <v>0.49101840000000002</v>
      </c>
      <c r="F2876" t="s">
        <v>52</v>
      </c>
      <c r="G2876">
        <v>-416.76190000000003</v>
      </c>
      <c r="H2876" s="1">
        <v>3.6670580000000001E-6</v>
      </c>
      <c r="I2876">
        <v>211.62100000000001</v>
      </c>
      <c r="J2876">
        <v>-434.41329999999999</v>
      </c>
      <c r="K2876">
        <v>1.1106739999999999</v>
      </c>
      <c r="L2876">
        <v>211.35220000000001</v>
      </c>
      <c r="M2876">
        <v>0.99986229999999998</v>
      </c>
      <c r="N2876">
        <v>0</v>
      </c>
      <c r="O2876">
        <v>-1.274839E-2</v>
      </c>
      <c r="P2876">
        <v>0.99979720000000005</v>
      </c>
      <c r="Q2876">
        <v>1.9726810000000001E-2</v>
      </c>
      <c r="R2876">
        <v>-4.1055420000000002E-3</v>
      </c>
      <c r="S2876">
        <v>3.0046080000000002</v>
      </c>
      <c r="T2876">
        <v>-0.18572530000000001</v>
      </c>
      <c r="U2876">
        <v>4.4464110000000001E-2</v>
      </c>
      <c r="V2876">
        <v>-8.7437469999999996E-3</v>
      </c>
      <c r="W2876">
        <v>3.0318210000000002E-2</v>
      </c>
      <c r="X2876">
        <v>0.99950209999999995</v>
      </c>
      <c r="Y2876">
        <v>-2.7466790000000001E-2</v>
      </c>
      <c r="Z2876">
        <v>1.635329E-3</v>
      </c>
      <c r="AA2876">
        <v>0.99962139999999999</v>
      </c>
      <c r="AB2876">
        <v>32</v>
      </c>
      <c r="AC2876">
        <v>17.651399999999899</v>
      </c>
      <c r="AD2876">
        <v>-1.110670332942</v>
      </c>
      <c r="AE2876">
        <v>0.26879999999997001</v>
      </c>
      <c r="AF2876">
        <v>-0.49187080036297598</v>
      </c>
      <c r="AG2876">
        <v>-1.110670332942</v>
      </c>
      <c r="AH2876">
        <v>17.5769631403159</v>
      </c>
      <c r="AI2876">
        <v>93.614243480400503</v>
      </c>
      <c r="AJ2876">
        <v>91.602937192905102</v>
      </c>
      <c r="AK2876">
        <v>17.618886420791501</v>
      </c>
      <c r="AL2876">
        <v>88.262628374130202</v>
      </c>
      <c r="AM2876">
        <v>90.501216576672604</v>
      </c>
      <c r="AN2876">
        <v>1.0000000474368</v>
      </c>
    </row>
    <row r="2877" spans="1:40" x14ac:dyDescent="0.25">
      <c r="A2877" t="str">
        <f>"20190312151554437"</f>
        <v>20190312151554437</v>
      </c>
      <c r="B2877" t="str">
        <f>"1552374954430156"</f>
        <v>1552374954430156</v>
      </c>
      <c r="C2877" t="s">
        <v>40</v>
      </c>
      <c r="D2877">
        <v>4.8377790000000003</v>
      </c>
      <c r="E2877">
        <v>0.49085839999999997</v>
      </c>
      <c r="F2877" t="s">
        <v>52</v>
      </c>
      <c r="G2877">
        <v>-416.53530000000001</v>
      </c>
      <c r="H2877" s="1">
        <v>3.6223130000000002E-6</v>
      </c>
      <c r="I2877">
        <v>211.673</v>
      </c>
      <c r="J2877">
        <v>-434.0883</v>
      </c>
      <c r="K2877">
        <v>1.110668</v>
      </c>
      <c r="L2877">
        <v>211.34989999999999</v>
      </c>
      <c r="M2877">
        <v>0.99988299999999997</v>
      </c>
      <c r="N2877">
        <v>0</v>
      </c>
      <c r="O2877">
        <v>-1.104368E-2</v>
      </c>
      <c r="P2877">
        <v>0.9997994</v>
      </c>
      <c r="Q2877">
        <v>1.9860780000000001E-2</v>
      </c>
      <c r="R2877">
        <v>-2.583798E-3</v>
      </c>
      <c r="S2877">
        <v>3.0044559999999998</v>
      </c>
      <c r="T2877">
        <v>-0.18665129999999999</v>
      </c>
      <c r="U2877">
        <v>5.39093E-2</v>
      </c>
      <c r="V2877">
        <v>-8.5616609999999999E-3</v>
      </c>
      <c r="W2877">
        <v>3.0408290000000001E-2</v>
      </c>
      <c r="X2877">
        <v>0.99950090000000003</v>
      </c>
      <c r="Y2877">
        <v>-2.8904659999999999E-2</v>
      </c>
      <c r="Z2877">
        <v>1.5823279999999901E-3</v>
      </c>
      <c r="AA2877">
        <v>0.99958089999999999</v>
      </c>
      <c r="AB2877">
        <v>32</v>
      </c>
      <c r="AC2877">
        <v>17.552999999999901</v>
      </c>
      <c r="AD2877">
        <v>-1.110664377687</v>
      </c>
      <c r="AE2877">
        <v>0.32310000000000999</v>
      </c>
      <c r="AF2877">
        <v>-0.51488013363608198</v>
      </c>
      <c r="AG2877">
        <v>-1.110664377687</v>
      </c>
      <c r="AH2877">
        <v>17.478406200736899</v>
      </c>
      <c r="AI2877">
        <v>93.634396152792505</v>
      </c>
      <c r="AJ2877">
        <v>91.687335185568401</v>
      </c>
      <c r="AK2877">
        <v>17.521225991061002</v>
      </c>
      <c r="AL2877">
        <v>88.257464720379303</v>
      </c>
      <c r="AM2877">
        <v>90.490779991737597</v>
      </c>
      <c r="AN2877">
        <v>1.0000000076202999</v>
      </c>
    </row>
    <row r="2878" spans="1:40" x14ac:dyDescent="0.25">
      <c r="A2878" t="str">
        <f>"20190312151554459"</f>
        <v>20190312151554459</v>
      </c>
      <c r="B2878" t="str">
        <f>"1552374954450652"</f>
        <v>1552374954450652</v>
      </c>
      <c r="C2878" t="s">
        <v>40</v>
      </c>
      <c r="D2878">
        <v>4.6878989999999998</v>
      </c>
      <c r="E2878">
        <v>0.49066310000000002</v>
      </c>
      <c r="F2878" t="s">
        <v>52</v>
      </c>
      <c r="G2878">
        <v>-416.298</v>
      </c>
      <c r="H2878" s="1">
        <v>3.577799E-6</v>
      </c>
      <c r="I2878">
        <v>211.70070000000001</v>
      </c>
      <c r="J2878">
        <v>-433.79199999999997</v>
      </c>
      <c r="K2878">
        <v>1.1106640000000001</v>
      </c>
      <c r="L2878">
        <v>211.34819999999999</v>
      </c>
      <c r="M2878">
        <v>0.9998996</v>
      </c>
      <c r="N2878">
        <v>0</v>
      </c>
      <c r="O2878">
        <v>-9.4895280000000005E-3</v>
      </c>
      <c r="P2878">
        <v>0.99979530000000005</v>
      </c>
      <c r="Q2878">
        <v>2.0202500000000002E-2</v>
      </c>
      <c r="R2878">
        <v>-1.266992E-3</v>
      </c>
      <c r="S2878">
        <v>3.0045169999999999</v>
      </c>
      <c r="T2878">
        <v>-0.18757389999999999</v>
      </c>
      <c r="U2878">
        <v>5.9249879999999998E-2</v>
      </c>
      <c r="V2878">
        <v>-8.3256690000000008E-3</v>
      </c>
      <c r="W2878">
        <v>3.0707120000000001E-2</v>
      </c>
      <c r="X2878">
        <v>0.99949379999999999</v>
      </c>
      <c r="Y2878">
        <v>-2.9128600000000001E-2</v>
      </c>
      <c r="Z2878">
        <v>1.5001299999999999E-3</v>
      </c>
      <c r="AA2878">
        <v>0.99957450000000003</v>
      </c>
      <c r="AB2878">
        <v>32</v>
      </c>
      <c r="AC2878">
        <v>17.4939999999999</v>
      </c>
      <c r="AD2878">
        <v>-1.1106604222009999</v>
      </c>
      <c r="AE2878">
        <v>0.35250000000002002</v>
      </c>
      <c r="AF2878">
        <v>-0.51642240427917896</v>
      </c>
      <c r="AG2878">
        <v>-1.1106604222009999</v>
      </c>
      <c r="AH2878">
        <v>17.419681334437001</v>
      </c>
      <c r="AI2878">
        <v>93.646582225812196</v>
      </c>
      <c r="AJ2878">
        <v>91.698088493492804</v>
      </c>
      <c r="AK2878">
        <v>17.4626904131757</v>
      </c>
      <c r="AL2878">
        <v>88.240335097951302</v>
      </c>
      <c r="AM2878">
        <v>90.477256249769496</v>
      </c>
      <c r="AN2878">
        <v>1.00000005011071</v>
      </c>
    </row>
    <row r="2879" spans="1:40" x14ac:dyDescent="0.25">
      <c r="A2879" t="str">
        <f>"20190312151554483"</f>
        <v>20190312151554483</v>
      </c>
      <c r="B2879" t="str">
        <f>"1552374954470172"</f>
        <v>1552374954470172</v>
      </c>
      <c r="C2879" t="s">
        <v>40</v>
      </c>
      <c r="D2879">
        <v>4.7318119999999997</v>
      </c>
      <c r="E2879">
        <v>0.49051450000000002</v>
      </c>
      <c r="F2879" t="s">
        <v>52</v>
      </c>
      <c r="G2879">
        <v>-415.96850000000001</v>
      </c>
      <c r="H2879" s="1">
        <v>3.516565E-6</v>
      </c>
      <c r="I2879">
        <v>211.73269999999999</v>
      </c>
      <c r="J2879">
        <v>-433.44690000000003</v>
      </c>
      <c r="K2879">
        <v>1.1106579999999999</v>
      </c>
      <c r="L2879">
        <v>211.3468</v>
      </c>
      <c r="M2879">
        <v>0.99991560000000002</v>
      </c>
      <c r="N2879">
        <v>0</v>
      </c>
      <c r="O2879">
        <v>-7.6797619999999997E-3</v>
      </c>
      <c r="P2879">
        <v>0.99979300000000004</v>
      </c>
      <c r="Q2879">
        <v>2.0340799999999999E-2</v>
      </c>
      <c r="R2879">
        <v>1.876297E-4</v>
      </c>
      <c r="S2879">
        <v>3.0044559999999998</v>
      </c>
      <c r="T2879">
        <v>-0.18722130000000001</v>
      </c>
      <c r="U2879">
        <v>6.4819340000000003E-2</v>
      </c>
      <c r="V2879">
        <v>-7.9705839999999993E-3</v>
      </c>
      <c r="W2879">
        <v>3.079339E-2</v>
      </c>
      <c r="X2879">
        <v>0.99949399999999999</v>
      </c>
      <c r="Y2879">
        <v>-2.9175690000000001E-2</v>
      </c>
      <c r="Z2879">
        <v>1.386123E-3</v>
      </c>
      <c r="AA2879">
        <v>0.9995733</v>
      </c>
      <c r="AB2879">
        <v>32</v>
      </c>
      <c r="AC2879">
        <v>17.478400000000001</v>
      </c>
      <c r="AD2879">
        <v>-1.1106544834349901</v>
      </c>
      <c r="AE2879">
        <v>0.38589999999999203</v>
      </c>
      <c r="AF2879">
        <v>-0.51803519105135598</v>
      </c>
      <c r="AG2879">
        <v>-1.1106544834349901</v>
      </c>
      <c r="AH2879">
        <v>17.404676778422001</v>
      </c>
      <c r="AI2879">
        <v>93.649685214032999</v>
      </c>
      <c r="AJ2879">
        <v>91.704856126582598</v>
      </c>
      <c r="AK2879">
        <v>17.4477702759431</v>
      </c>
      <c r="AL2879">
        <v>88.235389781103095</v>
      </c>
      <c r="AM2879">
        <v>90.456902335601697</v>
      </c>
      <c r="AN2879">
        <v>1.00000000955649</v>
      </c>
    </row>
    <row r="2880" spans="1:40" x14ac:dyDescent="0.25">
      <c r="A2880" t="str">
        <f>"20190312151554505"</f>
        <v>20190312151554505</v>
      </c>
      <c r="B2880" t="str">
        <f>"1552374954500427"</f>
        <v>1552374954500427</v>
      </c>
      <c r="C2880" t="s">
        <v>40</v>
      </c>
      <c r="D2880">
        <v>4.8916399999999998</v>
      </c>
      <c r="E2880">
        <v>0.49046220000000001</v>
      </c>
      <c r="F2880" t="s">
        <v>52</v>
      </c>
      <c r="G2880">
        <v>-415.77890000000002</v>
      </c>
      <c r="H2880" s="1">
        <v>3.4805789999999998E-6</v>
      </c>
      <c r="I2880">
        <v>211.7595</v>
      </c>
      <c r="J2880">
        <v>-433.13099999999997</v>
      </c>
      <c r="K2880">
        <v>1.1106450000000001</v>
      </c>
      <c r="L2880">
        <v>211.346</v>
      </c>
      <c r="M2880">
        <v>0.99992749999999997</v>
      </c>
      <c r="N2880">
        <v>0</v>
      </c>
      <c r="O2880">
        <v>-6.0236630000000003E-3</v>
      </c>
      <c r="P2880">
        <v>0.99979720000000005</v>
      </c>
      <c r="Q2880">
        <v>2.0081020000000002E-2</v>
      </c>
      <c r="R2880">
        <v>1.5914290000000001E-3</v>
      </c>
      <c r="S2880">
        <v>3.004486</v>
      </c>
      <c r="T2880">
        <v>-0.18886939999999999</v>
      </c>
      <c r="U2880">
        <v>7.0190429999999998E-2</v>
      </c>
      <c r="V2880">
        <v>-7.7185379999999996E-3</v>
      </c>
      <c r="W2880">
        <v>3.0484069999999999E-2</v>
      </c>
      <c r="X2880">
        <v>0.99950550000000005</v>
      </c>
      <c r="Y2880">
        <v>-2.9307719999999999E-2</v>
      </c>
      <c r="Z2880">
        <v>1.2984069999999999E-3</v>
      </c>
      <c r="AA2880">
        <v>0.99956959999999995</v>
      </c>
      <c r="AB2880">
        <v>32</v>
      </c>
      <c r="AC2880">
        <v>17.352099999999901</v>
      </c>
      <c r="AD2880">
        <v>-1.110641519421</v>
      </c>
      <c r="AE2880">
        <v>0.41350000000002701</v>
      </c>
      <c r="AF2880">
        <v>-0.51590901042826198</v>
      </c>
      <c r="AG2880">
        <v>-1.110641519421</v>
      </c>
      <c r="AH2880">
        <v>17.278547825457501</v>
      </c>
      <c r="AI2880">
        <v>93.676201099375902</v>
      </c>
      <c r="AJ2880">
        <v>91.7102495894502</v>
      </c>
      <c r="AK2880">
        <v>17.3218908219722</v>
      </c>
      <c r="AL2880">
        <v>88.253120905525506</v>
      </c>
      <c r="AM2880">
        <v>90.442449652122093</v>
      </c>
      <c r="AN2880">
        <v>1.0000000494414301</v>
      </c>
    </row>
    <row r="2881" spans="1:40" x14ac:dyDescent="0.25">
      <c r="A2881" t="str">
        <f>"20190312151554538"</f>
        <v>20190312151554538</v>
      </c>
      <c r="B2881" t="str">
        <f>"1552374954530684"</f>
        <v>1552374954530684</v>
      </c>
      <c r="C2881" t="s">
        <v>40</v>
      </c>
      <c r="D2881">
        <v>4.7629799999999998</v>
      </c>
      <c r="E2881">
        <v>0.49044219999999999</v>
      </c>
      <c r="F2881" t="s">
        <v>52</v>
      </c>
      <c r="G2881">
        <v>-415.80399999999997</v>
      </c>
      <c r="H2881" s="1">
        <v>3.4835370000000002E-6</v>
      </c>
      <c r="I2881">
        <v>211.77670000000001</v>
      </c>
      <c r="J2881">
        <v>-432.66649999999998</v>
      </c>
      <c r="K2881">
        <v>1.1106339999999999</v>
      </c>
      <c r="L2881">
        <v>211.3458</v>
      </c>
      <c r="M2881">
        <v>0.99994000000000005</v>
      </c>
      <c r="N2881">
        <v>0</v>
      </c>
      <c r="O2881">
        <v>-3.5879649999999998E-3</v>
      </c>
      <c r="P2881">
        <v>0.99981180000000003</v>
      </c>
      <c r="Q2881">
        <v>1.91237E-2</v>
      </c>
      <c r="R2881">
        <v>3.2978349999999998E-3</v>
      </c>
      <c r="S2881">
        <v>3.0043950000000001</v>
      </c>
      <c r="T2881">
        <v>-0.19257840000000001</v>
      </c>
      <c r="U2881">
        <v>7.4691770000000005E-2</v>
      </c>
      <c r="V2881">
        <v>-6.9862149999999996E-3</v>
      </c>
      <c r="W2881">
        <v>2.9453139999999999E-2</v>
      </c>
      <c r="X2881">
        <v>0.99954180000000004</v>
      </c>
      <c r="Y2881">
        <v>-2.83745E-2</v>
      </c>
      <c r="Z2881">
        <v>1.138043E-3</v>
      </c>
      <c r="AA2881">
        <v>0.9995967</v>
      </c>
      <c r="AB2881">
        <v>32</v>
      </c>
      <c r="AC2881">
        <v>16.862499999999901</v>
      </c>
      <c r="AD2881">
        <v>-1.1106305164629999</v>
      </c>
      <c r="AE2881">
        <v>0.430900000000008</v>
      </c>
      <c r="AF2881">
        <v>-0.48928138120276898</v>
      </c>
      <c r="AG2881">
        <v>-1.1106305164629999</v>
      </c>
      <c r="AH2881">
        <v>16.788065248213002</v>
      </c>
      <c r="AI2881">
        <v>93.783340006367098</v>
      </c>
      <c r="AJ2881">
        <v>91.669389795926804</v>
      </c>
      <c r="AK2881">
        <v>16.831875450832701</v>
      </c>
      <c r="AL2881">
        <v>88.312215390877995</v>
      </c>
      <c r="AM2881">
        <v>90.400457605972804</v>
      </c>
      <c r="AN2881">
        <v>1.00000005230156</v>
      </c>
    </row>
    <row r="2882" spans="1:40" x14ac:dyDescent="0.25">
      <c r="A2882" t="str">
        <f>"20190312151554559"</f>
        <v>20190312151554559</v>
      </c>
      <c r="B2882" t="str">
        <f>"1552374954550204"</f>
        <v>1552374954550204</v>
      </c>
      <c r="C2882" t="s">
        <v>40</v>
      </c>
      <c r="D2882">
        <v>4.7984999999999998</v>
      </c>
      <c r="E2882">
        <v>0.49034230000000001</v>
      </c>
      <c r="F2882" t="s">
        <v>52</v>
      </c>
      <c r="G2882">
        <v>-415.93740000000003</v>
      </c>
      <c r="H2882" s="1">
        <v>3.5058930000000002E-6</v>
      </c>
      <c r="I2882">
        <v>211.79159999999999</v>
      </c>
      <c r="J2882">
        <v>-432.35320000000002</v>
      </c>
      <c r="K2882">
        <v>1.110635</v>
      </c>
      <c r="L2882">
        <v>211.34630000000001</v>
      </c>
      <c r="M2882">
        <v>0.99994510000000003</v>
      </c>
      <c r="N2882">
        <v>0</v>
      </c>
      <c r="O2882">
        <v>-1.9405410000000001E-3</v>
      </c>
      <c r="P2882">
        <v>0.99981209999999998</v>
      </c>
      <c r="Q2882">
        <v>1.8952549999999999E-2</v>
      </c>
      <c r="R2882">
        <v>4.0931120000000003E-3</v>
      </c>
      <c r="S2882">
        <v>3.0041500000000001</v>
      </c>
      <c r="T2882">
        <v>-0.19944319999999999</v>
      </c>
      <c r="U2882">
        <v>8.0062869999999994E-2</v>
      </c>
      <c r="V2882">
        <v>-6.1340580000000004E-3</v>
      </c>
      <c r="W2882">
        <v>2.9231500000000001E-2</v>
      </c>
      <c r="X2882">
        <v>0.9995539</v>
      </c>
      <c r="Y2882">
        <v>-2.8514210000000002E-2</v>
      </c>
      <c r="Z2882">
        <v>1.073985E-3</v>
      </c>
      <c r="AA2882">
        <v>0.99959279999999995</v>
      </c>
      <c r="AB2882">
        <v>32</v>
      </c>
      <c r="AC2882">
        <v>16.415799999999901</v>
      </c>
      <c r="AD2882">
        <v>-1.1106314941069999</v>
      </c>
      <c r="AE2882">
        <v>0.44529999999997399</v>
      </c>
      <c r="AF2882">
        <v>-0.474983806210173</v>
      </c>
      <c r="AG2882">
        <v>-1.1106314941069999</v>
      </c>
      <c r="AH2882">
        <v>16.340164961564302</v>
      </c>
      <c r="AI2882">
        <v>93.886743494847593</v>
      </c>
      <c r="AJ2882">
        <v>91.665032522963699</v>
      </c>
      <c r="AK2882">
        <v>16.384752146523301</v>
      </c>
      <c r="AL2882">
        <v>88.324919898491004</v>
      </c>
      <c r="AM2882">
        <v>90.351608075180195</v>
      </c>
      <c r="AN2882">
        <v>1.0000000531325</v>
      </c>
    </row>
    <row r="2883" spans="1:40" x14ac:dyDescent="0.25">
      <c r="A2883" t="str">
        <f>"20190312151554583"</f>
        <v>20190312151554583</v>
      </c>
      <c r="B2883" t="str">
        <f>"1552374954570700"</f>
        <v>1552374954570700</v>
      </c>
      <c r="C2883" t="s">
        <v>40</v>
      </c>
      <c r="D2883">
        <v>4.8216239999999999</v>
      </c>
      <c r="E2883">
        <v>0.49030069999999998</v>
      </c>
      <c r="F2883" t="s">
        <v>52</v>
      </c>
      <c r="G2883">
        <v>-415.66359999999997</v>
      </c>
      <c r="H2883" s="1">
        <v>3.4556579999999999E-6</v>
      </c>
      <c r="I2883">
        <v>211.8107</v>
      </c>
      <c r="J2883">
        <v>-432.02409999999998</v>
      </c>
      <c r="K2883">
        <v>1.110635</v>
      </c>
      <c r="L2883">
        <v>211.34739999999999</v>
      </c>
      <c r="M2883">
        <v>0.99994740000000004</v>
      </c>
      <c r="N2883">
        <v>0</v>
      </c>
      <c r="O2883">
        <v>-2.0248999999999999E-4</v>
      </c>
      <c r="P2883">
        <v>0.99982230000000005</v>
      </c>
      <c r="Q2883">
        <v>1.8128620000000002E-2</v>
      </c>
      <c r="R2883">
        <v>5.174189E-3</v>
      </c>
      <c r="S2883">
        <v>3.0040279999999999</v>
      </c>
      <c r="T2883">
        <v>-0.19990749999999999</v>
      </c>
      <c r="U2883">
        <v>8.3587649999999999E-2</v>
      </c>
      <c r="V2883">
        <v>-5.4750240000000002E-3</v>
      </c>
      <c r="W2883">
        <v>2.8356389999999999E-2</v>
      </c>
      <c r="X2883">
        <v>0.99958290000000005</v>
      </c>
      <c r="Y2883">
        <v>-2.7954619999999999E-2</v>
      </c>
      <c r="Z2883">
        <v>9.4239270000000003E-4</v>
      </c>
      <c r="AA2883">
        <v>0.99960879999999996</v>
      </c>
      <c r="AB2883">
        <v>32</v>
      </c>
      <c r="AC2883">
        <v>16.360499999999998</v>
      </c>
      <c r="AD2883">
        <v>-1.1106315443420001</v>
      </c>
      <c r="AE2883">
        <v>0.46330000000000299</v>
      </c>
      <c r="AF2883">
        <v>-0.46447425059900799</v>
      </c>
      <c r="AG2883">
        <v>-1.1106315443420001</v>
      </c>
      <c r="AH2883">
        <v>16.2854168372366</v>
      </c>
      <c r="AI2883">
        <v>93.899831082058299</v>
      </c>
      <c r="AJ2883">
        <v>91.633682586698797</v>
      </c>
      <c r="AK2883">
        <v>16.329851203219999</v>
      </c>
      <c r="AL2883">
        <v>88.375080747188605</v>
      </c>
      <c r="AM2883">
        <v>90.313823526729493</v>
      </c>
      <c r="AN2883">
        <v>1.00000001735702</v>
      </c>
    </row>
    <row r="2884" spans="1:40" x14ac:dyDescent="0.25">
      <c r="A2884" t="str">
        <f>"20190312151554604"</f>
        <v>20190312151554604</v>
      </c>
      <c r="B2884" t="str">
        <f>"1552374954600600"</f>
        <v>1552374954600600</v>
      </c>
      <c r="C2884" t="s">
        <v>40</v>
      </c>
      <c r="D2884">
        <v>4.7978969999999999</v>
      </c>
      <c r="E2884">
        <v>0.49025849999999999</v>
      </c>
      <c r="F2884" t="s">
        <v>52</v>
      </c>
      <c r="G2884">
        <v>-415.6266</v>
      </c>
      <c r="H2884" s="1">
        <v>3.4479590000000002E-6</v>
      </c>
      <c r="I2884">
        <v>211.8237</v>
      </c>
      <c r="J2884">
        <v>-431.71030000000002</v>
      </c>
      <c r="K2884">
        <v>1.110646</v>
      </c>
      <c r="L2884">
        <v>211.34899999999999</v>
      </c>
      <c r="M2884">
        <v>0.99994700000000003</v>
      </c>
      <c r="N2884">
        <v>0</v>
      </c>
      <c r="O2884">
        <v>1.474314E-3</v>
      </c>
      <c r="P2884">
        <v>0.99982859999999996</v>
      </c>
      <c r="Q2884">
        <v>1.754327E-2</v>
      </c>
      <c r="R2884">
        <v>5.9235370000000004E-3</v>
      </c>
      <c r="S2884">
        <v>3.003784</v>
      </c>
      <c r="T2884">
        <v>-0.2034513</v>
      </c>
      <c r="U2884">
        <v>8.7249759999999996E-2</v>
      </c>
      <c r="V2884">
        <v>-4.5466109999999999E-3</v>
      </c>
      <c r="W2884">
        <v>2.7727689999999999E-2</v>
      </c>
      <c r="X2884">
        <v>0.99960519999999997</v>
      </c>
      <c r="Y2884">
        <v>-2.7500989999999999E-2</v>
      </c>
      <c r="Z2884">
        <v>8.3035529999999995E-4</v>
      </c>
      <c r="AA2884">
        <v>0.99962150000000005</v>
      </c>
      <c r="AB2884">
        <v>32</v>
      </c>
      <c r="AC2884">
        <v>16.0837</v>
      </c>
      <c r="AD2884">
        <v>-1.1106425520409999</v>
      </c>
      <c r="AE2884">
        <v>0.47469999999998402</v>
      </c>
      <c r="AF2884">
        <v>-0.44884738805117602</v>
      </c>
      <c r="AG2884">
        <v>-1.1106425520409999</v>
      </c>
      <c r="AH2884">
        <v>16.008115047232401</v>
      </c>
      <c r="AI2884">
        <v>93.967265390625698</v>
      </c>
      <c r="AJ2884">
        <v>91.606080712589105</v>
      </c>
      <c r="AK2884">
        <v>16.052873207672</v>
      </c>
      <c r="AL2884">
        <v>88.411116789097406</v>
      </c>
      <c r="AM2884">
        <v>90.260602710940802</v>
      </c>
      <c r="AN2884">
        <v>1.0000000261656801</v>
      </c>
    </row>
    <row r="2885" spans="1:40" x14ac:dyDescent="0.25">
      <c r="A2885" t="str">
        <f>"20190312151554627"</f>
        <v>20190312151554627</v>
      </c>
      <c r="B2885" t="str">
        <f>"1552374954620120"</f>
        <v>1552374954620120</v>
      </c>
      <c r="C2885" t="s">
        <v>40</v>
      </c>
      <c r="D2885">
        <v>5.1936999999999998</v>
      </c>
      <c r="E2885">
        <v>0.49027369999999998</v>
      </c>
      <c r="F2885" t="s">
        <v>52</v>
      </c>
      <c r="G2885">
        <v>-415.70569999999998</v>
      </c>
      <c r="H2885" s="1">
        <v>3.461669E-6</v>
      </c>
      <c r="I2885">
        <v>211.82740000000001</v>
      </c>
      <c r="J2885">
        <v>-431.37959999999998</v>
      </c>
      <c r="K2885">
        <v>1.1106579999999999</v>
      </c>
      <c r="L2885">
        <v>211.35130000000001</v>
      </c>
      <c r="M2885">
        <v>0.99994309999999997</v>
      </c>
      <c r="N2885">
        <v>0</v>
      </c>
      <c r="O2885">
        <v>3.2726650000000001E-3</v>
      </c>
      <c r="P2885">
        <v>0.99982349999999998</v>
      </c>
      <c r="Q2885">
        <v>1.742341E-2</v>
      </c>
      <c r="R2885">
        <v>7.0282649999999997E-3</v>
      </c>
      <c r="S2885">
        <v>3.0036619999999998</v>
      </c>
      <c r="T2885">
        <v>-0.20843980000000001</v>
      </c>
      <c r="U2885">
        <v>8.9782710000000002E-2</v>
      </c>
      <c r="V2885">
        <v>-3.8545329999999998E-3</v>
      </c>
      <c r="W2885">
        <v>2.7565630000000001E-2</v>
      </c>
      <c r="X2885">
        <v>0.99961259999999996</v>
      </c>
      <c r="Y2885">
        <v>-2.6550279999999999E-2</v>
      </c>
      <c r="Z2885">
        <v>6.9312729999999997E-4</v>
      </c>
      <c r="AA2885">
        <v>0.99964730000000002</v>
      </c>
      <c r="AB2885">
        <v>32</v>
      </c>
      <c r="AC2885">
        <v>15.6739</v>
      </c>
      <c r="AD2885">
        <v>-1.110654538331</v>
      </c>
      <c r="AE2885">
        <v>0.47610000000000202</v>
      </c>
      <c r="AF2885">
        <v>-0.42267900059775698</v>
      </c>
      <c r="AG2885">
        <v>-1.110654538331</v>
      </c>
      <c r="AH2885">
        <v>15.5971307921633</v>
      </c>
      <c r="AI2885">
        <v>94.071604484404702</v>
      </c>
      <c r="AJ2885">
        <v>91.5523237746973</v>
      </c>
      <c r="AK2885">
        <v>15.6423367815972</v>
      </c>
      <c r="AL2885">
        <v>88.420405708613501</v>
      </c>
      <c r="AM2885">
        <v>90.220932967740893</v>
      </c>
      <c r="AN2885">
        <v>1.00000003573035</v>
      </c>
    </row>
    <row r="2886" spans="1:40" x14ac:dyDescent="0.25">
      <c r="A2886" t="str">
        <f>"20190312151554650"</f>
        <v>20190312151554650</v>
      </c>
      <c r="B2886" t="str">
        <f>"1552374954640616"</f>
        <v>1552374954640616</v>
      </c>
      <c r="C2886" t="s">
        <v>40</v>
      </c>
      <c r="D2886">
        <v>5.0903749999999999</v>
      </c>
      <c r="E2886">
        <v>0.50121490000000002</v>
      </c>
      <c r="F2886" t="s">
        <v>52</v>
      </c>
      <c r="G2886">
        <v>-415.5385</v>
      </c>
      <c r="H2886" s="1">
        <v>3.4307160000000001E-6</v>
      </c>
      <c r="I2886">
        <v>211.84209999999999</v>
      </c>
      <c r="J2886">
        <v>-431.06619999999998</v>
      </c>
      <c r="K2886">
        <v>1.110689</v>
      </c>
      <c r="L2886">
        <v>211.35400000000001</v>
      </c>
      <c r="M2886">
        <v>0.99993609999999999</v>
      </c>
      <c r="N2886">
        <v>0</v>
      </c>
      <c r="O2886">
        <v>5.0214730000000003E-3</v>
      </c>
      <c r="P2886">
        <v>0.99980500000000005</v>
      </c>
      <c r="Q2886">
        <v>1.7842239999999999E-2</v>
      </c>
      <c r="R2886">
        <v>8.4606439999999998E-3</v>
      </c>
      <c r="S2886">
        <v>3.0035400000000001</v>
      </c>
      <c r="T2886">
        <v>-0.21058399999999999</v>
      </c>
      <c r="U2886">
        <v>9.3063350000000003E-2</v>
      </c>
      <c r="V2886">
        <v>-3.5418110000000002E-3</v>
      </c>
      <c r="W2886">
        <v>2.7948379999999998E-2</v>
      </c>
      <c r="X2886">
        <v>0.99960309999999997</v>
      </c>
      <c r="Y2886">
        <v>-2.589878E-2</v>
      </c>
      <c r="Z2886">
        <v>5.5501759999999998E-4</v>
      </c>
      <c r="AA2886">
        <v>0.99966440000000001</v>
      </c>
      <c r="AB2886">
        <v>32</v>
      </c>
      <c r="AC2886">
        <v>15.5276999999999</v>
      </c>
      <c r="AD2886">
        <v>-1.1106855692839901</v>
      </c>
      <c r="AE2886">
        <v>0.488099999999974</v>
      </c>
      <c r="AF2886">
        <v>-0.40803230720547501</v>
      </c>
      <c r="AG2886">
        <v>-1.1106855692839901</v>
      </c>
      <c r="AH2886">
        <v>15.450979326436901</v>
      </c>
      <c r="AI2886">
        <v>94.110176770446003</v>
      </c>
      <c r="AJ2886">
        <v>91.512725906824798</v>
      </c>
      <c r="AK2886">
        <v>15.4962213117754</v>
      </c>
      <c r="AL2886">
        <v>88.398467250681904</v>
      </c>
      <c r="AM2886">
        <v>90.203010547801597</v>
      </c>
      <c r="AN2886">
        <v>1.0000000069496899</v>
      </c>
    </row>
    <row r="2887" spans="1:40" x14ac:dyDescent="0.25">
      <c r="A2887" t="str">
        <f>"20190312151554672"</f>
        <v>20190312151554672</v>
      </c>
      <c r="B2887" t="str">
        <f>"1552374954660136"</f>
        <v>1552374954660136</v>
      </c>
      <c r="C2887" t="s">
        <v>40</v>
      </c>
      <c r="D2887">
        <v>5.1420649999999997</v>
      </c>
      <c r="E2887">
        <v>0.495587</v>
      </c>
      <c r="F2887" t="s">
        <v>52</v>
      </c>
      <c r="G2887">
        <v>-416.85840000000002</v>
      </c>
      <c r="H2887" s="1">
        <v>3.7033920000000002E-6</v>
      </c>
      <c r="I2887">
        <v>211.40129999999999</v>
      </c>
      <c r="J2887">
        <v>-430.74329999999998</v>
      </c>
      <c r="K2887">
        <v>1.1107370000000001</v>
      </c>
      <c r="L2887">
        <v>211.35749999999999</v>
      </c>
      <c r="M2887">
        <v>0.99992539999999996</v>
      </c>
      <c r="N2887">
        <v>0</v>
      </c>
      <c r="O2887">
        <v>6.8797889999999999E-3</v>
      </c>
      <c r="P2887">
        <v>0.99979359999999995</v>
      </c>
      <c r="Q2887">
        <v>1.762238E-2</v>
      </c>
      <c r="R2887">
        <v>1.010399E-2</v>
      </c>
      <c r="S2887">
        <v>3.0047609999999998</v>
      </c>
      <c r="T2887">
        <v>-0.23489640000000001</v>
      </c>
      <c r="U2887">
        <v>9.9945069999999997E-3</v>
      </c>
      <c r="V2887">
        <v>-3.3292489999999998E-3</v>
      </c>
      <c r="W2887">
        <v>2.7696229999999999E-2</v>
      </c>
      <c r="X2887">
        <v>0.99961080000000002</v>
      </c>
      <c r="Y2887">
        <v>3.5222370000000001E-3</v>
      </c>
      <c r="Z2887">
        <v>-6.7449259999999896E-4</v>
      </c>
      <c r="AA2887">
        <v>0.99999360000000004</v>
      </c>
      <c r="AB2887">
        <v>32</v>
      </c>
      <c r="AC2887">
        <v>13.884899999999901</v>
      </c>
      <c r="AD2887">
        <v>-1.1107332966079999</v>
      </c>
      <c r="AE2887">
        <v>4.3800000000004502E-2</v>
      </c>
      <c r="AF2887">
        <v>5.1402148864249098E-2</v>
      </c>
      <c r="AG2887">
        <v>-1.1107332966079999</v>
      </c>
      <c r="AH2887">
        <v>13.796584784670999</v>
      </c>
      <c r="AI2887">
        <v>94.602800565588893</v>
      </c>
      <c r="AJ2887">
        <v>89.786533217687605</v>
      </c>
      <c r="AK2887">
        <v>13.841319386449999</v>
      </c>
      <c r="AL2887">
        <v>88.412919899009694</v>
      </c>
      <c r="AM2887">
        <v>90.190825480622607</v>
      </c>
      <c r="AN2887">
        <v>0.99999995826587695</v>
      </c>
    </row>
    <row r="2888" spans="1:40" x14ac:dyDescent="0.25">
      <c r="A2888" t="str">
        <f>"20190312151554697"</f>
        <v>20190312151554697</v>
      </c>
      <c r="B2888" t="str">
        <f>"1552374954690945"</f>
        <v>1552374954690945</v>
      </c>
      <c r="C2888" t="s">
        <v>40</v>
      </c>
      <c r="D2888">
        <v>4.9581160000000004</v>
      </c>
      <c r="E2888">
        <v>0.49354559999999997</v>
      </c>
      <c r="F2888" t="s">
        <v>52</v>
      </c>
      <c r="G2888">
        <v>-415.74119999999999</v>
      </c>
      <c r="H2888" s="1">
        <v>3.4828130000000001E-6</v>
      </c>
      <c r="I2888">
        <v>211.6575</v>
      </c>
      <c r="J2888">
        <v>-430.4083</v>
      </c>
      <c r="K2888">
        <v>1.1107959999999999</v>
      </c>
      <c r="L2888">
        <v>211.36179999999999</v>
      </c>
      <c r="M2888">
        <v>0.99990979999999996</v>
      </c>
      <c r="N2888">
        <v>0</v>
      </c>
      <c r="O2888">
        <v>8.8916599999999991E-3</v>
      </c>
      <c r="P2888">
        <v>0.99977479999999996</v>
      </c>
      <c r="Q2888">
        <v>1.7969059999999999E-2</v>
      </c>
      <c r="R2888">
        <v>1.128111E-2</v>
      </c>
      <c r="S2888">
        <v>3.0039669999999998</v>
      </c>
      <c r="T2888">
        <v>-0.22240840000000001</v>
      </c>
      <c r="U2888">
        <v>6.0073849999999998E-2</v>
      </c>
      <c r="V2888">
        <v>-2.500328E-3</v>
      </c>
      <c r="W2888">
        <v>2.801702E-2</v>
      </c>
      <c r="X2888">
        <v>0.9996043</v>
      </c>
      <c r="Y2888">
        <v>-1.1097020000000001E-2</v>
      </c>
      <c r="Z2888">
        <v>-2.471703E-4</v>
      </c>
      <c r="AA2888">
        <v>0.99993840000000001</v>
      </c>
      <c r="AB2888">
        <v>32</v>
      </c>
      <c r="AC2888">
        <v>14.6671</v>
      </c>
      <c r="AD2888">
        <v>-1.1107925171869999</v>
      </c>
      <c r="AE2888">
        <v>0.29570000000001001</v>
      </c>
      <c r="AF2888">
        <v>-0.16432472020681199</v>
      </c>
      <c r="AG2888">
        <v>-1.1107925171869999</v>
      </c>
      <c r="AH2888">
        <v>14.585527047885</v>
      </c>
      <c r="AI2888">
        <v>94.354802618774499</v>
      </c>
      <c r="AJ2888">
        <v>90.645483333308405</v>
      </c>
      <c r="AK2888">
        <v>14.6286862668694</v>
      </c>
      <c r="AL2888">
        <v>88.394532885780805</v>
      </c>
      <c r="AM2888">
        <v>90.143314652638097</v>
      </c>
      <c r="AN2888">
        <v>0.99999998081413799</v>
      </c>
    </row>
    <row r="2889" spans="1:40" x14ac:dyDescent="0.25">
      <c r="A2889" t="str">
        <f>"20190312151554719"</f>
        <v>20190312151554719</v>
      </c>
      <c r="B2889" t="str">
        <f>"1552374954710466"</f>
        <v>1552374954710466</v>
      </c>
      <c r="C2889" t="s">
        <v>40</v>
      </c>
      <c r="D2889">
        <v>4.845974</v>
      </c>
      <c r="E2889">
        <v>0.4930388</v>
      </c>
      <c r="F2889" t="s">
        <v>52</v>
      </c>
      <c r="G2889">
        <v>-415.1927</v>
      </c>
      <c r="H2889" s="1">
        <v>3.3758790000000002E-6</v>
      </c>
      <c r="I2889">
        <v>211.76769999999999</v>
      </c>
      <c r="J2889">
        <v>-430.07350000000002</v>
      </c>
      <c r="K2889">
        <v>1.110867</v>
      </c>
      <c r="L2889">
        <v>211.36689999999999</v>
      </c>
      <c r="M2889">
        <v>0.99988940000000004</v>
      </c>
      <c r="N2889">
        <v>0</v>
      </c>
      <c r="O2889">
        <v>1.098819E-2</v>
      </c>
      <c r="P2889">
        <v>0.99974980000000002</v>
      </c>
      <c r="Q2889">
        <v>1.867831E-2</v>
      </c>
      <c r="R2889">
        <v>1.231515E-2</v>
      </c>
      <c r="S2889">
        <v>3.0037539999999998</v>
      </c>
      <c r="T2889">
        <v>-0.21928500000000001</v>
      </c>
      <c r="U2889">
        <v>8.0139160000000001E-2</v>
      </c>
      <c r="V2889">
        <v>-1.445476E-3</v>
      </c>
      <c r="W2889">
        <v>2.8706249999999999E-2</v>
      </c>
      <c r="X2889">
        <v>0.9995868</v>
      </c>
      <c r="Y2889">
        <v>-1.5671279999999999E-2</v>
      </c>
      <c r="Z2889">
        <v>-2.2979970000000001E-4</v>
      </c>
      <c r="AA2889">
        <v>0.99987720000000002</v>
      </c>
      <c r="AB2889">
        <v>32</v>
      </c>
      <c r="AC2889">
        <v>14.880800000000001</v>
      </c>
      <c r="AD2889">
        <v>-1.1108636241209999</v>
      </c>
      <c r="AE2889">
        <v>0.40080000000000299</v>
      </c>
      <c r="AF2889">
        <v>-0.23594064668366799</v>
      </c>
      <c r="AG2889">
        <v>-1.1108636241209999</v>
      </c>
      <c r="AH2889">
        <v>14.8018785609486</v>
      </c>
      <c r="AI2889">
        <v>94.291392145462297</v>
      </c>
      <c r="AJ2889">
        <v>90.913212364710901</v>
      </c>
      <c r="AK2889">
        <v>14.845379581311599</v>
      </c>
      <c r="AL2889">
        <v>88.355026978658202</v>
      </c>
      <c r="AM2889">
        <v>90.082853851670095</v>
      </c>
      <c r="AN2889">
        <v>0.99999995446208301</v>
      </c>
    </row>
    <row r="2890" spans="1:40" x14ac:dyDescent="0.25">
      <c r="A2890" t="str">
        <f>"20190312151554739"</f>
        <v>20190312151554739</v>
      </c>
      <c r="B2890" t="str">
        <f>"1552374954730962"</f>
        <v>1552374954730962</v>
      </c>
      <c r="C2890" t="s">
        <v>40</v>
      </c>
      <c r="D2890">
        <v>4.8446099999999896</v>
      </c>
      <c r="E2890">
        <v>0.49283100000000002</v>
      </c>
      <c r="F2890" t="s">
        <v>52</v>
      </c>
      <c r="G2890">
        <v>-414.69959999999998</v>
      </c>
      <c r="H2890" s="1">
        <v>3.2844240000000001E-6</v>
      </c>
      <c r="I2890">
        <v>211.8134</v>
      </c>
      <c r="J2890">
        <v>-429.77820000000003</v>
      </c>
      <c r="K2890">
        <v>1.1109209999999901</v>
      </c>
      <c r="L2890">
        <v>211.37200000000001</v>
      </c>
      <c r="M2890">
        <v>0.9998667</v>
      </c>
      <c r="N2890">
        <v>0</v>
      </c>
      <c r="O2890">
        <v>1.2898110000000001E-2</v>
      </c>
      <c r="P2890">
        <v>0.99974019999999997</v>
      </c>
      <c r="Q2890">
        <v>1.8363609999999999E-2</v>
      </c>
      <c r="R2890">
        <v>1.3506819999999999E-2</v>
      </c>
      <c r="S2890">
        <v>3.0036930000000002</v>
      </c>
      <c r="T2890">
        <v>-0.2170368</v>
      </c>
      <c r="U2890">
        <v>8.7249759999999996E-2</v>
      </c>
      <c r="V2890">
        <v>-7.3004560000000001E-4</v>
      </c>
      <c r="W2890">
        <v>2.8376410000000001E-2</v>
      </c>
      <c r="X2890">
        <v>0.99959699999999996</v>
      </c>
      <c r="Y2890">
        <v>-1.6131099999999999E-2</v>
      </c>
      <c r="Z2890">
        <v>-3.4864120000000003E-4</v>
      </c>
      <c r="AA2890">
        <v>0.99986980000000003</v>
      </c>
      <c r="AB2890">
        <v>32</v>
      </c>
      <c r="AC2890">
        <v>15.0786</v>
      </c>
      <c r="AD2890">
        <v>-1.11091771557599</v>
      </c>
      <c r="AE2890">
        <v>0.44139999999998702</v>
      </c>
      <c r="AF2890">
        <v>-0.245536454318834</v>
      </c>
      <c r="AG2890">
        <v>-1.11091771557599</v>
      </c>
      <c r="AH2890">
        <v>15.001679332479799</v>
      </c>
      <c r="AI2890">
        <v>94.234622586630707</v>
      </c>
      <c r="AJ2890">
        <v>90.937691454938403</v>
      </c>
      <c r="AK2890">
        <v>15.0447601880433</v>
      </c>
      <c r="AL2890">
        <v>88.373933127402793</v>
      </c>
      <c r="AM2890">
        <v>90.041845387986399</v>
      </c>
      <c r="AN2890">
        <v>0.99999995801003205</v>
      </c>
    </row>
    <row r="2891" spans="1:40" x14ac:dyDescent="0.25">
      <c r="A2891" t="str">
        <f>"20190312151554761"</f>
        <v>20190312151554761</v>
      </c>
      <c r="B2891" t="str">
        <f>"1552374954750482"</f>
        <v>1552374954750482</v>
      </c>
      <c r="C2891" t="s">
        <v>40</v>
      </c>
      <c r="D2891">
        <v>4.838463</v>
      </c>
      <c r="E2891">
        <v>0.4927607</v>
      </c>
      <c r="F2891" t="s">
        <v>52</v>
      </c>
      <c r="G2891">
        <v>-414.48680000000002</v>
      </c>
      <c r="H2891" s="1">
        <v>3.2439929999999998E-6</v>
      </c>
      <c r="I2891">
        <v>211.84399999999999</v>
      </c>
      <c r="J2891">
        <v>-429.46089999999998</v>
      </c>
      <c r="K2891">
        <v>1.1109800000000001</v>
      </c>
      <c r="L2891">
        <v>211.37809999999999</v>
      </c>
      <c r="M2891">
        <v>0.99983739999999999</v>
      </c>
      <c r="N2891">
        <v>0</v>
      </c>
      <c r="O2891">
        <v>1.501657E-2</v>
      </c>
      <c r="P2891">
        <v>0.99972519999999998</v>
      </c>
      <c r="Q2891">
        <v>1.7855380000000001E-2</v>
      </c>
      <c r="R2891">
        <v>1.5194879999999999E-2</v>
      </c>
      <c r="S2891">
        <v>3.0035400000000001</v>
      </c>
      <c r="T2891">
        <v>-0.2182057</v>
      </c>
      <c r="U2891">
        <v>9.27124E-2</v>
      </c>
      <c r="V2891">
        <v>-3.0154599999999998E-4</v>
      </c>
      <c r="W2891">
        <v>2.7853530000000001E-2</v>
      </c>
      <c r="X2891">
        <v>0.99961199999999995</v>
      </c>
      <c r="Y2891">
        <v>-1.5837199999999999E-2</v>
      </c>
      <c r="Z2891">
        <v>-5.1482410000000002E-4</v>
      </c>
      <c r="AA2891">
        <v>0.9998745</v>
      </c>
      <c r="AB2891">
        <v>32</v>
      </c>
      <c r="AC2891">
        <v>14.9740999999999</v>
      </c>
      <c r="AD2891">
        <v>-1.1109767560070001</v>
      </c>
      <c r="AE2891">
        <v>0.46590000000003301</v>
      </c>
      <c r="AF2891">
        <v>-0.23965867638874799</v>
      </c>
      <c r="AG2891">
        <v>-1.1109767560070001</v>
      </c>
      <c r="AH2891">
        <v>14.8974821106421</v>
      </c>
      <c r="AI2891">
        <v>94.264376960196202</v>
      </c>
      <c r="AJ2891">
        <v>90.921648786556403</v>
      </c>
      <c r="AK2891">
        <v>14.940772365258001</v>
      </c>
      <c r="AL2891">
        <v>88.403903909134797</v>
      </c>
      <c r="AM2891">
        <v>90.017284018804204</v>
      </c>
      <c r="AN2891">
        <v>1.00000003030372</v>
      </c>
    </row>
    <row r="2892" spans="1:40" x14ac:dyDescent="0.25">
      <c r="A2892" t="str">
        <f>"20190312151554784"</f>
        <v>20190312151554784</v>
      </c>
      <c r="B2892" t="str">
        <f>"1552374954780738"</f>
        <v>1552374954780738</v>
      </c>
      <c r="C2892" t="s">
        <v>40</v>
      </c>
      <c r="D2892">
        <v>4.8564660000000002</v>
      </c>
      <c r="E2892">
        <v>0.49365540000000002</v>
      </c>
      <c r="F2892" t="s">
        <v>52</v>
      </c>
      <c r="G2892">
        <v>-414.76280000000003</v>
      </c>
      <c r="H2892" s="1">
        <v>3.2917210000000001E-6</v>
      </c>
      <c r="I2892">
        <v>211.85810000000001</v>
      </c>
      <c r="J2892">
        <v>-429.13339999999999</v>
      </c>
      <c r="K2892">
        <v>1.111035</v>
      </c>
      <c r="L2892">
        <v>211.3853</v>
      </c>
      <c r="M2892">
        <v>0.99980100000000005</v>
      </c>
      <c r="N2892">
        <v>0</v>
      </c>
      <c r="O2892">
        <v>1.726989E-2</v>
      </c>
      <c r="P2892">
        <v>0.99969870000000005</v>
      </c>
      <c r="Q2892">
        <v>1.7517250000000002E-2</v>
      </c>
      <c r="R2892">
        <v>1.7192639999999999E-2</v>
      </c>
      <c r="S2892">
        <v>3.0034480000000001</v>
      </c>
      <c r="T2892">
        <v>-0.22701930000000001</v>
      </c>
      <c r="U2892">
        <v>9.8068240000000001E-2</v>
      </c>
      <c r="V2892" s="1">
        <v>-4.8105690000000002E-5</v>
      </c>
      <c r="W2892">
        <v>2.750271E-2</v>
      </c>
      <c r="X2892">
        <v>0.99962169999999895</v>
      </c>
      <c r="Y2892">
        <v>-1.537347E-2</v>
      </c>
      <c r="Z2892">
        <v>-7.2305539999999895E-4</v>
      </c>
      <c r="AA2892">
        <v>0.99988160000000004</v>
      </c>
      <c r="AB2892">
        <v>32</v>
      </c>
      <c r="AC2892">
        <v>14.3705999999999</v>
      </c>
      <c r="AD2892">
        <v>-1.111031708279</v>
      </c>
      <c r="AE2892">
        <v>0.47280000000000599</v>
      </c>
      <c r="AF2892">
        <v>-0.22320570745738399</v>
      </c>
      <c r="AG2892">
        <v>-1.111031708279</v>
      </c>
      <c r="AH2892">
        <v>14.2912916395592</v>
      </c>
      <c r="AI2892">
        <v>94.444799830358505</v>
      </c>
      <c r="AJ2892">
        <v>90.894790031341799</v>
      </c>
      <c r="AK2892">
        <v>14.3361511212591</v>
      </c>
      <c r="AL2892">
        <v>88.424012026175603</v>
      </c>
      <c r="AM2892">
        <v>90.002757296090493</v>
      </c>
      <c r="AN2892">
        <v>0.99999997224119497</v>
      </c>
    </row>
    <row r="2893" spans="1:40" x14ac:dyDescent="0.25">
      <c r="A2893" t="str">
        <f>"20190312151554804"</f>
        <v>20190312151554804</v>
      </c>
      <c r="B2893" t="str">
        <f>"1552374954801038"</f>
        <v>1552374954801038</v>
      </c>
      <c r="C2893" t="s">
        <v>40</v>
      </c>
      <c r="D2893">
        <v>5.0809059999999997</v>
      </c>
      <c r="E2893">
        <v>0.4937067</v>
      </c>
      <c r="F2893" t="s">
        <v>52</v>
      </c>
      <c r="G2893">
        <v>-414.69189999999998</v>
      </c>
      <c r="H2893" s="1">
        <v>3.2797799999999998E-6</v>
      </c>
      <c r="I2893">
        <v>211.8509</v>
      </c>
      <c r="J2893">
        <v>-428.82429999999999</v>
      </c>
      <c r="K2893">
        <v>1.111084</v>
      </c>
      <c r="L2893">
        <v>211.39269999999999</v>
      </c>
      <c r="M2893">
        <v>0.99976120000000002</v>
      </c>
      <c r="N2893">
        <v>0</v>
      </c>
      <c r="O2893">
        <v>1.9447490000000001E-2</v>
      </c>
      <c r="P2893">
        <v>0.999641</v>
      </c>
      <c r="Q2893">
        <v>1.8318770000000002E-2</v>
      </c>
      <c r="R2893">
        <v>1.955836E-2</v>
      </c>
      <c r="S2893">
        <v>3.0033259999999999</v>
      </c>
      <c r="T2893">
        <v>-0.2310566</v>
      </c>
      <c r="U2893">
        <v>9.6832280000000007E-2</v>
      </c>
      <c r="V2893">
        <v>-2.4386819999999999E-4</v>
      </c>
      <c r="W2893">
        <v>2.8292520000000002E-2</v>
      </c>
      <c r="X2893">
        <v>0.99959960000000003</v>
      </c>
      <c r="Y2893">
        <v>-1.280009E-2</v>
      </c>
      <c r="Z2893">
        <v>-1.001933E-3</v>
      </c>
      <c r="AA2893">
        <v>0.99991759999999996</v>
      </c>
      <c r="AB2893">
        <v>32</v>
      </c>
      <c r="AC2893">
        <v>14.132400000000001</v>
      </c>
      <c r="AD2893">
        <v>-1.1110807202199999</v>
      </c>
      <c r="AE2893">
        <v>0.45820000000000499</v>
      </c>
      <c r="AF2893">
        <v>-0.18213537847132599</v>
      </c>
      <c r="AG2893">
        <v>-1.1110807202199999</v>
      </c>
      <c r="AH2893">
        <v>14.051874732183499</v>
      </c>
      <c r="AI2893">
        <v>94.520588880232097</v>
      </c>
      <c r="AJ2893">
        <v>90.742605832795604</v>
      </c>
      <c r="AK2893">
        <v>14.096909489385</v>
      </c>
      <c r="AL2893">
        <v>88.378741577206696</v>
      </c>
      <c r="AM2893">
        <v>90.013978215217605</v>
      </c>
      <c r="AN2893">
        <v>0.99999994323990304</v>
      </c>
    </row>
    <row r="2894" spans="1:40" x14ac:dyDescent="0.25">
      <c r="A2894" t="str">
        <f>"20190312151554828"</f>
        <v>20190312151554828</v>
      </c>
      <c r="B2894" t="str">
        <f>"1552374954820559"</f>
        <v>1552374954820559</v>
      </c>
      <c r="C2894" t="s">
        <v>40</v>
      </c>
      <c r="D2894">
        <v>4.8468999999999998</v>
      </c>
      <c r="E2894">
        <v>0.49373099999999998</v>
      </c>
      <c r="F2894" t="s">
        <v>52</v>
      </c>
      <c r="G2894">
        <v>-414.15089999999998</v>
      </c>
      <c r="H2894" s="1">
        <v>3.1796130000000002E-6</v>
      </c>
      <c r="I2894">
        <v>211.899</v>
      </c>
      <c r="J2894">
        <v>-428.49799999999999</v>
      </c>
      <c r="K2894">
        <v>1.11113</v>
      </c>
      <c r="L2894">
        <v>211.4014</v>
      </c>
      <c r="M2894">
        <v>0.99971290000000002</v>
      </c>
      <c r="N2894">
        <v>0</v>
      </c>
      <c r="O2894">
        <v>2.178766E-2</v>
      </c>
      <c r="P2894">
        <v>0.99958139999999995</v>
      </c>
      <c r="Q2894">
        <v>1.8715880000000001E-2</v>
      </c>
      <c r="R2894">
        <v>2.207071E-2</v>
      </c>
      <c r="S2894">
        <v>3.0032040000000002</v>
      </c>
      <c r="T2894">
        <v>-0.22740450000000001</v>
      </c>
      <c r="U2894">
        <v>0.103607199999999</v>
      </c>
      <c r="V2894">
        <v>-4.2117579999999998E-4</v>
      </c>
      <c r="W2894">
        <v>2.867956E-2</v>
      </c>
      <c r="X2894">
        <v>0.99958849999999999</v>
      </c>
      <c r="Y2894">
        <v>-1.272031E-2</v>
      </c>
      <c r="Z2894">
        <v>-1.165995E-3</v>
      </c>
      <c r="AA2894">
        <v>0.99991839999999999</v>
      </c>
      <c r="AB2894">
        <v>32</v>
      </c>
      <c r="AC2894">
        <v>14.347099999999999</v>
      </c>
      <c r="AD2894">
        <v>-1.1111268203869999</v>
      </c>
      <c r="AE2894">
        <v>0.49760000000000498</v>
      </c>
      <c r="AF2894">
        <v>-0.18377564917709799</v>
      </c>
      <c r="AG2894">
        <v>-1.1111268203869999</v>
      </c>
      <c r="AH2894">
        <v>14.269054541777599</v>
      </c>
      <c r="AI2894">
        <v>94.4522514341039</v>
      </c>
      <c r="AJ2894">
        <v>90.737889598686806</v>
      </c>
      <c r="AK2894">
        <v>14.313430539756601</v>
      </c>
      <c r="AL2894">
        <v>88.356556795942893</v>
      </c>
      <c r="AM2894">
        <v>90.024141528583897</v>
      </c>
      <c r="AN2894">
        <v>0.99999993194154602</v>
      </c>
    </row>
    <row r="2895" spans="1:40" x14ac:dyDescent="0.25">
      <c r="A2895" t="str">
        <f>"20190312151554849"</f>
        <v>20190312151554849</v>
      </c>
      <c r="B2895" t="str">
        <f>"1552374954840079"</f>
        <v>1552374954840079</v>
      </c>
      <c r="C2895" t="s">
        <v>40</v>
      </c>
      <c r="D2895">
        <v>4.866206</v>
      </c>
      <c r="E2895">
        <v>0.49396250000000003</v>
      </c>
      <c r="F2895" t="s">
        <v>52</v>
      </c>
      <c r="G2895">
        <v>-413.63</v>
      </c>
      <c r="H2895" s="1">
        <v>3.08248E-6</v>
      </c>
      <c r="I2895">
        <v>211.95310000000001</v>
      </c>
      <c r="J2895">
        <v>-428.18020000000001</v>
      </c>
      <c r="K2895">
        <v>1.1111599999999999</v>
      </c>
      <c r="L2895">
        <v>211.41059999999999</v>
      </c>
      <c r="M2895">
        <v>0.9996602</v>
      </c>
      <c r="N2895">
        <v>0</v>
      </c>
      <c r="O2895">
        <v>2.4092829999999999E-2</v>
      </c>
      <c r="P2895">
        <v>0.99952779999999997</v>
      </c>
      <c r="Q2895">
        <v>1.830298E-2</v>
      </c>
      <c r="R2895">
        <v>2.4682340000000001E-2</v>
      </c>
      <c r="S2895">
        <v>3.0030209999999999</v>
      </c>
      <c r="T2895">
        <v>-0.2244245</v>
      </c>
      <c r="U2895">
        <v>0.1114349</v>
      </c>
      <c r="V2895">
        <v>-7.2861810000000003E-4</v>
      </c>
      <c r="W2895">
        <v>2.8257730000000002E-2</v>
      </c>
      <c r="X2895">
        <v>0.99960039999999994</v>
      </c>
      <c r="Y2895">
        <v>-1.302468E-2</v>
      </c>
      <c r="Z2895">
        <v>-1.3113210000000001E-3</v>
      </c>
      <c r="AA2895">
        <v>0.99991430000000003</v>
      </c>
      <c r="AB2895">
        <v>32</v>
      </c>
      <c r="AC2895">
        <v>14.5502</v>
      </c>
      <c r="AD2895">
        <v>-1.11115691752</v>
      </c>
      <c r="AE2895">
        <v>0.54250000000001797</v>
      </c>
      <c r="AF2895">
        <v>-0.190659288712383</v>
      </c>
      <c r="AG2895">
        <v>-1.11115691752</v>
      </c>
      <c r="AH2895">
        <v>14.474748398570799</v>
      </c>
      <c r="AI2895">
        <v>94.389333359424299</v>
      </c>
      <c r="AJ2895">
        <v>90.754648065137005</v>
      </c>
      <c r="AK2895">
        <v>14.5185867721914</v>
      </c>
      <c r="AL2895">
        <v>88.380735778509603</v>
      </c>
      <c r="AM2895">
        <v>90.041763423277303</v>
      </c>
      <c r="AN2895">
        <v>0.99999999493462399</v>
      </c>
    </row>
    <row r="2896" spans="1:40" x14ac:dyDescent="0.25">
      <c r="A2896" t="str">
        <f>"20190312151554873"</f>
        <v>20190312151554873</v>
      </c>
      <c r="B2896" t="str">
        <f>"1552374954870334"</f>
        <v>1552374954870334</v>
      </c>
      <c r="C2896" t="s">
        <v>40</v>
      </c>
      <c r="D2896">
        <v>4.8968829999999999</v>
      </c>
      <c r="E2896">
        <v>0.49414590000000003</v>
      </c>
      <c r="F2896" t="s">
        <v>52</v>
      </c>
      <c r="G2896">
        <v>-413.62130000000002</v>
      </c>
      <c r="H2896" s="1">
        <v>3.0787170000000001E-6</v>
      </c>
      <c r="I2896">
        <v>211.9785</v>
      </c>
      <c r="J2896">
        <v>-427.84320000000002</v>
      </c>
      <c r="K2896">
        <v>1.1111839999999999</v>
      </c>
      <c r="L2896">
        <v>211.4211</v>
      </c>
      <c r="M2896">
        <v>0.99959779999999998</v>
      </c>
      <c r="N2896">
        <v>0</v>
      </c>
      <c r="O2896">
        <v>2.6555309999999999E-2</v>
      </c>
      <c r="P2896">
        <v>0.99946889999999999</v>
      </c>
      <c r="Q2896">
        <v>1.8456449999999999E-2</v>
      </c>
      <c r="R2896">
        <v>2.6868880000000001E-2</v>
      </c>
      <c r="S2896">
        <v>3.0027159999999999</v>
      </c>
      <c r="T2896">
        <v>-0.2291716</v>
      </c>
      <c r="U2896">
        <v>0.1171417</v>
      </c>
      <c r="V2896">
        <v>-4.5597429999999999E-4</v>
      </c>
      <c r="W2896">
        <v>2.8406440000000002E-2</v>
      </c>
      <c r="X2896">
        <v>0.99959640000000005</v>
      </c>
      <c r="Y2896">
        <v>-1.247296E-2</v>
      </c>
      <c r="Z2896">
        <v>-1.547585E-3</v>
      </c>
      <c r="AA2896">
        <v>0.99992099999999995</v>
      </c>
      <c r="AB2896">
        <v>33</v>
      </c>
      <c r="AC2896">
        <v>14.2219</v>
      </c>
      <c r="AD2896">
        <v>-1.1111809212829999</v>
      </c>
      <c r="AE2896">
        <v>0.55740000000000101</v>
      </c>
      <c r="AF2896">
        <v>-0.17843017464500299</v>
      </c>
      <c r="AG2896">
        <v>-1.1111809212829999</v>
      </c>
      <c r="AH2896">
        <v>14.1454673483204</v>
      </c>
      <c r="AI2896">
        <v>94.491224657394497</v>
      </c>
      <c r="AJ2896">
        <v>90.722687595240501</v>
      </c>
      <c r="AK2896">
        <v>14.190165850667301</v>
      </c>
      <c r="AL2896">
        <v>88.372211988234895</v>
      </c>
      <c r="AM2896">
        <v>90.026135949613604</v>
      </c>
      <c r="AN2896">
        <v>1.00000004831949</v>
      </c>
    </row>
    <row r="2897" spans="1:40" x14ac:dyDescent="0.25">
      <c r="A2897" t="str">
        <f>"20190312151554896"</f>
        <v>20190312151554896</v>
      </c>
      <c r="B2897" t="str">
        <f>"1552374954890830"</f>
        <v>1552374954890830</v>
      </c>
      <c r="C2897" t="s">
        <v>40</v>
      </c>
      <c r="D2897">
        <v>4.8770300000000004</v>
      </c>
      <c r="E2897">
        <v>0.4942107</v>
      </c>
      <c r="F2897" t="s">
        <v>41</v>
      </c>
      <c r="G2897">
        <v>-426.82870000000003</v>
      </c>
      <c r="H2897">
        <v>1.0326759999999999</v>
      </c>
      <c r="I2897">
        <v>211.4623</v>
      </c>
      <c r="J2897">
        <v>-427.50790000000001</v>
      </c>
      <c r="K2897">
        <v>1.1112040000000001</v>
      </c>
      <c r="L2897">
        <v>211.4324</v>
      </c>
      <c r="M2897">
        <v>0.99952940000000001</v>
      </c>
      <c r="N2897">
        <v>0</v>
      </c>
      <c r="O2897">
        <v>2.9015579999999999E-2</v>
      </c>
      <c r="P2897">
        <v>0.99940839999999997</v>
      </c>
      <c r="Q2897">
        <v>1.8972269999999999E-2</v>
      </c>
      <c r="R2897">
        <v>2.8687890000000001E-2</v>
      </c>
      <c r="S2897">
        <v>3.0025629999999999</v>
      </c>
      <c r="T2897">
        <v>-0.23249300000000001</v>
      </c>
      <c r="U2897">
        <v>0.1224518</v>
      </c>
      <c r="V2897">
        <v>1.815872E-4</v>
      </c>
      <c r="W2897">
        <v>2.8921220000000001E-2</v>
      </c>
      <c r="X2897">
        <v>0.99958170000000002</v>
      </c>
      <c r="Y2897">
        <v>-1.1789910000000001E-2</v>
      </c>
      <c r="Z2897">
        <v>-1.786394E-3</v>
      </c>
      <c r="AA2897">
        <v>0.99992890000000001</v>
      </c>
      <c r="AB2897">
        <v>33</v>
      </c>
      <c r="AC2897">
        <v>0.67919999999998004</v>
      </c>
      <c r="AD2897">
        <v>-7.8528000000000098E-2</v>
      </c>
      <c r="AE2897">
        <v>2.98999999999978E-2</v>
      </c>
      <c r="AF2897">
        <v>-1.0045033033676201E-2</v>
      </c>
      <c r="AG2897">
        <v>-7.8528000000000098E-2</v>
      </c>
      <c r="AH2897">
        <v>0.67083154124606004</v>
      </c>
      <c r="AI2897">
        <v>96.675954846499707</v>
      </c>
      <c r="AJ2897">
        <v>90.857883018981894</v>
      </c>
      <c r="AK2897">
        <v>0.67548686604789898</v>
      </c>
      <c r="AL2897">
        <v>88.342705100957801</v>
      </c>
      <c r="AM2897">
        <v>89.989591466051095</v>
      </c>
      <c r="AN2897">
        <v>1.00000002245754</v>
      </c>
    </row>
    <row r="2898" spans="1:40" x14ac:dyDescent="0.25">
      <c r="A2898" t="str">
        <f>"20190312151554919"</f>
        <v>20190312151554919</v>
      </c>
      <c r="B2898" t="str">
        <f>"1552374954910350"</f>
        <v>1552374954910350</v>
      </c>
      <c r="C2898" t="s">
        <v>40</v>
      </c>
      <c r="D2898">
        <v>5.051634</v>
      </c>
      <c r="E2898">
        <v>0.49433510000000003</v>
      </c>
      <c r="F2898" t="s">
        <v>41</v>
      </c>
      <c r="G2898">
        <v>-426.53539999999998</v>
      </c>
      <c r="H2898">
        <v>1.0358149999999999</v>
      </c>
      <c r="I2898">
        <v>211.4736</v>
      </c>
      <c r="J2898">
        <v>-427.17340000000002</v>
      </c>
      <c r="K2898">
        <v>1.111218</v>
      </c>
      <c r="L2898">
        <v>211.44460000000001</v>
      </c>
      <c r="M2898">
        <v>0.99945519999999999</v>
      </c>
      <c r="N2898">
        <v>0</v>
      </c>
      <c r="O2898">
        <v>3.14732E-2</v>
      </c>
      <c r="P2898">
        <v>0.99932799999999999</v>
      </c>
      <c r="Q2898">
        <v>1.9434460000000001E-2</v>
      </c>
      <c r="R2898">
        <v>3.1084609999999999E-2</v>
      </c>
      <c r="S2898">
        <v>3.0025330000000001</v>
      </c>
      <c r="T2898">
        <v>-0.23291300000000001</v>
      </c>
      <c r="U2898">
        <v>0.12745670000000001</v>
      </c>
      <c r="V2898">
        <v>2.386117E-4</v>
      </c>
      <c r="W2898">
        <v>2.938021E-2</v>
      </c>
      <c r="X2898">
        <v>0.99956829999999997</v>
      </c>
      <c r="Y2898">
        <v>-1.100541E-2</v>
      </c>
      <c r="Z2898">
        <v>-2.0100769999999999E-3</v>
      </c>
      <c r="AA2898">
        <v>0.99993739999999998</v>
      </c>
      <c r="AB2898">
        <v>33</v>
      </c>
      <c r="AC2898">
        <v>0.63800000000003299</v>
      </c>
      <c r="AD2898">
        <v>-7.5403000000000095E-2</v>
      </c>
      <c r="AE2898">
        <v>2.89999999999963E-2</v>
      </c>
      <c r="AF2898">
        <v>-8.7823198589715105E-3</v>
      </c>
      <c r="AG2898">
        <v>-7.5403000000000095E-2</v>
      </c>
      <c r="AH2898">
        <v>0.62981748342251398</v>
      </c>
      <c r="AI2898">
        <v>96.826412622112002</v>
      </c>
      <c r="AJ2898">
        <v>90.798893751965593</v>
      </c>
      <c r="AK2898">
        <v>0.63437591692605599</v>
      </c>
      <c r="AL2898">
        <v>88.3163957266176</v>
      </c>
      <c r="AM2898">
        <v>89.986322652396197</v>
      </c>
      <c r="AN2898">
        <v>1.0000000200200301</v>
      </c>
    </row>
    <row r="2899" spans="1:40" x14ac:dyDescent="0.25">
      <c r="A2899" t="str">
        <f>"20190312151554940"</f>
        <v>20190312151554940</v>
      </c>
      <c r="B2899" t="str">
        <f>"1552374954930847"</f>
        <v>1552374954930847</v>
      </c>
      <c r="C2899" t="s">
        <v>40</v>
      </c>
      <c r="D2899">
        <v>4.882485</v>
      </c>
      <c r="E2899">
        <v>0.49454419999999999</v>
      </c>
      <c r="F2899" t="s">
        <v>41</v>
      </c>
      <c r="G2899">
        <v>-426.24099999999999</v>
      </c>
      <c r="H2899">
        <v>1.0397400000000001</v>
      </c>
      <c r="I2899">
        <v>211.48589999999999</v>
      </c>
      <c r="J2899">
        <v>-426.86410000000001</v>
      </c>
      <c r="K2899">
        <v>1.1112310000000001</v>
      </c>
      <c r="L2899">
        <v>211.45660000000001</v>
      </c>
      <c r="M2899">
        <v>0.99938090000000002</v>
      </c>
      <c r="N2899">
        <v>0</v>
      </c>
      <c r="O2899">
        <v>3.374489E-2</v>
      </c>
      <c r="P2899">
        <v>0.99924279999999999</v>
      </c>
      <c r="Q2899">
        <v>2.003135E-2</v>
      </c>
      <c r="R2899">
        <v>3.3358390000000002E-2</v>
      </c>
      <c r="S2899">
        <v>3.0023499999999999</v>
      </c>
      <c r="T2899">
        <v>-0.23033290000000001</v>
      </c>
      <c r="U2899">
        <v>0.13380429999999999</v>
      </c>
      <c r="V2899">
        <v>2.318748E-4</v>
      </c>
      <c r="W2899">
        <v>2.9975519999999999E-2</v>
      </c>
      <c r="X2899">
        <v>0.99955059999999996</v>
      </c>
      <c r="Y2899">
        <v>-1.085098E-2</v>
      </c>
      <c r="Z2899">
        <v>-2.1676099999999999E-3</v>
      </c>
      <c r="AA2899">
        <v>0.99993880000000002</v>
      </c>
      <c r="AB2899">
        <v>33</v>
      </c>
      <c r="AC2899">
        <v>0.62310000000002197</v>
      </c>
      <c r="AD2899">
        <v>-7.1490999999999902E-2</v>
      </c>
      <c r="AE2899">
        <v>2.9299999999977899E-2</v>
      </c>
      <c r="AF2899">
        <v>-8.1487945868495594E-3</v>
      </c>
      <c r="AG2899">
        <v>-7.1490999999999902E-2</v>
      </c>
      <c r="AH2899">
        <v>0.61564738075370296</v>
      </c>
      <c r="AI2899">
        <v>96.623133075496398</v>
      </c>
      <c r="AJ2899">
        <v>90.758330644551293</v>
      </c>
      <c r="AK2899">
        <v>0.61983793314310298</v>
      </c>
      <c r="AL2899">
        <v>88.282271900168695</v>
      </c>
      <c r="AM2899">
        <v>89.986708579658497</v>
      </c>
      <c r="AN2899">
        <v>0.99999999376277604</v>
      </c>
    </row>
    <row r="2900" spans="1:40" x14ac:dyDescent="0.25">
      <c r="A2900" t="str">
        <f>"20190312151554964"</f>
        <v>20190312151554964</v>
      </c>
      <c r="B2900" t="str">
        <f>"1552374954960126"</f>
        <v>1552374954960126</v>
      </c>
      <c r="C2900" t="s">
        <v>40</v>
      </c>
      <c r="D2900">
        <v>4.9891680000000003</v>
      </c>
      <c r="E2900">
        <v>0.494448</v>
      </c>
      <c r="F2900" t="s">
        <v>41</v>
      </c>
      <c r="G2900">
        <v>-425.94490000000002</v>
      </c>
      <c r="H2900">
        <v>1.040257</v>
      </c>
      <c r="I2900">
        <v>211.4992</v>
      </c>
      <c r="J2900">
        <v>-426.52420000000001</v>
      </c>
      <c r="K2900">
        <v>1.1112470000000001</v>
      </c>
      <c r="L2900">
        <v>211.47049999999999</v>
      </c>
      <c r="M2900">
        <v>0.99929369999999995</v>
      </c>
      <c r="N2900">
        <v>0</v>
      </c>
      <c r="O2900">
        <v>3.623883E-2</v>
      </c>
      <c r="P2900">
        <v>0.9991525</v>
      </c>
      <c r="Q2900">
        <v>2.042441E-2</v>
      </c>
      <c r="R2900">
        <v>3.5739550000000002E-2</v>
      </c>
      <c r="S2900">
        <v>3.002319</v>
      </c>
      <c r="T2900">
        <v>-0.23170879999999999</v>
      </c>
      <c r="U2900">
        <v>0.13893129999999901</v>
      </c>
      <c r="V2900">
        <v>3.4143960000000001E-4</v>
      </c>
      <c r="W2900">
        <v>3.036778E-2</v>
      </c>
      <c r="X2900">
        <v>0.9995387</v>
      </c>
      <c r="Y2900">
        <v>-1.0070529999999999E-2</v>
      </c>
      <c r="Z2900">
        <v>-2.4024239999999998E-3</v>
      </c>
      <c r="AA2900">
        <v>0.99994640000000001</v>
      </c>
      <c r="AB2900">
        <v>33</v>
      </c>
      <c r="AC2900">
        <v>0.57929999999998905</v>
      </c>
      <c r="AD2900">
        <v>-7.0989999999999803E-2</v>
      </c>
      <c r="AE2900">
        <v>2.87000000000148E-2</v>
      </c>
      <c r="AF2900">
        <v>-7.5735010278158597E-3</v>
      </c>
      <c r="AG2900">
        <v>-7.0989999999999803E-2</v>
      </c>
      <c r="AH2900">
        <v>0.57139977748562598</v>
      </c>
      <c r="AI2900">
        <v>97.081451845929706</v>
      </c>
      <c r="AJ2900">
        <v>90.759370679545</v>
      </c>
      <c r="AK2900">
        <v>0.575842551161723</v>
      </c>
      <c r="AL2900">
        <v>88.259786771863006</v>
      </c>
      <c r="AM2900">
        <v>89.980427924123703</v>
      </c>
      <c r="AN2900">
        <v>0.99999996572040795</v>
      </c>
    </row>
    <row r="2901" spans="1:40" x14ac:dyDescent="0.25">
      <c r="A2901" t="str">
        <f>"20190312151554985"</f>
        <v>20190312151554985</v>
      </c>
      <c r="B2901" t="str">
        <f>"1552374954980623"</f>
        <v>1552374954980623</v>
      </c>
      <c r="C2901" t="s">
        <v>40</v>
      </c>
      <c r="D2901">
        <v>4.87941</v>
      </c>
      <c r="E2901">
        <v>0.49467319999999998</v>
      </c>
      <c r="F2901" t="s">
        <v>52</v>
      </c>
      <c r="G2901">
        <v>-412.20909999999998</v>
      </c>
      <c r="H2901" s="1">
        <v>2.811365E-6</v>
      </c>
      <c r="I2901">
        <v>212.1712</v>
      </c>
      <c r="J2901">
        <v>-426.21210000000002</v>
      </c>
      <c r="K2901">
        <v>1.111256</v>
      </c>
      <c r="L2901">
        <v>211.48410000000001</v>
      </c>
      <c r="M2901">
        <v>0.99920810000000004</v>
      </c>
      <c r="N2901">
        <v>0</v>
      </c>
      <c r="O2901">
        <v>3.8526409999999997E-2</v>
      </c>
      <c r="P2901">
        <v>0.99907650000000003</v>
      </c>
      <c r="Q2901">
        <v>2.0497810000000002E-2</v>
      </c>
      <c r="R2901">
        <v>3.7765260000000002E-2</v>
      </c>
      <c r="S2901">
        <v>3.0020449999999999</v>
      </c>
      <c r="T2901">
        <v>-0.23304130000000001</v>
      </c>
      <c r="U2901">
        <v>0.14694209999999999</v>
      </c>
      <c r="V2901">
        <v>6.0212289999999995E-4</v>
      </c>
      <c r="W2901">
        <v>3.0442130000000001E-2</v>
      </c>
      <c r="X2901">
        <v>0.99953630000000004</v>
      </c>
      <c r="Y2901">
        <v>-1.0454450000000001E-2</v>
      </c>
      <c r="Z2901">
        <v>-2.5784039999999999E-3</v>
      </c>
      <c r="AA2901">
        <v>0.999942</v>
      </c>
      <c r="AB2901">
        <v>33</v>
      </c>
      <c r="AC2901">
        <v>14.003</v>
      </c>
      <c r="AD2901">
        <v>-1.1112531886349899</v>
      </c>
      <c r="AE2901">
        <v>0.68709999999998606</v>
      </c>
      <c r="AF2901">
        <v>-0.146159576320677</v>
      </c>
      <c r="AG2901">
        <v>-1.1112531886349899</v>
      </c>
      <c r="AH2901">
        <v>13.931549335392299</v>
      </c>
      <c r="AI2901">
        <v>94.560305120772099</v>
      </c>
      <c r="AJ2901">
        <v>90.601083155405504</v>
      </c>
      <c r="AK2901">
        <v>13.9765629950811</v>
      </c>
      <c r="AL2901">
        <v>88.255524833375404</v>
      </c>
      <c r="AM2901">
        <v>89.965484898602398</v>
      </c>
      <c r="AN2901">
        <v>0.99999995042430501</v>
      </c>
    </row>
    <row r="2902" spans="1:40" x14ac:dyDescent="0.25">
      <c r="A2902" t="str">
        <f>"20190312151555007"</f>
        <v>20190312151555007</v>
      </c>
      <c r="B2902" t="str">
        <f>"1552374955000650"</f>
        <v>1552374955000650</v>
      </c>
      <c r="C2902" t="s">
        <v>40</v>
      </c>
      <c r="D2902">
        <v>4.881831</v>
      </c>
      <c r="E2902">
        <v>0.49491370000000001</v>
      </c>
      <c r="F2902" t="s">
        <v>52</v>
      </c>
      <c r="G2902">
        <v>-411.98790000000002</v>
      </c>
      <c r="H2902" s="1">
        <v>2.7695419999999998E-6</v>
      </c>
      <c r="I2902">
        <v>212.20089999999999</v>
      </c>
      <c r="J2902">
        <v>-425.87990000000002</v>
      </c>
      <c r="K2902">
        <v>1.111262</v>
      </c>
      <c r="L2902">
        <v>211.49930000000001</v>
      </c>
      <c r="M2902">
        <v>0.99911150000000004</v>
      </c>
      <c r="N2902">
        <v>0</v>
      </c>
      <c r="O2902">
        <v>4.0958399999999999E-2</v>
      </c>
      <c r="P2902">
        <v>0.99899579999999999</v>
      </c>
      <c r="Q2902">
        <v>2.047618E-2</v>
      </c>
      <c r="R2902">
        <v>3.9854359999999998E-2</v>
      </c>
      <c r="S2902">
        <v>3.001862</v>
      </c>
      <c r="T2902">
        <v>-0.23451859999999999</v>
      </c>
      <c r="U2902">
        <v>0.15127560000000001</v>
      </c>
      <c r="V2902">
        <v>9.4435709999999998E-4</v>
      </c>
      <c r="W2902">
        <v>3.0423059999999998E-2</v>
      </c>
      <c r="X2902">
        <v>0.99953669999999994</v>
      </c>
      <c r="Y2902">
        <v>-9.4749150000000004E-3</v>
      </c>
      <c r="Z2902">
        <v>-2.8223160000000001E-3</v>
      </c>
      <c r="AA2902">
        <v>0.99995109999999998</v>
      </c>
      <c r="AB2902">
        <v>33</v>
      </c>
      <c r="AC2902">
        <v>13.8919999999999</v>
      </c>
      <c r="AD2902">
        <v>-1.111259230458</v>
      </c>
      <c r="AE2902">
        <v>0.70159999999998401</v>
      </c>
      <c r="AF2902">
        <v>-0.13115195891957299</v>
      </c>
      <c r="AG2902">
        <v>-1.111259230458</v>
      </c>
      <c r="AH2902">
        <v>13.8208667366182</v>
      </c>
      <c r="AI2902">
        <v>94.596740529145194</v>
      </c>
      <c r="AJ2902">
        <v>90.543687188361005</v>
      </c>
      <c r="AK2902">
        <v>13.866090121767</v>
      </c>
      <c r="AL2902">
        <v>88.256618116916201</v>
      </c>
      <c r="AM2902">
        <v>89.945867260217895</v>
      </c>
      <c r="AN2902">
        <v>1.0000000345184901</v>
      </c>
    </row>
    <row r="2903" spans="1:40" x14ac:dyDescent="0.25">
      <c r="A2903" t="str">
        <f>"20190312151555029"</f>
        <v>20190312151555029</v>
      </c>
      <c r="B2903" t="str">
        <f>"1552374955020170"</f>
        <v>1552374955020170</v>
      </c>
      <c r="C2903" t="s">
        <v>40</v>
      </c>
      <c r="D2903">
        <v>4.9694339999999997</v>
      </c>
      <c r="E2903">
        <v>0.49516939999999998</v>
      </c>
      <c r="F2903" t="s">
        <v>52</v>
      </c>
      <c r="G2903">
        <v>-411.77879999999999</v>
      </c>
      <c r="H2903" s="1">
        <v>2.729911E-6</v>
      </c>
      <c r="I2903">
        <v>212.22980000000001</v>
      </c>
      <c r="J2903">
        <v>-425.55560000000003</v>
      </c>
      <c r="K2903">
        <v>1.111267</v>
      </c>
      <c r="L2903">
        <v>211.51490000000001</v>
      </c>
      <c r="M2903">
        <v>0.99901119999999999</v>
      </c>
      <c r="N2903">
        <v>0</v>
      </c>
      <c r="O2903">
        <v>4.3332160000000002E-2</v>
      </c>
      <c r="P2903">
        <v>0.99888809999999995</v>
      </c>
      <c r="Q2903">
        <v>2.1005759999999998E-2</v>
      </c>
      <c r="R2903">
        <v>4.2208540000000003E-2</v>
      </c>
      <c r="S2903">
        <v>3.0016780000000001</v>
      </c>
      <c r="T2903">
        <v>-0.2365506</v>
      </c>
      <c r="U2903">
        <v>0.15550229999999901</v>
      </c>
      <c r="V2903">
        <v>9.5997349999999999E-4</v>
      </c>
      <c r="W2903">
        <v>3.0953060000000001E-2</v>
      </c>
      <c r="X2903">
        <v>0.99952039999999998</v>
      </c>
      <c r="Y2903">
        <v>-8.5184130000000007E-3</v>
      </c>
      <c r="Z2903">
        <v>-3.0707830000000001E-3</v>
      </c>
      <c r="AA2903">
        <v>0.99995900000000004</v>
      </c>
      <c r="AB2903">
        <v>33</v>
      </c>
      <c r="AC2903">
        <v>13.7768</v>
      </c>
      <c r="AD2903">
        <v>-1.1112642700890001</v>
      </c>
      <c r="AE2903">
        <v>0.71489999999999998</v>
      </c>
      <c r="AF2903">
        <v>-0.116464678403101</v>
      </c>
      <c r="AG2903">
        <v>-1.1112642700890001</v>
      </c>
      <c r="AH2903">
        <v>13.705902119027099</v>
      </c>
      <c r="AI2903">
        <v>94.635192610480203</v>
      </c>
      <c r="AJ2903">
        <v>90.486854048368798</v>
      </c>
      <c r="AK2903">
        <v>13.75137175687</v>
      </c>
      <c r="AL2903">
        <v>88.226237022637605</v>
      </c>
      <c r="AM2903">
        <v>89.944971195102795</v>
      </c>
      <c r="AN2903">
        <v>1.0000000217443199</v>
      </c>
    </row>
    <row r="2904" spans="1:40" x14ac:dyDescent="0.25">
      <c r="A2904" t="str">
        <f>"20190312151555051"</f>
        <v>20190312151555051</v>
      </c>
      <c r="B2904" t="str">
        <f>"1552374955040670"</f>
        <v>1552374955040670</v>
      </c>
      <c r="C2904" t="s">
        <v>40</v>
      </c>
      <c r="D2904">
        <v>4.8775250000000003</v>
      </c>
      <c r="E2904">
        <v>0.504200599999999</v>
      </c>
      <c r="F2904" t="s">
        <v>52</v>
      </c>
      <c r="G2904">
        <v>-411.44279999999998</v>
      </c>
      <c r="H2904" s="1">
        <v>2.666982E-6</v>
      </c>
      <c r="I2904">
        <v>212.2679</v>
      </c>
      <c r="J2904">
        <v>-425.24169999999998</v>
      </c>
      <c r="K2904">
        <v>1.1112759999999999</v>
      </c>
      <c r="L2904">
        <v>211.5307</v>
      </c>
      <c r="M2904">
        <v>0.99890900000000005</v>
      </c>
      <c r="N2904">
        <v>0</v>
      </c>
      <c r="O2904">
        <v>4.5629070000000001E-2</v>
      </c>
      <c r="P2904">
        <v>0.99879470000000004</v>
      </c>
      <c r="Q2904">
        <v>2.0967010000000001E-2</v>
      </c>
      <c r="R2904">
        <v>4.4381219999999999E-2</v>
      </c>
      <c r="S2904">
        <v>3.0015869999999998</v>
      </c>
      <c r="T2904">
        <v>-0.23634959999999999</v>
      </c>
      <c r="U2904">
        <v>0.160156299999999</v>
      </c>
      <c r="V2904">
        <v>1.0838620000000001E-3</v>
      </c>
      <c r="W2904">
        <v>3.091636E-2</v>
      </c>
      <c r="X2904">
        <v>0.9995214</v>
      </c>
      <c r="Y2904">
        <v>-7.7760939999999999E-3</v>
      </c>
      <c r="Z2904">
        <v>-3.277505E-3</v>
      </c>
      <c r="AA2904">
        <v>0.99996439999999998</v>
      </c>
      <c r="AB2904">
        <v>33</v>
      </c>
      <c r="AC2904">
        <v>13.7989</v>
      </c>
      <c r="AD2904">
        <v>-1.111273333018</v>
      </c>
      <c r="AE2904">
        <v>0.73720000000000097</v>
      </c>
      <c r="AF2904">
        <v>-0.10608395103914101</v>
      </c>
      <c r="AG2904">
        <v>-1.111273333018</v>
      </c>
      <c r="AH2904">
        <v>13.729375403850399</v>
      </c>
      <c r="AI2904">
        <v>94.627368581595903</v>
      </c>
      <c r="AJ2904">
        <v>90.442703439317896</v>
      </c>
      <c r="AK2904">
        <v>13.774684432145699</v>
      </c>
      <c r="AL2904">
        <v>88.228340768277704</v>
      </c>
      <c r="AM2904">
        <v>89.937869570542802</v>
      </c>
      <c r="AN2904">
        <v>1.00000001256522</v>
      </c>
    </row>
    <row r="2905" spans="1:40" x14ac:dyDescent="0.25">
      <c r="A2905" t="str">
        <f>"20190312151555073"</f>
        <v>20190312151555073</v>
      </c>
      <c r="B2905" t="str">
        <f>"1552374955070922"</f>
        <v>1552374955070922</v>
      </c>
      <c r="C2905" t="s">
        <v>40</v>
      </c>
      <c r="D2905">
        <v>4.8671150000000001</v>
      </c>
      <c r="E2905">
        <v>0.50266009999999905</v>
      </c>
      <c r="F2905" t="s">
        <v>41</v>
      </c>
      <c r="G2905">
        <v>-424.48759999999999</v>
      </c>
      <c r="H2905">
        <v>1.0433520000000001</v>
      </c>
      <c r="I2905">
        <v>211.554</v>
      </c>
      <c r="J2905">
        <v>-424.91340000000002</v>
      </c>
      <c r="K2905">
        <v>1.1112839999999999</v>
      </c>
      <c r="L2905">
        <v>211.54810000000001</v>
      </c>
      <c r="M2905">
        <v>0.99879640000000003</v>
      </c>
      <c r="N2905">
        <v>0</v>
      </c>
      <c r="O2905">
        <v>4.8028139999999997E-2</v>
      </c>
      <c r="P2905">
        <v>0.9986855</v>
      </c>
      <c r="Q2905">
        <v>2.1345240000000001E-2</v>
      </c>
      <c r="R2905">
        <v>4.6600679999999998E-2</v>
      </c>
      <c r="S2905">
        <v>3.0051269999999999</v>
      </c>
      <c r="T2905">
        <v>-0.27101399999999998</v>
      </c>
      <c r="U2905">
        <v>9.3978880000000001E-2</v>
      </c>
      <c r="V2905">
        <v>1.260714E-3</v>
      </c>
      <c r="W2905">
        <v>3.1298119999999999E-2</v>
      </c>
      <c r="X2905">
        <v>0.99950930000000004</v>
      </c>
      <c r="Y2905">
        <v>1.652404E-2</v>
      </c>
      <c r="Z2905">
        <v>-5.0631080000000002E-3</v>
      </c>
      <c r="AA2905">
        <v>0.99985060000000003</v>
      </c>
      <c r="AB2905">
        <v>33</v>
      </c>
      <c r="AC2905">
        <v>0.42580000000003698</v>
      </c>
      <c r="AD2905">
        <v>-6.7931999999999798E-2</v>
      </c>
      <c r="AE2905">
        <v>5.8999999999968999E-3</v>
      </c>
      <c r="AF2905">
        <v>1.4196920642095901E-2</v>
      </c>
      <c r="AG2905">
        <v>-6.7931999999999798E-2</v>
      </c>
      <c r="AH2905">
        <v>0.41503025001314398</v>
      </c>
      <c r="AI2905">
        <v>99.290384218016399</v>
      </c>
      <c r="AJ2905">
        <v>88.040849815603096</v>
      </c>
      <c r="AK2905">
        <v>0.420792606405686</v>
      </c>
      <c r="AL2905">
        <v>88.206456920714203</v>
      </c>
      <c r="AM2905">
        <v>89.927730984527898</v>
      </c>
      <c r="AN2905">
        <v>1.0000000012509001</v>
      </c>
    </row>
    <row r="2906" spans="1:40" x14ac:dyDescent="0.25">
      <c r="A2906" t="str">
        <f>"20190312151555097"</f>
        <v>20190312151555097</v>
      </c>
      <c r="B2906" t="str">
        <f>"1552374955090780"</f>
        <v>1552374955090780</v>
      </c>
      <c r="C2906" t="s">
        <v>40</v>
      </c>
      <c r="D2906">
        <v>4.872967</v>
      </c>
      <c r="E2906">
        <v>0.50222219999999995</v>
      </c>
      <c r="F2906" t="s">
        <v>41</v>
      </c>
      <c r="G2906">
        <v>-423.9144</v>
      </c>
      <c r="H2906">
        <v>1.0189239999999999</v>
      </c>
      <c r="I2906">
        <v>211.58539999999999</v>
      </c>
      <c r="J2906">
        <v>-424.56490000000002</v>
      </c>
      <c r="K2906">
        <v>1.111291</v>
      </c>
      <c r="L2906">
        <v>211.56739999999999</v>
      </c>
      <c r="M2906">
        <v>0.99867130000000004</v>
      </c>
      <c r="N2906">
        <v>0</v>
      </c>
      <c r="O2906">
        <v>5.0562639999999999E-2</v>
      </c>
      <c r="P2906">
        <v>0.99856330000000004</v>
      </c>
      <c r="Q2906">
        <v>2.195097E-2</v>
      </c>
      <c r="R2906">
        <v>4.8879779999999998E-2</v>
      </c>
      <c r="S2906">
        <v>3.0046390000000001</v>
      </c>
      <c r="T2906">
        <v>-0.27795429999999999</v>
      </c>
      <c r="U2906">
        <v>0.112854</v>
      </c>
      <c r="V2906">
        <v>1.5123960000000001E-3</v>
      </c>
      <c r="W2906">
        <v>3.1912929999999999E-2</v>
      </c>
      <c r="X2906">
        <v>0.99948950000000003</v>
      </c>
      <c r="Y2906">
        <v>1.2774260000000001E-2</v>
      </c>
      <c r="Z2906">
        <v>-5.2528979999999998E-3</v>
      </c>
      <c r="AA2906">
        <v>0.99990460000000003</v>
      </c>
      <c r="AB2906">
        <v>33</v>
      </c>
      <c r="AC2906">
        <v>0.65050000000002195</v>
      </c>
      <c r="AD2906">
        <v>-9.2367000000000005E-2</v>
      </c>
      <c r="AE2906">
        <v>1.8000000000000599E-2</v>
      </c>
      <c r="AF2906">
        <v>1.46210842036416E-2</v>
      </c>
      <c r="AG2906">
        <v>-9.2367000000000005E-2</v>
      </c>
      <c r="AH2906">
        <v>0.63772979787869399</v>
      </c>
      <c r="AI2906">
        <v>98.239116122519803</v>
      </c>
      <c r="AJ2906">
        <v>88.686622946114497</v>
      </c>
      <c r="AK2906">
        <v>0.64455002435396003</v>
      </c>
      <c r="AL2906">
        <v>88.171213277219806</v>
      </c>
      <c r="AM2906">
        <v>89.9133018990034</v>
      </c>
      <c r="AN2906">
        <v>0.99999999152654795</v>
      </c>
    </row>
    <row r="2907" spans="1:40" x14ac:dyDescent="0.25">
      <c r="A2907" t="str">
        <f>"20190312151555120"</f>
        <v>20190312151555120</v>
      </c>
      <c r="B2907" t="str">
        <f>"1552374955110300"</f>
        <v>1552374955110300</v>
      </c>
      <c r="C2907" t="s">
        <v>40</v>
      </c>
      <c r="D2907">
        <v>4.8991220000000002</v>
      </c>
      <c r="E2907">
        <v>0.5019247</v>
      </c>
      <c r="F2907" t="s">
        <v>41</v>
      </c>
      <c r="G2907">
        <v>-423.61770000000001</v>
      </c>
      <c r="H2907">
        <v>1.024994</v>
      </c>
      <c r="I2907">
        <v>211.60640000000001</v>
      </c>
      <c r="J2907">
        <v>-424.23500000000001</v>
      </c>
      <c r="K2907">
        <v>1.111286</v>
      </c>
      <c r="L2907">
        <v>211.5865</v>
      </c>
      <c r="M2907">
        <v>0.99854759999999998</v>
      </c>
      <c r="N2907">
        <v>0</v>
      </c>
      <c r="O2907">
        <v>5.2949339999999998E-2</v>
      </c>
      <c r="P2907">
        <v>0.99844599999999994</v>
      </c>
      <c r="Q2907">
        <v>2.2541829999999999E-2</v>
      </c>
      <c r="R2907">
        <v>5.0967440000000003E-2</v>
      </c>
      <c r="S2907">
        <v>3.0043030000000002</v>
      </c>
      <c r="T2907">
        <v>-0.27362449999999999</v>
      </c>
      <c r="U2907">
        <v>0.1233673</v>
      </c>
      <c r="V2907">
        <v>1.807871E-3</v>
      </c>
      <c r="W2907">
        <v>3.2518199999999997E-2</v>
      </c>
      <c r="X2907">
        <v>0.99946950000000001</v>
      </c>
      <c r="Y2907">
        <v>1.1669260000000001E-2</v>
      </c>
      <c r="Z2907">
        <v>-5.3378499999999999E-3</v>
      </c>
      <c r="AA2907">
        <v>0.99991770000000002</v>
      </c>
      <c r="AB2907">
        <v>33</v>
      </c>
      <c r="AC2907">
        <v>0.61729999999999996</v>
      </c>
      <c r="AD2907">
        <v>-8.6291999999999994E-2</v>
      </c>
      <c r="AE2907">
        <v>1.9900000000006898E-2</v>
      </c>
      <c r="AF2907">
        <v>1.2569792779270899E-2</v>
      </c>
      <c r="AG2907">
        <v>-8.6291999999999994E-2</v>
      </c>
      <c r="AH2907">
        <v>0.60566465633545896</v>
      </c>
      <c r="AI2907">
        <v>98.106914779848495</v>
      </c>
      <c r="AJ2907">
        <v>88.811070293415199</v>
      </c>
      <c r="AK2907">
        <v>0.61191011177170795</v>
      </c>
      <c r="AL2907">
        <v>88.1365158501184</v>
      </c>
      <c r="AM2907">
        <v>89.896361754676903</v>
      </c>
      <c r="AN2907">
        <v>0.99999999157952102</v>
      </c>
    </row>
    <row r="2908" spans="1:40" x14ac:dyDescent="0.25">
      <c r="A2908" t="str">
        <f>"20190312151555140"</f>
        <v>20190312151555140</v>
      </c>
      <c r="B2908" t="str">
        <f>"1552374955130796"</f>
        <v>1552374955130796</v>
      </c>
      <c r="C2908" t="s">
        <v>40</v>
      </c>
      <c r="D2908">
        <v>4.8846600000000002</v>
      </c>
      <c r="E2908">
        <v>0.50148649999999995</v>
      </c>
      <c r="F2908" t="s">
        <v>41</v>
      </c>
      <c r="G2908">
        <v>-423.32190000000003</v>
      </c>
      <c r="H2908">
        <v>1.0285550000000001</v>
      </c>
      <c r="I2908">
        <v>211.62649999999999</v>
      </c>
      <c r="J2908">
        <v>-423.9325</v>
      </c>
      <c r="K2908">
        <v>1.1112799999999901</v>
      </c>
      <c r="L2908">
        <v>211.6046</v>
      </c>
      <c r="M2908">
        <v>0.99843020000000005</v>
      </c>
      <c r="N2908">
        <v>0</v>
      </c>
      <c r="O2908">
        <v>5.5114389999999999E-2</v>
      </c>
      <c r="P2908">
        <v>0.99836670000000005</v>
      </c>
      <c r="Q2908">
        <v>2.2584960000000001E-2</v>
      </c>
      <c r="R2908">
        <v>5.2477580000000003E-2</v>
      </c>
      <c r="S2908">
        <v>3.0040589999999998</v>
      </c>
      <c r="T2908">
        <v>-0.2723969</v>
      </c>
      <c r="U2908">
        <v>0.1323395</v>
      </c>
      <c r="V2908">
        <v>2.463977E-3</v>
      </c>
      <c r="W2908">
        <v>3.2581110000000003E-2</v>
      </c>
      <c r="X2908">
        <v>0.99946610000000002</v>
      </c>
      <c r="Y2908">
        <v>1.084998E-2</v>
      </c>
      <c r="Z2908">
        <v>-5.4724509999999997E-3</v>
      </c>
      <c r="AA2908">
        <v>0.99992610000000004</v>
      </c>
      <c r="AB2908">
        <v>33</v>
      </c>
      <c r="AC2908">
        <v>0.61059999999997605</v>
      </c>
      <c r="AD2908">
        <v>-8.2724999999999896E-2</v>
      </c>
      <c r="AE2908">
        <v>2.1899999999987999E-2</v>
      </c>
      <c r="AF2908">
        <v>1.1575611744687001E-2</v>
      </c>
      <c r="AG2908">
        <v>-8.2724999999999896E-2</v>
      </c>
      <c r="AH2908">
        <v>0.59988205941797201</v>
      </c>
      <c r="AI2908">
        <v>97.850243648384705</v>
      </c>
      <c r="AJ2908">
        <v>88.894530371491598</v>
      </c>
      <c r="AK2908">
        <v>0.60566979916767505</v>
      </c>
      <c r="AL2908">
        <v>88.132909556713798</v>
      </c>
      <c r="AM2908">
        <v>89.858749389386603</v>
      </c>
      <c r="AN2908">
        <v>1.0000000424803399</v>
      </c>
    </row>
    <row r="2909" spans="1:40" x14ac:dyDescent="0.25">
      <c r="A2909" t="str">
        <f>"20190312151555163"</f>
        <v>20190312151555163</v>
      </c>
      <c r="B2909" t="str">
        <f>"1552374955150320"</f>
        <v>1552374955150320</v>
      </c>
      <c r="C2909" t="s">
        <v>40</v>
      </c>
      <c r="D2909">
        <v>4.9810629999999998</v>
      </c>
      <c r="E2909">
        <v>0.50094589999999894</v>
      </c>
      <c r="F2909" t="s">
        <v>41</v>
      </c>
      <c r="G2909">
        <v>-423.02670000000001</v>
      </c>
      <c r="H2909">
        <v>1.0304450000000001</v>
      </c>
      <c r="I2909">
        <v>211.64699999999999</v>
      </c>
      <c r="J2909">
        <v>-423.60419999999999</v>
      </c>
      <c r="K2909">
        <v>1.111259</v>
      </c>
      <c r="L2909">
        <v>211.6251</v>
      </c>
      <c r="M2909">
        <v>0.99829979999999996</v>
      </c>
      <c r="N2909">
        <v>0</v>
      </c>
      <c r="O2909">
        <v>5.7422399999999998E-2</v>
      </c>
      <c r="P2909">
        <v>0.99826539999999997</v>
      </c>
      <c r="Q2909">
        <v>2.2762669999999999E-2</v>
      </c>
      <c r="R2909">
        <v>5.4295299999999998E-2</v>
      </c>
      <c r="S2909">
        <v>3.0036320000000001</v>
      </c>
      <c r="T2909">
        <v>-0.26818309999999901</v>
      </c>
      <c r="U2909">
        <v>0.14096069999999999</v>
      </c>
      <c r="V2909">
        <v>2.955371E-3</v>
      </c>
      <c r="W2909">
        <v>3.2781280000000003E-2</v>
      </c>
      <c r="X2909">
        <v>0.99945819999999996</v>
      </c>
      <c r="Y2909">
        <v>1.0292580000000001E-2</v>
      </c>
      <c r="Z2909">
        <v>-5.5688100000000004E-3</v>
      </c>
      <c r="AA2909">
        <v>0.99993149999999997</v>
      </c>
      <c r="AB2909">
        <v>33</v>
      </c>
      <c r="AC2909">
        <v>0.57749999999998602</v>
      </c>
      <c r="AD2909">
        <v>-8.08139999999999E-2</v>
      </c>
      <c r="AE2909">
        <v>2.1900000000016399E-2</v>
      </c>
      <c r="AF2909">
        <v>1.10825239365026E-2</v>
      </c>
      <c r="AG2909">
        <v>-8.08139999999999E-2</v>
      </c>
      <c r="AH2909">
        <v>0.56672268897681299</v>
      </c>
      <c r="AI2909">
        <v>98.114067690677103</v>
      </c>
      <c r="AJ2909">
        <v>88.879697360974205</v>
      </c>
      <c r="AK2909">
        <v>0.57256294949456199</v>
      </c>
      <c r="AL2909">
        <v>88.121434489181695</v>
      </c>
      <c r="AM2909">
        <v>89.8305784157115</v>
      </c>
      <c r="AN2909">
        <v>1.0000000200417101</v>
      </c>
    </row>
    <row r="2910" spans="1:40" x14ac:dyDescent="0.25">
      <c r="A2910" t="str">
        <f>"20190312151555185"</f>
        <v>20190312151555185</v>
      </c>
      <c r="B2910" t="str">
        <f>"1552374955180572"</f>
        <v>1552374955180572</v>
      </c>
      <c r="C2910" t="s">
        <v>40</v>
      </c>
      <c r="D2910">
        <v>4.870571</v>
      </c>
      <c r="E2910">
        <v>0.4886414</v>
      </c>
      <c r="F2910" t="s">
        <v>41</v>
      </c>
      <c r="G2910">
        <v>-422.73099999999999</v>
      </c>
      <c r="H2910">
        <v>1.0328550000000001</v>
      </c>
      <c r="I2910">
        <v>211.66849999999999</v>
      </c>
      <c r="J2910">
        <v>-423.27229999999997</v>
      </c>
      <c r="K2910">
        <v>1.1112150000000001</v>
      </c>
      <c r="L2910">
        <v>211.6464</v>
      </c>
      <c r="M2910">
        <v>0.99816649999999996</v>
      </c>
      <c r="N2910">
        <v>0</v>
      </c>
      <c r="O2910">
        <v>5.9692990000000001E-2</v>
      </c>
      <c r="P2910">
        <v>0.99816939999999998</v>
      </c>
      <c r="Q2910">
        <v>2.287194E-2</v>
      </c>
      <c r="R2910">
        <v>5.5988139999999999E-2</v>
      </c>
      <c r="S2910">
        <v>3.0031430000000001</v>
      </c>
      <c r="T2910">
        <v>-0.26991530000000002</v>
      </c>
      <c r="U2910">
        <v>0.15065000000000001</v>
      </c>
      <c r="V2910">
        <v>3.536342E-3</v>
      </c>
      <c r="W2910">
        <v>3.2912810000000001E-2</v>
      </c>
      <c r="X2910">
        <v>0.99945200000000001</v>
      </c>
      <c r="Y2910">
        <v>9.3321250000000001E-3</v>
      </c>
      <c r="Z2910">
        <v>-5.7650779999999999E-3</v>
      </c>
      <c r="AA2910">
        <v>0.99993989999999999</v>
      </c>
      <c r="AB2910">
        <v>33</v>
      </c>
      <c r="AC2910">
        <v>0.54129999999997802</v>
      </c>
      <c r="AD2910">
        <v>-7.8360000000000193E-2</v>
      </c>
      <c r="AE2910">
        <v>2.20999999999946E-2</v>
      </c>
      <c r="AF2910">
        <v>1.00427428384957E-2</v>
      </c>
      <c r="AG2910">
        <v>-7.8360000000000193E-2</v>
      </c>
      <c r="AH2910">
        <v>0.53055402847761701</v>
      </c>
      <c r="AI2910">
        <v>98.400059494934695</v>
      </c>
      <c r="AJ2910">
        <v>88.915590042229695</v>
      </c>
      <c r="AK2910">
        <v>0.536403508021292</v>
      </c>
      <c r="AL2910">
        <v>88.113894324613995</v>
      </c>
      <c r="AM2910">
        <v>89.797272279239706</v>
      </c>
      <c r="AN2910">
        <v>1.0000000295404099</v>
      </c>
    </row>
    <row r="2911" spans="1:40" x14ac:dyDescent="0.25">
      <c r="A2911" t="str">
        <f>"20190312151555208"</f>
        <v>20190312151555208</v>
      </c>
      <c r="B2911" t="str">
        <f>"1552374955200092"</f>
        <v>1552374955200092</v>
      </c>
      <c r="C2911" t="s">
        <v>40</v>
      </c>
      <c r="D2911">
        <v>4.847645</v>
      </c>
      <c r="E2911">
        <v>0.48928369999999999</v>
      </c>
      <c r="F2911" t="s">
        <v>41</v>
      </c>
      <c r="G2911">
        <v>-422.43290000000002</v>
      </c>
      <c r="H2911">
        <v>1.0346390000000001</v>
      </c>
      <c r="I2911">
        <v>211.71729999999999</v>
      </c>
      <c r="J2911">
        <v>-422.92630000000003</v>
      </c>
      <c r="K2911">
        <v>1.1111629999999999</v>
      </c>
      <c r="L2911">
        <v>211.6694</v>
      </c>
      <c r="M2911">
        <v>0.9980272</v>
      </c>
      <c r="N2911">
        <v>0</v>
      </c>
      <c r="O2911">
        <v>6.1975540000000003E-2</v>
      </c>
      <c r="P2911">
        <v>0.99807270000000003</v>
      </c>
      <c r="Q2911">
        <v>2.3035489999999999E-2</v>
      </c>
      <c r="R2911">
        <v>5.7624229999999999E-2</v>
      </c>
      <c r="S2911">
        <v>2.997528</v>
      </c>
      <c r="T2911">
        <v>-0.27356780000000003</v>
      </c>
      <c r="U2911">
        <v>0.25370789999999999</v>
      </c>
      <c r="V2911">
        <v>4.1871670000000003E-3</v>
      </c>
      <c r="W2911">
        <v>3.3098679999999998E-2</v>
      </c>
      <c r="X2911">
        <v>0.99944330000000003</v>
      </c>
      <c r="Y2911">
        <v>-2.2579620000000002E-2</v>
      </c>
      <c r="Z2911">
        <v>-4.6019190000000003E-3</v>
      </c>
      <c r="AA2911">
        <v>0.99973449999999997</v>
      </c>
      <c r="AB2911">
        <v>33</v>
      </c>
      <c r="AC2911">
        <v>0.493400000000008</v>
      </c>
      <c r="AD2911">
        <v>-7.6523999999999995E-2</v>
      </c>
      <c r="AE2911">
        <v>4.7899999999998499E-2</v>
      </c>
      <c r="AF2911">
        <v>-1.6826660806563001E-2</v>
      </c>
      <c r="AG2911">
        <v>-7.6523999999999995E-2</v>
      </c>
      <c r="AH2911">
        <v>0.48388915152287398</v>
      </c>
      <c r="AI2911">
        <v>98.981201336052195</v>
      </c>
      <c r="AJ2911">
        <v>91.9915890356598</v>
      </c>
      <c r="AK2911">
        <v>0.49019156464735902</v>
      </c>
      <c r="AL2911">
        <v>88.103238863571903</v>
      </c>
      <c r="AM2911">
        <v>89.759960776541206</v>
      </c>
      <c r="AN2911">
        <v>0.99999998245005906</v>
      </c>
    </row>
    <row r="2912" spans="1:40" x14ac:dyDescent="0.25">
      <c r="A2912" t="str">
        <f>"20190312151555231"</f>
        <v>20190312151555231</v>
      </c>
      <c r="B2912" t="str">
        <f>"1552374955220588"</f>
        <v>1552374955220588</v>
      </c>
      <c r="C2912" t="s">
        <v>40</v>
      </c>
      <c r="D2912">
        <v>5.0717540000000003</v>
      </c>
      <c r="E2912">
        <v>0.49129709999999899</v>
      </c>
      <c r="F2912" t="s">
        <v>52</v>
      </c>
      <c r="G2912">
        <v>-410.82049999999998</v>
      </c>
      <c r="H2912" s="1">
        <v>2.5194879999999999E-6</v>
      </c>
      <c r="I2912">
        <v>212.69229999999999</v>
      </c>
      <c r="J2912">
        <v>-422.60449999999997</v>
      </c>
      <c r="K2912">
        <v>1.111094</v>
      </c>
      <c r="L2912">
        <v>211.69139999999999</v>
      </c>
      <c r="M2912">
        <v>0.99789939999999999</v>
      </c>
      <c r="N2912">
        <v>0</v>
      </c>
      <c r="O2912">
        <v>6.3997600000000002E-2</v>
      </c>
      <c r="P2912">
        <v>0.99797000000000002</v>
      </c>
      <c r="Q2912">
        <v>2.316441E-2</v>
      </c>
      <c r="R2912">
        <v>5.9325450000000002E-2</v>
      </c>
      <c r="S2912">
        <v>2.997528</v>
      </c>
      <c r="T2912">
        <v>-0.27513399999999999</v>
      </c>
      <c r="U2912">
        <v>0.25329590000000002</v>
      </c>
      <c r="V2912">
        <v>4.5134959999999997E-3</v>
      </c>
      <c r="W2912">
        <v>3.3244990000000002E-2</v>
      </c>
      <c r="X2912">
        <v>0.99943700000000002</v>
      </c>
      <c r="Y2912">
        <v>-2.0436639999999999E-2</v>
      </c>
      <c r="Z2912">
        <v>-4.9105269999999996E-3</v>
      </c>
      <c r="AA2912">
        <v>0.99977910000000003</v>
      </c>
      <c r="AB2912">
        <v>33</v>
      </c>
      <c r="AC2912">
        <v>11.783999999999899</v>
      </c>
      <c r="AD2912">
        <v>-1.111091480512</v>
      </c>
      <c r="AE2912">
        <v>1.0008999999999999</v>
      </c>
      <c r="AF2912">
        <v>-0.24252152369732499</v>
      </c>
      <c r="AG2912">
        <v>-1.111091480512</v>
      </c>
      <c r="AH2912">
        <v>11.7204479825969</v>
      </c>
      <c r="AI2912">
        <v>95.414269675321194</v>
      </c>
      <c r="AJ2912">
        <v>91.185404951346499</v>
      </c>
      <c r="AK2912">
        <v>11.775493275454901</v>
      </c>
      <c r="AL2912">
        <v>88.094851257217201</v>
      </c>
      <c r="AM2912">
        <v>89.741251811142803</v>
      </c>
      <c r="AN2912">
        <v>0.99999995898761995</v>
      </c>
    </row>
    <row r="2913" spans="1:40" x14ac:dyDescent="0.25">
      <c r="A2913" t="str">
        <f>"20190312151555252"</f>
        <v>20190312151555252</v>
      </c>
      <c r="B2913" t="str">
        <f>"1552374955240108"</f>
        <v>1552374955240108</v>
      </c>
      <c r="C2913" t="s">
        <v>40</v>
      </c>
      <c r="D2913">
        <v>5.0982229999999999</v>
      </c>
      <c r="E2913">
        <v>0.49287740000000002</v>
      </c>
      <c r="F2913" t="s">
        <v>41</v>
      </c>
      <c r="G2913">
        <v>-421.82889999999998</v>
      </c>
      <c r="H2913">
        <v>1.039461</v>
      </c>
      <c r="I2913">
        <v>211.75389999999999</v>
      </c>
      <c r="J2913">
        <v>-422.27809999999999</v>
      </c>
      <c r="K2913">
        <v>1.1110059999999999</v>
      </c>
      <c r="L2913">
        <v>211.71420000000001</v>
      </c>
      <c r="M2913">
        <v>0.99777340000000003</v>
      </c>
      <c r="N2913">
        <v>0</v>
      </c>
      <c r="O2913">
        <v>6.5929630000000003E-2</v>
      </c>
      <c r="P2913">
        <v>0.99786379999999997</v>
      </c>
      <c r="Q2913">
        <v>2.323426E-2</v>
      </c>
      <c r="R2913">
        <v>6.1058689999999999E-2</v>
      </c>
      <c r="S2913">
        <v>2.998138</v>
      </c>
      <c r="T2913">
        <v>-0.2771884</v>
      </c>
      <c r="U2913">
        <v>0.24278259999999999</v>
      </c>
      <c r="V2913">
        <v>4.719226E-3</v>
      </c>
      <c r="W2913">
        <v>3.3330770000000003E-2</v>
      </c>
      <c r="X2913">
        <v>0.99943320000000002</v>
      </c>
      <c r="Y2913">
        <v>-1.5035150000000001E-2</v>
      </c>
      <c r="Z2913">
        <v>-5.373119E-3</v>
      </c>
      <c r="AA2913">
        <v>0.99987250000000005</v>
      </c>
      <c r="AB2913">
        <v>33</v>
      </c>
      <c r="AC2913">
        <v>0.44920000000001797</v>
      </c>
      <c r="AD2913">
        <v>-7.15449999999999E-2</v>
      </c>
      <c r="AE2913">
        <v>3.9699999999982E-2</v>
      </c>
      <c r="AF2913">
        <v>-9.7510775290893404E-3</v>
      </c>
      <c r="AG2913">
        <v>-7.15449999999999E-2</v>
      </c>
      <c r="AH2913">
        <v>0.439770648507391</v>
      </c>
      <c r="AI2913">
        <v>99.238097229603696</v>
      </c>
      <c r="AJ2913">
        <v>91.270216775081806</v>
      </c>
      <c r="AK2913">
        <v>0.44565905558688002</v>
      </c>
      <c r="AL2913">
        <v>88.089933713719404</v>
      </c>
      <c r="AM2913">
        <v>89.729456933378501</v>
      </c>
      <c r="AN2913">
        <v>0.99999996629253496</v>
      </c>
    </row>
    <row r="2914" spans="1:40" x14ac:dyDescent="0.25">
      <c r="A2914" t="str">
        <f>"20190312151555275"</f>
        <v>20190312151555275</v>
      </c>
      <c r="B2914" t="str">
        <f>"1552374955270364"</f>
        <v>1552374955270364</v>
      </c>
      <c r="C2914" t="s">
        <v>40</v>
      </c>
      <c r="D2914">
        <v>4.8689169999999997</v>
      </c>
      <c r="E2914">
        <v>0.4927396</v>
      </c>
      <c r="F2914" t="s">
        <v>52</v>
      </c>
      <c r="G2914">
        <v>-410.24270000000001</v>
      </c>
      <c r="H2914" s="1">
        <v>2.4198539999999999E-6</v>
      </c>
      <c r="I2914">
        <v>212.65969999999999</v>
      </c>
      <c r="J2914">
        <v>-421.94540000000001</v>
      </c>
      <c r="K2914">
        <v>1.1108990000000001</v>
      </c>
      <c r="L2914">
        <v>211.738</v>
      </c>
      <c r="M2914">
        <v>0.99765179999999998</v>
      </c>
      <c r="N2914">
        <v>0</v>
      </c>
      <c r="O2914">
        <v>6.7745100000000003E-2</v>
      </c>
      <c r="P2914">
        <v>0.9977741</v>
      </c>
      <c r="Q2914">
        <v>2.3332539999999999E-2</v>
      </c>
      <c r="R2914">
        <v>6.247225E-2</v>
      </c>
      <c r="S2914">
        <v>2.9984440000000001</v>
      </c>
      <c r="T2914">
        <v>-0.2767889</v>
      </c>
      <c r="U2914">
        <v>0.23554990000000001</v>
      </c>
      <c r="V2914">
        <v>5.1300119999999998E-3</v>
      </c>
      <c r="W2914">
        <v>3.3443720000000003E-2</v>
      </c>
      <c r="X2914">
        <v>0.99942739999999997</v>
      </c>
      <c r="Y2914">
        <v>-1.0835559999999999E-2</v>
      </c>
      <c r="Z2914">
        <v>-5.7251100000000003E-3</v>
      </c>
      <c r="AA2914">
        <v>0.99992490000000001</v>
      </c>
      <c r="AB2914">
        <v>33</v>
      </c>
      <c r="AC2914">
        <v>11.702699999999901</v>
      </c>
      <c r="AD2914">
        <v>-1.110896580146</v>
      </c>
      <c r="AE2914">
        <v>0.92169999999998697</v>
      </c>
      <c r="AF2914">
        <v>-0.125616555660927</v>
      </c>
      <c r="AG2914">
        <v>-1.110896580146</v>
      </c>
      <c r="AH2914">
        <v>11.6340672340034</v>
      </c>
      <c r="AI2914">
        <v>95.454121382288406</v>
      </c>
      <c r="AJ2914">
        <v>90.618615885562093</v>
      </c>
      <c r="AK2914">
        <v>11.6876597801334</v>
      </c>
      <c r="AL2914">
        <v>88.083458540168607</v>
      </c>
      <c r="AM2914">
        <v>89.705906146759702</v>
      </c>
      <c r="AN2914">
        <v>0.99999996365065802</v>
      </c>
    </row>
    <row r="2915" spans="1:40" x14ac:dyDescent="0.25">
      <c r="A2915" t="str">
        <f>"20190312151555299"</f>
        <v>20190312151555299</v>
      </c>
      <c r="B2915" t="str">
        <f>"1552374955290860"</f>
        <v>1552374955290860</v>
      </c>
      <c r="C2915" t="s">
        <v>40</v>
      </c>
      <c r="D2915">
        <v>5.0294420000000004</v>
      </c>
      <c r="E2915">
        <v>0.49274319999999999</v>
      </c>
      <c r="F2915" t="s">
        <v>41</v>
      </c>
      <c r="G2915">
        <v>-420.96289999999999</v>
      </c>
      <c r="H2915">
        <v>1.0225470000000001</v>
      </c>
      <c r="I2915">
        <v>211.81659999999999</v>
      </c>
      <c r="J2915">
        <v>-421.59300000000002</v>
      </c>
      <c r="K2915">
        <v>1.1107769999999999</v>
      </c>
      <c r="L2915">
        <v>211.7637</v>
      </c>
      <c r="M2915">
        <v>0.99753080000000005</v>
      </c>
      <c r="N2915">
        <v>0</v>
      </c>
      <c r="O2915">
        <v>6.9499069999999996E-2</v>
      </c>
      <c r="P2915">
        <v>0.9977163</v>
      </c>
      <c r="Q2915">
        <v>2.3491999999999999E-2</v>
      </c>
      <c r="R2915">
        <v>6.3324530000000004E-2</v>
      </c>
      <c r="S2915">
        <v>2.997925</v>
      </c>
      <c r="T2915">
        <v>-0.26975949999999999</v>
      </c>
      <c r="U2915">
        <v>0.24070739999999999</v>
      </c>
      <c r="V2915">
        <v>6.042993E-3</v>
      </c>
      <c r="W2915">
        <v>3.3618139999999998E-2</v>
      </c>
      <c r="X2915">
        <v>0.99941650000000004</v>
      </c>
      <c r="Y2915">
        <v>-1.0795580000000001E-2</v>
      </c>
      <c r="Z2915">
        <v>-5.7393619999999996E-3</v>
      </c>
      <c r="AA2915">
        <v>0.99992530000000002</v>
      </c>
      <c r="AB2915">
        <v>33</v>
      </c>
      <c r="AC2915">
        <v>0.63010000000002697</v>
      </c>
      <c r="AD2915">
        <v>-8.8230000000000197E-2</v>
      </c>
      <c r="AE2915">
        <v>5.2899999999993903E-2</v>
      </c>
      <c r="AF2915">
        <v>-8.8070027709982596E-3</v>
      </c>
      <c r="AG2915">
        <v>-8.8230000000000197E-2</v>
      </c>
      <c r="AH2915">
        <v>0.62017816764031897</v>
      </c>
      <c r="AI2915">
        <v>98.096077355054305</v>
      </c>
      <c r="AJ2915">
        <v>90.813589061345098</v>
      </c>
      <c r="AK2915">
        <v>0.626484681229726</v>
      </c>
      <c r="AL2915">
        <v>88.073459493470693</v>
      </c>
      <c r="AM2915">
        <v>89.653564079556006</v>
      </c>
      <c r="AN2915">
        <v>1.0000000187868501</v>
      </c>
    </row>
    <row r="2916" spans="1:40" x14ac:dyDescent="0.25">
      <c r="A2916" t="str">
        <f>"20190312151555321"</f>
        <v>20190312151555321</v>
      </c>
      <c r="B2916" t="str">
        <f>"1552374955310381"</f>
        <v>1552374955310381</v>
      </c>
      <c r="C2916" t="s">
        <v>40</v>
      </c>
      <c r="D2916">
        <v>4.875</v>
      </c>
      <c r="E2916">
        <v>0.49279600000000001</v>
      </c>
      <c r="F2916" t="s">
        <v>41</v>
      </c>
      <c r="G2916">
        <v>-420.6628</v>
      </c>
      <c r="H2916">
        <v>1.0294509999999999</v>
      </c>
      <c r="I2916">
        <v>211.83940000000001</v>
      </c>
      <c r="J2916">
        <v>-421.26670000000001</v>
      </c>
      <c r="K2916">
        <v>1.1106750000000001</v>
      </c>
      <c r="L2916">
        <v>211.78800000000001</v>
      </c>
      <c r="M2916">
        <v>0.99742540000000002</v>
      </c>
      <c r="N2916">
        <v>0</v>
      </c>
      <c r="O2916">
        <v>7.0994500000000002E-2</v>
      </c>
      <c r="P2916">
        <v>0.99768849999999998</v>
      </c>
      <c r="Q2916">
        <v>2.3527070000000001E-2</v>
      </c>
      <c r="R2916">
        <v>6.3751409999999994E-2</v>
      </c>
      <c r="S2916">
        <v>2.9975589999999999</v>
      </c>
      <c r="T2916">
        <v>-0.2621019</v>
      </c>
      <c r="U2916">
        <v>0.24389649999999999</v>
      </c>
      <c r="V2916">
        <v>7.122494E-3</v>
      </c>
      <c r="W2916">
        <v>3.3667229999999999E-2</v>
      </c>
      <c r="X2916">
        <v>0.99940770000000001</v>
      </c>
      <c r="Y2916">
        <v>-1.035729E-2</v>
      </c>
      <c r="Z2916">
        <v>-5.7264159999999998E-3</v>
      </c>
      <c r="AA2916">
        <v>0.99992999999999999</v>
      </c>
      <c r="AB2916">
        <v>33</v>
      </c>
      <c r="AC2916">
        <v>0.60390000000000998</v>
      </c>
      <c r="AD2916">
        <v>-8.1223999999999894E-2</v>
      </c>
      <c r="AE2916">
        <v>5.1400000000029401E-2</v>
      </c>
      <c r="AF2916">
        <v>-8.2464119022735601E-3</v>
      </c>
      <c r="AG2916">
        <v>-8.1223999999999894E-2</v>
      </c>
      <c r="AH2916">
        <v>0.59533320743172602</v>
      </c>
      <c r="AI2916">
        <v>97.7684170032216</v>
      </c>
      <c r="AJ2916">
        <v>90.793596555635702</v>
      </c>
      <c r="AK2916">
        <v>0.60090512508732097</v>
      </c>
      <c r="AL2916">
        <v>88.070645178778605</v>
      </c>
      <c r="AM2916">
        <v>89.591676212756497</v>
      </c>
      <c r="AN2916">
        <v>0.99999998155797098</v>
      </c>
    </row>
    <row r="2917" spans="1:40" x14ac:dyDescent="0.25">
      <c r="A2917" t="str">
        <f>"20190312151555342"</f>
        <v>20190312151555342</v>
      </c>
      <c r="B2917" t="str">
        <f>"1552374955330876"</f>
        <v>1552374955330876</v>
      </c>
      <c r="C2917" t="s">
        <v>40</v>
      </c>
      <c r="D2917">
        <v>4.9884779999999997</v>
      </c>
      <c r="E2917">
        <v>0.4934384</v>
      </c>
      <c r="F2917" t="s">
        <v>41</v>
      </c>
      <c r="G2917">
        <v>-420.36380000000003</v>
      </c>
      <c r="H2917">
        <v>1.0321689999999999</v>
      </c>
      <c r="I2917">
        <v>211.8613</v>
      </c>
      <c r="J2917">
        <v>-420.94729999999998</v>
      </c>
      <c r="K2917">
        <v>1.110571</v>
      </c>
      <c r="L2917">
        <v>211.81209999999999</v>
      </c>
      <c r="M2917">
        <v>0.99732960000000004</v>
      </c>
      <c r="N2917">
        <v>0</v>
      </c>
      <c r="O2917">
        <v>7.232566E-2</v>
      </c>
      <c r="P2917">
        <v>0.99764719999999996</v>
      </c>
      <c r="Q2917">
        <v>2.3628449999999999E-2</v>
      </c>
      <c r="R2917">
        <v>6.4354949999999994E-2</v>
      </c>
      <c r="S2917">
        <v>2.9974980000000002</v>
      </c>
      <c r="T2917">
        <v>-0.2608972</v>
      </c>
      <c r="U2917">
        <v>0.24479680000000001</v>
      </c>
      <c r="V2917">
        <v>7.8600130000000008E-3</v>
      </c>
      <c r="W2917">
        <v>3.3781129999999999E-2</v>
      </c>
      <c r="X2917">
        <v>0.99939840000000002</v>
      </c>
      <c r="Y2917">
        <v>-9.3293950000000007E-3</v>
      </c>
      <c r="Z2917">
        <v>-5.8598640000000002E-3</v>
      </c>
      <c r="AA2917">
        <v>0.99993929999999998</v>
      </c>
      <c r="AB2917">
        <v>33</v>
      </c>
      <c r="AC2917">
        <v>0.58349999999995805</v>
      </c>
      <c r="AD2917">
        <v>-7.8401999999999805E-2</v>
      </c>
      <c r="AE2917">
        <v>4.9200000000013198E-2</v>
      </c>
      <c r="AF2917">
        <v>-6.7460137284755103E-3</v>
      </c>
      <c r="AG2917">
        <v>-7.8401999999999805E-2</v>
      </c>
      <c r="AH2917">
        <v>0.57521863843111598</v>
      </c>
      <c r="AI2917">
        <v>97.761029874517206</v>
      </c>
      <c r="AJ2917">
        <v>90.671919110875194</v>
      </c>
      <c r="AK2917">
        <v>0.58057632082592903</v>
      </c>
      <c r="AL2917">
        <v>88.064115613941595</v>
      </c>
      <c r="AM2917">
        <v>89.549392627697998</v>
      </c>
      <c r="AN2917">
        <v>1.00000005323549</v>
      </c>
    </row>
    <row r="2918" spans="1:40" x14ac:dyDescent="0.25">
      <c r="A2918" t="str">
        <f>"20190312151555364"</f>
        <v>20190312151555364</v>
      </c>
      <c r="B2918" t="str">
        <f>"1552374955360156"</f>
        <v>1552374955360156</v>
      </c>
      <c r="C2918" t="s">
        <v>40</v>
      </c>
      <c r="D2918">
        <v>5.0576489999999996</v>
      </c>
      <c r="E2918">
        <v>0.49387550000000002</v>
      </c>
      <c r="F2918" t="s">
        <v>41</v>
      </c>
      <c r="G2918">
        <v>-420.0659</v>
      </c>
      <c r="H2918">
        <v>1.0329900000000001</v>
      </c>
      <c r="I2918">
        <v>211.88339999999999</v>
      </c>
      <c r="J2918">
        <v>-420.62310000000002</v>
      </c>
      <c r="K2918">
        <v>1.1104609999999999</v>
      </c>
      <c r="L2918">
        <v>211.83680000000001</v>
      </c>
      <c r="M2918">
        <v>0.9972415</v>
      </c>
      <c r="N2918">
        <v>0</v>
      </c>
      <c r="O2918">
        <v>7.3529330000000004E-2</v>
      </c>
      <c r="P2918">
        <v>0.99765000000000004</v>
      </c>
      <c r="Q2918">
        <v>2.3672180000000001E-2</v>
      </c>
      <c r="R2918">
        <v>6.429609E-2</v>
      </c>
      <c r="S2918">
        <v>2.9977420000000001</v>
      </c>
      <c r="T2918">
        <v>-0.26373289999999999</v>
      </c>
      <c r="U2918">
        <v>0.24165339999999999</v>
      </c>
      <c r="V2918">
        <v>9.134507E-3</v>
      </c>
      <c r="W2918">
        <v>3.3843079999999998E-2</v>
      </c>
      <c r="X2918">
        <v>0.99938539999999998</v>
      </c>
      <c r="Y2918">
        <v>-7.0925199999999997E-3</v>
      </c>
      <c r="Z2918">
        <v>-6.126355E-3</v>
      </c>
      <c r="AA2918">
        <v>0.99995610000000001</v>
      </c>
      <c r="AB2918">
        <v>33</v>
      </c>
      <c r="AC2918">
        <v>0.55720000000002201</v>
      </c>
      <c r="AD2918">
        <v>-7.7471000000000206E-2</v>
      </c>
      <c r="AE2918">
        <v>4.6599999999983703E-2</v>
      </c>
      <c r="AF2918">
        <v>-5.3975777969034397E-3</v>
      </c>
      <c r="AG2918">
        <v>-7.7471000000000206E-2</v>
      </c>
      <c r="AH2918">
        <v>0.54858705659801099</v>
      </c>
      <c r="AI2918">
        <v>98.037724522974997</v>
      </c>
      <c r="AJ2918">
        <v>90.563718091335403</v>
      </c>
      <c r="AK2918">
        <v>0.55405653895062201</v>
      </c>
      <c r="AL2918">
        <v>88.060563978461104</v>
      </c>
      <c r="AM2918">
        <v>89.476324023382602</v>
      </c>
      <c r="AN2918">
        <v>0.99999998550758895</v>
      </c>
    </row>
    <row r="2919" spans="1:40" x14ac:dyDescent="0.25">
      <c r="A2919" t="str">
        <f>"20190312151555387"</f>
        <v>20190312151555387</v>
      </c>
      <c r="B2919" t="str">
        <f>"1552374955380652"</f>
        <v>1552374955380652</v>
      </c>
      <c r="C2919" t="s">
        <v>40</v>
      </c>
      <c r="D2919">
        <v>4.8093450000000004</v>
      </c>
      <c r="E2919">
        <v>0.49398900000000001</v>
      </c>
      <c r="F2919" t="s">
        <v>41</v>
      </c>
      <c r="G2919">
        <v>-419.76639999999998</v>
      </c>
      <c r="H2919">
        <v>1.035299</v>
      </c>
      <c r="I2919">
        <v>211.90440000000001</v>
      </c>
      <c r="J2919">
        <v>-420.27820000000003</v>
      </c>
      <c r="K2919">
        <v>1.1103270000000001</v>
      </c>
      <c r="L2919">
        <v>211.86340000000001</v>
      </c>
      <c r="M2919">
        <v>0.99715889999999996</v>
      </c>
      <c r="N2919">
        <v>0</v>
      </c>
      <c r="O2919">
        <v>7.4637439999999999E-2</v>
      </c>
      <c r="P2919">
        <v>0.99764169999999996</v>
      </c>
      <c r="Q2919">
        <v>2.3873120000000001E-2</v>
      </c>
      <c r="R2919">
        <v>6.4351450000000004E-2</v>
      </c>
      <c r="S2919">
        <v>2.9980159999999998</v>
      </c>
      <c r="T2919">
        <v>-0.26340960000000002</v>
      </c>
      <c r="U2919">
        <v>0.2381287</v>
      </c>
      <c r="V2919">
        <v>1.0199939999999999E-2</v>
      </c>
      <c r="W2919">
        <v>3.406182E-2</v>
      </c>
      <c r="X2919">
        <v>0.99936769999999997</v>
      </c>
      <c r="Y2919">
        <v>-4.8180430000000002E-3</v>
      </c>
      <c r="Z2919">
        <v>-6.314928E-3</v>
      </c>
      <c r="AA2919">
        <v>0.99996850000000004</v>
      </c>
      <c r="AB2919">
        <v>33</v>
      </c>
      <c r="AC2919">
        <v>0.51180000000004999</v>
      </c>
      <c r="AD2919">
        <v>-7.5028000000000095E-2</v>
      </c>
      <c r="AE2919">
        <v>4.0999999999996803E-2</v>
      </c>
      <c r="AF2919">
        <v>-2.62809301491449E-3</v>
      </c>
      <c r="AG2919">
        <v>-7.5028000000000095E-2</v>
      </c>
      <c r="AH2919">
        <v>0.50269825968618598</v>
      </c>
      <c r="AI2919">
        <v>98.488652181859806</v>
      </c>
      <c r="AJ2919">
        <v>90.299538069182901</v>
      </c>
      <c r="AK2919">
        <v>0.50827320207582705</v>
      </c>
      <c r="AL2919">
        <v>88.0480239428055</v>
      </c>
      <c r="AM2919">
        <v>89.415237032697306</v>
      </c>
      <c r="AN2919">
        <v>1.0000000230805</v>
      </c>
    </row>
    <row r="2920" spans="1:40" x14ac:dyDescent="0.25">
      <c r="A2920" t="str">
        <f>"20190312151555408"</f>
        <v>20190312151555408</v>
      </c>
      <c r="B2920" t="str">
        <f>"1552374955400172"</f>
        <v>1552374955400172</v>
      </c>
      <c r="C2920" t="s">
        <v>40</v>
      </c>
      <c r="D2920">
        <v>4.8224640000000001</v>
      </c>
      <c r="E2920">
        <v>0.49405480000000002</v>
      </c>
      <c r="F2920" t="s">
        <v>41</v>
      </c>
      <c r="G2920">
        <v>-419.46559999999999</v>
      </c>
      <c r="H2920">
        <v>1.0386879999999901</v>
      </c>
      <c r="I2920">
        <v>211.92750000000001</v>
      </c>
      <c r="J2920">
        <v>-419.96260000000001</v>
      </c>
      <c r="K2920">
        <v>1.1101829999999999</v>
      </c>
      <c r="L2920">
        <v>211.88800000000001</v>
      </c>
      <c r="M2920">
        <v>0.99709510000000001</v>
      </c>
      <c r="N2920">
        <v>0</v>
      </c>
      <c r="O2920">
        <v>7.5484350000000006E-2</v>
      </c>
      <c r="P2920">
        <v>0.99766290000000002</v>
      </c>
      <c r="Q2920">
        <v>2.3563939999999998E-2</v>
      </c>
      <c r="R2920">
        <v>6.4136689999999996E-2</v>
      </c>
      <c r="S2920">
        <v>2.9980769999999999</v>
      </c>
      <c r="T2920">
        <v>-0.26444079999999998</v>
      </c>
      <c r="U2920">
        <v>0.2374725</v>
      </c>
      <c r="V2920">
        <v>1.1276919999999999E-2</v>
      </c>
      <c r="W2920">
        <v>3.3767310000000002E-2</v>
      </c>
      <c r="X2920">
        <v>0.99936610000000003</v>
      </c>
      <c r="Y2920">
        <v>-3.7590259999999999E-3</v>
      </c>
      <c r="Z2920">
        <v>-6.4602100000000001E-3</v>
      </c>
      <c r="AA2920">
        <v>0.99997199999999997</v>
      </c>
      <c r="AB2920">
        <v>33</v>
      </c>
      <c r="AC2920">
        <v>0.49700000000001399</v>
      </c>
      <c r="AD2920">
        <v>-7.1495000000000003E-2</v>
      </c>
      <c r="AE2920">
        <v>3.9500000000003803E-2</v>
      </c>
      <c r="AF2920">
        <v>-1.8319591414097799E-3</v>
      </c>
      <c r="AG2920">
        <v>-7.1495000000000003E-2</v>
      </c>
      <c r="AH2920">
        <v>0.48851789409440899</v>
      </c>
      <c r="AI2920">
        <v>98.326118103951799</v>
      </c>
      <c r="AJ2920">
        <v>90.214860164367593</v>
      </c>
      <c r="AK2920">
        <v>0.49372525148075203</v>
      </c>
      <c r="AL2920">
        <v>88.064907792437296</v>
      </c>
      <c r="AM2920">
        <v>89.353497681727305</v>
      </c>
      <c r="AN2920">
        <v>1.00000000098926</v>
      </c>
    </row>
    <row r="2921" spans="1:40" x14ac:dyDescent="0.25">
      <c r="A2921" t="str">
        <f>"20190312151555431"</f>
        <v>20190312151555431</v>
      </c>
      <c r="B2921" t="str">
        <f>"1552374955420668"</f>
        <v>1552374955420668</v>
      </c>
      <c r="C2921" t="s">
        <v>40</v>
      </c>
      <c r="D2921">
        <v>4.806101</v>
      </c>
      <c r="E2921">
        <v>0.49408849999999999</v>
      </c>
      <c r="F2921" t="s">
        <v>41</v>
      </c>
      <c r="G2921">
        <v>-419.16649999999998</v>
      </c>
      <c r="H2921">
        <v>1.0396350000000001</v>
      </c>
      <c r="I2921">
        <v>211.95050000000001</v>
      </c>
      <c r="J2921">
        <v>-419.62700000000001</v>
      </c>
      <c r="K2921">
        <v>1.110023</v>
      </c>
      <c r="L2921">
        <v>211.91419999999999</v>
      </c>
      <c r="M2921">
        <v>0.99704020000000004</v>
      </c>
      <c r="N2921">
        <v>0</v>
      </c>
      <c r="O2921">
        <v>7.6204850000000005E-2</v>
      </c>
      <c r="P2921">
        <v>0.99767289999999997</v>
      </c>
      <c r="Q2921">
        <v>2.3210129999999999E-2</v>
      </c>
      <c r="R2921">
        <v>6.4110630000000002E-2</v>
      </c>
      <c r="S2921">
        <v>2.998138</v>
      </c>
      <c r="T2921">
        <v>-0.26581300000000002</v>
      </c>
      <c r="U2921">
        <v>0.23649600000000001</v>
      </c>
      <c r="V2921">
        <v>1.203972E-2</v>
      </c>
      <c r="W2921">
        <v>3.3427030000000003E-2</v>
      </c>
      <c r="X2921">
        <v>0.9993687</v>
      </c>
      <c r="Y2921">
        <v>-2.7207899999999998E-3</v>
      </c>
      <c r="Z2921">
        <v>-6.6028659999999998E-3</v>
      </c>
      <c r="AA2921">
        <v>0.99997449999999999</v>
      </c>
      <c r="AB2921">
        <v>33</v>
      </c>
      <c r="AC2921">
        <v>0.46049999999996699</v>
      </c>
      <c r="AD2921">
        <v>-7.0387999999999895E-2</v>
      </c>
      <c r="AE2921">
        <v>3.6300000000011302E-2</v>
      </c>
      <c r="AF2921">
        <v>-1.07531488538305E-3</v>
      </c>
      <c r="AG2921">
        <v>-7.0387999999999895E-2</v>
      </c>
      <c r="AH2921">
        <v>0.45144498751169299</v>
      </c>
      <c r="AI2921">
        <v>98.862015104869201</v>
      </c>
      <c r="AJ2921">
        <v>90.136474852452096</v>
      </c>
      <c r="AK2921">
        <v>0.45690064958974902</v>
      </c>
      <c r="AL2921">
        <v>88.084415526106199</v>
      </c>
      <c r="AM2921">
        <v>89.309772487238206</v>
      </c>
      <c r="AN2921">
        <v>1.0000000598659899</v>
      </c>
    </row>
    <row r="2922" spans="1:40" x14ac:dyDescent="0.25">
      <c r="A2922" t="str">
        <f>"20190312151555453"</f>
        <v>20190312151555453</v>
      </c>
      <c r="B2922" t="str">
        <f>"1552374955450924"</f>
        <v>1552374955450924</v>
      </c>
      <c r="C2922" t="s">
        <v>40</v>
      </c>
      <c r="D2922">
        <v>4.8081779999999998</v>
      </c>
      <c r="E2922">
        <v>0.49425350000000001</v>
      </c>
      <c r="F2922" t="s">
        <v>41</v>
      </c>
      <c r="G2922">
        <v>-418.86590000000001</v>
      </c>
      <c r="H2922">
        <v>1.0419389999999999</v>
      </c>
      <c r="I2922">
        <v>211.97380000000001</v>
      </c>
      <c r="J2922">
        <v>-419.29250000000002</v>
      </c>
      <c r="K2922">
        <v>1.109855</v>
      </c>
      <c r="L2922">
        <v>211.94030000000001</v>
      </c>
      <c r="M2922">
        <v>0.99700029999999995</v>
      </c>
      <c r="N2922">
        <v>0</v>
      </c>
      <c r="O2922">
        <v>7.6720769999999994E-2</v>
      </c>
      <c r="P2922">
        <v>0.99770840000000005</v>
      </c>
      <c r="Q2922">
        <v>2.3210140000000001E-2</v>
      </c>
      <c r="R2922">
        <v>6.3555790000000001E-2</v>
      </c>
      <c r="S2922">
        <v>2.9980470000000001</v>
      </c>
      <c r="T2922">
        <v>-0.2683893</v>
      </c>
      <c r="U2922">
        <v>0.2358856</v>
      </c>
      <c r="V2922">
        <v>1.312693E-2</v>
      </c>
      <c r="W2922">
        <v>3.3438950000000002E-2</v>
      </c>
      <c r="X2922">
        <v>0.99935450000000003</v>
      </c>
      <c r="Y2922">
        <v>-2.0138059999999999E-3</v>
      </c>
      <c r="Z2922">
        <v>-6.7442689999999998E-3</v>
      </c>
      <c r="AA2922">
        <v>0.99997519999999995</v>
      </c>
      <c r="AB2922">
        <v>34</v>
      </c>
      <c r="AC2922">
        <v>0.42660000000000697</v>
      </c>
      <c r="AD2922">
        <v>-6.7916000000000004E-2</v>
      </c>
      <c r="AE2922">
        <v>3.3500000000003603E-2</v>
      </c>
      <c r="AF2922">
        <v>-6.5399035734711004E-4</v>
      </c>
      <c r="AG2922">
        <v>-6.7916000000000004E-2</v>
      </c>
      <c r="AH2922">
        <v>0.41739842215352702</v>
      </c>
      <c r="AI2922">
        <v>99.241744736778301</v>
      </c>
      <c r="AJ2922">
        <v>90.089772396507897</v>
      </c>
      <c r="AK2922">
        <v>0.42288822823015698</v>
      </c>
      <c r="AL2922">
        <v>88.083731964316897</v>
      </c>
      <c r="AM2922">
        <v>89.247439787477902</v>
      </c>
      <c r="AN2922">
        <v>0.99999994816928695</v>
      </c>
    </row>
    <row r="2923" spans="1:40" x14ac:dyDescent="0.25">
      <c r="A2923" t="str">
        <f>"20190312151555476"</f>
        <v>20190312151555476</v>
      </c>
      <c r="B2923" t="str">
        <f>"1552374955470444"</f>
        <v>1552374955470444</v>
      </c>
      <c r="C2923" t="s">
        <v>40</v>
      </c>
      <c r="D2923">
        <v>4.8931849999999999</v>
      </c>
      <c r="E2923">
        <v>0.4945367</v>
      </c>
      <c r="F2923" t="s">
        <v>41</v>
      </c>
      <c r="G2923">
        <v>-418.28160000000003</v>
      </c>
      <c r="H2923">
        <v>1.018983</v>
      </c>
      <c r="I2923">
        <v>212.0187</v>
      </c>
      <c r="J2923">
        <v>-418.95679999999999</v>
      </c>
      <c r="K2923">
        <v>1.109685</v>
      </c>
      <c r="L2923">
        <v>211.9666</v>
      </c>
      <c r="M2923">
        <v>0.99697550000000001</v>
      </c>
      <c r="N2923">
        <v>0</v>
      </c>
      <c r="O2923">
        <v>7.7040280000000003E-2</v>
      </c>
      <c r="P2923">
        <v>0.99772099999999997</v>
      </c>
      <c r="Q2923">
        <v>2.350913E-2</v>
      </c>
      <c r="R2923">
        <v>6.3247730000000002E-2</v>
      </c>
      <c r="S2923">
        <v>2.9983520000000001</v>
      </c>
      <c r="T2923">
        <v>-0.26957979999999998</v>
      </c>
      <c r="U2923">
        <v>0.23274230000000001</v>
      </c>
      <c r="V2923">
        <v>1.3768559999999999E-2</v>
      </c>
      <c r="W2923">
        <v>3.3747289999999999E-2</v>
      </c>
      <c r="X2923">
        <v>0.99933550000000004</v>
      </c>
      <c r="Y2923">
        <v>-6.5270629999999996E-4</v>
      </c>
      <c r="Z2923">
        <v>-6.8632179999999999E-3</v>
      </c>
      <c r="AA2923">
        <v>0.99997619999999998</v>
      </c>
      <c r="AB2923">
        <v>34</v>
      </c>
      <c r="AC2923">
        <v>0.67519999999996105</v>
      </c>
      <c r="AD2923">
        <v>-9.0702000000000005E-2</v>
      </c>
      <c r="AE2923">
        <v>5.2099999999995802E-2</v>
      </c>
      <c r="AF2923" s="1">
        <v>7.3852620404504798E-5</v>
      </c>
      <c r="AG2923">
        <v>-9.0702000000000005E-2</v>
      </c>
      <c r="AH2923">
        <v>0.66527296561562999</v>
      </c>
      <c r="AI2923">
        <v>97.763725144313298</v>
      </c>
      <c r="AJ2923">
        <v>89.993639537969401</v>
      </c>
      <c r="AK2923">
        <v>0.67142756648593505</v>
      </c>
      <c r="AL2923">
        <v>88.066055403993701</v>
      </c>
      <c r="AM2923">
        <v>89.210645006470898</v>
      </c>
      <c r="AN2923">
        <v>0.99999994719353202</v>
      </c>
    </row>
    <row r="2924" spans="1:40" x14ac:dyDescent="0.25">
      <c r="A2924" t="str">
        <f>"20190312151555499"</f>
        <v>20190312151555499</v>
      </c>
      <c r="B2924" t="str">
        <f>"1552374955490941"</f>
        <v>1552374955490941</v>
      </c>
      <c r="C2924" t="s">
        <v>40</v>
      </c>
      <c r="D2924">
        <v>4.801596</v>
      </c>
      <c r="E2924">
        <v>0.49471709999999902</v>
      </c>
      <c r="F2924" t="s">
        <v>41</v>
      </c>
      <c r="G2924">
        <v>-417.98039999999997</v>
      </c>
      <c r="H2924">
        <v>1.0219739999999999</v>
      </c>
      <c r="I2924">
        <v>212.0412</v>
      </c>
      <c r="J2924">
        <v>-418.59890000000001</v>
      </c>
      <c r="K2924">
        <v>1.1095349999999999</v>
      </c>
      <c r="L2924">
        <v>211.99449999999999</v>
      </c>
      <c r="M2924">
        <v>0.99696149999999994</v>
      </c>
      <c r="N2924">
        <v>0</v>
      </c>
      <c r="O2924">
        <v>7.7219369999999996E-2</v>
      </c>
      <c r="P2924">
        <v>0.99777930000000004</v>
      </c>
      <c r="Q2924">
        <v>2.3693220000000001E-2</v>
      </c>
      <c r="R2924">
        <v>6.225058E-2</v>
      </c>
      <c r="S2924">
        <v>2.9986570000000001</v>
      </c>
      <c r="T2924">
        <v>-0.2694087</v>
      </c>
      <c r="U2924">
        <v>0.22964480000000001</v>
      </c>
      <c r="V2924">
        <v>1.495925E-2</v>
      </c>
      <c r="W2924">
        <v>3.3940779999999997E-2</v>
      </c>
      <c r="X2924">
        <v>0.99931190000000003</v>
      </c>
      <c r="Y2924">
        <v>5.5650589999999998E-4</v>
      </c>
      <c r="Z2924">
        <v>-6.9286340000000004E-3</v>
      </c>
      <c r="AA2924">
        <v>0.99997590000000003</v>
      </c>
      <c r="AB2924">
        <v>34</v>
      </c>
      <c r="AC2924">
        <v>0.61850000000004002</v>
      </c>
      <c r="AD2924">
        <v>-8.7561E-2</v>
      </c>
      <c r="AE2924">
        <v>4.67000000000155E-2</v>
      </c>
      <c r="AF2924">
        <v>1.1786526718754601E-3</v>
      </c>
      <c r="AG2924">
        <v>-8.7561E-2</v>
      </c>
      <c r="AH2924">
        <v>0.60814009881195596</v>
      </c>
      <c r="AI2924">
        <v>98.193216762163203</v>
      </c>
      <c r="AJ2924">
        <v>89.888953648698703</v>
      </c>
      <c r="AK2924">
        <v>0.61441248174669805</v>
      </c>
      <c r="AL2924">
        <v>88.054963019552602</v>
      </c>
      <c r="AM2924">
        <v>89.142371989802299</v>
      </c>
      <c r="AN2924">
        <v>1.00000001459459</v>
      </c>
    </row>
    <row r="2925" spans="1:40" x14ac:dyDescent="0.25">
      <c r="A2925" t="str">
        <f>"20190312151555522"</f>
        <v>20190312151555522</v>
      </c>
      <c r="B2925" t="str">
        <f>"1552374955510461"</f>
        <v>1552374955510461</v>
      </c>
      <c r="C2925" t="s">
        <v>40</v>
      </c>
      <c r="D2925">
        <v>4.8415520000000001</v>
      </c>
      <c r="E2925">
        <v>0.49481439999999999</v>
      </c>
      <c r="F2925" t="s">
        <v>41</v>
      </c>
      <c r="G2925">
        <v>-417.678</v>
      </c>
      <c r="H2925">
        <v>1.026807</v>
      </c>
      <c r="I2925">
        <v>212.0634</v>
      </c>
      <c r="J2925">
        <v>-418.2679</v>
      </c>
      <c r="K2925">
        <v>1.1094079999999999</v>
      </c>
      <c r="L2925">
        <v>212.02019999999999</v>
      </c>
      <c r="M2925">
        <v>0.99696030000000002</v>
      </c>
      <c r="N2925">
        <v>0</v>
      </c>
      <c r="O2925">
        <v>7.7236109999999997E-2</v>
      </c>
      <c r="P2925">
        <v>0.99781549999999997</v>
      </c>
      <c r="Q2925">
        <v>2.408716E-2</v>
      </c>
      <c r="R2925">
        <v>6.1515599999999997E-2</v>
      </c>
      <c r="S2925">
        <v>2.9990540000000001</v>
      </c>
      <c r="T2925">
        <v>-0.26950429999999997</v>
      </c>
      <c r="U2925">
        <v>0.225296</v>
      </c>
      <c r="V2925">
        <v>1.5721929999999999E-2</v>
      </c>
      <c r="W2925">
        <v>3.4343949999999998E-2</v>
      </c>
      <c r="X2925">
        <v>0.99928640000000002</v>
      </c>
      <c r="Y2925">
        <v>2.018972E-3</v>
      </c>
      <c r="Z2925">
        <v>-6.9976259999999998E-3</v>
      </c>
      <c r="AA2925">
        <v>0.99997349999999996</v>
      </c>
      <c r="AB2925">
        <v>34</v>
      </c>
      <c r="AC2925">
        <v>0.58989999999994303</v>
      </c>
      <c r="AD2925">
        <v>-8.2600999999999897E-2</v>
      </c>
      <c r="AE2925">
        <v>4.3200000000012999E-2</v>
      </c>
      <c r="AF2925">
        <v>2.4453366507588298E-3</v>
      </c>
      <c r="AG2925">
        <v>-8.2600999999999897E-2</v>
      </c>
      <c r="AH2925">
        <v>0.58015987425399196</v>
      </c>
      <c r="AI2925">
        <v>98.103028677578195</v>
      </c>
      <c r="AJ2925">
        <v>89.758503395181407</v>
      </c>
      <c r="AK2925">
        <v>0.58601568628044698</v>
      </c>
      <c r="AL2925">
        <v>88.031849571260196</v>
      </c>
      <c r="AM2925">
        <v>89.098630862845198</v>
      </c>
      <c r="AN2925">
        <v>0.99999999760474301</v>
      </c>
    </row>
    <row r="2926" spans="1:40" x14ac:dyDescent="0.25">
      <c r="A2926" t="str">
        <f>"20190312151555543"</f>
        <v>20190312151555543</v>
      </c>
      <c r="B2926" t="str">
        <f>"1552374955540716"</f>
        <v>1552374955540716</v>
      </c>
      <c r="C2926" t="s">
        <v>40</v>
      </c>
      <c r="D2926">
        <v>4.7963190000000004</v>
      </c>
      <c r="E2926">
        <v>0.49491629999999998</v>
      </c>
      <c r="F2926" t="s">
        <v>41</v>
      </c>
      <c r="G2926">
        <v>-417.37580000000003</v>
      </c>
      <c r="H2926">
        <v>1.0304530000000001</v>
      </c>
      <c r="I2926">
        <v>212.08619999999999</v>
      </c>
      <c r="J2926">
        <v>-417.94299999999998</v>
      </c>
      <c r="K2926">
        <v>1.109286</v>
      </c>
      <c r="L2926">
        <v>212.0453</v>
      </c>
      <c r="M2926">
        <v>0.99697049999999998</v>
      </c>
      <c r="N2926">
        <v>0</v>
      </c>
      <c r="O2926">
        <v>7.7100550000000004E-2</v>
      </c>
      <c r="P2926">
        <v>0.99786370000000002</v>
      </c>
      <c r="Q2926">
        <v>2.4464429999999999E-2</v>
      </c>
      <c r="R2926">
        <v>6.0578779999999999E-2</v>
      </c>
      <c r="S2926">
        <v>2.9992679999999998</v>
      </c>
      <c r="T2926">
        <v>-0.26547490000000001</v>
      </c>
      <c r="U2926">
        <v>0.2223358</v>
      </c>
      <c r="V2926">
        <v>1.6534380000000001E-2</v>
      </c>
      <c r="W2926">
        <v>3.4732810000000003E-2</v>
      </c>
      <c r="X2926">
        <v>0.99925980000000003</v>
      </c>
      <c r="Y2926">
        <v>2.8764200000000002E-3</v>
      </c>
      <c r="Z2926">
        <v>-6.9191490000000003E-3</v>
      </c>
      <c r="AA2926">
        <v>0.99997190000000002</v>
      </c>
      <c r="AB2926">
        <v>34</v>
      </c>
      <c r="AC2926">
        <v>0.56720000000001303</v>
      </c>
      <c r="AD2926">
        <v>-7.8832999999999903E-2</v>
      </c>
      <c r="AE2926">
        <v>4.0899999999993497E-2</v>
      </c>
      <c r="AF2926">
        <v>2.89976857151597E-3</v>
      </c>
      <c r="AG2926">
        <v>-7.8832999999999903E-2</v>
      </c>
      <c r="AH2926">
        <v>0.55794289836421096</v>
      </c>
      <c r="AI2926">
        <v>98.042106701378501</v>
      </c>
      <c r="AJ2926">
        <v>89.702222207161697</v>
      </c>
      <c r="AK2926">
        <v>0.56349208369046699</v>
      </c>
      <c r="AL2926">
        <v>88.009556140326893</v>
      </c>
      <c r="AM2926">
        <v>89.052034569540595</v>
      </c>
      <c r="AN2926">
        <v>0.99999995085425897</v>
      </c>
    </row>
    <row r="2927" spans="1:40" x14ac:dyDescent="0.25">
      <c r="A2927" t="str">
        <f>"20190312151555577"</f>
        <v>20190312151555577</v>
      </c>
      <c r="B2927" t="str">
        <f>"1552374955570973"</f>
        <v>1552374955570973</v>
      </c>
      <c r="C2927" t="s">
        <v>40</v>
      </c>
      <c r="D2927">
        <v>4.8245329999999997</v>
      </c>
      <c r="E2927">
        <v>0.49514599999999998</v>
      </c>
      <c r="F2927" t="s">
        <v>41</v>
      </c>
      <c r="G2927">
        <v>-417.07350000000002</v>
      </c>
      <c r="H2927">
        <v>1.0337959999999999</v>
      </c>
      <c r="I2927">
        <v>212.1087</v>
      </c>
      <c r="J2927">
        <v>-417.43770000000001</v>
      </c>
      <c r="K2927">
        <v>1.109075</v>
      </c>
      <c r="L2927">
        <v>212.084</v>
      </c>
      <c r="M2927">
        <v>0.99700979999999995</v>
      </c>
      <c r="N2927">
        <v>0</v>
      </c>
      <c r="O2927">
        <v>7.6586760000000004E-2</v>
      </c>
      <c r="P2927">
        <v>0.9979266</v>
      </c>
      <c r="Q2927">
        <v>2.556023E-2</v>
      </c>
      <c r="R2927">
        <v>5.9069379999999998E-2</v>
      </c>
      <c r="S2927">
        <v>2.9995120000000002</v>
      </c>
      <c r="T2927">
        <v>-0.26040020000000003</v>
      </c>
      <c r="U2927">
        <v>0.21896360000000001</v>
      </c>
      <c r="V2927">
        <v>1.7548190000000002E-2</v>
      </c>
      <c r="W2927">
        <v>3.5847440000000001E-2</v>
      </c>
      <c r="X2927">
        <v>0.99920319999999996</v>
      </c>
      <c r="Y2927">
        <v>3.4966020000000001E-3</v>
      </c>
      <c r="Z2927">
        <v>-6.7697180000000001E-3</v>
      </c>
      <c r="AA2927">
        <v>0.99997100000000005</v>
      </c>
      <c r="AB2927">
        <v>34</v>
      </c>
      <c r="AC2927">
        <v>0.36419999999998198</v>
      </c>
      <c r="AD2927">
        <v>-7.5279000000000096E-2</v>
      </c>
      <c r="AE2927">
        <v>2.4699999999995701E-2</v>
      </c>
      <c r="AF2927">
        <v>3.1336606835980999E-3</v>
      </c>
      <c r="AG2927">
        <v>-7.5279000000000096E-2</v>
      </c>
      <c r="AH2927">
        <v>0.35013160319887998</v>
      </c>
      <c r="AI2927">
        <v>102.13351894113001</v>
      </c>
      <c r="AJ2927">
        <v>89.487219273485906</v>
      </c>
      <c r="AK2927">
        <v>0.35814646058407101</v>
      </c>
      <c r="AL2927">
        <v>87.945652848498099</v>
      </c>
      <c r="AM2927">
        <v>88.993864436062495</v>
      </c>
      <c r="AN2927">
        <v>1.0000000064085299</v>
      </c>
    </row>
    <row r="2928" spans="1:40" x14ac:dyDescent="0.25">
      <c r="A2928" t="str">
        <f>"20190312151555599"</f>
        <v>20190312151555599</v>
      </c>
      <c r="B2928" t="str">
        <f>"1552374955590492"</f>
        <v>1552374955590492</v>
      </c>
      <c r="C2928" t="s">
        <v>40</v>
      </c>
      <c r="D2928">
        <v>4.8287420000000001</v>
      </c>
      <c r="E2928">
        <v>0.49531209999999998</v>
      </c>
      <c r="F2928" t="s">
        <v>41</v>
      </c>
      <c r="G2928">
        <v>-416.47449999999998</v>
      </c>
      <c r="H2928">
        <v>1.026556</v>
      </c>
      <c r="I2928">
        <v>212.1523</v>
      </c>
      <c r="J2928">
        <v>-417.1103</v>
      </c>
      <c r="K2928">
        <v>1.108927</v>
      </c>
      <c r="L2928">
        <v>212.1087</v>
      </c>
      <c r="M2928">
        <v>0.99705049999999995</v>
      </c>
      <c r="N2928">
        <v>0</v>
      </c>
      <c r="O2928">
        <v>7.6053029999999994E-2</v>
      </c>
      <c r="P2928">
        <v>0.99795290000000003</v>
      </c>
      <c r="Q2928">
        <v>2.6032070000000001E-2</v>
      </c>
      <c r="R2928">
        <v>5.8418299999999999E-2</v>
      </c>
      <c r="S2928">
        <v>3.0002140000000002</v>
      </c>
      <c r="T2928">
        <v>-0.2570364</v>
      </c>
      <c r="U2928">
        <v>0.21305850000000001</v>
      </c>
      <c r="V2928">
        <v>1.7678039999999999E-2</v>
      </c>
      <c r="W2928">
        <v>3.633111E-2</v>
      </c>
      <c r="X2928">
        <v>0.99918340000000005</v>
      </c>
      <c r="Y2928">
        <v>4.9407399999999999E-3</v>
      </c>
      <c r="Z2928">
        <v>-6.6978749999999998E-3</v>
      </c>
      <c r="AA2928">
        <v>0.9999654</v>
      </c>
      <c r="AB2928">
        <v>34</v>
      </c>
      <c r="AC2928">
        <v>0.63580000000001702</v>
      </c>
      <c r="AD2928">
        <v>-8.2370999999999903E-2</v>
      </c>
      <c r="AE2928">
        <v>4.35999999999978E-2</v>
      </c>
      <c r="AF2928">
        <v>4.8031333658280903E-3</v>
      </c>
      <c r="AG2928">
        <v>-8.2370999999999903E-2</v>
      </c>
      <c r="AH2928">
        <v>0.62680315502648398</v>
      </c>
      <c r="AI2928">
        <v>97.486376262062805</v>
      </c>
      <c r="AJ2928">
        <v>89.560956447482496</v>
      </c>
      <c r="AK2928">
        <v>0.632210603266257</v>
      </c>
      <c r="AL2928">
        <v>87.9179224475795</v>
      </c>
      <c r="AM2928">
        <v>88.986400878034701</v>
      </c>
      <c r="AN2928">
        <v>0.99999996474381603</v>
      </c>
    </row>
    <row r="2929" spans="1:40" x14ac:dyDescent="0.25">
      <c r="A2929" t="str">
        <f>"20190312151555621"</f>
        <v>20190312151555621</v>
      </c>
      <c r="B2929" t="str">
        <f>"1552374955610988"</f>
        <v>1552374955610988</v>
      </c>
      <c r="C2929" t="s">
        <v>40</v>
      </c>
      <c r="D2929">
        <v>4.7874939999999997</v>
      </c>
      <c r="E2929">
        <v>0.49548700000000001</v>
      </c>
      <c r="F2929" t="s">
        <v>41</v>
      </c>
      <c r="G2929">
        <v>-416.17180000000002</v>
      </c>
      <c r="H2929">
        <v>1.0288299999999999</v>
      </c>
      <c r="I2929">
        <v>212.1739</v>
      </c>
      <c r="J2929">
        <v>-416.76260000000002</v>
      </c>
      <c r="K2929">
        <v>1.1087769999999999</v>
      </c>
      <c r="L2929">
        <v>212.13460000000001</v>
      </c>
      <c r="M2929">
        <v>0.9971044</v>
      </c>
      <c r="N2929">
        <v>0</v>
      </c>
      <c r="O2929">
        <v>7.5340099999999993E-2</v>
      </c>
      <c r="P2929">
        <v>0.99800290000000003</v>
      </c>
      <c r="Q2929">
        <v>2.6343930000000002E-2</v>
      </c>
      <c r="R2929">
        <v>5.7416969999999998E-2</v>
      </c>
      <c r="S2929">
        <v>3.0005489999999999</v>
      </c>
      <c r="T2929">
        <v>-0.25612210000000002</v>
      </c>
      <c r="U2929">
        <v>0.20986940000000001</v>
      </c>
      <c r="V2929">
        <v>1.7979820000000001E-2</v>
      </c>
      <c r="W2929">
        <v>3.6654199999999998E-2</v>
      </c>
      <c r="X2929">
        <v>0.99916629999999995</v>
      </c>
      <c r="Y2929">
        <v>5.2945819999999999E-3</v>
      </c>
      <c r="Z2929">
        <v>-6.6283009999999996E-3</v>
      </c>
      <c r="AA2929">
        <v>0.99996399999999996</v>
      </c>
      <c r="AB2929">
        <v>34</v>
      </c>
      <c r="AC2929">
        <v>0.59080000000000099</v>
      </c>
      <c r="AD2929">
        <v>-7.9947000000000198E-2</v>
      </c>
      <c r="AE2929">
        <v>3.9299999999997198E-2</v>
      </c>
      <c r="AF2929">
        <v>5.2296710916018303E-3</v>
      </c>
      <c r="AG2929">
        <v>-7.9947000000000198E-2</v>
      </c>
      <c r="AH2929">
        <v>0.581480863886365</v>
      </c>
      <c r="AI2929">
        <v>97.828123769213605</v>
      </c>
      <c r="AJ2929">
        <v>89.484712185963502</v>
      </c>
      <c r="AK2929">
        <v>0.58697433277338495</v>
      </c>
      <c r="AL2929">
        <v>87.899398593475098</v>
      </c>
      <c r="AM2929">
        <v>88.969083895364804</v>
      </c>
      <c r="AN2929">
        <v>1.0000000496802799</v>
      </c>
    </row>
    <row r="2930" spans="1:40" x14ac:dyDescent="0.25">
      <c r="A2930" t="str">
        <f>"20190312151555642"</f>
        <v>20190312151555642</v>
      </c>
      <c r="B2930" t="str">
        <f>"1552374955630508"</f>
        <v>1552374955630508</v>
      </c>
      <c r="C2930" t="s">
        <v>40</v>
      </c>
      <c r="D2930">
        <v>4.8940780000000004</v>
      </c>
      <c r="E2930">
        <v>0.49571490000000001</v>
      </c>
      <c r="F2930" t="s">
        <v>41</v>
      </c>
      <c r="G2930">
        <v>-415.86799999999999</v>
      </c>
      <c r="H2930">
        <v>1.0323979999999999</v>
      </c>
      <c r="I2930">
        <v>212.19579999999999</v>
      </c>
      <c r="J2930">
        <v>-416.44549999999998</v>
      </c>
      <c r="K2930">
        <v>1.1086400000000001</v>
      </c>
      <c r="L2930">
        <v>212.15790000000001</v>
      </c>
      <c r="M2930">
        <v>0.99716380000000004</v>
      </c>
      <c r="N2930">
        <v>0</v>
      </c>
      <c r="O2930">
        <v>7.4547219999999997E-2</v>
      </c>
      <c r="P2930">
        <v>0.99806980000000001</v>
      </c>
      <c r="Q2930">
        <v>2.6869480000000001E-2</v>
      </c>
      <c r="R2930">
        <v>5.5991079999999999E-2</v>
      </c>
      <c r="S2930">
        <v>3.0009769999999998</v>
      </c>
      <c r="T2930">
        <v>-0.25619330000000001</v>
      </c>
      <c r="U2930">
        <v>0.2052155</v>
      </c>
      <c r="V2930">
        <v>1.8624970000000001E-2</v>
      </c>
      <c r="W2930">
        <v>3.718788E-2</v>
      </c>
      <c r="X2930">
        <v>0.99913470000000004</v>
      </c>
      <c r="Y2930">
        <v>6.0527300000000001E-3</v>
      </c>
      <c r="Z2930">
        <v>-6.5946479999999998E-3</v>
      </c>
      <c r="AA2930">
        <v>0.99995990000000001</v>
      </c>
      <c r="AB2930">
        <v>34</v>
      </c>
      <c r="AC2930">
        <v>0.57749999999992896</v>
      </c>
      <c r="AD2930">
        <v>-7.6242000000000101E-2</v>
      </c>
      <c r="AE2930">
        <v>3.7899999999979103E-2</v>
      </c>
      <c r="AF2930">
        <v>5.1690849398262403E-3</v>
      </c>
      <c r="AG2930">
        <v>-7.6242000000000101E-2</v>
      </c>
      <c r="AH2930">
        <v>0.56884623787450905</v>
      </c>
      <c r="AI2930">
        <v>97.633501542326997</v>
      </c>
      <c r="AJ2930">
        <v>89.479369678659907</v>
      </c>
      <c r="AK2930">
        <v>0.57395609966886696</v>
      </c>
      <c r="AL2930">
        <v>87.868799989753796</v>
      </c>
      <c r="AM2930">
        <v>88.932067323670907</v>
      </c>
      <c r="AN2930">
        <v>0.99999998833524195</v>
      </c>
    </row>
    <row r="2931" spans="1:40" x14ac:dyDescent="0.25">
      <c r="A2931" t="str">
        <f>"20190312151555665"</f>
        <v>20190312151555665</v>
      </c>
      <c r="B2931" t="str">
        <f>"1552374955660764"</f>
        <v>1552374955660764</v>
      </c>
      <c r="C2931" t="s">
        <v>40</v>
      </c>
      <c r="D2931">
        <v>4.7616620000000003</v>
      </c>
      <c r="E2931">
        <v>0.49588140000000003</v>
      </c>
      <c r="F2931" t="s">
        <v>41</v>
      </c>
      <c r="G2931">
        <v>-415.565</v>
      </c>
      <c r="H2931">
        <v>1.033809</v>
      </c>
      <c r="I2931">
        <v>212.21610000000001</v>
      </c>
      <c r="J2931">
        <v>-416.10379999999998</v>
      </c>
      <c r="K2931">
        <v>1.1084989999999999</v>
      </c>
      <c r="L2931">
        <v>212.1825</v>
      </c>
      <c r="M2931">
        <v>0.99723850000000003</v>
      </c>
      <c r="N2931">
        <v>0</v>
      </c>
      <c r="O2931">
        <v>7.3540129999999995E-2</v>
      </c>
      <c r="P2931">
        <v>0.99816709999999997</v>
      </c>
      <c r="Q2931">
        <v>2.7057089999999999E-2</v>
      </c>
      <c r="R2931">
        <v>5.4132859999999998E-2</v>
      </c>
      <c r="S2931">
        <v>3.0014949999999998</v>
      </c>
      <c r="T2931">
        <v>-0.25512410000000002</v>
      </c>
      <c r="U2931">
        <v>0.19927980000000001</v>
      </c>
      <c r="V2931">
        <v>1.948911E-2</v>
      </c>
      <c r="W2931">
        <v>3.738325E-2</v>
      </c>
      <c r="X2931">
        <v>0.99911090000000002</v>
      </c>
      <c r="Y2931">
        <v>7.0257200000000001E-3</v>
      </c>
      <c r="Z2931">
        <v>-6.5228019999999899E-3</v>
      </c>
      <c r="AA2931">
        <v>0.99995400000000001</v>
      </c>
      <c r="AB2931">
        <v>34</v>
      </c>
      <c r="AC2931">
        <v>0.53879999999997996</v>
      </c>
      <c r="AD2931">
        <v>-7.4689999999999895E-2</v>
      </c>
      <c r="AE2931">
        <v>3.3600000000006902E-2</v>
      </c>
      <c r="AF2931">
        <v>6.0016535662606998E-3</v>
      </c>
      <c r="AG2931">
        <v>-7.4689999999999895E-2</v>
      </c>
      <c r="AH2931">
        <v>0.52967306620060095</v>
      </c>
      <c r="AI2931">
        <v>98.025935280453695</v>
      </c>
      <c r="AJ2931">
        <v>89.350817086556006</v>
      </c>
      <c r="AK2931">
        <v>0.53494688802148904</v>
      </c>
      <c r="AL2931">
        <v>87.857598266890903</v>
      </c>
      <c r="AM2931">
        <v>88.882504281052505</v>
      </c>
      <c r="AN2931">
        <v>0.99999996164398097</v>
      </c>
    </row>
    <row r="2932" spans="1:40" x14ac:dyDescent="0.25">
      <c r="A2932" t="str">
        <f>"20190312151555688"</f>
        <v>20190312151555688</v>
      </c>
      <c r="B2932" t="str">
        <f>"1552374955680285"</f>
        <v>1552374955680285</v>
      </c>
      <c r="C2932" t="s">
        <v>40</v>
      </c>
      <c r="D2932">
        <v>4.8750280000000004</v>
      </c>
      <c r="E2932">
        <v>0.49598799999999998</v>
      </c>
      <c r="F2932" t="s">
        <v>41</v>
      </c>
      <c r="G2932">
        <v>-415.25979999999998</v>
      </c>
      <c r="H2932">
        <v>1.0372870000000001</v>
      </c>
      <c r="I2932">
        <v>212.23660000000001</v>
      </c>
      <c r="J2932">
        <v>-415.7629</v>
      </c>
      <c r="K2932">
        <v>1.1083639999999999</v>
      </c>
      <c r="L2932">
        <v>212.20660000000001</v>
      </c>
      <c r="M2932">
        <v>0.99732209999999999</v>
      </c>
      <c r="N2932">
        <v>0</v>
      </c>
      <c r="O2932">
        <v>7.2393460000000007E-2</v>
      </c>
      <c r="P2932">
        <v>0.99825540000000001</v>
      </c>
      <c r="Q2932">
        <v>2.706101E-2</v>
      </c>
      <c r="R2932">
        <v>5.2475380000000002E-2</v>
      </c>
      <c r="S2932">
        <v>3.0018919999999998</v>
      </c>
      <c r="T2932">
        <v>-0.25325259999999999</v>
      </c>
      <c r="U2932">
        <v>0.19247439999999999</v>
      </c>
      <c r="V2932">
        <v>2.0011600000000001E-2</v>
      </c>
      <c r="W2932">
        <v>3.7394690000000001E-2</v>
      </c>
      <c r="X2932">
        <v>0.99910019999999999</v>
      </c>
      <c r="Y2932">
        <v>8.1463419999999905E-3</v>
      </c>
      <c r="Z2932">
        <v>-6.4258500000000003E-3</v>
      </c>
      <c r="AA2932">
        <v>0.99994620000000001</v>
      </c>
      <c r="AB2932">
        <v>34</v>
      </c>
      <c r="AC2932">
        <v>0.50310000000001698</v>
      </c>
      <c r="AD2932">
        <v>-7.1076999999999793E-2</v>
      </c>
      <c r="AE2932">
        <v>3.0000000000001099E-2</v>
      </c>
      <c r="AF2932">
        <v>6.3750453937003997E-3</v>
      </c>
      <c r="AG2932">
        <v>-7.1076999999999793E-2</v>
      </c>
      <c r="AH2932">
        <v>0.49412419518280598</v>
      </c>
      <c r="AI2932">
        <v>98.184857271659595</v>
      </c>
      <c r="AJ2932">
        <v>89.260827673817104</v>
      </c>
      <c r="AK2932">
        <v>0.49925074000729103</v>
      </c>
      <c r="AL2932">
        <v>87.856942466008903</v>
      </c>
      <c r="AM2932">
        <v>88.852540588381103</v>
      </c>
      <c r="AN2932">
        <v>1.00000001830739</v>
      </c>
    </row>
    <row r="2933" spans="1:40" x14ac:dyDescent="0.25">
      <c r="A2933" t="str">
        <f>"20190312151555711"</f>
        <v>20190312151555711</v>
      </c>
      <c r="B2933" t="str">
        <f>"1552374955700780"</f>
        <v>1552374955700780</v>
      </c>
      <c r="C2933" t="s">
        <v>40</v>
      </c>
      <c r="D2933">
        <v>4.7457140000000004</v>
      </c>
      <c r="E2933">
        <v>0.49607420000000002</v>
      </c>
      <c r="F2933" t="s">
        <v>41</v>
      </c>
      <c r="G2933">
        <v>-414.95400000000001</v>
      </c>
      <c r="H2933">
        <v>1.040557</v>
      </c>
      <c r="I2933">
        <v>212.25649999999999</v>
      </c>
      <c r="J2933">
        <v>-415.4067</v>
      </c>
      <c r="K2933">
        <v>1.1082270000000001</v>
      </c>
      <c r="L2933">
        <v>212.2312</v>
      </c>
      <c r="M2933">
        <v>0.99741769999999996</v>
      </c>
      <c r="N2933">
        <v>0</v>
      </c>
      <c r="O2933">
        <v>7.1064130000000003E-2</v>
      </c>
      <c r="P2933">
        <v>0.99834160000000005</v>
      </c>
      <c r="Q2933">
        <v>2.704024E-2</v>
      </c>
      <c r="R2933">
        <v>5.0826499999999997E-2</v>
      </c>
      <c r="S2933">
        <v>3.0022890000000002</v>
      </c>
      <c r="T2933">
        <v>-0.25173970000000001</v>
      </c>
      <c r="U2933">
        <v>0.18672179999999999</v>
      </c>
      <c r="V2933">
        <v>2.0341580000000001E-2</v>
      </c>
      <c r="W2933">
        <v>3.7381829999999998E-2</v>
      </c>
      <c r="X2933">
        <v>0.99909400000000004</v>
      </c>
      <c r="Y2933">
        <v>8.7363049999999998E-3</v>
      </c>
      <c r="Z2933">
        <v>-6.3010840000000002E-3</v>
      </c>
      <c r="AA2933">
        <v>0.999942</v>
      </c>
      <c r="AB2933">
        <v>34</v>
      </c>
      <c r="AC2933">
        <v>0.452699999999993</v>
      </c>
      <c r="AD2933">
        <v>-6.7670000000000105E-2</v>
      </c>
      <c r="AE2933">
        <v>2.5299999999987201E-2</v>
      </c>
      <c r="AF2933">
        <v>6.7852955783953596E-3</v>
      </c>
      <c r="AG2933">
        <v>-6.7670000000000105E-2</v>
      </c>
      <c r="AH2933">
        <v>0.44347496720162799</v>
      </c>
      <c r="AI2933">
        <v>98.674860467145507</v>
      </c>
      <c r="AJ2933">
        <v>89.1234263585946</v>
      </c>
      <c r="AK2933">
        <v>0.44865946515210298</v>
      </c>
      <c r="AL2933">
        <v>87.857679768083401</v>
      </c>
      <c r="AM2933">
        <v>88.833617578179201</v>
      </c>
      <c r="AN2933">
        <v>1.0000000009635199</v>
      </c>
    </row>
    <row r="2934" spans="1:40" x14ac:dyDescent="0.25">
      <c r="A2934" t="str">
        <f>"20190312151555734"</f>
        <v>20190312151555734</v>
      </c>
      <c r="B2934" t="str">
        <f>"1552374955731037"</f>
        <v>1552374955731037</v>
      </c>
      <c r="C2934" t="s">
        <v>40</v>
      </c>
      <c r="D2934">
        <v>5.0606920000000004</v>
      </c>
      <c r="E2934">
        <v>0.49618649999999997</v>
      </c>
      <c r="F2934" t="s">
        <v>41</v>
      </c>
      <c r="G2934">
        <v>-414.6472</v>
      </c>
      <c r="H2934">
        <v>1.044486</v>
      </c>
      <c r="I2934">
        <v>212.27680000000001</v>
      </c>
      <c r="J2934">
        <v>-415.06380000000001</v>
      </c>
      <c r="K2934">
        <v>1.108114</v>
      </c>
      <c r="L2934">
        <v>212.2543</v>
      </c>
      <c r="M2934">
        <v>0.99751570000000001</v>
      </c>
      <c r="N2934">
        <v>0</v>
      </c>
      <c r="O2934">
        <v>6.967226E-2</v>
      </c>
      <c r="P2934">
        <v>0.99845309999999998</v>
      </c>
      <c r="Q2934">
        <v>2.667578E-2</v>
      </c>
      <c r="R2934">
        <v>4.8786389999999999E-2</v>
      </c>
      <c r="S2934">
        <v>3.0025629999999999</v>
      </c>
      <c r="T2934">
        <v>-0.25202570000000002</v>
      </c>
      <c r="U2934">
        <v>0.18122859999999999</v>
      </c>
      <c r="V2934">
        <v>2.0999139999999999E-2</v>
      </c>
      <c r="W2934">
        <v>3.7023489999999999E-2</v>
      </c>
      <c r="X2934">
        <v>0.99909369999999997</v>
      </c>
      <c r="Y2934">
        <v>9.1718849999999994E-3</v>
      </c>
      <c r="Z2934">
        <v>-6.2101389999999999E-3</v>
      </c>
      <c r="AA2934">
        <v>0.99993869999999896</v>
      </c>
      <c r="AB2934">
        <v>34</v>
      </c>
      <c r="AC2934">
        <v>0.41660000000001601</v>
      </c>
      <c r="AD2934">
        <v>-6.3628000000000004E-2</v>
      </c>
      <c r="AE2934">
        <v>2.2500000000007899E-2</v>
      </c>
      <c r="AF2934">
        <v>6.4321111941361003E-3</v>
      </c>
      <c r="AG2934">
        <v>-6.3628000000000004E-2</v>
      </c>
      <c r="AH2934">
        <v>0.40767312303283099</v>
      </c>
      <c r="AI2934">
        <v>98.869841970856896</v>
      </c>
      <c r="AJ2934">
        <v>89.096084022949</v>
      </c>
      <c r="AK2934">
        <v>0.41265878117611299</v>
      </c>
      <c r="AL2934">
        <v>87.878225278034193</v>
      </c>
      <c r="AM2934">
        <v>88.795923774704093</v>
      </c>
      <c r="AN2934">
        <v>0.99999996203610397</v>
      </c>
    </row>
    <row r="2935" spans="1:40" x14ac:dyDescent="0.25">
      <c r="A2935" t="str">
        <f>"20190312151555754"</f>
        <v>20190312151555754</v>
      </c>
      <c r="B2935" t="str">
        <f>"1552374955750556"</f>
        <v>1552374955750556</v>
      </c>
      <c r="C2935" t="s">
        <v>40</v>
      </c>
      <c r="D2935">
        <v>4.7930279999999996</v>
      </c>
      <c r="E2935">
        <v>0.49619859999999999</v>
      </c>
      <c r="F2935" t="s">
        <v>41</v>
      </c>
      <c r="G2935">
        <v>-414.05360000000002</v>
      </c>
      <c r="H2935">
        <v>1.022834</v>
      </c>
      <c r="I2935">
        <v>212.31290000000001</v>
      </c>
      <c r="J2935">
        <v>-414.7484</v>
      </c>
      <c r="K2935">
        <v>1.1080239999999999</v>
      </c>
      <c r="L2935">
        <v>212.27510000000001</v>
      </c>
      <c r="M2935">
        <v>0.99760959999999999</v>
      </c>
      <c r="N2935">
        <v>0</v>
      </c>
      <c r="O2935">
        <v>6.8311940000000002E-2</v>
      </c>
      <c r="P2935">
        <v>0.99855879999999997</v>
      </c>
      <c r="Q2935">
        <v>2.5901919999999998E-2</v>
      </c>
      <c r="R2935">
        <v>4.7007210000000001E-2</v>
      </c>
      <c r="S2935">
        <v>3.0028990000000002</v>
      </c>
      <c r="T2935">
        <v>-0.25350440000000002</v>
      </c>
      <c r="U2935">
        <v>0.1741943</v>
      </c>
      <c r="V2935">
        <v>2.1424229999999999E-2</v>
      </c>
      <c r="W2935">
        <v>3.6259159999999999E-2</v>
      </c>
      <c r="X2935">
        <v>0.99911269999999996</v>
      </c>
      <c r="Y2935">
        <v>1.014733E-2</v>
      </c>
      <c r="Z2935">
        <v>-6.1731429999999999E-3</v>
      </c>
      <c r="AA2935">
        <v>0.99992950000000003</v>
      </c>
      <c r="AB2935">
        <v>34</v>
      </c>
      <c r="AC2935">
        <v>0.69479999999998598</v>
      </c>
      <c r="AD2935">
        <v>-8.5189999999999794E-2</v>
      </c>
      <c r="AE2935">
        <v>3.7800000000004198E-2</v>
      </c>
      <c r="AF2935">
        <v>9.6099780837485896E-3</v>
      </c>
      <c r="AG2935">
        <v>-8.5189999999999794E-2</v>
      </c>
      <c r="AH2935">
        <v>0.68548435124046503</v>
      </c>
      <c r="AI2935">
        <v>97.083541235704303</v>
      </c>
      <c r="AJ2935">
        <v>89.196808626778505</v>
      </c>
      <c r="AK2935">
        <v>0.69082449549385005</v>
      </c>
      <c r="AL2935">
        <v>87.922047578486897</v>
      </c>
      <c r="AM2935">
        <v>88.771580155874105</v>
      </c>
      <c r="AN2935">
        <v>0.99999995580814305</v>
      </c>
    </row>
    <row r="2936" spans="1:40" x14ac:dyDescent="0.25">
      <c r="A2936" t="str">
        <f>"20190312151555777"</f>
        <v>20190312151555777</v>
      </c>
      <c r="B2936" t="str">
        <f>"1552374955771053"</f>
        <v>1552374955771053</v>
      </c>
      <c r="C2936" t="s">
        <v>40</v>
      </c>
      <c r="D2936">
        <v>4.7123369999999998</v>
      </c>
      <c r="E2936">
        <v>0.49618390000000001</v>
      </c>
      <c r="F2936" t="s">
        <v>41</v>
      </c>
      <c r="G2936">
        <v>-413.74930000000001</v>
      </c>
      <c r="H2936">
        <v>1.0231950000000001</v>
      </c>
      <c r="I2936">
        <v>212.33080000000001</v>
      </c>
      <c r="J2936">
        <v>-414.40170000000001</v>
      </c>
      <c r="K2936">
        <v>1.1079509999999999</v>
      </c>
      <c r="L2936">
        <v>212.29730000000001</v>
      </c>
      <c r="M2936">
        <v>0.99771489999999996</v>
      </c>
      <c r="N2936">
        <v>0</v>
      </c>
      <c r="O2936">
        <v>6.6755079999999994E-2</v>
      </c>
      <c r="P2936">
        <v>0.99868809999999997</v>
      </c>
      <c r="Q2936">
        <v>2.551585E-2</v>
      </c>
      <c r="R2936">
        <v>4.4398489999999999E-2</v>
      </c>
      <c r="S2936">
        <v>3.0030519999999998</v>
      </c>
      <c r="T2936">
        <v>-0.25496340000000001</v>
      </c>
      <c r="U2936">
        <v>0.16865539999999901</v>
      </c>
      <c r="V2936">
        <v>2.2482019999999998E-2</v>
      </c>
      <c r="W2936">
        <v>3.5885559999999997E-2</v>
      </c>
      <c r="X2936">
        <v>0.99910299999999996</v>
      </c>
      <c r="Y2936">
        <v>1.04295E-2</v>
      </c>
      <c r="Z2936">
        <v>-6.0890989999999997E-3</v>
      </c>
      <c r="AA2936">
        <v>0.99992700000000001</v>
      </c>
      <c r="AB2936">
        <v>34</v>
      </c>
      <c r="AC2936">
        <v>0.65239999999999998</v>
      </c>
      <c r="AD2936">
        <v>-8.4755999999999998E-2</v>
      </c>
      <c r="AE2936">
        <v>3.3500000000003603E-2</v>
      </c>
      <c r="AF2936">
        <v>9.9604484410506997E-3</v>
      </c>
      <c r="AG2936">
        <v>-8.4755999999999998E-2</v>
      </c>
      <c r="AH2936">
        <v>0.64236783568782196</v>
      </c>
      <c r="AI2936">
        <v>97.515472596752204</v>
      </c>
      <c r="AJ2936">
        <v>89.111652397071794</v>
      </c>
      <c r="AK2936">
        <v>0.64801174865538003</v>
      </c>
      <c r="AL2936">
        <v>87.943467333827201</v>
      </c>
      <c r="AM2936">
        <v>88.710936196478002</v>
      </c>
      <c r="AN2936">
        <v>1.00000000962439</v>
      </c>
    </row>
    <row r="2937" spans="1:40" x14ac:dyDescent="0.25">
      <c r="A2937" t="str">
        <f>"20190312151555799"</f>
        <v>20190312151555799</v>
      </c>
      <c r="B2937" t="str">
        <f>"1552374955790572"</f>
        <v>1552374955790572</v>
      </c>
      <c r="C2937" t="s">
        <v>40</v>
      </c>
      <c r="D2937">
        <v>4.726477</v>
      </c>
      <c r="E2937">
        <v>0.49620160000000002</v>
      </c>
      <c r="F2937" t="s">
        <v>41</v>
      </c>
      <c r="G2937">
        <v>-413.44319999999999</v>
      </c>
      <c r="H2937">
        <v>1.026386</v>
      </c>
      <c r="I2937">
        <v>212.34880000000001</v>
      </c>
      <c r="J2937">
        <v>-414.0677</v>
      </c>
      <c r="K2937">
        <v>1.107893</v>
      </c>
      <c r="L2937">
        <v>212.31819999999999</v>
      </c>
      <c r="M2937">
        <v>0.99781660000000005</v>
      </c>
      <c r="N2937">
        <v>0</v>
      </c>
      <c r="O2937">
        <v>6.5212569999999997E-2</v>
      </c>
      <c r="P2937">
        <v>0.99876089999999995</v>
      </c>
      <c r="Q2937">
        <v>2.5878580000000002E-2</v>
      </c>
      <c r="R2937">
        <v>4.2510270000000003E-2</v>
      </c>
      <c r="S2937">
        <v>3.0033259999999999</v>
      </c>
      <c r="T2937">
        <v>-0.25559880000000001</v>
      </c>
      <c r="U2937">
        <v>0.16105649999999999</v>
      </c>
      <c r="V2937">
        <v>2.2832399999999999E-2</v>
      </c>
      <c r="W2937">
        <v>3.6261540000000002E-2</v>
      </c>
      <c r="X2937">
        <v>0.99908149999999996</v>
      </c>
      <c r="Y2937">
        <v>1.141174E-2</v>
      </c>
      <c r="Z2937">
        <v>-6.0152749999999996E-3</v>
      </c>
      <c r="AA2937">
        <v>0.99991680000000005</v>
      </c>
      <c r="AB2937">
        <v>34</v>
      </c>
      <c r="AC2937">
        <v>0.62450000000001105</v>
      </c>
      <c r="AD2937">
        <v>-8.1506999999999996E-2</v>
      </c>
      <c r="AE2937">
        <v>3.0600000000020999E-2</v>
      </c>
      <c r="AF2937">
        <v>1.0022305028510399E-2</v>
      </c>
      <c r="AG2937">
        <v>-8.1506999999999996E-2</v>
      </c>
      <c r="AH2937">
        <v>0.61471989640590496</v>
      </c>
      <c r="AI2937">
        <v>97.551919370198803</v>
      </c>
      <c r="AJ2937">
        <v>89.065940584819003</v>
      </c>
      <c r="AK2937">
        <v>0.62018093221605197</v>
      </c>
      <c r="AL2937">
        <v>87.921911280506606</v>
      </c>
      <c r="AM2937">
        <v>88.690825043129493</v>
      </c>
      <c r="AN2937">
        <v>1.00000003070759</v>
      </c>
    </row>
    <row r="2938" spans="1:40" x14ac:dyDescent="0.25">
      <c r="A2938" t="str">
        <f>"20190312151555821"</f>
        <v>20190312151555821</v>
      </c>
      <c r="B2938" t="str">
        <f>"1552374955810092"</f>
        <v>1552374955810092</v>
      </c>
      <c r="C2938" t="s">
        <v>40</v>
      </c>
      <c r="D2938">
        <v>4.7082810000000004</v>
      </c>
      <c r="E2938">
        <v>0.49637229999999999</v>
      </c>
      <c r="F2938" t="s">
        <v>41</v>
      </c>
      <c r="G2938">
        <v>-413.13740000000001</v>
      </c>
      <c r="H2938">
        <v>1.028586</v>
      </c>
      <c r="I2938">
        <v>212.36590000000001</v>
      </c>
      <c r="J2938">
        <v>-413.72669999999999</v>
      </c>
      <c r="K2938">
        <v>1.1078479999999999</v>
      </c>
      <c r="L2938">
        <v>212.3389</v>
      </c>
      <c r="M2938">
        <v>0.99792000000000003</v>
      </c>
      <c r="N2938">
        <v>0</v>
      </c>
      <c r="O2938">
        <v>6.360702E-2</v>
      </c>
      <c r="P2938">
        <v>0.99884300000000004</v>
      </c>
      <c r="Q2938">
        <v>2.5843399999999999E-2</v>
      </c>
      <c r="R2938">
        <v>4.0560869999999999E-2</v>
      </c>
      <c r="S2938">
        <v>3.0038149999999999</v>
      </c>
      <c r="T2938">
        <v>-0.2560868</v>
      </c>
      <c r="U2938">
        <v>0.155120799999999</v>
      </c>
      <c r="V2938">
        <v>2.3178919999999999E-2</v>
      </c>
      <c r="W2938">
        <v>3.624057E-2</v>
      </c>
      <c r="X2938">
        <v>0.99907429999999997</v>
      </c>
      <c r="Y2938">
        <v>1.178543E-2</v>
      </c>
      <c r="Z2938">
        <v>-5.9058139999999997E-3</v>
      </c>
      <c r="AA2938">
        <v>0.9999131</v>
      </c>
      <c r="AB2938">
        <v>34</v>
      </c>
      <c r="AC2938">
        <v>0.58929999999997995</v>
      </c>
      <c r="AD2938">
        <v>-7.9261999999999902E-2</v>
      </c>
      <c r="AE2938">
        <v>2.7000000000015199E-2</v>
      </c>
      <c r="AF2938">
        <v>1.0353446172530201E-2</v>
      </c>
      <c r="AG2938">
        <v>-7.9261999999999902E-2</v>
      </c>
      <c r="AH2938">
        <v>0.57936483107407</v>
      </c>
      <c r="AI2938">
        <v>97.788956441242306</v>
      </c>
      <c r="AJ2938">
        <v>88.976213945853004</v>
      </c>
      <c r="AK2938">
        <v>0.58485320036495703</v>
      </c>
      <c r="AL2938">
        <v>87.923113601390298</v>
      </c>
      <c r="AM2938">
        <v>88.670953613958801</v>
      </c>
      <c r="AN2938">
        <v>1.00000004908338</v>
      </c>
    </row>
    <row r="2939" spans="1:40" x14ac:dyDescent="0.25">
      <c r="A2939" t="str">
        <f>"20190312151555843"</f>
        <v>20190312151555843</v>
      </c>
      <c r="B2939" t="str">
        <f>"1552374955840348"</f>
        <v>1552374955840348</v>
      </c>
      <c r="C2939" t="s">
        <v>40</v>
      </c>
      <c r="D2939">
        <v>4.6967179999999997</v>
      </c>
      <c r="E2939">
        <v>0.49661929999999999</v>
      </c>
      <c r="F2939" t="s">
        <v>41</v>
      </c>
      <c r="G2939">
        <v>-412.83080000000001</v>
      </c>
      <c r="H2939">
        <v>1.0318830000000001</v>
      </c>
      <c r="I2939">
        <v>212.38290000000001</v>
      </c>
      <c r="J2939">
        <v>-413.3956</v>
      </c>
      <c r="K2939">
        <v>1.1078079999999999</v>
      </c>
      <c r="L2939">
        <v>212.35849999999999</v>
      </c>
      <c r="M2939">
        <v>0.99801890000000004</v>
      </c>
      <c r="N2939">
        <v>0</v>
      </c>
      <c r="O2939">
        <v>6.2031780000000002E-2</v>
      </c>
      <c r="P2939">
        <v>0.99890319999999999</v>
      </c>
      <c r="Q2939">
        <v>2.6039489999999998E-2</v>
      </c>
      <c r="R2939">
        <v>3.8914770000000001E-2</v>
      </c>
      <c r="S2939">
        <v>3.0040589999999998</v>
      </c>
      <c r="T2939">
        <v>-0.25462400000000002</v>
      </c>
      <c r="U2939">
        <v>0.14785770000000001</v>
      </c>
      <c r="V2939">
        <v>2.3252060000000001E-2</v>
      </c>
      <c r="W2939">
        <v>3.6450240000000002E-2</v>
      </c>
      <c r="X2939">
        <v>0.99906490000000003</v>
      </c>
      <c r="Y2939">
        <v>1.262843E-2</v>
      </c>
      <c r="Z2939">
        <v>-5.7749189999999999E-3</v>
      </c>
      <c r="AA2939">
        <v>0.9999036</v>
      </c>
      <c r="AB2939">
        <v>34</v>
      </c>
      <c r="AC2939">
        <v>0.56479999999999098</v>
      </c>
      <c r="AD2939">
        <v>-7.5925000000000006E-2</v>
      </c>
      <c r="AE2939">
        <v>2.4400000000014101E-2</v>
      </c>
      <c r="AF2939">
        <v>1.04951735094735E-2</v>
      </c>
      <c r="AG2939">
        <v>-7.5925000000000006E-2</v>
      </c>
      <c r="AH2939">
        <v>0.55521134420546603</v>
      </c>
      <c r="AI2939">
        <v>97.785508656571906</v>
      </c>
      <c r="AJ2939">
        <v>88.917065463809905</v>
      </c>
      <c r="AK2939">
        <v>0.56047693175226698</v>
      </c>
      <c r="AL2939">
        <v>87.911092301346997</v>
      </c>
      <c r="AM2939">
        <v>88.666748841786998</v>
      </c>
      <c r="AN2939">
        <v>0.99999997635115501</v>
      </c>
    </row>
    <row r="2940" spans="1:40" x14ac:dyDescent="0.25">
      <c r="A2940" t="str">
        <f>"20190312151555866"</f>
        <v>20190312151555866</v>
      </c>
      <c r="B2940" t="str">
        <f>"1552374955860844"</f>
        <v>1552374955860844</v>
      </c>
      <c r="C2940" t="s">
        <v>40</v>
      </c>
      <c r="D2940">
        <v>4.738213</v>
      </c>
      <c r="E2940">
        <v>0.49675350000000001</v>
      </c>
      <c r="F2940" t="s">
        <v>41</v>
      </c>
      <c r="G2940">
        <v>-412.52420000000001</v>
      </c>
      <c r="H2940">
        <v>1.0347029999999999</v>
      </c>
      <c r="I2940">
        <v>212.39930000000001</v>
      </c>
      <c r="J2940">
        <v>-413.0428</v>
      </c>
      <c r="K2940">
        <v>1.1077760000000001</v>
      </c>
      <c r="L2940">
        <v>212.37889999999999</v>
      </c>
      <c r="M2940">
        <v>0.99812239999999997</v>
      </c>
      <c r="N2940">
        <v>0</v>
      </c>
      <c r="O2940">
        <v>6.0343859999999999E-2</v>
      </c>
      <c r="P2940">
        <v>0.99895769999999995</v>
      </c>
      <c r="Q2940">
        <v>2.6032070000000001E-2</v>
      </c>
      <c r="R2940">
        <v>3.7501119999999999E-2</v>
      </c>
      <c r="S2940">
        <v>3.0043639999999998</v>
      </c>
      <c r="T2940">
        <v>-0.25207780000000002</v>
      </c>
      <c r="U2940">
        <v>0.14108280000000001</v>
      </c>
      <c r="V2940">
        <v>2.2978800000000001E-2</v>
      </c>
      <c r="W2940">
        <v>3.6457389999999999E-2</v>
      </c>
      <c r="X2940">
        <v>0.99907100000000004</v>
      </c>
      <c r="Y2940">
        <v>1.320118E-2</v>
      </c>
      <c r="Z2940">
        <v>-5.6001640000000004E-3</v>
      </c>
      <c r="AA2940">
        <v>0.99989720000000004</v>
      </c>
      <c r="AB2940">
        <v>34</v>
      </c>
      <c r="AC2940">
        <v>0.51859999999999196</v>
      </c>
      <c r="AD2940">
        <v>-7.3072999999999902E-2</v>
      </c>
      <c r="AE2940">
        <v>2.04000000000235E-2</v>
      </c>
      <c r="AF2940">
        <v>1.0720711223068599E-2</v>
      </c>
      <c r="AG2940">
        <v>-7.3072999999999902E-2</v>
      </c>
      <c r="AH2940">
        <v>0.50879978369033996</v>
      </c>
      <c r="AI2940">
        <v>98.171051929008897</v>
      </c>
      <c r="AJ2940">
        <v>88.792922781554296</v>
      </c>
      <c r="AK2940">
        <v>0.51413210059425896</v>
      </c>
      <c r="AL2940">
        <v>87.910682444386794</v>
      </c>
      <c r="AM2940">
        <v>88.682419797826199</v>
      </c>
      <c r="AN2940">
        <v>1.0000000147880199</v>
      </c>
    </row>
    <row r="2941" spans="1:40" x14ac:dyDescent="0.25">
      <c r="A2941" t="str">
        <f>"20190312151555888"</f>
        <v>20190312151555888</v>
      </c>
      <c r="B2941" t="str">
        <f>"1552374955880365"</f>
        <v>1552374955880365</v>
      </c>
      <c r="C2941" t="s">
        <v>40</v>
      </c>
      <c r="D2941">
        <v>4.709943</v>
      </c>
      <c r="E2941">
        <v>0.49688260000000001</v>
      </c>
      <c r="F2941" t="s">
        <v>41</v>
      </c>
      <c r="G2941">
        <v>-412.21570000000003</v>
      </c>
      <c r="H2941">
        <v>1.0386979999999999</v>
      </c>
      <c r="I2941">
        <v>212.416</v>
      </c>
      <c r="J2941">
        <v>-412.71190000000001</v>
      </c>
      <c r="K2941">
        <v>1.1077589999999999</v>
      </c>
      <c r="L2941">
        <v>212.3973</v>
      </c>
      <c r="M2941">
        <v>0.99821669999999996</v>
      </c>
      <c r="N2941">
        <v>0</v>
      </c>
      <c r="O2941">
        <v>5.875872E-2</v>
      </c>
      <c r="P2941">
        <v>0.99900889999999998</v>
      </c>
      <c r="Q2941">
        <v>2.6112099999999999E-2</v>
      </c>
      <c r="R2941">
        <v>3.6048950000000003E-2</v>
      </c>
      <c r="S2941">
        <v>3.0045470000000001</v>
      </c>
      <c r="T2941">
        <v>-0.2510154</v>
      </c>
      <c r="U2941">
        <v>0.13555909999999999</v>
      </c>
      <c r="V2941">
        <v>2.2846829999999999E-2</v>
      </c>
      <c r="W2941">
        <v>3.655079E-2</v>
      </c>
      <c r="X2941">
        <v>0.99907060000000003</v>
      </c>
      <c r="Y2941">
        <v>1.345728E-2</v>
      </c>
      <c r="Z2941">
        <v>-5.4554099999999999E-3</v>
      </c>
      <c r="AA2941">
        <v>0.99989459999999997</v>
      </c>
      <c r="AB2941">
        <v>34</v>
      </c>
      <c r="AC2941">
        <v>0.49619999999998698</v>
      </c>
      <c r="AD2941">
        <v>-6.9060999999999997E-2</v>
      </c>
      <c r="AE2941">
        <v>1.8699999999995401E-2</v>
      </c>
      <c r="AF2941">
        <v>1.02909427039599E-2</v>
      </c>
      <c r="AG2941">
        <v>-6.9060999999999997E-2</v>
      </c>
      <c r="AH2941">
        <v>0.48702072421578002</v>
      </c>
      <c r="AI2941">
        <v>98.069126212574602</v>
      </c>
      <c r="AJ2941">
        <v>88.789497400592097</v>
      </c>
      <c r="AK2941">
        <v>0.49200051934769201</v>
      </c>
      <c r="AL2941">
        <v>87.905327420337997</v>
      </c>
      <c r="AM2941">
        <v>88.689983649863905</v>
      </c>
      <c r="AN2941">
        <v>1.0000000008375101</v>
      </c>
    </row>
    <row r="2942" spans="1:40" x14ac:dyDescent="0.25">
      <c r="A2942" t="str">
        <f>"20190312151555912"</f>
        <v>20190312151555912</v>
      </c>
      <c r="B2942" t="str">
        <f>"1552374955900860"</f>
        <v>1552374955900860</v>
      </c>
      <c r="C2942" t="s">
        <v>40</v>
      </c>
      <c r="D2942">
        <v>4.7853399999999997</v>
      </c>
      <c r="E2942">
        <v>0.49703380000000003</v>
      </c>
      <c r="F2942" t="s">
        <v>41</v>
      </c>
      <c r="G2942">
        <v>-411.90809999999999</v>
      </c>
      <c r="H2942">
        <v>1.0409349999999999</v>
      </c>
      <c r="I2942">
        <v>212.43190000000001</v>
      </c>
      <c r="J2942">
        <v>-412.34100000000001</v>
      </c>
      <c r="K2942">
        <v>1.107742</v>
      </c>
      <c r="L2942">
        <v>212.41739999999999</v>
      </c>
      <c r="M2942">
        <v>0.99831970000000003</v>
      </c>
      <c r="N2942">
        <v>0</v>
      </c>
      <c r="O2942">
        <v>5.6981829999999997E-2</v>
      </c>
      <c r="P2942">
        <v>0.99904389999999998</v>
      </c>
      <c r="Q2942">
        <v>2.6343620000000002E-2</v>
      </c>
      <c r="R2942">
        <v>3.4890869999999997E-2</v>
      </c>
      <c r="S2942">
        <v>3.0048219999999999</v>
      </c>
      <c r="T2942">
        <v>-0.24982760000000001</v>
      </c>
      <c r="U2942">
        <v>0.12997439999999999</v>
      </c>
      <c r="V2942">
        <v>2.2228560000000001E-2</v>
      </c>
      <c r="W2942">
        <v>3.6797620000000003E-2</v>
      </c>
      <c r="X2942">
        <v>0.99907550000000001</v>
      </c>
      <c r="Y2942">
        <v>1.3544530000000001E-2</v>
      </c>
      <c r="Z2942">
        <v>-5.2859530000000004E-3</v>
      </c>
      <c r="AA2942">
        <v>0.99989430000000001</v>
      </c>
      <c r="AB2942">
        <v>34</v>
      </c>
      <c r="AC2942">
        <v>0.43290000000001699</v>
      </c>
      <c r="AD2942">
        <v>-6.6807000000000005E-2</v>
      </c>
      <c r="AE2942">
        <v>1.4500000000026599E-2</v>
      </c>
      <c r="AF2942">
        <v>9.9555283477322908E-3</v>
      </c>
      <c r="AG2942">
        <v>-6.6807000000000005E-2</v>
      </c>
      <c r="AH2942">
        <v>0.42296088849722402</v>
      </c>
      <c r="AI2942">
        <v>98.973314309665199</v>
      </c>
      <c r="AJ2942">
        <v>88.651637852296005</v>
      </c>
      <c r="AK2942">
        <v>0.42832020847964197</v>
      </c>
      <c r="AL2942">
        <v>87.891175610972894</v>
      </c>
      <c r="AM2942">
        <v>88.725429078659005</v>
      </c>
      <c r="AN2942">
        <v>1.0000000142087899</v>
      </c>
    </row>
    <row r="2943" spans="1:40" x14ac:dyDescent="0.25">
      <c r="A2943" t="str">
        <f>"20190312151555934"</f>
        <v>20190312151555934</v>
      </c>
      <c r="B2943" t="str">
        <f>"1552374955930141"</f>
        <v>1552374955930141</v>
      </c>
      <c r="C2943" t="s">
        <v>40</v>
      </c>
      <c r="D2943">
        <v>4.8182470000000004</v>
      </c>
      <c r="E2943">
        <v>0.49741030000000003</v>
      </c>
      <c r="F2943" t="s">
        <v>41</v>
      </c>
      <c r="G2943">
        <v>-411.59620000000001</v>
      </c>
      <c r="H2943">
        <v>1.0458000000000001</v>
      </c>
      <c r="I2943">
        <v>212.44839999999999</v>
      </c>
      <c r="J2943">
        <v>-412.017</v>
      </c>
      <c r="K2943">
        <v>1.1077300000000001</v>
      </c>
      <c r="L2943">
        <v>212.43450000000001</v>
      </c>
      <c r="M2943">
        <v>0.99840669999999998</v>
      </c>
      <c r="N2943">
        <v>0</v>
      </c>
      <c r="O2943">
        <v>5.5431429999999997E-2</v>
      </c>
      <c r="P2943">
        <v>0.99911930000000004</v>
      </c>
      <c r="Q2943">
        <v>2.5982479999999999E-2</v>
      </c>
      <c r="R2943">
        <v>3.2947749999999998E-2</v>
      </c>
      <c r="S2943">
        <v>3.005096</v>
      </c>
      <c r="T2943">
        <v>-0.2498891</v>
      </c>
      <c r="U2943">
        <v>0.1251678</v>
      </c>
      <c r="V2943">
        <v>2.2620709999999999E-2</v>
      </c>
      <c r="W2943">
        <v>3.6445949999999998E-2</v>
      </c>
      <c r="X2943">
        <v>0.99907959999999996</v>
      </c>
      <c r="Y2943">
        <v>1.3597150000000001E-2</v>
      </c>
      <c r="Z2943">
        <v>-5.1607609999999998E-3</v>
      </c>
      <c r="AA2943">
        <v>0.99989430000000001</v>
      </c>
      <c r="AB2943">
        <v>34</v>
      </c>
      <c r="AC2943">
        <v>0.42079999999998502</v>
      </c>
      <c r="AD2943">
        <v>-6.1929999999999798E-2</v>
      </c>
      <c r="AE2943">
        <v>1.3899999999978201E-2</v>
      </c>
      <c r="AF2943">
        <v>9.2481264645783798E-3</v>
      </c>
      <c r="AG2943">
        <v>-6.1929999999999798E-2</v>
      </c>
      <c r="AH2943">
        <v>0.41200925168633401</v>
      </c>
      <c r="AI2943">
        <v>98.546135738006996</v>
      </c>
      <c r="AJ2943">
        <v>88.714131665712998</v>
      </c>
      <c r="AK2943">
        <v>0.416740298289279</v>
      </c>
      <c r="AL2943">
        <v>87.911338366303298</v>
      </c>
      <c r="AM2943">
        <v>88.702956392920697</v>
      </c>
      <c r="AN2943">
        <v>1.0000000254642301</v>
      </c>
    </row>
    <row r="2944" spans="1:40" x14ac:dyDescent="0.25">
      <c r="A2944" t="str">
        <f>"20190312151555956"</f>
        <v>20190312151555956</v>
      </c>
      <c r="B2944" t="str">
        <f>"1552374955950637"</f>
        <v>1552374955950637</v>
      </c>
      <c r="C2944" t="s">
        <v>40</v>
      </c>
      <c r="D2944">
        <v>4.6769230000000004</v>
      </c>
      <c r="E2944">
        <v>0.49748429999999999</v>
      </c>
      <c r="F2944" t="s">
        <v>41</v>
      </c>
      <c r="G2944">
        <v>-411.00009999999997</v>
      </c>
      <c r="H2944">
        <v>1.022194</v>
      </c>
      <c r="I2944">
        <v>212.4736</v>
      </c>
      <c r="J2944">
        <v>-411.66520000000003</v>
      </c>
      <c r="K2944">
        <v>1.1077170000000001</v>
      </c>
      <c r="L2944">
        <v>212.45240000000001</v>
      </c>
      <c r="M2944">
        <v>0.99849860000000001</v>
      </c>
      <c r="N2944">
        <v>0</v>
      </c>
      <c r="O2944">
        <v>5.3749390000000001E-2</v>
      </c>
      <c r="P2944">
        <v>0.99916590000000005</v>
      </c>
      <c r="Q2944">
        <v>2.5870500000000001E-2</v>
      </c>
      <c r="R2944">
        <v>3.1597899999999998E-2</v>
      </c>
      <c r="S2944">
        <v>3.0054020000000001</v>
      </c>
      <c r="T2944">
        <v>-0.25278879999999998</v>
      </c>
      <c r="U2944">
        <v>0.1160583</v>
      </c>
      <c r="V2944">
        <v>2.2287910000000001E-2</v>
      </c>
      <c r="W2944">
        <v>3.6345889999999999E-2</v>
      </c>
      <c r="X2944">
        <v>0.9990907</v>
      </c>
      <c r="Y2944">
        <v>1.4938379999999999E-2</v>
      </c>
      <c r="Z2944">
        <v>-5.1356550000000003E-3</v>
      </c>
      <c r="AA2944">
        <v>0.99987519999999996</v>
      </c>
      <c r="AB2944">
        <v>34</v>
      </c>
      <c r="AC2944">
        <v>0.66510000000005198</v>
      </c>
      <c r="AD2944">
        <v>-8.5523000000000002E-2</v>
      </c>
      <c r="AE2944">
        <v>2.11999999999932E-2</v>
      </c>
      <c r="AF2944">
        <v>1.43444246142784E-2</v>
      </c>
      <c r="AG2944">
        <v>-8.5523000000000002E-2</v>
      </c>
      <c r="AH2944">
        <v>0.654467677842683</v>
      </c>
      <c r="AI2944">
        <v>97.443210760026801</v>
      </c>
      <c r="AJ2944">
        <v>88.744409464237506</v>
      </c>
      <c r="AK2944">
        <v>0.66018776676587099</v>
      </c>
      <c r="AL2944">
        <v>87.917075131268007</v>
      </c>
      <c r="AM2944">
        <v>88.722046552441498</v>
      </c>
      <c r="AN2944">
        <v>1.00000000073927</v>
      </c>
    </row>
    <row r="2945" spans="1:40" x14ac:dyDescent="0.25">
      <c r="A2945" t="str">
        <f>"20190312151555978"</f>
        <v>20190312151555978</v>
      </c>
      <c r="B2945" t="str">
        <f>"1552374955970157"</f>
        <v>1552374955970157</v>
      </c>
      <c r="C2945" t="s">
        <v>40</v>
      </c>
      <c r="D2945">
        <v>5.0129549999999998</v>
      </c>
      <c r="E2945">
        <v>0.4975387</v>
      </c>
      <c r="F2945" t="s">
        <v>41</v>
      </c>
      <c r="G2945">
        <v>-410.69170000000003</v>
      </c>
      <c r="H2945">
        <v>1.0255299999999901</v>
      </c>
      <c r="I2945">
        <v>212.4881</v>
      </c>
      <c r="J2945">
        <v>-411.33049999999997</v>
      </c>
      <c r="K2945">
        <v>1.1077060000000001</v>
      </c>
      <c r="L2945">
        <v>212.46889999999999</v>
      </c>
      <c r="M2945">
        <v>0.99858340000000001</v>
      </c>
      <c r="N2945">
        <v>0</v>
      </c>
      <c r="O2945">
        <v>5.2150309999999998E-2</v>
      </c>
      <c r="P2945">
        <v>0.99918680000000004</v>
      </c>
      <c r="Q2945">
        <v>2.6367140000000001E-2</v>
      </c>
      <c r="R2945">
        <v>3.050835E-2</v>
      </c>
      <c r="S2945">
        <v>3.0055540000000001</v>
      </c>
      <c r="T2945">
        <v>-0.2537972</v>
      </c>
      <c r="U2945">
        <v>0.1110992</v>
      </c>
      <c r="V2945">
        <v>2.1779300000000001E-2</v>
      </c>
      <c r="W2945">
        <v>3.6853379999999998E-2</v>
      </c>
      <c r="X2945">
        <v>0.99908330000000001</v>
      </c>
      <c r="Y2945">
        <v>1.4990079999999999E-2</v>
      </c>
      <c r="Z2945">
        <v>-5.0236530000000003E-3</v>
      </c>
      <c r="AA2945">
        <v>0.99987499999999996</v>
      </c>
      <c r="AB2945">
        <v>34</v>
      </c>
      <c r="AC2945">
        <v>0.63879999999994597</v>
      </c>
      <c r="AD2945">
        <v>-8.2175999999999999E-2</v>
      </c>
      <c r="AE2945">
        <v>1.9200000000011999E-2</v>
      </c>
      <c r="AF2945">
        <v>1.39115963508783E-2</v>
      </c>
      <c r="AG2945">
        <v>-8.2175999999999999E-2</v>
      </c>
      <c r="AH2945">
        <v>0.62853995315890598</v>
      </c>
      <c r="AI2945">
        <v>97.446860624354301</v>
      </c>
      <c r="AJ2945">
        <v>88.732068447295404</v>
      </c>
      <c r="AK2945">
        <v>0.63404171803283604</v>
      </c>
      <c r="AL2945">
        <v>87.887978546885805</v>
      </c>
      <c r="AM2945">
        <v>88.751190854545499</v>
      </c>
      <c r="AN2945">
        <v>0.999999974932401</v>
      </c>
    </row>
    <row r="2946" spans="1:40" x14ac:dyDescent="0.25">
      <c r="A2946" t="str">
        <f>"20190312151556002"</f>
        <v>20190312151556002</v>
      </c>
      <c r="B2946" t="str">
        <f>"1552374955990652"</f>
        <v>1552374955990652</v>
      </c>
      <c r="C2946" t="s">
        <v>40</v>
      </c>
      <c r="D2946">
        <v>4.6863839999999897</v>
      </c>
      <c r="E2946">
        <v>0.49759170000000003</v>
      </c>
      <c r="F2946" t="s">
        <v>41</v>
      </c>
      <c r="G2946">
        <v>-410.38339999999999</v>
      </c>
      <c r="H2946">
        <v>1.028178</v>
      </c>
      <c r="I2946">
        <v>212.50280000000001</v>
      </c>
      <c r="J2946">
        <v>-410.97390000000001</v>
      </c>
      <c r="K2946">
        <v>1.1076999999999999</v>
      </c>
      <c r="L2946">
        <v>212.48580000000001</v>
      </c>
      <c r="M2946">
        <v>0.99867059999999996</v>
      </c>
      <c r="N2946">
        <v>0</v>
      </c>
      <c r="O2946">
        <v>5.044767E-2</v>
      </c>
      <c r="P2946">
        <v>0.9991873</v>
      </c>
      <c r="Q2946">
        <v>2.704732E-2</v>
      </c>
      <c r="R2946">
        <v>2.9888439999999999E-2</v>
      </c>
      <c r="S2946">
        <v>3.0058590000000001</v>
      </c>
      <c r="T2946">
        <v>-0.25243189999999999</v>
      </c>
      <c r="U2946">
        <v>0.10720830000000001</v>
      </c>
      <c r="V2946">
        <v>2.0697719999999999E-2</v>
      </c>
      <c r="W2946">
        <v>3.7547169999999998E-2</v>
      </c>
      <c r="X2946">
        <v>0.99908050000000004</v>
      </c>
      <c r="Y2946">
        <v>1.459162E-2</v>
      </c>
      <c r="Z2946">
        <v>-4.8371819999999998E-3</v>
      </c>
      <c r="AA2946">
        <v>0.99988189999999999</v>
      </c>
      <c r="AB2946">
        <v>34</v>
      </c>
      <c r="AC2946">
        <v>0.59050000000002001</v>
      </c>
      <c r="AD2946">
        <v>-7.9521999999999801E-2</v>
      </c>
      <c r="AE2946">
        <v>1.69999999999959E-2</v>
      </c>
      <c r="AF2946">
        <v>1.25846246677025E-2</v>
      </c>
      <c r="AG2946">
        <v>-7.9521999999999801E-2</v>
      </c>
      <c r="AH2946">
        <v>0.580093984438385</v>
      </c>
      <c r="AI2946">
        <v>97.803907292601806</v>
      </c>
      <c r="AJ2946">
        <v>88.757213804801495</v>
      </c>
      <c r="AK2946">
        <v>0.58565446471757399</v>
      </c>
      <c r="AL2946">
        <v>87.848199859960502</v>
      </c>
      <c r="AM2946">
        <v>88.813186335113599</v>
      </c>
      <c r="AN2946">
        <v>1.0000000155342199</v>
      </c>
    </row>
    <row r="2947" spans="1:40" x14ac:dyDescent="0.25">
      <c r="A2947" t="str">
        <f>"20190312151556022"</f>
        <v>20190312151556022</v>
      </c>
      <c r="B2947" t="str">
        <f>"1552374956010182"</f>
        <v>1552374956010182</v>
      </c>
      <c r="C2947" t="s">
        <v>40</v>
      </c>
      <c r="D2947">
        <v>4.9918360000000002</v>
      </c>
      <c r="E2947">
        <v>0.49762230000000002</v>
      </c>
      <c r="F2947" t="s">
        <v>41</v>
      </c>
      <c r="G2947">
        <v>-410.07389999999998</v>
      </c>
      <c r="H2947">
        <v>1.0329140000000001</v>
      </c>
      <c r="I2947">
        <v>212.51689999999999</v>
      </c>
      <c r="J2947">
        <v>-410.65260000000001</v>
      </c>
      <c r="K2947">
        <v>1.107696</v>
      </c>
      <c r="L2947">
        <v>212.50049999999999</v>
      </c>
      <c r="M2947">
        <v>0.99874689999999999</v>
      </c>
      <c r="N2947">
        <v>0</v>
      </c>
      <c r="O2947">
        <v>4.8914289999999999E-2</v>
      </c>
      <c r="P2947">
        <v>0.99922250000000001</v>
      </c>
      <c r="Q2947">
        <v>2.6611369999999999E-2</v>
      </c>
      <c r="R2947">
        <v>2.9094459999999999E-2</v>
      </c>
      <c r="S2947">
        <v>3.0060730000000002</v>
      </c>
      <c r="T2947">
        <v>-0.24990809999999999</v>
      </c>
      <c r="U2947">
        <v>0.1050262</v>
      </c>
      <c r="V2947">
        <v>1.995684E-2</v>
      </c>
      <c r="W2947">
        <v>3.7121649999999999E-2</v>
      </c>
      <c r="X2947">
        <v>0.99911150000000004</v>
      </c>
      <c r="Y2947">
        <v>1.379639E-2</v>
      </c>
      <c r="Z2947">
        <v>-4.6286890000000001E-3</v>
      </c>
      <c r="AA2947">
        <v>0.99989410000000001</v>
      </c>
      <c r="AB2947">
        <v>34</v>
      </c>
      <c r="AC2947">
        <v>0.57870000000002597</v>
      </c>
      <c r="AD2947">
        <v>-7.4782000000000098E-2</v>
      </c>
      <c r="AE2947">
        <v>1.6400000000004401E-2</v>
      </c>
      <c r="AF2947">
        <v>1.17321618994081E-2</v>
      </c>
      <c r="AG2947">
        <v>-7.4782000000000098E-2</v>
      </c>
      <c r="AH2947">
        <v>0.56931023512526702</v>
      </c>
      <c r="AI2947">
        <v>97.481699057416407</v>
      </c>
      <c r="AJ2947">
        <v>88.819434136479799</v>
      </c>
      <c r="AK2947">
        <v>0.57432058553147802</v>
      </c>
      <c r="AL2947">
        <v>87.872597423108999</v>
      </c>
      <c r="AM2947">
        <v>88.855692613911103</v>
      </c>
      <c r="AN2947">
        <v>1.0000000408968699</v>
      </c>
    </row>
    <row r="2948" spans="1:40" x14ac:dyDescent="0.25">
      <c r="A2948" t="str">
        <f>"20190312151556045"</f>
        <v>20190312151556045</v>
      </c>
      <c r="B2948" t="str">
        <f>"1552374956040436"</f>
        <v>1552374956040436</v>
      </c>
      <c r="C2948" t="s">
        <v>40</v>
      </c>
      <c r="D2948">
        <v>4.6207039999999999</v>
      </c>
      <c r="E2948">
        <v>0.49760739999999998</v>
      </c>
      <c r="F2948" t="s">
        <v>41</v>
      </c>
      <c r="G2948">
        <v>-409.76600000000002</v>
      </c>
      <c r="H2948">
        <v>1.0337719999999999</v>
      </c>
      <c r="I2948">
        <v>212.5307</v>
      </c>
      <c r="J2948">
        <v>-410.31380000000001</v>
      </c>
      <c r="K2948">
        <v>1.1076969999999999</v>
      </c>
      <c r="L2948">
        <v>212.51560000000001</v>
      </c>
      <c r="M2948">
        <v>0.99882479999999996</v>
      </c>
      <c r="N2948">
        <v>0</v>
      </c>
      <c r="O2948">
        <v>4.7296699999999997E-2</v>
      </c>
      <c r="P2948">
        <v>0.99927290000000002</v>
      </c>
      <c r="Q2948">
        <v>2.630507E-2</v>
      </c>
      <c r="R2948">
        <v>2.7605899999999999E-2</v>
      </c>
      <c r="S2948">
        <v>3.0060120000000001</v>
      </c>
      <c r="T2948">
        <v>-0.25060579999999999</v>
      </c>
      <c r="U2948">
        <v>0.1025085</v>
      </c>
      <c r="V2948">
        <v>1.9826679999999999E-2</v>
      </c>
      <c r="W2948">
        <v>3.6823830000000002E-2</v>
      </c>
      <c r="X2948">
        <v>0.99912509999999999</v>
      </c>
      <c r="Y2948">
        <v>1.301981E-2</v>
      </c>
      <c r="Z2948">
        <v>-4.4750249999999997E-3</v>
      </c>
      <c r="AA2948">
        <v>0.99990520000000005</v>
      </c>
      <c r="AB2948">
        <v>34</v>
      </c>
      <c r="AC2948">
        <v>0.54780000000005202</v>
      </c>
      <c r="AD2948">
        <v>-7.3925000000000005E-2</v>
      </c>
      <c r="AE2948">
        <v>1.5099999999989599E-2</v>
      </c>
      <c r="AF2948">
        <v>1.06339739441902E-2</v>
      </c>
      <c r="AG2948">
        <v>-7.3925000000000005E-2</v>
      </c>
      <c r="AH2948">
        <v>0.53810893005604299</v>
      </c>
      <c r="AI2948">
        <v>97.820778119877403</v>
      </c>
      <c r="AJ2948">
        <v>88.8678825096747</v>
      </c>
      <c r="AK2948">
        <v>0.54326716045874202</v>
      </c>
      <c r="AL2948">
        <v>87.889672900465598</v>
      </c>
      <c r="AM2948">
        <v>88.863169377579695</v>
      </c>
      <c r="AN2948">
        <v>1.0000000285728501</v>
      </c>
    </row>
    <row r="2949" spans="1:40" x14ac:dyDescent="0.25">
      <c r="A2949" t="str">
        <f>"20190312151556067"</f>
        <v>20190312151556067</v>
      </c>
      <c r="B2949" t="str">
        <f>"1552374956060933"</f>
        <v>1552374956060933</v>
      </c>
      <c r="C2949" t="s">
        <v>40</v>
      </c>
      <c r="D2949">
        <v>4.6450199999999997</v>
      </c>
      <c r="E2949">
        <v>0.49766959999999999</v>
      </c>
      <c r="F2949" t="s">
        <v>41</v>
      </c>
      <c r="G2949">
        <v>-409.45699999999999</v>
      </c>
      <c r="H2949">
        <v>1.0360069999999999</v>
      </c>
      <c r="I2949">
        <v>212.54329999999999</v>
      </c>
      <c r="J2949">
        <v>-409.9597</v>
      </c>
      <c r="K2949">
        <v>1.1076919999999999</v>
      </c>
      <c r="L2949">
        <v>212.5307</v>
      </c>
      <c r="M2949">
        <v>0.99890319999999999</v>
      </c>
      <c r="N2949">
        <v>0</v>
      </c>
      <c r="O2949">
        <v>4.5606760000000003E-2</v>
      </c>
      <c r="P2949">
        <v>0.9993107</v>
      </c>
      <c r="Q2949">
        <v>2.6682540000000001E-2</v>
      </c>
      <c r="R2949">
        <v>2.5812160000000001E-2</v>
      </c>
      <c r="S2949">
        <v>3.0061040000000001</v>
      </c>
      <c r="T2949">
        <v>-0.25150689999999998</v>
      </c>
      <c r="U2949">
        <v>9.7854609999999995E-2</v>
      </c>
      <c r="V2949">
        <v>1.9931239999999999E-2</v>
      </c>
      <c r="W2949">
        <v>3.7207900000000002E-2</v>
      </c>
      <c r="X2949">
        <v>0.99910880000000002</v>
      </c>
      <c r="Y2949">
        <v>1.2880310000000001E-2</v>
      </c>
      <c r="Z2949">
        <v>-4.3443049999999997E-3</v>
      </c>
      <c r="AA2949">
        <v>0.99990760000000001</v>
      </c>
      <c r="AB2949">
        <v>34</v>
      </c>
      <c r="AC2949">
        <v>0.50270000000000403</v>
      </c>
      <c r="AD2949">
        <v>-7.1684999999999999E-2</v>
      </c>
      <c r="AE2949">
        <v>1.2599999999991901E-2</v>
      </c>
      <c r="AF2949">
        <v>1.01349568077063E-2</v>
      </c>
      <c r="AG2949">
        <v>-7.1684999999999999E-2</v>
      </c>
      <c r="AH2949">
        <v>0.49273812917968501</v>
      </c>
      <c r="AI2949">
        <v>98.275760775390793</v>
      </c>
      <c r="AJ2949">
        <v>88.821669470462297</v>
      </c>
      <c r="AK2949">
        <v>0.49802843344731801</v>
      </c>
      <c r="AL2949">
        <v>87.867652240190296</v>
      </c>
      <c r="AM2949">
        <v>88.857157017896299</v>
      </c>
      <c r="AN2949">
        <v>1.0000000381938901</v>
      </c>
    </row>
    <row r="2950" spans="1:40" x14ac:dyDescent="0.25">
      <c r="A2950" t="str">
        <f>"20190312151556089"</f>
        <v>20190312151556089</v>
      </c>
      <c r="B2950" t="str">
        <f>"1552374956080456"</f>
        <v>1552374956080456</v>
      </c>
      <c r="C2950" t="s">
        <v>40</v>
      </c>
      <c r="D2950">
        <v>4.5521659999999997</v>
      </c>
      <c r="E2950">
        <v>0.52009059999999996</v>
      </c>
      <c r="F2950" t="s">
        <v>41</v>
      </c>
      <c r="G2950">
        <v>-409.14569999999998</v>
      </c>
      <c r="H2950">
        <v>1.039919</v>
      </c>
      <c r="I2950">
        <v>212.55539999999999</v>
      </c>
      <c r="J2950">
        <v>-409.62040000000002</v>
      </c>
      <c r="K2950">
        <v>1.107694</v>
      </c>
      <c r="L2950">
        <v>212.5446</v>
      </c>
      <c r="M2950">
        <v>0.99897579999999997</v>
      </c>
      <c r="N2950">
        <v>0</v>
      </c>
      <c r="O2950">
        <v>4.3987110000000003E-2</v>
      </c>
      <c r="P2950">
        <v>0.99935410000000002</v>
      </c>
      <c r="Q2950">
        <v>2.6391350000000001E-2</v>
      </c>
      <c r="R2950">
        <v>2.4397200000000001E-2</v>
      </c>
      <c r="S2950">
        <v>3.0064389999999999</v>
      </c>
      <c r="T2950">
        <v>-0.25031100000000001</v>
      </c>
      <c r="U2950">
        <v>9.1827389999999995E-2</v>
      </c>
      <c r="V2950">
        <v>1.9725320000000001E-2</v>
      </c>
      <c r="W2950">
        <v>3.6924369999999998E-2</v>
      </c>
      <c r="X2950">
        <v>0.99912339999999999</v>
      </c>
      <c r="Y2950">
        <v>1.327151E-2</v>
      </c>
      <c r="Z2950">
        <v>-4.2052259999999899E-3</v>
      </c>
      <c r="AA2950">
        <v>0.99990310000000004</v>
      </c>
      <c r="AB2950">
        <v>34</v>
      </c>
      <c r="AC2950">
        <v>0.47470000000004098</v>
      </c>
      <c r="AD2950">
        <v>-6.7774999999999905E-2</v>
      </c>
      <c r="AE2950">
        <v>1.0799999999989001E-2</v>
      </c>
      <c r="AF2950">
        <v>9.8907952582113299E-3</v>
      </c>
      <c r="AG2950">
        <v>-6.7774999999999905E-2</v>
      </c>
      <c r="AH2950">
        <v>0.465236847389214</v>
      </c>
      <c r="AI2950">
        <v>98.286611042048307</v>
      </c>
      <c r="AJ2950">
        <v>88.782092449284207</v>
      </c>
      <c r="AK2950">
        <v>0.47025163755642002</v>
      </c>
      <c r="AL2950">
        <v>87.8839084718078</v>
      </c>
      <c r="AM2950">
        <v>88.868977762959503</v>
      </c>
      <c r="AN2950">
        <v>1.0000000328882701</v>
      </c>
    </row>
    <row r="2951" spans="1:40" x14ac:dyDescent="0.25">
      <c r="A2951" t="str">
        <f>"20190312151556112"</f>
        <v>20190312151556112</v>
      </c>
      <c r="B2951" t="str">
        <f>"1552374956100948"</f>
        <v>1552374956100948</v>
      </c>
      <c r="C2951" t="s">
        <v>40</v>
      </c>
      <c r="D2951">
        <v>4.6364879999999999</v>
      </c>
      <c r="E2951">
        <v>0.51865329999999998</v>
      </c>
      <c r="F2951" t="s">
        <v>51</v>
      </c>
      <c r="G2951">
        <v>-383.46420000000001</v>
      </c>
      <c r="H2951" s="1">
        <v>4.3136459999999998E-7</v>
      </c>
      <c r="I2951">
        <v>211.76400000000001</v>
      </c>
      <c r="J2951">
        <v>-409.26769999999999</v>
      </c>
      <c r="K2951">
        <v>1.1076839999999999</v>
      </c>
      <c r="L2951">
        <v>212.55850000000001</v>
      </c>
      <c r="M2951">
        <v>0.99904850000000001</v>
      </c>
      <c r="N2951">
        <v>0</v>
      </c>
      <c r="O2951">
        <v>4.2303640000000003E-2</v>
      </c>
      <c r="P2951">
        <v>0.99939800000000001</v>
      </c>
      <c r="Q2951">
        <v>2.595271E-2</v>
      </c>
      <c r="R2951">
        <v>2.3027590000000001E-2</v>
      </c>
      <c r="S2951">
        <v>3.0075069999999999</v>
      </c>
      <c r="T2951">
        <v>-0.12736549999999999</v>
      </c>
      <c r="U2951">
        <v>-8.9752199999999893E-2</v>
      </c>
      <c r="V2951">
        <v>1.9410030000000002E-2</v>
      </c>
      <c r="W2951">
        <v>3.6493129999999999E-2</v>
      </c>
      <c r="X2951">
        <v>0.99914539999999996</v>
      </c>
      <c r="Y2951">
        <v>7.1987549999999997E-2</v>
      </c>
      <c r="Z2951">
        <v>-3.3135909999999998E-3</v>
      </c>
      <c r="AA2951">
        <v>0.99739999999999995</v>
      </c>
      <c r="AB2951">
        <v>34</v>
      </c>
      <c r="AC2951">
        <v>25.8034999999999</v>
      </c>
      <c r="AD2951">
        <v>-1.1076835686353901</v>
      </c>
      <c r="AE2951">
        <v>-0.79449999999999898</v>
      </c>
      <c r="AF2951">
        <v>1.88196729089697</v>
      </c>
      <c r="AG2951">
        <v>-1.1076835686353901</v>
      </c>
      <c r="AH2951">
        <v>25.699472288304602</v>
      </c>
      <c r="AI2951">
        <v>92.461418672996103</v>
      </c>
      <c r="AJ2951">
        <v>85.811717382142405</v>
      </c>
      <c r="AK2951">
        <v>25.792084825960998</v>
      </c>
      <c r="AL2951">
        <v>87.908633328187506</v>
      </c>
      <c r="AM2951">
        <v>88.887075965805096</v>
      </c>
      <c r="AN2951">
        <v>1.00000001407147</v>
      </c>
    </row>
    <row r="2952" spans="1:40" x14ac:dyDescent="0.25">
      <c r="A2952" t="str">
        <f>"20190312151556137"</f>
        <v>20190312151556137</v>
      </c>
      <c r="B2952" t="str">
        <f>"1552374956130229"</f>
        <v>1552374956130229</v>
      </c>
      <c r="C2952" t="s">
        <v>40</v>
      </c>
      <c r="D2952">
        <v>4.5144849999999996</v>
      </c>
      <c r="E2952">
        <v>0.51971400000000001</v>
      </c>
      <c r="F2952" t="s">
        <v>51</v>
      </c>
      <c r="G2952">
        <v>-387.19959999999998</v>
      </c>
      <c r="H2952" s="1">
        <v>2.4109920000000001E-6</v>
      </c>
      <c r="I2952">
        <v>211.95140000000001</v>
      </c>
      <c r="J2952">
        <v>-408.9049</v>
      </c>
      <c r="K2952">
        <v>1.1076790000000001</v>
      </c>
      <c r="L2952">
        <v>212.57220000000001</v>
      </c>
      <c r="M2952">
        <v>0.99912009999999996</v>
      </c>
      <c r="N2952">
        <v>0</v>
      </c>
      <c r="O2952">
        <v>4.0574699999999998E-2</v>
      </c>
      <c r="P2952">
        <v>0.99944040000000001</v>
      </c>
      <c r="Q2952">
        <v>2.5694809999999998E-2</v>
      </c>
      <c r="R2952">
        <v>2.1415730000000001E-2</v>
      </c>
      <c r="S2952">
        <v>3.0076290000000001</v>
      </c>
      <c r="T2952">
        <v>-0.15096490000000001</v>
      </c>
      <c r="U2952">
        <v>-8.2748409999999994E-2</v>
      </c>
      <c r="V2952">
        <v>1.9291909999999999E-2</v>
      </c>
      <c r="W2952">
        <v>3.6242000000000003E-2</v>
      </c>
      <c r="X2952">
        <v>0.99915679999999996</v>
      </c>
      <c r="Y2952">
        <v>6.7904950000000006E-2</v>
      </c>
      <c r="Z2952">
        <v>-3.7377349999999998E-3</v>
      </c>
      <c r="AA2952">
        <v>0.99768480000000004</v>
      </c>
      <c r="AB2952">
        <v>34</v>
      </c>
      <c r="AC2952">
        <v>21.705300000000001</v>
      </c>
      <c r="AD2952">
        <v>-1.107676589008</v>
      </c>
      <c r="AE2952">
        <v>-0.62080000000000202</v>
      </c>
      <c r="AF2952">
        <v>1.49712857854602</v>
      </c>
      <c r="AG2952">
        <v>-1.107676589008</v>
      </c>
      <c r="AH2952">
        <v>21.606010669003101</v>
      </c>
      <c r="AI2952">
        <v>92.927808479730899</v>
      </c>
      <c r="AJ2952">
        <v>86.036183755826997</v>
      </c>
      <c r="AK2952">
        <v>21.6861254823358</v>
      </c>
      <c r="AL2952">
        <v>87.923031482806294</v>
      </c>
      <c r="AM2952">
        <v>88.893859609795399</v>
      </c>
      <c r="AN2952">
        <v>0.99999998567084303</v>
      </c>
    </row>
    <row r="2953" spans="1:40" x14ac:dyDescent="0.25">
      <c r="A2953" t="str">
        <f>"20190312151556157"</f>
        <v>20190312151556157</v>
      </c>
      <c r="B2953" t="str">
        <f>"1552374956150725"</f>
        <v>1552374956150725</v>
      </c>
      <c r="C2953" t="s">
        <v>40</v>
      </c>
      <c r="D2953">
        <v>4.523676</v>
      </c>
      <c r="E2953">
        <v>0.51995749999999996</v>
      </c>
      <c r="F2953" t="s">
        <v>51</v>
      </c>
      <c r="G2953">
        <v>-383.47300000000001</v>
      </c>
      <c r="H2953" s="1">
        <v>4.361168E-7</v>
      </c>
      <c r="I2953">
        <v>211.7619</v>
      </c>
      <c r="J2953">
        <v>-408.57310000000001</v>
      </c>
      <c r="K2953">
        <v>1.107677</v>
      </c>
      <c r="L2953">
        <v>212.58410000000001</v>
      </c>
      <c r="M2953">
        <v>0.99918289999999998</v>
      </c>
      <c r="N2953">
        <v>0</v>
      </c>
      <c r="O2953">
        <v>3.8994920000000002E-2</v>
      </c>
      <c r="P2953">
        <v>0.99947629999999998</v>
      </c>
      <c r="Q2953">
        <v>2.555352E-2</v>
      </c>
      <c r="R2953">
        <v>1.9862830000000001E-2</v>
      </c>
      <c r="S2953">
        <v>3.0070800000000002</v>
      </c>
      <c r="T2953">
        <v>-0.13097210000000001</v>
      </c>
      <c r="U2953">
        <v>-9.5809939999999996E-2</v>
      </c>
      <c r="V2953">
        <v>1.9264369999999999E-2</v>
      </c>
      <c r="W2953">
        <v>3.6106190000000003E-2</v>
      </c>
      <c r="X2953">
        <v>0.99916229999999995</v>
      </c>
      <c r="Y2953">
        <v>7.0694499999999993E-2</v>
      </c>
      <c r="Z2953">
        <v>-3.2356249999999998E-3</v>
      </c>
      <c r="AA2953">
        <v>0.99749279999999996</v>
      </c>
      <c r="AB2953">
        <v>34</v>
      </c>
      <c r="AC2953">
        <v>25.100100000000001</v>
      </c>
      <c r="AD2953">
        <v>-1.1076765638832</v>
      </c>
      <c r="AE2953">
        <v>-0.82220000000000903</v>
      </c>
      <c r="AF2953">
        <v>1.79691052071004</v>
      </c>
      <c r="AG2953">
        <v>-1.1076765638832</v>
      </c>
      <c r="AH2953">
        <v>25.000307855656299</v>
      </c>
      <c r="AI2953">
        <v>92.530398049908797</v>
      </c>
      <c r="AJ2953">
        <v>85.888904858323102</v>
      </c>
      <c r="AK2953">
        <v>25.089265187868801</v>
      </c>
      <c r="AL2953">
        <v>87.930818025864198</v>
      </c>
      <c r="AM2953">
        <v>88.895444358171304</v>
      </c>
      <c r="AN2953">
        <v>1.0000000373245499</v>
      </c>
    </row>
    <row r="2954" spans="1:40" x14ac:dyDescent="0.25">
      <c r="A2954" t="str">
        <f>"20190312151556179"</f>
        <v>20190312151556179</v>
      </c>
      <c r="B2954" t="str">
        <f>"1552374956170245"</f>
        <v>1552374956170245</v>
      </c>
      <c r="C2954" t="s">
        <v>40</v>
      </c>
      <c r="D2954">
        <v>4.8723269999999896</v>
      </c>
      <c r="E2954">
        <v>0.51968199999999998</v>
      </c>
      <c r="F2954" t="s">
        <v>51</v>
      </c>
      <c r="G2954">
        <v>-382.26</v>
      </c>
      <c r="H2954" s="1">
        <v>-2.062285E-7</v>
      </c>
      <c r="I2954">
        <v>211.69040000000001</v>
      </c>
      <c r="J2954">
        <v>-408.22989999999999</v>
      </c>
      <c r="K2954">
        <v>1.107675</v>
      </c>
      <c r="L2954">
        <v>212.5959</v>
      </c>
      <c r="M2954">
        <v>0.99924519999999994</v>
      </c>
      <c r="N2954">
        <v>0</v>
      </c>
      <c r="O2954">
        <v>3.736304E-2</v>
      </c>
      <c r="P2954">
        <v>0.99950550000000005</v>
      </c>
      <c r="Q2954">
        <v>2.5667120000000002E-2</v>
      </c>
      <c r="R2954">
        <v>1.8174880000000001E-2</v>
      </c>
      <c r="S2954">
        <v>3.0068359999999998</v>
      </c>
      <c r="T2954">
        <v>-0.12657589999999999</v>
      </c>
      <c r="U2954">
        <v>-0.1021271</v>
      </c>
      <c r="V2954">
        <v>1.932031E-2</v>
      </c>
      <c r="W2954">
        <v>3.6224369999999999E-2</v>
      </c>
      <c r="X2954">
        <v>0.99915690000000001</v>
      </c>
      <c r="Y2954">
        <v>7.1169280000000001E-2</v>
      </c>
      <c r="Z2954">
        <v>-3.068631E-3</v>
      </c>
      <c r="AA2954">
        <v>0.99745950000000005</v>
      </c>
      <c r="AB2954">
        <v>35</v>
      </c>
      <c r="AC2954">
        <v>25.969899999999999</v>
      </c>
      <c r="AD2954">
        <v>-1.1076752062285</v>
      </c>
      <c r="AE2954">
        <v>-0.90549999999998898</v>
      </c>
      <c r="AF2954">
        <v>1.87183578727612</v>
      </c>
      <c r="AG2954">
        <v>-1.1076752062285</v>
      </c>
      <c r="AH2954">
        <v>25.870922872104401</v>
      </c>
      <c r="AI2954">
        <v>92.445262970737204</v>
      </c>
      <c r="AJ2954">
        <v>85.861696522584396</v>
      </c>
      <c r="AK2954">
        <v>25.962191044505399</v>
      </c>
      <c r="AL2954">
        <v>87.924042290695297</v>
      </c>
      <c r="AM2954">
        <v>88.892231755096404</v>
      </c>
      <c r="AN2954">
        <v>0.99999999508900095</v>
      </c>
    </row>
    <row r="2955" spans="1:40" x14ac:dyDescent="0.25">
      <c r="A2955" t="str">
        <f>"20190312151556201"</f>
        <v>20190312151556201</v>
      </c>
      <c r="B2955" t="str">
        <f>"1552374956190740"</f>
        <v>1552374956190740</v>
      </c>
      <c r="C2955" t="s">
        <v>40</v>
      </c>
      <c r="D2955">
        <v>4.4843070000000003</v>
      </c>
      <c r="E2955">
        <v>0.51948969999999906</v>
      </c>
      <c r="F2955" t="s">
        <v>51</v>
      </c>
      <c r="G2955">
        <v>-381.2475</v>
      </c>
      <c r="H2955" s="1">
        <v>-7.4343280000000003E-7</v>
      </c>
      <c r="I2955">
        <v>211.65389999999999</v>
      </c>
      <c r="J2955">
        <v>-407.89530000000002</v>
      </c>
      <c r="K2955">
        <v>1.1076790000000001</v>
      </c>
      <c r="L2955">
        <v>212.6069</v>
      </c>
      <c r="M2955">
        <v>0.99930339999999995</v>
      </c>
      <c r="N2955">
        <v>0</v>
      </c>
      <c r="O2955">
        <v>3.5773010000000001E-2</v>
      </c>
      <c r="P2955">
        <v>0.99951920000000005</v>
      </c>
      <c r="Q2955">
        <v>2.6161239999999999E-2</v>
      </c>
      <c r="R2955">
        <v>1.666028E-2</v>
      </c>
      <c r="S2955">
        <v>3.0065309999999998</v>
      </c>
      <c r="T2955">
        <v>-0.12342350000000001</v>
      </c>
      <c r="U2955">
        <v>-0.10496519999999999</v>
      </c>
      <c r="V2955">
        <v>1.9246019999999999E-2</v>
      </c>
      <c r="W2955">
        <v>3.6723770000000003E-2</v>
      </c>
      <c r="X2955">
        <v>0.99914009999999998</v>
      </c>
      <c r="Y2955">
        <v>7.0532600000000001E-2</v>
      </c>
      <c r="Z2955">
        <v>-2.9142529999999999E-3</v>
      </c>
      <c r="AA2955">
        <v>0.99750519999999998</v>
      </c>
      <c r="AB2955">
        <v>35</v>
      </c>
      <c r="AC2955">
        <v>26.6478</v>
      </c>
      <c r="AD2955">
        <v>-1.1076797434328001</v>
      </c>
      <c r="AE2955">
        <v>-0.95300000000000296</v>
      </c>
      <c r="AF2955">
        <v>1.90243292081988</v>
      </c>
      <c r="AG2955">
        <v>-1.1076797434328001</v>
      </c>
      <c r="AH2955">
        <v>26.550831084193199</v>
      </c>
      <c r="AI2955">
        <v>92.382847453511999</v>
      </c>
      <c r="AJ2955">
        <v>85.901619469900496</v>
      </c>
      <c r="AK2955">
        <v>26.641937555170301</v>
      </c>
      <c r="AL2955">
        <v>87.895409719343206</v>
      </c>
      <c r="AM2955">
        <v>88.896471713750699</v>
      </c>
      <c r="AN2955">
        <v>0.99999999199843104</v>
      </c>
    </row>
    <row r="2956" spans="1:40" x14ac:dyDescent="0.25">
      <c r="A2956" t="str">
        <f>"20190312151556222"</f>
        <v>20190312151556222</v>
      </c>
      <c r="B2956" t="str">
        <f>"1552374956220997"</f>
        <v>1552374956220997</v>
      </c>
      <c r="C2956" t="s">
        <v>40</v>
      </c>
      <c r="D2956">
        <v>4.4673550000000004</v>
      </c>
      <c r="E2956">
        <v>0.51943019999999995</v>
      </c>
      <c r="F2956" t="s">
        <v>51</v>
      </c>
      <c r="G2956">
        <v>-381.24509999999998</v>
      </c>
      <c r="H2956" s="1">
        <v>-7.4446959999999997E-7</v>
      </c>
      <c r="I2956">
        <v>211.64850000000001</v>
      </c>
      <c r="J2956">
        <v>-407.55160000000001</v>
      </c>
      <c r="K2956">
        <v>1.1076779999999999</v>
      </c>
      <c r="L2956">
        <v>212.61760000000001</v>
      </c>
      <c r="M2956">
        <v>0.99936040000000004</v>
      </c>
      <c r="N2956">
        <v>0</v>
      </c>
      <c r="O2956">
        <v>3.4141379999999999E-2</v>
      </c>
      <c r="P2956">
        <v>0.99952909999999995</v>
      </c>
      <c r="Q2956">
        <v>2.6915479999999999E-2</v>
      </c>
      <c r="R2956">
        <v>1.473672E-2</v>
      </c>
      <c r="S2956">
        <v>3.006561</v>
      </c>
      <c r="T2956">
        <v>-0.1249638</v>
      </c>
      <c r="U2956">
        <v>-0.10812380000000001</v>
      </c>
      <c r="V2956">
        <v>1.954009E-2</v>
      </c>
      <c r="W2956">
        <v>3.7479499999999999E-2</v>
      </c>
      <c r="X2956">
        <v>0.9991063</v>
      </c>
      <c r="Y2956">
        <v>6.9949890000000001E-2</v>
      </c>
      <c r="Z2956">
        <v>-2.8706539999999998E-3</v>
      </c>
      <c r="AA2956">
        <v>0.99754640000000006</v>
      </c>
      <c r="AB2956">
        <v>35</v>
      </c>
      <c r="AC2956">
        <v>26.3065</v>
      </c>
      <c r="AD2956">
        <v>-1.1076787444695999</v>
      </c>
      <c r="AE2956">
        <v>-0.96909999999999696</v>
      </c>
      <c r="AF2956">
        <v>1.86342667326274</v>
      </c>
      <c r="AG2956">
        <v>-1.1076787444695999</v>
      </c>
      <c r="AH2956">
        <v>26.211664112480701</v>
      </c>
      <c r="AI2956">
        <v>92.413738041471802</v>
      </c>
      <c r="AJ2956">
        <v>85.933598080519801</v>
      </c>
      <c r="AK2956">
        <v>26.3011529540643</v>
      </c>
      <c r="AL2956">
        <v>87.852079684182399</v>
      </c>
      <c r="AM2956">
        <v>88.879576700574901</v>
      </c>
      <c r="AN2956">
        <v>0.999999963368573</v>
      </c>
    </row>
    <row r="2957" spans="1:40" x14ac:dyDescent="0.25">
      <c r="A2957" t="str">
        <f>"20190312151556247"</f>
        <v>20190312151556247</v>
      </c>
      <c r="B2957" t="str">
        <f>"1552374956240517"</f>
        <v>1552374956240517</v>
      </c>
      <c r="C2957" t="s">
        <v>40</v>
      </c>
      <c r="D2957">
        <v>4.4253660000000004</v>
      </c>
      <c r="E2957">
        <v>0.51953689999999997</v>
      </c>
      <c r="F2957" t="s">
        <v>51</v>
      </c>
      <c r="G2957">
        <v>-380.58890000000002</v>
      </c>
      <c r="H2957" s="1">
        <v>-1.091568E-6</v>
      </c>
      <c r="I2957">
        <v>211.60040000000001</v>
      </c>
      <c r="J2957">
        <v>-407.18529999999998</v>
      </c>
      <c r="K2957">
        <v>1.107674</v>
      </c>
      <c r="L2957">
        <v>212.6284</v>
      </c>
      <c r="M2957">
        <v>0.99941829999999998</v>
      </c>
      <c r="N2957">
        <v>0</v>
      </c>
      <c r="O2957">
        <v>3.2403510000000003E-2</v>
      </c>
      <c r="P2957">
        <v>0.9995598</v>
      </c>
      <c r="Q2957">
        <v>2.6932250000000001E-2</v>
      </c>
      <c r="R2957">
        <v>1.246914E-2</v>
      </c>
      <c r="S2957">
        <v>3.0064090000000001</v>
      </c>
      <c r="T2957">
        <v>-0.1235092</v>
      </c>
      <c r="U2957">
        <v>-0.11341859999999999</v>
      </c>
      <c r="V2957">
        <v>2.0069389999999999E-2</v>
      </c>
      <c r="W2957">
        <v>3.7491900000000002E-2</v>
      </c>
      <c r="X2957">
        <v>0.99909539999999997</v>
      </c>
      <c r="Y2957">
        <v>6.9975060000000006E-2</v>
      </c>
      <c r="Z2957">
        <v>-2.7665099999999998E-3</v>
      </c>
      <c r="AA2957">
        <v>0.99754489999999996</v>
      </c>
      <c r="AB2957">
        <v>35</v>
      </c>
      <c r="AC2957">
        <v>26.5963999999999</v>
      </c>
      <c r="AD2957">
        <v>-1.107675091568</v>
      </c>
      <c r="AE2957">
        <v>-1.02799999999999</v>
      </c>
      <c r="AF2957">
        <v>1.88605902056033</v>
      </c>
      <c r="AG2957">
        <v>-1.107675091568</v>
      </c>
      <c r="AH2957">
        <v>26.503217358921599</v>
      </c>
      <c r="AI2957">
        <v>92.387196191256194</v>
      </c>
      <c r="AJ2957">
        <v>85.929499666341201</v>
      </c>
      <c r="AK2957">
        <v>26.593320460441898</v>
      </c>
      <c r="AL2957">
        <v>87.8513688399117</v>
      </c>
      <c r="AM2957">
        <v>88.849222288909104</v>
      </c>
      <c r="AN2957">
        <v>1.0000000206408699</v>
      </c>
    </row>
    <row r="2958" spans="1:40" x14ac:dyDescent="0.25">
      <c r="A2958" t="str">
        <f>"20190312151556267"</f>
        <v>20190312151556267</v>
      </c>
      <c r="B2958" t="str">
        <f>"1552374956261013"</f>
        <v>1552374956261013</v>
      </c>
      <c r="C2958" t="s">
        <v>40</v>
      </c>
      <c r="D2958">
        <v>4.4198279999999999</v>
      </c>
      <c r="E2958">
        <v>0.51960709999999999</v>
      </c>
      <c r="F2958" t="s">
        <v>51</v>
      </c>
      <c r="G2958">
        <v>-379.60590000000002</v>
      </c>
      <c r="H2958" s="1">
        <v>3.5749930000000001E-6</v>
      </c>
      <c r="I2958">
        <v>211.5171</v>
      </c>
      <c r="J2958">
        <v>-406.8578</v>
      </c>
      <c r="K2958">
        <v>1.1076729999999999</v>
      </c>
      <c r="L2958">
        <v>212.63749999999999</v>
      </c>
      <c r="M2958">
        <v>0.99946740000000001</v>
      </c>
      <c r="N2958">
        <v>0</v>
      </c>
      <c r="O2958">
        <v>3.085007E-2</v>
      </c>
      <c r="P2958">
        <v>0.99958829999999999</v>
      </c>
      <c r="Q2958">
        <v>2.6674750000000001E-2</v>
      </c>
      <c r="R2958">
        <v>1.0583209999999999E-2</v>
      </c>
      <c r="S2958">
        <v>3.0060730000000002</v>
      </c>
      <c r="T2958">
        <v>-0.1207328</v>
      </c>
      <c r="U2958">
        <v>-0.1211243</v>
      </c>
      <c r="V2958">
        <v>2.0401119999999998E-2</v>
      </c>
      <c r="W2958">
        <v>3.7228869999999997E-2</v>
      </c>
      <c r="X2958">
        <v>0.9990985</v>
      </c>
      <c r="Y2958">
        <v>7.0986170000000001E-2</v>
      </c>
      <c r="Z2958">
        <v>-2.662499E-3</v>
      </c>
      <c r="AA2958">
        <v>0.99747379999999997</v>
      </c>
      <c r="AB2958">
        <v>35</v>
      </c>
      <c r="AC2958">
        <v>27.2518999999999</v>
      </c>
      <c r="AD2958">
        <v>-1.1076694250069901</v>
      </c>
      <c r="AE2958">
        <v>-1.1203999999999801</v>
      </c>
      <c r="AF2958">
        <v>1.9574089551068301</v>
      </c>
      <c r="AG2958">
        <v>-1.1076694250069901</v>
      </c>
      <c r="AH2958">
        <v>27.1595672676521</v>
      </c>
      <c r="AI2958">
        <v>92.329408182969203</v>
      </c>
      <c r="AJ2958">
        <v>85.877780541928402</v>
      </c>
      <c r="AK2958">
        <v>27.252531543670401</v>
      </c>
      <c r="AL2958">
        <v>87.866449840832203</v>
      </c>
      <c r="AM2958">
        <v>88.830209780275197</v>
      </c>
      <c r="AN2958">
        <v>1.0000000035804899</v>
      </c>
    </row>
    <row r="2959" spans="1:40" x14ac:dyDescent="0.25">
      <c r="A2959" t="str">
        <f>"20190312151556291"</f>
        <v>20190312151556291</v>
      </c>
      <c r="B2959" t="str">
        <f>"1552374956280537"</f>
        <v>1552374956280537</v>
      </c>
      <c r="C2959" t="s">
        <v>40</v>
      </c>
      <c r="D2959">
        <v>4.4080180000000002</v>
      </c>
      <c r="E2959">
        <v>0.5196054</v>
      </c>
      <c r="F2959" t="s">
        <v>51</v>
      </c>
      <c r="G2959">
        <v>-378.68040000000002</v>
      </c>
      <c r="H2959" s="1">
        <v>3.0824630000000002E-6</v>
      </c>
      <c r="I2959">
        <v>211.44309999999999</v>
      </c>
      <c r="J2959">
        <v>-406.50069999999999</v>
      </c>
      <c r="K2959">
        <v>1.107669</v>
      </c>
      <c r="L2959">
        <v>212.64689999999999</v>
      </c>
      <c r="M2959">
        <v>0.99951829999999997</v>
      </c>
      <c r="N2959">
        <v>0</v>
      </c>
      <c r="O2959">
        <v>2.9156560000000002E-2</v>
      </c>
      <c r="P2959">
        <v>0.99960260000000001</v>
      </c>
      <c r="Q2959">
        <v>2.690058E-2</v>
      </c>
      <c r="R2959">
        <v>8.4529840000000002E-3</v>
      </c>
      <c r="S2959">
        <v>3.0057369999999999</v>
      </c>
      <c r="T2959">
        <v>-0.1181571</v>
      </c>
      <c r="U2959">
        <v>-0.12741089999999999</v>
      </c>
      <c r="V2959">
        <v>2.0838369999999998E-2</v>
      </c>
      <c r="W2959">
        <v>3.7448059999999998E-2</v>
      </c>
      <c r="X2959">
        <v>0.99908129999999995</v>
      </c>
      <c r="Y2959">
        <v>7.1387690000000004E-2</v>
      </c>
      <c r="Z2959">
        <v>-2.5472979999999999E-3</v>
      </c>
      <c r="AA2959">
        <v>0.99744540000000004</v>
      </c>
      <c r="AB2959">
        <v>35</v>
      </c>
      <c r="AC2959">
        <v>27.8202999999999</v>
      </c>
      <c r="AD2959">
        <v>-1.1076659175370001</v>
      </c>
      <c r="AE2959">
        <v>-1.2038</v>
      </c>
      <c r="AF2959">
        <v>2.0112958400794199</v>
      </c>
      <c r="AG2959">
        <v>-1.1076659175370001</v>
      </c>
      <c r="AH2959">
        <v>27.7294947615108</v>
      </c>
      <c r="AI2959">
        <v>92.281499758977105</v>
      </c>
      <c r="AJ2959">
        <v>85.851445932476395</v>
      </c>
      <c r="AK2959">
        <v>27.824397827623301</v>
      </c>
      <c r="AL2959">
        <v>87.853882449421306</v>
      </c>
      <c r="AM2959">
        <v>88.805124707382106</v>
      </c>
      <c r="AN2959">
        <v>1.00000001943585</v>
      </c>
    </row>
    <row r="2960" spans="1:40" x14ac:dyDescent="0.25">
      <c r="A2960" t="str">
        <f>"20190312151556314"</f>
        <v>20190312151556314</v>
      </c>
      <c r="B2960" t="str">
        <f>"1552374956310418"</f>
        <v>1552374956310418</v>
      </c>
      <c r="C2960" t="s">
        <v>40</v>
      </c>
      <c r="D2960">
        <v>4.3656269999999999</v>
      </c>
      <c r="E2960">
        <v>0.51950180000000001</v>
      </c>
      <c r="F2960" t="s">
        <v>51</v>
      </c>
      <c r="G2960">
        <v>-377.46050000000002</v>
      </c>
      <c r="H2960" s="1">
        <v>2.4333040000000002E-6</v>
      </c>
      <c r="I2960">
        <v>211.3553</v>
      </c>
      <c r="J2960">
        <v>-406.14499999999998</v>
      </c>
      <c r="K2960">
        <v>1.107667</v>
      </c>
      <c r="L2960">
        <v>212.6557</v>
      </c>
      <c r="M2960">
        <v>0.99956610000000001</v>
      </c>
      <c r="N2960">
        <v>0</v>
      </c>
      <c r="O2960">
        <v>2.7469730000000001E-2</v>
      </c>
      <c r="P2960">
        <v>0.99961169999999999</v>
      </c>
      <c r="Q2960">
        <v>2.6939109999999999E-2</v>
      </c>
      <c r="R2960">
        <v>7.1258019999999997E-3</v>
      </c>
      <c r="S2960">
        <v>3.0054020000000001</v>
      </c>
      <c r="T2960">
        <v>-0.114633399999999</v>
      </c>
      <c r="U2960">
        <v>-0.13366700000000001</v>
      </c>
      <c r="V2960">
        <v>2.047912E-2</v>
      </c>
      <c r="W2960">
        <v>3.7483320000000001E-2</v>
      </c>
      <c r="X2960">
        <v>0.99908739999999996</v>
      </c>
      <c r="Y2960">
        <v>7.1787009999999998E-2</v>
      </c>
      <c r="Z2960">
        <v>-2.4148799999999999E-3</v>
      </c>
      <c r="AA2960">
        <v>0.997417</v>
      </c>
      <c r="AB2960">
        <v>35</v>
      </c>
      <c r="AC2960">
        <v>28.6844999999999</v>
      </c>
      <c r="AD2960">
        <v>-1.1076645666960001</v>
      </c>
      <c r="AE2960">
        <v>-1.30039999999999</v>
      </c>
      <c r="AF2960">
        <v>2.08480683553891</v>
      </c>
      <c r="AG2960">
        <v>-1.1076645666960001</v>
      </c>
      <c r="AH2960">
        <v>28.595397982122002</v>
      </c>
      <c r="AI2960">
        <v>92.212420367795602</v>
      </c>
      <c r="AJ2960">
        <v>85.830110110744101</v>
      </c>
      <c r="AK2960">
        <v>28.6926841910925</v>
      </c>
      <c r="AL2960">
        <v>87.851860767567501</v>
      </c>
      <c r="AM2960">
        <v>88.825725505864398</v>
      </c>
      <c r="AN2960">
        <v>1.0000000132364699</v>
      </c>
    </row>
    <row r="2961" spans="1:40" x14ac:dyDescent="0.25">
      <c r="A2961" t="str">
        <f>"20190312151556336"</f>
        <v>20190312151556336</v>
      </c>
      <c r="B2961" t="str">
        <f>"1552374956330914"</f>
        <v>1552374956330914</v>
      </c>
      <c r="C2961" t="s">
        <v>40</v>
      </c>
      <c r="D2961">
        <v>4.4418739999999897</v>
      </c>
      <c r="E2961">
        <v>0.5188758</v>
      </c>
      <c r="F2961" t="s">
        <v>51</v>
      </c>
      <c r="G2961">
        <v>-375.98630000000003</v>
      </c>
      <c r="H2961" s="1">
        <v>1.64882299999999E-6</v>
      </c>
      <c r="I2961">
        <v>211.28210000000001</v>
      </c>
      <c r="J2961">
        <v>-405.78699999999998</v>
      </c>
      <c r="K2961">
        <v>1.107666</v>
      </c>
      <c r="L2961">
        <v>212.66380000000001</v>
      </c>
      <c r="M2961">
        <v>0.99961149999999999</v>
      </c>
      <c r="N2961">
        <v>0</v>
      </c>
      <c r="O2961">
        <v>2.5772759999999999E-2</v>
      </c>
      <c r="P2961">
        <v>0.99962269999999998</v>
      </c>
      <c r="Q2961">
        <v>2.6870970000000001E-2</v>
      </c>
      <c r="R2961">
        <v>5.7214709999999997E-3</v>
      </c>
      <c r="S2961">
        <v>3.005096</v>
      </c>
      <c r="T2961">
        <v>-0.110371</v>
      </c>
      <c r="U2961">
        <v>-0.1368713</v>
      </c>
      <c r="V2961">
        <v>2.0186510000000001E-2</v>
      </c>
      <c r="W2961">
        <v>3.7411850000000003E-2</v>
      </c>
      <c r="X2961">
        <v>0.99909599999999998</v>
      </c>
      <c r="Y2961">
        <v>7.1166400000000005E-2</v>
      </c>
      <c r="Z2961">
        <v>-2.2516659999999998E-3</v>
      </c>
      <c r="AA2961">
        <v>0.99746190000000001</v>
      </c>
      <c r="AB2961">
        <v>35</v>
      </c>
      <c r="AC2961">
        <v>29.8006999999999</v>
      </c>
      <c r="AD2961">
        <v>-1.1076643511769999</v>
      </c>
      <c r="AE2961">
        <v>-1.3816999999999899</v>
      </c>
      <c r="AF2961">
        <v>2.1463715869776201</v>
      </c>
      <c r="AG2961">
        <v>-1.1076643511769999</v>
      </c>
      <c r="AH2961">
        <v>29.714224348956101</v>
      </c>
      <c r="AI2961">
        <v>92.129297500564604</v>
      </c>
      <c r="AJ2961">
        <v>85.868483375520498</v>
      </c>
      <c r="AK2961">
        <v>29.812228362944399</v>
      </c>
      <c r="AL2961">
        <v>87.855958498653706</v>
      </c>
      <c r="AM2961">
        <v>88.842509151288496</v>
      </c>
      <c r="AN2961">
        <v>0.99999997946120101</v>
      </c>
    </row>
    <row r="2962" spans="1:40" x14ac:dyDescent="0.25">
      <c r="A2962" t="str">
        <f>"20190312151556358"</f>
        <v>20190312151556358</v>
      </c>
      <c r="B2962" t="str">
        <f>"1552374956350434"</f>
        <v>1552374956350434</v>
      </c>
      <c r="C2962" t="s">
        <v>40</v>
      </c>
      <c r="D2962">
        <v>4.363391</v>
      </c>
      <c r="E2962">
        <v>0.51883109999999999</v>
      </c>
      <c r="F2962" t="s">
        <v>51</v>
      </c>
      <c r="G2962">
        <v>-376.97300000000001</v>
      </c>
      <c r="H2962" s="1">
        <v>2.1739090000000001E-6</v>
      </c>
      <c r="I2962">
        <v>211.3563</v>
      </c>
      <c r="J2962">
        <v>-405.45370000000003</v>
      </c>
      <c r="K2962">
        <v>1.1076649999999999</v>
      </c>
      <c r="L2962">
        <v>212.67089999999999</v>
      </c>
      <c r="M2962">
        <v>0.99965099999999996</v>
      </c>
      <c r="N2962">
        <v>0</v>
      </c>
      <c r="O2962">
        <v>2.419338E-2</v>
      </c>
      <c r="P2962">
        <v>0.99963630000000003</v>
      </c>
      <c r="Q2962">
        <v>2.669274E-2</v>
      </c>
      <c r="R2962">
        <v>3.9212439999999999E-3</v>
      </c>
      <c r="S2962">
        <v>3.0050349999999999</v>
      </c>
      <c r="T2962">
        <v>-0.115519</v>
      </c>
      <c r="U2962">
        <v>-0.13636779999999901</v>
      </c>
      <c r="V2962">
        <v>2.04067E-2</v>
      </c>
      <c r="W2962">
        <v>3.7229819999999997E-2</v>
      </c>
      <c r="X2962">
        <v>0.99909840000000005</v>
      </c>
      <c r="Y2962">
        <v>6.9420689999999993E-2</v>
      </c>
      <c r="Z2962">
        <v>-2.2624799999999999E-3</v>
      </c>
      <c r="AA2962">
        <v>0.9975849</v>
      </c>
      <c r="AB2962">
        <v>35</v>
      </c>
      <c r="AC2962">
        <v>28.480699999999999</v>
      </c>
      <c r="AD2962">
        <v>-1.107662826091</v>
      </c>
      <c r="AE2962">
        <v>-1.31459999999998</v>
      </c>
      <c r="AF2962">
        <v>2.0002792310923301</v>
      </c>
      <c r="AG2962">
        <v>-1.107662826091</v>
      </c>
      <c r="AH2962">
        <v>28.397694257665201</v>
      </c>
      <c r="AI2962">
        <v>92.228196048593603</v>
      </c>
      <c r="AJ2962">
        <v>85.970849735307596</v>
      </c>
      <c r="AK2962">
        <v>28.489595874467501</v>
      </c>
      <c r="AL2962">
        <v>87.866395477341797</v>
      </c>
      <c r="AM2962">
        <v>88.829889797669097</v>
      </c>
      <c r="AN2962">
        <v>1.0000000528923301</v>
      </c>
    </row>
    <row r="2963" spans="1:40" x14ac:dyDescent="0.25">
      <c r="A2963" t="str">
        <f>"20190312151556379"</f>
        <v>20190312151556379</v>
      </c>
      <c r="B2963" t="str">
        <f>"1552374956370934"</f>
        <v>1552374956370934</v>
      </c>
      <c r="C2963" t="s">
        <v>40</v>
      </c>
      <c r="D2963">
        <v>4.3237489999999896</v>
      </c>
      <c r="E2963">
        <v>0.51860819999999996</v>
      </c>
      <c r="F2963" t="s">
        <v>51</v>
      </c>
      <c r="G2963">
        <v>-376.08789999999999</v>
      </c>
      <c r="H2963" s="1">
        <v>1.7028630000000001E-6</v>
      </c>
      <c r="I2963">
        <v>211.28819999999999</v>
      </c>
      <c r="J2963">
        <v>-405.12150000000003</v>
      </c>
      <c r="K2963">
        <v>1.1076649999999999</v>
      </c>
      <c r="L2963">
        <v>212.67740000000001</v>
      </c>
      <c r="M2963">
        <v>0.99968769999999996</v>
      </c>
      <c r="N2963">
        <v>0</v>
      </c>
      <c r="O2963">
        <v>2.2624579999999998E-2</v>
      </c>
      <c r="P2963">
        <v>0.99963170000000001</v>
      </c>
      <c r="Q2963">
        <v>2.7086699999999998E-2</v>
      </c>
      <c r="R2963">
        <v>1.733889E-3</v>
      </c>
      <c r="S2963">
        <v>3.0046390000000001</v>
      </c>
      <c r="T2963">
        <v>-0.113333199999999</v>
      </c>
      <c r="U2963">
        <v>-0.14147950000000001</v>
      </c>
      <c r="V2963">
        <v>2.1026610000000001E-2</v>
      </c>
      <c r="W2963">
        <v>3.7618640000000002E-2</v>
      </c>
      <c r="X2963">
        <v>0.99907089999999998</v>
      </c>
      <c r="Y2963">
        <v>6.9558259999999997E-2</v>
      </c>
      <c r="Z2963">
        <v>-2.1633749999999999E-3</v>
      </c>
      <c r="AA2963">
        <v>0.99757549999999995</v>
      </c>
      <c r="AB2963">
        <v>35</v>
      </c>
      <c r="AC2963">
        <v>29.0336</v>
      </c>
      <c r="AD2963">
        <v>-1.107663297137</v>
      </c>
      <c r="AE2963">
        <v>-1.38920000000001</v>
      </c>
      <c r="AF2963">
        <v>2.0427878727798401</v>
      </c>
      <c r="AG2963">
        <v>-1.107663297137</v>
      </c>
      <c r="AH2963">
        <v>28.952691103515601</v>
      </c>
      <c r="AI2963">
        <v>92.185508232534701</v>
      </c>
      <c r="AJ2963">
        <v>85.964123629298996</v>
      </c>
      <c r="AK2963">
        <v>29.045795262113099</v>
      </c>
      <c r="AL2963">
        <v>87.844101941303904</v>
      </c>
      <c r="AM2963">
        <v>88.794321622158705</v>
      </c>
      <c r="AN2963">
        <v>0.99999997181517497</v>
      </c>
    </row>
    <row r="2964" spans="1:40" x14ac:dyDescent="0.25">
      <c r="A2964" t="str">
        <f>"20190312151556402"</f>
        <v>20190312151556402</v>
      </c>
      <c r="B2964" t="str">
        <f>"1552374956390454"</f>
        <v>1552374956390454</v>
      </c>
      <c r="C2964" t="s">
        <v>40</v>
      </c>
      <c r="D2964">
        <v>4.8017010000000004</v>
      </c>
      <c r="E2964">
        <v>0.51836789999999999</v>
      </c>
      <c r="F2964" t="s">
        <v>51</v>
      </c>
      <c r="G2964">
        <v>-375.70569999999998</v>
      </c>
      <c r="H2964" s="1">
        <v>1.4995039999999999E-6</v>
      </c>
      <c r="I2964">
        <v>211.24680000000001</v>
      </c>
      <c r="J2964">
        <v>-404.76859999999999</v>
      </c>
      <c r="K2964">
        <v>1.1076729999999999</v>
      </c>
      <c r="L2964">
        <v>212.68379999999999</v>
      </c>
      <c r="M2964">
        <v>0.99972380000000005</v>
      </c>
      <c r="N2964">
        <v>0</v>
      </c>
      <c r="O2964">
        <v>2.097255E-2</v>
      </c>
      <c r="P2964">
        <v>0.99962499999999999</v>
      </c>
      <c r="Q2964">
        <v>2.73837E-2</v>
      </c>
      <c r="R2964">
        <v>-4.1486490000000001E-4</v>
      </c>
      <c r="S2964">
        <v>3.0043950000000001</v>
      </c>
      <c r="T2964">
        <v>-0.1131316</v>
      </c>
      <c r="U2964">
        <v>-0.1461182</v>
      </c>
      <c r="V2964">
        <v>2.152391E-2</v>
      </c>
      <c r="W2964">
        <v>3.7911210000000001E-2</v>
      </c>
      <c r="X2964">
        <v>0.99904930000000003</v>
      </c>
      <c r="Y2964">
        <v>6.9451730000000003E-2</v>
      </c>
      <c r="Z2964">
        <v>-2.0954670000000002E-3</v>
      </c>
      <c r="AA2964">
        <v>0.99758309999999994</v>
      </c>
      <c r="AB2964">
        <v>35</v>
      </c>
      <c r="AC2964">
        <v>29.062899999999999</v>
      </c>
      <c r="AD2964">
        <v>-1.1076715004959901</v>
      </c>
      <c r="AE2964">
        <v>-1.4369999999999801</v>
      </c>
      <c r="AF2964">
        <v>2.0432804863224301</v>
      </c>
      <c r="AG2964">
        <v>-1.1076715004959901</v>
      </c>
      <c r="AH2964">
        <v>28.984367879088602</v>
      </c>
      <c r="AI2964">
        <v>92.183147374619693</v>
      </c>
      <c r="AJ2964">
        <v>85.967550878157894</v>
      </c>
      <c r="AK2964">
        <v>29.0774055350394</v>
      </c>
      <c r="AL2964">
        <v>87.827327055452599</v>
      </c>
      <c r="AM2964">
        <v>88.765788185653903</v>
      </c>
      <c r="AN2964">
        <v>1.0000000211879201</v>
      </c>
    </row>
    <row r="2965" spans="1:40" x14ac:dyDescent="0.25">
      <c r="A2965" t="str">
        <f>"20190312151556425"</f>
        <v>20190312151556425</v>
      </c>
      <c r="B2965" t="str">
        <f>"1552374956420642"</f>
        <v>1552374956420642</v>
      </c>
      <c r="C2965" t="s">
        <v>40</v>
      </c>
      <c r="D2965">
        <v>4.3224390000000001</v>
      </c>
      <c r="E2965">
        <v>0.51833119999999999</v>
      </c>
      <c r="F2965" t="s">
        <v>51</v>
      </c>
      <c r="G2965">
        <v>-374.9402</v>
      </c>
      <c r="H2965" s="1">
        <v>1.092144E-6</v>
      </c>
      <c r="I2965">
        <v>211.1858</v>
      </c>
      <c r="J2965">
        <v>-404.40410000000003</v>
      </c>
      <c r="K2965">
        <v>1.1076870000000001</v>
      </c>
      <c r="L2965">
        <v>212.68979999999999</v>
      </c>
      <c r="M2965">
        <v>0.99975749999999997</v>
      </c>
      <c r="N2965">
        <v>0</v>
      </c>
      <c r="O2965">
        <v>1.9295429999999999E-2</v>
      </c>
      <c r="P2965">
        <v>0.99960919999999998</v>
      </c>
      <c r="Q2965">
        <v>2.7772209999999999E-2</v>
      </c>
      <c r="R2965">
        <v>-3.152274E-3</v>
      </c>
      <c r="S2965">
        <v>3.004089</v>
      </c>
      <c r="T2965">
        <v>-0.1115563</v>
      </c>
      <c r="U2965">
        <v>-0.15086359999999999</v>
      </c>
      <c r="V2965">
        <v>2.2583860000000001E-2</v>
      </c>
      <c r="W2965">
        <v>3.8293840000000003E-2</v>
      </c>
      <c r="X2965">
        <v>0.99901130000000005</v>
      </c>
      <c r="Y2965">
        <v>6.9358160000000002E-2</v>
      </c>
      <c r="Z2965">
        <v>-2.002476E-3</v>
      </c>
      <c r="AA2965">
        <v>0.99758979999999997</v>
      </c>
      <c r="AB2965">
        <v>35</v>
      </c>
      <c r="AC2965">
        <v>29.463899999999999</v>
      </c>
      <c r="AD2965">
        <v>-1.107685907856</v>
      </c>
      <c r="AE2965">
        <v>-1.50399999999999</v>
      </c>
      <c r="AF2965">
        <v>2.0693534602845101</v>
      </c>
      <c r="AG2965">
        <v>-1.107685907856</v>
      </c>
      <c r="AH2965">
        <v>29.387964177736698</v>
      </c>
      <c r="AI2965">
        <v>92.153233971077896</v>
      </c>
      <c r="AJ2965">
        <v>85.972166011334096</v>
      </c>
      <c r="AK2965">
        <v>29.481547285140799</v>
      </c>
      <c r="AL2965">
        <v>87.805388022833498</v>
      </c>
      <c r="AM2965">
        <v>88.704980105233005</v>
      </c>
      <c r="AN2965">
        <v>1.00000001322106</v>
      </c>
    </row>
    <row r="2966" spans="1:40" x14ac:dyDescent="0.25">
      <c r="A2966" t="str">
        <f>"20190312151556447"</f>
        <v>20190312151556447</v>
      </c>
      <c r="B2966" t="str">
        <f>"1552374956440162"</f>
        <v>1552374956440162</v>
      </c>
      <c r="C2966" t="s">
        <v>40</v>
      </c>
      <c r="D2966">
        <v>4.67361</v>
      </c>
      <c r="E2966">
        <v>0.5180768</v>
      </c>
      <c r="F2966" t="s">
        <v>51</v>
      </c>
      <c r="G2966">
        <v>-373.42070000000001</v>
      </c>
      <c r="H2966" s="1">
        <v>2.835367E-7</v>
      </c>
      <c r="I2966">
        <v>211.05289999999999</v>
      </c>
      <c r="J2966">
        <v>-404.05399999999997</v>
      </c>
      <c r="K2966">
        <v>1.107707</v>
      </c>
      <c r="L2966">
        <v>212.6951</v>
      </c>
      <c r="M2966">
        <v>0.99978659999999997</v>
      </c>
      <c r="N2966">
        <v>0</v>
      </c>
      <c r="O2966">
        <v>1.7728830000000001E-2</v>
      </c>
      <c r="P2966">
        <v>0.99960139999999997</v>
      </c>
      <c r="Q2966">
        <v>2.7636310000000001E-2</v>
      </c>
      <c r="R2966">
        <v>-5.7898639999999996E-3</v>
      </c>
      <c r="S2966">
        <v>3.0036619999999998</v>
      </c>
      <c r="T2966">
        <v>-0.10738399999999999</v>
      </c>
      <c r="U2966">
        <v>-0.15869140000000001</v>
      </c>
      <c r="V2966">
        <v>2.3651769999999999E-2</v>
      </c>
      <c r="W2966">
        <v>3.8153279999999998E-2</v>
      </c>
      <c r="X2966">
        <v>0.99899199999999999</v>
      </c>
      <c r="Y2966">
        <v>7.0399749999999997E-2</v>
      </c>
      <c r="Z2966">
        <v>-1.890419E-3</v>
      </c>
      <c r="AA2966">
        <v>0.99751699999999999</v>
      </c>
      <c r="AB2966">
        <v>35</v>
      </c>
      <c r="AC2966">
        <v>30.633299999999998</v>
      </c>
      <c r="AD2966">
        <v>-1.1077067164633001</v>
      </c>
      <c r="AE2966">
        <v>-1.6422000000000001</v>
      </c>
      <c r="AF2966">
        <v>2.1822197646125101</v>
      </c>
      <c r="AG2966">
        <v>-1.1077067164633001</v>
      </c>
      <c r="AH2966">
        <v>30.559525018481398</v>
      </c>
      <c r="AI2966">
        <v>92.070652503439007</v>
      </c>
      <c r="AJ2966">
        <v>85.915508883290599</v>
      </c>
      <c r="AK2966">
        <v>30.6573590941221</v>
      </c>
      <c r="AL2966">
        <v>87.813447482255498</v>
      </c>
      <c r="AM2966">
        <v>88.643739407865596</v>
      </c>
      <c r="AN2966">
        <v>1.0000000475314399</v>
      </c>
    </row>
    <row r="2967" spans="1:40" x14ac:dyDescent="0.25">
      <c r="A2967" t="str">
        <f>"20190312151556469"</f>
        <v>20190312151556469</v>
      </c>
      <c r="B2967" t="str">
        <f>"1552374956460658"</f>
        <v>1552374956460658</v>
      </c>
      <c r="C2967" t="s">
        <v>40</v>
      </c>
      <c r="D2967">
        <v>4.3286519999999999</v>
      </c>
      <c r="E2967">
        <v>0.51780769999999998</v>
      </c>
      <c r="F2967" t="s">
        <v>51</v>
      </c>
      <c r="G2967">
        <v>-373.01209999999998</v>
      </c>
      <c r="H2967" s="1">
        <v>6.6131520000000005E-8</v>
      </c>
      <c r="I2967">
        <v>210.99440000000001</v>
      </c>
      <c r="J2967">
        <v>-403.721</v>
      </c>
      <c r="K2967">
        <v>1.107748</v>
      </c>
      <c r="L2967">
        <v>212.6996</v>
      </c>
      <c r="M2967">
        <v>0.99981089999999995</v>
      </c>
      <c r="N2967">
        <v>0</v>
      </c>
      <c r="O2967">
        <v>1.6297030000000001E-2</v>
      </c>
      <c r="P2967">
        <v>0.99959359999999997</v>
      </c>
      <c r="Q2967">
        <v>2.7417049999999998E-2</v>
      </c>
      <c r="R2967">
        <v>-7.8097890000000001E-3</v>
      </c>
      <c r="S2967">
        <v>3.0032040000000002</v>
      </c>
      <c r="T2967">
        <v>-0.1071674</v>
      </c>
      <c r="U2967">
        <v>-0.1645355</v>
      </c>
      <c r="V2967">
        <v>2.42356E-2</v>
      </c>
      <c r="W2967">
        <v>3.7933130000000002E-2</v>
      </c>
      <c r="X2967">
        <v>0.99898640000000005</v>
      </c>
      <c r="Y2967">
        <v>7.0915549999999994E-2</v>
      </c>
      <c r="Z2967">
        <v>-1.844945E-3</v>
      </c>
      <c r="AA2967">
        <v>0.99748060000000005</v>
      </c>
      <c r="AB2967">
        <v>35</v>
      </c>
      <c r="AC2967">
        <v>30.7089</v>
      </c>
      <c r="AD2967">
        <v>-1.1077479338684799</v>
      </c>
      <c r="AE2967">
        <v>-1.7051999999999901</v>
      </c>
      <c r="AF2967">
        <v>2.20260826513254</v>
      </c>
      <c r="AG2967">
        <v>-1.1077479338684799</v>
      </c>
      <c r="AH2967">
        <v>30.6372864231009</v>
      </c>
      <c r="AI2967">
        <v>92.065407028245204</v>
      </c>
      <c r="AJ2967">
        <v>85.887905964709802</v>
      </c>
      <c r="AK2967">
        <v>30.736328798764202</v>
      </c>
      <c r="AL2967">
        <v>87.826070305889004</v>
      </c>
      <c r="AM2967">
        <v>88.610266098452499</v>
      </c>
      <c r="AN2967">
        <v>1.0000000570219501</v>
      </c>
    </row>
    <row r="2968" spans="1:40" x14ac:dyDescent="0.25">
      <c r="A2968" t="str">
        <f>"20190312151556615"</f>
        <v>20190312151556615</v>
      </c>
      <c r="B2968" t="str">
        <f>"1552374956611070"</f>
        <v>1552374956611070</v>
      </c>
      <c r="C2968" t="s">
        <v>40</v>
      </c>
      <c r="D2968">
        <v>4.3685980000000004</v>
      </c>
      <c r="E2968">
        <v>0.52923039999999999</v>
      </c>
      <c r="F2968" t="s">
        <v>51</v>
      </c>
      <c r="G2968">
        <v>-371.97750000000002</v>
      </c>
      <c r="H2968" s="1">
        <v>-4.8446420000000003E-7</v>
      </c>
      <c r="I2968">
        <v>210.9194</v>
      </c>
      <c r="J2968">
        <v>-401.42630000000003</v>
      </c>
      <c r="K2968">
        <v>1.1082559999999999</v>
      </c>
      <c r="L2968">
        <v>212.72149999999999</v>
      </c>
      <c r="M2968">
        <v>0.99990500000000004</v>
      </c>
      <c r="N2968">
        <v>0</v>
      </c>
      <c r="O2968">
        <v>8.8093879999999996E-3</v>
      </c>
      <c r="P2968">
        <v>0.99940660000000003</v>
      </c>
      <c r="Q2968">
        <v>2.9084189999999999E-2</v>
      </c>
      <c r="R2968">
        <v>-1.8460219999999999E-2</v>
      </c>
      <c r="S2968">
        <v>3.002777</v>
      </c>
      <c r="T2968">
        <v>-0.1047873</v>
      </c>
      <c r="U2968">
        <v>-0.16839599999999999</v>
      </c>
      <c r="V2968">
        <v>2.735717E-2</v>
      </c>
      <c r="W2968">
        <v>3.9619870000000001E-2</v>
      </c>
      <c r="X2968">
        <v>0.99884030000000001</v>
      </c>
      <c r="Y2968">
        <v>6.4741370000000006E-2</v>
      </c>
      <c r="Z2968">
        <v>-1.435523E-3</v>
      </c>
      <c r="AA2968">
        <v>0.99790100000000004</v>
      </c>
      <c r="AB2968">
        <v>35</v>
      </c>
      <c r="AC2968">
        <v>29.448799999999999</v>
      </c>
      <c r="AD2968">
        <v>-1.1082564844642</v>
      </c>
      <c r="AE2968">
        <v>-1.80209999999999</v>
      </c>
      <c r="AF2968">
        <v>2.0585659454585898</v>
      </c>
      <c r="AG2968">
        <v>-1.1082564844642</v>
      </c>
      <c r="AH2968">
        <v>29.390311609651299</v>
      </c>
      <c r="AI2968">
        <v>92.154226214574706</v>
      </c>
      <c r="AJ2968">
        <v>85.993413482902199</v>
      </c>
      <c r="AK2968">
        <v>29.483153540616399</v>
      </c>
      <c r="AL2968">
        <v>87.729354454565396</v>
      </c>
      <c r="AM2968">
        <v>88.431121958270694</v>
      </c>
      <c r="AN2968">
        <v>1.0000000468766499</v>
      </c>
    </row>
    <row r="2969" spans="1:40" x14ac:dyDescent="0.25">
      <c r="A2969" t="str">
        <f>"20190312151556638"</f>
        <v>20190312151556638</v>
      </c>
      <c r="B2969" t="str">
        <f>"1552374956630590"</f>
        <v>1552374956630590</v>
      </c>
      <c r="C2969" t="s">
        <v>40</v>
      </c>
      <c r="D2969">
        <v>4.4045860000000001</v>
      </c>
      <c r="E2969">
        <v>0.52665229999999996</v>
      </c>
      <c r="F2969" t="s">
        <v>51</v>
      </c>
      <c r="G2969">
        <v>-328.81979999999999</v>
      </c>
      <c r="H2969">
        <v>8.0000340000000003E-2</v>
      </c>
      <c r="I2969">
        <v>205.691</v>
      </c>
      <c r="J2969">
        <v>-401.072</v>
      </c>
      <c r="K2969">
        <v>1.108352</v>
      </c>
      <c r="L2969">
        <v>212.72380000000001</v>
      </c>
      <c r="M2969">
        <v>0.9999112</v>
      </c>
      <c r="N2969">
        <v>0</v>
      </c>
      <c r="O2969">
        <v>8.0628060000000005E-3</v>
      </c>
      <c r="P2969">
        <v>0.99937140000000002</v>
      </c>
      <c r="Q2969">
        <v>2.9205749999999999E-2</v>
      </c>
      <c r="R2969">
        <v>-2.0096429999999998E-2</v>
      </c>
      <c r="S2969">
        <v>2.9977109999999998</v>
      </c>
      <c r="T2969">
        <v>-4.2453650000000002E-2</v>
      </c>
      <c r="U2969">
        <v>-0.29026790000000002</v>
      </c>
      <c r="V2969">
        <v>2.823838E-2</v>
      </c>
      <c r="W2969">
        <v>3.974565E-2</v>
      </c>
      <c r="X2969">
        <v>0.99881070000000005</v>
      </c>
      <c r="Y2969">
        <v>0.1043905</v>
      </c>
      <c r="Z2969">
        <v>-8.5135899999999999E-4</v>
      </c>
      <c r="AA2969">
        <v>0.99453599999999998</v>
      </c>
      <c r="AB2969">
        <v>35</v>
      </c>
      <c r="AC2969">
        <v>72.252199999999903</v>
      </c>
      <c r="AD2969">
        <v>-1.02835166</v>
      </c>
      <c r="AE2969">
        <v>-7.0328000000000301</v>
      </c>
      <c r="AF2969">
        <v>7.6136318015501798</v>
      </c>
      <c r="AG2969">
        <v>-1.02835166</v>
      </c>
      <c r="AH2969">
        <v>72.178659683189494</v>
      </c>
      <c r="AI2969">
        <v>90.811752482588901</v>
      </c>
      <c r="AJ2969">
        <v>83.978528300834199</v>
      </c>
      <c r="AK2969">
        <v>72.586388600121694</v>
      </c>
      <c r="AL2969">
        <v>87.7221419324392</v>
      </c>
      <c r="AM2969">
        <v>88.380564881399295</v>
      </c>
      <c r="AN2969">
        <v>0.99999996861671803</v>
      </c>
    </row>
    <row r="2970" spans="1:40" x14ac:dyDescent="0.25">
      <c r="A2970" t="str">
        <f>"20190312151556658"</f>
        <v>20190312151556658</v>
      </c>
      <c r="B2970" t="str">
        <f>"1552374956651086"</f>
        <v>1552374956651086</v>
      </c>
      <c r="C2970" t="s">
        <v>40</v>
      </c>
      <c r="D2970">
        <v>4.3936070000000003</v>
      </c>
      <c r="E2970">
        <v>0.52459650000000002</v>
      </c>
      <c r="F2970" t="s">
        <v>51</v>
      </c>
      <c r="G2970">
        <v>-327.5994</v>
      </c>
      <c r="H2970">
        <v>8.0000699999999994E-2</v>
      </c>
      <c r="I2970">
        <v>205.99590000000001</v>
      </c>
      <c r="J2970">
        <v>-400.73750000000001</v>
      </c>
      <c r="K2970">
        <v>1.1084369999999999</v>
      </c>
      <c r="L2970">
        <v>212.72579999999999</v>
      </c>
      <c r="M2970">
        <v>0.99991600000000003</v>
      </c>
      <c r="N2970">
        <v>0</v>
      </c>
      <c r="O2970">
        <v>7.4421519999999996E-3</v>
      </c>
      <c r="P2970">
        <v>0.99932100000000001</v>
      </c>
      <c r="Q2970">
        <v>2.981367E-2</v>
      </c>
      <c r="R2970">
        <v>-2.1646809999999999E-2</v>
      </c>
      <c r="S2970">
        <v>2.9975890000000001</v>
      </c>
      <c r="T2970">
        <v>-4.1955470000000002E-2</v>
      </c>
      <c r="U2970">
        <v>-0.27449040000000002</v>
      </c>
      <c r="V2970">
        <v>2.9161070000000001E-2</v>
      </c>
      <c r="W2970">
        <v>4.0358379999999999E-2</v>
      </c>
      <c r="X2970">
        <v>0.99875959999999997</v>
      </c>
      <c r="Y2970">
        <v>9.8587610000000006E-2</v>
      </c>
      <c r="Z2970">
        <v>-7.9241719999999997E-4</v>
      </c>
      <c r="AA2970">
        <v>0.99512800000000001</v>
      </c>
      <c r="AB2970">
        <v>35</v>
      </c>
      <c r="AC2970">
        <v>73.138099999999994</v>
      </c>
      <c r="AD2970">
        <v>-1.0284363000000001</v>
      </c>
      <c r="AE2970">
        <v>-6.7298999999999802</v>
      </c>
      <c r="AF2970">
        <v>7.2726231871904199</v>
      </c>
      <c r="AG2970">
        <v>-1.0284363000000001</v>
      </c>
      <c r="AH2970">
        <v>73.071659602880004</v>
      </c>
      <c r="AI2970">
        <v>90.802383998116895</v>
      </c>
      <c r="AJ2970">
        <v>84.316225072239703</v>
      </c>
      <c r="AK2970">
        <v>73.439881306856606</v>
      </c>
      <c r="AL2970">
        <v>87.687006858513499</v>
      </c>
      <c r="AM2970">
        <v>88.327593844775393</v>
      </c>
      <c r="AN2970">
        <v>0.99999995271596298</v>
      </c>
    </row>
    <row r="2971" spans="1:40" x14ac:dyDescent="0.25">
      <c r="A2971" t="str">
        <f>"20190312151556682"</f>
        <v>20190312151556682</v>
      </c>
      <c r="B2971" t="str">
        <f>"1552374956670606"</f>
        <v>1552374956670606</v>
      </c>
      <c r="C2971" t="s">
        <v>40</v>
      </c>
      <c r="D2971">
        <v>4.4009119999999999</v>
      </c>
      <c r="E2971">
        <v>0.5233293</v>
      </c>
      <c r="F2971" t="s">
        <v>51</v>
      </c>
      <c r="G2971">
        <v>-330.27620000000002</v>
      </c>
      <c r="H2971">
        <v>8.0001729999999993E-2</v>
      </c>
      <c r="I2971">
        <v>206.55</v>
      </c>
      <c r="J2971">
        <v>-400.38529999999997</v>
      </c>
      <c r="K2971">
        <v>1.108533</v>
      </c>
      <c r="L2971">
        <v>212.72790000000001</v>
      </c>
      <c r="M2971">
        <v>0.99992000000000003</v>
      </c>
      <c r="N2971">
        <v>0</v>
      </c>
      <c r="O2971">
        <v>6.8913830000000001E-3</v>
      </c>
      <c r="P2971">
        <v>0.99928410000000001</v>
      </c>
      <c r="Q2971">
        <v>3.0018989999999999E-2</v>
      </c>
      <c r="R2971">
        <v>-2.3024639999999999E-2</v>
      </c>
      <c r="S2971">
        <v>2.997681</v>
      </c>
      <c r="T2971">
        <v>-4.3753390000000003E-2</v>
      </c>
      <c r="U2971">
        <v>-0.26274109999999901</v>
      </c>
      <c r="V2971">
        <v>2.9979519999999999E-2</v>
      </c>
      <c r="W2971">
        <v>4.0570389999999998E-2</v>
      </c>
      <c r="X2971">
        <v>0.99872680000000003</v>
      </c>
      <c r="Y2971">
        <v>9.4166089999999994E-2</v>
      </c>
      <c r="Z2971">
        <v>-7.8626080000000005E-4</v>
      </c>
      <c r="AA2971">
        <v>0.9955562</v>
      </c>
      <c r="AB2971">
        <v>35</v>
      </c>
      <c r="AC2971">
        <v>70.109099999999899</v>
      </c>
      <c r="AD2971">
        <v>-1.02853127</v>
      </c>
      <c r="AE2971">
        <v>-6.1778999999999904</v>
      </c>
      <c r="AF2971">
        <v>6.6595068962781196</v>
      </c>
      <c r="AG2971">
        <v>-1.02853127</v>
      </c>
      <c r="AH2971">
        <v>70.049898240826593</v>
      </c>
      <c r="AI2971">
        <v>90.837428910940901</v>
      </c>
      <c r="AJ2971">
        <v>84.569323691197198</v>
      </c>
      <c r="AK2971">
        <v>70.373255944464503</v>
      </c>
      <c r="AL2971">
        <v>87.674849673612698</v>
      </c>
      <c r="AM2971">
        <v>88.280626566731797</v>
      </c>
      <c r="AN2971">
        <v>0.99999997460121104</v>
      </c>
    </row>
    <row r="2972" spans="1:40" x14ac:dyDescent="0.25">
      <c r="A2972" t="str">
        <f>"20190312151556704"</f>
        <v>20190312151556704</v>
      </c>
      <c r="B2972" t="str">
        <f>"1552374956700862"</f>
        <v>1552374956700862</v>
      </c>
      <c r="C2972" t="s">
        <v>40</v>
      </c>
      <c r="D2972">
        <v>4.443066</v>
      </c>
      <c r="E2972">
        <v>0.52232060000000002</v>
      </c>
      <c r="F2972" t="s">
        <v>51</v>
      </c>
      <c r="G2972">
        <v>-336.9699</v>
      </c>
      <c r="H2972">
        <v>8.0001199999999995E-2</v>
      </c>
      <c r="I2972">
        <v>207.29820000000001</v>
      </c>
      <c r="J2972">
        <v>-400.02789999999999</v>
      </c>
      <c r="K2972">
        <v>1.1086320000000001</v>
      </c>
      <c r="L2972">
        <v>212.72980000000001</v>
      </c>
      <c r="M2972">
        <v>0.99992309999999995</v>
      </c>
      <c r="N2972">
        <v>0</v>
      </c>
      <c r="O2972">
        <v>6.4425359999999996E-3</v>
      </c>
      <c r="P2972">
        <v>0.99928019999999995</v>
      </c>
      <c r="Q2972">
        <v>2.948075E-2</v>
      </c>
      <c r="R2972">
        <v>-2.387471E-2</v>
      </c>
      <c r="S2972">
        <v>2.9977420000000001</v>
      </c>
      <c r="T2972">
        <v>-4.8620219999999999E-2</v>
      </c>
      <c r="U2972">
        <v>-0.25666810000000001</v>
      </c>
      <c r="V2972">
        <v>3.037053E-2</v>
      </c>
      <c r="W2972">
        <v>4.003868E-2</v>
      </c>
      <c r="X2972">
        <v>0.99873639999999997</v>
      </c>
      <c r="Y2972">
        <v>9.1713180000000005E-2</v>
      </c>
      <c r="Z2972">
        <v>-8.466452E-4</v>
      </c>
      <c r="AA2972">
        <v>0.99578509999999998</v>
      </c>
      <c r="AB2972">
        <v>35</v>
      </c>
      <c r="AC2972">
        <v>63.0579999999999</v>
      </c>
      <c r="AD2972">
        <v>-1.0286308</v>
      </c>
      <c r="AE2972">
        <v>-5.4316000000000004</v>
      </c>
      <c r="AF2972">
        <v>5.8362219502652604</v>
      </c>
      <c r="AG2972">
        <v>-1.0286308</v>
      </c>
      <c r="AH2972">
        <v>63.005054014738398</v>
      </c>
      <c r="AI2972">
        <v>90.931350667713602</v>
      </c>
      <c r="AJ2972">
        <v>84.707736212101096</v>
      </c>
      <c r="AK2972">
        <v>63.283144670406301</v>
      </c>
      <c r="AL2972">
        <v>87.705339087691399</v>
      </c>
      <c r="AM2972">
        <v>88.2582319743927</v>
      </c>
      <c r="AN2972">
        <v>0.99999993083678895</v>
      </c>
    </row>
    <row r="2973" spans="1:40" x14ac:dyDescent="0.25">
      <c r="A2973" t="str">
        <f>"20190312151556728"</f>
        <v>20190312151556728</v>
      </c>
      <c r="B2973" t="str">
        <f>"1552374956720382"</f>
        <v>1552374956720382</v>
      </c>
      <c r="C2973" t="s">
        <v>40</v>
      </c>
      <c r="D2973">
        <v>4.4479189999999997</v>
      </c>
      <c r="E2973">
        <v>0.52167249999999998</v>
      </c>
      <c r="F2973" t="s">
        <v>51</v>
      </c>
      <c r="G2973">
        <v>-332.01089999999999</v>
      </c>
      <c r="H2973">
        <v>8.0001210000000003E-2</v>
      </c>
      <c r="I2973">
        <v>207.02869999999999</v>
      </c>
      <c r="J2973">
        <v>-399.65519999999998</v>
      </c>
      <c r="K2973">
        <v>1.108735</v>
      </c>
      <c r="L2973">
        <v>212.73179999999999</v>
      </c>
      <c r="M2973">
        <v>0.99992530000000002</v>
      </c>
      <c r="N2973">
        <v>0</v>
      </c>
      <c r="O2973">
        <v>6.0845839999999997E-3</v>
      </c>
      <c r="P2973">
        <v>0.99929210000000002</v>
      </c>
      <c r="Q2973">
        <v>2.872912E-2</v>
      </c>
      <c r="R2973">
        <v>-2.4292850000000001E-2</v>
      </c>
      <c r="S2973">
        <v>2.997528</v>
      </c>
      <c r="T2973">
        <v>-4.5332070000000002E-2</v>
      </c>
      <c r="U2973">
        <v>-0.25125120000000001</v>
      </c>
      <c r="V2973">
        <v>3.0420160000000002E-2</v>
      </c>
      <c r="W2973">
        <v>3.928968E-2</v>
      </c>
      <c r="X2973">
        <v>0.99876469999999995</v>
      </c>
      <c r="Y2973">
        <v>8.9577820000000002E-2</v>
      </c>
      <c r="Z2973">
        <v>-7.6798789999999904E-4</v>
      </c>
      <c r="AA2973">
        <v>0.99597950000000002</v>
      </c>
      <c r="AB2973">
        <v>35</v>
      </c>
      <c r="AC2973">
        <v>67.644299999999902</v>
      </c>
      <c r="AD2973">
        <v>-1.02873379</v>
      </c>
      <c r="AE2973">
        <v>-5.7031000000000001</v>
      </c>
      <c r="AF2973">
        <v>6.11320106962906</v>
      </c>
      <c r="AG2973">
        <v>-1.02873379</v>
      </c>
      <c r="AH2973">
        <v>67.592822009814896</v>
      </c>
      <c r="AI2973">
        <v>90.868406033002998</v>
      </c>
      <c r="AJ2973">
        <v>84.832139513657907</v>
      </c>
      <c r="AK2973">
        <v>67.876498935779793</v>
      </c>
      <c r="AL2973">
        <v>87.748287573744605</v>
      </c>
      <c r="AM2973">
        <v>88.255436824874295</v>
      </c>
      <c r="AN2973">
        <v>0.99999999552750896</v>
      </c>
    </row>
    <row r="2974" spans="1:40" x14ac:dyDescent="0.25">
      <c r="A2974" t="str">
        <f>"20190312151556750"</f>
        <v>20190312151556750</v>
      </c>
      <c r="B2974" t="str">
        <f>"1552374956740878"</f>
        <v>1552374956740878</v>
      </c>
      <c r="C2974" t="s">
        <v>40</v>
      </c>
      <c r="D2974">
        <v>4.4783429999999997</v>
      </c>
      <c r="E2974">
        <v>0.52065119999999998</v>
      </c>
      <c r="F2974" t="s">
        <v>51</v>
      </c>
      <c r="G2974">
        <v>-336.65980000000002</v>
      </c>
      <c r="H2974">
        <v>8.0001290000000003E-2</v>
      </c>
      <c r="I2974">
        <v>207.5317</v>
      </c>
      <c r="J2974">
        <v>-399.29860000000002</v>
      </c>
      <c r="K2974">
        <v>1.1088290000000001</v>
      </c>
      <c r="L2974">
        <v>212.7337</v>
      </c>
      <c r="M2974">
        <v>0.99992669999999995</v>
      </c>
      <c r="N2974">
        <v>0</v>
      </c>
      <c r="O2974">
        <v>5.8380860000000001E-3</v>
      </c>
      <c r="P2974">
        <v>0.99927180000000004</v>
      </c>
      <c r="Q2974">
        <v>2.8983950000000001E-2</v>
      </c>
      <c r="R2974">
        <v>-2.4818099999999999E-2</v>
      </c>
      <c r="S2974">
        <v>2.9974980000000002</v>
      </c>
      <c r="T2974">
        <v>-4.8949960000000001E-2</v>
      </c>
      <c r="U2974">
        <v>-0.2474365</v>
      </c>
      <c r="V2974">
        <v>3.069038E-2</v>
      </c>
      <c r="W2974">
        <v>3.9540779999999998E-2</v>
      </c>
      <c r="X2974">
        <v>0.99874649999999998</v>
      </c>
      <c r="Y2974">
        <v>8.8072670000000006E-2</v>
      </c>
      <c r="Z2974">
        <v>-8.1303690000000004E-4</v>
      </c>
      <c r="AA2974">
        <v>0.99611369999999999</v>
      </c>
      <c r="AB2974">
        <v>35</v>
      </c>
      <c r="AC2974">
        <v>62.638800000000003</v>
      </c>
      <c r="AD2974">
        <v>-1.0288277100000001</v>
      </c>
      <c r="AE2974">
        <v>-5.2019999999999902</v>
      </c>
      <c r="AF2974">
        <v>5.5661313075621699</v>
      </c>
      <c r="AG2974">
        <v>-1.0288277100000001</v>
      </c>
      <c r="AH2974">
        <v>62.590591379813397</v>
      </c>
      <c r="AI2974">
        <v>90.9380087614784</v>
      </c>
      <c r="AJ2974">
        <v>84.918100517182395</v>
      </c>
      <c r="AK2974">
        <v>62.846021620025098</v>
      </c>
      <c r="AL2974">
        <v>87.733889361476699</v>
      </c>
      <c r="AM2974">
        <v>88.239917652282202</v>
      </c>
      <c r="AN2974">
        <v>0.99999997198489998</v>
      </c>
    </row>
    <row r="2975" spans="1:40" x14ac:dyDescent="0.25">
      <c r="A2975" t="str">
        <f>"20190312151556772"</f>
        <v>20190312151556772</v>
      </c>
      <c r="B2975" t="str">
        <f>"1552374956760398"</f>
        <v>1552374956760398</v>
      </c>
      <c r="C2975" t="s">
        <v>40</v>
      </c>
      <c r="D2975">
        <v>4.4884539999999999</v>
      </c>
      <c r="E2975">
        <v>0.5200861</v>
      </c>
      <c r="F2975" t="s">
        <v>51</v>
      </c>
      <c r="G2975">
        <v>-341.41609999999997</v>
      </c>
      <c r="H2975">
        <v>8.0001039999999995E-2</v>
      </c>
      <c r="I2975">
        <v>208.08160000000001</v>
      </c>
      <c r="J2975">
        <v>-398.96460000000002</v>
      </c>
      <c r="K2975">
        <v>1.1089059999999999</v>
      </c>
      <c r="L2975">
        <v>212.7355</v>
      </c>
      <c r="M2975">
        <v>0.99992780000000003</v>
      </c>
      <c r="N2975">
        <v>0</v>
      </c>
      <c r="O2975">
        <v>5.6837750000000003E-3</v>
      </c>
      <c r="P2975">
        <v>0.99928110000000003</v>
      </c>
      <c r="Q2975">
        <v>2.887489E-2</v>
      </c>
      <c r="R2975">
        <v>-2.457051E-2</v>
      </c>
      <c r="S2975">
        <v>2.9977420000000001</v>
      </c>
      <c r="T2975">
        <v>-5.32831E-2</v>
      </c>
      <c r="U2975">
        <v>-0.24093629999999999</v>
      </c>
      <c r="V2975">
        <v>3.0280649999999999E-2</v>
      </c>
      <c r="W2975">
        <v>3.9425469999999997E-2</v>
      </c>
      <c r="X2975">
        <v>0.99876359999999997</v>
      </c>
      <c r="Y2975">
        <v>8.5764450000000006E-2</v>
      </c>
      <c r="Z2975">
        <v>-8.6178570000000003E-4</v>
      </c>
      <c r="AA2975">
        <v>0.99631510000000001</v>
      </c>
      <c r="AB2975">
        <v>35</v>
      </c>
      <c r="AC2975">
        <v>57.548499999999997</v>
      </c>
      <c r="AD2975">
        <v>-1.02890496</v>
      </c>
      <c r="AE2975">
        <v>-4.6538999999999904</v>
      </c>
      <c r="AF2975">
        <v>4.9793545395269403</v>
      </c>
      <c r="AG2975">
        <v>-1.02890496</v>
      </c>
      <c r="AH2975">
        <v>57.5028554350083</v>
      </c>
      <c r="AI2975">
        <v>91.021269371586499</v>
      </c>
      <c r="AJ2975">
        <v>85.050922200209996</v>
      </c>
      <c r="AK2975">
        <v>57.727211956117202</v>
      </c>
      <c r="AL2975">
        <v>87.740501373048104</v>
      </c>
      <c r="AM2975">
        <v>88.263430750449302</v>
      </c>
      <c r="AN2975">
        <v>1.0000000070670501</v>
      </c>
    </row>
    <row r="2976" spans="1:40" x14ac:dyDescent="0.25">
      <c r="A2976" t="str">
        <f>"20190312151556793"</f>
        <v>20190312151556793</v>
      </c>
      <c r="B2976" t="str">
        <f>"1552374956790654"</f>
        <v>1552374956790654</v>
      </c>
      <c r="C2976" t="s">
        <v>40</v>
      </c>
      <c r="D2976">
        <v>4.4530890000000003</v>
      </c>
      <c r="E2976">
        <v>0.51935779999999998</v>
      </c>
      <c r="F2976" t="s">
        <v>51</v>
      </c>
      <c r="G2976">
        <v>-343.346</v>
      </c>
      <c r="H2976">
        <v>8.0000479999999999E-2</v>
      </c>
      <c r="I2976">
        <v>208.36269999999999</v>
      </c>
      <c r="J2976">
        <v>-398.6223</v>
      </c>
      <c r="K2976">
        <v>1.1089659999999999</v>
      </c>
      <c r="L2976">
        <v>212.7373</v>
      </c>
      <c r="M2976">
        <v>0.9999285</v>
      </c>
      <c r="N2976">
        <v>0</v>
      </c>
      <c r="O2976">
        <v>5.5875159999999998E-3</v>
      </c>
      <c r="P2976">
        <v>0.99928980000000001</v>
      </c>
      <c r="Q2976">
        <v>2.881562E-2</v>
      </c>
      <c r="R2976">
        <v>-2.428313E-2</v>
      </c>
      <c r="S2976">
        <v>2.9979550000000001</v>
      </c>
      <c r="T2976">
        <v>-5.5460099999999998E-2</v>
      </c>
      <c r="U2976">
        <v>-0.23570250000000001</v>
      </c>
      <c r="V2976">
        <v>2.9890320000000001E-2</v>
      </c>
      <c r="W2976">
        <v>3.9353050000000001E-2</v>
      </c>
      <c r="X2976">
        <v>0.99877819999999995</v>
      </c>
      <c r="Y2976">
        <v>8.393341E-2</v>
      </c>
      <c r="Z2976">
        <v>-8.7830119999999904E-4</v>
      </c>
      <c r="AA2976">
        <v>0.996471</v>
      </c>
      <c r="AB2976">
        <v>35</v>
      </c>
      <c r="AC2976">
        <v>55.2762999999999</v>
      </c>
      <c r="AD2976">
        <v>-1.0289655200000001</v>
      </c>
      <c r="AE2976">
        <v>-4.3746000000000098</v>
      </c>
      <c r="AF2976">
        <v>4.6817939565287903</v>
      </c>
      <c r="AG2976">
        <v>-1.0289655200000001</v>
      </c>
      <c r="AH2976">
        <v>55.231972854557497</v>
      </c>
      <c r="AI2976">
        <v>91.063477573509502</v>
      </c>
      <c r="AJ2976">
        <v>85.154847821843106</v>
      </c>
      <c r="AK2976">
        <v>55.439595868831098</v>
      </c>
      <c r="AL2976">
        <v>87.744653924917102</v>
      </c>
      <c r="AM2976">
        <v>88.285827440578899</v>
      </c>
      <c r="AN2976">
        <v>0.99999999328462197</v>
      </c>
    </row>
    <row r="2977" spans="1:40" x14ac:dyDescent="0.25">
      <c r="A2977" t="str">
        <f>"20190312151556817"</f>
        <v>20190312151556817</v>
      </c>
      <c r="B2977" t="str">
        <f>"1552374956810175"</f>
        <v>1552374956810175</v>
      </c>
      <c r="C2977" t="s">
        <v>40</v>
      </c>
      <c r="D2977">
        <v>4.4540329999999999</v>
      </c>
      <c r="E2977">
        <v>0.51895760000000002</v>
      </c>
      <c r="F2977" t="s">
        <v>51</v>
      </c>
      <c r="G2977">
        <v>-345.22269999999997</v>
      </c>
      <c r="H2977">
        <v>8.0001390000000006E-2</v>
      </c>
      <c r="I2977">
        <v>208.65860000000001</v>
      </c>
      <c r="J2977">
        <v>-398.24740000000003</v>
      </c>
      <c r="K2977">
        <v>1.1090249999999999</v>
      </c>
      <c r="L2977">
        <v>212.73929999999999</v>
      </c>
      <c r="M2977">
        <v>0.99992919999999996</v>
      </c>
      <c r="N2977">
        <v>0</v>
      </c>
      <c r="O2977">
        <v>5.5352049999999996E-3</v>
      </c>
      <c r="P2977">
        <v>0.99929820000000003</v>
      </c>
      <c r="Q2977">
        <v>2.89657E-2</v>
      </c>
      <c r="R2977">
        <v>-2.3756860000000001E-2</v>
      </c>
      <c r="S2977">
        <v>2.99823</v>
      </c>
      <c r="T2977">
        <v>-5.7773350000000001E-2</v>
      </c>
      <c r="U2977">
        <v>-0.22900390000000001</v>
      </c>
      <c r="V2977">
        <v>2.9306100000000002E-2</v>
      </c>
      <c r="W2977">
        <v>3.9478829999999999E-2</v>
      </c>
      <c r="X2977">
        <v>0.99879059999999997</v>
      </c>
      <c r="Y2977">
        <v>8.1660079999999996E-2</v>
      </c>
      <c r="Z2977">
        <v>-8.9204849999999995E-4</v>
      </c>
      <c r="AA2977">
        <v>0.99665979999999998</v>
      </c>
      <c r="AB2977">
        <v>35</v>
      </c>
      <c r="AC2977">
        <v>53.024700000000003</v>
      </c>
      <c r="AD2977">
        <v>-1.0290236100000001</v>
      </c>
      <c r="AE2977">
        <v>-4.08069999999997</v>
      </c>
      <c r="AF2977">
        <v>4.3725193002906098</v>
      </c>
      <c r="AG2977">
        <v>-1.0290236100000001</v>
      </c>
      <c r="AH2977">
        <v>52.981462862997397</v>
      </c>
      <c r="AI2977">
        <v>91.108908732850793</v>
      </c>
      <c r="AJ2977">
        <v>85.282115372349097</v>
      </c>
      <c r="AK2977">
        <v>53.171545226037303</v>
      </c>
      <c r="AL2977">
        <v>87.737441771981906</v>
      </c>
      <c r="AM2977">
        <v>88.319333175108497</v>
      </c>
      <c r="AN2977">
        <v>1.0000000440818599</v>
      </c>
    </row>
    <row r="2978" spans="1:40" x14ac:dyDescent="0.25">
      <c r="A2978" t="str">
        <f>"20190312151556837"</f>
        <v>20190312151556837</v>
      </c>
      <c r="B2978" t="str">
        <f>"1552374956830671"</f>
        <v>1552374956830671</v>
      </c>
      <c r="C2978" t="s">
        <v>40</v>
      </c>
      <c r="D2978">
        <v>4.6695489999999999</v>
      </c>
      <c r="E2978">
        <v>0.51864719999999997</v>
      </c>
      <c r="F2978" t="s">
        <v>51</v>
      </c>
      <c r="G2978">
        <v>-344.89449999999999</v>
      </c>
      <c r="H2978">
        <v>8.0000020000000005E-2</v>
      </c>
      <c r="I2978">
        <v>208.74789999999999</v>
      </c>
      <c r="J2978">
        <v>-397.91840000000002</v>
      </c>
      <c r="K2978">
        <v>1.1090629999999999</v>
      </c>
      <c r="L2978">
        <v>212.74109999999999</v>
      </c>
      <c r="M2978">
        <v>0.99992959999999997</v>
      </c>
      <c r="N2978">
        <v>0</v>
      </c>
      <c r="O2978">
        <v>5.5159340000000001E-3</v>
      </c>
      <c r="P2978">
        <v>0.99929670000000004</v>
      </c>
      <c r="Q2978">
        <v>2.9451189999999999E-2</v>
      </c>
      <c r="R2978">
        <v>-2.3213919999999999E-2</v>
      </c>
      <c r="S2978">
        <v>2.9984440000000001</v>
      </c>
      <c r="T2978">
        <v>-5.783141E-2</v>
      </c>
      <c r="U2978">
        <v>-0.22431950000000001</v>
      </c>
      <c r="V2978">
        <v>2.874028E-2</v>
      </c>
      <c r="W2978">
        <v>3.9937180000000003E-2</v>
      </c>
      <c r="X2978">
        <v>0.99878880000000003</v>
      </c>
      <c r="Y2978">
        <v>8.0087389999999994E-2</v>
      </c>
      <c r="Z2978">
        <v>-8.7741860000000002E-4</v>
      </c>
      <c r="AA2978">
        <v>0.99678750000000005</v>
      </c>
      <c r="AB2978">
        <v>35</v>
      </c>
      <c r="AC2978">
        <v>53.023899999999998</v>
      </c>
      <c r="AD2978">
        <v>-1.02906298</v>
      </c>
      <c r="AE2978">
        <v>-3.9931999999999999</v>
      </c>
      <c r="AF2978">
        <v>4.2840272309660801</v>
      </c>
      <c r="AG2978">
        <v>-1.02906298</v>
      </c>
      <c r="AH2978">
        <v>52.981222863856601</v>
      </c>
      <c r="AI2978">
        <v>91.109106423762</v>
      </c>
      <c r="AJ2978">
        <v>85.377158092269994</v>
      </c>
      <c r="AK2978">
        <v>53.1641028898458</v>
      </c>
      <c r="AL2978">
        <v>87.711159479458502</v>
      </c>
      <c r="AM2978">
        <v>88.351761174277797</v>
      </c>
      <c r="AN2978">
        <v>1.00000002452313</v>
      </c>
    </row>
    <row r="2979" spans="1:40" x14ac:dyDescent="0.25">
      <c r="A2979" t="str">
        <f>"20190312151556859"</f>
        <v>20190312151556859</v>
      </c>
      <c r="B2979" t="str">
        <f>"1552374956850190"</f>
        <v>1552374956850190</v>
      </c>
      <c r="C2979" t="s">
        <v>40</v>
      </c>
      <c r="D2979">
        <v>4.5153230000000004</v>
      </c>
      <c r="E2979">
        <v>0.51816390000000001</v>
      </c>
      <c r="F2979" t="s">
        <v>51</v>
      </c>
      <c r="G2979">
        <v>-343.03190000000001</v>
      </c>
      <c r="H2979">
        <v>8.0000569999999993E-2</v>
      </c>
      <c r="I2979">
        <v>208.71260000000001</v>
      </c>
      <c r="J2979">
        <v>-397.56319999999999</v>
      </c>
      <c r="K2979">
        <v>1.109089</v>
      </c>
      <c r="L2979">
        <v>212.74299999999999</v>
      </c>
      <c r="M2979">
        <v>0.99992999999999999</v>
      </c>
      <c r="N2979">
        <v>0</v>
      </c>
      <c r="O2979">
        <v>5.5121429999999997E-3</v>
      </c>
      <c r="P2979">
        <v>0.99931289999999995</v>
      </c>
      <c r="Q2979">
        <v>2.9481710000000001E-2</v>
      </c>
      <c r="R2979">
        <v>-2.2468450000000001E-2</v>
      </c>
      <c r="S2979">
        <v>2.9986570000000001</v>
      </c>
      <c r="T2979">
        <v>-5.6221599999999997E-2</v>
      </c>
      <c r="U2979">
        <v>-0.22009280000000001</v>
      </c>
      <c r="V2979">
        <v>2.7988019999999999E-2</v>
      </c>
      <c r="W2979">
        <v>3.9934329999999997E-2</v>
      </c>
      <c r="X2979">
        <v>0.99881019999999998</v>
      </c>
      <c r="Y2979">
        <v>7.8682039999999995E-2</v>
      </c>
      <c r="Z2979">
        <v>-8.3975610000000002E-4</v>
      </c>
      <c r="AA2979">
        <v>0.99689939999999999</v>
      </c>
      <c r="AB2979">
        <v>35</v>
      </c>
      <c r="AC2979">
        <v>54.531299999999902</v>
      </c>
      <c r="AD2979">
        <v>-1.0290884300000001</v>
      </c>
      <c r="AE2979">
        <v>-4.0303999999999798</v>
      </c>
      <c r="AF2979">
        <v>4.32940608945988</v>
      </c>
      <c r="AG2979">
        <v>-1.0290884300000001</v>
      </c>
      <c r="AH2979">
        <v>54.488954160944701</v>
      </c>
      <c r="AI2979">
        <v>91.0785716422956</v>
      </c>
      <c r="AJ2979">
        <v>85.4571220859562</v>
      </c>
      <c r="AK2979">
        <v>54.670365881688902</v>
      </c>
      <c r="AL2979">
        <v>87.711322727109305</v>
      </c>
      <c r="AM2979">
        <v>88.394914361116903</v>
      </c>
      <c r="AN2979">
        <v>0.99999994780005297</v>
      </c>
    </row>
    <row r="2980" spans="1:40" x14ac:dyDescent="0.25">
      <c r="A2980" t="str">
        <f>"20190312151556882"</f>
        <v>20190312151556882</v>
      </c>
      <c r="B2980" t="str">
        <f>"1552374956870686"</f>
        <v>1552374956870686</v>
      </c>
      <c r="C2980" t="s">
        <v>40</v>
      </c>
      <c r="D2980">
        <v>4.8648129999999998</v>
      </c>
      <c r="E2980">
        <v>0.51797780000000004</v>
      </c>
      <c r="F2980" t="s">
        <v>51</v>
      </c>
      <c r="G2980">
        <v>-346.2063</v>
      </c>
      <c r="H2980">
        <v>8.000111E-2</v>
      </c>
      <c r="I2980">
        <v>209.07380000000001</v>
      </c>
      <c r="J2980">
        <v>-397.22179999999997</v>
      </c>
      <c r="K2980">
        <v>1.109105</v>
      </c>
      <c r="L2980">
        <v>212.7449</v>
      </c>
      <c r="M2980">
        <v>0.9999304</v>
      </c>
      <c r="N2980">
        <v>0</v>
      </c>
      <c r="O2980">
        <v>5.516539E-3</v>
      </c>
      <c r="P2980">
        <v>0.99932889999999996</v>
      </c>
      <c r="Q2980">
        <v>2.9427620000000002E-2</v>
      </c>
      <c r="R2980">
        <v>-2.1815290000000001E-2</v>
      </c>
      <c r="S2980">
        <v>2.9990230000000002</v>
      </c>
      <c r="T2980">
        <v>-6.0094359999999999E-2</v>
      </c>
      <c r="U2980">
        <v>-0.21426390000000001</v>
      </c>
      <c r="V2980">
        <v>2.733702E-2</v>
      </c>
      <c r="W2980">
        <v>3.9839989999999999E-2</v>
      </c>
      <c r="X2980">
        <v>0.99883200000000005</v>
      </c>
      <c r="Y2980">
        <v>7.6748239999999995E-2</v>
      </c>
      <c r="Z2980">
        <v>-8.7828380000000005E-4</v>
      </c>
      <c r="AA2980">
        <v>0.99705010000000005</v>
      </c>
      <c r="AB2980">
        <v>35</v>
      </c>
      <c r="AC2980">
        <v>51.015499999999903</v>
      </c>
      <c r="AD2980">
        <v>-1.02910389</v>
      </c>
      <c r="AE2980">
        <v>-3.6710999999999898</v>
      </c>
      <c r="AF2980">
        <v>3.9508890024896202</v>
      </c>
      <c r="AG2980">
        <v>-1.02910389</v>
      </c>
      <c r="AH2980">
        <v>50.973835125776603</v>
      </c>
      <c r="AI2980">
        <v>91.153122077777198</v>
      </c>
      <c r="AJ2980">
        <v>85.567969610098203</v>
      </c>
      <c r="AK2980">
        <v>51.137075064538699</v>
      </c>
      <c r="AL2980">
        <v>87.716732323190897</v>
      </c>
      <c r="AM2980">
        <v>88.432263922073602</v>
      </c>
      <c r="AN2980">
        <v>0.99999995084483895</v>
      </c>
    </row>
    <row r="2981" spans="1:40" x14ac:dyDescent="0.25">
      <c r="A2981" t="str">
        <f>"20190312151556904"</f>
        <v>20190312151556904</v>
      </c>
      <c r="B2981" t="str">
        <f>"1552374956900943"</f>
        <v>1552374956900943</v>
      </c>
      <c r="C2981" t="s">
        <v>40</v>
      </c>
      <c r="D2981">
        <v>4.5463940000000003</v>
      </c>
      <c r="E2981">
        <v>0.51787109999999903</v>
      </c>
      <c r="F2981" t="s">
        <v>51</v>
      </c>
      <c r="G2981">
        <v>-347.7296</v>
      </c>
      <c r="H2981">
        <v>8.0000660000000001E-2</v>
      </c>
      <c r="I2981">
        <v>209.26609999999999</v>
      </c>
      <c r="J2981">
        <v>-396.85129999999998</v>
      </c>
      <c r="K2981">
        <v>1.1091040000000001</v>
      </c>
      <c r="L2981">
        <v>212.74690000000001</v>
      </c>
      <c r="M2981">
        <v>0.99993100000000001</v>
      </c>
      <c r="N2981">
        <v>0</v>
      </c>
      <c r="O2981">
        <v>5.523147E-3</v>
      </c>
      <c r="P2981">
        <v>0.99934529999999999</v>
      </c>
      <c r="Q2981">
        <v>2.946056E-2</v>
      </c>
      <c r="R2981">
        <v>-2.1001519999999999E-2</v>
      </c>
      <c r="S2981">
        <v>2.9992369999999999</v>
      </c>
      <c r="T2981">
        <v>-6.236386E-2</v>
      </c>
      <c r="U2981">
        <v>-0.21081539999999999</v>
      </c>
      <c r="V2981">
        <v>2.652823E-2</v>
      </c>
      <c r="W2981">
        <v>3.98214E-2</v>
      </c>
      <c r="X2981">
        <v>0.99885460000000004</v>
      </c>
      <c r="Y2981">
        <v>7.5607999999999995E-2</v>
      </c>
      <c r="Z2981">
        <v>-8.9971619999999904E-4</v>
      </c>
      <c r="AA2981">
        <v>0.99713719999999995</v>
      </c>
      <c r="AB2981">
        <v>36</v>
      </c>
      <c r="AC2981">
        <v>49.121699999999898</v>
      </c>
      <c r="AD2981">
        <v>-1.02910334</v>
      </c>
      <c r="AE2981">
        <v>-3.4808000000000101</v>
      </c>
      <c r="AF2981">
        <v>3.75042999434074</v>
      </c>
      <c r="AG2981">
        <v>-1.02910334</v>
      </c>
      <c r="AH2981">
        <v>49.080290684940699</v>
      </c>
      <c r="AI2981">
        <v>91.197697015426897</v>
      </c>
      <c r="AJ2981">
        <v>85.630282101142399</v>
      </c>
      <c r="AK2981">
        <v>49.234131581100598</v>
      </c>
      <c r="AL2981">
        <v>87.717798413163905</v>
      </c>
      <c r="AM2981">
        <v>88.478659060895396</v>
      </c>
      <c r="AN2981">
        <v>1.0000000014130199</v>
      </c>
    </row>
    <row r="2982" spans="1:40" x14ac:dyDescent="0.25">
      <c r="A2982" t="str">
        <f>"20190312151556929"</f>
        <v>20190312151556929</v>
      </c>
      <c r="B2982" t="str">
        <f>"1552374956920463"</f>
        <v>1552374956920463</v>
      </c>
      <c r="C2982" t="s">
        <v>40</v>
      </c>
      <c r="D2982">
        <v>4.5574919999999999</v>
      </c>
      <c r="E2982">
        <v>0.51778170000000001</v>
      </c>
      <c r="F2982" t="s">
        <v>51</v>
      </c>
      <c r="G2982">
        <v>-348.15550000000002</v>
      </c>
      <c r="H2982">
        <v>8.000053E-2</v>
      </c>
      <c r="I2982">
        <v>209.37780000000001</v>
      </c>
      <c r="J2982">
        <v>-396.47190000000001</v>
      </c>
      <c r="K2982">
        <v>1.1091040000000001</v>
      </c>
      <c r="L2982">
        <v>212.749</v>
      </c>
      <c r="M2982">
        <v>0.99993160000000003</v>
      </c>
      <c r="N2982">
        <v>0</v>
      </c>
      <c r="O2982">
        <v>5.5286769999999897E-3</v>
      </c>
      <c r="P2982">
        <v>0.99936009999999997</v>
      </c>
      <c r="Q2982">
        <v>2.9450879999999999E-2</v>
      </c>
      <c r="R2982">
        <v>-2.0300510000000001E-2</v>
      </c>
      <c r="S2982">
        <v>2.9994510000000001</v>
      </c>
      <c r="T2982">
        <v>-6.3388349999999996E-2</v>
      </c>
      <c r="U2982">
        <v>-0.2075195</v>
      </c>
      <c r="V2982">
        <v>2.5831400000000001E-2</v>
      </c>
      <c r="W2982">
        <v>3.9750420000000002E-2</v>
      </c>
      <c r="X2982">
        <v>0.99887570000000003</v>
      </c>
      <c r="Y2982">
        <v>7.451779E-2</v>
      </c>
      <c r="Z2982">
        <v>-9.0307479999999997E-4</v>
      </c>
      <c r="AA2982">
        <v>0.99721930000000003</v>
      </c>
      <c r="AB2982">
        <v>36</v>
      </c>
      <c r="AC2982">
        <v>48.316399999999902</v>
      </c>
      <c r="AD2982">
        <v>-1.0291034699999999</v>
      </c>
      <c r="AE2982">
        <v>-3.3712000000000102</v>
      </c>
      <c r="AF2982">
        <v>3.6366466279931098</v>
      </c>
      <c r="AG2982">
        <v>-1.0291034699999999</v>
      </c>
      <c r="AH2982">
        <v>48.275227863775299</v>
      </c>
      <c r="AI2982">
        <v>91.217764048681602</v>
      </c>
      <c r="AJ2982">
        <v>85.691958294609904</v>
      </c>
      <c r="AK2982">
        <v>48.422947844470301</v>
      </c>
      <c r="AL2982">
        <v>87.7218685110672</v>
      </c>
      <c r="AM2982">
        <v>88.5186340994657</v>
      </c>
      <c r="AN2982">
        <v>1.00000001058331</v>
      </c>
    </row>
    <row r="2983" spans="1:40" x14ac:dyDescent="0.25">
      <c r="A2983" t="str">
        <f>"20190312151556952"</f>
        <v>20190312151556952</v>
      </c>
      <c r="B2983" t="str">
        <f>"1552374956940958"</f>
        <v>1552374956940958</v>
      </c>
      <c r="C2983" t="s">
        <v>40</v>
      </c>
      <c r="D2983">
        <v>4.55084</v>
      </c>
      <c r="E2983">
        <v>0.51770309999999997</v>
      </c>
      <c r="F2983" t="s">
        <v>51</v>
      </c>
      <c r="G2983">
        <v>-349.66250000000002</v>
      </c>
      <c r="H2983">
        <v>8.0000089999999996E-2</v>
      </c>
      <c r="I2983">
        <v>209.55520000000001</v>
      </c>
      <c r="J2983">
        <v>-396.10509999999999</v>
      </c>
      <c r="K2983">
        <v>1.109105</v>
      </c>
      <c r="L2983">
        <v>212.751</v>
      </c>
      <c r="M2983">
        <v>0.99993220000000005</v>
      </c>
      <c r="N2983">
        <v>0</v>
      </c>
      <c r="O2983">
        <v>5.5312010000000003E-3</v>
      </c>
      <c r="P2983">
        <v>0.99938289999999996</v>
      </c>
      <c r="Q2983">
        <v>2.9227340000000001E-2</v>
      </c>
      <c r="R2983">
        <v>-1.94906E-2</v>
      </c>
      <c r="S2983">
        <v>2.999695</v>
      </c>
      <c r="T2983">
        <v>-6.594825E-2</v>
      </c>
      <c r="U2983">
        <v>-0.20466609999999999</v>
      </c>
      <c r="V2983">
        <v>2.5022860000000001E-2</v>
      </c>
      <c r="W2983">
        <v>3.9461209999999997E-2</v>
      </c>
      <c r="X2983">
        <v>0.99890769999999995</v>
      </c>
      <c r="Y2983">
        <v>7.3569339999999997E-2</v>
      </c>
      <c r="Z2983">
        <v>-9.2913360000000005E-4</v>
      </c>
      <c r="AA2983">
        <v>0.99728969999999995</v>
      </c>
      <c r="AB2983">
        <v>36</v>
      </c>
      <c r="AC2983">
        <v>46.442599999999899</v>
      </c>
      <c r="AD2983">
        <v>-1.02910491</v>
      </c>
      <c r="AE2983">
        <v>-3.1957999999999598</v>
      </c>
      <c r="AF2983">
        <v>3.45096149601993</v>
      </c>
      <c r="AG2983">
        <v>-1.02910491</v>
      </c>
      <c r="AH2983">
        <v>46.401535911716699</v>
      </c>
      <c r="AI2983">
        <v>91.267013850247494</v>
      </c>
      <c r="AJ2983">
        <v>85.746645444898903</v>
      </c>
      <c r="AK2983">
        <v>46.541064954823803</v>
      </c>
      <c r="AL2983">
        <v>87.738451924847098</v>
      </c>
      <c r="AM2983">
        <v>88.565028087634701</v>
      </c>
      <c r="AN2983">
        <v>0.99999996186826601</v>
      </c>
    </row>
    <row r="2984" spans="1:40" x14ac:dyDescent="0.25">
      <c r="A2984" t="str">
        <f>"20190312151556975"</f>
        <v>20190312151556975</v>
      </c>
      <c r="B2984" t="str">
        <f>"1552374956970239"</f>
        <v>1552374956970239</v>
      </c>
      <c r="C2984" t="s">
        <v>40</v>
      </c>
      <c r="D2984">
        <v>4.5726199999999997</v>
      </c>
      <c r="E2984">
        <v>0.51756709999999995</v>
      </c>
      <c r="F2984" t="s">
        <v>51</v>
      </c>
      <c r="G2984">
        <v>-349.51209999999998</v>
      </c>
      <c r="H2984">
        <v>3.6800659999999999E-2</v>
      </c>
      <c r="I2984">
        <v>209.6163</v>
      </c>
      <c r="J2984">
        <v>-395.74810000000002</v>
      </c>
      <c r="K2984">
        <v>1.10911</v>
      </c>
      <c r="L2984">
        <v>212.75299999999999</v>
      </c>
      <c r="M2984">
        <v>0.99993290000000001</v>
      </c>
      <c r="N2984">
        <v>0</v>
      </c>
      <c r="O2984">
        <v>5.5316790000000003E-3</v>
      </c>
      <c r="P2984">
        <v>0.9993879</v>
      </c>
      <c r="Q2984">
        <v>2.9216949999999998E-2</v>
      </c>
      <c r="R2984">
        <v>-1.924145E-2</v>
      </c>
      <c r="S2984">
        <v>2.9999389999999999</v>
      </c>
      <c r="T2984">
        <v>-6.9041370000000005E-2</v>
      </c>
      <c r="U2984">
        <v>-0.20182800000000001</v>
      </c>
      <c r="V2984">
        <v>2.4773369999999999E-2</v>
      </c>
      <c r="W2984">
        <v>3.9380199999999997E-2</v>
      </c>
      <c r="X2984">
        <v>0.99891719999999895</v>
      </c>
      <c r="Y2984">
        <v>7.2623489999999999E-2</v>
      </c>
      <c r="Z2984">
        <v>-9.6179320000000003E-4</v>
      </c>
      <c r="AA2984">
        <v>0.997359</v>
      </c>
      <c r="AB2984">
        <v>36</v>
      </c>
      <c r="AC2984">
        <v>46.235999999999997</v>
      </c>
      <c r="AD2984">
        <v>-1.0723093400000001</v>
      </c>
      <c r="AE2984">
        <v>-3.1366999999999901</v>
      </c>
      <c r="AF2984">
        <v>3.3906125996534699</v>
      </c>
      <c r="AG2984">
        <v>-1.0723093400000001</v>
      </c>
      <c r="AH2984">
        <v>46.193208159263797</v>
      </c>
      <c r="AI2984">
        <v>91.326234274561799</v>
      </c>
      <c r="AJ2984">
        <v>85.8019795493651</v>
      </c>
      <c r="AK2984">
        <v>46.329888637537799</v>
      </c>
      <c r="AL2984">
        <v>87.743097257288895</v>
      </c>
      <c r="AM2984">
        <v>88.579343063142304</v>
      </c>
      <c r="AN2984">
        <v>1.00000004623451</v>
      </c>
    </row>
    <row r="2985" spans="1:40" x14ac:dyDescent="0.25">
      <c r="A2985" t="str">
        <f>"20190312151556996"</f>
        <v>20190312151556996</v>
      </c>
      <c r="B2985" t="str">
        <f>"1552374956990735"</f>
        <v>1552374956990735</v>
      </c>
      <c r="C2985" t="s">
        <v>40</v>
      </c>
      <c r="D2985">
        <v>4.5750760000000001</v>
      </c>
      <c r="E2985">
        <v>0.51748739999999904</v>
      </c>
      <c r="F2985" t="s">
        <v>51</v>
      </c>
      <c r="G2985">
        <v>-349.81950000000001</v>
      </c>
      <c r="H2985" s="1">
        <v>3.6886609999999999E-6</v>
      </c>
      <c r="I2985">
        <v>209.68790000000001</v>
      </c>
      <c r="J2985">
        <v>-395.40069999999997</v>
      </c>
      <c r="K2985">
        <v>1.1091059999999999</v>
      </c>
      <c r="L2985">
        <v>212.75489999999999</v>
      </c>
      <c r="M2985">
        <v>0.99993370000000004</v>
      </c>
      <c r="N2985">
        <v>0</v>
      </c>
      <c r="O2985">
        <v>5.5309449999999998E-3</v>
      </c>
      <c r="P2985">
        <v>0.99938289999999996</v>
      </c>
      <c r="Q2985">
        <v>2.9857399999999999E-2</v>
      </c>
      <c r="R2985">
        <v>-1.85086E-2</v>
      </c>
      <c r="S2985">
        <v>3.0000610000000001</v>
      </c>
      <c r="T2985">
        <v>-7.2446940000000001E-2</v>
      </c>
      <c r="U2985">
        <v>-0.20021059999999999</v>
      </c>
      <c r="V2985">
        <v>2.4039319999999999E-2</v>
      </c>
      <c r="W2985">
        <v>3.9947669999999998E-2</v>
      </c>
      <c r="X2985">
        <v>0.99891260000000004</v>
      </c>
      <c r="Y2985">
        <v>7.2082779999999999E-2</v>
      </c>
      <c r="Z2985">
        <v>-1.002661E-3</v>
      </c>
      <c r="AA2985">
        <v>0.99739809999999995</v>
      </c>
      <c r="AB2985">
        <v>36</v>
      </c>
      <c r="AC2985">
        <v>45.581199999999903</v>
      </c>
      <c r="AD2985">
        <v>-1.1091023113389999</v>
      </c>
      <c r="AE2985">
        <v>-3.06699999999997</v>
      </c>
      <c r="AF2985">
        <v>3.3171179439943601</v>
      </c>
      <c r="AG2985">
        <v>-1.1091023113389999</v>
      </c>
      <c r="AH2985">
        <v>45.536699139037097</v>
      </c>
      <c r="AI2985">
        <v>91.391547620231805</v>
      </c>
      <c r="AJ2985">
        <v>85.833651612990394</v>
      </c>
      <c r="AK2985">
        <v>45.670826003813097</v>
      </c>
      <c r="AL2985">
        <v>87.710558010980805</v>
      </c>
      <c r="AM2985">
        <v>88.621415152804801</v>
      </c>
      <c r="AN2985">
        <v>1.0000000438416199</v>
      </c>
    </row>
    <row r="2986" spans="1:40" x14ac:dyDescent="0.25">
      <c r="A2986" t="str">
        <f>"20190312151557018"</f>
        <v>20190312151557018</v>
      </c>
      <c r="B2986" t="str">
        <f>"1552374957011232"</f>
        <v>1552374957011232</v>
      </c>
      <c r="C2986" t="s">
        <v>40</v>
      </c>
      <c r="D2986">
        <v>4.5591489999999997</v>
      </c>
      <c r="E2986">
        <v>0.5174685</v>
      </c>
      <c r="F2986" t="s">
        <v>51</v>
      </c>
      <c r="G2986">
        <v>-349.2921</v>
      </c>
      <c r="H2986" s="1">
        <v>3.4080319999999998E-6</v>
      </c>
      <c r="I2986">
        <v>209.71979999999999</v>
      </c>
      <c r="J2986">
        <v>-395.04680000000002</v>
      </c>
      <c r="K2986">
        <v>1.1090979999999999</v>
      </c>
      <c r="L2986">
        <v>212.7569</v>
      </c>
      <c r="M2986">
        <v>0.99993460000000001</v>
      </c>
      <c r="N2986">
        <v>0</v>
      </c>
      <c r="O2986">
        <v>5.5300729999999999E-3</v>
      </c>
      <c r="P2986">
        <v>0.99938629999999995</v>
      </c>
      <c r="Q2986">
        <v>3.0031950000000002E-2</v>
      </c>
      <c r="R2986">
        <v>-1.8040460000000001E-2</v>
      </c>
      <c r="S2986">
        <v>3.0003660000000001</v>
      </c>
      <c r="T2986">
        <v>-7.2171330000000006E-2</v>
      </c>
      <c r="U2986">
        <v>-0.19749449999999999</v>
      </c>
      <c r="V2986">
        <v>2.3569719999999999E-2</v>
      </c>
      <c r="W2986">
        <v>4.0048199999999999E-2</v>
      </c>
      <c r="X2986">
        <v>0.99891969999999997</v>
      </c>
      <c r="Y2986">
        <v>7.1176649999999994E-2</v>
      </c>
      <c r="Z2986">
        <v>-9.878698E-4</v>
      </c>
      <c r="AA2986">
        <v>0.99746319999999999</v>
      </c>
      <c r="AB2986">
        <v>36</v>
      </c>
      <c r="AC2986">
        <v>45.7547</v>
      </c>
      <c r="AD2986">
        <v>-1.109094591968</v>
      </c>
      <c r="AE2986">
        <v>-3.0371000000000001</v>
      </c>
      <c r="AF2986">
        <v>3.2881694839004001</v>
      </c>
      <c r="AG2986">
        <v>-1.109094591968</v>
      </c>
      <c r="AH2986">
        <v>45.710463413171396</v>
      </c>
      <c r="AI2986">
        <v>91.386341030504397</v>
      </c>
      <c r="AJ2986">
        <v>85.8855311711242</v>
      </c>
      <c r="AK2986">
        <v>45.841996191436301</v>
      </c>
      <c r="AL2986">
        <v>87.704793303531403</v>
      </c>
      <c r="AM2986">
        <v>88.6483448559012</v>
      </c>
      <c r="AN2986">
        <v>0.99999997853610301</v>
      </c>
    </row>
    <row r="2987" spans="1:40" x14ac:dyDescent="0.25">
      <c r="A2987" t="str">
        <f>"20190312151557039"</f>
        <v>20190312151557039</v>
      </c>
      <c r="B2987" t="str">
        <f>"1552374957030751"</f>
        <v>1552374957030751</v>
      </c>
      <c r="C2987" t="s">
        <v>40</v>
      </c>
      <c r="D2987">
        <v>4.5802250000000004</v>
      </c>
      <c r="E2987">
        <v>0.51746429999999999</v>
      </c>
      <c r="F2987" t="s">
        <v>51</v>
      </c>
      <c r="G2987">
        <v>-349.67410000000001</v>
      </c>
      <c r="H2987" s="1">
        <v>3.6113040000000002E-6</v>
      </c>
      <c r="I2987">
        <v>209.7944</v>
      </c>
      <c r="J2987">
        <v>-394.70499999999998</v>
      </c>
      <c r="K2987">
        <v>1.1090880000000001</v>
      </c>
      <c r="L2987">
        <v>212.7587</v>
      </c>
      <c r="M2987">
        <v>0.99993520000000002</v>
      </c>
      <c r="N2987">
        <v>0</v>
      </c>
      <c r="O2987">
        <v>5.5298190000000001E-3</v>
      </c>
      <c r="P2987">
        <v>0.99939800000000001</v>
      </c>
      <c r="Q2987">
        <v>2.9675400000000001E-2</v>
      </c>
      <c r="R2987">
        <v>-1.7971790000000001E-2</v>
      </c>
      <c r="S2987">
        <v>3.0005489999999999</v>
      </c>
      <c r="T2987">
        <v>-7.3345779999999999E-2</v>
      </c>
      <c r="U2987">
        <v>-0.19590759999999999</v>
      </c>
      <c r="V2987">
        <v>2.3500670000000001E-2</v>
      </c>
      <c r="W2987">
        <v>3.9620349999999999E-2</v>
      </c>
      <c r="X2987">
        <v>0.9989384</v>
      </c>
      <c r="Y2987">
        <v>7.0646539999999994E-2</v>
      </c>
      <c r="Z2987">
        <v>-9.9741949999999999E-4</v>
      </c>
      <c r="AA2987">
        <v>0.99750090000000002</v>
      </c>
      <c r="AB2987">
        <v>36</v>
      </c>
      <c r="AC2987">
        <v>45.030899999999903</v>
      </c>
      <c r="AD2987">
        <v>-1.10908438869599</v>
      </c>
      <c r="AE2987">
        <v>-2.9643000000000002</v>
      </c>
      <c r="AF2987">
        <v>3.2113401095503602</v>
      </c>
      <c r="AG2987">
        <v>-1.10908438869599</v>
      </c>
      <c r="AH2987">
        <v>44.986647071024201</v>
      </c>
      <c r="AI2987">
        <v>91.408680063980597</v>
      </c>
      <c r="AJ2987">
        <v>85.916907172654803</v>
      </c>
      <c r="AK2987">
        <v>45.114755769851499</v>
      </c>
      <c r="AL2987">
        <v>87.729326802468705</v>
      </c>
      <c r="AM2987">
        <v>88.652328430168893</v>
      </c>
      <c r="AN2987">
        <v>0.99999999030956499</v>
      </c>
    </row>
    <row r="2988" spans="1:40" x14ac:dyDescent="0.25">
      <c r="A2988" t="str">
        <f>"20190312151557061"</f>
        <v>20190312151557061</v>
      </c>
      <c r="B2988" t="str">
        <f>"1552374957050270"</f>
        <v>1552374957050270</v>
      </c>
      <c r="C2988" t="s">
        <v>40</v>
      </c>
      <c r="D2988">
        <v>4.6363479999999999</v>
      </c>
      <c r="E2988">
        <v>0.51718719999999996</v>
      </c>
      <c r="F2988" t="s">
        <v>51</v>
      </c>
      <c r="G2988">
        <v>-350.96129999999999</v>
      </c>
      <c r="H2988" s="1">
        <v>-8.193607E-7</v>
      </c>
      <c r="I2988">
        <v>209.9067</v>
      </c>
      <c r="J2988">
        <v>-394.35559999999998</v>
      </c>
      <c r="K2988">
        <v>1.1090789999999999</v>
      </c>
      <c r="L2988">
        <v>212.76060000000001</v>
      </c>
      <c r="M2988">
        <v>0.99993589999999999</v>
      </c>
      <c r="N2988">
        <v>0</v>
      </c>
      <c r="O2988">
        <v>5.5294819999999996E-3</v>
      </c>
      <c r="P2988">
        <v>0.99941029999999997</v>
      </c>
      <c r="Q2988">
        <v>2.9200429999999999E-2</v>
      </c>
      <c r="R2988">
        <v>-1.8069999999999999E-2</v>
      </c>
      <c r="S2988">
        <v>3.0005489999999999</v>
      </c>
      <c r="T2988">
        <v>-7.6076630000000006E-2</v>
      </c>
      <c r="U2988">
        <v>-0.1956329</v>
      </c>
      <c r="V2988">
        <v>2.3598270000000001E-2</v>
      </c>
      <c r="W2988">
        <v>3.9075739999999998E-2</v>
      </c>
      <c r="X2988">
        <v>0.9989576</v>
      </c>
      <c r="Y2988">
        <v>7.0553589999999999E-2</v>
      </c>
      <c r="Z2988">
        <v>-1.0333619999999999E-3</v>
      </c>
      <c r="AA2988">
        <v>0.99750749999999999</v>
      </c>
      <c r="AB2988">
        <v>36</v>
      </c>
      <c r="AC2988">
        <v>43.394299999999902</v>
      </c>
      <c r="AD2988">
        <v>-1.1090798193606899</v>
      </c>
      <c r="AE2988">
        <v>-2.8538999999999999</v>
      </c>
      <c r="AF2988">
        <v>3.0918051450539901</v>
      </c>
      <c r="AG2988">
        <v>-1.1090798193606899</v>
      </c>
      <c r="AH2988">
        <v>43.349660213114603</v>
      </c>
      <c r="AI2988">
        <v>91.461852922264697</v>
      </c>
      <c r="AJ2988">
        <v>85.920431169891003</v>
      </c>
      <c r="AK2988">
        <v>43.473927332289499</v>
      </c>
      <c r="AL2988">
        <v>87.760554951246405</v>
      </c>
      <c r="AM2988">
        <v>88.646759528806697</v>
      </c>
      <c r="AN2988">
        <v>1.0000000392006401</v>
      </c>
    </row>
    <row r="2989" spans="1:40" x14ac:dyDescent="0.25">
      <c r="A2989" t="str">
        <f>"20190312151557083"</f>
        <v>20190312151557083</v>
      </c>
      <c r="B2989" t="str">
        <f>"1552374957080527"</f>
        <v>1552374957080527</v>
      </c>
      <c r="C2989" t="s">
        <v>40</v>
      </c>
      <c r="D2989">
        <v>4.6819350000000002</v>
      </c>
      <c r="E2989">
        <v>0.51671</v>
      </c>
      <c r="F2989" t="s">
        <v>51</v>
      </c>
      <c r="G2989">
        <v>-351.75470000000001</v>
      </c>
      <c r="H2989" s="1">
        <v>-4.0174190000000001E-7</v>
      </c>
      <c r="I2989">
        <v>210.0119</v>
      </c>
      <c r="J2989">
        <v>-393.9991</v>
      </c>
      <c r="K2989">
        <v>1.1090770000000001</v>
      </c>
      <c r="L2989">
        <v>212.76259999999999</v>
      </c>
      <c r="M2989">
        <v>0.99993659999999995</v>
      </c>
      <c r="N2989">
        <v>0</v>
      </c>
      <c r="O2989">
        <v>5.5293520000000004E-3</v>
      </c>
      <c r="P2989">
        <v>0.99940859999999998</v>
      </c>
      <c r="Q2989">
        <v>2.9055930000000001E-2</v>
      </c>
      <c r="R2989">
        <v>-1.839915E-2</v>
      </c>
      <c r="S2989">
        <v>3.0005799999999998</v>
      </c>
      <c r="T2989">
        <v>-7.8117729999999996E-2</v>
      </c>
      <c r="U2989">
        <v>-0.19360350000000001</v>
      </c>
      <c r="V2989">
        <v>2.392702E-2</v>
      </c>
      <c r="W2989">
        <v>3.8866100000000001E-2</v>
      </c>
      <c r="X2989">
        <v>0.99895789999999995</v>
      </c>
      <c r="Y2989">
        <v>6.9879860000000002E-2</v>
      </c>
      <c r="Z2989">
        <v>-1.052327E-3</v>
      </c>
      <c r="AA2989">
        <v>0.99755479999999996</v>
      </c>
      <c r="AB2989">
        <v>36</v>
      </c>
      <c r="AC2989">
        <v>42.244399999999899</v>
      </c>
      <c r="AD2989">
        <v>-1.1090774017418901</v>
      </c>
      <c r="AE2989">
        <v>-2.7506999999999899</v>
      </c>
      <c r="AF2989">
        <v>2.98220649402265</v>
      </c>
      <c r="AG2989">
        <v>-1.1090774017418901</v>
      </c>
      <c r="AH2989">
        <v>42.199579990193001</v>
      </c>
      <c r="AI2989">
        <v>91.501741327789404</v>
      </c>
      <c r="AJ2989">
        <v>85.957678959872595</v>
      </c>
      <c r="AK2989">
        <v>42.319359158719998</v>
      </c>
      <c r="AL2989">
        <v>87.772575439818297</v>
      </c>
      <c r="AM2989">
        <v>88.627914961524397</v>
      </c>
      <c r="AN2989">
        <v>0.99999998099384901</v>
      </c>
    </row>
    <row r="2990" spans="1:40" x14ac:dyDescent="0.25">
      <c r="A2990" t="str">
        <f>"20190312151557105"</f>
        <v>20190312151557105</v>
      </c>
      <c r="B2990" t="str">
        <f>"1552374957101023"</f>
        <v>1552374957101023</v>
      </c>
      <c r="C2990" t="s">
        <v>40</v>
      </c>
      <c r="D2990">
        <v>4.6119870000000001</v>
      </c>
      <c r="E2990">
        <v>0.51628549999999995</v>
      </c>
      <c r="F2990" t="s">
        <v>51</v>
      </c>
      <c r="G2990">
        <v>-350.38760000000002</v>
      </c>
      <c r="H2990" s="1">
        <v>-1.128296E-6</v>
      </c>
      <c r="I2990">
        <v>209.98990000000001</v>
      </c>
      <c r="J2990">
        <v>-393.62639999999999</v>
      </c>
      <c r="K2990">
        <v>1.1090739999999999</v>
      </c>
      <c r="L2990">
        <v>212.7647</v>
      </c>
      <c r="M2990">
        <v>0.99993710000000002</v>
      </c>
      <c r="N2990">
        <v>0</v>
      </c>
      <c r="O2990">
        <v>5.5293130000000001E-3</v>
      </c>
      <c r="P2990">
        <v>0.99938090000000002</v>
      </c>
      <c r="Q2990">
        <v>2.9585569999999999E-2</v>
      </c>
      <c r="R2990">
        <v>-1.9042549999999998E-2</v>
      </c>
      <c r="S2990">
        <v>3.0004879999999998</v>
      </c>
      <c r="T2990">
        <v>-7.6305029999999996E-2</v>
      </c>
      <c r="U2990">
        <v>-0.1907654</v>
      </c>
      <c r="V2990">
        <v>2.457024E-2</v>
      </c>
      <c r="W2990">
        <v>3.933495E-2</v>
      </c>
      <c r="X2990">
        <v>0.99892400000000003</v>
      </c>
      <c r="Y2990">
        <v>6.8943489999999996E-2</v>
      </c>
      <c r="Z2990">
        <v>-1.016084E-3</v>
      </c>
      <c r="AA2990">
        <v>0.99761999999999995</v>
      </c>
      <c r="AB2990">
        <v>36</v>
      </c>
      <c r="AC2990">
        <v>43.238799999999898</v>
      </c>
      <c r="AD2990">
        <v>-1.1090751282960001</v>
      </c>
      <c r="AE2990">
        <v>-2.7747999999999902</v>
      </c>
      <c r="AF2990">
        <v>3.01187636729908</v>
      </c>
      <c r="AG2990">
        <v>-1.1090751282960001</v>
      </c>
      <c r="AH2990">
        <v>43.194493418805997</v>
      </c>
      <c r="AI2990">
        <v>91.467259888047394</v>
      </c>
      <c r="AJ2990">
        <v>86.011321649022307</v>
      </c>
      <c r="AK2990">
        <v>43.313574184075001</v>
      </c>
      <c r="AL2990">
        <v>87.745691901876597</v>
      </c>
      <c r="AM2990">
        <v>88.590996655300202</v>
      </c>
      <c r="AN2990">
        <v>1.0000000463805701</v>
      </c>
    </row>
    <row r="2991" spans="1:40" x14ac:dyDescent="0.25">
      <c r="A2991" t="str">
        <f>"20190312151557128"</f>
        <v>20190312151557128</v>
      </c>
      <c r="B2991" t="str">
        <f>"1552374957120542"</f>
        <v>1552374957120542</v>
      </c>
      <c r="C2991" t="s">
        <v>40</v>
      </c>
      <c r="D2991">
        <v>4.620546</v>
      </c>
      <c r="E2991">
        <v>0.51590809999999998</v>
      </c>
      <c r="F2991" t="s">
        <v>51</v>
      </c>
      <c r="G2991">
        <v>-349.04309999999998</v>
      </c>
      <c r="H2991" s="1">
        <v>3.2755120000000001E-6</v>
      </c>
      <c r="I2991">
        <v>209.95259999999999</v>
      </c>
      <c r="J2991">
        <v>-393.26889999999997</v>
      </c>
      <c r="K2991">
        <v>1.1090739999999999</v>
      </c>
      <c r="L2991">
        <v>212.76660000000001</v>
      </c>
      <c r="M2991">
        <v>0.99993779999999999</v>
      </c>
      <c r="N2991">
        <v>0</v>
      </c>
      <c r="O2991">
        <v>5.5291009999999998E-3</v>
      </c>
      <c r="P2991">
        <v>0.99935439999999998</v>
      </c>
      <c r="Q2991">
        <v>2.9708600000000002E-2</v>
      </c>
      <c r="R2991">
        <v>-2.0206080000000001E-2</v>
      </c>
      <c r="S2991">
        <v>3.0004580000000001</v>
      </c>
      <c r="T2991">
        <v>-7.4640509999999993E-2</v>
      </c>
      <c r="U2991">
        <v>-0.1892548</v>
      </c>
      <c r="V2991">
        <v>2.573336E-2</v>
      </c>
      <c r="W2991">
        <v>3.9405450000000002E-2</v>
      </c>
      <c r="X2991">
        <v>0.99889190000000005</v>
      </c>
      <c r="Y2991">
        <v>6.8444829999999998E-2</v>
      </c>
      <c r="Z2991">
        <v>-9.8775160000000002E-4</v>
      </c>
      <c r="AA2991">
        <v>0.99765440000000005</v>
      </c>
      <c r="AB2991">
        <v>36</v>
      </c>
      <c r="AC2991">
        <v>44.2257999999999</v>
      </c>
      <c r="AD2991">
        <v>-1.10907072448799</v>
      </c>
      <c r="AE2991">
        <v>-2.81400000000002</v>
      </c>
      <c r="AF2991">
        <v>3.0565828995966799</v>
      </c>
      <c r="AG2991">
        <v>-1.10907072448799</v>
      </c>
      <c r="AH2991">
        <v>44.181891270327398</v>
      </c>
      <c r="AI2991">
        <v>91.434531192776703</v>
      </c>
      <c r="AJ2991">
        <v>86.042480352683398</v>
      </c>
      <c r="AK2991">
        <v>44.301379810532502</v>
      </c>
      <c r="AL2991">
        <v>87.741649336843906</v>
      </c>
      <c r="AM2991">
        <v>88.524277879214495</v>
      </c>
      <c r="AN2991">
        <v>1.0000000115961001</v>
      </c>
    </row>
    <row r="2992" spans="1:40" x14ac:dyDescent="0.25">
      <c r="A2992" t="str">
        <f>"20190312151557151"</f>
        <v>20190312151557151</v>
      </c>
      <c r="B2992" t="str">
        <f>"1552374957141039"</f>
        <v>1552374957141039</v>
      </c>
      <c r="C2992" t="s">
        <v>40</v>
      </c>
      <c r="D2992">
        <v>4.7093759999999998</v>
      </c>
      <c r="E2992">
        <v>0.51568239999999999</v>
      </c>
      <c r="F2992" t="s">
        <v>51</v>
      </c>
      <c r="G2992">
        <v>-347.60120000000001</v>
      </c>
      <c r="H2992" s="1">
        <v>2.5081920000000002E-6</v>
      </c>
      <c r="I2992">
        <v>209.87690000000001</v>
      </c>
      <c r="J2992">
        <v>-392.8974</v>
      </c>
      <c r="K2992">
        <v>1.109073</v>
      </c>
      <c r="L2992">
        <v>212.7687</v>
      </c>
      <c r="M2992">
        <v>0.99993810000000005</v>
      </c>
      <c r="N2992">
        <v>0</v>
      </c>
      <c r="O2992">
        <v>5.5355739999999997E-3</v>
      </c>
      <c r="P2992">
        <v>0.99934540000000005</v>
      </c>
      <c r="Q2992">
        <v>2.9509939999999998E-2</v>
      </c>
      <c r="R2992">
        <v>-2.0937420000000002E-2</v>
      </c>
      <c r="S2992">
        <v>3.0002749999999998</v>
      </c>
      <c r="T2992">
        <v>-7.2863819999999996E-2</v>
      </c>
      <c r="U2992">
        <v>-0.18984989999999999</v>
      </c>
      <c r="V2992">
        <v>2.647058E-2</v>
      </c>
      <c r="W2992">
        <v>3.9160559999999997E-2</v>
      </c>
      <c r="X2992">
        <v>0.99888220000000005</v>
      </c>
      <c r="Y2992">
        <v>6.8653229999999996E-2</v>
      </c>
      <c r="Z2992">
        <v>-9.6698409999999998E-4</v>
      </c>
      <c r="AA2992">
        <v>0.99764010000000003</v>
      </c>
      <c r="AB2992">
        <v>36</v>
      </c>
      <c r="AC2992">
        <v>45.296199999999999</v>
      </c>
      <c r="AD2992">
        <v>-1.1090704918080001</v>
      </c>
      <c r="AE2992">
        <v>-2.8917999999999799</v>
      </c>
      <c r="AF2992">
        <v>3.1406326454146898</v>
      </c>
      <c r="AG2992">
        <v>-1.1090704918080001</v>
      </c>
      <c r="AH2992">
        <v>45.252478330724898</v>
      </c>
      <c r="AI2992">
        <v>91.400585015346607</v>
      </c>
      <c r="AJ2992">
        <v>86.029898899148705</v>
      </c>
      <c r="AK2992">
        <v>45.374887392058298</v>
      </c>
      <c r="AL2992">
        <v>87.755691189903104</v>
      </c>
      <c r="AM2992">
        <v>88.482005549508003</v>
      </c>
      <c r="AN2992">
        <v>0.99999994527094305</v>
      </c>
    </row>
    <row r="2993" spans="1:40" x14ac:dyDescent="0.25">
      <c r="A2993" t="str">
        <f>"20190312151557174"</f>
        <v>20190312151557174</v>
      </c>
      <c r="B2993" t="str">
        <f>"1552374957170318"</f>
        <v>1552374957170318</v>
      </c>
      <c r="C2993" t="s">
        <v>40</v>
      </c>
      <c r="D2993">
        <v>4.7734620000000003</v>
      </c>
      <c r="E2993">
        <v>0.51544609999999902</v>
      </c>
      <c r="F2993" t="s">
        <v>51</v>
      </c>
      <c r="G2993">
        <v>-345.49020000000002</v>
      </c>
      <c r="H2993" s="1">
        <v>1.3848399999999999E-6</v>
      </c>
      <c r="I2993">
        <v>209.7629</v>
      </c>
      <c r="J2993">
        <v>-392.53859999999997</v>
      </c>
      <c r="K2993">
        <v>1.109075</v>
      </c>
      <c r="L2993">
        <v>212.77070000000001</v>
      </c>
      <c r="M2993">
        <v>0.99993829999999995</v>
      </c>
      <c r="N2993">
        <v>0</v>
      </c>
      <c r="O2993">
        <v>5.5619429999999997E-3</v>
      </c>
      <c r="P2993">
        <v>0.99934449999999997</v>
      </c>
      <c r="Q2993">
        <v>2.931916E-2</v>
      </c>
      <c r="R2993">
        <v>-2.1247889999999998E-2</v>
      </c>
      <c r="S2993">
        <v>3.0000610000000001</v>
      </c>
      <c r="T2993">
        <v>-7.018518E-2</v>
      </c>
      <c r="U2993">
        <v>-0.1902161</v>
      </c>
      <c r="V2993">
        <v>2.6806409999999999E-2</v>
      </c>
      <c r="W2993">
        <v>3.893137E-2</v>
      </c>
      <c r="X2993">
        <v>0.99888220000000005</v>
      </c>
      <c r="Y2993">
        <v>6.8806809999999996E-2</v>
      </c>
      <c r="Z2993">
        <v>-9.3391899999999996E-4</v>
      </c>
      <c r="AA2993">
        <v>0.99762960000000001</v>
      </c>
      <c r="AB2993">
        <v>36</v>
      </c>
      <c r="AC2993">
        <v>47.048399999999901</v>
      </c>
      <c r="AD2993">
        <v>-1.10907361516</v>
      </c>
      <c r="AE2993">
        <v>-3.0078</v>
      </c>
      <c r="AF2993">
        <v>3.2676376932488802</v>
      </c>
      <c r="AG2993">
        <v>-1.10907361516</v>
      </c>
      <c r="AH2993">
        <v>47.0049284591312</v>
      </c>
      <c r="AI2993">
        <v>91.3483808166731</v>
      </c>
      <c r="AJ2993">
        <v>86.023371657888305</v>
      </c>
      <c r="AK2993">
        <v>47.131420515683899</v>
      </c>
      <c r="AL2993">
        <v>87.768832825409802</v>
      </c>
      <c r="AM2993">
        <v>88.462756065882601</v>
      </c>
      <c r="AN2993">
        <v>0.99999994233200096</v>
      </c>
    </row>
    <row r="2994" spans="1:40" x14ac:dyDescent="0.25">
      <c r="A2994" t="str">
        <f>"20190312151557195"</f>
        <v>20190312151557195</v>
      </c>
      <c r="B2994" t="str">
        <f>"1552374957190814"</f>
        <v>1552374957190814</v>
      </c>
      <c r="C2994" t="s">
        <v>40</v>
      </c>
      <c r="D2994">
        <v>4.6644750000000004</v>
      </c>
      <c r="E2994">
        <v>0.51518279999999905</v>
      </c>
      <c r="F2994" t="s">
        <v>51</v>
      </c>
      <c r="G2994">
        <v>-343.32060000000001</v>
      </c>
      <c r="H2994" s="1">
        <v>2.3027580000000001E-7</v>
      </c>
      <c r="I2994">
        <v>209.66569999999999</v>
      </c>
      <c r="J2994">
        <v>-392.18680000000001</v>
      </c>
      <c r="K2994">
        <v>1.1090960000000001</v>
      </c>
      <c r="L2994">
        <v>212.77269999999999</v>
      </c>
      <c r="M2994">
        <v>0.99993829999999995</v>
      </c>
      <c r="N2994">
        <v>0</v>
      </c>
      <c r="O2994">
        <v>5.6193249999999997E-3</v>
      </c>
      <c r="P2994">
        <v>0.9993377</v>
      </c>
      <c r="Q2994">
        <v>2.9486720000000001E-2</v>
      </c>
      <c r="R2994">
        <v>-2.1332130000000001E-2</v>
      </c>
      <c r="S2994">
        <v>2.999908</v>
      </c>
      <c r="T2994">
        <v>-6.7599770000000003E-2</v>
      </c>
      <c r="U2994">
        <v>-0.1892548</v>
      </c>
      <c r="V2994">
        <v>2.694587E-2</v>
      </c>
      <c r="W2994">
        <v>3.9067640000000001E-2</v>
      </c>
      <c r="X2994">
        <v>0.99887320000000002</v>
      </c>
      <c r="Y2994">
        <v>6.8550360000000005E-2</v>
      </c>
      <c r="Z2994">
        <v>-8.9798519999999998E-4</v>
      </c>
      <c r="AA2994">
        <v>0.99764719999999996</v>
      </c>
      <c r="AB2994">
        <v>36</v>
      </c>
      <c r="AC2994">
        <v>48.8661999999999</v>
      </c>
      <c r="AD2994">
        <v>-1.1090957697242001</v>
      </c>
      <c r="AE2994">
        <v>-3.10699999999999</v>
      </c>
      <c r="AF2994">
        <v>3.37982455192014</v>
      </c>
      <c r="AG2994">
        <v>-1.1090957697242001</v>
      </c>
      <c r="AH2994">
        <v>48.822919235017601</v>
      </c>
      <c r="AI2994">
        <v>91.298241427265395</v>
      </c>
      <c r="AJ2994">
        <v>86.039949442168506</v>
      </c>
      <c r="AK2994">
        <v>48.952331405738299</v>
      </c>
      <c r="AL2994">
        <v>87.761019347573097</v>
      </c>
      <c r="AM2994">
        <v>88.454748525606703</v>
      </c>
      <c r="AN2994">
        <v>1.0000000150417301</v>
      </c>
    </row>
    <row r="2995" spans="1:40" x14ac:dyDescent="0.25">
      <c r="A2995" t="str">
        <f>"20190312151557218"</f>
        <v>20190312151557218</v>
      </c>
      <c r="B2995" t="str">
        <f>"1552374957210335"</f>
        <v>1552374957210335</v>
      </c>
      <c r="C2995" t="s">
        <v>40</v>
      </c>
      <c r="D2995">
        <v>4.837764</v>
      </c>
      <c r="E2995">
        <v>0.51503829999999995</v>
      </c>
      <c r="F2995" t="s">
        <v>51</v>
      </c>
      <c r="G2995">
        <v>-342.24590000000001</v>
      </c>
      <c r="H2995" s="1">
        <v>-3.416276E-7</v>
      </c>
      <c r="I2995">
        <v>209.65719999999999</v>
      </c>
      <c r="J2995">
        <v>-391.82409999999999</v>
      </c>
      <c r="K2995">
        <v>1.1091200000000001</v>
      </c>
      <c r="L2995">
        <v>212.7748</v>
      </c>
      <c r="M2995">
        <v>0.99993799999999999</v>
      </c>
      <c r="N2995">
        <v>0</v>
      </c>
      <c r="O2995">
        <v>5.7078579999999997E-3</v>
      </c>
      <c r="P2995">
        <v>0.99934239999999996</v>
      </c>
      <c r="Q2995">
        <v>2.9593299999999999E-2</v>
      </c>
      <c r="R2995">
        <v>-2.094963E-2</v>
      </c>
      <c r="S2995">
        <v>2.9999690000000001</v>
      </c>
      <c r="T2995">
        <v>-6.6623929999999998E-2</v>
      </c>
      <c r="U2995">
        <v>-0.18714900000000001</v>
      </c>
      <c r="V2995">
        <v>2.6649389999999998E-2</v>
      </c>
      <c r="W2995">
        <v>3.9147689999999999E-2</v>
      </c>
      <c r="X2995">
        <v>0.99887800000000004</v>
      </c>
      <c r="Y2995">
        <v>6.7940559999999997E-2</v>
      </c>
      <c r="Z2995">
        <v>-8.8022689999999999E-4</v>
      </c>
      <c r="AA2995">
        <v>0.99768900000000005</v>
      </c>
      <c r="AB2995">
        <v>36</v>
      </c>
      <c r="AC2995">
        <v>49.578199999999903</v>
      </c>
      <c r="AD2995">
        <v>-1.1091203416276001</v>
      </c>
      <c r="AE2995">
        <v>-3.1175999999999999</v>
      </c>
      <c r="AF2995">
        <v>3.3988531552684802</v>
      </c>
      <c r="AG2995">
        <v>-1.1091203416276001</v>
      </c>
      <c r="AH2995">
        <v>49.534903702490602</v>
      </c>
      <c r="AI2995">
        <v>91.279669488917193</v>
      </c>
      <c r="AJ2995">
        <v>86.074784223304107</v>
      </c>
      <c r="AK2995">
        <v>49.663759780329897</v>
      </c>
      <c r="AL2995">
        <v>87.756429264700998</v>
      </c>
      <c r="AM2995">
        <v>88.471749850039799</v>
      </c>
      <c r="AN2995">
        <v>0.99999999525185401</v>
      </c>
    </row>
    <row r="2996" spans="1:40" x14ac:dyDescent="0.25">
      <c r="A2996" t="str">
        <f>"20190312151557239"</f>
        <v>20190312151557239</v>
      </c>
      <c r="B2996" t="str">
        <f>"1552374957230834"</f>
        <v>1552374957230834</v>
      </c>
      <c r="C2996" t="s">
        <v>40</v>
      </c>
      <c r="D2996">
        <v>4.5757979999999998</v>
      </c>
      <c r="E2996">
        <v>0.51479359999999996</v>
      </c>
      <c r="F2996" t="s">
        <v>51</v>
      </c>
      <c r="G2996">
        <v>-340.5582</v>
      </c>
      <c r="H2996">
        <v>1.057336E-2</v>
      </c>
      <c r="I2996">
        <v>209.6163</v>
      </c>
      <c r="J2996">
        <v>-391.47140000000002</v>
      </c>
      <c r="K2996">
        <v>1.1091530000000001</v>
      </c>
      <c r="L2996">
        <v>212.77690000000001</v>
      </c>
      <c r="M2996">
        <v>0.99993770000000004</v>
      </c>
      <c r="N2996">
        <v>0</v>
      </c>
      <c r="O2996">
        <v>5.8261290000000002E-3</v>
      </c>
      <c r="P2996">
        <v>0.99935989999999997</v>
      </c>
      <c r="Q2996">
        <v>2.9496000000000001E-2</v>
      </c>
      <c r="R2996">
        <v>-2.0248019999999999E-2</v>
      </c>
      <c r="S2996">
        <v>3</v>
      </c>
      <c r="T2996">
        <v>-6.428528E-2</v>
      </c>
      <c r="U2996">
        <v>-0.18482970000000001</v>
      </c>
      <c r="V2996">
        <v>2.6063579999999999E-2</v>
      </c>
      <c r="W2996">
        <v>3.9029050000000003E-2</v>
      </c>
      <c r="X2996">
        <v>0.99889810000000001</v>
      </c>
      <c r="Y2996">
        <v>6.7290920000000004E-2</v>
      </c>
      <c r="Z2996">
        <v>-8.4492699999999998E-4</v>
      </c>
      <c r="AA2996">
        <v>0.99773310000000004</v>
      </c>
      <c r="AB2996">
        <v>36</v>
      </c>
      <c r="AC2996">
        <v>50.913200000000003</v>
      </c>
      <c r="AD2996">
        <v>-1.0985796400000001</v>
      </c>
      <c r="AE2996">
        <v>-3.1606000000000098</v>
      </c>
      <c r="AF2996">
        <v>3.4555839661769601</v>
      </c>
      <c r="AG2996">
        <v>-1.0985796400000001</v>
      </c>
      <c r="AH2996">
        <v>50.870327203757597</v>
      </c>
      <c r="AI2996">
        <v>91.234305772728902</v>
      </c>
      <c r="AJ2996">
        <v>86.113909745821701</v>
      </c>
      <c r="AK2996">
        <v>50.999393404138402</v>
      </c>
      <c r="AL2996">
        <v>87.763232035684695</v>
      </c>
      <c r="AM2996">
        <v>88.505358675273499</v>
      </c>
      <c r="AN2996">
        <v>0.99999999556496399</v>
      </c>
    </row>
    <row r="2997" spans="1:40" x14ac:dyDescent="0.25">
      <c r="A2997" t="str">
        <f>"20190312151557262"</f>
        <v>20190312151557262</v>
      </c>
      <c r="B2997" t="str">
        <f>"1552374957250355"</f>
        <v>1552374957250355</v>
      </c>
      <c r="C2997" t="s">
        <v>40</v>
      </c>
      <c r="D2997">
        <v>4.5898779999999997</v>
      </c>
      <c r="E2997">
        <v>0.51468259999999999</v>
      </c>
      <c r="F2997" t="s">
        <v>51</v>
      </c>
      <c r="G2997">
        <v>-339.47649999999999</v>
      </c>
      <c r="H2997" s="1">
        <v>3.7234549999999998E-6</v>
      </c>
      <c r="I2997">
        <v>209.6448</v>
      </c>
      <c r="J2997">
        <v>-391.09890000000001</v>
      </c>
      <c r="K2997">
        <v>1.1091869999999999</v>
      </c>
      <c r="L2997">
        <v>212.7792</v>
      </c>
      <c r="M2997">
        <v>0.99993679999999996</v>
      </c>
      <c r="N2997">
        <v>0</v>
      </c>
      <c r="O2997">
        <v>5.9930019999999999E-3</v>
      </c>
      <c r="P2997">
        <v>0.99937430000000005</v>
      </c>
      <c r="Q2997">
        <v>2.9544839999999999E-2</v>
      </c>
      <c r="R2997">
        <v>-1.9447530000000001E-2</v>
      </c>
      <c r="S2997">
        <v>3.0001530000000001</v>
      </c>
      <c r="T2997">
        <v>-6.3998940000000004E-2</v>
      </c>
      <c r="U2997">
        <v>-0.1807251</v>
      </c>
      <c r="V2997">
        <v>2.5426890000000001E-2</v>
      </c>
      <c r="W2997">
        <v>3.9059070000000001E-2</v>
      </c>
      <c r="X2997">
        <v>0.9989133</v>
      </c>
      <c r="Y2997">
        <v>6.6094669999999994E-2</v>
      </c>
      <c r="Z2997">
        <v>-8.3196669999999998E-4</v>
      </c>
      <c r="AA2997">
        <v>0.99781299999999995</v>
      </c>
      <c r="AB2997">
        <v>36</v>
      </c>
      <c r="AC2997">
        <v>51.622399999999999</v>
      </c>
      <c r="AD2997">
        <v>-1.10918327654499</v>
      </c>
      <c r="AE2997">
        <v>-3.1343999999999901</v>
      </c>
      <c r="AF2997">
        <v>3.4421475561186501</v>
      </c>
      <c r="AG2997">
        <v>-1.10918327654499</v>
      </c>
      <c r="AH2997">
        <v>51.5789626388081</v>
      </c>
      <c r="AI2997">
        <v>91.229197761666796</v>
      </c>
      <c r="AJ2997">
        <v>86.181999112242707</v>
      </c>
      <c r="AK2997">
        <v>51.705590164261999</v>
      </c>
      <c r="AL2997">
        <v>87.761510622624598</v>
      </c>
      <c r="AM2997">
        <v>88.541876500176897</v>
      </c>
      <c r="AN2997">
        <v>0.99999995930061203</v>
      </c>
    </row>
    <row r="2998" spans="1:40" x14ac:dyDescent="0.25">
      <c r="A2998" t="str">
        <f>"20190312151557284"</f>
        <v>20190312151557284</v>
      </c>
      <c r="B2998" t="str">
        <f>"1552374957280607"</f>
        <v>1552374957280607</v>
      </c>
      <c r="C2998" t="s">
        <v>40</v>
      </c>
      <c r="D2998">
        <v>4.7023149999999996</v>
      </c>
      <c r="E2998">
        <v>0.514463</v>
      </c>
      <c r="F2998" t="s">
        <v>51</v>
      </c>
      <c r="G2998">
        <v>-337.63</v>
      </c>
      <c r="H2998">
        <v>1.068936E-2</v>
      </c>
      <c r="I2998">
        <v>209.6163</v>
      </c>
      <c r="J2998">
        <v>-390.73450000000003</v>
      </c>
      <c r="K2998">
        <v>1.109221</v>
      </c>
      <c r="L2998">
        <v>212.7816</v>
      </c>
      <c r="M2998">
        <v>0.99993569999999998</v>
      </c>
      <c r="N2998">
        <v>0</v>
      </c>
      <c r="O2998">
        <v>6.1990200000000004E-3</v>
      </c>
      <c r="P2998">
        <v>0.99937569999999998</v>
      </c>
      <c r="Q2998">
        <v>2.989253E-2</v>
      </c>
      <c r="R2998">
        <v>-1.8838509999999999E-2</v>
      </c>
      <c r="S2998">
        <v>3.0002140000000002</v>
      </c>
      <c r="T2998">
        <v>-6.1638239999999997E-2</v>
      </c>
      <c r="U2998">
        <v>-0.17747499999999999</v>
      </c>
      <c r="V2998">
        <v>2.5020359999999998E-2</v>
      </c>
      <c r="W2998">
        <v>3.93926E-2</v>
      </c>
      <c r="X2998">
        <v>0.99891050000000003</v>
      </c>
      <c r="Y2998">
        <v>6.5223219999999998E-2</v>
      </c>
      <c r="Z2998">
        <v>-7.9658020000000003E-4</v>
      </c>
      <c r="AA2998">
        <v>0.99787040000000005</v>
      </c>
      <c r="AB2998">
        <v>36</v>
      </c>
      <c r="AC2998">
        <v>53.104500000000002</v>
      </c>
      <c r="AD2998">
        <v>-1.09853164</v>
      </c>
      <c r="AE2998">
        <v>-3.1652999999999998</v>
      </c>
      <c r="AF2998">
        <v>3.4929604603907598</v>
      </c>
      <c r="AG2998">
        <v>-1.09853164</v>
      </c>
      <c r="AH2998">
        <v>53.061231335856597</v>
      </c>
      <c r="AI2998">
        <v>91.183469711297306</v>
      </c>
      <c r="AJ2998">
        <v>86.233718098354899</v>
      </c>
      <c r="AK2998">
        <v>53.1874215902521</v>
      </c>
      <c r="AL2998">
        <v>87.742386113587003</v>
      </c>
      <c r="AM2998">
        <v>88.5651754140181</v>
      </c>
      <c r="AN2998">
        <v>0.99999999117976901</v>
      </c>
    </row>
    <row r="2999" spans="1:40" x14ac:dyDescent="0.25">
      <c r="A2999" t="str">
        <f>"20190312151557306"</f>
        <v>20190312151557306</v>
      </c>
      <c r="B2999" t="str">
        <f>"1552374957301102"</f>
        <v>1552374957301102</v>
      </c>
      <c r="C2999" t="s">
        <v>40</v>
      </c>
      <c r="D2999">
        <v>4.6820680000000001</v>
      </c>
      <c r="E2999">
        <v>0.51420619999999995</v>
      </c>
      <c r="F2999" t="s">
        <v>51</v>
      </c>
      <c r="G2999">
        <v>-336.07600000000002</v>
      </c>
      <c r="H2999">
        <v>1.2975489999999999E-2</v>
      </c>
      <c r="I2999">
        <v>209.6163</v>
      </c>
      <c r="J2999">
        <v>-390.37079999999997</v>
      </c>
      <c r="K2999">
        <v>1.1092599999999999</v>
      </c>
      <c r="L2999">
        <v>212.7841</v>
      </c>
      <c r="M2999">
        <v>0.99993430000000005</v>
      </c>
      <c r="N2999">
        <v>0</v>
      </c>
      <c r="O2999">
        <v>6.4474759999999997E-3</v>
      </c>
      <c r="P2999">
        <v>0.99936210000000003</v>
      </c>
      <c r="Q2999">
        <v>3.038196E-2</v>
      </c>
      <c r="R2999">
        <v>-1.8774220000000001E-2</v>
      </c>
      <c r="S2999">
        <v>3.0003660000000001</v>
      </c>
      <c r="T2999">
        <v>-6.0176130000000001E-2</v>
      </c>
      <c r="U2999">
        <v>-0.17375179999999901</v>
      </c>
      <c r="V2999">
        <v>2.5200859999999999E-2</v>
      </c>
      <c r="W2999">
        <v>3.9870969999999999E-2</v>
      </c>
      <c r="X2999">
        <v>0.99888699999999997</v>
      </c>
      <c r="Y2999">
        <v>6.4234959999999994E-2</v>
      </c>
      <c r="Z2999">
        <v>-7.7275520000000004E-4</v>
      </c>
      <c r="AA2999">
        <v>0.99793449999999995</v>
      </c>
      <c r="AB2999">
        <v>36</v>
      </c>
      <c r="AC2999">
        <v>54.294800000000002</v>
      </c>
      <c r="AD2999">
        <v>-1.09628451</v>
      </c>
      <c r="AE2999">
        <v>-3.1678000000000002</v>
      </c>
      <c r="AF2999">
        <v>3.5163855623528799</v>
      </c>
      <c r="AG2999">
        <v>-1.09628451</v>
      </c>
      <c r="AH2999">
        <v>54.251203499621198</v>
      </c>
      <c r="AI2999">
        <v>91.155226937069799</v>
      </c>
      <c r="AJ2999">
        <v>86.291462619396398</v>
      </c>
      <c r="AK2999">
        <v>54.376096663031099</v>
      </c>
      <c r="AL2999">
        <v>87.714956019482003</v>
      </c>
      <c r="AM2999">
        <v>88.554794799352905</v>
      </c>
      <c r="AN2999">
        <v>1.0000000081812399</v>
      </c>
    </row>
    <row r="3000" spans="1:40" x14ac:dyDescent="0.25">
      <c r="A3000" t="str">
        <f>"20190312151557330"</f>
        <v>20190312151557330</v>
      </c>
      <c r="B3000" t="str">
        <f>"1552374957320623"</f>
        <v>1552374957320623</v>
      </c>
      <c r="C3000" t="s">
        <v>40</v>
      </c>
      <c r="D3000">
        <v>4.9698919999999998</v>
      </c>
      <c r="E3000">
        <v>0.51413580000000003</v>
      </c>
      <c r="F3000" t="s">
        <v>51</v>
      </c>
      <c r="G3000">
        <v>-334.96660000000003</v>
      </c>
      <c r="H3000" s="1">
        <v>1.324645E-6</v>
      </c>
      <c r="I3000">
        <v>209.61799999999999</v>
      </c>
      <c r="J3000">
        <v>-389.99799999999999</v>
      </c>
      <c r="K3000">
        <v>1.109302</v>
      </c>
      <c r="L3000">
        <v>212.7867</v>
      </c>
      <c r="M3000">
        <v>0.99993240000000005</v>
      </c>
      <c r="N3000">
        <v>0</v>
      </c>
      <c r="O3000">
        <v>6.7461919999999998E-3</v>
      </c>
      <c r="P3000">
        <v>0.99935510000000005</v>
      </c>
      <c r="Q3000">
        <v>3.07114E-2</v>
      </c>
      <c r="R3000">
        <v>-1.860972E-2</v>
      </c>
      <c r="S3000">
        <v>3.0005190000000002</v>
      </c>
      <c r="T3000">
        <v>-6.0073969999999997E-2</v>
      </c>
      <c r="U3000">
        <v>-0.171463</v>
      </c>
      <c r="V3000">
        <v>2.5330749999999999E-2</v>
      </c>
      <c r="W3000">
        <v>4.0191610000000003E-2</v>
      </c>
      <c r="X3000">
        <v>0.99887079999999995</v>
      </c>
      <c r="Y3000">
        <v>6.3771519999999998E-2</v>
      </c>
      <c r="Z3000">
        <v>-7.7276210000000001E-4</v>
      </c>
      <c r="AA3000">
        <v>0.99796419999999997</v>
      </c>
      <c r="AB3000">
        <v>36</v>
      </c>
      <c r="AC3000">
        <v>55.031399999999998</v>
      </c>
      <c r="AD3000">
        <v>-1.1093006753550001</v>
      </c>
      <c r="AE3000">
        <v>-3.1686999999999999</v>
      </c>
      <c r="AF3000">
        <v>3.5384638984022501</v>
      </c>
      <c r="AG3000">
        <v>-1.1093006753550001</v>
      </c>
      <c r="AH3000">
        <v>54.9865012268464</v>
      </c>
      <c r="AI3000">
        <v>91.153346450211004</v>
      </c>
      <c r="AJ3000">
        <v>86.318007495765997</v>
      </c>
      <c r="AK3000">
        <v>55.111401650825599</v>
      </c>
      <c r="AL3000">
        <v>87.696569814547502</v>
      </c>
      <c r="AM3000">
        <v>88.547325572396105</v>
      </c>
      <c r="AN3000">
        <v>0.99999994375129497</v>
      </c>
    </row>
    <row r="3001" spans="1:40" x14ac:dyDescent="0.25">
      <c r="A3001" t="str">
        <f>"20190312151557352"</f>
        <v>20190312151557352</v>
      </c>
      <c r="B3001" t="str">
        <f>"1552374957341119"</f>
        <v>1552374957341119</v>
      </c>
      <c r="C3001" t="s">
        <v>40</v>
      </c>
      <c r="D3001">
        <v>4.5344300000000004</v>
      </c>
      <c r="E3001">
        <v>0.51395679999999999</v>
      </c>
      <c r="F3001" t="s">
        <v>51</v>
      </c>
      <c r="G3001">
        <v>-334.14460000000003</v>
      </c>
      <c r="H3001">
        <v>4.1801329999999998E-2</v>
      </c>
      <c r="I3001">
        <v>209.6163</v>
      </c>
      <c r="J3001">
        <v>-389.62119999999999</v>
      </c>
      <c r="K3001">
        <v>1.1093440000000001</v>
      </c>
      <c r="L3001">
        <v>212.7895</v>
      </c>
      <c r="M3001">
        <v>0.99993010000000004</v>
      </c>
      <c r="N3001">
        <v>0</v>
      </c>
      <c r="O3001">
        <v>7.0937319999999898E-3</v>
      </c>
      <c r="P3001">
        <v>0.99936250000000004</v>
      </c>
      <c r="Q3001">
        <v>3.0591810000000001E-2</v>
      </c>
      <c r="R3001">
        <v>-1.841218E-2</v>
      </c>
      <c r="S3001">
        <v>3.0005190000000002</v>
      </c>
      <c r="T3001">
        <v>-5.7347540000000002E-2</v>
      </c>
      <c r="U3001">
        <v>-0.17031859999999999</v>
      </c>
      <c r="V3001">
        <v>2.5476889999999999E-2</v>
      </c>
      <c r="W3001">
        <v>4.0066310000000001E-2</v>
      </c>
      <c r="X3001">
        <v>0.99887219999999999</v>
      </c>
      <c r="Y3001">
        <v>6.3740160000000004E-2</v>
      </c>
      <c r="Z3001">
        <v>-7.4404270000000001E-4</v>
      </c>
      <c r="AA3001">
        <v>0.99796620000000003</v>
      </c>
      <c r="AB3001">
        <v>37</v>
      </c>
      <c r="AC3001">
        <v>55.476599999999898</v>
      </c>
      <c r="AD3001">
        <v>-1.0675426699999999</v>
      </c>
      <c r="AE3001">
        <v>-3.1732</v>
      </c>
      <c r="AF3001">
        <v>3.5653579541283702</v>
      </c>
      <c r="AG3001">
        <v>-1.0675426699999999</v>
      </c>
      <c r="AH3001">
        <v>55.432233718576498</v>
      </c>
      <c r="AI3001">
        <v>91.101020884715993</v>
      </c>
      <c r="AJ3001">
        <v>86.319849530942406</v>
      </c>
      <c r="AK3001">
        <v>55.557033395639699</v>
      </c>
      <c r="AL3001">
        <v>87.703754953717393</v>
      </c>
      <c r="AM3001">
        <v>88.5389503668994</v>
      </c>
      <c r="AN3001">
        <v>1.00000002652696</v>
      </c>
    </row>
    <row r="3002" spans="1:40" x14ac:dyDescent="0.25">
      <c r="A3002" t="str">
        <f>"20190312151557375"</f>
        <v>20190312151557375</v>
      </c>
      <c r="B3002" t="str">
        <f>"1552374957370398"</f>
        <v>1552374957370398</v>
      </c>
      <c r="C3002" t="s">
        <v>40</v>
      </c>
      <c r="D3002">
        <v>4.5556000000000001</v>
      </c>
      <c r="E3002">
        <v>0.5136657</v>
      </c>
      <c r="F3002" t="s">
        <v>51</v>
      </c>
      <c r="G3002">
        <v>-333.06920000000002</v>
      </c>
      <c r="H3002">
        <v>3.3378610000000003E-2</v>
      </c>
      <c r="I3002">
        <v>209.6163</v>
      </c>
      <c r="J3002">
        <v>-389.25940000000003</v>
      </c>
      <c r="K3002">
        <v>1.10938</v>
      </c>
      <c r="L3002">
        <v>212.79239999999999</v>
      </c>
      <c r="M3002">
        <v>0.99992740000000002</v>
      </c>
      <c r="N3002">
        <v>0</v>
      </c>
      <c r="O3002">
        <v>7.4752940000000004E-3</v>
      </c>
      <c r="P3002">
        <v>0.99935260000000004</v>
      </c>
      <c r="Q3002">
        <v>3.0918379999999999E-2</v>
      </c>
      <c r="R3002">
        <v>-1.8400070000000001E-2</v>
      </c>
      <c r="S3002">
        <v>3.0005489999999999</v>
      </c>
      <c r="T3002">
        <v>-5.7088849999999997E-2</v>
      </c>
      <c r="U3002">
        <v>-0.1683655</v>
      </c>
      <c r="V3002">
        <v>2.5841869999999999E-2</v>
      </c>
      <c r="W3002">
        <v>4.0389349999999997E-2</v>
      </c>
      <c r="X3002">
        <v>0.99884980000000001</v>
      </c>
      <c r="Y3002">
        <v>6.3472959999999995E-2</v>
      </c>
      <c r="Z3002">
        <v>-7.4540779999999996E-4</v>
      </c>
      <c r="AA3002">
        <v>0.99798330000000002</v>
      </c>
      <c r="AB3002">
        <v>37</v>
      </c>
      <c r="AC3002">
        <v>56.190199999999997</v>
      </c>
      <c r="AD3002">
        <v>-1.0760013900000001</v>
      </c>
      <c r="AE3002">
        <v>-3.1760999999999902</v>
      </c>
      <c r="AF3002">
        <v>3.5947542956954499</v>
      </c>
      <c r="AG3002">
        <v>-1.0760013900000001</v>
      </c>
      <c r="AH3002">
        <v>56.144364274609899</v>
      </c>
      <c r="AI3002">
        <v>91.095690723548998</v>
      </c>
      <c r="AJ3002">
        <v>86.336524682371007</v>
      </c>
      <c r="AK3002">
        <v>56.269615932915301</v>
      </c>
      <c r="AL3002">
        <v>87.685231098375198</v>
      </c>
      <c r="AM3002">
        <v>88.517995528987996</v>
      </c>
      <c r="AN3002">
        <v>1.0000000123992701</v>
      </c>
    </row>
    <row r="3003" spans="1:40" x14ac:dyDescent="0.25">
      <c r="A3003" t="str">
        <f>"20190312151557396"</f>
        <v>20190312151557396</v>
      </c>
      <c r="B3003" t="str">
        <f>"1552374957390895"</f>
        <v>1552374957390895</v>
      </c>
      <c r="C3003" t="s">
        <v>40</v>
      </c>
      <c r="D3003">
        <v>4.551291</v>
      </c>
      <c r="E3003">
        <v>0.51358210000000004</v>
      </c>
      <c r="F3003" t="s">
        <v>51</v>
      </c>
      <c r="G3003">
        <v>-331.86950000000002</v>
      </c>
      <c r="H3003">
        <v>3.7827640000000003E-2</v>
      </c>
      <c r="I3003">
        <v>209.6163</v>
      </c>
      <c r="J3003">
        <v>-388.89980000000003</v>
      </c>
      <c r="K3003">
        <v>1.109424</v>
      </c>
      <c r="L3003">
        <v>212.7955</v>
      </c>
      <c r="M3003">
        <v>0.99992420000000004</v>
      </c>
      <c r="N3003">
        <v>0</v>
      </c>
      <c r="O3003">
        <v>7.8981030000000001E-3</v>
      </c>
      <c r="P3003">
        <v>0.99936020000000003</v>
      </c>
      <c r="Q3003">
        <v>3.0649820000000001E-2</v>
      </c>
      <c r="R3003">
        <v>-1.8439810000000001E-2</v>
      </c>
      <c r="S3003">
        <v>3.0005799999999998</v>
      </c>
      <c r="T3003">
        <v>-5.6025150000000003E-2</v>
      </c>
      <c r="U3003">
        <v>-0.1660614</v>
      </c>
      <c r="V3003">
        <v>2.6300380000000002E-2</v>
      </c>
      <c r="W3003">
        <v>4.0120139999999999E-2</v>
      </c>
      <c r="X3003">
        <v>0.99884870000000003</v>
      </c>
      <c r="Y3003">
        <v>6.3130870000000006E-2</v>
      </c>
      <c r="Z3003">
        <v>-7.3622710000000003E-4</v>
      </c>
      <c r="AA3003">
        <v>0.99800500000000003</v>
      </c>
      <c r="AB3003">
        <v>37</v>
      </c>
      <c r="AC3003">
        <v>57.030299999999997</v>
      </c>
      <c r="AD3003">
        <v>-1.07159636</v>
      </c>
      <c r="AE3003">
        <v>-3.1791999999999998</v>
      </c>
      <c r="AF3003">
        <v>3.6282750695706301</v>
      </c>
      <c r="AG3003">
        <v>-1.07159636</v>
      </c>
      <c r="AH3003">
        <v>56.983353930589701</v>
      </c>
      <c r="AI3003">
        <v>91.075167918077199</v>
      </c>
      <c r="AJ3003">
        <v>86.356750166459804</v>
      </c>
      <c r="AK3003">
        <v>57.108802508178002</v>
      </c>
      <c r="AL3003">
        <v>87.700668249366004</v>
      </c>
      <c r="AM3003">
        <v>88.491710835820101</v>
      </c>
      <c r="AN3003">
        <v>1.00000003055672</v>
      </c>
    </row>
    <row r="3004" spans="1:40" x14ac:dyDescent="0.25">
      <c r="A3004" t="str">
        <f>"20190312151557418"</f>
        <v>20190312151557418</v>
      </c>
      <c r="B3004" t="str">
        <f>"1552374957410415"</f>
        <v>1552374957410415</v>
      </c>
      <c r="C3004" t="s">
        <v>40</v>
      </c>
      <c r="D3004">
        <v>4.5570629999999896</v>
      </c>
      <c r="E3004">
        <v>0.51349599999999995</v>
      </c>
      <c r="F3004" t="s">
        <v>51</v>
      </c>
      <c r="G3004">
        <v>-331.17860000000002</v>
      </c>
      <c r="H3004">
        <v>1.892918E-2</v>
      </c>
      <c r="I3004">
        <v>209.6163</v>
      </c>
      <c r="J3004">
        <v>-388.54169999999999</v>
      </c>
      <c r="K3004">
        <v>1.109467</v>
      </c>
      <c r="L3004">
        <v>212.7987</v>
      </c>
      <c r="M3004">
        <v>0.99992049999999999</v>
      </c>
      <c r="N3004">
        <v>0</v>
      </c>
      <c r="O3004">
        <v>8.3559210000000005E-3</v>
      </c>
      <c r="P3004">
        <v>0.99935529999999995</v>
      </c>
      <c r="Q3004">
        <v>3.0809650000000001E-2</v>
      </c>
      <c r="R3004">
        <v>-1.8439170000000001E-2</v>
      </c>
      <c r="S3004">
        <v>3.00061</v>
      </c>
      <c r="T3004">
        <v>-5.66889E-2</v>
      </c>
      <c r="U3004">
        <v>-0.1652679</v>
      </c>
      <c r="V3004">
        <v>2.6752979999999999E-2</v>
      </c>
      <c r="W3004">
        <v>4.0280240000000002E-2</v>
      </c>
      <c r="X3004">
        <v>0.9988302</v>
      </c>
      <c r="Y3004">
        <v>6.3323740000000003E-2</v>
      </c>
      <c r="Z3004">
        <v>-7.5540949999999905E-4</v>
      </c>
      <c r="AA3004">
        <v>0.99799280000000001</v>
      </c>
      <c r="AB3004">
        <v>37</v>
      </c>
      <c r="AC3004">
        <v>57.363099999999903</v>
      </c>
      <c r="AD3004">
        <v>-1.09053782</v>
      </c>
      <c r="AE3004">
        <v>-3.1823999999999999</v>
      </c>
      <c r="AF3004">
        <v>3.6603129293367598</v>
      </c>
      <c r="AG3004">
        <v>-1.09053782</v>
      </c>
      <c r="AH3004">
        <v>57.313853125353099</v>
      </c>
      <c r="AI3004">
        <v>91.087846701809497</v>
      </c>
      <c r="AJ3004">
        <v>86.345804009577094</v>
      </c>
      <c r="AK3004">
        <v>57.440969033887797</v>
      </c>
      <c r="AL3004">
        <v>87.691487689944196</v>
      </c>
      <c r="AM3004">
        <v>88.465738771232296</v>
      </c>
      <c r="AN3004">
        <v>0.99999999405268802</v>
      </c>
    </row>
    <row r="3005" spans="1:40" x14ac:dyDescent="0.25">
      <c r="A3005" t="str">
        <f>"20190312151557440"</f>
        <v>20190312151557440</v>
      </c>
      <c r="B3005" t="str">
        <f>"1552374957430913"</f>
        <v>1552374957430913</v>
      </c>
      <c r="C3005" t="s">
        <v>40</v>
      </c>
      <c r="D3005">
        <v>4.599539</v>
      </c>
      <c r="E3005">
        <v>0.51346559999999997</v>
      </c>
      <c r="F3005" t="s">
        <v>51</v>
      </c>
      <c r="G3005">
        <v>-330.49349999999998</v>
      </c>
      <c r="H3005">
        <v>3.105985E-2</v>
      </c>
      <c r="I3005">
        <v>209.6163</v>
      </c>
      <c r="J3005">
        <v>-388.17410000000001</v>
      </c>
      <c r="K3005">
        <v>1.1095090000000001</v>
      </c>
      <c r="L3005">
        <v>212.8022</v>
      </c>
      <c r="M3005">
        <v>0.99991600000000003</v>
      </c>
      <c r="N3005">
        <v>0</v>
      </c>
      <c r="O3005">
        <v>8.8633759999999992E-3</v>
      </c>
      <c r="P3005">
        <v>0.99934999999999996</v>
      </c>
      <c r="Q3005">
        <v>3.0865670000000001E-2</v>
      </c>
      <c r="R3005">
        <v>-1.8615139999999999E-2</v>
      </c>
      <c r="S3005">
        <v>3.0006409999999999</v>
      </c>
      <c r="T3005">
        <v>-5.5745240000000001E-2</v>
      </c>
      <c r="U3005">
        <v>-0.16450499999999901</v>
      </c>
      <c r="V3005">
        <v>2.7432350000000001E-2</v>
      </c>
      <c r="W3005">
        <v>4.0337890000000001E-2</v>
      </c>
      <c r="X3005">
        <v>0.99880950000000002</v>
      </c>
      <c r="Y3005">
        <v>6.3576960000000002E-2</v>
      </c>
      <c r="Z3005">
        <v>-7.5460529999999998E-4</v>
      </c>
      <c r="AA3005">
        <v>0.99797670000000005</v>
      </c>
      <c r="AB3005">
        <v>37</v>
      </c>
      <c r="AC3005">
        <v>57.680599999999998</v>
      </c>
      <c r="AD3005">
        <v>-1.07844915</v>
      </c>
      <c r="AE3005">
        <v>-3.1859000000000002</v>
      </c>
      <c r="AF3005">
        <v>3.6957545412066701</v>
      </c>
      <c r="AG3005">
        <v>-1.07844915</v>
      </c>
      <c r="AH3005">
        <v>57.630010271117101</v>
      </c>
      <c r="AI3005">
        <v>91.069872280352598</v>
      </c>
      <c r="AJ3005">
        <v>86.330703863808395</v>
      </c>
      <c r="AK3005">
        <v>57.758460315758498</v>
      </c>
      <c r="AL3005">
        <v>87.688182026833204</v>
      </c>
      <c r="AM3005">
        <v>88.426764214316506</v>
      </c>
      <c r="AN3005">
        <v>1.0000000482432101</v>
      </c>
    </row>
    <row r="3006" spans="1:40" x14ac:dyDescent="0.25">
      <c r="A3006" t="str">
        <f>"20190312151557463"</f>
        <v>20190312151557463</v>
      </c>
      <c r="B3006" t="str">
        <f>"1552374957450431"</f>
        <v>1552374957450431</v>
      </c>
      <c r="C3006" t="s">
        <v>40</v>
      </c>
      <c r="D3006">
        <v>4.8486339999999997</v>
      </c>
      <c r="E3006">
        <v>0.51338589999999995</v>
      </c>
      <c r="F3006" t="s">
        <v>51</v>
      </c>
      <c r="G3006">
        <v>-330.15910000000002</v>
      </c>
      <c r="H3006">
        <v>5.0030270000000002E-2</v>
      </c>
      <c r="I3006">
        <v>209.6163</v>
      </c>
      <c r="J3006">
        <v>-387.81240000000003</v>
      </c>
      <c r="K3006">
        <v>1.1095459999999999</v>
      </c>
      <c r="L3006">
        <v>212.80590000000001</v>
      </c>
      <c r="M3006">
        <v>0.99991110000000005</v>
      </c>
      <c r="N3006">
        <v>0</v>
      </c>
      <c r="O3006">
        <v>9.3997709999999995E-3</v>
      </c>
      <c r="P3006">
        <v>0.99934820000000002</v>
      </c>
      <c r="Q3006">
        <v>3.0822550000000001E-2</v>
      </c>
      <c r="R3006">
        <v>-1.879753E-2</v>
      </c>
      <c r="S3006">
        <v>3.0005799999999998</v>
      </c>
      <c r="T3006">
        <v>-5.479705E-2</v>
      </c>
      <c r="U3006">
        <v>-0.1647797</v>
      </c>
      <c r="V3006">
        <v>2.8146850000000001E-2</v>
      </c>
      <c r="W3006">
        <v>4.0298340000000002E-2</v>
      </c>
      <c r="X3006">
        <v>0.99879119999999999</v>
      </c>
      <c r="Y3006">
        <v>6.4204720000000007E-2</v>
      </c>
      <c r="Z3006">
        <v>-7.5730179999999902E-4</v>
      </c>
      <c r="AA3006">
        <v>0.9979365</v>
      </c>
      <c r="AB3006">
        <v>37</v>
      </c>
      <c r="AC3006">
        <v>57.653300000000002</v>
      </c>
      <c r="AD3006">
        <v>-1.05951573</v>
      </c>
      <c r="AE3006">
        <v>-3.1896000000000102</v>
      </c>
      <c r="AF3006">
        <v>3.7301551956026699</v>
      </c>
      <c r="AG3006">
        <v>-1.05951573</v>
      </c>
      <c r="AH3006">
        <v>57.601375656273497</v>
      </c>
      <c r="AI3006">
        <v>91.051573640532695</v>
      </c>
      <c r="AJ3006">
        <v>86.294808225275801</v>
      </c>
      <c r="AK3006">
        <v>57.731751306023398</v>
      </c>
      <c r="AL3006">
        <v>87.690449879651595</v>
      </c>
      <c r="AM3006">
        <v>88.385779730587302</v>
      </c>
      <c r="AN3006">
        <v>1.0000000312845501</v>
      </c>
    </row>
    <row r="3007" spans="1:40" x14ac:dyDescent="0.25">
      <c r="A3007" t="str">
        <f>"20190312151557486"</f>
        <v>20190312151557486</v>
      </c>
      <c r="B3007" t="str">
        <f>"1552374957480687"</f>
        <v>1552374957480687</v>
      </c>
      <c r="C3007" t="s">
        <v>40</v>
      </c>
      <c r="D3007">
        <v>4.6077399999999997</v>
      </c>
      <c r="E3007">
        <v>0.51306569999999996</v>
      </c>
      <c r="F3007" t="s">
        <v>51</v>
      </c>
      <c r="G3007">
        <v>-329.48160000000001</v>
      </c>
      <c r="H3007">
        <v>6.3850569999999995E-2</v>
      </c>
      <c r="I3007">
        <v>209.60249999999999</v>
      </c>
      <c r="J3007">
        <v>-387.42770000000002</v>
      </c>
      <c r="K3007">
        <v>1.1095790000000001</v>
      </c>
      <c r="L3007">
        <v>212.81</v>
      </c>
      <c r="M3007">
        <v>0.9999053</v>
      </c>
      <c r="N3007">
        <v>0</v>
      </c>
      <c r="O3007">
        <v>1.000644E-2</v>
      </c>
      <c r="P3007">
        <v>0.9993668</v>
      </c>
      <c r="Q3007">
        <v>3.0145169999999999E-2</v>
      </c>
      <c r="R3007">
        <v>-1.8901810000000002E-2</v>
      </c>
      <c r="S3007">
        <v>3.0004580000000001</v>
      </c>
      <c r="T3007">
        <v>-5.3789139999999999E-2</v>
      </c>
      <c r="U3007">
        <v>-0.1647797</v>
      </c>
      <c r="V3007">
        <v>2.8854680000000001E-2</v>
      </c>
      <c r="W3007">
        <v>3.9625109999999998E-2</v>
      </c>
      <c r="X3007">
        <v>0.99879790000000002</v>
      </c>
      <c r="Y3007">
        <v>6.4812649999999999E-2</v>
      </c>
      <c r="Z3007">
        <v>-7.5971729999999905E-4</v>
      </c>
      <c r="AA3007">
        <v>0.99789709999999998</v>
      </c>
      <c r="AB3007">
        <v>37</v>
      </c>
      <c r="AC3007">
        <v>57.946100000000001</v>
      </c>
      <c r="AD3007">
        <v>-1.04572843</v>
      </c>
      <c r="AE3007">
        <v>-3.2075000000000098</v>
      </c>
      <c r="AF3007">
        <v>3.78597020963206</v>
      </c>
      <c r="AG3007">
        <v>-1.04572843</v>
      </c>
      <c r="AH3007">
        <v>57.892304841356101</v>
      </c>
      <c r="AI3007">
        <v>91.032635328150803</v>
      </c>
      <c r="AJ3007">
        <v>86.258368548408299</v>
      </c>
      <c r="AK3007">
        <v>58.025391667976201</v>
      </c>
      <c r="AL3007">
        <v>87.729053867403593</v>
      </c>
      <c r="AM3007">
        <v>88.345219107883693</v>
      </c>
      <c r="AN3007">
        <v>0.99999999347241197</v>
      </c>
    </row>
    <row r="3008" spans="1:40" x14ac:dyDescent="0.25">
      <c r="A3008" t="str">
        <f>"20190312151557508"</f>
        <v>20190312151557508</v>
      </c>
      <c r="B3008" t="str">
        <f>"1552374957500207"</f>
        <v>1552374957500207</v>
      </c>
      <c r="C3008" t="s">
        <v>40</v>
      </c>
      <c r="D3008">
        <v>4.8142870000000002</v>
      </c>
      <c r="E3008">
        <v>0.51295919999999995</v>
      </c>
      <c r="F3008" t="s">
        <v>51</v>
      </c>
      <c r="G3008">
        <v>-329.17009999999999</v>
      </c>
      <c r="H3008" s="1">
        <v>3.3430719999999999E-6</v>
      </c>
      <c r="I3008">
        <v>209.65100000000001</v>
      </c>
      <c r="J3008">
        <v>-387.06979999999999</v>
      </c>
      <c r="K3008">
        <v>1.1096159999999999</v>
      </c>
      <c r="L3008">
        <v>212.8141</v>
      </c>
      <c r="M3008">
        <v>0.99989910000000004</v>
      </c>
      <c r="N3008">
        <v>0</v>
      </c>
      <c r="O3008">
        <v>1.059826E-2</v>
      </c>
      <c r="P3008">
        <v>0.99939739999999999</v>
      </c>
      <c r="Q3008">
        <v>2.9138540000000001E-2</v>
      </c>
      <c r="R3008">
        <v>-1.8864260000000001E-2</v>
      </c>
      <c r="S3008">
        <v>3.0005489999999999</v>
      </c>
      <c r="T3008">
        <v>-5.7148459999999998E-2</v>
      </c>
      <c r="U3008">
        <v>-0.1627045</v>
      </c>
      <c r="V3008">
        <v>2.940686E-2</v>
      </c>
      <c r="W3008">
        <v>3.8624039999999998E-2</v>
      </c>
      <c r="X3008">
        <v>0.99882099999999996</v>
      </c>
      <c r="Y3008">
        <v>6.4711879999999999E-2</v>
      </c>
      <c r="Z3008">
        <v>-8.1745190000000005E-4</v>
      </c>
      <c r="AA3008">
        <v>0.9979036</v>
      </c>
      <c r="AB3008">
        <v>37</v>
      </c>
      <c r="AC3008">
        <v>57.899700000000003</v>
      </c>
      <c r="AD3008">
        <v>-1.109612656928</v>
      </c>
      <c r="AE3008">
        <v>-3.1631000000000098</v>
      </c>
      <c r="AF3008">
        <v>3.7752034526215499</v>
      </c>
      <c r="AG3008">
        <v>-1.109612656928</v>
      </c>
      <c r="AH3008">
        <v>57.841742470340598</v>
      </c>
      <c r="AI3008">
        <v>91.096671528101595</v>
      </c>
      <c r="AJ3008">
        <v>86.265726866094496</v>
      </c>
      <c r="AK3008">
        <v>57.975430773408704</v>
      </c>
      <c r="AL3008">
        <v>87.786454886974596</v>
      </c>
      <c r="AM3008">
        <v>88.313609349691902</v>
      </c>
      <c r="AN3008">
        <v>0.99999998496098996</v>
      </c>
    </row>
    <row r="3009" spans="1:40" x14ac:dyDescent="0.25">
      <c r="A3009" t="str">
        <f>"20190312151557529"</f>
        <v>20190312151557529</v>
      </c>
      <c r="B3009" t="str">
        <f>"1552374957520703"</f>
        <v>1552374957520703</v>
      </c>
      <c r="C3009" t="s">
        <v>40</v>
      </c>
      <c r="D3009">
        <v>4.5661829999999997</v>
      </c>
      <c r="E3009">
        <v>0.51290100000000005</v>
      </c>
      <c r="F3009" t="s">
        <v>51</v>
      </c>
      <c r="G3009">
        <v>-330.10579999999999</v>
      </c>
      <c r="H3009" s="1">
        <v>-1.2674799999999901E-6</v>
      </c>
      <c r="I3009">
        <v>209.7432</v>
      </c>
      <c r="J3009">
        <v>-386.71039999999999</v>
      </c>
      <c r="K3009">
        <v>1.1096469999999901</v>
      </c>
      <c r="L3009">
        <v>212.8185</v>
      </c>
      <c r="M3009">
        <v>0.99989249999999996</v>
      </c>
      <c r="N3009">
        <v>0</v>
      </c>
      <c r="O3009">
        <v>1.1211850000000001E-2</v>
      </c>
      <c r="P3009">
        <v>0.99941519999999995</v>
      </c>
      <c r="Q3009">
        <v>2.8181979999999999E-2</v>
      </c>
      <c r="R3009">
        <v>-1.9375369999999999E-2</v>
      </c>
      <c r="S3009">
        <v>3.0004879999999998</v>
      </c>
      <c r="T3009">
        <v>-5.8447359999999997E-2</v>
      </c>
      <c r="U3009">
        <v>-0.1617584</v>
      </c>
      <c r="V3009">
        <v>3.0529779999999999E-2</v>
      </c>
      <c r="W3009">
        <v>3.7673449999999997E-2</v>
      </c>
      <c r="X3009">
        <v>0.99882360000000003</v>
      </c>
      <c r="Y3009">
        <v>6.5010810000000002E-2</v>
      </c>
      <c r="Z3009">
        <v>-8.50905E-4</v>
      </c>
      <c r="AA3009">
        <v>0.9978842</v>
      </c>
      <c r="AB3009">
        <v>37</v>
      </c>
      <c r="AC3009">
        <v>56.604599999999998</v>
      </c>
      <c r="AD3009">
        <v>-1.1096482674799999</v>
      </c>
      <c r="AE3009">
        <v>-3.0752999999999902</v>
      </c>
      <c r="AF3009">
        <v>3.7083563863412001</v>
      </c>
      <c r="AG3009">
        <v>-1.1096482674799999</v>
      </c>
      <c r="AH3009">
        <v>56.544894378572501</v>
      </c>
      <c r="AI3009">
        <v>91.121830156868398</v>
      </c>
      <c r="AJ3009">
        <v>86.247772048873401</v>
      </c>
      <c r="AK3009">
        <v>56.677229172301303</v>
      </c>
      <c r="AL3009">
        <v>87.840959328173597</v>
      </c>
      <c r="AM3009">
        <v>88.249257324650003</v>
      </c>
      <c r="AN3009">
        <v>0.99999997010935504</v>
      </c>
    </row>
    <row r="3010" spans="1:40" x14ac:dyDescent="0.25">
      <c r="A3010" t="str">
        <f>"20190312151557553"</f>
        <v>20190312151557553</v>
      </c>
      <c r="B3010" t="str">
        <f>"1552374957540223"</f>
        <v>1552374957540223</v>
      </c>
      <c r="C3010" t="s">
        <v>40</v>
      </c>
      <c r="D3010">
        <v>4.5431990000000004</v>
      </c>
      <c r="E3010">
        <v>0.51284240000000003</v>
      </c>
      <c r="F3010" t="s">
        <v>51</v>
      </c>
      <c r="G3010">
        <v>-331.01029999999997</v>
      </c>
      <c r="H3010" s="1">
        <v>-7.8840639999999997E-7</v>
      </c>
      <c r="I3010">
        <v>209.79470000000001</v>
      </c>
      <c r="J3010">
        <v>-386.32119999999998</v>
      </c>
      <c r="K3010">
        <v>1.109675</v>
      </c>
      <c r="L3010">
        <v>212.82339999999999</v>
      </c>
      <c r="M3010">
        <v>0.99988460000000001</v>
      </c>
      <c r="N3010">
        <v>0</v>
      </c>
      <c r="O3010">
        <v>1.1890889999999999E-2</v>
      </c>
      <c r="P3010">
        <v>0.99945189999999995</v>
      </c>
      <c r="Q3010">
        <v>2.6622380000000001E-2</v>
      </c>
      <c r="R3010">
        <v>-1.9680010000000001E-2</v>
      </c>
      <c r="S3010">
        <v>3.0002439999999999</v>
      </c>
      <c r="T3010">
        <v>-5.977035E-2</v>
      </c>
      <c r="U3010">
        <v>-0.1628723</v>
      </c>
      <c r="V3010">
        <v>3.1513510000000002E-2</v>
      </c>
      <c r="W3010">
        <v>3.6120489999999998E-2</v>
      </c>
      <c r="X3010">
        <v>0.99885049999999997</v>
      </c>
      <c r="Y3010">
        <v>6.6061220000000004E-2</v>
      </c>
      <c r="Z3010">
        <v>-8.94197E-4</v>
      </c>
      <c r="AA3010">
        <v>0.99781520000000001</v>
      </c>
      <c r="AB3010">
        <v>37</v>
      </c>
      <c r="AC3010">
        <v>55.310899999999997</v>
      </c>
      <c r="AD3010">
        <v>-1.1096757884063999</v>
      </c>
      <c r="AE3010">
        <v>-3.0286999999999802</v>
      </c>
      <c r="AF3010">
        <v>3.6847323931466902</v>
      </c>
      <c r="AG3010">
        <v>-1.1096757884063999</v>
      </c>
      <c r="AH3010">
        <v>55.248802255350199</v>
      </c>
      <c r="AI3010">
        <v>91.148084919605907</v>
      </c>
      <c r="AJ3010">
        <v>86.184398251424</v>
      </c>
      <c r="AK3010">
        <v>55.382657789377298</v>
      </c>
      <c r="AL3010">
        <v>87.929998200602697</v>
      </c>
      <c r="AM3010">
        <v>88.192930383440697</v>
      </c>
      <c r="AN3010">
        <v>1.0000000562303</v>
      </c>
    </row>
    <row r="3011" spans="1:40" x14ac:dyDescent="0.25">
      <c r="A3011" t="str">
        <f>"20190312151557577"</f>
        <v>20190312151557577</v>
      </c>
      <c r="B3011" t="str">
        <f>"1552374957570480"</f>
        <v>1552374957570480</v>
      </c>
      <c r="C3011" t="s">
        <v>40</v>
      </c>
      <c r="D3011">
        <v>4.5282689999999999</v>
      </c>
      <c r="E3011">
        <v>0.51285639999999999</v>
      </c>
      <c r="F3011" t="s">
        <v>51</v>
      </c>
      <c r="G3011">
        <v>-333.52109999999999</v>
      </c>
      <c r="H3011" s="1">
        <v>5.4104029999999996E-7</v>
      </c>
      <c r="I3011">
        <v>209.94839999999999</v>
      </c>
      <c r="J3011">
        <v>-385.93049999999999</v>
      </c>
      <c r="K3011">
        <v>1.1096950000000001</v>
      </c>
      <c r="L3011">
        <v>212.8287</v>
      </c>
      <c r="M3011">
        <v>0.99987610000000005</v>
      </c>
      <c r="N3011">
        <v>0</v>
      </c>
      <c r="O3011">
        <v>1.258418E-2</v>
      </c>
      <c r="P3011">
        <v>0.99948049999999999</v>
      </c>
      <c r="Q3011">
        <v>2.4974880000000001E-2</v>
      </c>
      <c r="R3011">
        <v>-2.0382109999999998E-2</v>
      </c>
      <c r="S3011">
        <v>3.0001220000000002</v>
      </c>
      <c r="T3011">
        <v>-6.3052179999999999E-2</v>
      </c>
      <c r="U3011">
        <v>-0.16336059999999999</v>
      </c>
      <c r="V3011">
        <v>3.2909319999999999E-2</v>
      </c>
      <c r="W3011">
        <v>3.4480709999999998E-2</v>
      </c>
      <c r="X3011">
        <v>0.99886339999999996</v>
      </c>
      <c r="Y3011">
        <v>6.6915089999999997E-2</v>
      </c>
      <c r="Z3011">
        <v>-9.6684400000000002E-4</v>
      </c>
      <c r="AA3011">
        <v>0.99775820000000004</v>
      </c>
      <c r="AB3011">
        <v>37</v>
      </c>
      <c r="AC3011">
        <v>52.409399999999998</v>
      </c>
      <c r="AD3011">
        <v>-1.1096944589597</v>
      </c>
      <c r="AE3011">
        <v>-2.8803000000000001</v>
      </c>
      <c r="AF3011">
        <v>3.5380493168260099</v>
      </c>
      <c r="AG3011">
        <v>-1.1096944589597</v>
      </c>
      <c r="AH3011">
        <v>52.345604878927404</v>
      </c>
      <c r="AI3011">
        <v>91.211689411314694</v>
      </c>
      <c r="AJ3011">
        <v>86.133248621035804</v>
      </c>
      <c r="AK3011">
        <v>52.476771669961998</v>
      </c>
      <c r="AL3011">
        <v>88.024009195609295</v>
      </c>
      <c r="AM3011">
        <v>88.112971870885403</v>
      </c>
      <c r="AN3011">
        <v>1.0000000172822601</v>
      </c>
    </row>
    <row r="3012" spans="1:40" x14ac:dyDescent="0.25">
      <c r="A3012" t="str">
        <f>"20190312151557654"</f>
        <v>20190312151557654</v>
      </c>
      <c r="B3012" t="str">
        <f>"1552374957650511"</f>
        <v>1552374957650511</v>
      </c>
      <c r="C3012" t="s">
        <v>40</v>
      </c>
      <c r="D3012">
        <v>4.1995699999999996</v>
      </c>
      <c r="E3012">
        <v>0.51285639999999999</v>
      </c>
      <c r="F3012" t="s">
        <v>51</v>
      </c>
      <c r="G3012">
        <v>-335.52370000000002</v>
      </c>
      <c r="H3012" s="1">
        <v>1.6023980000000001E-6</v>
      </c>
      <c r="I3012">
        <v>210.04580000000001</v>
      </c>
      <c r="J3012">
        <v>-384.65010000000001</v>
      </c>
      <c r="K3012">
        <v>1.1097459999999999</v>
      </c>
      <c r="L3012">
        <v>212.84780000000001</v>
      </c>
      <c r="M3012">
        <v>0.99984439999999997</v>
      </c>
      <c r="N3012">
        <v>0</v>
      </c>
      <c r="O3012">
        <v>1.487748E-2</v>
      </c>
      <c r="P3012">
        <v>0.99949589999999999</v>
      </c>
      <c r="Q3012">
        <v>2.174866E-2</v>
      </c>
      <c r="R3012">
        <v>-2.3134740000000001E-2</v>
      </c>
      <c r="S3012">
        <v>2.999908</v>
      </c>
      <c r="T3012">
        <v>-6.6042180000000006E-2</v>
      </c>
      <c r="U3012">
        <v>-0.16561890000000001</v>
      </c>
      <c r="V3012">
        <v>3.7955250000000003E-2</v>
      </c>
      <c r="W3012">
        <v>3.1277619999999999E-2</v>
      </c>
      <c r="X3012">
        <v>0.99878979999999995</v>
      </c>
      <c r="Y3012">
        <v>6.9952979999999998E-2</v>
      </c>
      <c r="Z3012">
        <v>-1.096594E-3</v>
      </c>
      <c r="AA3012">
        <v>0.99754969999999998</v>
      </c>
      <c r="AB3012">
        <v>37</v>
      </c>
      <c r="AC3012">
        <v>49.126399999999897</v>
      </c>
      <c r="AD3012">
        <v>-1.1097443976019901</v>
      </c>
      <c r="AE3012">
        <v>-2.8019999999999898</v>
      </c>
      <c r="AF3012">
        <v>3.5308038364613599</v>
      </c>
      <c r="AG3012">
        <v>-1.1097443976019901</v>
      </c>
      <c r="AH3012">
        <v>49.054323131579103</v>
      </c>
      <c r="AI3012">
        <v>91.292624948133593</v>
      </c>
      <c r="AJ3012">
        <v>85.883097111788103</v>
      </c>
      <c r="AK3012">
        <v>49.193746820677902</v>
      </c>
      <c r="AL3012">
        <v>88.207632017028303</v>
      </c>
      <c r="AM3012">
        <v>87.823736556672102</v>
      </c>
      <c r="AN3012">
        <v>0.99999997754973302</v>
      </c>
    </row>
    <row r="3013" spans="1:40" x14ac:dyDescent="0.25">
      <c r="A3013" t="str">
        <f>"20190312151557697"</f>
        <v>20190312151557697</v>
      </c>
      <c r="B3013" t="str">
        <f>"1552374957690527"</f>
        <v>1552374957690527</v>
      </c>
      <c r="C3013" t="s">
        <v>40</v>
      </c>
      <c r="D3013">
        <v>4.6600780000000004</v>
      </c>
      <c r="E3013">
        <v>0.5332131</v>
      </c>
      <c r="F3013" t="s">
        <v>51</v>
      </c>
      <c r="G3013">
        <v>-341.01499999999999</v>
      </c>
      <c r="H3013" s="1">
        <v>-9.9668E-7</v>
      </c>
      <c r="I3013">
        <v>210.32660000000001</v>
      </c>
      <c r="J3013">
        <v>-383.91969999999998</v>
      </c>
      <c r="K3013">
        <v>1.1097629999999901</v>
      </c>
      <c r="L3013">
        <v>212.86009999999999</v>
      </c>
      <c r="M3013">
        <v>0.99982420000000005</v>
      </c>
      <c r="N3013">
        <v>0</v>
      </c>
      <c r="O3013">
        <v>1.618414E-2</v>
      </c>
      <c r="P3013">
        <v>0.99950300000000003</v>
      </c>
      <c r="Q3013">
        <v>2.005351E-2</v>
      </c>
      <c r="R3013">
        <v>-2.4328530000000001E-2</v>
      </c>
      <c r="S3013">
        <v>2.9991759999999998</v>
      </c>
      <c r="T3013">
        <v>-7.6276300000000005E-2</v>
      </c>
      <c r="U3013">
        <v>-0.17329410000000001</v>
      </c>
      <c r="V3013">
        <v>4.0456180000000001E-2</v>
      </c>
      <c r="W3013">
        <v>2.9581349999999999E-2</v>
      </c>
      <c r="X3013">
        <v>0.99874339999999995</v>
      </c>
      <c r="Y3013">
        <v>7.3805679999999999E-2</v>
      </c>
      <c r="Z3013">
        <v>-1.3488409999999999E-3</v>
      </c>
      <c r="AA3013">
        <v>0.99727169999999998</v>
      </c>
      <c r="AB3013">
        <v>37</v>
      </c>
      <c r="AC3013">
        <v>42.904699999999899</v>
      </c>
      <c r="AD3013">
        <v>-1.1097639966799999</v>
      </c>
      <c r="AE3013">
        <v>-2.5334999999999699</v>
      </c>
      <c r="AF3013">
        <v>3.2254245126782299</v>
      </c>
      <c r="AG3013">
        <v>-1.1097639966799999</v>
      </c>
      <c r="AH3013">
        <v>42.8295207764113</v>
      </c>
      <c r="AI3013">
        <v>91.4800806793682</v>
      </c>
      <c r="AJ3013">
        <v>85.693273460738098</v>
      </c>
      <c r="AK3013">
        <v>42.965134578543598</v>
      </c>
      <c r="AL3013">
        <v>88.304866325308893</v>
      </c>
      <c r="AM3013">
        <v>87.680383346240404</v>
      </c>
      <c r="AN3013">
        <v>1.00000006890578</v>
      </c>
    </row>
    <row r="3014" spans="1:40" x14ac:dyDescent="0.25">
      <c r="A3014" t="str">
        <f>"20190312151557719"</f>
        <v>20190312151557719</v>
      </c>
      <c r="B3014" t="str">
        <f>"1552374957711026"</f>
        <v>1552374957711026</v>
      </c>
      <c r="C3014" t="s">
        <v>40</v>
      </c>
      <c r="D3014">
        <v>4.6035389999999996</v>
      </c>
      <c r="E3014">
        <v>0.51412990000000003</v>
      </c>
      <c r="F3014" t="s">
        <v>46</v>
      </c>
      <c r="G3014">
        <v>0</v>
      </c>
      <c r="H3014">
        <v>0</v>
      </c>
      <c r="I3014">
        <v>0</v>
      </c>
      <c r="J3014">
        <v>-383.5437</v>
      </c>
      <c r="K3014">
        <v>1.109777</v>
      </c>
      <c r="L3014">
        <v>212.86670000000001</v>
      </c>
      <c r="M3014">
        <v>0.99981330000000002</v>
      </c>
      <c r="N3014">
        <v>0</v>
      </c>
      <c r="O3014">
        <v>1.6856010000000001E-2</v>
      </c>
      <c r="P3014">
        <v>0.99946579999999996</v>
      </c>
      <c r="Q3014">
        <v>2.1103420000000001E-2</v>
      </c>
      <c r="R3014">
        <v>-2.495698E-2</v>
      </c>
      <c r="S3014">
        <v>2.9682309999999998</v>
      </c>
      <c r="T3014">
        <v>1.2576020000000001</v>
      </c>
      <c r="U3014">
        <v>-0.32864379999999999</v>
      </c>
      <c r="V3014">
        <v>4.1753329999999998E-2</v>
      </c>
      <c r="W3014">
        <v>3.062515E-2</v>
      </c>
      <c r="X3014">
        <v>0.9986585</v>
      </c>
      <c r="Y3014">
        <v>0.11552229999999999</v>
      </c>
      <c r="Z3014">
        <v>3.023021E-2</v>
      </c>
      <c r="AA3014">
        <v>0.99284479999999997</v>
      </c>
      <c r="AB3014">
        <v>37</v>
      </c>
      <c r="AC3014">
        <v>2.9682309999999998</v>
      </c>
      <c r="AD3014">
        <v>1.2576020000000001</v>
      </c>
      <c r="AE3014">
        <v>-0.32864379999999999</v>
      </c>
      <c r="AF3014">
        <v>0.32160024173690299</v>
      </c>
      <c r="AG3014">
        <v>1.2576020000000001</v>
      </c>
      <c r="AH3014">
        <v>2.5160759836576698</v>
      </c>
      <c r="AI3014">
        <v>63.628102345522798</v>
      </c>
      <c r="AJ3014">
        <v>82.716053767157504</v>
      </c>
      <c r="AK3014">
        <v>2.8311884185670402</v>
      </c>
      <c r="AL3014">
        <v>88.245033789801894</v>
      </c>
      <c r="AM3014">
        <v>87.6058911824841</v>
      </c>
      <c r="AN3014">
        <v>1.00000002000043</v>
      </c>
    </row>
    <row r="3015" spans="1:40" x14ac:dyDescent="0.25">
      <c r="A3015" t="str">
        <f>"20190312151557742"</f>
        <v>20190312151557742</v>
      </c>
      <c r="B3015" t="str">
        <f>"1552374957730543"</f>
        <v>1552374957730543</v>
      </c>
      <c r="C3015" t="s">
        <v>40</v>
      </c>
      <c r="D3015">
        <v>4.6091829999999998</v>
      </c>
      <c r="E3015">
        <v>0.51476769999999905</v>
      </c>
      <c r="F3015" t="s">
        <v>57</v>
      </c>
      <c r="G3015">
        <v>-168.41460000000001</v>
      </c>
      <c r="H3015">
        <v>5.2072520000000004</v>
      </c>
      <c r="I3015">
        <v>199.40870000000001</v>
      </c>
      <c r="J3015">
        <v>-383.17970000000003</v>
      </c>
      <c r="K3015">
        <v>1.1097900000000001</v>
      </c>
      <c r="L3015">
        <v>212.87350000000001</v>
      </c>
      <c r="M3015">
        <v>0.99980210000000003</v>
      </c>
      <c r="N3015">
        <v>0</v>
      </c>
      <c r="O3015">
        <v>1.750618E-2</v>
      </c>
      <c r="P3015">
        <v>0.99945470000000003</v>
      </c>
      <c r="Q3015">
        <v>2.1399669999999999E-2</v>
      </c>
      <c r="R3015">
        <v>-2.514812E-2</v>
      </c>
      <c r="S3015">
        <v>2.9957579999999999</v>
      </c>
      <c r="T3015">
        <v>5.7059409999999998E-2</v>
      </c>
      <c r="U3015">
        <v>-0.1874084</v>
      </c>
      <c r="V3015">
        <v>4.259313E-2</v>
      </c>
      <c r="W3015">
        <v>3.09135E-2</v>
      </c>
      <c r="X3015">
        <v>0.99861409999999995</v>
      </c>
      <c r="Y3015">
        <v>7.9881530000000006E-2</v>
      </c>
      <c r="Z3015">
        <v>1.0930569999999999E-3</v>
      </c>
      <c r="AA3015">
        <v>0.99680380000000002</v>
      </c>
      <c r="AB3015">
        <v>37</v>
      </c>
      <c r="AC3015">
        <v>214.76509999999999</v>
      </c>
      <c r="AD3015">
        <v>4.0974619999999904</v>
      </c>
      <c r="AE3015">
        <v>-13.464799999999901</v>
      </c>
      <c r="AF3015">
        <v>17.216378533510198</v>
      </c>
      <c r="AG3015">
        <v>4.0974619999999904</v>
      </c>
      <c r="AH3015">
        <v>214.41871464682399</v>
      </c>
      <c r="AI3015">
        <v>88.9087433479027</v>
      </c>
      <c r="AJ3015">
        <v>85.409383175209399</v>
      </c>
      <c r="AK3015">
        <v>215.14780518389401</v>
      </c>
      <c r="AL3015">
        <v>88.228504637072007</v>
      </c>
      <c r="AM3015">
        <v>87.557686873476598</v>
      </c>
      <c r="AN3015">
        <v>0.99999996996212703</v>
      </c>
    </row>
    <row r="3016" spans="1:40" x14ac:dyDescent="0.25">
      <c r="A3016" t="str">
        <f>"20190312151557766"</f>
        <v>20190312151557766</v>
      </c>
      <c r="B3016" t="str">
        <f>"1552374957760799"</f>
        <v>1552374957760799</v>
      </c>
      <c r="C3016" t="s">
        <v>40</v>
      </c>
      <c r="D3016">
        <v>4.9175519999999997</v>
      </c>
      <c r="E3016">
        <v>0.51203160000000003</v>
      </c>
      <c r="F3016" t="s">
        <v>57</v>
      </c>
      <c r="G3016">
        <v>-168.4145</v>
      </c>
      <c r="H3016">
        <v>4.6435170000000001</v>
      </c>
      <c r="I3016">
        <v>199.01910000000001</v>
      </c>
      <c r="J3016">
        <v>-382.76420000000002</v>
      </c>
      <c r="K3016">
        <v>1.1097980000000001</v>
      </c>
      <c r="L3016">
        <v>212.88140000000001</v>
      </c>
      <c r="M3016">
        <v>0.99978889999999998</v>
      </c>
      <c r="N3016">
        <v>0</v>
      </c>
      <c r="O3016">
        <v>1.824839E-2</v>
      </c>
      <c r="P3016">
        <v>0.99946579999999996</v>
      </c>
      <c r="Q3016">
        <v>2.0705709999999999E-2</v>
      </c>
      <c r="R3016">
        <v>-2.528977E-2</v>
      </c>
      <c r="S3016">
        <v>2.9957280000000002</v>
      </c>
      <c r="T3016">
        <v>4.9291849999999998E-2</v>
      </c>
      <c r="U3016">
        <v>-0.1932526</v>
      </c>
      <c r="V3016">
        <v>4.3477200000000001E-2</v>
      </c>
      <c r="W3016">
        <v>3.020811E-2</v>
      </c>
      <c r="X3016">
        <v>0.99859759999999997</v>
      </c>
      <c r="Y3016">
        <v>8.2562629999999998E-2</v>
      </c>
      <c r="Z3016">
        <v>9.7846689999999997E-4</v>
      </c>
      <c r="AA3016">
        <v>0.99658539999999995</v>
      </c>
      <c r="AB3016">
        <v>38</v>
      </c>
      <c r="AC3016">
        <v>214.34970000000001</v>
      </c>
      <c r="AD3016">
        <v>3.5337190000000001</v>
      </c>
      <c r="AE3016">
        <v>-13.862299999999999</v>
      </c>
      <c r="AF3016">
        <v>17.766894213189001</v>
      </c>
      <c r="AG3016">
        <v>3.5337190000000001</v>
      </c>
      <c r="AH3016">
        <v>214.00310866129999</v>
      </c>
      <c r="AI3016">
        <v>89.057234261746402</v>
      </c>
      <c r="AJ3016">
        <v>85.254092941264304</v>
      </c>
      <c r="AK3016">
        <v>214.76843393909999</v>
      </c>
      <c r="AL3016">
        <v>88.268939416189696</v>
      </c>
      <c r="AM3016">
        <v>87.507015987549593</v>
      </c>
      <c r="AN3016">
        <v>0.99999998177768501</v>
      </c>
    </row>
    <row r="3017" spans="1:40" x14ac:dyDescent="0.25">
      <c r="A3017" t="str">
        <f>"20190312151557789"</f>
        <v>20190312151557789</v>
      </c>
      <c r="B3017" t="str">
        <f>"1552374957780320"</f>
        <v>1552374957780320</v>
      </c>
      <c r="C3017" t="s">
        <v>40</v>
      </c>
      <c r="D3017">
        <v>4.8170190000000002</v>
      </c>
      <c r="E3017">
        <v>0.50990150000000001</v>
      </c>
      <c r="F3017" t="s">
        <v>57</v>
      </c>
      <c r="G3017">
        <v>-168.41329999999999</v>
      </c>
      <c r="H3017">
        <v>2.533172</v>
      </c>
      <c r="I3017">
        <v>200.57259999999999</v>
      </c>
      <c r="J3017">
        <v>-382.38510000000002</v>
      </c>
      <c r="K3017">
        <v>1.109802</v>
      </c>
      <c r="L3017">
        <v>212.88890000000001</v>
      </c>
      <c r="M3017">
        <v>0.99977649999999996</v>
      </c>
      <c r="N3017">
        <v>0</v>
      </c>
      <c r="O3017">
        <v>1.8925399999999998E-2</v>
      </c>
      <c r="P3017">
        <v>0.99947430000000004</v>
      </c>
      <c r="Q3017">
        <v>2.053578E-2</v>
      </c>
      <c r="R3017">
        <v>-2.509695E-2</v>
      </c>
      <c r="S3017">
        <v>2.996826</v>
      </c>
      <c r="T3017">
        <v>1.9900560000000001E-2</v>
      </c>
      <c r="U3017">
        <v>-0.17208860000000001</v>
      </c>
      <c r="V3017">
        <v>4.3960810000000003E-2</v>
      </c>
      <c r="W3017">
        <v>3.0023660000000001E-2</v>
      </c>
      <c r="X3017">
        <v>0.99858199999999997</v>
      </c>
      <c r="Y3017">
        <v>7.6211940000000006E-2</v>
      </c>
      <c r="Z3017">
        <v>3.7842060000000001E-4</v>
      </c>
      <c r="AA3017">
        <v>0.99709159999999997</v>
      </c>
      <c r="AB3017">
        <v>38</v>
      </c>
      <c r="AC3017">
        <v>213.9718</v>
      </c>
      <c r="AD3017">
        <v>1.42337</v>
      </c>
      <c r="AE3017">
        <v>-12.3163</v>
      </c>
      <c r="AF3017">
        <v>16.3630539194465</v>
      </c>
      <c r="AG3017">
        <v>1.42337</v>
      </c>
      <c r="AH3017">
        <v>213.69094789226801</v>
      </c>
      <c r="AI3017">
        <v>89.619479195302603</v>
      </c>
      <c r="AJ3017">
        <v>85.621209272853505</v>
      </c>
      <c r="AK3017">
        <v>214.32124655951401</v>
      </c>
      <c r="AL3017">
        <v>88.279512436030302</v>
      </c>
      <c r="AM3017">
        <v>87.479282018088298</v>
      </c>
      <c r="AN3017">
        <v>0.99999999184982502</v>
      </c>
    </row>
    <row r="3018" spans="1:40" x14ac:dyDescent="0.25">
      <c r="A3018" t="str">
        <f>"20190312151557809"</f>
        <v>20190312151557809</v>
      </c>
      <c r="B3018" t="str">
        <f>"1552374957800815"</f>
        <v>1552374957800815</v>
      </c>
      <c r="C3018" t="s">
        <v>40</v>
      </c>
      <c r="D3018">
        <v>4.601477</v>
      </c>
      <c r="E3018">
        <v>0.50898290000000002</v>
      </c>
      <c r="F3018" t="s">
        <v>57</v>
      </c>
      <c r="G3018">
        <v>-168.41220000000001</v>
      </c>
      <c r="H3018">
        <v>0.50475309999999995</v>
      </c>
      <c r="I3018">
        <v>201.84309999999999</v>
      </c>
      <c r="J3018">
        <v>-382.03930000000003</v>
      </c>
      <c r="K3018">
        <v>1.1098030000000001</v>
      </c>
      <c r="L3018">
        <v>212.89599999999999</v>
      </c>
      <c r="M3018">
        <v>0.99976480000000001</v>
      </c>
      <c r="N3018">
        <v>0</v>
      </c>
      <c r="O3018">
        <v>1.9543040000000001E-2</v>
      </c>
      <c r="P3018">
        <v>0.99949279999999996</v>
      </c>
      <c r="Q3018">
        <v>1.948443E-2</v>
      </c>
      <c r="R3018">
        <v>-2.5191479999999999E-2</v>
      </c>
      <c r="S3018">
        <v>2.997833</v>
      </c>
      <c r="T3018">
        <v>-8.476496E-3</v>
      </c>
      <c r="U3018">
        <v>-0.15475459999999999</v>
      </c>
      <c r="V3018">
        <v>4.4674499999999999E-2</v>
      </c>
      <c r="W3018">
        <v>2.895648E-2</v>
      </c>
      <c r="X3018">
        <v>0.99858179999999996</v>
      </c>
      <c r="Y3018">
        <v>7.1061239999999998E-2</v>
      </c>
      <c r="Z3018">
        <v>-1.5562590000000001E-4</v>
      </c>
      <c r="AA3018">
        <v>0.99747189999999997</v>
      </c>
      <c r="AB3018">
        <v>38</v>
      </c>
      <c r="AC3018">
        <v>213.62710000000001</v>
      </c>
      <c r="AD3018">
        <v>-0.60504990000000003</v>
      </c>
      <c r="AE3018">
        <v>-11.0528999999999</v>
      </c>
      <c r="AF3018">
        <v>15.2257746149937</v>
      </c>
      <c r="AG3018">
        <v>-0.60504990000000003</v>
      </c>
      <c r="AH3018">
        <v>213.368573314386</v>
      </c>
      <c r="AI3018">
        <v>90.162061286524704</v>
      </c>
      <c r="AJ3018">
        <v>85.918347393459101</v>
      </c>
      <c r="AK3018">
        <v>213.911987453309</v>
      </c>
      <c r="AL3018">
        <v>88.3406838850659</v>
      </c>
      <c r="AM3018">
        <v>87.438412513251606</v>
      </c>
      <c r="AN3018">
        <v>0.999999949987738</v>
      </c>
    </row>
    <row r="3019" spans="1:40" x14ac:dyDescent="0.25">
      <c r="A3019" t="str">
        <f>"20190312151557832"</f>
        <v>20190312151557832</v>
      </c>
      <c r="B3019" t="str">
        <f>"1552374957820339"</f>
        <v>1552374957820339</v>
      </c>
      <c r="C3019" t="s">
        <v>40</v>
      </c>
      <c r="D3019">
        <v>4.9050339999999997</v>
      </c>
      <c r="E3019">
        <v>0.50828030000000002</v>
      </c>
      <c r="F3019" t="s">
        <v>51</v>
      </c>
      <c r="G3019">
        <v>-223.97810000000001</v>
      </c>
      <c r="H3019">
        <v>8.0000710000000003E-2</v>
      </c>
      <c r="I3019">
        <v>205.10659999999999</v>
      </c>
      <c r="J3019">
        <v>-381.66500000000002</v>
      </c>
      <c r="K3019">
        <v>1.109799</v>
      </c>
      <c r="L3019">
        <v>212.90389999999999</v>
      </c>
      <c r="M3019">
        <v>0.99975159999999996</v>
      </c>
      <c r="N3019">
        <v>0</v>
      </c>
      <c r="O3019">
        <v>2.0211900000000001E-2</v>
      </c>
      <c r="P3019">
        <v>0.99953990000000004</v>
      </c>
      <c r="Q3019">
        <v>1.7809149999999999E-2</v>
      </c>
      <c r="R3019">
        <v>-2.4553729999999999E-2</v>
      </c>
      <c r="S3019">
        <v>2.998138</v>
      </c>
      <c r="T3019">
        <v>-1.953351E-2</v>
      </c>
      <c r="U3019">
        <v>-0.14775089999999999</v>
      </c>
      <c r="V3019">
        <v>4.4708650000000003E-2</v>
      </c>
      <c r="W3019">
        <v>2.7259619999999998E-2</v>
      </c>
      <c r="X3019">
        <v>0.99862810000000002</v>
      </c>
      <c r="Y3019">
        <v>6.9397459999999994E-2</v>
      </c>
      <c r="Z3019">
        <v>-3.5754930000000002E-4</v>
      </c>
      <c r="AA3019">
        <v>0.99758910000000001</v>
      </c>
      <c r="AB3019">
        <v>38</v>
      </c>
      <c r="AC3019">
        <v>157.68690000000001</v>
      </c>
      <c r="AD3019">
        <v>-1.02979829</v>
      </c>
      <c r="AE3019">
        <v>-7.7972999999999999</v>
      </c>
      <c r="AF3019">
        <v>10.9825322051706</v>
      </c>
      <c r="AG3019">
        <v>-1.02979829</v>
      </c>
      <c r="AH3019">
        <v>157.49037898098601</v>
      </c>
      <c r="AI3019">
        <v>90.373732788534497</v>
      </c>
      <c r="AJ3019">
        <v>86.010958179317697</v>
      </c>
      <c r="AK3019">
        <v>157.87620457095599</v>
      </c>
      <c r="AL3019">
        <v>88.437945350360394</v>
      </c>
      <c r="AM3019">
        <v>87.436575696989095</v>
      </c>
      <c r="AN3019">
        <v>1.0000000161884799</v>
      </c>
    </row>
    <row r="3020" spans="1:40" x14ac:dyDescent="0.25">
      <c r="A3020" t="str">
        <f>"20190312151557853"</f>
        <v>20190312151557853</v>
      </c>
      <c r="B3020" t="str">
        <f>"1552374957850591"</f>
        <v>1552374957850591</v>
      </c>
      <c r="C3020" t="s">
        <v>40</v>
      </c>
      <c r="D3020">
        <v>4.6058579999999996</v>
      </c>
      <c r="E3020">
        <v>0.50797269999999894</v>
      </c>
      <c r="F3020" t="s">
        <v>52</v>
      </c>
      <c r="G3020">
        <v>-283.21699999999998</v>
      </c>
      <c r="H3020">
        <v>7.9999509999999996E-2</v>
      </c>
      <c r="I3020">
        <v>208.30279999999999</v>
      </c>
      <c r="J3020">
        <v>-381.29079999999999</v>
      </c>
      <c r="K3020">
        <v>1.109791</v>
      </c>
      <c r="L3020">
        <v>212.91200000000001</v>
      </c>
      <c r="M3020">
        <v>0.99973809999999996</v>
      </c>
      <c r="N3020">
        <v>0</v>
      </c>
      <c r="O3020">
        <v>2.0880039999999999E-2</v>
      </c>
      <c r="P3020">
        <v>0.99958880000000006</v>
      </c>
      <c r="Q3020">
        <v>1.507557E-2</v>
      </c>
      <c r="R3020">
        <v>-2.4387840000000001E-2</v>
      </c>
      <c r="S3020">
        <v>2.9985050000000002</v>
      </c>
      <c r="T3020">
        <v>-3.136539E-2</v>
      </c>
      <c r="U3020">
        <v>-0.1401367</v>
      </c>
      <c r="V3020">
        <v>4.521559E-2</v>
      </c>
      <c r="W3020">
        <v>2.4505369999999999E-2</v>
      </c>
      <c r="X3020">
        <v>0.99867669999999997</v>
      </c>
      <c r="Y3020">
        <v>6.7527779999999996E-2</v>
      </c>
      <c r="Z3020">
        <v>-5.7129139999999995E-4</v>
      </c>
      <c r="AA3020">
        <v>0.99771719999999997</v>
      </c>
      <c r="AB3020">
        <v>38</v>
      </c>
      <c r="AC3020">
        <v>98.073800000000006</v>
      </c>
      <c r="AD3020">
        <v>-1.02979149</v>
      </c>
      <c r="AE3020">
        <v>-4.6092000000000102</v>
      </c>
      <c r="AF3020">
        <v>6.6553376192387796</v>
      </c>
      <c r="AG3020">
        <v>-1.02979149</v>
      </c>
      <c r="AH3020">
        <v>97.945397345489098</v>
      </c>
      <c r="AI3020">
        <v>90.600996137039502</v>
      </c>
      <c r="AJ3020">
        <v>86.112757563659699</v>
      </c>
      <c r="AK3020">
        <v>98.176651249187898</v>
      </c>
      <c r="AL3020">
        <v>88.595805240051405</v>
      </c>
      <c r="AM3020">
        <v>87.407675102053602</v>
      </c>
      <c r="AN3020">
        <v>1.00000005693038</v>
      </c>
    </row>
    <row r="3021" spans="1:40" x14ac:dyDescent="0.25">
      <c r="A3021" t="str">
        <f>"20190312151557875"</f>
        <v>20190312151557875</v>
      </c>
      <c r="B3021" t="str">
        <f>"1552374957871088"</f>
        <v>1552374957871088</v>
      </c>
      <c r="C3021" t="s">
        <v>40</v>
      </c>
      <c r="D3021">
        <v>4.6311589999999896</v>
      </c>
      <c r="E3021">
        <v>0.50731210000000004</v>
      </c>
      <c r="F3021" t="s">
        <v>52</v>
      </c>
      <c r="G3021">
        <v>-288.9624</v>
      </c>
      <c r="H3021">
        <v>3.7848529999999998E-2</v>
      </c>
      <c r="I3021">
        <v>208.6848</v>
      </c>
      <c r="J3021">
        <v>-380.90539999999999</v>
      </c>
      <c r="K3021">
        <v>1.1097840000000001</v>
      </c>
      <c r="L3021">
        <v>212.92070000000001</v>
      </c>
      <c r="M3021">
        <v>0.99972369999999999</v>
      </c>
      <c r="N3021">
        <v>0</v>
      </c>
      <c r="O3021">
        <v>2.1567969999999999E-2</v>
      </c>
      <c r="P3021">
        <v>0.99963489999999999</v>
      </c>
      <c r="Q3021">
        <v>1.248937E-2</v>
      </c>
      <c r="R3021">
        <v>-2.3966109999999999E-2</v>
      </c>
      <c r="S3021">
        <v>2.9984739999999999</v>
      </c>
      <c r="T3021">
        <v>-3.4812570000000001E-2</v>
      </c>
      <c r="U3021">
        <v>-0.1372833</v>
      </c>
      <c r="V3021">
        <v>4.548613E-2</v>
      </c>
      <c r="W3021">
        <v>2.1900639999999999E-2</v>
      </c>
      <c r="X3021">
        <v>0.99872490000000003</v>
      </c>
      <c r="Y3021">
        <v>6.7266210000000007E-2</v>
      </c>
      <c r="Z3021">
        <v>-6.4055989999999897E-4</v>
      </c>
      <c r="AA3021">
        <v>0.99773480000000003</v>
      </c>
      <c r="AB3021">
        <v>38</v>
      </c>
      <c r="AC3021">
        <v>91.942999999999898</v>
      </c>
      <c r="AD3021">
        <v>-1.0719354699999999</v>
      </c>
      <c r="AE3021">
        <v>-4.2359000000000098</v>
      </c>
      <c r="AF3021">
        <v>6.2171817715881197</v>
      </c>
      <c r="AG3021">
        <v>-1.0719354699999999</v>
      </c>
      <c r="AH3021">
        <v>91.817793073026493</v>
      </c>
      <c r="AI3021">
        <v>90.667346602153003</v>
      </c>
      <c r="AJ3021">
        <v>86.126291604395604</v>
      </c>
      <c r="AK3021">
        <v>92.034284479393506</v>
      </c>
      <c r="AL3021">
        <v>88.745085460861105</v>
      </c>
      <c r="AM3021">
        <v>87.392311387498594</v>
      </c>
      <c r="AN3021">
        <v>1.00000002596739</v>
      </c>
    </row>
    <row r="3022" spans="1:40" x14ac:dyDescent="0.25">
      <c r="A3022" t="str">
        <f>"20190312151557897"</f>
        <v>20190312151557897</v>
      </c>
      <c r="B3022" t="str">
        <f>"1552374957890607"</f>
        <v>1552374957890607</v>
      </c>
      <c r="C3022" t="s">
        <v>40</v>
      </c>
      <c r="D3022">
        <v>4.7663729999999997</v>
      </c>
      <c r="E3022">
        <v>0.50703399999999998</v>
      </c>
      <c r="F3022" t="s">
        <v>52</v>
      </c>
      <c r="G3022">
        <v>-307.72140000000002</v>
      </c>
      <c r="H3022" s="1">
        <v>1.2836179999999999E-6</v>
      </c>
      <c r="I3022">
        <v>209.72800000000001</v>
      </c>
      <c r="J3022">
        <v>-380.53980000000001</v>
      </c>
      <c r="K3022">
        <v>1.109785</v>
      </c>
      <c r="L3022">
        <v>212.92920000000001</v>
      </c>
      <c r="M3022">
        <v>0.99970970000000003</v>
      </c>
      <c r="N3022">
        <v>0</v>
      </c>
      <c r="O3022">
        <v>2.2220119999999999E-2</v>
      </c>
      <c r="P3022">
        <v>0.99965559999999998</v>
      </c>
      <c r="Q3022">
        <v>1.012184E-2</v>
      </c>
      <c r="R3022">
        <v>-2.4218449999999999E-2</v>
      </c>
      <c r="S3022">
        <v>2.998535</v>
      </c>
      <c r="T3022">
        <v>-4.5470599999999903E-2</v>
      </c>
      <c r="U3022">
        <v>-0.1308136</v>
      </c>
      <c r="V3022">
        <v>4.6394249999999998E-2</v>
      </c>
      <c r="W3022">
        <v>1.951744E-2</v>
      </c>
      <c r="X3022">
        <v>0.99873250000000002</v>
      </c>
      <c r="Y3022">
        <v>6.5763489999999994E-2</v>
      </c>
      <c r="Z3022">
        <v>-8.3516890000000005E-4</v>
      </c>
      <c r="AA3022">
        <v>0.99783489999999997</v>
      </c>
      <c r="AB3022">
        <v>38</v>
      </c>
      <c r="AC3022">
        <v>72.818399999999997</v>
      </c>
      <c r="AD3022">
        <v>-1.1097837163819999</v>
      </c>
      <c r="AE3022">
        <v>-3.20120000000002</v>
      </c>
      <c r="AF3022">
        <v>4.8173965806958696</v>
      </c>
      <c r="AG3022">
        <v>-1.1097837163819999</v>
      </c>
      <c r="AH3022">
        <v>72.712429244783195</v>
      </c>
      <c r="AI3022">
        <v>90.872504527116206</v>
      </c>
      <c r="AJ3022">
        <v>86.209537979150696</v>
      </c>
      <c r="AK3022">
        <v>72.880287433505899</v>
      </c>
      <c r="AL3022">
        <v>88.881662031498195</v>
      </c>
      <c r="AM3022">
        <v>87.340343728690797</v>
      </c>
      <c r="AN3022">
        <v>0.99999998172673199</v>
      </c>
    </row>
    <row r="3023" spans="1:40" x14ac:dyDescent="0.25">
      <c r="A3023" t="str">
        <f>"20190312151557920"</f>
        <v>20190312151557920</v>
      </c>
      <c r="B3023" t="str">
        <f>"1552374957911042"</f>
        <v>1552374957911042</v>
      </c>
      <c r="C3023" t="s">
        <v>40</v>
      </c>
      <c r="D3023">
        <v>4.9842219999999999</v>
      </c>
      <c r="E3023">
        <v>0.50713819999999998</v>
      </c>
      <c r="F3023" t="s">
        <v>51</v>
      </c>
      <c r="G3023">
        <v>-321.10410000000002</v>
      </c>
      <c r="H3023" s="1">
        <v>-9.4925340000000001E-7</v>
      </c>
      <c r="I3023">
        <v>210.36699999999999</v>
      </c>
      <c r="J3023">
        <v>-380.15269999999998</v>
      </c>
      <c r="K3023">
        <v>1.109783</v>
      </c>
      <c r="L3023">
        <v>212.9384</v>
      </c>
      <c r="M3023">
        <v>0.99969419999999998</v>
      </c>
      <c r="N3023">
        <v>0</v>
      </c>
      <c r="O3023">
        <v>2.2910529999999998E-2</v>
      </c>
      <c r="P3023">
        <v>0.99967689999999998</v>
      </c>
      <c r="Q3023">
        <v>7.415339E-3</v>
      </c>
      <c r="R3023">
        <v>-2.4316689999999998E-2</v>
      </c>
      <c r="S3023">
        <v>2.9984739999999999</v>
      </c>
      <c r="T3023">
        <v>-5.5987599999999998E-2</v>
      </c>
      <c r="U3023">
        <v>-0.12925719999999999</v>
      </c>
      <c r="V3023">
        <v>4.7187189999999997E-2</v>
      </c>
      <c r="W3023">
        <v>1.6797059999999999E-2</v>
      </c>
      <c r="X3023">
        <v>0.99874479999999999</v>
      </c>
      <c r="Y3023">
        <v>6.5931160000000003E-2</v>
      </c>
      <c r="Z3023">
        <v>-1.042788E-3</v>
      </c>
      <c r="AA3023">
        <v>0.99782369999999998</v>
      </c>
      <c r="AB3023">
        <v>38</v>
      </c>
      <c r="AC3023">
        <v>59.048599999999901</v>
      </c>
      <c r="AD3023">
        <v>-1.1097839492534001</v>
      </c>
      <c r="AE3023">
        <v>-2.5713999999999801</v>
      </c>
      <c r="AF3023">
        <v>3.92223548247589</v>
      </c>
      <c r="AG3023">
        <v>-1.1097839492534001</v>
      </c>
      <c r="AH3023">
        <v>58.953400156103299</v>
      </c>
      <c r="AI3023">
        <v>91.076073879785</v>
      </c>
      <c r="AJ3023">
        <v>86.193657372571096</v>
      </c>
      <c r="AK3023">
        <v>59.094153192677702</v>
      </c>
      <c r="AL3023">
        <v>89.037554067348793</v>
      </c>
      <c r="AM3023">
        <v>87.294986850046897</v>
      </c>
      <c r="AN3023">
        <v>0.99999997382588901</v>
      </c>
    </row>
    <row r="3024" spans="1:40" x14ac:dyDescent="0.25">
      <c r="A3024" t="str">
        <f>"20190312151557943"</f>
        <v>20190312151557943</v>
      </c>
      <c r="B3024" t="str">
        <f>"1552374957930562"</f>
        <v>1552374957930562</v>
      </c>
      <c r="C3024" t="s">
        <v>40</v>
      </c>
      <c r="D3024">
        <v>4.7287359999999996</v>
      </c>
      <c r="E3024">
        <v>0.50670999999999999</v>
      </c>
      <c r="F3024" t="s">
        <v>51</v>
      </c>
      <c r="G3024">
        <v>-326.42430000000002</v>
      </c>
      <c r="H3024" s="1">
        <v>1.881932E-6</v>
      </c>
      <c r="I3024">
        <v>210.60210000000001</v>
      </c>
      <c r="J3024">
        <v>-379.76679999999999</v>
      </c>
      <c r="K3024">
        <v>1.1097779999999999</v>
      </c>
      <c r="L3024">
        <v>212.9478</v>
      </c>
      <c r="M3024">
        <v>0.99967830000000002</v>
      </c>
      <c r="N3024">
        <v>0</v>
      </c>
      <c r="O3024">
        <v>2.3598359999999999E-2</v>
      </c>
      <c r="P3024">
        <v>0.99968789999999996</v>
      </c>
      <c r="Q3024">
        <v>4.7604750000000001E-3</v>
      </c>
      <c r="R3024">
        <v>-2.4525109999999999E-2</v>
      </c>
      <c r="S3024">
        <v>2.9982600000000001</v>
      </c>
      <c r="T3024">
        <v>-6.1930300000000001E-2</v>
      </c>
      <c r="U3024">
        <v>-0.13037109999999999</v>
      </c>
      <c r="V3024">
        <v>4.8087350000000001E-2</v>
      </c>
      <c r="W3024">
        <v>1.4130419999999999E-2</v>
      </c>
      <c r="X3024">
        <v>0.99874320000000005</v>
      </c>
      <c r="Y3024">
        <v>6.6986909999999997E-2</v>
      </c>
      <c r="Z3024">
        <v>-1.178622E-3</v>
      </c>
      <c r="AA3024">
        <v>0.99775309999999995</v>
      </c>
      <c r="AB3024">
        <v>38</v>
      </c>
      <c r="AC3024">
        <v>53.342499999999902</v>
      </c>
      <c r="AD3024">
        <v>-1.1097761180679999</v>
      </c>
      <c r="AE3024">
        <v>-2.3456999999999901</v>
      </c>
      <c r="AF3024">
        <v>3.6023404077779602</v>
      </c>
      <c r="AG3024">
        <v>-1.1097761180679999</v>
      </c>
      <c r="AH3024">
        <v>53.2492830703411</v>
      </c>
      <c r="AI3024">
        <v>91.191214948310503</v>
      </c>
      <c r="AJ3024">
        <v>86.129809004760403</v>
      </c>
      <c r="AK3024">
        <v>53.382530915563201</v>
      </c>
      <c r="AL3024">
        <v>89.190359643231801</v>
      </c>
      <c r="AM3024">
        <v>87.243459472291406</v>
      </c>
      <c r="AN3024">
        <v>1.0000000207728099</v>
      </c>
    </row>
    <row r="3025" spans="1:40" x14ac:dyDescent="0.25">
      <c r="A3025" t="str">
        <f>"20190312151557968"</f>
        <v>20190312151557968</v>
      </c>
      <c r="B3025" t="str">
        <f>"1552374957960818"</f>
        <v>1552374957960818</v>
      </c>
      <c r="C3025" t="s">
        <v>40</v>
      </c>
      <c r="D3025">
        <v>4.7713479999999997</v>
      </c>
      <c r="E3025">
        <v>0.50629749999999996</v>
      </c>
      <c r="F3025" t="s">
        <v>51</v>
      </c>
      <c r="G3025">
        <v>-336.68579999999997</v>
      </c>
      <c r="H3025" s="1">
        <v>2.1741289999999998E-6</v>
      </c>
      <c r="I3025">
        <v>211.1139</v>
      </c>
      <c r="J3025">
        <v>-379.35559999999998</v>
      </c>
      <c r="K3025">
        <v>1.109772</v>
      </c>
      <c r="L3025">
        <v>212.9581</v>
      </c>
      <c r="M3025">
        <v>0.99966069999999996</v>
      </c>
      <c r="N3025">
        <v>0</v>
      </c>
      <c r="O3025">
        <v>2.4331249999999999E-2</v>
      </c>
      <c r="P3025">
        <v>0.99969359999999996</v>
      </c>
      <c r="Q3025">
        <v>2.4829790000000002E-3</v>
      </c>
      <c r="R3025">
        <v>-2.4627739999999999E-2</v>
      </c>
      <c r="S3025">
        <v>2.9981689999999999</v>
      </c>
      <c r="T3025">
        <v>-7.7233309999999999E-2</v>
      </c>
      <c r="U3025">
        <v>-0.1276245</v>
      </c>
      <c r="V3025">
        <v>4.8926089999999998E-2</v>
      </c>
      <c r="W3025">
        <v>1.1842750000000001E-2</v>
      </c>
      <c r="X3025">
        <v>0.99873219999999996</v>
      </c>
      <c r="Y3025">
        <v>6.679649E-2</v>
      </c>
      <c r="Z3025">
        <v>-1.4862629999999901E-3</v>
      </c>
      <c r="AA3025">
        <v>0.99776549999999997</v>
      </c>
      <c r="AB3025">
        <v>38</v>
      </c>
      <c r="AC3025">
        <v>42.669800000000002</v>
      </c>
      <c r="AD3025">
        <v>-1.109769825871</v>
      </c>
      <c r="AE3025">
        <v>-1.8442000000000001</v>
      </c>
      <c r="AF3025">
        <v>2.8799639739875298</v>
      </c>
      <c r="AG3025">
        <v>-1.109769825871</v>
      </c>
      <c r="AH3025">
        <v>42.583541743418202</v>
      </c>
      <c r="AI3025">
        <v>91.489446700289406</v>
      </c>
      <c r="AJ3025">
        <v>86.130925690191503</v>
      </c>
      <c r="AK3025">
        <v>42.695243399836897</v>
      </c>
      <c r="AL3025">
        <v>89.321444552121903</v>
      </c>
      <c r="AM3025">
        <v>87.195425132003194</v>
      </c>
      <c r="AN3025">
        <v>1.00000001016354</v>
      </c>
    </row>
    <row r="3026" spans="1:40" x14ac:dyDescent="0.25">
      <c r="A3026" t="str">
        <f>"20190312151557990"</f>
        <v>20190312151557990</v>
      </c>
      <c r="B3026" t="str">
        <f>"1552374957980338"</f>
        <v>1552374957980338</v>
      </c>
      <c r="C3026" t="s">
        <v>40</v>
      </c>
      <c r="D3026">
        <v>4.7633850000000004</v>
      </c>
      <c r="E3026">
        <v>0.50644060000000002</v>
      </c>
      <c r="F3026" t="s">
        <v>51</v>
      </c>
      <c r="G3026">
        <v>-341.31580000000002</v>
      </c>
      <c r="H3026" s="1">
        <v>-8.3656689999999996E-7</v>
      </c>
      <c r="I3026">
        <v>211.374</v>
      </c>
      <c r="J3026">
        <v>-378.9769</v>
      </c>
      <c r="K3026">
        <v>1.109758</v>
      </c>
      <c r="L3026">
        <v>212.96789999999999</v>
      </c>
      <c r="M3026">
        <v>0.99964430000000004</v>
      </c>
      <c r="N3026">
        <v>0</v>
      </c>
      <c r="O3026">
        <v>2.500548E-2</v>
      </c>
      <c r="P3026">
        <v>0.99969609999999998</v>
      </c>
      <c r="Q3026">
        <v>3.969779E-4</v>
      </c>
      <c r="R3026">
        <v>-2.4655280000000002E-2</v>
      </c>
      <c r="S3026">
        <v>2.9980470000000001</v>
      </c>
      <c r="T3026">
        <v>-8.7465169999999995E-2</v>
      </c>
      <c r="U3026">
        <v>-0.1248474</v>
      </c>
      <c r="V3026">
        <v>4.9630380000000002E-2</v>
      </c>
      <c r="W3026">
        <v>9.7495610000000003E-3</v>
      </c>
      <c r="X3026">
        <v>0.99872000000000005</v>
      </c>
      <c r="Y3026">
        <v>6.6539860000000006E-2</v>
      </c>
      <c r="Z3026">
        <v>-1.6991020000000001E-3</v>
      </c>
      <c r="AA3026">
        <v>0.99778230000000001</v>
      </c>
      <c r="AB3026">
        <v>38</v>
      </c>
      <c r="AC3026">
        <v>37.661099999999898</v>
      </c>
      <c r="AD3026">
        <v>-1.10975883656689</v>
      </c>
      <c r="AE3026">
        <v>-1.5938999999999599</v>
      </c>
      <c r="AF3026">
        <v>2.53298048509332</v>
      </c>
      <c r="AG3026">
        <v>-1.10975883656689</v>
      </c>
      <c r="AH3026">
        <v>37.576895156623898</v>
      </c>
      <c r="AI3026">
        <v>91.687797195845704</v>
      </c>
      <c r="AJ3026">
        <v>86.1436442730284</v>
      </c>
      <c r="AK3026">
        <v>37.678516483867902</v>
      </c>
      <c r="AL3026">
        <v>89.441382415395694</v>
      </c>
      <c r="AM3026">
        <v>87.155084495246598</v>
      </c>
      <c r="AN3026">
        <v>0.99999993347931604</v>
      </c>
    </row>
    <row r="3027" spans="1:40" x14ac:dyDescent="0.25">
      <c r="A3027" t="str">
        <f>"20190312151558012"</f>
        <v>20190312151558012</v>
      </c>
      <c r="B3027" t="str">
        <f>"1552374958000834"</f>
        <v>1552374958000834</v>
      </c>
      <c r="C3027" t="s">
        <v>40</v>
      </c>
      <c r="D3027">
        <v>4.7176479999999996</v>
      </c>
      <c r="E3027">
        <v>0.50685909999999901</v>
      </c>
      <c r="F3027" t="s">
        <v>51</v>
      </c>
      <c r="G3027">
        <v>-344.55290000000002</v>
      </c>
      <c r="H3027" s="1">
        <v>8.860151E-7</v>
      </c>
      <c r="I3027">
        <v>211.5196</v>
      </c>
      <c r="J3027">
        <v>-378.58980000000003</v>
      </c>
      <c r="K3027">
        <v>1.1097570000000001</v>
      </c>
      <c r="L3027">
        <v>212.97819999999999</v>
      </c>
      <c r="M3027">
        <v>0.99962680000000004</v>
      </c>
      <c r="N3027">
        <v>0</v>
      </c>
      <c r="O3027">
        <v>2.5694539999999998E-2</v>
      </c>
      <c r="P3027">
        <v>0.99970380000000003</v>
      </c>
      <c r="Q3027">
        <v>-1.1842389999999999E-3</v>
      </c>
      <c r="R3027">
        <v>-2.4309919999999999E-2</v>
      </c>
      <c r="S3027">
        <v>2.997833</v>
      </c>
      <c r="T3027">
        <v>-9.6643690000000004E-2</v>
      </c>
      <c r="U3027">
        <v>-0.1261292</v>
      </c>
      <c r="V3027">
        <v>4.9976399999999997E-2</v>
      </c>
      <c r="W3027">
        <v>8.1631869999999902E-3</v>
      </c>
      <c r="X3027">
        <v>0.99871699999999997</v>
      </c>
      <c r="Y3027">
        <v>6.7646890000000001E-2</v>
      </c>
      <c r="Z3027">
        <v>-1.9174649999999999E-3</v>
      </c>
      <c r="AA3027">
        <v>0.99770749999999997</v>
      </c>
      <c r="AB3027">
        <v>38</v>
      </c>
      <c r="AC3027">
        <v>34.036900000000003</v>
      </c>
      <c r="AD3027">
        <v>-1.1097561139848999</v>
      </c>
      <c r="AE3027">
        <v>-1.4585999999999899</v>
      </c>
      <c r="AF3027">
        <v>2.33024587285743</v>
      </c>
      <c r="AG3027">
        <v>-1.1097561139848999</v>
      </c>
      <c r="AH3027">
        <v>33.952154973962799</v>
      </c>
      <c r="AI3027">
        <v>91.867705912339403</v>
      </c>
      <c r="AJ3027">
        <v>86.0737630517105</v>
      </c>
      <c r="AK3027">
        <v>34.050116473170597</v>
      </c>
      <c r="AL3027">
        <v>89.532278625074895</v>
      </c>
      <c r="AM3027">
        <v>87.135274251367903</v>
      </c>
      <c r="AN3027">
        <v>0.99999996213397702</v>
      </c>
    </row>
    <row r="3028" spans="1:40" x14ac:dyDescent="0.25">
      <c r="A3028" t="str">
        <f>"20190312151558034"</f>
        <v>20190312151558034</v>
      </c>
      <c r="B3028" t="str">
        <f>"1552374958030414"</f>
        <v>1552374958030414</v>
      </c>
      <c r="C3028" t="s">
        <v>40</v>
      </c>
      <c r="D3028">
        <v>4.7692129999999997</v>
      </c>
      <c r="E3028">
        <v>0.50753740000000003</v>
      </c>
      <c r="F3028" t="s">
        <v>51</v>
      </c>
      <c r="G3028">
        <v>-346.8304</v>
      </c>
      <c r="H3028" s="1">
        <v>2.0979799999999999E-6</v>
      </c>
      <c r="I3028">
        <v>211.61760000000001</v>
      </c>
      <c r="J3028">
        <v>-378.22210000000001</v>
      </c>
      <c r="K3028">
        <v>1.1097549999999901</v>
      </c>
      <c r="L3028">
        <v>212.98820000000001</v>
      </c>
      <c r="M3028">
        <v>0.99960990000000005</v>
      </c>
      <c r="N3028">
        <v>0</v>
      </c>
      <c r="O3028">
        <v>2.634908E-2</v>
      </c>
      <c r="P3028">
        <v>0.99970890000000001</v>
      </c>
      <c r="Q3028">
        <v>-2.8894369999999999E-3</v>
      </c>
      <c r="R3028">
        <v>-2.395574E-2</v>
      </c>
      <c r="S3028">
        <v>2.9976500000000001</v>
      </c>
      <c r="T3028">
        <v>-0.1047454</v>
      </c>
      <c r="U3028">
        <v>-0.128418</v>
      </c>
      <c r="V3028">
        <v>5.0279499999999998E-2</v>
      </c>
      <c r="W3028">
        <v>6.4542480000000001E-3</v>
      </c>
      <c r="X3028">
        <v>0.99871430000000005</v>
      </c>
      <c r="Y3028">
        <v>6.9053349999999999E-2</v>
      </c>
      <c r="Z3028">
        <v>-2.1256169999999998E-3</v>
      </c>
      <c r="AA3028">
        <v>0.99761069999999996</v>
      </c>
      <c r="AB3028">
        <v>38</v>
      </c>
      <c r="AC3028">
        <v>31.3917</v>
      </c>
      <c r="AD3028">
        <v>-1.1097529020200001</v>
      </c>
      <c r="AE3028">
        <v>-1.37059999999999</v>
      </c>
      <c r="AF3028">
        <v>2.1945645439154</v>
      </c>
      <c r="AG3028">
        <v>-1.1097529020200001</v>
      </c>
      <c r="AH3028">
        <v>31.305634599207998</v>
      </c>
      <c r="AI3028">
        <v>92.025260968523497</v>
      </c>
      <c r="AJ3028">
        <v>85.990053412904103</v>
      </c>
      <c r="AK3028">
        <v>31.402076725912298</v>
      </c>
      <c r="AL3028">
        <v>89.630196250755006</v>
      </c>
      <c r="AM3028">
        <v>87.117921509281501</v>
      </c>
      <c r="AN3028">
        <v>0.99999996923099199</v>
      </c>
    </row>
    <row r="3029" spans="1:40" x14ac:dyDescent="0.25">
      <c r="A3029" t="str">
        <f>"20190312151558055"</f>
        <v>20190312151558055</v>
      </c>
      <c r="B3029" t="str">
        <f>"1552374958050911"</f>
        <v>1552374958050911</v>
      </c>
      <c r="C3029" t="s">
        <v>40</v>
      </c>
      <c r="D3029">
        <v>4.7765810000000002</v>
      </c>
      <c r="E3029">
        <v>0.50788949999999999</v>
      </c>
      <c r="F3029" t="s">
        <v>51</v>
      </c>
      <c r="G3029">
        <v>-349.27339999999998</v>
      </c>
      <c r="H3029" s="1">
        <v>3.398034E-6</v>
      </c>
      <c r="I3029">
        <v>211.70570000000001</v>
      </c>
      <c r="J3029">
        <v>-377.85570000000001</v>
      </c>
      <c r="K3029">
        <v>1.109756</v>
      </c>
      <c r="L3029">
        <v>212.9984</v>
      </c>
      <c r="M3029">
        <v>0.99959249999999999</v>
      </c>
      <c r="N3029">
        <v>0</v>
      </c>
      <c r="O3029">
        <v>2.7001230000000001E-2</v>
      </c>
      <c r="P3029">
        <v>0.99969949999999996</v>
      </c>
      <c r="Q3029">
        <v>-4.9913199999999996E-3</v>
      </c>
      <c r="R3029">
        <v>-2.4005800000000001E-2</v>
      </c>
      <c r="S3029">
        <v>2.9973450000000001</v>
      </c>
      <c r="T3029">
        <v>-0.1149033</v>
      </c>
      <c r="U3029">
        <v>-0.13278199999999901</v>
      </c>
      <c r="V3029">
        <v>5.0984189999999999E-2</v>
      </c>
      <c r="W3029">
        <v>4.3509509999999996E-3</v>
      </c>
      <c r="X3029">
        <v>0.99868999999999997</v>
      </c>
      <c r="Y3029">
        <v>7.1144310000000002E-2</v>
      </c>
      <c r="Z3029">
        <v>-2.3968029999999999E-3</v>
      </c>
      <c r="AA3029">
        <v>0.99746319999999999</v>
      </c>
      <c r="AB3029">
        <v>38</v>
      </c>
      <c r="AC3029">
        <v>28.5823</v>
      </c>
      <c r="AD3029">
        <v>-1.109752601966</v>
      </c>
      <c r="AE3029">
        <v>-1.29269999999999</v>
      </c>
      <c r="AF3029">
        <v>2.0609184983899098</v>
      </c>
      <c r="AG3029">
        <v>-1.109752601966</v>
      </c>
      <c r="AH3029">
        <v>28.494104777077499</v>
      </c>
      <c r="AI3029">
        <v>92.224551579638401</v>
      </c>
      <c r="AJ3029">
        <v>85.863120865670396</v>
      </c>
      <c r="AK3029">
        <v>28.5900846963007</v>
      </c>
      <c r="AL3029">
        <v>89.750708088580197</v>
      </c>
      <c r="AM3029">
        <v>87.077526426392794</v>
      </c>
      <c r="AN3029">
        <v>1.00000001725228</v>
      </c>
    </row>
    <row r="3030" spans="1:40" x14ac:dyDescent="0.25">
      <c r="A3030" t="str">
        <f>"20190312151558079"</f>
        <v>20190312151558079</v>
      </c>
      <c r="B3030" t="str">
        <f>"1552374958070430"</f>
        <v>1552374958070430</v>
      </c>
      <c r="C3030" t="s">
        <v>40</v>
      </c>
      <c r="D3030">
        <v>4.7578659999999999</v>
      </c>
      <c r="E3030">
        <v>0.50822719999999999</v>
      </c>
      <c r="F3030" t="s">
        <v>51</v>
      </c>
      <c r="G3030">
        <v>-351.10700000000003</v>
      </c>
      <c r="H3030" s="1">
        <v>-8.2402719999999996E-7</v>
      </c>
      <c r="I3030">
        <v>211.78739999999999</v>
      </c>
      <c r="J3030">
        <v>-377.45440000000002</v>
      </c>
      <c r="K3030">
        <v>1.109756</v>
      </c>
      <c r="L3030">
        <v>213.00980000000001</v>
      </c>
      <c r="M3030">
        <v>0.99957300000000004</v>
      </c>
      <c r="N3030">
        <v>0</v>
      </c>
      <c r="O3030">
        <v>2.7714880000000001E-2</v>
      </c>
      <c r="P3030">
        <v>0.99968049999999997</v>
      </c>
      <c r="Q3030">
        <v>-7.4207669999999896E-3</v>
      </c>
      <c r="R3030">
        <v>-2.41719E-2</v>
      </c>
      <c r="S3030">
        <v>2.9970089999999998</v>
      </c>
      <c r="T3030">
        <v>-0.12434099999999999</v>
      </c>
      <c r="U3030">
        <v>-0.1356812</v>
      </c>
      <c r="V3030">
        <v>5.186665E-2</v>
      </c>
      <c r="W3030">
        <v>1.9219549999999999E-3</v>
      </c>
      <c r="X3030">
        <v>0.99865219999999999</v>
      </c>
      <c r="Y3030">
        <v>7.2809879999999993E-2</v>
      </c>
      <c r="Z3030">
        <v>-2.6578420000000001E-3</v>
      </c>
      <c r="AA3030">
        <v>0.99734230000000001</v>
      </c>
      <c r="AB3030">
        <v>38</v>
      </c>
      <c r="AC3030">
        <v>26.3474</v>
      </c>
      <c r="AD3030">
        <v>-1.1097568240272</v>
      </c>
      <c r="AE3030">
        <v>-1.2224000000000199</v>
      </c>
      <c r="AF3030">
        <v>1.9487268935037201</v>
      </c>
      <c r="AG3030">
        <v>-1.1097568240272</v>
      </c>
      <c r="AH3030">
        <v>26.256915600988101</v>
      </c>
      <c r="AI3030">
        <v>92.413553553329294</v>
      </c>
      <c r="AJ3030">
        <v>85.755423186656401</v>
      </c>
      <c r="AK3030">
        <v>26.352508677379301</v>
      </c>
      <c r="AL3030">
        <v>89.889880025586095</v>
      </c>
      <c r="AM3030">
        <v>87.026920430790994</v>
      </c>
      <c r="AN3030">
        <v>1.0000000299290399</v>
      </c>
    </row>
    <row r="3031" spans="1:40" x14ac:dyDescent="0.25">
      <c r="A3031" t="str">
        <f>"20190312151558099"</f>
        <v>20190312151558099</v>
      </c>
      <c r="B3031" t="str">
        <f>"1552374958090925"</f>
        <v>1552374958090925</v>
      </c>
      <c r="C3031" t="s">
        <v>40</v>
      </c>
      <c r="D3031">
        <v>4.7733040000000004</v>
      </c>
      <c r="E3031">
        <v>0.50857969999999997</v>
      </c>
      <c r="F3031" t="s">
        <v>51</v>
      </c>
      <c r="G3031">
        <v>-352.60289999999998</v>
      </c>
      <c r="H3031" s="1">
        <v>-3.1010419999999999E-8</v>
      </c>
      <c r="I3031">
        <v>211.85679999999999</v>
      </c>
      <c r="J3031">
        <v>-377.09390000000002</v>
      </c>
      <c r="K3031">
        <v>1.1097570000000001</v>
      </c>
      <c r="L3031">
        <v>213.0204</v>
      </c>
      <c r="M3031">
        <v>0.99955490000000002</v>
      </c>
      <c r="N3031">
        <v>0</v>
      </c>
      <c r="O3031">
        <v>2.8355749999999999E-2</v>
      </c>
      <c r="P3031">
        <v>0.99966290000000002</v>
      </c>
      <c r="Q3031">
        <v>-9.0280340000000008E-3</v>
      </c>
      <c r="R3031">
        <v>-2.433958E-2</v>
      </c>
      <c r="S3031">
        <v>2.996613</v>
      </c>
      <c r="T3031">
        <v>-0.1338154</v>
      </c>
      <c r="U3031">
        <v>-0.1390381</v>
      </c>
      <c r="V3031">
        <v>5.2676699999999903E-2</v>
      </c>
      <c r="W3031">
        <v>3.1596819999999998E-4</v>
      </c>
      <c r="X3031">
        <v>0.99861160000000004</v>
      </c>
      <c r="Y3031">
        <v>7.4554060000000005E-2</v>
      </c>
      <c r="Z3031">
        <v>-2.927972E-3</v>
      </c>
      <c r="AA3031">
        <v>0.9972126</v>
      </c>
      <c r="AB3031">
        <v>38</v>
      </c>
      <c r="AC3031">
        <v>24.491</v>
      </c>
      <c r="AD3031">
        <v>-1.1097570310104199</v>
      </c>
      <c r="AE3031">
        <v>-1.1636</v>
      </c>
      <c r="AF3031">
        <v>1.8538247898956</v>
      </c>
      <c r="AG3031">
        <v>-1.1097570310104199</v>
      </c>
      <c r="AH3031">
        <v>24.398172199717202</v>
      </c>
      <c r="AI3031">
        <v>92.596842901122898</v>
      </c>
      <c r="AJ3031">
        <v>85.654894347417198</v>
      </c>
      <c r="AK3031">
        <v>24.493652926963801</v>
      </c>
      <c r="AL3031">
        <v>89.981896355941501</v>
      </c>
      <c r="AM3031">
        <v>86.980449796234097</v>
      </c>
      <c r="AN3031">
        <v>1.0000000311066699</v>
      </c>
    </row>
    <row r="3032" spans="1:40" x14ac:dyDescent="0.25">
      <c r="A3032" t="str">
        <f>"20190312151558121"</f>
        <v>20190312151558121</v>
      </c>
      <c r="B3032" t="str">
        <f>"1552374958110449"</f>
        <v>1552374958110449</v>
      </c>
      <c r="C3032" t="s">
        <v>40</v>
      </c>
      <c r="D3032">
        <v>4.771776</v>
      </c>
      <c r="E3032">
        <v>0.50881309999999902</v>
      </c>
      <c r="F3032" t="s">
        <v>51</v>
      </c>
      <c r="G3032">
        <v>-353.3304</v>
      </c>
      <c r="H3032" s="1">
        <v>3.5454250000000001E-7</v>
      </c>
      <c r="I3032">
        <v>211.8922</v>
      </c>
      <c r="J3032">
        <v>-376.72919999999999</v>
      </c>
      <c r="K3032">
        <v>1.1097600000000001</v>
      </c>
      <c r="L3032">
        <v>213.03120000000001</v>
      </c>
      <c r="M3032">
        <v>0.99953630000000004</v>
      </c>
      <c r="N3032">
        <v>0</v>
      </c>
      <c r="O3032">
        <v>2.9003890000000001E-2</v>
      </c>
      <c r="P3032">
        <v>0.99966650000000001</v>
      </c>
      <c r="Q3032">
        <v>-8.5735629999999993E-3</v>
      </c>
      <c r="R3032">
        <v>-2.436263E-2</v>
      </c>
      <c r="S3032">
        <v>2.9962770000000001</v>
      </c>
      <c r="T3032">
        <v>-0.13992599999999999</v>
      </c>
      <c r="U3032">
        <v>-0.14224239999999999</v>
      </c>
      <c r="V3032">
        <v>5.3346570000000003E-2</v>
      </c>
      <c r="W3032">
        <v>7.7230140000000001E-4</v>
      </c>
      <c r="X3032">
        <v>0.99857569999999996</v>
      </c>
      <c r="Y3032">
        <v>7.6257720000000001E-2</v>
      </c>
      <c r="Z3032">
        <v>-3.1317760000000002E-3</v>
      </c>
      <c r="AA3032">
        <v>0.99708319999999995</v>
      </c>
      <c r="AB3032">
        <v>38</v>
      </c>
      <c r="AC3032">
        <v>23.398799999999898</v>
      </c>
      <c r="AD3032">
        <v>-1.1097596454575001</v>
      </c>
      <c r="AE3032">
        <v>-1.13900000000001</v>
      </c>
      <c r="AF3032">
        <v>1.8131373043263801</v>
      </c>
      <c r="AG3032">
        <v>-1.1097596454575001</v>
      </c>
      <c r="AH3032">
        <v>23.3036226617658</v>
      </c>
      <c r="AI3032">
        <v>92.718263481392597</v>
      </c>
      <c r="AJ3032">
        <v>85.551067396187705</v>
      </c>
      <c r="AK3032">
        <v>23.400381674600801</v>
      </c>
      <c r="AL3032">
        <v>89.955750382249803</v>
      </c>
      <c r="AM3032">
        <v>86.942013991187196</v>
      </c>
      <c r="AN3032">
        <v>0.99999994080535104</v>
      </c>
    </row>
    <row r="3033" spans="1:40" x14ac:dyDescent="0.25">
      <c r="A3033" t="str">
        <f>"20190312151558144"</f>
        <v>20190312151558144</v>
      </c>
      <c r="B3033" t="str">
        <f>"1552374958140702"</f>
        <v>1552374958140702</v>
      </c>
      <c r="C3033" t="s">
        <v>40</v>
      </c>
      <c r="D3033">
        <v>4.8093029999999999</v>
      </c>
      <c r="E3033">
        <v>0.50922319999999999</v>
      </c>
      <c r="F3033" t="s">
        <v>51</v>
      </c>
      <c r="G3033">
        <v>-352.98079999999999</v>
      </c>
      <c r="H3033" s="1">
        <v>1.6864710000000001E-7</v>
      </c>
      <c r="I3033">
        <v>211.88919999999999</v>
      </c>
      <c r="J3033">
        <v>-376.3329</v>
      </c>
      <c r="K3033">
        <v>1.1097669999999999</v>
      </c>
      <c r="L3033">
        <v>213.04329999999999</v>
      </c>
      <c r="M3033">
        <v>0.99951570000000001</v>
      </c>
      <c r="N3033">
        <v>0</v>
      </c>
      <c r="O3033">
        <v>2.9708120000000001E-2</v>
      </c>
      <c r="P3033">
        <v>0.99969799999999998</v>
      </c>
      <c r="Q3033">
        <v>-7.1599510000000003E-3</v>
      </c>
      <c r="R3033">
        <v>-2.351661E-2</v>
      </c>
      <c r="S3033">
        <v>2.9962770000000001</v>
      </c>
      <c r="T3033">
        <v>-0.14001569999999999</v>
      </c>
      <c r="U3033">
        <v>-0.14408869999999999</v>
      </c>
      <c r="V3033">
        <v>5.3202970000000002E-2</v>
      </c>
      <c r="W3033">
        <v>2.1885059999999998E-3</v>
      </c>
      <c r="X3033">
        <v>0.99858130000000001</v>
      </c>
      <c r="Y3033">
        <v>7.7570799999999995E-2</v>
      </c>
      <c r="Z3033">
        <v>-3.197259E-3</v>
      </c>
      <c r="AA3033">
        <v>0.99698169999999997</v>
      </c>
      <c r="AB3033">
        <v>38</v>
      </c>
      <c r="AC3033">
        <v>23.3521</v>
      </c>
      <c r="AD3033">
        <v>-1.1097668313529001</v>
      </c>
      <c r="AE3033">
        <v>-1.1540999999999899</v>
      </c>
      <c r="AF3033">
        <v>1.84321462989792</v>
      </c>
      <c r="AG3033">
        <v>-1.1097668313529001</v>
      </c>
      <c r="AH3033">
        <v>23.2551115964893</v>
      </c>
      <c r="AI3033">
        <v>92.723633962087504</v>
      </c>
      <c r="AJ3033">
        <v>85.468174995830395</v>
      </c>
      <c r="AK3033">
        <v>23.354426517408001</v>
      </c>
      <c r="AL3033">
        <v>89.874607740049797</v>
      </c>
      <c r="AM3033">
        <v>86.950247085895001</v>
      </c>
      <c r="AN3033">
        <v>0.99999997914251104</v>
      </c>
    </row>
    <row r="3034" spans="1:40" x14ac:dyDescent="0.25">
      <c r="A3034" t="str">
        <f>"20190312151558168"</f>
        <v>20190312151558168</v>
      </c>
      <c r="B3034" t="str">
        <f>"1552374958160221"</f>
        <v>1552374958160221</v>
      </c>
      <c r="C3034" t="s">
        <v>40</v>
      </c>
      <c r="D3034">
        <v>4.8000350000000003</v>
      </c>
      <c r="E3034">
        <v>0.50943919999999998</v>
      </c>
      <c r="F3034" t="s">
        <v>51</v>
      </c>
      <c r="G3034">
        <v>-352.27629999999999</v>
      </c>
      <c r="H3034" s="1">
        <v>-2.0587500000000001E-7</v>
      </c>
      <c r="I3034">
        <v>211.88040000000001</v>
      </c>
      <c r="J3034">
        <v>-375.91719999999998</v>
      </c>
      <c r="K3034">
        <v>1.109769</v>
      </c>
      <c r="L3034">
        <v>213.05629999999999</v>
      </c>
      <c r="M3034">
        <v>0.99949339999999998</v>
      </c>
      <c r="N3034">
        <v>0</v>
      </c>
      <c r="O3034">
        <v>3.0446129999999998E-2</v>
      </c>
      <c r="P3034">
        <v>0.99971019999999999</v>
      </c>
      <c r="Q3034">
        <v>-6.9709289999999998E-3</v>
      </c>
      <c r="R3034">
        <v>-2.3042179999999999E-2</v>
      </c>
      <c r="S3034">
        <v>2.996521</v>
      </c>
      <c r="T3034">
        <v>-0.13823379999999999</v>
      </c>
      <c r="U3034">
        <v>-0.1448517</v>
      </c>
      <c r="V3034">
        <v>5.3466199999999901E-2</v>
      </c>
      <c r="W3034">
        <v>2.3816250000000001E-3</v>
      </c>
      <c r="X3034">
        <v>0.99856679999999998</v>
      </c>
      <c r="Y3034">
        <v>7.8557420000000003E-2</v>
      </c>
      <c r="Z3034">
        <v>-3.2130800000000001E-3</v>
      </c>
      <c r="AA3034">
        <v>0.99690440000000002</v>
      </c>
      <c r="AB3034">
        <v>39</v>
      </c>
      <c r="AC3034">
        <v>23.640899999999899</v>
      </c>
      <c r="AD3034">
        <v>-1.1097692058749999</v>
      </c>
      <c r="AE3034">
        <v>-1.17589999999998</v>
      </c>
      <c r="AF3034">
        <v>1.89100290153262</v>
      </c>
      <c r="AG3034">
        <v>-1.1097692058749999</v>
      </c>
      <c r="AH3034">
        <v>23.542385696832</v>
      </c>
      <c r="AI3034">
        <v>92.690227563138706</v>
      </c>
      <c r="AJ3034">
        <v>85.407671369821202</v>
      </c>
      <c r="AK3034">
        <v>23.6442678880593</v>
      </c>
      <c r="AL3034">
        <v>89.863542807437796</v>
      </c>
      <c r="AM3034">
        <v>86.935142234412396</v>
      </c>
      <c r="AN3034">
        <v>0.99999998037116</v>
      </c>
    </row>
    <row r="3035" spans="1:40" x14ac:dyDescent="0.25">
      <c r="A3035" t="str">
        <f>"20190312151558190"</f>
        <v>20190312151558190</v>
      </c>
      <c r="B3035" t="str">
        <f>"1552374958180718"</f>
        <v>1552374958180718</v>
      </c>
      <c r="C3035" t="s">
        <v>40</v>
      </c>
      <c r="D3035">
        <v>4.8025549999999999</v>
      </c>
      <c r="E3035">
        <v>0.50959319999999997</v>
      </c>
      <c r="F3035" t="s">
        <v>51</v>
      </c>
      <c r="G3035">
        <v>-351.55829999999997</v>
      </c>
      <c r="H3035" s="1">
        <v>-5.87953E-7</v>
      </c>
      <c r="I3035">
        <v>211.87989999999999</v>
      </c>
      <c r="J3035">
        <v>-375.54480000000001</v>
      </c>
      <c r="K3035">
        <v>1.109772</v>
      </c>
      <c r="L3035">
        <v>213.06819999999999</v>
      </c>
      <c r="M3035">
        <v>0.99947299999999994</v>
      </c>
      <c r="N3035">
        <v>0</v>
      </c>
      <c r="O3035">
        <v>3.1107490000000002E-2</v>
      </c>
      <c r="P3035">
        <v>0.9997241</v>
      </c>
      <c r="Q3035">
        <v>-6.8221690000000003E-3</v>
      </c>
      <c r="R3035">
        <v>-2.2479289999999999E-2</v>
      </c>
      <c r="S3035">
        <v>2.9965820000000001</v>
      </c>
      <c r="T3035">
        <v>-0.13652110000000001</v>
      </c>
      <c r="U3035">
        <v>-0.14471439999999999</v>
      </c>
      <c r="V3035">
        <v>5.356437E-2</v>
      </c>
      <c r="W3035">
        <v>2.5346890000000001E-3</v>
      </c>
      <c r="X3035">
        <v>0.99856120000000004</v>
      </c>
      <c r="Y3035">
        <v>7.9172049999999994E-2</v>
      </c>
      <c r="Z3035">
        <v>-3.2173359999999999E-3</v>
      </c>
      <c r="AA3035">
        <v>0.99685579999999996</v>
      </c>
      <c r="AB3035">
        <v>39</v>
      </c>
      <c r="AC3035">
        <v>23.986499999999999</v>
      </c>
      <c r="AD3035">
        <v>-1.109772587953</v>
      </c>
      <c r="AE3035">
        <v>-1.1882999999999899</v>
      </c>
      <c r="AF3035">
        <v>1.9297959843296399</v>
      </c>
      <c r="AG3035">
        <v>-1.109772587953</v>
      </c>
      <c r="AH3035">
        <v>23.886916993888399</v>
      </c>
      <c r="AI3035">
        <v>92.651390457424895</v>
      </c>
      <c r="AJ3035">
        <v>85.381172573386493</v>
      </c>
      <c r="AK3035">
        <v>23.990425407045699</v>
      </c>
      <c r="AL3035">
        <v>89.854772865068298</v>
      </c>
      <c r="AM3035">
        <v>86.929508380032701</v>
      </c>
      <c r="AN3035">
        <v>1.0000000182636299</v>
      </c>
    </row>
    <row r="3036" spans="1:40" x14ac:dyDescent="0.25">
      <c r="A3036" t="str">
        <f>"20190312151558211"</f>
        <v>20190312151558211</v>
      </c>
      <c r="B3036" t="str">
        <f>"1552374958200238"</f>
        <v>1552374958200238</v>
      </c>
      <c r="C3036" t="s">
        <v>40</v>
      </c>
      <c r="D3036">
        <v>4.7927249999999999</v>
      </c>
      <c r="E3036">
        <v>0.50976129999999997</v>
      </c>
      <c r="F3036" t="s">
        <v>51</v>
      </c>
      <c r="G3036">
        <v>-350.94209999999998</v>
      </c>
      <c r="H3036" s="1">
        <v>-9.1599940000000004E-7</v>
      </c>
      <c r="I3036">
        <v>211.8837</v>
      </c>
      <c r="J3036">
        <v>-375.17090000000002</v>
      </c>
      <c r="K3036">
        <v>1.109775</v>
      </c>
      <c r="L3036">
        <v>213.0804</v>
      </c>
      <c r="M3036">
        <v>0.99945189999999995</v>
      </c>
      <c r="N3036">
        <v>0</v>
      </c>
      <c r="O3036">
        <v>3.1771170000000001E-2</v>
      </c>
      <c r="P3036">
        <v>0.99973460000000003</v>
      </c>
      <c r="Q3036">
        <v>-5.3115640000000004E-3</v>
      </c>
      <c r="R3036">
        <v>-2.2419419999999999E-2</v>
      </c>
      <c r="S3036">
        <v>2.9966740000000001</v>
      </c>
      <c r="T3036">
        <v>-0.1351734</v>
      </c>
      <c r="U3036">
        <v>-0.14427190000000001</v>
      </c>
      <c r="V3036">
        <v>5.4165329999999998E-2</v>
      </c>
      <c r="W3036">
        <v>4.0505460000000004E-3</v>
      </c>
      <c r="X3036">
        <v>0.99852379999999996</v>
      </c>
      <c r="Y3036">
        <v>7.9686690000000004E-2</v>
      </c>
      <c r="Z3036">
        <v>-3.2270229999999999E-3</v>
      </c>
      <c r="AA3036">
        <v>0.99681470000000005</v>
      </c>
      <c r="AB3036">
        <v>39</v>
      </c>
      <c r="AC3036">
        <v>24.2288</v>
      </c>
      <c r="AD3036">
        <v>-1.1097759159993901</v>
      </c>
      <c r="AE3036">
        <v>-1.1966999999999901</v>
      </c>
      <c r="AF3036">
        <v>1.9618005786481501</v>
      </c>
      <c r="AG3036">
        <v>-1.1097759159993901</v>
      </c>
      <c r="AH3036">
        <v>24.1280476830363</v>
      </c>
      <c r="AI3036">
        <v>92.624828569236499</v>
      </c>
      <c r="AJ3036">
        <v>85.351626650714707</v>
      </c>
      <c r="AK3036">
        <v>24.2330961515237</v>
      </c>
      <c r="AL3036">
        <v>89.767920182868295</v>
      </c>
      <c r="AM3036">
        <v>86.895010274669005</v>
      </c>
      <c r="AN3036">
        <v>1.00000003453167</v>
      </c>
    </row>
    <row r="3037" spans="1:40" x14ac:dyDescent="0.25">
      <c r="A3037" t="str">
        <f>"20190312151558234"</f>
        <v>20190312151558234</v>
      </c>
      <c r="B3037" t="str">
        <f>"1552374958230494"</f>
        <v>1552374958230494</v>
      </c>
      <c r="C3037" t="s">
        <v>40</v>
      </c>
      <c r="D3037">
        <v>4.7880900000000004</v>
      </c>
      <c r="E3037">
        <v>0.51001160000000001</v>
      </c>
      <c r="F3037" t="s">
        <v>51</v>
      </c>
      <c r="G3037">
        <v>-349.5849</v>
      </c>
      <c r="H3037" s="1">
        <v>3.563826E-6</v>
      </c>
      <c r="I3037">
        <v>211.83860000000001</v>
      </c>
      <c r="J3037">
        <v>-374.77670000000001</v>
      </c>
      <c r="K3037">
        <v>1.1097779999999999</v>
      </c>
      <c r="L3037">
        <v>213.09350000000001</v>
      </c>
      <c r="M3037">
        <v>0.99942960000000003</v>
      </c>
      <c r="N3037">
        <v>0</v>
      </c>
      <c r="O3037">
        <v>3.2470550000000001E-2</v>
      </c>
      <c r="P3037">
        <v>0.99973290000000004</v>
      </c>
      <c r="Q3037">
        <v>-4.460716E-3</v>
      </c>
      <c r="R3037">
        <v>-2.2684090000000001E-2</v>
      </c>
      <c r="S3037">
        <v>2.996826</v>
      </c>
      <c r="T3037">
        <v>-0.12998499999999999</v>
      </c>
      <c r="U3037">
        <v>-0.14544679999999999</v>
      </c>
      <c r="V3037">
        <v>5.5127160000000001E-2</v>
      </c>
      <c r="W3037">
        <v>4.9083679999999998E-3</v>
      </c>
      <c r="X3037">
        <v>0.99846729999999995</v>
      </c>
      <c r="Y3037">
        <v>8.0778489999999994E-2</v>
      </c>
      <c r="Z3037">
        <v>-3.157048E-3</v>
      </c>
      <c r="AA3037">
        <v>0.99672700000000003</v>
      </c>
      <c r="AB3037">
        <v>39</v>
      </c>
      <c r="AC3037">
        <v>25.191800000000001</v>
      </c>
      <c r="AD3037">
        <v>-1.1097744361740001</v>
      </c>
      <c r="AE3037">
        <v>-1.2548999999999899</v>
      </c>
      <c r="AF3037">
        <v>2.0682611877876398</v>
      </c>
      <c r="AG3037">
        <v>-1.1097744361740001</v>
      </c>
      <c r="AH3037">
        <v>25.089196729213999</v>
      </c>
      <c r="AI3037">
        <v>92.524171223871505</v>
      </c>
      <c r="AJ3037">
        <v>85.287402402149297</v>
      </c>
      <c r="AK3037">
        <v>25.198751876973901</v>
      </c>
      <c r="AL3037">
        <v>89.718770106389698</v>
      </c>
      <c r="AM3037">
        <v>86.839806358794306</v>
      </c>
      <c r="AN3037">
        <v>1.0000000225076799</v>
      </c>
    </row>
    <row r="3038" spans="1:40" x14ac:dyDescent="0.25">
      <c r="A3038" t="str">
        <f>"20190312151558255"</f>
        <v>20190312151558255</v>
      </c>
      <c r="B3038" t="str">
        <f>"1552374958250990"</f>
        <v>1552374958250990</v>
      </c>
      <c r="C3038" t="s">
        <v>40</v>
      </c>
      <c r="D3038">
        <v>4.7662559999999896</v>
      </c>
      <c r="E3038">
        <v>0.51017259999999998</v>
      </c>
      <c r="F3038" t="s">
        <v>51</v>
      </c>
      <c r="G3038">
        <v>-348.29829999999998</v>
      </c>
      <c r="H3038" s="1">
        <v>2.8791469999999999E-6</v>
      </c>
      <c r="I3038">
        <v>211.78440000000001</v>
      </c>
      <c r="J3038">
        <v>-374.3913</v>
      </c>
      <c r="K3038">
        <v>1.1097790000000001</v>
      </c>
      <c r="L3038">
        <v>213.10659999999999</v>
      </c>
      <c r="M3038">
        <v>0.99940700000000005</v>
      </c>
      <c r="N3038">
        <v>0</v>
      </c>
      <c r="O3038">
        <v>3.3153960000000003E-2</v>
      </c>
      <c r="P3038">
        <v>0.99972760000000005</v>
      </c>
      <c r="Q3038">
        <v>-4.5619550000000004E-3</v>
      </c>
      <c r="R3038">
        <v>-2.2893199999999999E-2</v>
      </c>
      <c r="S3038">
        <v>2.9968870000000001</v>
      </c>
      <c r="T3038">
        <v>-0.125607</v>
      </c>
      <c r="U3038">
        <v>-0.14816279999999901</v>
      </c>
      <c r="V3038">
        <v>5.6018800000000001E-2</v>
      </c>
      <c r="W3038">
        <v>4.813955E-3</v>
      </c>
      <c r="X3038">
        <v>0.99841809999999998</v>
      </c>
      <c r="Y3038">
        <v>8.2365229999999998E-2</v>
      </c>
      <c r="Z3038">
        <v>-3.1125200000000001E-3</v>
      </c>
      <c r="AA3038">
        <v>0.99659730000000002</v>
      </c>
      <c r="AB3038">
        <v>39</v>
      </c>
      <c r="AC3038">
        <v>26.093</v>
      </c>
      <c r="AD3038">
        <v>-1.1097761208529999</v>
      </c>
      <c r="AE3038">
        <v>-1.3221999999999801</v>
      </c>
      <c r="AF3038">
        <v>2.1826585726729002</v>
      </c>
      <c r="AG3038">
        <v>-1.1097761208529999</v>
      </c>
      <c r="AH3038">
        <v>25.987926193995001</v>
      </c>
      <c r="AI3038">
        <v>92.436677716646997</v>
      </c>
      <c r="AJ3038">
        <v>85.199143037296807</v>
      </c>
      <c r="AK3038">
        <v>26.103024908002698</v>
      </c>
      <c r="AL3038">
        <v>89.724179627999206</v>
      </c>
      <c r="AM3038">
        <v>86.788640835180203</v>
      </c>
      <c r="AN3038">
        <v>0.99999999126189598</v>
      </c>
    </row>
    <row r="3039" spans="1:40" x14ac:dyDescent="0.25">
      <c r="A3039" t="str">
        <f>"20190312151558278"</f>
        <v>20190312151558278</v>
      </c>
      <c r="B3039" t="str">
        <f>"1552374958270509"</f>
        <v>1552374958270509</v>
      </c>
      <c r="C3039" t="s">
        <v>40</v>
      </c>
      <c r="D3039">
        <v>4.7568919999999997</v>
      </c>
      <c r="E3039">
        <v>0.51030679999999995</v>
      </c>
      <c r="F3039" t="s">
        <v>51</v>
      </c>
      <c r="G3039">
        <v>-347.71390000000002</v>
      </c>
      <c r="H3039" s="1">
        <v>2.568162E-6</v>
      </c>
      <c r="I3039">
        <v>211.77109999999999</v>
      </c>
      <c r="J3039">
        <v>-374.01089999999999</v>
      </c>
      <c r="K3039">
        <v>1.1097680000000001</v>
      </c>
      <c r="L3039">
        <v>213.1198</v>
      </c>
      <c r="M3039">
        <v>0.99938439999999995</v>
      </c>
      <c r="N3039">
        <v>0</v>
      </c>
      <c r="O3039">
        <v>3.3828129999999998E-2</v>
      </c>
      <c r="P3039">
        <v>0.99972439999999996</v>
      </c>
      <c r="Q3039">
        <v>-4.5803049999999998E-3</v>
      </c>
      <c r="R3039">
        <v>-2.3028980000000001E-2</v>
      </c>
      <c r="S3039">
        <v>2.996826</v>
      </c>
      <c r="T3039">
        <v>-0.1246678</v>
      </c>
      <c r="U3039">
        <v>-0.1500244</v>
      </c>
      <c r="V3039">
        <v>5.6827929999999999E-2</v>
      </c>
      <c r="W3039">
        <v>4.8029869999999999E-3</v>
      </c>
      <c r="X3039">
        <v>0.99837240000000005</v>
      </c>
      <c r="Y3039">
        <v>8.3655770000000004E-2</v>
      </c>
      <c r="Z3039">
        <v>-3.1441160000000002E-3</v>
      </c>
      <c r="AA3039">
        <v>0.99648979999999998</v>
      </c>
      <c r="AB3039">
        <v>39</v>
      </c>
      <c r="AC3039">
        <v>26.296999999999901</v>
      </c>
      <c r="AD3039">
        <v>-1.1097654318379999</v>
      </c>
      <c r="AE3039">
        <v>-1.3487</v>
      </c>
      <c r="AF3039">
        <v>2.2335773891961601</v>
      </c>
      <c r="AG3039">
        <v>-1.1097654318379999</v>
      </c>
      <c r="AH3039">
        <v>26.189801859778601</v>
      </c>
      <c r="AI3039">
        <v>92.417631317121106</v>
      </c>
      <c r="AJ3039">
        <v>85.125368446534196</v>
      </c>
      <c r="AK3039">
        <v>26.308290874203401</v>
      </c>
      <c r="AL3039">
        <v>89.724808048344201</v>
      </c>
      <c r="AM3039">
        <v>86.7422066762757</v>
      </c>
      <c r="AN3039">
        <v>0.99999996569698302</v>
      </c>
    </row>
    <row r="3040" spans="1:40" x14ac:dyDescent="0.25">
      <c r="A3040" t="str">
        <f>"20190312151558300"</f>
        <v>20190312151558300</v>
      </c>
      <c r="B3040" t="str">
        <f>"1552374958291009"</f>
        <v>1552374958291009</v>
      </c>
      <c r="C3040" t="s">
        <v>40</v>
      </c>
      <c r="D3040">
        <v>4.7001350000000004</v>
      </c>
      <c r="E3040">
        <v>0.51041619999999999</v>
      </c>
      <c r="F3040" t="s">
        <v>51</v>
      </c>
      <c r="G3040">
        <v>-347.13479999999998</v>
      </c>
      <c r="H3040" s="1">
        <v>2.259986E-6</v>
      </c>
      <c r="I3040">
        <v>211.7603</v>
      </c>
      <c r="J3040">
        <v>-373.61849999999998</v>
      </c>
      <c r="K3040">
        <v>1.1097619999999999</v>
      </c>
      <c r="L3040">
        <v>213.1337</v>
      </c>
      <c r="M3040">
        <v>0.99936049999999998</v>
      </c>
      <c r="N3040">
        <v>0</v>
      </c>
      <c r="O3040">
        <v>3.4523329999999998E-2</v>
      </c>
      <c r="P3040">
        <v>0.99972570000000005</v>
      </c>
      <c r="Q3040">
        <v>-4.5619809999999997E-3</v>
      </c>
      <c r="R3040">
        <v>-2.297832E-2</v>
      </c>
      <c r="S3040">
        <v>2.9967649999999999</v>
      </c>
      <c r="T3040">
        <v>-0.123742</v>
      </c>
      <c r="U3040">
        <v>-0.15158079999999999</v>
      </c>
      <c r="V3040">
        <v>5.7471670000000002E-2</v>
      </c>
      <c r="W3040">
        <v>4.82826E-3</v>
      </c>
      <c r="X3040">
        <v>0.99833550000000004</v>
      </c>
      <c r="Y3040">
        <v>8.486602E-2</v>
      </c>
      <c r="Z3040">
        <v>-3.1744500000000001E-3</v>
      </c>
      <c r="AA3040">
        <v>0.99638729999999998</v>
      </c>
      <c r="AB3040">
        <v>39</v>
      </c>
      <c r="AC3040">
        <v>26.483699999999999</v>
      </c>
      <c r="AD3040">
        <v>-1.109759740014</v>
      </c>
      <c r="AE3040">
        <v>-1.3734</v>
      </c>
      <c r="AF3040">
        <v>2.2829285503958201</v>
      </c>
      <c r="AG3040">
        <v>-1.109759740014</v>
      </c>
      <c r="AH3040">
        <v>26.3743085631565</v>
      </c>
      <c r="AI3040">
        <v>92.400465195480606</v>
      </c>
      <c r="AJ3040">
        <v>85.0528767003768</v>
      </c>
      <c r="AK3040">
        <v>26.4961786231781</v>
      </c>
      <c r="AL3040">
        <v>89.723360015202303</v>
      </c>
      <c r="AM3040">
        <v>86.705262117283596</v>
      </c>
      <c r="AN3040">
        <v>1.0000000377537299</v>
      </c>
    </row>
    <row r="3041" spans="1:40" x14ac:dyDescent="0.25">
      <c r="A3041" t="str">
        <f>"20190312151558322"</f>
        <v>20190312151558322</v>
      </c>
      <c r="B3041" t="str">
        <f>"1552374958310526"</f>
        <v>1552374958310526</v>
      </c>
      <c r="C3041" t="s">
        <v>40</v>
      </c>
      <c r="D3041">
        <v>4.7084510000000002</v>
      </c>
      <c r="E3041">
        <v>0.51053970000000004</v>
      </c>
      <c r="F3041" t="s">
        <v>51</v>
      </c>
      <c r="G3041">
        <v>-346.49090000000001</v>
      </c>
      <c r="H3041" s="1">
        <v>1.917338E-6</v>
      </c>
      <c r="I3041">
        <v>211.75530000000001</v>
      </c>
      <c r="J3041">
        <v>-373.24020000000002</v>
      </c>
      <c r="K3041">
        <v>1.1097669999999999</v>
      </c>
      <c r="L3041">
        <v>213.1473</v>
      </c>
      <c r="M3041">
        <v>0.99933709999999998</v>
      </c>
      <c r="N3041">
        <v>0</v>
      </c>
      <c r="O3041">
        <v>3.5193740000000001E-2</v>
      </c>
      <c r="P3041">
        <v>0.99972709999999998</v>
      </c>
      <c r="Q3041">
        <v>-5.0266770000000002E-3</v>
      </c>
      <c r="R3041">
        <v>-2.281497E-2</v>
      </c>
      <c r="S3041">
        <v>2.9967350000000001</v>
      </c>
      <c r="T3041">
        <v>-0.1225929</v>
      </c>
      <c r="U3041">
        <v>-0.1522675</v>
      </c>
      <c r="V3041">
        <v>5.7979129999999997E-2</v>
      </c>
      <c r="W3041">
        <v>4.3714540000000003E-3</v>
      </c>
      <c r="X3041">
        <v>0.99830819999999998</v>
      </c>
      <c r="Y3041">
        <v>8.5763210000000006E-2</v>
      </c>
      <c r="Z3041">
        <v>-3.190741E-3</v>
      </c>
      <c r="AA3041">
        <v>0.99631040000000004</v>
      </c>
      <c r="AB3041">
        <v>39</v>
      </c>
      <c r="AC3041">
        <v>26.749300000000002</v>
      </c>
      <c r="AD3041">
        <v>-1.109765082662</v>
      </c>
      <c r="AE3041">
        <v>-1.3919999999999899</v>
      </c>
      <c r="AF3041">
        <v>2.3285891459582602</v>
      </c>
      <c r="AG3041">
        <v>-1.109765082662</v>
      </c>
      <c r="AH3041">
        <v>26.6380096442598</v>
      </c>
      <c r="AI3041">
        <v>92.376565086394706</v>
      </c>
      <c r="AJ3041">
        <v>85.004129804140405</v>
      </c>
      <c r="AK3041">
        <v>26.762613171307599</v>
      </c>
      <c r="AL3041">
        <v>89.749533331642695</v>
      </c>
      <c r="AM3041">
        <v>86.676144682670497</v>
      </c>
      <c r="AN3041">
        <v>0.99999997565643495</v>
      </c>
    </row>
    <row r="3042" spans="1:40" x14ac:dyDescent="0.25">
      <c r="A3042" t="str">
        <f>"20190312151558345"</f>
        <v>20190312151558345</v>
      </c>
      <c r="B3042" t="str">
        <f>"1552374958340782"</f>
        <v>1552374958340782</v>
      </c>
      <c r="C3042" t="s">
        <v>40</v>
      </c>
      <c r="D3042">
        <v>4.6620189999999999</v>
      </c>
      <c r="E3042">
        <v>0.51068049999999998</v>
      </c>
      <c r="F3042" t="s">
        <v>51</v>
      </c>
      <c r="G3042">
        <v>-346.4409</v>
      </c>
      <c r="H3042" s="1">
        <v>1.8907420000000001E-6</v>
      </c>
      <c r="I3042">
        <v>211.7834</v>
      </c>
      <c r="J3042">
        <v>-372.83580000000001</v>
      </c>
      <c r="K3042">
        <v>1.109766</v>
      </c>
      <c r="L3042">
        <v>213.16210000000001</v>
      </c>
      <c r="M3042">
        <v>0.99931159999999997</v>
      </c>
      <c r="N3042">
        <v>0</v>
      </c>
      <c r="O3042">
        <v>3.5909910000000003E-2</v>
      </c>
      <c r="P3042">
        <v>0.99973889999999999</v>
      </c>
      <c r="Q3042">
        <v>-5.0474750000000001E-3</v>
      </c>
      <c r="R3042">
        <v>-2.2289349999999999E-2</v>
      </c>
      <c r="S3042">
        <v>2.9966740000000001</v>
      </c>
      <c r="T3042">
        <v>-0.1240928</v>
      </c>
      <c r="U3042">
        <v>-0.1525116</v>
      </c>
      <c r="V3042">
        <v>5.8169760000000001E-2</v>
      </c>
      <c r="W3042">
        <v>4.360488E-3</v>
      </c>
      <c r="X3042">
        <v>0.9982972</v>
      </c>
      <c r="Y3042">
        <v>8.6555389999999996E-2</v>
      </c>
      <c r="Z3042">
        <v>-3.275816E-3</v>
      </c>
      <c r="AA3042">
        <v>0.99624159999999995</v>
      </c>
      <c r="AB3042">
        <v>39</v>
      </c>
      <c r="AC3042">
        <v>26.3949</v>
      </c>
      <c r="AD3042">
        <v>-1.109764109258</v>
      </c>
      <c r="AE3042">
        <v>-1.3787</v>
      </c>
      <c r="AF3042">
        <v>2.3215974870870699</v>
      </c>
      <c r="AG3042">
        <v>-1.109764109258</v>
      </c>
      <c r="AH3042">
        <v>26.282029799227601</v>
      </c>
      <c r="AI3042">
        <v>92.408522378740599</v>
      </c>
      <c r="AJ3042">
        <v>84.951935796494496</v>
      </c>
      <c r="AK3042">
        <v>26.407697393709601</v>
      </c>
      <c r="AL3042">
        <v>89.750161653538996</v>
      </c>
      <c r="AM3042">
        <v>86.665204116314698</v>
      </c>
      <c r="AN3042">
        <v>1.00000001718094</v>
      </c>
    </row>
    <row r="3043" spans="1:40" x14ac:dyDescent="0.25">
      <c r="A3043" t="str">
        <f>"20190312151558369"</f>
        <v>20190312151558369</v>
      </c>
      <c r="B3043" t="str">
        <f>"1552374958360301"</f>
        <v>1552374958360301</v>
      </c>
      <c r="C3043" t="s">
        <v>40</v>
      </c>
      <c r="D3043">
        <v>4.656339</v>
      </c>
      <c r="E3043">
        <v>0.51071579999999905</v>
      </c>
      <c r="F3043" t="s">
        <v>51</v>
      </c>
      <c r="G3043">
        <v>-346.392</v>
      </c>
      <c r="H3043" s="1">
        <v>1.8647319999999999E-6</v>
      </c>
      <c r="I3043">
        <v>211.82040000000001</v>
      </c>
      <c r="J3043">
        <v>-372.42290000000003</v>
      </c>
      <c r="K3043">
        <v>1.1097709999999901</v>
      </c>
      <c r="L3043">
        <v>213.17760000000001</v>
      </c>
      <c r="M3043">
        <v>0.99928499999999998</v>
      </c>
      <c r="N3043">
        <v>0</v>
      </c>
      <c r="O3043">
        <v>3.6640730000000003E-2</v>
      </c>
      <c r="P3043">
        <v>0.99975170000000002</v>
      </c>
      <c r="Q3043">
        <v>-4.4166489999999999E-3</v>
      </c>
      <c r="R3043">
        <v>-2.184057E-2</v>
      </c>
      <c r="S3043">
        <v>2.9967350000000001</v>
      </c>
      <c r="T3043">
        <v>-0.12576379999999901</v>
      </c>
      <c r="U3043">
        <v>-0.15205379999999999</v>
      </c>
      <c r="V3043">
        <v>5.8450599999999998E-2</v>
      </c>
      <c r="W3043">
        <v>5.0061180000000004E-3</v>
      </c>
      <c r="X3043">
        <v>0.99827770000000005</v>
      </c>
      <c r="Y3043">
        <v>8.7127179999999999E-2</v>
      </c>
      <c r="Z3043">
        <v>-3.3624549999999999E-3</v>
      </c>
      <c r="AA3043">
        <v>0.99619150000000001</v>
      </c>
      <c r="AB3043">
        <v>39</v>
      </c>
      <c r="AC3043">
        <v>26.030899999999999</v>
      </c>
      <c r="AD3043">
        <v>-1.1097691352679999</v>
      </c>
      <c r="AE3043">
        <v>-1.3572</v>
      </c>
      <c r="AF3043">
        <v>2.3059414034487</v>
      </c>
      <c r="AG3043">
        <v>-1.1097691352679999</v>
      </c>
      <c r="AH3043">
        <v>25.916710572445801</v>
      </c>
      <c r="AI3043">
        <v>92.442305319026104</v>
      </c>
      <c r="AJ3043">
        <v>84.9154924886152</v>
      </c>
      <c r="AK3043">
        <v>26.042750242354501</v>
      </c>
      <c r="AL3043">
        <v>89.713169354476307</v>
      </c>
      <c r="AM3043">
        <v>86.649075221884203</v>
      </c>
      <c r="AN3043">
        <v>0.99999995008753795</v>
      </c>
    </row>
    <row r="3044" spans="1:40" x14ac:dyDescent="0.25">
      <c r="A3044" t="str">
        <f>"20190312151558391"</f>
        <v>20190312151558391</v>
      </c>
      <c r="B3044" t="str">
        <f>"1552374958380798"</f>
        <v>1552374958380798</v>
      </c>
      <c r="C3044" t="s">
        <v>40</v>
      </c>
      <c r="D3044">
        <v>4.6203409999999998</v>
      </c>
      <c r="E3044">
        <v>0.51063179999999997</v>
      </c>
      <c r="F3044" t="s">
        <v>51</v>
      </c>
      <c r="G3044">
        <v>-345.6026</v>
      </c>
      <c r="H3044" s="1">
        <v>1.4446140000000001E-6</v>
      </c>
      <c r="I3044">
        <v>211.82660000000001</v>
      </c>
      <c r="J3044">
        <v>-372.03989999999999</v>
      </c>
      <c r="K3044">
        <v>1.109766</v>
      </c>
      <c r="L3044">
        <v>213.19220000000001</v>
      </c>
      <c r="M3044">
        <v>0.99925969999999997</v>
      </c>
      <c r="N3044">
        <v>0</v>
      </c>
      <c r="O3044">
        <v>3.7317780000000002E-2</v>
      </c>
      <c r="P3044">
        <v>0.9997511</v>
      </c>
      <c r="Q3044">
        <v>-3.640693E-3</v>
      </c>
      <c r="R3044">
        <v>-2.2017470000000001E-2</v>
      </c>
      <c r="S3044">
        <v>2.9968870000000001</v>
      </c>
      <c r="T3044">
        <v>-0.12400509999999999</v>
      </c>
      <c r="U3044">
        <v>-0.15095520000000001</v>
      </c>
      <c r="V3044">
        <v>5.9302140000000003E-2</v>
      </c>
      <c r="W3044">
        <v>5.7986089999999997E-3</v>
      </c>
      <c r="X3044">
        <v>0.99822319999999998</v>
      </c>
      <c r="Y3044">
        <v>8.7437479999999998E-2</v>
      </c>
      <c r="Z3044">
        <v>-3.3497330000000001E-3</v>
      </c>
      <c r="AA3044">
        <v>0.99616439999999995</v>
      </c>
      <c r="AB3044">
        <v>39</v>
      </c>
      <c r="AC3044">
        <v>26.4373</v>
      </c>
      <c r="AD3044">
        <v>-1.1097645553860001</v>
      </c>
      <c r="AE3044">
        <v>-1.3655999999999999</v>
      </c>
      <c r="AF3044">
        <v>2.3471483107015998</v>
      </c>
      <c r="AG3044">
        <v>-1.1097645553860001</v>
      </c>
      <c r="AH3044">
        <v>26.321662421976399</v>
      </c>
      <c r="AI3044">
        <v>92.404723894478195</v>
      </c>
      <c r="AJ3044">
        <v>84.904313686184295</v>
      </c>
      <c r="AK3044">
        <v>26.449396878138899</v>
      </c>
      <c r="AL3044">
        <v>89.667762302873001</v>
      </c>
      <c r="AM3044">
        <v>86.600185640438397</v>
      </c>
      <c r="AN3044">
        <v>0.99999996234657595</v>
      </c>
    </row>
    <row r="3045" spans="1:40" x14ac:dyDescent="0.25">
      <c r="A3045" t="str">
        <f>"20190312151558411"</f>
        <v>20190312151558411</v>
      </c>
      <c r="B3045" t="str">
        <f>"1552374958400318"</f>
        <v>1552374958400318</v>
      </c>
      <c r="C3045" t="s">
        <v>40</v>
      </c>
      <c r="D3045">
        <v>4.6956389999999999</v>
      </c>
      <c r="E3045">
        <v>0.51054869999999997</v>
      </c>
      <c r="F3045" t="s">
        <v>51</v>
      </c>
      <c r="G3045">
        <v>-344.51549999999997</v>
      </c>
      <c r="H3045" s="1">
        <v>8.6615749999999995E-7</v>
      </c>
      <c r="I3045">
        <v>211.8057</v>
      </c>
      <c r="J3045">
        <v>-371.69069999999999</v>
      </c>
      <c r="K3045">
        <v>1.1097699999999999</v>
      </c>
      <c r="L3045">
        <v>213.20570000000001</v>
      </c>
      <c r="M3045">
        <v>0.99923640000000002</v>
      </c>
      <c r="N3045">
        <v>0</v>
      </c>
      <c r="O3045">
        <v>3.7933429999999997E-2</v>
      </c>
      <c r="P3045">
        <v>0.99974989999999997</v>
      </c>
      <c r="Q3045">
        <v>-3.3652270000000001E-3</v>
      </c>
      <c r="R3045">
        <v>-2.211923E-2</v>
      </c>
      <c r="S3045">
        <v>2.9969480000000002</v>
      </c>
      <c r="T3045">
        <v>-0.12083530000000001</v>
      </c>
      <c r="U3045">
        <v>-0.15097049999999901</v>
      </c>
      <c r="V3045">
        <v>6.0018299999999997E-2</v>
      </c>
      <c r="W3045">
        <v>6.0899530000000004E-3</v>
      </c>
      <c r="X3045">
        <v>0.99817869999999997</v>
      </c>
      <c r="Y3045">
        <v>8.8059639999999995E-2</v>
      </c>
      <c r="Z3045">
        <v>-3.3014369999999999E-3</v>
      </c>
      <c r="AA3045">
        <v>0.99610969999999999</v>
      </c>
      <c r="AB3045">
        <v>39</v>
      </c>
      <c r="AC3045">
        <v>27.1752</v>
      </c>
      <c r="AD3045">
        <v>-1.1097691338425</v>
      </c>
      <c r="AE3045">
        <v>-1.4</v>
      </c>
      <c r="AF3045">
        <v>2.4258511251658499</v>
      </c>
      <c r="AG3045">
        <v>-1.1097691338425</v>
      </c>
      <c r="AH3045">
        <v>27.057525721478299</v>
      </c>
      <c r="AI3045">
        <v>92.339307494183302</v>
      </c>
      <c r="AJ3045">
        <v>84.8768260780178</v>
      </c>
      <c r="AK3045">
        <v>27.188711616778701</v>
      </c>
      <c r="AL3045">
        <v>89.6510692389882</v>
      </c>
      <c r="AM3045">
        <v>86.559072943272099</v>
      </c>
      <c r="AN3045">
        <v>1.00000000049806</v>
      </c>
    </row>
    <row r="3046" spans="1:40" x14ac:dyDescent="0.25">
      <c r="A3046" t="str">
        <f>"20190312151558435"</f>
        <v>20190312151558435</v>
      </c>
      <c r="B3046" t="str">
        <f>"1552374958430575"</f>
        <v>1552374958430575</v>
      </c>
      <c r="C3046" t="s">
        <v>40</v>
      </c>
      <c r="D3046">
        <v>4.6336329999999997</v>
      </c>
      <c r="E3046">
        <v>0.51053499999999996</v>
      </c>
      <c r="F3046" t="s">
        <v>51</v>
      </c>
      <c r="G3046">
        <v>-343.59399999999999</v>
      </c>
      <c r="H3046" s="1">
        <v>3.7577170000000001E-7</v>
      </c>
      <c r="I3046">
        <v>211.79480000000001</v>
      </c>
      <c r="J3046">
        <v>-371.2799</v>
      </c>
      <c r="K3046">
        <v>1.109769</v>
      </c>
      <c r="L3046">
        <v>213.22190000000001</v>
      </c>
      <c r="M3046">
        <v>0.9992086</v>
      </c>
      <c r="N3046">
        <v>0</v>
      </c>
      <c r="O3046">
        <v>3.8655050000000003E-2</v>
      </c>
      <c r="P3046">
        <v>0.99975250000000004</v>
      </c>
      <c r="Q3046">
        <v>-3.253447E-3</v>
      </c>
      <c r="R3046">
        <v>-2.201026E-2</v>
      </c>
      <c r="S3046">
        <v>2.9969790000000001</v>
      </c>
      <c r="T3046">
        <v>-0.11837549999999999</v>
      </c>
      <c r="U3046">
        <v>-0.1504974</v>
      </c>
      <c r="V3046">
        <v>6.0630339999999998E-2</v>
      </c>
      <c r="W3046">
        <v>6.2196489999999998E-3</v>
      </c>
      <c r="X3046">
        <v>0.9981409</v>
      </c>
      <c r="Y3046">
        <v>8.8624770000000005E-2</v>
      </c>
      <c r="Z3046">
        <v>-3.2738860000000002E-3</v>
      </c>
      <c r="AA3046">
        <v>0.99605969999999999</v>
      </c>
      <c r="AB3046">
        <v>39</v>
      </c>
      <c r="AC3046">
        <v>27.6859</v>
      </c>
      <c r="AD3046">
        <v>-1.1097686242283</v>
      </c>
      <c r="AE3046">
        <v>-1.42709999999999</v>
      </c>
      <c r="AF3046">
        <v>2.4922863688399399</v>
      </c>
      <c r="AG3046">
        <v>-1.1097686242283</v>
      </c>
      <c r="AH3046">
        <v>27.565865073756999</v>
      </c>
      <c r="AI3046">
        <v>92.296059100815597</v>
      </c>
      <c r="AJ3046">
        <v>84.83381727826</v>
      </c>
      <c r="AK3046">
        <v>27.7005414208495</v>
      </c>
      <c r="AL3046">
        <v>89.643638060789797</v>
      </c>
      <c r="AM3046">
        <v>86.523938182335399</v>
      </c>
      <c r="AN3046">
        <v>0.99999998920750399</v>
      </c>
    </row>
    <row r="3047" spans="1:40" x14ac:dyDescent="0.25">
      <c r="A3047" t="str">
        <f>"20190312151558456"</f>
        <v>20190312151558456</v>
      </c>
      <c r="B3047" t="str">
        <f>"1552374958451070"</f>
        <v>1552374958451070</v>
      </c>
      <c r="C3047" t="s">
        <v>40</v>
      </c>
      <c r="D3047">
        <v>4.8161839999999998</v>
      </c>
      <c r="E3047">
        <v>0.51049100000000003</v>
      </c>
      <c r="F3047" t="s">
        <v>51</v>
      </c>
      <c r="G3047">
        <v>-342.15839999999997</v>
      </c>
      <c r="H3047" s="1">
        <v>-3.88208E-7</v>
      </c>
      <c r="I3047">
        <v>211.7636</v>
      </c>
      <c r="J3047">
        <v>-370.88740000000001</v>
      </c>
      <c r="K3047">
        <v>1.109774</v>
      </c>
      <c r="L3047">
        <v>213.23769999999999</v>
      </c>
      <c r="M3047">
        <v>0.9991816</v>
      </c>
      <c r="N3047">
        <v>0</v>
      </c>
      <c r="O3047">
        <v>3.9342630000000003E-2</v>
      </c>
      <c r="P3047">
        <v>0.99974830000000003</v>
      </c>
      <c r="Q3047">
        <v>-3.0175010000000001E-3</v>
      </c>
      <c r="R3047">
        <v>-2.2234009999999998E-2</v>
      </c>
      <c r="S3047">
        <v>2.9970400000000001</v>
      </c>
      <c r="T3047">
        <v>-0.11421190000000001</v>
      </c>
      <c r="U3047">
        <v>-0.15008540000000001</v>
      </c>
      <c r="V3047">
        <v>6.154022E-2</v>
      </c>
      <c r="W3047">
        <v>6.472368E-3</v>
      </c>
      <c r="X3047">
        <v>0.99808359999999996</v>
      </c>
      <c r="Y3047">
        <v>8.9178530000000006E-2</v>
      </c>
      <c r="Z3047">
        <v>-3.1954819999999999E-3</v>
      </c>
      <c r="AA3047">
        <v>0.99601050000000002</v>
      </c>
      <c r="AB3047">
        <v>39</v>
      </c>
      <c r="AC3047">
        <v>28.728999999999999</v>
      </c>
      <c r="AD3047">
        <v>-1.109774388208</v>
      </c>
      <c r="AE3047">
        <v>-1.47409999999999</v>
      </c>
      <c r="AF3047">
        <v>2.5994142626618499</v>
      </c>
      <c r="AG3047">
        <v>-1.109774388208</v>
      </c>
      <c r="AH3047">
        <v>28.606183718569199</v>
      </c>
      <c r="AI3047">
        <v>92.212563755454497</v>
      </c>
      <c r="AJ3047">
        <v>84.807851389409805</v>
      </c>
      <c r="AK3047">
        <v>28.745474437590801</v>
      </c>
      <c r="AL3047">
        <v>89.629158034027995</v>
      </c>
      <c r="AM3047">
        <v>86.471701652008804</v>
      </c>
      <c r="AN3047">
        <v>0.99999998140706703</v>
      </c>
    </row>
    <row r="3048" spans="1:40" x14ac:dyDescent="0.25">
      <c r="A3048" t="str">
        <f>"20190312151558479"</f>
        <v>20190312151558479</v>
      </c>
      <c r="B3048" t="str">
        <f>"1552374958470593"</f>
        <v>1552374958470593</v>
      </c>
      <c r="C3048" t="s">
        <v>40</v>
      </c>
      <c r="D3048">
        <v>4.591863</v>
      </c>
      <c r="E3048">
        <v>0.51044509999999998</v>
      </c>
      <c r="F3048" t="s">
        <v>51</v>
      </c>
      <c r="G3048">
        <v>-341.05829999999997</v>
      </c>
      <c r="H3048" s="1">
        <v>-9.7362440000000008E-7</v>
      </c>
      <c r="I3048">
        <v>211.73939999999999</v>
      </c>
      <c r="J3048">
        <v>-370.50330000000002</v>
      </c>
      <c r="K3048">
        <v>1.109772</v>
      </c>
      <c r="L3048">
        <v>213.2534</v>
      </c>
      <c r="M3048">
        <v>0.99915469999999895</v>
      </c>
      <c r="N3048">
        <v>0</v>
      </c>
      <c r="O3048">
        <v>4.0014960000000002E-2</v>
      </c>
      <c r="P3048">
        <v>0.999753</v>
      </c>
      <c r="Q3048">
        <v>-2.8419700000000001E-3</v>
      </c>
      <c r="R3048">
        <v>-2.2049780000000001E-2</v>
      </c>
      <c r="S3048">
        <v>2.9970699999999999</v>
      </c>
      <c r="T3048">
        <v>-0.1115042</v>
      </c>
      <c r="U3048">
        <v>-0.15054319999999999</v>
      </c>
      <c r="V3048">
        <v>6.2027489999999998E-2</v>
      </c>
      <c r="W3048">
        <v>6.6630989999999996E-3</v>
      </c>
      <c r="X3048">
        <v>0.99805219999999994</v>
      </c>
      <c r="Y3048">
        <v>9.0003269999999996E-2</v>
      </c>
      <c r="Z3048">
        <v>-3.1600489999999998E-3</v>
      </c>
      <c r="AA3048">
        <v>0.9959365</v>
      </c>
      <c r="AB3048">
        <v>39</v>
      </c>
      <c r="AC3048">
        <v>29.445</v>
      </c>
      <c r="AD3048">
        <v>-1.1097729736244</v>
      </c>
      <c r="AE3048">
        <v>-1.51400000000001</v>
      </c>
      <c r="AF3048">
        <v>2.68727280948342</v>
      </c>
      <c r="AG3048">
        <v>-1.1097729736244</v>
      </c>
      <c r="AH3048">
        <v>29.319290893970599</v>
      </c>
      <c r="AI3048">
        <v>92.158644805766698</v>
      </c>
      <c r="AJ3048">
        <v>84.763161229024604</v>
      </c>
      <c r="AK3048">
        <v>29.463093010253399</v>
      </c>
      <c r="AL3048">
        <v>89.618229723947294</v>
      </c>
      <c r="AM3048">
        <v>86.443724715657197</v>
      </c>
      <c r="AN3048">
        <v>1.00000000016441</v>
      </c>
    </row>
    <row r="3049" spans="1:40" x14ac:dyDescent="0.25">
      <c r="A3049" t="str">
        <f>"20190312151558500"</f>
        <v>20190312151558500</v>
      </c>
      <c r="B3049" t="str">
        <f>"1552374958491096"</f>
        <v>1552374958491096</v>
      </c>
      <c r="C3049" t="s">
        <v>40</v>
      </c>
      <c r="D3049">
        <v>4.5928019999999998</v>
      </c>
      <c r="E3049">
        <v>0.51040390000000002</v>
      </c>
      <c r="F3049" t="s">
        <v>51</v>
      </c>
      <c r="G3049">
        <v>-340.33600000000001</v>
      </c>
      <c r="H3049" s="1">
        <v>-1.3580019999999901E-6</v>
      </c>
      <c r="I3049">
        <v>211.749</v>
      </c>
      <c r="J3049">
        <v>-370.11669999999998</v>
      </c>
      <c r="K3049">
        <v>1.109769</v>
      </c>
      <c r="L3049">
        <v>213.26949999999999</v>
      </c>
      <c r="M3049">
        <v>0.99912730000000005</v>
      </c>
      <c r="N3049">
        <v>0</v>
      </c>
      <c r="O3049">
        <v>4.0690329999999997E-2</v>
      </c>
      <c r="P3049">
        <v>0.9997509</v>
      </c>
      <c r="Q3049">
        <v>-3.2373599999999999E-3</v>
      </c>
      <c r="R3049">
        <v>-2.2086100000000001E-2</v>
      </c>
      <c r="S3049">
        <v>2.9971009999999998</v>
      </c>
      <c r="T3049">
        <v>-0.1102552</v>
      </c>
      <c r="U3049">
        <v>-0.1494598</v>
      </c>
      <c r="V3049">
        <v>6.2739039999999996E-2</v>
      </c>
      <c r="W3049">
        <v>6.2830669999999998E-3</v>
      </c>
      <c r="X3049">
        <v>0.99801019999999896</v>
      </c>
      <c r="Y3049">
        <v>9.0318200000000001E-2</v>
      </c>
      <c r="Z3049">
        <v>-3.1552780000000001E-3</v>
      </c>
      <c r="AA3049">
        <v>0.99590800000000002</v>
      </c>
      <c r="AB3049">
        <v>39</v>
      </c>
      <c r="AC3049">
        <v>29.7806999999999</v>
      </c>
      <c r="AD3049">
        <v>-1.109770358002</v>
      </c>
      <c r="AE3049">
        <v>-1.52049999999997</v>
      </c>
      <c r="AF3049">
        <v>2.7273035630597899</v>
      </c>
      <c r="AG3049">
        <v>-1.109770358002</v>
      </c>
      <c r="AH3049">
        <v>29.653090151484299</v>
      </c>
      <c r="AI3049">
        <v>92.134301142100597</v>
      </c>
      <c r="AJ3049">
        <v>84.745080931382901</v>
      </c>
      <c r="AK3049">
        <v>29.798918277424701</v>
      </c>
      <c r="AL3049">
        <v>89.640004414096197</v>
      </c>
      <c r="AM3049">
        <v>86.402884333180396</v>
      </c>
      <c r="AN3049">
        <v>1.00000001168754</v>
      </c>
    </row>
    <row r="3050" spans="1:40" x14ac:dyDescent="0.25">
      <c r="A3050" t="str">
        <f>"20190312151558523"</f>
        <v>20190312151558523</v>
      </c>
      <c r="B3050" t="str">
        <f>"1552374958510606"</f>
        <v>1552374958510606</v>
      </c>
      <c r="C3050" t="s">
        <v>40</v>
      </c>
      <c r="D3050">
        <v>4.662293</v>
      </c>
      <c r="E3050">
        <v>0.51033669999999998</v>
      </c>
      <c r="F3050" t="s">
        <v>51</v>
      </c>
      <c r="G3050">
        <v>-340.1361</v>
      </c>
      <c r="H3050" s="1">
        <v>-1.464366E-6</v>
      </c>
      <c r="I3050">
        <v>211.77510000000001</v>
      </c>
      <c r="J3050">
        <v>-369.71800000000002</v>
      </c>
      <c r="K3050">
        <v>1.109766</v>
      </c>
      <c r="L3050">
        <v>213.28630000000001</v>
      </c>
      <c r="M3050">
        <v>0.99909870000000001</v>
      </c>
      <c r="N3050">
        <v>0</v>
      </c>
      <c r="O3050">
        <v>4.1385610000000003E-2</v>
      </c>
      <c r="P3050">
        <v>0.99975069999999999</v>
      </c>
      <c r="Q3050">
        <v>-3.6987159999999999E-3</v>
      </c>
      <c r="R3050">
        <v>-2.202579E-2</v>
      </c>
      <c r="S3050">
        <v>2.9971009999999998</v>
      </c>
      <c r="T3050">
        <v>-0.1109414</v>
      </c>
      <c r="U3050">
        <v>-0.1493835</v>
      </c>
      <c r="V3050">
        <v>6.3373970000000002E-2</v>
      </c>
      <c r="W3050">
        <v>5.8367559999999898E-3</v>
      </c>
      <c r="X3050">
        <v>0.99797279999999999</v>
      </c>
      <c r="Y3050">
        <v>9.0983900000000006E-2</v>
      </c>
      <c r="Z3050">
        <v>-3.2129229999999999E-3</v>
      </c>
      <c r="AA3050">
        <v>0.99584720000000004</v>
      </c>
      <c r="AB3050">
        <v>39</v>
      </c>
      <c r="AC3050">
        <v>29.581900000000001</v>
      </c>
      <c r="AD3050">
        <v>-1.109767464366</v>
      </c>
      <c r="AE3050">
        <v>-1.5112000000000001</v>
      </c>
      <c r="AF3050">
        <v>2.73039193255233</v>
      </c>
      <c r="AG3050">
        <v>-1.109767464366</v>
      </c>
      <c r="AH3050">
        <v>29.452665448050301</v>
      </c>
      <c r="AI3050">
        <v>92.1486622184525</v>
      </c>
      <c r="AJ3050">
        <v>84.703566732837899</v>
      </c>
      <c r="AK3050">
        <v>29.599765639698699</v>
      </c>
      <c r="AL3050">
        <v>89.665576622536307</v>
      </c>
      <c r="AM3050">
        <v>86.366442127918901</v>
      </c>
      <c r="AN3050">
        <v>1.0000000186669999</v>
      </c>
    </row>
    <row r="3051" spans="1:40" x14ac:dyDescent="0.25">
      <c r="A3051" t="str">
        <f>"20190312151558545"</f>
        <v>20190312151558545</v>
      </c>
      <c r="B3051" t="str">
        <f>"1552374958540862"</f>
        <v>1552374958540862</v>
      </c>
      <c r="C3051" t="s">
        <v>40</v>
      </c>
      <c r="D3051">
        <v>4.6147989999999997</v>
      </c>
      <c r="E3051">
        <v>0.51025310000000001</v>
      </c>
      <c r="F3051" t="s">
        <v>51</v>
      </c>
      <c r="G3051">
        <v>-340.07040000000001</v>
      </c>
      <c r="H3051" s="1">
        <v>-1.499346E-6</v>
      </c>
      <c r="I3051">
        <v>211.81460000000001</v>
      </c>
      <c r="J3051">
        <v>-369.31779999999998</v>
      </c>
      <c r="K3051">
        <v>1.1097629999999901</v>
      </c>
      <c r="L3051">
        <v>213.30340000000001</v>
      </c>
      <c r="M3051">
        <v>0.9990694</v>
      </c>
      <c r="N3051">
        <v>0</v>
      </c>
      <c r="O3051">
        <v>4.2082689999999999E-2</v>
      </c>
      <c r="P3051">
        <v>0.99974830000000003</v>
      </c>
      <c r="Q3051">
        <v>-4.0776570000000002E-3</v>
      </c>
      <c r="R3051">
        <v>-2.206062E-2</v>
      </c>
      <c r="S3051">
        <v>2.9970699999999999</v>
      </c>
      <c r="T3051">
        <v>-0.1121862</v>
      </c>
      <c r="U3051">
        <v>-0.14877319999999999</v>
      </c>
      <c r="V3051">
        <v>6.410565E-2</v>
      </c>
      <c r="W3051">
        <v>5.4719819999999898E-3</v>
      </c>
      <c r="X3051">
        <v>0.99792809999999998</v>
      </c>
      <c r="Y3051">
        <v>9.1474059999999996E-2</v>
      </c>
      <c r="Z3051">
        <v>-3.2842259999999999E-3</v>
      </c>
      <c r="AA3051">
        <v>0.99580199999999996</v>
      </c>
      <c r="AB3051">
        <v>39</v>
      </c>
      <c r="AC3051">
        <v>29.247399999999899</v>
      </c>
      <c r="AD3051">
        <v>-1.1097644993460001</v>
      </c>
      <c r="AE3051">
        <v>-1.4887999999999899</v>
      </c>
      <c r="AF3051">
        <v>2.7144472521193599</v>
      </c>
      <c r="AG3051">
        <v>-1.1097644993460001</v>
      </c>
      <c r="AH3051">
        <v>29.1170199269954</v>
      </c>
      <c r="AI3051">
        <v>92.173297162919098</v>
      </c>
      <c r="AJ3051">
        <v>84.673969123364799</v>
      </c>
      <c r="AK3051">
        <v>29.2643238527323</v>
      </c>
      <c r="AL3051">
        <v>89.686476956453006</v>
      </c>
      <c r="AM3051">
        <v>86.324441280315497</v>
      </c>
      <c r="AN3051">
        <v>0.99999998485927</v>
      </c>
    </row>
    <row r="3052" spans="1:40" x14ac:dyDescent="0.25">
      <c r="A3052" t="str">
        <f>"20190312151558569"</f>
        <v>20190312151558569</v>
      </c>
      <c r="B3052" t="str">
        <f>"1552374958561358"</f>
        <v>1552374958561358</v>
      </c>
      <c r="C3052" t="s">
        <v>40</v>
      </c>
      <c r="D3052">
        <v>4.6761559999999998</v>
      </c>
      <c r="E3052">
        <v>0.51021640000000001</v>
      </c>
      <c r="F3052" t="s">
        <v>51</v>
      </c>
      <c r="G3052">
        <v>-340.00119999999998</v>
      </c>
      <c r="H3052" s="1">
        <v>-1.53614E-6</v>
      </c>
      <c r="I3052">
        <v>211.85390000000001</v>
      </c>
      <c r="J3052">
        <v>-368.91120000000001</v>
      </c>
      <c r="K3052">
        <v>1.1097589999999999</v>
      </c>
      <c r="L3052">
        <v>213.3211</v>
      </c>
      <c r="M3052">
        <v>0.99903940000000002</v>
      </c>
      <c r="N3052">
        <v>0</v>
      </c>
      <c r="O3052">
        <v>4.2790019999999998E-2</v>
      </c>
      <c r="P3052">
        <v>0.99974390000000002</v>
      </c>
      <c r="Q3052">
        <v>-4.1012030000000003E-3</v>
      </c>
      <c r="R3052">
        <v>-2.2269279999999999E-2</v>
      </c>
      <c r="S3052">
        <v>2.9969480000000002</v>
      </c>
      <c r="T3052">
        <v>-0.1134479</v>
      </c>
      <c r="U3052">
        <v>-0.14817810000000001</v>
      </c>
      <c r="V3052">
        <v>6.5020369999999994E-2</v>
      </c>
      <c r="W3052">
        <v>5.4629219999999899E-3</v>
      </c>
      <c r="X3052">
        <v>0.99786900000000001</v>
      </c>
      <c r="Y3052">
        <v>9.198083E-2</v>
      </c>
      <c r="Z3052">
        <v>-3.3576140000000001E-3</v>
      </c>
      <c r="AA3052">
        <v>0.9957551</v>
      </c>
      <c r="AB3052">
        <v>39</v>
      </c>
      <c r="AC3052">
        <v>28.91</v>
      </c>
      <c r="AD3052">
        <v>-1.10976053614</v>
      </c>
      <c r="AE3052">
        <v>-1.4671999999999901</v>
      </c>
      <c r="AF3052">
        <v>2.6990038876005902</v>
      </c>
      <c r="AG3052">
        <v>-1.10976053614</v>
      </c>
      <c r="AH3052">
        <v>28.7784370085073</v>
      </c>
      <c r="AI3052">
        <v>92.198719492787802</v>
      </c>
      <c r="AJ3052">
        <v>84.642151217753096</v>
      </c>
      <c r="AK3052">
        <v>28.9260198970664</v>
      </c>
      <c r="AL3052">
        <v>89.686996073916106</v>
      </c>
      <c r="AM3052">
        <v>86.271921621762701</v>
      </c>
      <c r="AN3052">
        <v>1.0000000165963501</v>
      </c>
    </row>
    <row r="3053" spans="1:40" x14ac:dyDescent="0.25">
      <c r="A3053" t="str">
        <f>"20190312151558591"</f>
        <v>20190312151558591</v>
      </c>
      <c r="B3053" t="str">
        <f>"1552374958580879"</f>
        <v>1552374958580879</v>
      </c>
      <c r="C3053" t="s">
        <v>40</v>
      </c>
      <c r="D3053">
        <v>4.6667800000000002</v>
      </c>
      <c r="E3053">
        <v>0.51018819999999998</v>
      </c>
      <c r="F3053" t="s">
        <v>51</v>
      </c>
      <c r="G3053">
        <v>-339.72669999999999</v>
      </c>
      <c r="H3053" s="1">
        <v>3.7591620000000002E-6</v>
      </c>
      <c r="I3053">
        <v>211.87370000000001</v>
      </c>
      <c r="J3053">
        <v>-368.52030000000002</v>
      </c>
      <c r="K3053">
        <v>1.1097539999999999</v>
      </c>
      <c r="L3053">
        <v>213.33840000000001</v>
      </c>
      <c r="M3053">
        <v>0.99900979999999995</v>
      </c>
      <c r="N3053">
        <v>0</v>
      </c>
      <c r="O3053">
        <v>4.3467239999999997E-2</v>
      </c>
      <c r="P3053">
        <v>0.99974510000000005</v>
      </c>
      <c r="Q3053">
        <v>-3.9223030000000002E-3</v>
      </c>
      <c r="R3053">
        <v>-2.223851E-2</v>
      </c>
      <c r="S3053">
        <v>2.9969480000000002</v>
      </c>
      <c r="T3053">
        <v>-0.1139606</v>
      </c>
      <c r="U3053">
        <v>-0.14863589999999999</v>
      </c>
      <c r="V3053">
        <v>6.5665710000000002E-2</v>
      </c>
      <c r="W3053">
        <v>5.6546069999999999E-3</v>
      </c>
      <c r="X3053">
        <v>0.99782570000000004</v>
      </c>
      <c r="Y3053">
        <v>9.2805589999999993E-2</v>
      </c>
      <c r="Z3053">
        <v>-3.4141559999999998E-3</v>
      </c>
      <c r="AA3053">
        <v>0.99567839999999996</v>
      </c>
      <c r="AB3053">
        <v>40</v>
      </c>
      <c r="AC3053">
        <v>28.793600000000001</v>
      </c>
      <c r="AD3053">
        <v>-1.109750240838</v>
      </c>
      <c r="AE3053">
        <v>-1.4646999999999899</v>
      </c>
      <c r="AF3053">
        <v>2.7109336087000901</v>
      </c>
      <c r="AG3053">
        <v>-1.109750240838</v>
      </c>
      <c r="AH3053">
        <v>28.660250488632499</v>
      </c>
      <c r="AI3053">
        <v>92.207591618360894</v>
      </c>
      <c r="AJ3053">
        <v>84.596547792020303</v>
      </c>
      <c r="AK3053">
        <v>28.809558564805801</v>
      </c>
      <c r="AL3053">
        <v>89.676013171717699</v>
      </c>
      <c r="AM3053">
        <v>86.234862702378706</v>
      </c>
      <c r="AN3053">
        <v>1.0000000438153001</v>
      </c>
    </row>
    <row r="3054" spans="1:40" x14ac:dyDescent="0.25">
      <c r="A3054" t="str">
        <f>"20190312151558614"</f>
        <v>20190312151558614</v>
      </c>
      <c r="B3054" t="str">
        <f>"1552374958611134"</f>
        <v>1552374958611134</v>
      </c>
      <c r="C3054" t="s">
        <v>40</v>
      </c>
      <c r="D3054">
        <v>4.6763629999999896</v>
      </c>
      <c r="E3054">
        <v>0.51014340000000002</v>
      </c>
      <c r="F3054" t="s">
        <v>51</v>
      </c>
      <c r="G3054">
        <v>-339.32170000000002</v>
      </c>
      <c r="H3054" s="1">
        <v>3.542732E-6</v>
      </c>
      <c r="I3054">
        <v>211.89429999999999</v>
      </c>
      <c r="J3054">
        <v>-368.12819999999999</v>
      </c>
      <c r="K3054">
        <v>1.10975</v>
      </c>
      <c r="L3054">
        <v>213.35599999999999</v>
      </c>
      <c r="M3054">
        <v>0.99898030000000004</v>
      </c>
      <c r="N3054">
        <v>0</v>
      </c>
      <c r="O3054">
        <v>4.4140569999999997E-2</v>
      </c>
      <c r="P3054">
        <v>0.99974969999999996</v>
      </c>
      <c r="Q3054">
        <v>-3.1076110000000001E-3</v>
      </c>
      <c r="R3054">
        <v>-2.2166450000000001E-2</v>
      </c>
      <c r="S3054">
        <v>2.9970089999999998</v>
      </c>
      <c r="T3054">
        <v>-0.1139072</v>
      </c>
      <c r="U3054">
        <v>-0.14822389999999999</v>
      </c>
      <c r="V3054">
        <v>6.6265019999999994E-2</v>
      </c>
      <c r="W3054">
        <v>6.4809510000000004E-3</v>
      </c>
      <c r="X3054">
        <v>0.99778100000000003</v>
      </c>
      <c r="Y3054">
        <v>9.3338359999999995E-2</v>
      </c>
      <c r="Z3054">
        <v>-3.4481759999999998E-3</v>
      </c>
      <c r="AA3054">
        <v>0.99562850000000003</v>
      </c>
      <c r="AB3054">
        <v>40</v>
      </c>
      <c r="AC3054">
        <v>28.8064999999999</v>
      </c>
      <c r="AD3054">
        <v>-1.109746457268</v>
      </c>
      <c r="AE3054">
        <v>-1.4617</v>
      </c>
      <c r="AF3054">
        <v>2.7278297237125999</v>
      </c>
      <c r="AG3054">
        <v>-1.109746457268</v>
      </c>
      <c r="AH3054">
        <v>28.671455109551001</v>
      </c>
      <c r="AI3054">
        <v>92.206607763936205</v>
      </c>
      <c r="AJ3054">
        <v>84.565183511538393</v>
      </c>
      <c r="AK3054">
        <v>28.8222991848323</v>
      </c>
      <c r="AL3054">
        <v>89.628666257138406</v>
      </c>
      <c r="AM3054">
        <v>86.200429977340093</v>
      </c>
      <c r="AN3054">
        <v>0.99999998978123195</v>
      </c>
    </row>
    <row r="3055" spans="1:40" x14ac:dyDescent="0.25">
      <c r="A3055" t="str">
        <f>"20190312151558637"</f>
        <v>20190312151558637</v>
      </c>
      <c r="B3055" t="str">
        <f>"1552374958630654"</f>
        <v>1552374958630654</v>
      </c>
      <c r="C3055" t="s">
        <v>40</v>
      </c>
      <c r="D3055">
        <v>5.0119689999999997</v>
      </c>
      <c r="E3055">
        <v>0.51016010000000001</v>
      </c>
      <c r="F3055" t="s">
        <v>51</v>
      </c>
      <c r="G3055">
        <v>-338.54790000000003</v>
      </c>
      <c r="H3055" s="1">
        <v>3.1307450000000001E-6</v>
      </c>
      <c r="I3055">
        <v>211.89949999999999</v>
      </c>
      <c r="J3055">
        <v>-367.70420000000001</v>
      </c>
      <c r="K3055">
        <v>1.109742</v>
      </c>
      <c r="L3055">
        <v>213.37540000000001</v>
      </c>
      <c r="M3055">
        <v>0.99894830000000001</v>
      </c>
      <c r="N3055">
        <v>0</v>
      </c>
      <c r="O3055">
        <v>4.48548E-2</v>
      </c>
      <c r="P3055">
        <v>0.99974629999999998</v>
      </c>
      <c r="Q3055">
        <v>-2.4788950000000001E-3</v>
      </c>
      <c r="R3055">
        <v>-2.2383159999999999E-2</v>
      </c>
      <c r="S3055">
        <v>2.997131</v>
      </c>
      <c r="T3055">
        <v>-0.1124415</v>
      </c>
      <c r="U3055">
        <v>-0.14758299999999999</v>
      </c>
      <c r="V3055">
        <v>6.7194240000000002E-2</v>
      </c>
      <c r="W3055">
        <v>7.1218050000000001E-3</v>
      </c>
      <c r="X3055">
        <v>0.99771449999999995</v>
      </c>
      <c r="Y3055">
        <v>9.3837509999999999E-2</v>
      </c>
      <c r="Z3055">
        <v>-3.4398359999999999E-3</v>
      </c>
      <c r="AA3055">
        <v>0.99558159999999896</v>
      </c>
      <c r="AB3055">
        <v>40</v>
      </c>
      <c r="AC3055">
        <v>29.156299999999899</v>
      </c>
      <c r="AD3055">
        <v>-1.1097388692550001</v>
      </c>
      <c r="AE3055">
        <v>-1.47590000000002</v>
      </c>
      <c r="AF3055">
        <v>2.77825891939752</v>
      </c>
      <c r="AG3055">
        <v>-1.1097388692550001</v>
      </c>
      <c r="AH3055">
        <v>29.0188158873503</v>
      </c>
      <c r="AI3055">
        <v>92.180081614936199</v>
      </c>
      <c r="AJ3055">
        <v>84.531175704787699</v>
      </c>
      <c r="AK3055">
        <v>29.1726227563633</v>
      </c>
      <c r="AL3055">
        <v>89.591947183461002</v>
      </c>
      <c r="AM3055">
        <v>86.147052769910403</v>
      </c>
      <c r="AN3055">
        <v>1.00000000475294</v>
      </c>
    </row>
    <row r="3056" spans="1:40" x14ac:dyDescent="0.25">
      <c r="A3056" t="str">
        <f>"20190312151558657"</f>
        <v>20190312151558657</v>
      </c>
      <c r="B3056" t="str">
        <f>"1552374958651150"</f>
        <v>1552374958651150</v>
      </c>
      <c r="C3056" t="s">
        <v>40</v>
      </c>
      <c r="D3056">
        <v>4.7172109999999998</v>
      </c>
      <c r="E3056">
        <v>0.51015809999999995</v>
      </c>
      <c r="F3056" t="s">
        <v>51</v>
      </c>
      <c r="G3056">
        <v>-337.51429999999999</v>
      </c>
      <c r="H3056" s="1">
        <v>2.5814910000000001E-6</v>
      </c>
      <c r="I3056">
        <v>211.8811</v>
      </c>
      <c r="J3056">
        <v>-367.33350000000002</v>
      </c>
      <c r="K3056">
        <v>1.1097319999999999</v>
      </c>
      <c r="L3056">
        <v>213.39250000000001</v>
      </c>
      <c r="M3056">
        <v>0.99892060000000005</v>
      </c>
      <c r="N3056">
        <v>0</v>
      </c>
      <c r="O3056">
        <v>4.5466810000000003E-2</v>
      </c>
      <c r="P3056">
        <v>0.99971659999999996</v>
      </c>
      <c r="Q3056">
        <v>-2.2769829999999998E-3</v>
      </c>
      <c r="R3056">
        <v>-2.3701920000000001E-2</v>
      </c>
      <c r="S3056">
        <v>2.9971619999999999</v>
      </c>
      <c r="T3056">
        <v>-0.11017159999999999</v>
      </c>
      <c r="U3056">
        <v>-0.148345899999999</v>
      </c>
      <c r="V3056">
        <v>6.9121109999999999E-2</v>
      </c>
      <c r="W3056">
        <v>7.3344689999999997E-3</v>
      </c>
      <c r="X3056">
        <v>0.9975813</v>
      </c>
      <c r="Y3056">
        <v>9.4702649999999999E-2</v>
      </c>
      <c r="Z3056">
        <v>-3.408744E-3</v>
      </c>
      <c r="AA3056">
        <v>0.99549980000000005</v>
      </c>
      <c r="AB3056">
        <v>40</v>
      </c>
      <c r="AC3056">
        <v>29.819199999999999</v>
      </c>
      <c r="AD3056">
        <v>-1.1097294185090001</v>
      </c>
      <c r="AE3056">
        <v>-1.5114000000000001</v>
      </c>
      <c r="AF3056">
        <v>2.8617287637852802</v>
      </c>
      <c r="AG3056">
        <v>-1.1097294185090001</v>
      </c>
      <c r="AH3056">
        <v>29.678639163768501</v>
      </c>
      <c r="AI3056">
        <v>92.131501888181404</v>
      </c>
      <c r="AJ3056">
        <v>84.492347260155796</v>
      </c>
      <c r="AK3056">
        <v>29.8369337149941</v>
      </c>
      <c r="AL3056">
        <v>89.579762107728797</v>
      </c>
      <c r="AM3056">
        <v>86.036384908044695</v>
      </c>
      <c r="AN3056">
        <v>0.99999998619641695</v>
      </c>
    </row>
    <row r="3057" spans="1:40" x14ac:dyDescent="0.25">
      <c r="A3057" t="str">
        <f>"20190312151558691"</f>
        <v>20190312151558691</v>
      </c>
      <c r="B3057" t="str">
        <f>"1552374958680430"</f>
        <v>1552374958680430</v>
      </c>
      <c r="C3057" t="s">
        <v>40</v>
      </c>
      <c r="D3057">
        <v>4.7553939999999999</v>
      </c>
      <c r="E3057">
        <v>0.51015999999999995</v>
      </c>
      <c r="F3057" t="s">
        <v>51</v>
      </c>
      <c r="G3057">
        <v>-336.98270000000002</v>
      </c>
      <c r="H3057" s="1">
        <v>2.2999549999999998E-6</v>
      </c>
      <c r="I3057">
        <v>211.84989999999999</v>
      </c>
      <c r="J3057">
        <v>-366.74650000000003</v>
      </c>
      <c r="K3057">
        <v>1.1097049999999999</v>
      </c>
      <c r="L3057">
        <v>213.42009999999999</v>
      </c>
      <c r="M3057">
        <v>0.99887760000000003</v>
      </c>
      <c r="N3057">
        <v>0</v>
      </c>
      <c r="O3057">
        <v>4.6398729999999999E-2</v>
      </c>
      <c r="P3057">
        <v>0.99968769999999996</v>
      </c>
      <c r="Q3057">
        <v>-2.642017E-3</v>
      </c>
      <c r="R3057">
        <v>-2.485422E-2</v>
      </c>
      <c r="S3057">
        <v>2.9969790000000001</v>
      </c>
      <c r="T3057">
        <v>-0.1095798</v>
      </c>
      <c r="U3057">
        <v>-0.15232850000000001</v>
      </c>
      <c r="V3057">
        <v>7.1202440000000006E-2</v>
      </c>
      <c r="W3057">
        <v>6.9835260000000003E-3</v>
      </c>
      <c r="X3057">
        <v>0.99743740000000003</v>
      </c>
      <c r="Y3057">
        <v>9.6952570000000002E-2</v>
      </c>
      <c r="Z3057">
        <v>-3.465681E-3</v>
      </c>
      <c r="AA3057">
        <v>0.99528289999999997</v>
      </c>
      <c r="AB3057">
        <v>40</v>
      </c>
      <c r="AC3057">
        <v>29.7638</v>
      </c>
      <c r="AD3057">
        <v>-1.1097027000449999</v>
      </c>
      <c r="AE3057">
        <v>-1.57019999999999</v>
      </c>
      <c r="AF3057">
        <v>2.9454908174796501</v>
      </c>
      <c r="AG3057">
        <v>-1.1097027000449999</v>
      </c>
      <c r="AH3057">
        <v>29.617826284514301</v>
      </c>
      <c r="AI3057">
        <v>92.135196678659995</v>
      </c>
      <c r="AJ3057">
        <v>84.320613074162793</v>
      </c>
      <c r="AK3057">
        <v>29.784609953095099</v>
      </c>
      <c r="AL3057">
        <v>89.599870166469003</v>
      </c>
      <c r="AM3057">
        <v>85.916845799512998</v>
      </c>
      <c r="AN3057">
        <v>0.99999996200805197</v>
      </c>
    </row>
    <row r="3058" spans="1:40" x14ac:dyDescent="0.25">
      <c r="A3058" t="str">
        <f>"20190312151558713"</f>
        <v>20190312151558713</v>
      </c>
      <c r="B3058" t="str">
        <f>"1552374958710686"</f>
        <v>1552374958710686</v>
      </c>
      <c r="C3058" t="s">
        <v>40</v>
      </c>
      <c r="D3058">
        <v>4.8862569999999996</v>
      </c>
      <c r="E3058">
        <v>0.51007749999999996</v>
      </c>
      <c r="F3058" t="s">
        <v>51</v>
      </c>
      <c r="G3058">
        <v>-336.57650000000001</v>
      </c>
      <c r="H3058" s="1">
        <v>2.0836350000000002E-6</v>
      </c>
      <c r="I3058">
        <v>211.85409999999999</v>
      </c>
      <c r="J3058">
        <v>-366.34820000000002</v>
      </c>
      <c r="K3058">
        <v>1.1096760000000001</v>
      </c>
      <c r="L3058">
        <v>213.4391</v>
      </c>
      <c r="M3058">
        <v>0.99884969999999995</v>
      </c>
      <c r="N3058">
        <v>0</v>
      </c>
      <c r="O3058">
        <v>4.6989549999999998E-2</v>
      </c>
      <c r="P3058">
        <v>0.99967890000000004</v>
      </c>
      <c r="Q3058">
        <v>-2.6520379999999998E-3</v>
      </c>
      <c r="R3058">
        <v>-2.520118E-2</v>
      </c>
      <c r="S3058">
        <v>2.9967350000000001</v>
      </c>
      <c r="T3058">
        <v>-0.110225</v>
      </c>
      <c r="U3058">
        <v>-0.15554809999999999</v>
      </c>
      <c r="V3058">
        <v>7.2138899999999895E-2</v>
      </c>
      <c r="W3058">
        <v>6.9801890000000004E-3</v>
      </c>
      <c r="X3058">
        <v>0.99737019999999998</v>
      </c>
      <c r="Y3058">
        <v>9.8609089999999996E-2</v>
      </c>
      <c r="Z3058">
        <v>-3.5384100000000001E-3</v>
      </c>
      <c r="AA3058">
        <v>0.99511989999999995</v>
      </c>
      <c r="AB3058">
        <v>40</v>
      </c>
      <c r="AC3058">
        <v>29.771699999999999</v>
      </c>
      <c r="AD3058">
        <v>-1.109673916365</v>
      </c>
      <c r="AE3058">
        <v>-1.585</v>
      </c>
      <c r="AF3058">
        <v>2.9781459180165299</v>
      </c>
      <c r="AG3058">
        <v>-1.109673916365</v>
      </c>
      <c r="AH3058">
        <v>29.623290643391201</v>
      </c>
      <c r="AI3058">
        <v>92.134518986381906</v>
      </c>
      <c r="AJ3058">
        <v>84.259119248812397</v>
      </c>
      <c r="AK3058">
        <v>29.793289141222498</v>
      </c>
      <c r="AL3058">
        <v>89.600061394301704</v>
      </c>
      <c r="AM3058">
        <v>85.863051310963897</v>
      </c>
      <c r="AN3058">
        <v>1.0000000298898599</v>
      </c>
    </row>
    <row r="3059" spans="1:40" x14ac:dyDescent="0.25">
      <c r="A3059" t="str">
        <f>"20190312151558736"</f>
        <v>20190312151558736</v>
      </c>
      <c r="B3059" t="str">
        <f>"1552374958731183"</f>
        <v>1552374958731183</v>
      </c>
      <c r="C3059" t="s">
        <v>40</v>
      </c>
      <c r="D3059">
        <v>4.7715069999999997</v>
      </c>
      <c r="E3059">
        <v>0.51003790000000004</v>
      </c>
      <c r="F3059" t="s">
        <v>51</v>
      </c>
      <c r="G3059">
        <v>-336.59800000000001</v>
      </c>
      <c r="H3059" s="1">
        <v>2.0934690000000001E-6</v>
      </c>
      <c r="I3059">
        <v>211.89080000000001</v>
      </c>
      <c r="J3059">
        <v>-365.93990000000002</v>
      </c>
      <c r="K3059">
        <v>1.1096379999999999</v>
      </c>
      <c r="L3059">
        <v>213.45869999999999</v>
      </c>
      <c r="M3059">
        <v>0.99882369999999998</v>
      </c>
      <c r="N3059">
        <v>0</v>
      </c>
      <c r="O3059">
        <v>4.754121E-2</v>
      </c>
      <c r="P3059">
        <v>0.99966719999999998</v>
      </c>
      <c r="Q3059">
        <v>-2.4095869999999999E-3</v>
      </c>
      <c r="R3059">
        <v>-2.569372E-2</v>
      </c>
      <c r="S3059">
        <v>2.9967350000000001</v>
      </c>
      <c r="T3059">
        <v>-0.1117773</v>
      </c>
      <c r="U3059">
        <v>-0.15596009999999999</v>
      </c>
      <c r="V3059">
        <v>7.3181410000000002E-2</v>
      </c>
      <c r="W3059">
        <v>7.2271829999999999E-3</v>
      </c>
      <c r="X3059">
        <v>0.99729250000000003</v>
      </c>
      <c r="Y3059">
        <v>9.9291470000000007E-2</v>
      </c>
      <c r="Z3059">
        <v>-3.6214630000000001E-3</v>
      </c>
      <c r="AA3059">
        <v>0.99505180000000004</v>
      </c>
      <c r="AB3059">
        <v>40</v>
      </c>
      <c r="AC3059">
        <v>29.341899999999999</v>
      </c>
      <c r="AD3059">
        <v>-1.109635906531</v>
      </c>
      <c r="AE3059">
        <v>-1.5678999999999801</v>
      </c>
      <c r="AF3059">
        <v>2.9569230857086302</v>
      </c>
      <c r="AG3059">
        <v>-1.109635906531</v>
      </c>
      <c r="AH3059">
        <v>29.1925450412771</v>
      </c>
      <c r="AI3059">
        <v>92.165747115376405</v>
      </c>
      <c r="AJ3059">
        <v>84.216216676688305</v>
      </c>
      <c r="AK3059">
        <v>29.362891069628201</v>
      </c>
      <c r="AL3059">
        <v>89.585909328342893</v>
      </c>
      <c r="AM3059">
        <v>85.803152785471696</v>
      </c>
      <c r="AN3059">
        <v>1.0000000407499701</v>
      </c>
    </row>
    <row r="3060" spans="1:40" x14ac:dyDescent="0.25">
      <c r="A3060" t="str">
        <f>"20190312151558758"</f>
        <v>20190312151558758</v>
      </c>
      <c r="B3060" t="str">
        <f>"1552374958750702"</f>
        <v>1552374958750702</v>
      </c>
      <c r="C3060" t="s">
        <v>40</v>
      </c>
      <c r="D3060">
        <v>4.7294400000000003</v>
      </c>
      <c r="E3060">
        <v>0.50998809999999895</v>
      </c>
      <c r="F3060" t="s">
        <v>51</v>
      </c>
      <c r="G3060">
        <v>-336.1705</v>
      </c>
      <c r="H3060" s="1">
        <v>1.865616E-6</v>
      </c>
      <c r="I3060">
        <v>211.8991</v>
      </c>
      <c r="J3060">
        <v>-365.54559999999998</v>
      </c>
      <c r="K3060">
        <v>1.109602</v>
      </c>
      <c r="L3060">
        <v>213.47790000000001</v>
      </c>
      <c r="M3060">
        <v>0.99880020000000003</v>
      </c>
      <c r="N3060">
        <v>0</v>
      </c>
      <c r="O3060">
        <v>4.8029240000000001E-2</v>
      </c>
      <c r="P3060">
        <v>0.99965879999999996</v>
      </c>
      <c r="Q3060">
        <v>-2.8199200000000001E-3</v>
      </c>
      <c r="R3060">
        <v>-2.5976929999999999E-2</v>
      </c>
      <c r="S3060">
        <v>2.9967039999999998</v>
      </c>
      <c r="T3060">
        <v>-0.1117003</v>
      </c>
      <c r="U3060">
        <v>-0.15699769999999999</v>
      </c>
      <c r="V3060">
        <v>7.3952210000000004E-2</v>
      </c>
      <c r="W3060">
        <v>6.8204509999999999E-3</v>
      </c>
      <c r="X3060">
        <v>0.99723850000000003</v>
      </c>
      <c r="Y3060">
        <v>0.100121</v>
      </c>
      <c r="Z3060">
        <v>-3.6525910000000002E-3</v>
      </c>
      <c r="AA3060">
        <v>0.99496859999999998</v>
      </c>
      <c r="AB3060">
        <v>40</v>
      </c>
      <c r="AC3060">
        <v>29.3750999999999</v>
      </c>
      <c r="AD3060">
        <v>-1.1096001343840001</v>
      </c>
      <c r="AE3060">
        <v>-1.5788</v>
      </c>
      <c r="AF3060">
        <v>2.9836610281410199</v>
      </c>
      <c r="AG3060">
        <v>-1.1096001343840001</v>
      </c>
      <c r="AH3060">
        <v>29.223786484461598</v>
      </c>
      <c r="AI3060">
        <v>92.163188891133998</v>
      </c>
      <c r="AJ3060">
        <v>84.170471881001404</v>
      </c>
      <c r="AK3060">
        <v>29.396651885520399</v>
      </c>
      <c r="AL3060">
        <v>89.609213927903596</v>
      </c>
      <c r="AM3060">
        <v>85.758880163349403</v>
      </c>
      <c r="AN3060">
        <v>1.0000000368989801</v>
      </c>
    </row>
    <row r="3061" spans="1:40" x14ac:dyDescent="0.25">
      <c r="A3061" t="str">
        <f>"20190312151558781"</f>
        <v>20190312151558781</v>
      </c>
      <c r="B3061" t="str">
        <f>"1552374958770222"</f>
        <v>1552374958770222</v>
      </c>
      <c r="C3061" t="s">
        <v>40</v>
      </c>
      <c r="D3061">
        <v>4.7644440000000001</v>
      </c>
      <c r="E3061">
        <v>0.50996459999999999</v>
      </c>
      <c r="F3061" t="s">
        <v>51</v>
      </c>
      <c r="G3061">
        <v>-336.22789999999998</v>
      </c>
      <c r="H3061" s="1">
        <v>1.894528E-6</v>
      </c>
      <c r="I3061">
        <v>211.93700000000001</v>
      </c>
      <c r="J3061">
        <v>-365.13260000000002</v>
      </c>
      <c r="K3061">
        <v>1.1095469999999901</v>
      </c>
      <c r="L3061">
        <v>213.49809999999999</v>
      </c>
      <c r="M3061">
        <v>0.9987781</v>
      </c>
      <c r="N3061">
        <v>0</v>
      </c>
      <c r="O3061">
        <v>4.848363E-2</v>
      </c>
      <c r="P3061">
        <v>0.99964379999999997</v>
      </c>
      <c r="Q3061">
        <v>-3.6981420000000002E-3</v>
      </c>
      <c r="R3061">
        <v>-2.6431530000000002E-2</v>
      </c>
      <c r="S3061">
        <v>2.9966430000000002</v>
      </c>
      <c r="T3061">
        <v>-0.1134154</v>
      </c>
      <c r="U3061">
        <v>-0.15750120000000001</v>
      </c>
      <c r="V3061">
        <v>7.4861280000000002E-2</v>
      </c>
      <c r="W3061">
        <v>5.9440419999999897E-3</v>
      </c>
      <c r="X3061">
        <v>0.99717619999999896</v>
      </c>
      <c r="Y3061">
        <v>0.10073749999999999</v>
      </c>
      <c r="Z3061">
        <v>-3.7375260000000001E-3</v>
      </c>
      <c r="AA3061">
        <v>0.99490599999999996</v>
      </c>
      <c r="AB3061">
        <v>40</v>
      </c>
      <c r="AC3061">
        <v>28.904699999999998</v>
      </c>
      <c r="AD3061">
        <v>-1.10954510547199</v>
      </c>
      <c r="AE3061">
        <v>-1.5610999999999799</v>
      </c>
      <c r="AF3061">
        <v>2.9563893442762299</v>
      </c>
      <c r="AG3061">
        <v>-1.10954510547199</v>
      </c>
      <c r="AH3061">
        <v>28.752768776158401</v>
      </c>
      <c r="AI3061">
        <v>92.198320831416495</v>
      </c>
      <c r="AJ3061">
        <v>84.129419094041097</v>
      </c>
      <c r="AK3061">
        <v>28.9256467618488</v>
      </c>
      <c r="AL3061">
        <v>89.659429460465105</v>
      </c>
      <c r="AM3061">
        <v>85.706672005697996</v>
      </c>
      <c r="AN3061">
        <v>0.99999995836248701</v>
      </c>
    </row>
    <row r="3062" spans="1:40" x14ac:dyDescent="0.25">
      <c r="A3062" t="str">
        <f>"20190312151558803"</f>
        <v>20190312151558803</v>
      </c>
      <c r="B3062" t="str">
        <f>"1552374958790719"</f>
        <v>1552374958790719</v>
      </c>
      <c r="C3062" t="s">
        <v>40</v>
      </c>
      <c r="D3062">
        <v>4.7650509999999997</v>
      </c>
      <c r="E3062">
        <v>0.50994119999999998</v>
      </c>
      <c r="F3062" t="s">
        <v>51</v>
      </c>
      <c r="G3062">
        <v>-336.6814</v>
      </c>
      <c r="H3062" s="1">
        <v>2.1333789999999998E-6</v>
      </c>
      <c r="I3062">
        <v>211.99279999999999</v>
      </c>
      <c r="J3062">
        <v>-364.73399999999998</v>
      </c>
      <c r="K3062">
        <v>1.109491</v>
      </c>
      <c r="L3062">
        <v>213.51779999999999</v>
      </c>
      <c r="M3062">
        <v>0.99875990000000003</v>
      </c>
      <c r="N3062">
        <v>0</v>
      </c>
      <c r="O3062">
        <v>4.8855469999999998E-2</v>
      </c>
      <c r="P3062">
        <v>0.99963650000000004</v>
      </c>
      <c r="Q3062">
        <v>-3.9215559999999997E-3</v>
      </c>
      <c r="R3062">
        <v>-2.667661E-2</v>
      </c>
      <c r="S3062">
        <v>2.9964599999999999</v>
      </c>
      <c r="T3062">
        <v>-0.11685619999999999</v>
      </c>
      <c r="U3062">
        <v>-0.15853879999999901</v>
      </c>
      <c r="V3062">
        <v>7.5477970000000005E-2</v>
      </c>
      <c r="W3062">
        <v>5.7204100000000004E-3</v>
      </c>
      <c r="X3062">
        <v>0.99713099999999999</v>
      </c>
      <c r="Y3062">
        <v>0.1014472</v>
      </c>
      <c r="Z3062">
        <v>-3.8793410000000001E-3</v>
      </c>
      <c r="AA3062">
        <v>0.99483339999999998</v>
      </c>
      <c r="AB3062">
        <v>40</v>
      </c>
      <c r="AC3062">
        <v>28.052600000000002</v>
      </c>
      <c r="AD3062">
        <v>-1.1094888666210001</v>
      </c>
      <c r="AE3062">
        <v>-1.5249999999999999</v>
      </c>
      <c r="AF3062">
        <v>2.8892585014190901</v>
      </c>
      <c r="AG3062">
        <v>-1.1094888666210001</v>
      </c>
      <c r="AH3062">
        <v>27.901075132231401</v>
      </c>
      <c r="AI3062">
        <v>92.265072781708596</v>
      </c>
      <c r="AJ3062">
        <v>84.087884708042793</v>
      </c>
      <c r="AK3062">
        <v>28.072206428558498</v>
      </c>
      <c r="AL3062">
        <v>89.672242842401701</v>
      </c>
      <c r="AM3062">
        <v>85.6712429619418</v>
      </c>
      <c r="AN3062">
        <v>0.99999993910344198</v>
      </c>
    </row>
    <row r="3063" spans="1:40" x14ac:dyDescent="0.25">
      <c r="A3063" t="str">
        <f>"20190312151558825"</f>
        <v>20190312151558825</v>
      </c>
      <c r="B3063" t="str">
        <f>"1552374958820974"</f>
        <v>1552374958820974</v>
      </c>
      <c r="C3063" t="s">
        <v>40</v>
      </c>
      <c r="D3063">
        <v>4.7772790000000001</v>
      </c>
      <c r="E3063">
        <v>0.5098859</v>
      </c>
      <c r="F3063" t="s">
        <v>51</v>
      </c>
      <c r="G3063">
        <v>-336.5872</v>
      </c>
      <c r="H3063" s="1">
        <v>2.082012E-6</v>
      </c>
      <c r="I3063">
        <v>212.02189999999999</v>
      </c>
      <c r="J3063">
        <v>-364.3433</v>
      </c>
      <c r="K3063">
        <v>1.1094310000000001</v>
      </c>
      <c r="L3063">
        <v>213.53710000000001</v>
      </c>
      <c r="M3063">
        <v>0.99874549999999995</v>
      </c>
      <c r="N3063">
        <v>0</v>
      </c>
      <c r="O3063">
        <v>4.914897E-2</v>
      </c>
      <c r="P3063">
        <v>0.99963590000000002</v>
      </c>
      <c r="Q3063">
        <v>-3.591646E-3</v>
      </c>
      <c r="R3063">
        <v>-2.6750699999999999E-2</v>
      </c>
      <c r="S3063">
        <v>2.9963989999999998</v>
      </c>
      <c r="T3063">
        <v>-0.11811199999999999</v>
      </c>
      <c r="U3063">
        <v>-0.15924070000000001</v>
      </c>
      <c r="V3063">
        <v>7.5845360000000001E-2</v>
      </c>
      <c r="W3063">
        <v>6.0484669999999897E-3</v>
      </c>
      <c r="X3063">
        <v>0.99710120000000002</v>
      </c>
      <c r="Y3063">
        <v>0.1019699</v>
      </c>
      <c r="Z3063">
        <v>-3.9429000000000001E-3</v>
      </c>
      <c r="AA3063">
        <v>0.99477959999999999</v>
      </c>
      <c r="AB3063">
        <v>40</v>
      </c>
      <c r="AC3063">
        <v>27.7561</v>
      </c>
      <c r="AD3063">
        <v>-1.1094289179879999</v>
      </c>
      <c r="AE3063">
        <v>-1.5152000000000201</v>
      </c>
      <c r="AF3063">
        <v>2.8730385240776202</v>
      </c>
      <c r="AG3063">
        <v>-1.1094289179879999</v>
      </c>
      <c r="AH3063">
        <v>27.6041078857888</v>
      </c>
      <c r="AI3063">
        <v>92.289167606873207</v>
      </c>
      <c r="AJ3063">
        <v>84.058043212420202</v>
      </c>
      <c r="AK3063">
        <v>27.775383976736801</v>
      </c>
      <c r="AL3063">
        <v>89.653446238950195</v>
      </c>
      <c r="AM3063">
        <v>85.650123850886899</v>
      </c>
      <c r="AN3063">
        <v>0.999999952814008</v>
      </c>
    </row>
    <row r="3064" spans="1:40" x14ac:dyDescent="0.25">
      <c r="A3064" t="str">
        <f>"20190312151558848"</f>
        <v>20190312151558848</v>
      </c>
      <c r="B3064" t="str">
        <f>"1552374958840494"</f>
        <v>1552374958840494</v>
      </c>
      <c r="C3064" t="s">
        <v>40</v>
      </c>
      <c r="D3064">
        <v>4.6149879999999897</v>
      </c>
      <c r="E3064">
        <v>0.50982139999999998</v>
      </c>
      <c r="F3064" t="s">
        <v>51</v>
      </c>
      <c r="G3064">
        <v>-336.14530000000002</v>
      </c>
      <c r="H3064" s="1">
        <v>1.846032E-6</v>
      </c>
      <c r="I3064">
        <v>212.04079999999999</v>
      </c>
      <c r="J3064">
        <v>-363.94229999999999</v>
      </c>
      <c r="K3064">
        <v>1.109359</v>
      </c>
      <c r="L3064">
        <v>213.55709999999999</v>
      </c>
      <c r="M3064">
        <v>0.99873440000000002</v>
      </c>
      <c r="N3064">
        <v>0</v>
      </c>
      <c r="O3064">
        <v>4.9373769999999997E-2</v>
      </c>
      <c r="P3064">
        <v>0.9996332</v>
      </c>
      <c r="Q3064">
        <v>-3.7138610000000002E-3</v>
      </c>
      <c r="R3064">
        <v>-2.6836990000000002E-2</v>
      </c>
      <c r="S3064">
        <v>2.996429</v>
      </c>
      <c r="T3064">
        <v>-0.11789239999999999</v>
      </c>
      <c r="U3064">
        <v>-0.15901179999999901</v>
      </c>
      <c r="V3064">
        <v>7.6156959999999996E-2</v>
      </c>
      <c r="W3064">
        <v>5.9230619999999998E-3</v>
      </c>
      <c r="X3064">
        <v>0.99707820000000003</v>
      </c>
      <c r="Y3064">
        <v>0.1021176</v>
      </c>
      <c r="Z3064">
        <v>-3.9472780000000002E-3</v>
      </c>
      <c r="AA3064">
        <v>0.99476450000000005</v>
      </c>
      <c r="AB3064">
        <v>40</v>
      </c>
      <c r="AC3064">
        <v>27.796999999999901</v>
      </c>
      <c r="AD3064">
        <v>-1.1093571539680001</v>
      </c>
      <c r="AE3064">
        <v>-1.5163</v>
      </c>
      <c r="AF3064">
        <v>2.8823789301580001</v>
      </c>
      <c r="AG3064">
        <v>-1.1093571539680001</v>
      </c>
      <c r="AH3064">
        <v>27.644326188617502</v>
      </c>
      <c r="AI3064">
        <v>92.285649173050103</v>
      </c>
      <c r="AJ3064">
        <v>84.047474698182299</v>
      </c>
      <c r="AK3064">
        <v>27.816318088754301</v>
      </c>
      <c r="AL3064">
        <v>89.660631544654805</v>
      </c>
      <c r="AM3064">
        <v>85.632221646580007</v>
      </c>
      <c r="AN3064">
        <v>0.99999995106756701</v>
      </c>
    </row>
    <row r="3065" spans="1:40" x14ac:dyDescent="0.25">
      <c r="A3065" t="str">
        <f>"20190312151558869"</f>
        <v>20190312151558869</v>
      </c>
      <c r="B3065" t="str">
        <f>"1552374958860990"</f>
        <v>1552374958860990</v>
      </c>
      <c r="C3065" t="s">
        <v>40</v>
      </c>
      <c r="D3065">
        <v>4.4987269999999997</v>
      </c>
      <c r="E3065">
        <v>0.49285030000000002</v>
      </c>
      <c r="F3065" t="s">
        <v>51</v>
      </c>
      <c r="G3065">
        <v>-335.928</v>
      </c>
      <c r="H3065" s="1">
        <v>1.728951E-6</v>
      </c>
      <c r="I3065">
        <v>212.0737</v>
      </c>
      <c r="J3065">
        <v>-363.55189999999999</v>
      </c>
      <c r="K3065">
        <v>1.1092979999999999</v>
      </c>
      <c r="L3065">
        <v>213.57650000000001</v>
      </c>
      <c r="M3065">
        <v>0.99872669999999997</v>
      </c>
      <c r="N3065">
        <v>0</v>
      </c>
      <c r="O3065">
        <v>4.9525670000000001E-2</v>
      </c>
      <c r="P3065">
        <v>0.99963550000000001</v>
      </c>
      <c r="Q3065">
        <v>-3.9339309999999999E-3</v>
      </c>
      <c r="R3065">
        <v>-2.6715369999999999E-2</v>
      </c>
      <c r="S3065">
        <v>2.9963989999999998</v>
      </c>
      <c r="T3065">
        <v>-0.118656399999999</v>
      </c>
      <c r="U3065">
        <v>-0.15866089999999999</v>
      </c>
      <c r="V3065">
        <v>7.6188270000000002E-2</v>
      </c>
      <c r="W3065">
        <v>5.6989519999999898E-3</v>
      </c>
      <c r="X3065">
        <v>0.9970772</v>
      </c>
      <c r="Y3065">
        <v>0.1021516</v>
      </c>
      <c r="Z3065">
        <v>-3.9795710000000003E-3</v>
      </c>
      <c r="AA3065">
        <v>0.99476089999999995</v>
      </c>
      <c r="AB3065">
        <v>40</v>
      </c>
      <c r="AC3065">
        <v>27.6238999999999</v>
      </c>
      <c r="AD3065">
        <v>-1.109296271049</v>
      </c>
      <c r="AE3065">
        <v>-1.5027999999999999</v>
      </c>
      <c r="AF3065">
        <v>2.86450523634239</v>
      </c>
      <c r="AG3065">
        <v>-1.109296271049</v>
      </c>
      <c r="AH3065">
        <v>27.471398129293501</v>
      </c>
      <c r="AI3065">
        <v>92.299894119374002</v>
      </c>
      <c r="AJ3065">
        <v>84.047150935753606</v>
      </c>
      <c r="AK3065">
        <v>27.642605587103201</v>
      </c>
      <c r="AL3065">
        <v>89.673472347206101</v>
      </c>
      <c r="AM3065">
        <v>85.630428533163894</v>
      </c>
      <c r="AN3065">
        <v>1.00000003664966</v>
      </c>
    </row>
    <row r="3066" spans="1:40" x14ac:dyDescent="0.25">
      <c r="A3066" t="str">
        <f>"20190312151558891"</f>
        <v>20190312151558891</v>
      </c>
      <c r="B3066" t="str">
        <f>"1552374958880510"</f>
        <v>1552374958880510</v>
      </c>
      <c r="C3066" t="s">
        <v>40</v>
      </c>
      <c r="D3066">
        <v>4.4741710000000001</v>
      </c>
      <c r="E3066">
        <v>0.4920814</v>
      </c>
      <c r="F3066" t="s">
        <v>51</v>
      </c>
      <c r="G3066">
        <v>-267.584</v>
      </c>
      <c r="H3066" s="1">
        <v>2.5767440000000002E-6</v>
      </c>
      <c r="I3066">
        <v>212.83850000000001</v>
      </c>
      <c r="J3066">
        <v>-363.15620000000001</v>
      </c>
      <c r="K3066">
        <v>1.1092360000000001</v>
      </c>
      <c r="L3066">
        <v>213.59620000000001</v>
      </c>
      <c r="M3066">
        <v>0.99872169999999905</v>
      </c>
      <c r="N3066">
        <v>0</v>
      </c>
      <c r="O3066">
        <v>4.9624260000000003E-2</v>
      </c>
      <c r="P3066">
        <v>0.99962960000000001</v>
      </c>
      <c r="Q3066">
        <v>-4.0525709999999996E-3</v>
      </c>
      <c r="R3066">
        <v>-2.691348E-2</v>
      </c>
      <c r="S3066">
        <v>3.0003359999999999</v>
      </c>
      <c r="T3066">
        <v>-3.4680959999999997E-2</v>
      </c>
      <c r="U3066">
        <v>-2.3071290000000001E-2</v>
      </c>
      <c r="V3066">
        <v>7.6485259999999999E-2</v>
      </c>
      <c r="W3066">
        <v>5.5778379999999999E-3</v>
      </c>
      <c r="X3066">
        <v>0.99705509999999997</v>
      </c>
      <c r="Y3066">
        <v>5.7297830000000001E-2</v>
      </c>
      <c r="Z3066">
        <v>-9.0459549999999996E-4</v>
      </c>
      <c r="AA3066">
        <v>0.99835669999999999</v>
      </c>
      <c r="AB3066">
        <v>40</v>
      </c>
      <c r="AC3066">
        <v>95.572199999999995</v>
      </c>
      <c r="AD3066">
        <v>-1.1092334232559999</v>
      </c>
      <c r="AE3066">
        <v>-0.75769999999999904</v>
      </c>
      <c r="AF3066">
        <v>5.4989445345196399</v>
      </c>
      <c r="AG3066">
        <v>-1.1092334232559999</v>
      </c>
      <c r="AH3066">
        <v>95.403987498755399</v>
      </c>
      <c r="AI3066">
        <v>90.665027093103404</v>
      </c>
      <c r="AJ3066">
        <v>86.701205983403895</v>
      </c>
      <c r="AK3066">
        <v>95.568769064185702</v>
      </c>
      <c r="AL3066">
        <v>89.680411763349198</v>
      </c>
      <c r="AM3066">
        <v>85.613364980046597</v>
      </c>
      <c r="AN3066">
        <v>0.99999998985501504</v>
      </c>
    </row>
    <row r="3067" spans="1:40" x14ac:dyDescent="0.25">
      <c r="A3067" t="str">
        <f>"20190312151558914"</f>
        <v>20190312151558914</v>
      </c>
      <c r="B3067" t="str">
        <f>"1552374958910767"</f>
        <v>1552374958910767</v>
      </c>
      <c r="C3067" t="s">
        <v>40</v>
      </c>
      <c r="D3067">
        <v>4.4849259999999997</v>
      </c>
      <c r="E3067">
        <v>0.49132550000000003</v>
      </c>
      <c r="F3067" t="s">
        <v>51</v>
      </c>
      <c r="G3067">
        <v>-269.99650000000003</v>
      </c>
      <c r="H3067" s="1">
        <v>-1.4702989999999999E-6</v>
      </c>
      <c r="I3067">
        <v>213.0523</v>
      </c>
      <c r="J3067">
        <v>-362.74869999999999</v>
      </c>
      <c r="K3067">
        <v>1.1091759999999999</v>
      </c>
      <c r="L3067">
        <v>213.6164</v>
      </c>
      <c r="M3067">
        <v>0.99871969999999999</v>
      </c>
      <c r="N3067">
        <v>0</v>
      </c>
      <c r="O3067">
        <v>4.966284E-2</v>
      </c>
      <c r="P3067">
        <v>0.99962459999999997</v>
      </c>
      <c r="Q3067">
        <v>-4.3098609999999999E-3</v>
      </c>
      <c r="R3067">
        <v>-2.7061100000000001E-2</v>
      </c>
      <c r="S3067">
        <v>3.0005190000000002</v>
      </c>
      <c r="T3067">
        <v>-3.5726670000000002E-2</v>
      </c>
      <c r="U3067">
        <v>-1.7517089999999999E-2</v>
      </c>
      <c r="V3067">
        <v>7.6671829999999996E-2</v>
      </c>
      <c r="W3067">
        <v>5.3179660000000004E-3</v>
      </c>
      <c r="X3067">
        <v>0.99704219999999999</v>
      </c>
      <c r="Y3067">
        <v>5.5487559999999998E-2</v>
      </c>
      <c r="Z3067">
        <v>-9.2149319999999997E-4</v>
      </c>
      <c r="AA3067">
        <v>0.99845899999999999</v>
      </c>
      <c r="AB3067">
        <v>40</v>
      </c>
      <c r="AC3067">
        <v>92.752199999999903</v>
      </c>
      <c r="AD3067">
        <v>-1.109177470299</v>
      </c>
      <c r="AE3067">
        <v>-0.56409999999999605</v>
      </c>
      <c r="AF3067">
        <v>5.1692155297752702</v>
      </c>
      <c r="AG3067">
        <v>-1.109177470299</v>
      </c>
      <c r="AH3067">
        <v>92.596479429968397</v>
      </c>
      <c r="AI3067">
        <v>90.685224392569907</v>
      </c>
      <c r="AJ3067">
        <v>86.804769055478999</v>
      </c>
      <c r="AK3067">
        <v>92.747286034031504</v>
      </c>
      <c r="AL3067">
        <v>89.695301556236501</v>
      </c>
      <c r="AM3067">
        <v>85.602649936660299</v>
      </c>
      <c r="AN3067">
        <v>0.999999999429383</v>
      </c>
    </row>
    <row r="3068" spans="1:40" x14ac:dyDescent="0.25">
      <c r="A3068" t="str">
        <f>"20190312151558937"</f>
        <v>20190312151558937</v>
      </c>
      <c r="B3068" t="str">
        <f>"1552374958930286"</f>
        <v>1552374958930286</v>
      </c>
      <c r="C3068" t="s">
        <v>40</v>
      </c>
      <c r="D3068">
        <v>4.4344020000000004</v>
      </c>
      <c r="E3068">
        <v>0.49116890000000002</v>
      </c>
      <c r="F3068" t="s">
        <v>52</v>
      </c>
      <c r="G3068">
        <v>-293.1891</v>
      </c>
      <c r="H3068" s="1">
        <v>1.4601079999999901E-6</v>
      </c>
      <c r="I3068">
        <v>213.34020000000001</v>
      </c>
      <c r="J3068">
        <v>-362.34750000000003</v>
      </c>
      <c r="K3068">
        <v>1.109116</v>
      </c>
      <c r="L3068">
        <v>213.63640000000001</v>
      </c>
      <c r="M3068">
        <v>0.99872110000000003</v>
      </c>
      <c r="N3068">
        <v>0</v>
      </c>
      <c r="O3068">
        <v>4.9635480000000003E-2</v>
      </c>
      <c r="P3068">
        <v>0.99961420000000001</v>
      </c>
      <c r="Q3068">
        <v>-4.7329989999999999E-3</v>
      </c>
      <c r="R3068">
        <v>-2.7370700000000001E-2</v>
      </c>
      <c r="S3068">
        <v>3.00061</v>
      </c>
      <c r="T3068">
        <v>-4.784679E-2</v>
      </c>
      <c r="U3068">
        <v>-1.191711E-2</v>
      </c>
      <c r="V3068">
        <v>7.6954399999999895E-2</v>
      </c>
      <c r="W3068">
        <v>4.891678E-3</v>
      </c>
      <c r="X3068">
        <v>0.99702259999999998</v>
      </c>
      <c r="Y3068">
        <v>5.3590899999999997E-2</v>
      </c>
      <c r="Z3068">
        <v>-1.2184730000000001E-3</v>
      </c>
      <c r="AA3068">
        <v>0.99856219999999996</v>
      </c>
      <c r="AB3068">
        <v>40</v>
      </c>
      <c r="AC3068">
        <v>69.1584</v>
      </c>
      <c r="AD3068">
        <v>-1.1091145398919999</v>
      </c>
      <c r="AE3068">
        <v>-0.29619999999999802</v>
      </c>
      <c r="AF3068">
        <v>3.7277452549704</v>
      </c>
      <c r="AG3068">
        <v>-1.1091145398919999</v>
      </c>
      <c r="AH3068">
        <v>69.040688141129493</v>
      </c>
      <c r="AI3068">
        <v>90.919019117390704</v>
      </c>
      <c r="AJ3068">
        <v>86.909403934738407</v>
      </c>
      <c r="AK3068">
        <v>69.150147062383397</v>
      </c>
      <c r="AL3068">
        <v>89.719726374331003</v>
      </c>
      <c r="AM3068">
        <v>85.586421228882202</v>
      </c>
      <c r="AN3068">
        <v>0.99999998655188704</v>
      </c>
    </row>
    <row r="3069" spans="1:40" x14ac:dyDescent="0.25">
      <c r="A3069" t="str">
        <f>"20190312151558959"</f>
        <v>20190312151558959</v>
      </c>
      <c r="B3069" t="str">
        <f>"1552374958950783"</f>
        <v>1552374958950783</v>
      </c>
      <c r="C3069" t="s">
        <v>40</v>
      </c>
      <c r="D3069">
        <v>4.4725479999999997</v>
      </c>
      <c r="E3069">
        <v>0.49121199999999998</v>
      </c>
      <c r="F3069" t="s">
        <v>52</v>
      </c>
      <c r="G3069">
        <v>-299.35169999999999</v>
      </c>
      <c r="H3069" s="1">
        <v>2.5532399999999998E-6</v>
      </c>
      <c r="I3069">
        <v>213.38910000000001</v>
      </c>
      <c r="J3069">
        <v>-361.93029999999999</v>
      </c>
      <c r="K3069">
        <v>1.109059</v>
      </c>
      <c r="L3069">
        <v>213.65710000000001</v>
      </c>
      <c r="M3069">
        <v>0.99872510000000003</v>
      </c>
      <c r="N3069">
        <v>0</v>
      </c>
      <c r="O3069">
        <v>4.9550579999999997E-2</v>
      </c>
      <c r="P3069">
        <v>0.99962229999999996</v>
      </c>
      <c r="Q3069">
        <v>-4.1038849999999998E-3</v>
      </c>
      <c r="R3069">
        <v>-2.7172470000000001E-2</v>
      </c>
      <c r="S3069">
        <v>3.0005799999999998</v>
      </c>
      <c r="T3069">
        <v>-5.2828670000000001E-2</v>
      </c>
      <c r="U3069">
        <v>-1.177979E-2</v>
      </c>
      <c r="V3069">
        <v>7.6672610000000002E-2</v>
      </c>
      <c r="W3069">
        <v>5.5187109999999999E-3</v>
      </c>
      <c r="X3069">
        <v>0.99704099999999996</v>
      </c>
      <c r="Y3069">
        <v>5.3457530000000003E-2</v>
      </c>
      <c r="Z3069">
        <v>-1.3426709999999999E-3</v>
      </c>
      <c r="AA3069">
        <v>0.99856929999999999</v>
      </c>
      <c r="AB3069">
        <v>40</v>
      </c>
      <c r="AC3069">
        <v>62.578600000000002</v>
      </c>
      <c r="AD3069">
        <v>-1.1090564467599999</v>
      </c>
      <c r="AE3069">
        <v>-0.26800000000000002</v>
      </c>
      <c r="AF3069">
        <v>3.36756305098816</v>
      </c>
      <c r="AG3069">
        <v>-1.1090564467599999</v>
      </c>
      <c r="AH3069">
        <v>62.468821560430897</v>
      </c>
      <c r="AI3069">
        <v>91.015634279633204</v>
      </c>
      <c r="AJ3069">
        <v>86.914291561389803</v>
      </c>
      <c r="AK3069">
        <v>62.569354753372899</v>
      </c>
      <c r="AL3069">
        <v>89.683799530635397</v>
      </c>
      <c r="AM3069">
        <v>85.602600105105793</v>
      </c>
      <c r="AN3069">
        <v>0.99999995048815504</v>
      </c>
    </row>
    <row r="3070" spans="1:40" x14ac:dyDescent="0.25">
      <c r="A3070" t="str">
        <f>"20190312151558982"</f>
        <v>20190312151558982</v>
      </c>
      <c r="B3070" t="str">
        <f>"1552374958971278"</f>
        <v>1552374958971278</v>
      </c>
      <c r="C3070" t="s">
        <v>40</v>
      </c>
      <c r="D3070">
        <v>4.4373659999999999</v>
      </c>
      <c r="E3070">
        <v>0.49110979999999999</v>
      </c>
      <c r="F3070" t="s">
        <v>52</v>
      </c>
      <c r="G3070">
        <v>-299.19189999999998</v>
      </c>
      <c r="H3070" s="1">
        <v>2.5248989999999999E-6</v>
      </c>
      <c r="I3070">
        <v>213.41489999999999</v>
      </c>
      <c r="J3070">
        <v>-361.51620000000003</v>
      </c>
      <c r="K3070">
        <v>1.108994</v>
      </c>
      <c r="L3070">
        <v>213.67750000000001</v>
      </c>
      <c r="M3070">
        <v>0.99873199999999995</v>
      </c>
      <c r="N3070">
        <v>0</v>
      </c>
      <c r="O3070">
        <v>4.9409139999999997E-2</v>
      </c>
      <c r="P3070">
        <v>0.99962680000000004</v>
      </c>
      <c r="Q3070">
        <v>-3.3274279999999999E-3</v>
      </c>
      <c r="R3070">
        <v>-2.711821E-2</v>
      </c>
      <c r="S3070">
        <v>3.0005799999999998</v>
      </c>
      <c r="T3070">
        <v>-5.3042649999999997E-2</v>
      </c>
      <c r="U3070">
        <v>-1.158142E-2</v>
      </c>
      <c r="V3070">
        <v>7.6478229999999994E-2</v>
      </c>
      <c r="W3070">
        <v>6.2935569999999904E-3</v>
      </c>
      <c r="X3070">
        <v>0.99705140000000003</v>
      </c>
      <c r="Y3070">
        <v>5.3250020000000002E-2</v>
      </c>
      <c r="Z3070">
        <v>-1.3437760000000001E-3</v>
      </c>
      <c r="AA3070">
        <v>0.99858029999999998</v>
      </c>
      <c r="AB3070">
        <v>40</v>
      </c>
      <c r="AC3070">
        <v>62.324300000000001</v>
      </c>
      <c r="AD3070">
        <v>-1.1089914751009999</v>
      </c>
      <c r="AE3070">
        <v>-0.26260000000001998</v>
      </c>
      <c r="AF3070">
        <v>3.34075496188516</v>
      </c>
      <c r="AG3070">
        <v>-1.1089914751009999</v>
      </c>
      <c r="AH3070">
        <v>62.215497498957603</v>
      </c>
      <c r="AI3070">
        <v>91.019720619535207</v>
      </c>
      <c r="AJ3070">
        <v>86.926368529142806</v>
      </c>
      <c r="AK3070">
        <v>62.314995264783697</v>
      </c>
      <c r="AL3070">
        <v>89.639403369382606</v>
      </c>
      <c r="AM3070">
        <v>85.613750382384197</v>
      </c>
      <c r="AN3070">
        <v>1.0000000113828</v>
      </c>
    </row>
    <row r="3071" spans="1:40" x14ac:dyDescent="0.25">
      <c r="A3071" t="str">
        <f>"20190312151559005"</f>
        <v>20190312151559005</v>
      </c>
      <c r="B3071" t="str">
        <f>"1552374959000558"</f>
        <v>1552374959000558</v>
      </c>
      <c r="C3071" t="s">
        <v>40</v>
      </c>
      <c r="D3071">
        <v>4.3860449999999904</v>
      </c>
      <c r="E3071">
        <v>0.49096289999999998</v>
      </c>
      <c r="F3071" t="s">
        <v>52</v>
      </c>
      <c r="G3071">
        <v>-296.6671</v>
      </c>
      <c r="H3071" s="1">
        <v>2.0770449999999999E-6</v>
      </c>
      <c r="I3071">
        <v>213.45070000000001</v>
      </c>
      <c r="J3071">
        <v>-361.10449999999997</v>
      </c>
      <c r="K3071">
        <v>1.1089199999999999</v>
      </c>
      <c r="L3071">
        <v>213.6978</v>
      </c>
      <c r="M3071">
        <v>0.99874189999999996</v>
      </c>
      <c r="N3071">
        <v>0</v>
      </c>
      <c r="O3071">
        <v>4.9208090000000003E-2</v>
      </c>
      <c r="P3071">
        <v>0.9996294</v>
      </c>
      <c r="Q3071">
        <v>-3.4851299999999999E-3</v>
      </c>
      <c r="R3071">
        <v>-2.7007340000000001E-2</v>
      </c>
      <c r="S3071">
        <v>3.0006710000000001</v>
      </c>
      <c r="T3071">
        <v>-5.1314829999999999E-2</v>
      </c>
      <c r="U3071">
        <v>-1.049805E-2</v>
      </c>
      <c r="V3071">
        <v>7.6167830000000006E-2</v>
      </c>
      <c r="W3071">
        <v>6.1381109999999999E-3</v>
      </c>
      <c r="X3071">
        <v>0.99707610000000002</v>
      </c>
      <c r="Y3071">
        <v>5.26895E-2</v>
      </c>
      <c r="Z3071">
        <v>-1.291742E-3</v>
      </c>
      <c r="AA3071">
        <v>0.99861009999999995</v>
      </c>
      <c r="AB3071">
        <v>40</v>
      </c>
      <c r="AC3071">
        <v>64.437399999999897</v>
      </c>
      <c r="AD3071">
        <v>-1.1089179229549999</v>
      </c>
      <c r="AE3071">
        <v>-0.247099999999988</v>
      </c>
      <c r="AF3071">
        <v>3.4167778527756401</v>
      </c>
      <c r="AG3071">
        <v>-1.1089179229549999</v>
      </c>
      <c r="AH3071">
        <v>64.328119049616205</v>
      </c>
      <c r="AI3071">
        <v>90.9862035003339</v>
      </c>
      <c r="AJ3071">
        <v>86.959600777487594</v>
      </c>
      <c r="AK3071">
        <v>64.428339807235901</v>
      </c>
      <c r="AL3071">
        <v>89.648309930746905</v>
      </c>
      <c r="AM3071">
        <v>85.631591474909101</v>
      </c>
      <c r="AN3071">
        <v>0.99999998196238304</v>
      </c>
    </row>
    <row r="3072" spans="1:40" x14ac:dyDescent="0.25">
      <c r="A3072" t="str">
        <f>"20190312151559028"</f>
        <v>20190312151559028</v>
      </c>
      <c r="B3072" t="str">
        <f>"1552374959021055"</f>
        <v>1552374959021055</v>
      </c>
      <c r="C3072" t="s">
        <v>40</v>
      </c>
      <c r="D3072">
        <v>4.3908050000000003</v>
      </c>
      <c r="E3072">
        <v>0.4910737</v>
      </c>
      <c r="F3072" t="s">
        <v>52</v>
      </c>
      <c r="G3072">
        <v>-282.9033</v>
      </c>
      <c r="H3072" s="1">
        <v>5.9407450000000003E-6</v>
      </c>
      <c r="I3072">
        <v>213.46430000000001</v>
      </c>
      <c r="J3072">
        <v>-360.68259999999998</v>
      </c>
      <c r="K3072">
        <v>1.108849</v>
      </c>
      <c r="L3072">
        <v>213.7184</v>
      </c>
      <c r="M3072">
        <v>0.9987547</v>
      </c>
      <c r="N3072">
        <v>0</v>
      </c>
      <c r="O3072">
        <v>4.8940200000000003E-2</v>
      </c>
      <c r="P3072">
        <v>0.99961789999999995</v>
      </c>
      <c r="Q3072">
        <v>-4.0379659999999996E-3</v>
      </c>
      <c r="R3072">
        <v>-2.7340949999999999E-2</v>
      </c>
      <c r="S3072">
        <v>3.0007630000000001</v>
      </c>
      <c r="T3072">
        <v>-4.2551640000000002E-2</v>
      </c>
      <c r="U3072">
        <v>-8.9569090000000007E-3</v>
      </c>
      <c r="V3072">
        <v>7.6234040000000003E-2</v>
      </c>
      <c r="W3072">
        <v>5.5897589999999997E-3</v>
      </c>
      <c r="X3072">
        <v>0.99707429999999997</v>
      </c>
      <c r="Y3072">
        <v>5.1913430000000003E-2</v>
      </c>
      <c r="Z3072">
        <v>-1.0618400000000001E-3</v>
      </c>
      <c r="AA3072">
        <v>0.99865099999999996</v>
      </c>
      <c r="AB3072">
        <v>41</v>
      </c>
      <c r="AC3072">
        <v>77.779299999999907</v>
      </c>
      <c r="AD3072">
        <v>-1.108843059255</v>
      </c>
      <c r="AE3072">
        <v>-0.254099999999994</v>
      </c>
      <c r="AF3072">
        <v>4.0596836379372396</v>
      </c>
      <c r="AG3072">
        <v>-1.108843059255</v>
      </c>
      <c r="AH3072">
        <v>77.6578697085138</v>
      </c>
      <c r="AI3072">
        <v>90.816930653689894</v>
      </c>
      <c r="AJ3072">
        <v>87.007499717325402</v>
      </c>
      <c r="AK3072">
        <v>77.771815536444095</v>
      </c>
      <c r="AL3072">
        <v>89.679728738397202</v>
      </c>
      <c r="AM3072">
        <v>85.627801027318498</v>
      </c>
      <c r="AN3072">
        <v>1.0000000169904399</v>
      </c>
    </row>
    <row r="3073" spans="1:40" x14ac:dyDescent="0.25">
      <c r="A3073" t="str">
        <f>"20190312151559048"</f>
        <v>20190312151559048</v>
      </c>
      <c r="B3073" t="str">
        <f>"1552374959040576"</f>
        <v>1552374959040576</v>
      </c>
      <c r="C3073" t="s">
        <v>40</v>
      </c>
      <c r="D3073">
        <v>4.3798789999999999</v>
      </c>
      <c r="E3073">
        <v>0.49106420000000001</v>
      </c>
      <c r="F3073" t="s">
        <v>51</v>
      </c>
      <c r="G3073">
        <v>-279.34449999999998</v>
      </c>
      <c r="H3073" s="1">
        <v>3.488133E-6</v>
      </c>
      <c r="I3073">
        <v>213.42179999999999</v>
      </c>
      <c r="J3073">
        <v>-360.3261</v>
      </c>
      <c r="K3073">
        <v>1.108789</v>
      </c>
      <c r="L3073">
        <v>213.73560000000001</v>
      </c>
      <c r="M3073">
        <v>0.99876799999999999</v>
      </c>
      <c r="N3073">
        <v>0</v>
      </c>
      <c r="O3073">
        <v>4.8668469999999998E-2</v>
      </c>
      <c r="P3073">
        <v>0.99959779999999998</v>
      </c>
      <c r="Q3073">
        <v>-4.6131089999999998E-3</v>
      </c>
      <c r="R3073">
        <v>-2.7986049999999998E-2</v>
      </c>
      <c r="S3073">
        <v>3.0006409999999999</v>
      </c>
      <c r="T3073">
        <v>-4.0906430000000001E-2</v>
      </c>
      <c r="U3073">
        <v>-1.094055E-2</v>
      </c>
      <c r="V3073">
        <v>7.6606430000000003E-2</v>
      </c>
      <c r="W3073">
        <v>5.0189919999999999E-3</v>
      </c>
      <c r="X3073">
        <v>0.99704879999999996</v>
      </c>
      <c r="Y3073">
        <v>5.230278E-2</v>
      </c>
      <c r="Z3073">
        <v>-1.019785E-3</v>
      </c>
      <c r="AA3073">
        <v>0.99863080000000004</v>
      </c>
      <c r="AB3073">
        <v>41</v>
      </c>
      <c r="AC3073">
        <v>80.9816</v>
      </c>
      <c r="AD3073">
        <v>-1.108785511867</v>
      </c>
      <c r="AE3073">
        <v>-0.31380000000001401</v>
      </c>
      <c r="AF3073">
        <v>4.2540661781284301</v>
      </c>
      <c r="AG3073">
        <v>-1.108785511867</v>
      </c>
      <c r="AH3073">
        <v>80.855196558793693</v>
      </c>
      <c r="AI3073">
        <v>90.784575643775696</v>
      </c>
      <c r="AJ3073">
        <v>86.988251634968194</v>
      </c>
      <c r="AK3073">
        <v>80.974621301494096</v>
      </c>
      <c r="AL3073">
        <v>89.712431740127897</v>
      </c>
      <c r="AM3073">
        <v>85.606415091538494</v>
      </c>
      <c r="AN3073">
        <v>1.0000000224897401</v>
      </c>
    </row>
    <row r="3074" spans="1:40" x14ac:dyDescent="0.25">
      <c r="A3074" t="str">
        <f>"20190312151559070"</f>
        <v>20190312151559070</v>
      </c>
      <c r="B3074" t="str">
        <f>"1552374959061075"</f>
        <v>1552374959061075</v>
      </c>
      <c r="C3074" t="s">
        <v>40</v>
      </c>
      <c r="D3074">
        <v>4.5225059999999999</v>
      </c>
      <c r="E3074">
        <v>0.48416429999999999</v>
      </c>
      <c r="F3074" t="s">
        <v>51</v>
      </c>
      <c r="G3074">
        <v>-278.02179999999998</v>
      </c>
      <c r="H3074" s="1">
        <v>2.7859209999999998E-6</v>
      </c>
      <c r="I3074">
        <v>213.38319999999999</v>
      </c>
      <c r="J3074">
        <v>-359.91379999999998</v>
      </c>
      <c r="K3074">
        <v>1.108725</v>
      </c>
      <c r="L3074">
        <v>213.75540000000001</v>
      </c>
      <c r="M3074">
        <v>0.99878500000000003</v>
      </c>
      <c r="N3074">
        <v>0</v>
      </c>
      <c r="O3074">
        <v>4.8315400000000001E-2</v>
      </c>
      <c r="P3074">
        <v>0.99955590000000005</v>
      </c>
      <c r="Q3074">
        <v>-4.5495020000000004E-3</v>
      </c>
      <c r="R3074">
        <v>-2.9451089999999999E-2</v>
      </c>
      <c r="S3074">
        <v>3.000702</v>
      </c>
      <c r="T3074">
        <v>-4.042482E-2</v>
      </c>
      <c r="U3074">
        <v>-1.2847900000000001E-2</v>
      </c>
      <c r="V3074">
        <v>7.7716099999999996E-2</v>
      </c>
      <c r="W3074">
        <v>5.0867020000000002E-3</v>
      </c>
      <c r="X3074">
        <v>0.99696249999999997</v>
      </c>
      <c r="Y3074">
        <v>5.258467E-2</v>
      </c>
      <c r="Z3074">
        <v>-1.004907E-3</v>
      </c>
      <c r="AA3074">
        <v>0.99861599999999995</v>
      </c>
      <c r="AB3074">
        <v>41</v>
      </c>
      <c r="AC3074">
        <v>81.891999999999996</v>
      </c>
      <c r="AD3074">
        <v>-1.1087222140790001</v>
      </c>
      <c r="AE3074">
        <v>-0.37220000000002001</v>
      </c>
      <c r="AF3074">
        <v>4.3278030083410801</v>
      </c>
      <c r="AG3074">
        <v>-1.1087222140790001</v>
      </c>
      <c r="AH3074">
        <v>81.763380946844407</v>
      </c>
      <c r="AI3074">
        <v>90.775804818876907</v>
      </c>
      <c r="AJ3074">
        <v>86.970114732109593</v>
      </c>
      <c r="AK3074">
        <v>81.885344278972099</v>
      </c>
      <c r="AL3074">
        <v>89.708552171332002</v>
      </c>
      <c r="AM3074">
        <v>85.542642885907995</v>
      </c>
      <c r="AN3074">
        <v>0.99999994657134705</v>
      </c>
    </row>
    <row r="3075" spans="1:40" x14ac:dyDescent="0.25">
      <c r="A3075" t="str">
        <f>"20190312151559094"</f>
        <v>20190312151559094</v>
      </c>
      <c r="B3075" t="str">
        <f>"1552374959090351"</f>
        <v>1552374959090351</v>
      </c>
      <c r="C3075" t="s">
        <v>40</v>
      </c>
      <c r="D3075">
        <v>4.3252360000000003</v>
      </c>
      <c r="E3075">
        <v>0.49067349999999998</v>
      </c>
      <c r="F3075" t="s">
        <v>51</v>
      </c>
      <c r="G3075">
        <v>-251.30670000000001</v>
      </c>
      <c r="H3075" s="1">
        <v>-8.6351249999999904E-7</v>
      </c>
      <c r="I3075">
        <v>215.12209999999999</v>
      </c>
      <c r="J3075">
        <v>-359.50420000000003</v>
      </c>
      <c r="K3075">
        <v>1.1086769999999999</v>
      </c>
      <c r="L3075">
        <v>213.7749</v>
      </c>
      <c r="M3075">
        <v>0.99880329999999995</v>
      </c>
      <c r="N3075">
        <v>0</v>
      </c>
      <c r="O3075">
        <v>4.7931349999999998E-2</v>
      </c>
      <c r="P3075">
        <v>0.99951089999999998</v>
      </c>
      <c r="Q3075">
        <v>-4.7084559999999998E-3</v>
      </c>
      <c r="R3075">
        <v>-3.0916389999999998E-2</v>
      </c>
      <c r="S3075">
        <v>3.0022890000000002</v>
      </c>
      <c r="T3075">
        <v>-3.064919E-2</v>
      </c>
      <c r="U3075">
        <v>3.7780759999999997E-2</v>
      </c>
      <c r="V3075">
        <v>7.8794719999999999E-2</v>
      </c>
      <c r="W3075">
        <v>4.932685E-3</v>
      </c>
      <c r="X3075">
        <v>0.99687870000000001</v>
      </c>
      <c r="Y3075">
        <v>3.535696E-2</v>
      </c>
      <c r="Z3075">
        <v>-6.6958649999999996E-4</v>
      </c>
      <c r="AA3075">
        <v>0.99937450000000005</v>
      </c>
      <c r="AB3075">
        <v>41</v>
      </c>
      <c r="AC3075">
        <v>108.19750000000001</v>
      </c>
      <c r="AD3075">
        <v>-1.1086778635124901</v>
      </c>
      <c r="AE3075">
        <v>1.34719999999998</v>
      </c>
      <c r="AF3075">
        <v>3.8402428626742799</v>
      </c>
      <c r="AG3075">
        <v>-1.1086778635124901</v>
      </c>
      <c r="AH3075">
        <v>108.126354524219</v>
      </c>
      <c r="AI3075">
        <v>90.587093821337504</v>
      </c>
      <c r="AJ3075">
        <v>87.965923628909493</v>
      </c>
      <c r="AK3075">
        <v>108.200208754635</v>
      </c>
      <c r="AL3075">
        <v>89.717376833281193</v>
      </c>
      <c r="AM3075">
        <v>85.480655516889698</v>
      </c>
      <c r="AN3075">
        <v>1.0000000408974301</v>
      </c>
    </row>
    <row r="3076" spans="1:40" x14ac:dyDescent="0.25">
      <c r="A3076" t="str">
        <f>"20190312151559114"</f>
        <v>20190312151559114</v>
      </c>
      <c r="B3076" t="str">
        <f>"1552374959110846"</f>
        <v>1552374959110846</v>
      </c>
      <c r="C3076" t="s">
        <v>40</v>
      </c>
      <c r="D3076">
        <v>4.3824180000000004</v>
      </c>
      <c r="E3076">
        <v>0.49029250000000002</v>
      </c>
      <c r="F3076" t="s">
        <v>52</v>
      </c>
      <c r="G3076">
        <v>-287.79910000000001</v>
      </c>
      <c r="H3076" s="1">
        <v>3.7854950000000001E-6</v>
      </c>
      <c r="I3076">
        <v>213.33160000000001</v>
      </c>
      <c r="J3076">
        <v>-359.1071</v>
      </c>
      <c r="K3076">
        <v>1.1086469999999999</v>
      </c>
      <c r="L3076">
        <v>213.7937</v>
      </c>
      <c r="M3076">
        <v>0.99882219999999999</v>
      </c>
      <c r="N3076">
        <v>0</v>
      </c>
      <c r="O3076">
        <v>4.7534510000000002E-2</v>
      </c>
      <c r="P3076">
        <v>0.99946429999999997</v>
      </c>
      <c r="Q3076">
        <v>-4.8579699999999996E-3</v>
      </c>
      <c r="R3076">
        <v>-3.237247E-2</v>
      </c>
      <c r="S3076">
        <v>3.0006710000000001</v>
      </c>
      <c r="T3076">
        <v>-4.6395060000000002E-2</v>
      </c>
      <c r="U3076">
        <v>-1.8554689999999999E-2</v>
      </c>
      <c r="V3076">
        <v>7.9850989999999997E-2</v>
      </c>
      <c r="W3076">
        <v>4.7896359999999999E-3</v>
      </c>
      <c r="X3076">
        <v>0.99679530000000005</v>
      </c>
      <c r="Y3076">
        <v>5.3700150000000002E-2</v>
      </c>
      <c r="Z3076">
        <v>-1.149876E-3</v>
      </c>
      <c r="AA3076">
        <v>0.99855640000000001</v>
      </c>
      <c r="AB3076">
        <v>41</v>
      </c>
      <c r="AC3076">
        <v>71.307999999999893</v>
      </c>
      <c r="AD3076">
        <v>-1.108643214505</v>
      </c>
      <c r="AE3076">
        <v>-0.46209999999999202</v>
      </c>
      <c r="AF3076">
        <v>3.8503982425721102</v>
      </c>
      <c r="AG3076">
        <v>-1.108643214505</v>
      </c>
      <c r="AH3076">
        <v>71.188212122375703</v>
      </c>
      <c r="AI3076">
        <v>90.890916528839796</v>
      </c>
      <c r="AJ3076">
        <v>86.904026545748195</v>
      </c>
      <c r="AK3076">
        <v>71.300884998601703</v>
      </c>
      <c r="AL3076">
        <v>89.725573021344204</v>
      </c>
      <c r="AM3076">
        <v>85.4199466422521</v>
      </c>
      <c r="AN3076">
        <v>0.99999999565954101</v>
      </c>
    </row>
    <row r="3077" spans="1:40" x14ac:dyDescent="0.25">
      <c r="A3077" t="str">
        <f>"20190312151559137"</f>
        <v>20190312151559137</v>
      </c>
      <c r="B3077" t="str">
        <f>"1552374959130366"</f>
        <v>1552374959130366</v>
      </c>
      <c r="C3077" t="s">
        <v>40</v>
      </c>
      <c r="D3077">
        <v>4.3911059999999997</v>
      </c>
      <c r="E3077">
        <v>0.49052050000000003</v>
      </c>
      <c r="F3077" t="s">
        <v>52</v>
      </c>
      <c r="G3077">
        <v>-290.80220000000003</v>
      </c>
      <c r="H3077" s="1">
        <v>1.036709E-6</v>
      </c>
      <c r="I3077">
        <v>213.34180000000001</v>
      </c>
      <c r="J3077">
        <v>-358.7079</v>
      </c>
      <c r="K3077">
        <v>1.108614</v>
      </c>
      <c r="L3077">
        <v>213.8124</v>
      </c>
      <c r="M3077">
        <v>0.99884150000000005</v>
      </c>
      <c r="N3077">
        <v>0</v>
      </c>
      <c r="O3077">
        <v>4.7121370000000003E-2</v>
      </c>
      <c r="P3077">
        <v>0.9994324</v>
      </c>
      <c r="Q3077">
        <v>-4.6526780000000004E-3</v>
      </c>
      <c r="R3077">
        <v>-3.336306E-2</v>
      </c>
      <c r="S3077">
        <v>3.000702</v>
      </c>
      <c r="T3077">
        <v>-4.8703910000000003E-2</v>
      </c>
      <c r="U3077">
        <v>-1.985168E-2</v>
      </c>
      <c r="V3077">
        <v>8.0427520000000002E-2</v>
      </c>
      <c r="W3077">
        <v>5.0023020000000001E-3</v>
      </c>
      <c r="X3077">
        <v>0.99674790000000002</v>
      </c>
      <c r="Y3077">
        <v>5.3717500000000001E-2</v>
      </c>
      <c r="Z3077">
        <v>-1.200521E-3</v>
      </c>
      <c r="AA3077">
        <v>0.99855539999999998</v>
      </c>
      <c r="AB3077">
        <v>41</v>
      </c>
      <c r="AC3077">
        <v>67.905699999999896</v>
      </c>
      <c r="AD3077">
        <v>-1.108612963291</v>
      </c>
      <c r="AE3077">
        <v>-0.47059999999999003</v>
      </c>
      <c r="AF3077">
        <v>3.6690613148234599</v>
      </c>
      <c r="AG3077">
        <v>-1.108612963291</v>
      </c>
      <c r="AH3077">
        <v>67.790017575114504</v>
      </c>
      <c r="AI3077">
        <v>90.9355415038563</v>
      </c>
      <c r="AJ3077">
        <v>86.901950740376904</v>
      </c>
      <c r="AK3077">
        <v>67.898288023105906</v>
      </c>
      <c r="AL3077">
        <v>89.713388010097503</v>
      </c>
      <c r="AM3077">
        <v>85.386802108481504</v>
      </c>
      <c r="AN3077">
        <v>0.99999999257652905</v>
      </c>
    </row>
    <row r="3078" spans="1:40" x14ac:dyDescent="0.25">
      <c r="A3078" t="str">
        <f>"20190312151559159"</f>
        <v>20190312151559159</v>
      </c>
      <c r="B3078" t="str">
        <f>"1552374959150862"</f>
        <v>1552374959150862</v>
      </c>
      <c r="C3078" t="s">
        <v>40</v>
      </c>
      <c r="D3078">
        <v>4.3741059999999896</v>
      </c>
      <c r="E3078">
        <v>0.4898555</v>
      </c>
      <c r="F3078" t="s">
        <v>51</v>
      </c>
      <c r="G3078">
        <v>-272.08300000000003</v>
      </c>
      <c r="H3078" s="1">
        <v>-3.6205780000000001E-7</v>
      </c>
      <c r="I3078">
        <v>213.1001</v>
      </c>
      <c r="J3078">
        <v>-358.2989</v>
      </c>
      <c r="K3078">
        <v>1.1085879999999999</v>
      </c>
      <c r="L3078">
        <v>213.8313</v>
      </c>
      <c r="M3078">
        <v>0.99886169999999996</v>
      </c>
      <c r="N3078">
        <v>0</v>
      </c>
      <c r="O3078">
        <v>4.6689759999999997E-2</v>
      </c>
      <c r="P3078">
        <v>0.99940790000000002</v>
      </c>
      <c r="Q3078">
        <v>-4.4212870000000003E-3</v>
      </c>
      <c r="R3078">
        <v>-3.4126110000000001E-2</v>
      </c>
      <c r="S3078">
        <v>3.0006710000000001</v>
      </c>
      <c r="T3078">
        <v>-3.8402199999999997E-2</v>
      </c>
      <c r="U3078">
        <v>-2.4673460000000001E-2</v>
      </c>
      <c r="V3078">
        <v>8.0758269999999993E-2</v>
      </c>
      <c r="W3078">
        <v>5.2426259999999898E-3</v>
      </c>
      <c r="X3078">
        <v>0.99672000000000005</v>
      </c>
      <c r="Y3078">
        <v>5.48955E-2</v>
      </c>
      <c r="Z3078">
        <v>-9.4864139999999999E-4</v>
      </c>
      <c r="AA3078">
        <v>0.99849160000000003</v>
      </c>
      <c r="AB3078">
        <v>41</v>
      </c>
      <c r="AC3078">
        <v>86.215900000000005</v>
      </c>
      <c r="AD3078">
        <v>-1.1085883620578001</v>
      </c>
      <c r="AE3078">
        <v>-0.73120000000000096</v>
      </c>
      <c r="AF3078">
        <v>4.7552080028447996</v>
      </c>
      <c r="AG3078">
        <v>-1.1085883620578001</v>
      </c>
      <c r="AH3078">
        <v>86.073496130832396</v>
      </c>
      <c r="AI3078">
        <v>90.736779980539595</v>
      </c>
      <c r="AJ3078">
        <v>86.837857387490402</v>
      </c>
      <c r="AK3078">
        <v>86.2118768354525</v>
      </c>
      <c r="AL3078">
        <v>89.699618301901097</v>
      </c>
      <c r="AM3078">
        <v>85.3677840925494</v>
      </c>
      <c r="AN3078">
        <v>1.00000007085038</v>
      </c>
    </row>
    <row r="3079" spans="1:40" x14ac:dyDescent="0.25">
      <c r="A3079" t="str">
        <f>"20190312151559183"</f>
        <v>20190312151559183</v>
      </c>
      <c r="B3079" t="str">
        <f>"1552374959170382"</f>
        <v>1552374959170382</v>
      </c>
      <c r="C3079" t="s">
        <v>40</v>
      </c>
      <c r="D3079">
        <v>4.3620749999999999</v>
      </c>
      <c r="E3079">
        <v>0.48996990000000001</v>
      </c>
      <c r="F3079" t="s">
        <v>51</v>
      </c>
      <c r="G3079">
        <v>-267.22899999999998</v>
      </c>
      <c r="H3079" s="1">
        <v>2.3731059999999999E-6</v>
      </c>
      <c r="I3079">
        <v>213.17609999999999</v>
      </c>
      <c r="J3079">
        <v>-357.87950000000001</v>
      </c>
      <c r="K3079">
        <v>1.1085719999999999</v>
      </c>
      <c r="L3079">
        <v>213.85059999999999</v>
      </c>
      <c r="M3079">
        <v>0.9988823</v>
      </c>
      <c r="N3079">
        <v>0</v>
      </c>
      <c r="O3079">
        <v>4.624383E-2</v>
      </c>
      <c r="P3079">
        <v>0.99940280000000004</v>
      </c>
      <c r="Q3079">
        <v>-4.5941530000000001E-3</v>
      </c>
      <c r="R3079">
        <v>-3.4251129999999998E-2</v>
      </c>
      <c r="S3079">
        <v>3.0008849999999998</v>
      </c>
      <c r="T3079">
        <v>-3.6529539999999999E-2</v>
      </c>
      <c r="U3079">
        <v>-2.159119E-2</v>
      </c>
      <c r="V3079">
        <v>8.0437939999999999E-2</v>
      </c>
      <c r="W3079">
        <v>5.0805039999999996E-3</v>
      </c>
      <c r="X3079">
        <v>0.99674669999999999</v>
      </c>
      <c r="Y3079">
        <v>5.3424529999999998E-2</v>
      </c>
      <c r="Z3079">
        <v>-8.8794419999999995E-4</v>
      </c>
      <c r="AA3079">
        <v>0.99857149999999995</v>
      </c>
      <c r="AB3079">
        <v>41</v>
      </c>
      <c r="AC3079">
        <v>90.650499999999894</v>
      </c>
      <c r="AD3079">
        <v>-1.108569626894</v>
      </c>
      <c r="AE3079">
        <v>-0.67449999999999399</v>
      </c>
      <c r="AF3079">
        <v>4.8652776062428096</v>
      </c>
      <c r="AG3079">
        <v>-1.108569626894</v>
      </c>
      <c r="AH3079">
        <v>90.508783398602901</v>
      </c>
      <c r="AI3079">
        <v>90.700723478114497</v>
      </c>
      <c r="AJ3079">
        <v>86.923040747967207</v>
      </c>
      <c r="AK3079">
        <v>90.646233926725799</v>
      </c>
      <c r="AL3079">
        <v>89.708907319128201</v>
      </c>
      <c r="AM3079">
        <v>85.386201482991893</v>
      </c>
      <c r="AN3079">
        <v>1.00000002883661</v>
      </c>
    </row>
    <row r="3080" spans="1:40" x14ac:dyDescent="0.25">
      <c r="A3080" t="str">
        <f>"20190312151559206"</f>
        <v>20190312151559206</v>
      </c>
      <c r="B3080" t="str">
        <f>"1552374959200639"</f>
        <v>1552374959200639</v>
      </c>
      <c r="C3080" t="s">
        <v>40</v>
      </c>
      <c r="D3080">
        <v>4.482145</v>
      </c>
      <c r="E3080">
        <v>0.48986499999999999</v>
      </c>
      <c r="F3080" t="s">
        <v>51</v>
      </c>
      <c r="G3080">
        <v>-253.26329999999999</v>
      </c>
      <c r="H3080" s="1">
        <v>2.6788770000000002E-7</v>
      </c>
      <c r="I3080">
        <v>213.05850000000001</v>
      </c>
      <c r="J3080">
        <v>-357.44569999999999</v>
      </c>
      <c r="K3080">
        <v>1.1085529999999999</v>
      </c>
      <c r="L3080">
        <v>213.87029999999999</v>
      </c>
      <c r="M3080">
        <v>0.9989036</v>
      </c>
      <c r="N3080">
        <v>0</v>
      </c>
      <c r="O3080">
        <v>4.5781830000000003E-2</v>
      </c>
      <c r="P3080">
        <v>0.99938179999999999</v>
      </c>
      <c r="Q3080">
        <v>-4.7750850000000001E-3</v>
      </c>
      <c r="R3080">
        <v>-3.483435E-2</v>
      </c>
      <c r="S3080">
        <v>3.0008849999999998</v>
      </c>
      <c r="T3080">
        <v>-3.179908E-2</v>
      </c>
      <c r="U3080">
        <v>-2.2720339999999999E-2</v>
      </c>
      <c r="V3080">
        <v>8.0558870000000005E-2</v>
      </c>
      <c r="W3080">
        <v>4.9093210000000003E-3</v>
      </c>
      <c r="X3080">
        <v>0.99673780000000001</v>
      </c>
      <c r="Y3080">
        <v>5.33401999999999E-2</v>
      </c>
      <c r="Z3080">
        <v>-7.6762610000000002E-4</v>
      </c>
      <c r="AA3080">
        <v>0.99857609999999997</v>
      </c>
      <c r="AB3080">
        <v>41</v>
      </c>
      <c r="AC3080">
        <v>104.1824</v>
      </c>
      <c r="AD3080">
        <v>-1.1085527321123001</v>
      </c>
      <c r="AE3080">
        <v>-0.81179999999997599</v>
      </c>
      <c r="AF3080">
        <v>5.5802059461481504</v>
      </c>
      <c r="AG3080">
        <v>-1.1085527321123001</v>
      </c>
      <c r="AH3080">
        <v>104.024205979165</v>
      </c>
      <c r="AI3080">
        <v>90.609683188724105</v>
      </c>
      <c r="AJ3080">
        <v>86.929406031042006</v>
      </c>
      <c r="AK3080">
        <v>104.17966700444499</v>
      </c>
      <c r="AL3080">
        <v>89.718715507060693</v>
      </c>
      <c r="AM3080">
        <v>85.379254054916302</v>
      </c>
      <c r="AN3080">
        <v>1.00000003745859</v>
      </c>
    </row>
    <row r="3081" spans="1:40" x14ac:dyDescent="0.25">
      <c r="A3081" t="str">
        <f>"20190312151559226"</f>
        <v>20190312151559226</v>
      </c>
      <c r="B3081" t="str">
        <f>"1552374959221135"</f>
        <v>1552374959221135</v>
      </c>
      <c r="C3081" t="s">
        <v>40</v>
      </c>
      <c r="D3081">
        <v>4.3263290000000003</v>
      </c>
      <c r="E3081">
        <v>0.48968640000000002</v>
      </c>
      <c r="F3081" t="s">
        <v>51</v>
      </c>
      <c r="G3081">
        <v>-255.4341</v>
      </c>
      <c r="H3081" s="1">
        <v>1.4230500000000001E-6</v>
      </c>
      <c r="I3081">
        <v>213.05850000000001</v>
      </c>
      <c r="J3081">
        <v>-357.06220000000002</v>
      </c>
      <c r="K3081">
        <v>1.108538</v>
      </c>
      <c r="L3081">
        <v>213.88759999999999</v>
      </c>
      <c r="M3081">
        <v>0.99892190000000003</v>
      </c>
      <c r="N3081">
        <v>0</v>
      </c>
      <c r="O3081">
        <v>4.537414E-2</v>
      </c>
      <c r="P3081">
        <v>0.99937330000000002</v>
      </c>
      <c r="Q3081">
        <v>-4.458058E-3</v>
      </c>
      <c r="R3081">
        <v>-3.512179E-2</v>
      </c>
      <c r="S3081">
        <v>3.0008240000000002</v>
      </c>
      <c r="T3081">
        <v>-3.2609699999999998E-2</v>
      </c>
      <c r="U3081">
        <v>-2.3879999999999998E-2</v>
      </c>
      <c r="V3081">
        <v>8.0439049999999998E-2</v>
      </c>
      <c r="W3081">
        <v>5.235473E-3</v>
      </c>
      <c r="X3081">
        <v>0.99674580000000002</v>
      </c>
      <c r="Y3081">
        <v>5.331843E-2</v>
      </c>
      <c r="Z3081">
        <v>-7.8266380000000001E-4</v>
      </c>
      <c r="AA3081">
        <v>0.99857720000000005</v>
      </c>
      <c r="AB3081">
        <v>41</v>
      </c>
      <c r="AC3081">
        <v>101.6281</v>
      </c>
      <c r="AD3081">
        <v>-1.10853657695</v>
      </c>
      <c r="AE3081">
        <v>-0.82909999999998196</v>
      </c>
      <c r="AF3081">
        <v>5.4391084117001904</v>
      </c>
      <c r="AG3081">
        <v>-1.10853657695</v>
      </c>
      <c r="AH3081">
        <v>101.473725406863</v>
      </c>
      <c r="AI3081">
        <v>90.624998307542796</v>
      </c>
      <c r="AJ3081">
        <v>86.931816442585003</v>
      </c>
      <c r="AK3081">
        <v>101.62543826033</v>
      </c>
      <c r="AL3081">
        <v>89.700028129067704</v>
      </c>
      <c r="AM3081">
        <v>85.386133941908</v>
      </c>
      <c r="AN3081">
        <v>1.0000000203800301</v>
      </c>
    </row>
    <row r="3082" spans="1:40" x14ac:dyDescent="0.25">
      <c r="A3082" t="str">
        <f>"20190312151559248"</f>
        <v>20190312151559248</v>
      </c>
      <c r="B3082" t="str">
        <f>"1552374959240659"</f>
        <v>1552374959240659</v>
      </c>
      <c r="C3082" t="s">
        <v>40</v>
      </c>
      <c r="D3082">
        <v>4.3611630000000003</v>
      </c>
      <c r="E3082">
        <v>0.48953849999999999</v>
      </c>
      <c r="F3082" t="s">
        <v>51</v>
      </c>
      <c r="G3082">
        <v>-236.26159999999999</v>
      </c>
      <c r="H3082" s="1">
        <v>1.867835E-6</v>
      </c>
      <c r="I3082">
        <v>212.9571</v>
      </c>
      <c r="J3082">
        <v>-356.66129999999998</v>
      </c>
      <c r="K3082">
        <v>1.10853</v>
      </c>
      <c r="L3082">
        <v>213.90549999999999</v>
      </c>
      <c r="M3082">
        <v>0.99894099999999997</v>
      </c>
      <c r="N3082">
        <v>0</v>
      </c>
      <c r="O3082">
        <v>4.4948580000000002E-2</v>
      </c>
      <c r="P3082">
        <v>0.99936150000000001</v>
      </c>
      <c r="Q3082">
        <v>-4.3456220000000004E-3</v>
      </c>
      <c r="R3082">
        <v>-3.546771E-2</v>
      </c>
      <c r="S3082">
        <v>3.0009459999999999</v>
      </c>
      <c r="T3082">
        <v>-2.7538420000000001E-2</v>
      </c>
      <c r="U3082">
        <v>-2.311707E-2</v>
      </c>
      <c r="V3082">
        <v>8.0359849999999997E-2</v>
      </c>
      <c r="W3082">
        <v>5.3565890000000001E-3</v>
      </c>
      <c r="X3082">
        <v>0.99675150000000001</v>
      </c>
      <c r="Y3082">
        <v>5.2640560000000003E-2</v>
      </c>
      <c r="Z3082">
        <v>-6.5391449999999997E-4</v>
      </c>
      <c r="AA3082">
        <v>0.99861330000000004</v>
      </c>
      <c r="AB3082">
        <v>41</v>
      </c>
      <c r="AC3082">
        <v>120.3997</v>
      </c>
      <c r="AD3082">
        <v>-1.108528132165</v>
      </c>
      <c r="AE3082">
        <v>-0.94839999999999203</v>
      </c>
      <c r="AF3082">
        <v>6.3589590406307801</v>
      </c>
      <c r="AG3082">
        <v>-1.108528132165</v>
      </c>
      <c r="AH3082">
        <v>120.22517833540699</v>
      </c>
      <c r="AI3082">
        <v>90.527539534978303</v>
      </c>
      <c r="AJ3082">
        <v>86.972328657126695</v>
      </c>
      <c r="AK3082">
        <v>120.39833346222299</v>
      </c>
      <c r="AL3082">
        <v>89.693088582523103</v>
      </c>
      <c r="AM3082">
        <v>85.390683398558394</v>
      </c>
      <c r="AN3082">
        <v>0.99999997564499299</v>
      </c>
    </row>
    <row r="3083" spans="1:40" x14ac:dyDescent="0.25">
      <c r="A3083" t="str">
        <f>"20190312151559270"</f>
        <v>20190312151559270</v>
      </c>
      <c r="B3083" t="str">
        <f>"1552374959261150"</f>
        <v>1552374959261150</v>
      </c>
      <c r="C3083" t="s">
        <v>40</v>
      </c>
      <c r="D3083">
        <v>4.3459649999999996</v>
      </c>
      <c r="E3083">
        <v>0.463866</v>
      </c>
      <c r="F3083" t="s">
        <v>51</v>
      </c>
      <c r="G3083">
        <v>-240.02889999999999</v>
      </c>
      <c r="H3083" s="1">
        <v>-1.4512209999999999E-6</v>
      </c>
      <c r="I3083">
        <v>213.01</v>
      </c>
      <c r="J3083">
        <v>-356.26170000000002</v>
      </c>
      <c r="K3083">
        <v>1.1085210000000001</v>
      </c>
      <c r="L3083">
        <v>213.92310000000001</v>
      </c>
      <c r="M3083">
        <v>0.99895990000000001</v>
      </c>
      <c r="N3083">
        <v>0</v>
      </c>
      <c r="O3083">
        <v>4.4524609999999999E-2</v>
      </c>
      <c r="P3083">
        <v>0.99934809999999996</v>
      </c>
      <c r="Q3083">
        <v>-3.8237119999999999E-3</v>
      </c>
      <c r="R3083">
        <v>-3.5899050000000002E-2</v>
      </c>
      <c r="S3083">
        <v>3.0009769999999998</v>
      </c>
      <c r="T3083">
        <v>-2.852273E-2</v>
      </c>
      <c r="U3083">
        <v>-2.3040769999999999E-2</v>
      </c>
      <c r="V3083">
        <v>8.0367960000000002E-2</v>
      </c>
      <c r="W3083">
        <v>5.8877769999999899E-3</v>
      </c>
      <c r="X3083">
        <v>0.99674790000000002</v>
      </c>
      <c r="Y3083">
        <v>5.2191000000000001E-2</v>
      </c>
      <c r="Z3083">
        <v>-6.7111619999999999E-4</v>
      </c>
      <c r="AA3083">
        <v>0.99863690000000005</v>
      </c>
      <c r="AB3083">
        <v>41</v>
      </c>
      <c r="AC3083">
        <v>116.2328</v>
      </c>
      <c r="AD3083">
        <v>-1.1085224512209999</v>
      </c>
      <c r="AE3083">
        <v>-0.91310000000001401</v>
      </c>
      <c r="AF3083">
        <v>6.0871110250876699</v>
      </c>
      <c r="AG3083">
        <v>-1.1085224512209999</v>
      </c>
      <c r="AH3083">
        <v>116.06630569641401</v>
      </c>
      <c r="AI3083">
        <v>90.546451163047394</v>
      </c>
      <c r="AJ3083">
        <v>86.997866548994196</v>
      </c>
      <c r="AK3083">
        <v>116.231101950683</v>
      </c>
      <c r="AL3083">
        <v>89.662653286708107</v>
      </c>
      <c r="AM3083">
        <v>85.390203648656495</v>
      </c>
      <c r="AN3083">
        <v>1.00000002553348</v>
      </c>
    </row>
    <row r="3084" spans="1:40" x14ac:dyDescent="0.25">
      <c r="A3084" t="str">
        <f>"20190312151559295"</f>
        <v>20190312151559295</v>
      </c>
      <c r="B3084" t="str">
        <f>"1552374959290431"</f>
        <v>1552374959290431</v>
      </c>
      <c r="C3084" t="s">
        <v>40</v>
      </c>
      <c r="D3084">
        <v>4.4493080000000003</v>
      </c>
      <c r="E3084">
        <v>0.4527079</v>
      </c>
      <c r="F3084" t="s">
        <v>52</v>
      </c>
      <c r="G3084">
        <v>-299.7201</v>
      </c>
      <c r="H3084" s="1">
        <v>2.6185969999999999E-6</v>
      </c>
      <c r="I3084">
        <v>217.30879999999999</v>
      </c>
      <c r="J3084">
        <v>-355.82330000000002</v>
      </c>
      <c r="K3084">
        <v>1.108511</v>
      </c>
      <c r="L3084">
        <v>213.94229999999999</v>
      </c>
      <c r="M3084">
        <v>0.99898050000000005</v>
      </c>
      <c r="N3084">
        <v>0</v>
      </c>
      <c r="O3084">
        <v>4.4058989999999999E-2</v>
      </c>
      <c r="P3084">
        <v>0.99932860000000001</v>
      </c>
      <c r="Q3084">
        <v>-3.4184630000000001E-3</v>
      </c>
      <c r="R3084">
        <v>-3.6479089999999999E-2</v>
      </c>
      <c r="S3084">
        <v>3.0082089999999999</v>
      </c>
      <c r="T3084">
        <v>-5.8977010000000003E-2</v>
      </c>
      <c r="U3084">
        <v>0.18012999999999901</v>
      </c>
      <c r="V3084">
        <v>8.0482620000000005E-2</v>
      </c>
      <c r="W3084">
        <v>6.3026169999999999E-3</v>
      </c>
      <c r="X3084">
        <v>0.99673610000000001</v>
      </c>
      <c r="Y3084">
        <v>-1.573745E-2</v>
      </c>
      <c r="Z3084">
        <v>-7.0836809999999897E-4</v>
      </c>
      <c r="AA3084">
        <v>0.99987590000000004</v>
      </c>
      <c r="AB3084">
        <v>41</v>
      </c>
      <c r="AC3084">
        <v>56.103200000000001</v>
      </c>
      <c r="AD3084">
        <v>-1.1085083814029999</v>
      </c>
      <c r="AE3084">
        <v>3.3664999999999998</v>
      </c>
      <c r="AF3084">
        <v>-0.89091408907607805</v>
      </c>
      <c r="AG3084">
        <v>-1.1085083814029999</v>
      </c>
      <c r="AH3084">
        <v>56.175194669375401</v>
      </c>
      <c r="AI3084">
        <v>91.130332121346896</v>
      </c>
      <c r="AJ3084">
        <v>90.9086099015108</v>
      </c>
      <c r="AK3084">
        <v>56.193193670479197</v>
      </c>
      <c r="AL3084">
        <v>89.638884260302106</v>
      </c>
      <c r="AM3084">
        <v>85.383600898030494</v>
      </c>
      <c r="AN3084">
        <v>1.00000001407316</v>
      </c>
    </row>
    <row r="3085" spans="1:40" x14ac:dyDescent="0.25">
      <c r="A3085" t="str">
        <f>"20190312151559315"</f>
        <v>20190312151559315</v>
      </c>
      <c r="B3085" t="str">
        <f>"1552374959310927"</f>
        <v>1552374959310927</v>
      </c>
      <c r="C3085" t="s">
        <v>40</v>
      </c>
      <c r="D3085">
        <v>4.3652699999999998</v>
      </c>
      <c r="E3085">
        <v>0.4508858</v>
      </c>
      <c r="F3085" t="s">
        <v>52</v>
      </c>
      <c r="G3085">
        <v>-311.78059999999999</v>
      </c>
      <c r="H3085" s="1">
        <v>1.6952629999999999E-6</v>
      </c>
      <c r="I3085">
        <v>217.8527</v>
      </c>
      <c r="J3085">
        <v>-355.42770000000002</v>
      </c>
      <c r="K3085">
        <v>1.1085020000000001</v>
      </c>
      <c r="L3085">
        <v>213.95939999999999</v>
      </c>
      <c r="M3085">
        <v>0.99899890000000002</v>
      </c>
      <c r="N3085">
        <v>0</v>
      </c>
      <c r="O3085">
        <v>4.3638169999999997E-2</v>
      </c>
      <c r="P3085">
        <v>0.99930779999999997</v>
      </c>
      <c r="Q3085">
        <v>-3.387461E-3</v>
      </c>
      <c r="R3085">
        <v>-3.7046870000000003E-2</v>
      </c>
      <c r="S3085">
        <v>3.0114749999999999</v>
      </c>
      <c r="T3085">
        <v>-7.5795650000000006E-2</v>
      </c>
      <c r="U3085">
        <v>0.2673798</v>
      </c>
      <c r="V3085">
        <v>8.0629300000000001E-2</v>
      </c>
      <c r="W3085">
        <v>6.3421939999999998E-3</v>
      </c>
      <c r="X3085">
        <v>0.99672400000000005</v>
      </c>
      <c r="Y3085">
        <v>-4.4885149999999999E-2</v>
      </c>
      <c r="Z3085">
        <v>-5.316025E-4</v>
      </c>
      <c r="AA3085">
        <v>0.99899199999999999</v>
      </c>
      <c r="AB3085">
        <v>41</v>
      </c>
      <c r="AC3085">
        <v>43.647100000000002</v>
      </c>
      <c r="AD3085">
        <v>-1.1085003047369999</v>
      </c>
      <c r="AE3085">
        <v>3.8933</v>
      </c>
      <c r="AF3085">
        <v>-1.9835497285257699</v>
      </c>
      <c r="AG3085">
        <v>-1.1085003047369999</v>
      </c>
      <c r="AH3085">
        <v>43.747428093834301</v>
      </c>
      <c r="AI3085">
        <v>91.449997457036901</v>
      </c>
      <c r="AJ3085">
        <v>92.596066759364604</v>
      </c>
      <c r="AK3085">
        <v>43.806400300370903</v>
      </c>
      <c r="AL3085">
        <v>89.636616622030203</v>
      </c>
      <c r="AM3085">
        <v>85.375168049642696</v>
      </c>
      <c r="AN3085">
        <v>1.00000001980961</v>
      </c>
    </row>
    <row r="3086" spans="1:40" x14ac:dyDescent="0.25">
      <c r="A3086" t="str">
        <f>"20190312151559338"</f>
        <v>20190312151559338</v>
      </c>
      <c r="B3086" t="str">
        <f>"1552374959330447"</f>
        <v>1552374959330447</v>
      </c>
      <c r="C3086" t="s">
        <v>40</v>
      </c>
      <c r="D3086">
        <v>4.3766189999999998</v>
      </c>
      <c r="E3086">
        <v>0.44980799999999999</v>
      </c>
      <c r="F3086" t="s">
        <v>52</v>
      </c>
      <c r="G3086">
        <v>-311.5188</v>
      </c>
      <c r="H3086" s="1">
        <v>1.5791839999999901E-6</v>
      </c>
      <c r="I3086">
        <v>218.04519999999999</v>
      </c>
      <c r="J3086">
        <v>-355.01710000000003</v>
      </c>
      <c r="K3086">
        <v>1.1084940000000001</v>
      </c>
      <c r="L3086">
        <v>213.977</v>
      </c>
      <c r="M3086">
        <v>0.99901779999999996</v>
      </c>
      <c r="N3086">
        <v>0</v>
      </c>
      <c r="O3086">
        <v>4.3200799999999998E-2</v>
      </c>
      <c r="P3086">
        <v>0.99928189999999995</v>
      </c>
      <c r="Q3086">
        <v>-3.727415E-3</v>
      </c>
      <c r="R3086">
        <v>-3.7709510000000002E-2</v>
      </c>
      <c r="S3086">
        <v>3.0122070000000001</v>
      </c>
      <c r="T3086">
        <v>-7.6044559999999997E-2</v>
      </c>
      <c r="U3086">
        <v>0.2802887</v>
      </c>
      <c r="V3086">
        <v>8.0853350000000004E-2</v>
      </c>
      <c r="W3086">
        <v>6.0093680000000002E-3</v>
      </c>
      <c r="X3086">
        <v>0.99670789999999998</v>
      </c>
      <c r="Y3086">
        <v>-4.9545119999999998E-2</v>
      </c>
      <c r="Z3086">
        <v>-4.6340710000000002E-4</v>
      </c>
      <c r="AA3086">
        <v>0.99877179999999999</v>
      </c>
      <c r="AB3086">
        <v>41</v>
      </c>
      <c r="AC3086">
        <v>43.4983</v>
      </c>
      <c r="AD3086">
        <v>-1.1084924208159901</v>
      </c>
      <c r="AE3086">
        <v>4.0681999999999903</v>
      </c>
      <c r="AF3086">
        <v>-2.1837431216165899</v>
      </c>
      <c r="AG3086">
        <v>-1.1084924208159901</v>
      </c>
      <c r="AH3086">
        <v>43.605372149887103</v>
      </c>
      <c r="AI3086">
        <v>91.454380872515799</v>
      </c>
      <c r="AJ3086">
        <v>92.866959200755502</v>
      </c>
      <c r="AK3086">
        <v>43.674088082046602</v>
      </c>
      <c r="AL3086">
        <v>89.655686506219794</v>
      </c>
      <c r="AM3086">
        <v>85.362298116198204</v>
      </c>
      <c r="AN3086">
        <v>1.0000000073161901</v>
      </c>
    </row>
    <row r="3087" spans="1:40" x14ac:dyDescent="0.25">
      <c r="A3087" t="str">
        <f>"20190312151559360"</f>
        <v>20190312151559360</v>
      </c>
      <c r="B3087" t="str">
        <f>"1552374959350946"</f>
        <v>1552374959350946</v>
      </c>
      <c r="C3087" t="s">
        <v>40</v>
      </c>
      <c r="D3087">
        <v>4.3622079999999999</v>
      </c>
      <c r="E3087">
        <v>0.44928370000000001</v>
      </c>
      <c r="F3087" t="s">
        <v>52</v>
      </c>
      <c r="G3087">
        <v>-318.10390000000001</v>
      </c>
      <c r="H3087" s="1">
        <v>4.4993999999999996E-6</v>
      </c>
      <c r="I3087">
        <v>217.48769999999999</v>
      </c>
      <c r="J3087">
        <v>-354.61020000000002</v>
      </c>
      <c r="K3087">
        <v>1.1084860000000001</v>
      </c>
      <c r="L3087">
        <v>213.99430000000001</v>
      </c>
      <c r="M3087">
        <v>0.99903640000000005</v>
      </c>
      <c r="N3087">
        <v>0</v>
      </c>
      <c r="O3087">
        <v>4.276684E-2</v>
      </c>
      <c r="P3087">
        <v>0.99925909999999996</v>
      </c>
      <c r="Q3087">
        <v>-3.8013029999999998E-3</v>
      </c>
      <c r="R3087">
        <v>-3.8304810000000002E-2</v>
      </c>
      <c r="S3087">
        <v>3.0126040000000001</v>
      </c>
      <c r="T3087">
        <v>-9.0467450000000005E-2</v>
      </c>
      <c r="U3087">
        <v>0.2865143</v>
      </c>
      <c r="V3087">
        <v>8.1014100000000006E-2</v>
      </c>
      <c r="W3087">
        <v>5.9349829999999996E-3</v>
      </c>
      <c r="X3087">
        <v>0.99669529999999995</v>
      </c>
      <c r="Y3087">
        <v>-5.2010420000000002E-2</v>
      </c>
      <c r="Z3087">
        <v>-5.0122039999999995E-4</v>
      </c>
      <c r="AA3087">
        <v>0.99864640000000005</v>
      </c>
      <c r="AB3087">
        <v>41</v>
      </c>
      <c r="AC3087">
        <v>36.506300000000003</v>
      </c>
      <c r="AD3087">
        <v>-1.1084815005999999</v>
      </c>
      <c r="AE3087">
        <v>3.4933999999999799</v>
      </c>
      <c r="AF3087">
        <v>-1.9271078488498801</v>
      </c>
      <c r="AG3087">
        <v>-1.1084815005999999</v>
      </c>
      <c r="AH3087">
        <v>36.588877268546</v>
      </c>
      <c r="AI3087">
        <v>91.732878077577297</v>
      </c>
      <c r="AJ3087">
        <v>93.014938563086602</v>
      </c>
      <c r="AK3087">
        <v>36.656355733637703</v>
      </c>
      <c r="AL3087">
        <v>89.659948531277706</v>
      </c>
      <c r="AM3087">
        <v>85.353059441292999</v>
      </c>
      <c r="AN3087">
        <v>1.00000001473205</v>
      </c>
    </row>
    <row r="3088" spans="1:40" x14ac:dyDescent="0.25">
      <c r="A3088" t="str">
        <f>"20190312151559384"</f>
        <v>20190312151559384</v>
      </c>
      <c r="B3088" t="str">
        <f>"1552374959381199"</f>
        <v>1552374959381199</v>
      </c>
      <c r="C3088" t="s">
        <v>40</v>
      </c>
      <c r="D3088">
        <v>4.3399720000000004</v>
      </c>
      <c r="E3088">
        <v>0.44845160000000001</v>
      </c>
      <c r="F3088" t="s">
        <v>51</v>
      </c>
      <c r="G3088">
        <v>-320.46199999999999</v>
      </c>
      <c r="H3088" s="1">
        <v>-1.290929E-6</v>
      </c>
      <c r="I3088">
        <v>217.2724</v>
      </c>
      <c r="J3088">
        <v>-354.16890000000001</v>
      </c>
      <c r="K3088">
        <v>1.1084769999999999</v>
      </c>
      <c r="L3088">
        <v>214.0128</v>
      </c>
      <c r="M3088">
        <v>0.99905650000000001</v>
      </c>
      <c r="N3088">
        <v>0</v>
      </c>
      <c r="O3088">
        <v>4.229608E-2</v>
      </c>
      <c r="P3088">
        <v>0.99923110000000004</v>
      </c>
      <c r="Q3088">
        <v>-4.0483339999999998E-3</v>
      </c>
      <c r="R3088">
        <v>-3.8999989999999998E-2</v>
      </c>
      <c r="S3088">
        <v>3.0129090000000001</v>
      </c>
      <c r="T3088">
        <v>-9.7802280000000005E-2</v>
      </c>
      <c r="U3088">
        <v>0.2892303</v>
      </c>
      <c r="V3088">
        <v>8.1237599999999993E-2</v>
      </c>
      <c r="W3088">
        <v>5.6813089999999998E-3</v>
      </c>
      <c r="X3088">
        <v>0.99667859999999997</v>
      </c>
      <c r="Y3088">
        <v>-5.336188E-2</v>
      </c>
      <c r="Z3088">
        <v>-5.0465690000000001E-4</v>
      </c>
      <c r="AA3088">
        <v>0.99857510000000005</v>
      </c>
      <c r="AB3088">
        <v>41</v>
      </c>
      <c r="AC3088">
        <v>33.706899999999997</v>
      </c>
      <c r="AD3088">
        <v>-1.1084782909290001</v>
      </c>
      <c r="AE3088">
        <v>3.2595999999999998</v>
      </c>
      <c r="AF3088">
        <v>-1.82898409449778</v>
      </c>
      <c r="AG3088">
        <v>-1.1084782909290001</v>
      </c>
      <c r="AH3088">
        <v>33.778416372660999</v>
      </c>
      <c r="AI3088">
        <v>91.876806328969593</v>
      </c>
      <c r="AJ3088">
        <v>93.099341177586794</v>
      </c>
      <c r="AK3088">
        <v>33.8460532349673</v>
      </c>
      <c r="AL3088">
        <v>89.674483230258105</v>
      </c>
      <c r="AM3088">
        <v>85.340218202813006</v>
      </c>
      <c r="AN3088">
        <v>1.00000002831183</v>
      </c>
    </row>
    <row r="3089" spans="1:40" x14ac:dyDescent="0.25">
      <c r="A3089" t="str">
        <f>"20190312151559406"</f>
        <v>20190312151559406</v>
      </c>
      <c r="B3089" t="str">
        <f>"1552374959400718"</f>
        <v>1552374959400718</v>
      </c>
      <c r="C3089" t="s">
        <v>40</v>
      </c>
      <c r="D3089">
        <v>4.3700289999999997</v>
      </c>
      <c r="E3089">
        <v>0.4479149</v>
      </c>
      <c r="F3089" t="s">
        <v>51</v>
      </c>
      <c r="G3089">
        <v>-321.11709999999999</v>
      </c>
      <c r="H3089" s="1">
        <v>-9.423496E-7</v>
      </c>
      <c r="I3089">
        <v>217.2345</v>
      </c>
      <c r="J3089">
        <v>-353.75389999999999</v>
      </c>
      <c r="K3089">
        <v>1.108471</v>
      </c>
      <c r="L3089">
        <v>214.03</v>
      </c>
      <c r="M3089">
        <v>0.99907539999999995</v>
      </c>
      <c r="N3089">
        <v>0</v>
      </c>
      <c r="O3089">
        <v>4.1852889999999997E-2</v>
      </c>
      <c r="P3089">
        <v>0.99922</v>
      </c>
      <c r="Q3089">
        <v>-4.2013889999999998E-3</v>
      </c>
      <c r="R3089">
        <v>-3.9271790000000001E-2</v>
      </c>
      <c r="S3089">
        <v>3.0133670000000001</v>
      </c>
      <c r="T3089">
        <v>-0.1010607</v>
      </c>
      <c r="U3089">
        <v>0.29373169999999998</v>
      </c>
      <c r="V3089">
        <v>8.1066289999999999E-2</v>
      </c>
      <c r="W3089">
        <v>5.5182340000000003E-3</v>
      </c>
      <c r="X3089">
        <v>0.99669339999999995</v>
      </c>
      <c r="Y3089">
        <v>-5.5266469999999998E-2</v>
      </c>
      <c r="Z3089">
        <v>-4.7468100000000002E-4</v>
      </c>
      <c r="AA3089">
        <v>0.99847149999999996</v>
      </c>
      <c r="AB3089">
        <v>41</v>
      </c>
      <c r="AC3089">
        <v>32.636799999999901</v>
      </c>
      <c r="AD3089">
        <v>-1.1084719423495999</v>
      </c>
      <c r="AE3089">
        <v>3.2044999999999901</v>
      </c>
      <c r="AF3089">
        <v>-1.8335865317520501</v>
      </c>
      <c r="AG3089">
        <v>-1.1084719423495999</v>
      </c>
      <c r="AH3089">
        <v>32.704958032884903</v>
      </c>
      <c r="AI3089">
        <v>91.938146380394898</v>
      </c>
      <c r="AJ3089">
        <v>93.208898915736697</v>
      </c>
      <c r="AK3089">
        <v>32.775067193663602</v>
      </c>
      <c r="AL3089">
        <v>89.683826865393499</v>
      </c>
      <c r="AM3089">
        <v>85.350070138912997</v>
      </c>
      <c r="AN3089">
        <v>0.99999996394220003</v>
      </c>
    </row>
    <row r="3090" spans="1:40" x14ac:dyDescent="0.25">
      <c r="A3090" t="str">
        <f>"20190312151559427"</f>
        <v>20190312151559427</v>
      </c>
      <c r="B3090" t="str">
        <f>"1552374959420792"</f>
        <v>1552374959420792</v>
      </c>
      <c r="C3090" t="s">
        <v>40</v>
      </c>
      <c r="D3090">
        <v>4.3512040000000001</v>
      </c>
      <c r="E3090">
        <v>0.44719950000000003</v>
      </c>
      <c r="F3090" t="s">
        <v>51</v>
      </c>
      <c r="G3090">
        <v>-322.08620000000002</v>
      </c>
      <c r="H3090" s="1">
        <v>-4.266361E-7</v>
      </c>
      <c r="I3090">
        <v>217.15119999999999</v>
      </c>
      <c r="J3090">
        <v>-353.36079999999998</v>
      </c>
      <c r="K3090">
        <v>1.1084639999999999</v>
      </c>
      <c r="L3090">
        <v>214.0462</v>
      </c>
      <c r="M3090">
        <v>0.99909289999999995</v>
      </c>
      <c r="N3090">
        <v>0</v>
      </c>
      <c r="O3090">
        <v>4.1433570000000003E-2</v>
      </c>
      <c r="P3090">
        <v>0.9992086</v>
      </c>
      <c r="Q3090">
        <v>-3.891916E-3</v>
      </c>
      <c r="R3090">
        <v>-3.9590239999999999E-2</v>
      </c>
      <c r="S3090">
        <v>3.013611</v>
      </c>
      <c r="T3090">
        <v>-0.105486</v>
      </c>
      <c r="U3090">
        <v>0.2970276</v>
      </c>
      <c r="V3090">
        <v>8.0966049999999998E-2</v>
      </c>
      <c r="W3090">
        <v>5.8152990000000003E-3</v>
      </c>
      <c r="X3090">
        <v>0.99669989999999997</v>
      </c>
      <c r="Y3090">
        <v>-5.6757460000000003E-2</v>
      </c>
      <c r="Z3090">
        <v>-4.5474179999999999E-4</v>
      </c>
      <c r="AA3090">
        <v>0.99838789999999999</v>
      </c>
      <c r="AB3090">
        <v>41</v>
      </c>
      <c r="AC3090">
        <v>31.2745999999999</v>
      </c>
      <c r="AD3090">
        <v>-1.1084644266360999</v>
      </c>
      <c r="AE3090">
        <v>3.10499999999998</v>
      </c>
      <c r="AF3090">
        <v>-1.8042080824898901</v>
      </c>
      <c r="AG3090">
        <v>-1.1084644266360999</v>
      </c>
      <c r="AH3090">
        <v>31.337416202709001</v>
      </c>
      <c r="AI3090">
        <v>92.022470450052793</v>
      </c>
      <c r="AJ3090">
        <v>93.295087136737394</v>
      </c>
      <c r="AK3090">
        <v>31.408876364044701</v>
      </c>
      <c r="AL3090">
        <v>89.666806034301402</v>
      </c>
      <c r="AM3090">
        <v>85.355824852989002</v>
      </c>
      <c r="AN3090">
        <v>1.0000000048075299</v>
      </c>
    </row>
    <row r="3091" spans="1:40" x14ac:dyDescent="0.25">
      <c r="A3091" t="str">
        <f>"20190312151559450"</f>
        <v>20190312151559450</v>
      </c>
      <c r="B3091" t="str">
        <f>"1552374959440317"</f>
        <v>1552374959440317</v>
      </c>
      <c r="C3091" t="s">
        <v>40</v>
      </c>
      <c r="D3091">
        <v>4.3701889999999999</v>
      </c>
      <c r="E3091">
        <v>0.4467354</v>
      </c>
      <c r="F3091" t="s">
        <v>51</v>
      </c>
      <c r="G3091">
        <v>-323.30290000000002</v>
      </c>
      <c r="H3091" s="1">
        <v>2.2083649999999999E-7</v>
      </c>
      <c r="I3091">
        <v>217.05609999999999</v>
      </c>
      <c r="J3091">
        <v>-352.94159999999999</v>
      </c>
      <c r="K3091">
        <v>1.108449</v>
      </c>
      <c r="L3091">
        <v>214.06319999999999</v>
      </c>
      <c r="M3091">
        <v>0.99911159999999999</v>
      </c>
      <c r="N3091">
        <v>0</v>
      </c>
      <c r="O3091">
        <v>4.0986139999999997E-2</v>
      </c>
      <c r="P3091">
        <v>0.99919740000000001</v>
      </c>
      <c r="Q3091">
        <v>-3.7097269999999999E-3</v>
      </c>
      <c r="R3091">
        <v>-3.9888739999999999E-2</v>
      </c>
      <c r="S3091">
        <v>3.0138850000000001</v>
      </c>
      <c r="T3091">
        <v>-0.1111448</v>
      </c>
      <c r="U3091">
        <v>0.30180359999999901</v>
      </c>
      <c r="V3091">
        <v>8.0817799999999995E-2</v>
      </c>
      <c r="W3091">
        <v>5.980282E-3</v>
      </c>
      <c r="X3091">
        <v>0.99671100000000001</v>
      </c>
      <c r="Y3091">
        <v>-5.8759560000000002E-2</v>
      </c>
      <c r="Z3091">
        <v>-4.2578780000000001E-4</v>
      </c>
      <c r="AA3091">
        <v>0.9982721</v>
      </c>
      <c r="AB3091">
        <v>41</v>
      </c>
      <c r="AC3091">
        <v>29.638699999999901</v>
      </c>
      <c r="AD3091">
        <v>-1.1084487791635</v>
      </c>
      <c r="AE3091">
        <v>2.9928999999999899</v>
      </c>
      <c r="AF3091">
        <v>-1.7730956291120701</v>
      </c>
      <c r="AG3091">
        <v>-1.1084487791635</v>
      </c>
      <c r="AH3091">
        <v>29.695351430675199</v>
      </c>
      <c r="AI3091">
        <v>92.1339101137917</v>
      </c>
      <c r="AJ3091">
        <v>93.417047360918701</v>
      </c>
      <c r="AK3091">
        <v>29.768883475826101</v>
      </c>
      <c r="AL3091">
        <v>89.657353055495307</v>
      </c>
      <c r="AM3091">
        <v>85.364342709883601</v>
      </c>
      <c r="AN3091">
        <v>1.00000004904531</v>
      </c>
    </row>
    <row r="3092" spans="1:40" x14ac:dyDescent="0.25">
      <c r="A3092" t="str">
        <f>"20190312151559472"</f>
        <v>20190312151559472</v>
      </c>
      <c r="B3092" t="str">
        <f>"1552374959460808"</f>
        <v>1552374959460808</v>
      </c>
      <c r="C3092" t="s">
        <v>40</v>
      </c>
      <c r="D3092">
        <v>4.3413490000000001</v>
      </c>
      <c r="E3092">
        <v>0.4462043</v>
      </c>
      <c r="F3092" t="s">
        <v>51</v>
      </c>
      <c r="G3092">
        <v>-323.38670000000002</v>
      </c>
      <c r="H3092" s="1">
        <v>2.6544459999999998E-7</v>
      </c>
      <c r="I3092">
        <v>217.0478</v>
      </c>
      <c r="J3092">
        <v>-352.53019999999998</v>
      </c>
      <c r="K3092">
        <v>1.10843799999999</v>
      </c>
      <c r="L3092">
        <v>214.0797</v>
      </c>
      <c r="M3092">
        <v>0.99912970000000001</v>
      </c>
      <c r="N3092">
        <v>0</v>
      </c>
      <c r="O3092">
        <v>4.0546909999999999E-2</v>
      </c>
      <c r="P3092">
        <v>0.99919279999999999</v>
      </c>
      <c r="Q3092">
        <v>-4.0470139999999998E-3</v>
      </c>
      <c r="R3092">
        <v>-3.9971899999999998E-2</v>
      </c>
      <c r="S3092">
        <v>3.01416</v>
      </c>
      <c r="T3092">
        <v>-0.1130453</v>
      </c>
      <c r="U3092">
        <v>0.30438229999999999</v>
      </c>
      <c r="V3092">
        <v>8.0461920000000006E-2</v>
      </c>
      <c r="W3092">
        <v>5.6202769999999999E-3</v>
      </c>
      <c r="X3092">
        <v>0.99674180000000001</v>
      </c>
      <c r="Y3092">
        <v>-6.003327E-2</v>
      </c>
      <c r="Z3092">
        <v>-3.9278389999999999E-4</v>
      </c>
      <c r="AA3092">
        <v>0.99819630000000004</v>
      </c>
      <c r="AB3092">
        <v>41</v>
      </c>
      <c r="AC3092">
        <v>29.1434999999999</v>
      </c>
      <c r="AD3092">
        <v>-1.10843773455539</v>
      </c>
      <c r="AE3092">
        <v>2.96809999999999</v>
      </c>
      <c r="AF3092">
        <v>-1.7813730091476001</v>
      </c>
      <c r="AG3092">
        <v>-1.10843773455539</v>
      </c>
      <c r="AH3092">
        <v>29.198080737614099</v>
      </c>
      <c r="AI3092">
        <v>92.170026985288402</v>
      </c>
      <c r="AJ3092">
        <v>93.491284310580994</v>
      </c>
      <c r="AK3092">
        <v>29.273364049410802</v>
      </c>
      <c r="AL3092">
        <v>89.677980140644493</v>
      </c>
      <c r="AM3092">
        <v>85.384809377217195</v>
      </c>
      <c r="AN3092">
        <v>0.99999996197544005</v>
      </c>
    </row>
    <row r="3093" spans="1:40" x14ac:dyDescent="0.25">
      <c r="A3093" t="str">
        <f>"20190312151559495"</f>
        <v>20190312151559495</v>
      </c>
      <c r="B3093" t="str">
        <f>"1552374959491064"</f>
        <v>1552374959491064</v>
      </c>
      <c r="C3093" t="s">
        <v>40</v>
      </c>
      <c r="D3093">
        <v>4.3344319999999996</v>
      </c>
      <c r="E3093">
        <v>0.44561050000000002</v>
      </c>
      <c r="F3093" t="s">
        <v>51</v>
      </c>
      <c r="G3093">
        <v>-323.62310000000002</v>
      </c>
      <c r="H3093" s="1">
        <v>3.9124149999999999E-7</v>
      </c>
      <c r="I3093">
        <v>217.03700000000001</v>
      </c>
      <c r="J3093">
        <v>-352.10430000000002</v>
      </c>
      <c r="K3093">
        <v>1.1084270000000001</v>
      </c>
      <c r="L3093">
        <v>214.0966</v>
      </c>
      <c r="M3093">
        <v>0.99914829999999999</v>
      </c>
      <c r="N3093">
        <v>0</v>
      </c>
      <c r="O3093">
        <v>4.0092240000000001E-2</v>
      </c>
      <c r="P3093">
        <v>0.99919650000000004</v>
      </c>
      <c r="Q3093">
        <v>-4.3779240000000001E-3</v>
      </c>
      <c r="R3093">
        <v>-3.9843549999999998E-2</v>
      </c>
      <c r="S3093">
        <v>3.0142820000000001</v>
      </c>
      <c r="T3093">
        <v>-0.115582199999999</v>
      </c>
      <c r="U3093">
        <v>0.3083649</v>
      </c>
      <c r="V3093">
        <v>7.9879939999999997E-2</v>
      </c>
      <c r="W3093">
        <v>5.2588390000000004E-3</v>
      </c>
      <c r="X3093">
        <v>0.99679059999999997</v>
      </c>
      <c r="Y3093">
        <v>-6.1786529999999999E-2</v>
      </c>
      <c r="Z3093">
        <v>-3.5066900000000001E-4</v>
      </c>
      <c r="AA3093">
        <v>0.99808929999999996</v>
      </c>
      <c r="AB3093">
        <v>42</v>
      </c>
      <c r="AC3093">
        <v>28.481200000000001</v>
      </c>
      <c r="AD3093">
        <v>-1.1084266087585</v>
      </c>
      <c r="AE3093">
        <v>2.9404000000000101</v>
      </c>
      <c r="AF3093">
        <v>-1.7934184689613499</v>
      </c>
      <c r="AG3093">
        <v>-1.1084266087585</v>
      </c>
      <c r="AH3093">
        <v>28.533430381894298</v>
      </c>
      <c r="AI3093">
        <v>92.2202504888524</v>
      </c>
      <c r="AJ3093">
        <v>93.596494182651099</v>
      </c>
      <c r="AK3093">
        <v>28.611214736711599</v>
      </c>
      <c r="AL3093">
        <v>89.698689325381295</v>
      </c>
      <c r="AM3093">
        <v>85.418271699612703</v>
      </c>
      <c r="AN3093">
        <v>0.99999998022519498</v>
      </c>
    </row>
    <row r="3094" spans="1:40" x14ac:dyDescent="0.25">
      <c r="A3094" t="str">
        <f>"20190312151559516"</f>
        <v>20190312151559516</v>
      </c>
      <c r="B3094" t="str">
        <f>"1552374959510584"</f>
        <v>1552374959510584</v>
      </c>
      <c r="C3094" t="s">
        <v>40</v>
      </c>
      <c r="D3094">
        <v>4.2994300000000001</v>
      </c>
      <c r="E3094">
        <v>0.44526280000000001</v>
      </c>
      <c r="F3094" t="s">
        <v>51</v>
      </c>
      <c r="G3094">
        <v>-324.05599999999998</v>
      </c>
      <c r="H3094" s="1">
        <v>6.2159689999999999E-7</v>
      </c>
      <c r="I3094">
        <v>217.01349999999999</v>
      </c>
      <c r="J3094">
        <v>-351.7079</v>
      </c>
      <c r="K3094">
        <v>1.1084069999999999</v>
      </c>
      <c r="L3094">
        <v>214.1122</v>
      </c>
      <c r="M3094">
        <v>0.99916550000000004</v>
      </c>
      <c r="N3094">
        <v>0</v>
      </c>
      <c r="O3094">
        <v>3.9668879999999997E-2</v>
      </c>
      <c r="P3094">
        <v>0.99918629999999997</v>
      </c>
      <c r="Q3094">
        <v>-4.2861169999999999E-3</v>
      </c>
      <c r="R3094">
        <v>-4.0106040000000003E-2</v>
      </c>
      <c r="S3094">
        <v>3.0144039999999999</v>
      </c>
      <c r="T3094">
        <v>-0.11912440000000001</v>
      </c>
      <c r="U3094">
        <v>0.31347659999999899</v>
      </c>
      <c r="V3094">
        <v>7.9719440000000003E-2</v>
      </c>
      <c r="W3094">
        <v>5.3141500000000001E-3</v>
      </c>
      <c r="X3094">
        <v>0.9968032</v>
      </c>
      <c r="Y3094">
        <v>-6.3877009999999998E-2</v>
      </c>
      <c r="Z3094">
        <v>-3.0351649999999999E-4</v>
      </c>
      <c r="AA3094">
        <v>0.99795769999999995</v>
      </c>
      <c r="AB3094">
        <v>42</v>
      </c>
      <c r="AC3094">
        <v>27.651900000000001</v>
      </c>
      <c r="AD3094">
        <v>-1.1084063784031</v>
      </c>
      <c r="AE3094">
        <v>2.9012999999999902</v>
      </c>
      <c r="AF3094">
        <v>-1.7991849152621699</v>
      </c>
      <c r="AG3094">
        <v>-1.1084063784031</v>
      </c>
      <c r="AH3094">
        <v>27.7012051119859</v>
      </c>
      <c r="AI3094">
        <v>92.286537056704404</v>
      </c>
      <c r="AJ3094">
        <v>93.716124015666693</v>
      </c>
      <c r="AK3094">
        <v>27.781691736021202</v>
      </c>
      <c r="AL3094">
        <v>89.695520207629102</v>
      </c>
      <c r="AM3094">
        <v>85.427496083939403</v>
      </c>
      <c r="AN3094">
        <v>1.0000000244171801</v>
      </c>
    </row>
    <row r="3095" spans="1:40" x14ac:dyDescent="0.25">
      <c r="A3095" t="str">
        <f>"20190312151559538"</f>
        <v>20190312151559538</v>
      </c>
      <c r="B3095" t="str">
        <f>"1552374959530802"</f>
        <v>1552374959530802</v>
      </c>
      <c r="C3095" t="s">
        <v>40</v>
      </c>
      <c r="D3095">
        <v>4.2753909999999999</v>
      </c>
      <c r="E3095">
        <v>0.44495190000000001</v>
      </c>
      <c r="F3095" t="s">
        <v>51</v>
      </c>
      <c r="G3095">
        <v>-323.90649999999999</v>
      </c>
      <c r="H3095" s="1">
        <v>5.4203330000000005E-7</v>
      </c>
      <c r="I3095">
        <v>217.02119999999999</v>
      </c>
      <c r="J3095">
        <v>-351.29020000000003</v>
      </c>
      <c r="K3095">
        <v>1.1083909999999999</v>
      </c>
      <c r="L3095">
        <v>214.1285</v>
      </c>
      <c r="M3095">
        <v>0.99918359999999995</v>
      </c>
      <c r="N3095">
        <v>0</v>
      </c>
      <c r="O3095">
        <v>3.9222849999999997E-2</v>
      </c>
      <c r="P3095">
        <v>0.99917719999999999</v>
      </c>
      <c r="Q3095">
        <v>-4.0242359999999996E-3</v>
      </c>
      <c r="R3095">
        <v>-4.0364410000000003E-2</v>
      </c>
      <c r="S3095">
        <v>3.0145870000000001</v>
      </c>
      <c r="T3095">
        <v>-0.12018760000000001</v>
      </c>
      <c r="U3095">
        <v>0.31542969999999998</v>
      </c>
      <c r="V3095">
        <v>7.9532630000000007E-2</v>
      </c>
      <c r="W3095">
        <v>5.5349229999999998E-3</v>
      </c>
      <c r="X3095">
        <v>0.99681690000000001</v>
      </c>
      <c r="Y3095">
        <v>-6.4954310000000001E-2</v>
      </c>
      <c r="Z3095">
        <v>-2.6708059999999999E-4</v>
      </c>
      <c r="AA3095">
        <v>0.9978882</v>
      </c>
      <c r="AB3095">
        <v>42</v>
      </c>
      <c r="AC3095">
        <v>27.383700000000001</v>
      </c>
      <c r="AD3095">
        <v>-1.1083904579667001</v>
      </c>
      <c r="AE3095">
        <v>2.8926999999999898</v>
      </c>
      <c r="AF3095">
        <v>-1.8134185514872301</v>
      </c>
      <c r="AG3095">
        <v>-1.1083904579667001</v>
      </c>
      <c r="AH3095">
        <v>27.4316450841036</v>
      </c>
      <c r="AI3095">
        <v>92.308774501977297</v>
      </c>
      <c r="AJ3095">
        <v>93.782138166250604</v>
      </c>
      <c r="AK3095">
        <v>27.513854115162001</v>
      </c>
      <c r="AL3095">
        <v>89.6828706539943</v>
      </c>
      <c r="AM3095">
        <v>85.438228183444494</v>
      </c>
      <c r="AN3095">
        <v>1.00000000336647</v>
      </c>
    </row>
    <row r="3096" spans="1:40" x14ac:dyDescent="0.25">
      <c r="A3096" t="str">
        <f>"20190312151559561"</f>
        <v>20190312151559561</v>
      </c>
      <c r="B3096" t="str">
        <f>"1552374959550322"</f>
        <v>1552374959550322</v>
      </c>
      <c r="C3096" t="s">
        <v>40</v>
      </c>
      <c r="D3096">
        <v>4.285812</v>
      </c>
      <c r="E3096">
        <v>0.44506950000000001</v>
      </c>
      <c r="F3096" t="s">
        <v>51</v>
      </c>
      <c r="G3096">
        <v>-323.33030000000002</v>
      </c>
      <c r="H3096" s="1">
        <v>2.3541809999999999E-7</v>
      </c>
      <c r="I3096">
        <v>217.06880000000001</v>
      </c>
      <c r="J3096">
        <v>-350.87979999999999</v>
      </c>
      <c r="K3096">
        <v>1.108382</v>
      </c>
      <c r="L3096">
        <v>214.14420000000001</v>
      </c>
      <c r="M3096">
        <v>0.99920109999999995</v>
      </c>
      <c r="N3096">
        <v>0</v>
      </c>
      <c r="O3096">
        <v>3.8784449999999998E-2</v>
      </c>
      <c r="P3096">
        <v>0.99914930000000002</v>
      </c>
      <c r="Q3096">
        <v>-4.2183780000000001E-3</v>
      </c>
      <c r="R3096">
        <v>-4.1022290000000003E-2</v>
      </c>
      <c r="S3096">
        <v>3.0148009999999998</v>
      </c>
      <c r="T3096">
        <v>-0.1195133</v>
      </c>
      <c r="U3096">
        <v>0.31704710000000003</v>
      </c>
      <c r="V3096">
        <v>7.9751390000000005E-2</v>
      </c>
      <c r="W3096">
        <v>5.2984149999999999E-3</v>
      </c>
      <c r="X3096">
        <v>0.99680069999999998</v>
      </c>
      <c r="Y3096">
        <v>-6.5913490000000005E-2</v>
      </c>
      <c r="Z3096">
        <v>-2.2930269999999999E-4</v>
      </c>
      <c r="AA3096">
        <v>0.99782530000000003</v>
      </c>
      <c r="AB3096">
        <v>42</v>
      </c>
      <c r="AC3096">
        <v>27.549499999999899</v>
      </c>
      <c r="AD3096">
        <v>-1.1083817645818901</v>
      </c>
      <c r="AE3096">
        <v>2.9245999999999901</v>
      </c>
      <c r="AF3096">
        <v>-1.85089491848288</v>
      </c>
      <c r="AG3096">
        <v>-1.1083817645818901</v>
      </c>
      <c r="AH3096">
        <v>27.598030539435001</v>
      </c>
      <c r="AI3096">
        <v>92.294706312142196</v>
      </c>
      <c r="AJ3096">
        <v>93.836864269989306</v>
      </c>
      <c r="AK3096">
        <v>27.682225557041299</v>
      </c>
      <c r="AL3096">
        <v>89.6964217609044</v>
      </c>
      <c r="AM3096">
        <v>85.425659865214101</v>
      </c>
      <c r="AN3096">
        <v>0.99999999646446702</v>
      </c>
    </row>
    <row r="3097" spans="1:40" x14ac:dyDescent="0.25">
      <c r="A3097" t="str">
        <f>"20190312151559585"</f>
        <v>20190312151559585</v>
      </c>
      <c r="B3097" t="str">
        <f>"1552374959581554"</f>
        <v>1552374959581554</v>
      </c>
      <c r="C3097" t="s">
        <v>40</v>
      </c>
      <c r="D3097">
        <v>4.3525320000000001</v>
      </c>
      <c r="E3097">
        <v>0.49557449999999997</v>
      </c>
      <c r="F3097" t="s">
        <v>51</v>
      </c>
      <c r="G3097">
        <v>-322.72480000000002</v>
      </c>
      <c r="H3097" s="1">
        <v>-8.6787200000000006E-8</v>
      </c>
      <c r="I3097">
        <v>217.07730000000001</v>
      </c>
      <c r="J3097">
        <v>-350.43349999999998</v>
      </c>
      <c r="K3097">
        <v>1.1083730000000001</v>
      </c>
      <c r="L3097">
        <v>214.16120000000001</v>
      </c>
      <c r="M3097">
        <v>0.99922</v>
      </c>
      <c r="N3097">
        <v>0</v>
      </c>
      <c r="O3097">
        <v>3.830799E-2</v>
      </c>
      <c r="P3097">
        <v>0.99912140000000005</v>
      </c>
      <c r="Q3097">
        <v>-4.0296669999999998E-3</v>
      </c>
      <c r="R3097">
        <v>-4.1718320000000003E-2</v>
      </c>
      <c r="S3097">
        <v>3.0149539999999999</v>
      </c>
      <c r="T3097">
        <v>-0.1186903</v>
      </c>
      <c r="U3097">
        <v>0.3140869</v>
      </c>
      <c r="V3097">
        <v>7.9970669999999994E-2</v>
      </c>
      <c r="W3097">
        <v>5.4395559999999999E-3</v>
      </c>
      <c r="X3097">
        <v>0.99678239999999996</v>
      </c>
      <c r="Y3097">
        <v>-6.5415260000000003E-2</v>
      </c>
      <c r="Z3097">
        <v>-2.188371E-4</v>
      </c>
      <c r="AA3097">
        <v>0.99785809999999997</v>
      </c>
      <c r="AB3097">
        <v>42</v>
      </c>
      <c r="AC3097">
        <v>27.708699999999901</v>
      </c>
      <c r="AD3097">
        <v>-1.1083730867871999</v>
      </c>
      <c r="AE3097">
        <v>2.9161000000000001</v>
      </c>
      <c r="AF3097">
        <v>-1.84951900531872</v>
      </c>
      <c r="AG3097">
        <v>-1.1083730867871999</v>
      </c>
      <c r="AH3097">
        <v>27.756149096954001</v>
      </c>
      <c r="AI3097">
        <v>92.281695534715197</v>
      </c>
      <c r="AJ3097">
        <v>93.812243851801796</v>
      </c>
      <c r="AK3097">
        <v>27.839774139581099</v>
      </c>
      <c r="AL3097">
        <v>89.688334869554694</v>
      </c>
      <c r="AM3097">
        <v>85.413052258434405</v>
      </c>
      <c r="AN3097">
        <v>1.00000002488974</v>
      </c>
    </row>
    <row r="3098" spans="1:40" x14ac:dyDescent="0.25">
      <c r="A3098" t="str">
        <f>"20190312151559607"</f>
        <v>20190312151559607</v>
      </c>
      <c r="B3098" t="str">
        <f>"1552374959601075"</f>
        <v>1552374959601075</v>
      </c>
      <c r="C3098" t="s">
        <v>40</v>
      </c>
      <c r="D3098">
        <v>4.3356519999999996</v>
      </c>
      <c r="E3098">
        <v>0.50154909999999997</v>
      </c>
      <c r="F3098" t="s">
        <v>52</v>
      </c>
      <c r="G3098">
        <v>-309.46499999999997</v>
      </c>
      <c r="H3098" s="1">
        <v>9.743194E-7</v>
      </c>
      <c r="I3098">
        <v>212.92910000000001</v>
      </c>
      <c r="J3098">
        <v>-350.01139999999998</v>
      </c>
      <c r="K3098">
        <v>1.108366</v>
      </c>
      <c r="L3098">
        <v>214.17699999999999</v>
      </c>
      <c r="M3098">
        <v>0.9992375</v>
      </c>
      <c r="N3098">
        <v>0</v>
      </c>
      <c r="O3098">
        <v>3.7857679999999998E-2</v>
      </c>
      <c r="P3098">
        <v>0.99909780000000004</v>
      </c>
      <c r="Q3098">
        <v>-4.4101069999999999E-3</v>
      </c>
      <c r="R3098">
        <v>-4.2237950000000003E-2</v>
      </c>
      <c r="S3098">
        <v>2.9985050000000002</v>
      </c>
      <c r="T3098">
        <v>-8.1122280000000005E-2</v>
      </c>
      <c r="U3098">
        <v>-9.017944E-2</v>
      </c>
      <c r="V3098">
        <v>8.0039289999999999E-2</v>
      </c>
      <c r="W3098">
        <v>5.0142240000000003E-3</v>
      </c>
      <c r="X3098">
        <v>0.99677910000000003</v>
      </c>
      <c r="Y3098">
        <v>6.7843319999999999E-2</v>
      </c>
      <c r="Z3098">
        <v>-1.9411509999999999E-3</v>
      </c>
      <c r="AA3098">
        <v>0.99769410000000003</v>
      </c>
      <c r="AB3098">
        <v>42</v>
      </c>
      <c r="AC3098">
        <v>40.546399999999998</v>
      </c>
      <c r="AD3098">
        <v>-1.1083650256805999</v>
      </c>
      <c r="AE3098">
        <v>-1.24790000000001</v>
      </c>
      <c r="AF3098">
        <v>2.7799926379591802</v>
      </c>
      <c r="AG3098">
        <v>-1.1083650256805999</v>
      </c>
      <c r="AH3098">
        <v>40.4398967703778</v>
      </c>
      <c r="AI3098">
        <v>91.566258535964096</v>
      </c>
      <c r="AJ3098">
        <v>86.0674566386257</v>
      </c>
      <c r="AK3098">
        <v>40.550488072230102</v>
      </c>
      <c r="AL3098">
        <v>89.712704924033204</v>
      </c>
      <c r="AM3098">
        <v>85.4091180443789</v>
      </c>
      <c r="AN3098">
        <v>1.00000000229141</v>
      </c>
    </row>
    <row r="3099" spans="1:40" x14ac:dyDescent="0.25">
      <c r="A3099" t="str">
        <f>"20190312151559628"</f>
        <v>20190312151559628</v>
      </c>
      <c r="B3099" t="str">
        <f>"1552374959621155"</f>
        <v>1552374959621155</v>
      </c>
      <c r="C3099" t="s">
        <v>40</v>
      </c>
      <c r="D3099">
        <v>4.4599589999999996</v>
      </c>
      <c r="E3099">
        <v>0.50461729999999905</v>
      </c>
      <c r="F3099" t="s">
        <v>52</v>
      </c>
      <c r="G3099">
        <v>-314.80869999999999</v>
      </c>
      <c r="H3099" s="1">
        <v>3.0381219999999999E-6</v>
      </c>
      <c r="I3099">
        <v>212.5378</v>
      </c>
      <c r="J3099">
        <v>-349.6062</v>
      </c>
      <c r="K3099">
        <v>1.108357</v>
      </c>
      <c r="L3099">
        <v>214.19200000000001</v>
      </c>
      <c r="M3099">
        <v>0.99925419999999998</v>
      </c>
      <c r="N3099">
        <v>0</v>
      </c>
      <c r="O3099">
        <v>3.7425590000000002E-2</v>
      </c>
      <c r="P3099">
        <v>0.99906189999999995</v>
      </c>
      <c r="Q3099">
        <v>-4.1853460000000004E-3</v>
      </c>
      <c r="R3099">
        <v>-4.3106029999999997E-2</v>
      </c>
      <c r="S3099">
        <v>2.9963989999999998</v>
      </c>
      <c r="T3099">
        <v>-9.4342229999999999E-2</v>
      </c>
      <c r="U3099">
        <v>-0.13952639999999999</v>
      </c>
      <c r="V3099">
        <v>8.0474399999999904E-2</v>
      </c>
      <c r="W3099">
        <v>5.1963729999999998E-3</v>
      </c>
      <c r="X3099">
        <v>0.99674309999999999</v>
      </c>
      <c r="Y3099">
        <v>8.3808499999999994E-2</v>
      </c>
      <c r="Z3099">
        <v>-2.49585E-3</v>
      </c>
      <c r="AA3099">
        <v>0.99647870000000005</v>
      </c>
      <c r="AB3099">
        <v>42</v>
      </c>
      <c r="AC3099">
        <v>34.797499999999999</v>
      </c>
      <c r="AD3099">
        <v>-1.1083539618780001</v>
      </c>
      <c r="AE3099">
        <v>-1.6541999999999999</v>
      </c>
      <c r="AF3099">
        <v>2.9524282620900499</v>
      </c>
      <c r="AG3099">
        <v>-1.1083539618780001</v>
      </c>
      <c r="AH3099">
        <v>34.676106754333297</v>
      </c>
      <c r="AI3099">
        <v>91.824128869957704</v>
      </c>
      <c r="AJ3099">
        <v>85.133401826724295</v>
      </c>
      <c r="AK3099">
        <v>34.819213959903202</v>
      </c>
      <c r="AL3099">
        <v>89.702268409289303</v>
      </c>
      <c r="AM3099">
        <v>85.384102628083397</v>
      </c>
      <c r="AN3099">
        <v>0.999999969372662</v>
      </c>
    </row>
    <row r="3100" spans="1:40" x14ac:dyDescent="0.25">
      <c r="A3100" t="str">
        <f>"20190312151559651"</f>
        <v>20190312151559651</v>
      </c>
      <c r="B3100" t="str">
        <f>"1552374959640675"</f>
        <v>1552374959640675</v>
      </c>
      <c r="C3100" t="s">
        <v>40</v>
      </c>
      <c r="D3100">
        <v>4.2725949999999999</v>
      </c>
      <c r="E3100">
        <v>0.50602079999999905</v>
      </c>
      <c r="F3100" t="s">
        <v>52</v>
      </c>
      <c r="G3100">
        <v>-313.19560000000001</v>
      </c>
      <c r="H3100" s="1">
        <v>2.3227689999999998E-6</v>
      </c>
      <c r="I3100">
        <v>212.16820000000001</v>
      </c>
      <c r="J3100">
        <v>-349.19909999999999</v>
      </c>
      <c r="K3100">
        <v>1.1083540000000001</v>
      </c>
      <c r="L3100">
        <v>214.20699999999999</v>
      </c>
      <c r="M3100">
        <v>0.99927069999999996</v>
      </c>
      <c r="N3100">
        <v>0</v>
      </c>
      <c r="O3100">
        <v>3.699177E-2</v>
      </c>
      <c r="P3100">
        <v>0.99901379999999995</v>
      </c>
      <c r="Q3100">
        <v>-4.3521920000000004E-3</v>
      </c>
      <c r="R3100">
        <v>-4.4190670000000001E-2</v>
      </c>
      <c r="S3100">
        <v>2.9952390000000002</v>
      </c>
      <c r="T3100">
        <v>-9.1176389999999996E-2</v>
      </c>
      <c r="U3100">
        <v>-0.16648859999999999</v>
      </c>
      <c r="V3100">
        <v>8.1123580000000001E-2</v>
      </c>
      <c r="W3100">
        <v>4.987521E-3</v>
      </c>
      <c r="X3100">
        <v>0.99669160000000001</v>
      </c>
      <c r="Y3100">
        <v>9.2337420000000003E-2</v>
      </c>
      <c r="Z3100">
        <v>-2.529051E-3</v>
      </c>
      <c r="AA3100">
        <v>0.99572459999999996</v>
      </c>
      <c r="AB3100">
        <v>42</v>
      </c>
      <c r="AC3100">
        <v>36.003499999999903</v>
      </c>
      <c r="AD3100">
        <v>-1.108351677231</v>
      </c>
      <c r="AE3100">
        <v>-2.0387999999999802</v>
      </c>
      <c r="AF3100">
        <v>3.36611753721929</v>
      </c>
      <c r="AG3100">
        <v>-1.108351677231</v>
      </c>
      <c r="AH3100">
        <v>35.869549210120603</v>
      </c>
      <c r="AI3100">
        <v>91.7621115183602</v>
      </c>
      <c r="AJ3100">
        <v>84.638874820588498</v>
      </c>
      <c r="AK3100">
        <v>36.044191643759497</v>
      </c>
      <c r="AL3100">
        <v>89.714234919723793</v>
      </c>
      <c r="AM3100">
        <v>85.346790066210801</v>
      </c>
      <c r="AN3100">
        <v>1.0000000280541499</v>
      </c>
    </row>
    <row r="3101" spans="1:40" x14ac:dyDescent="0.25">
      <c r="A3101" t="str">
        <f>"20190312151559673"</f>
        <v>20190312151559673</v>
      </c>
      <c r="B3101" t="str">
        <f>"1552374959670931"</f>
        <v>1552374959670931</v>
      </c>
      <c r="C3101" t="s">
        <v>40</v>
      </c>
      <c r="D3101">
        <v>4.2490110000000003</v>
      </c>
      <c r="E3101">
        <v>0.50769049999999905</v>
      </c>
      <c r="F3101" t="s">
        <v>52</v>
      </c>
      <c r="G3101">
        <v>-310.91180000000003</v>
      </c>
      <c r="H3101" s="1">
        <v>1.3100130000000001E-6</v>
      </c>
      <c r="I3101">
        <v>211.8955</v>
      </c>
      <c r="J3101">
        <v>-348.77460000000002</v>
      </c>
      <c r="K3101">
        <v>1.1083369999999999</v>
      </c>
      <c r="L3101">
        <v>214.22229999999999</v>
      </c>
      <c r="M3101">
        <v>0.9992877</v>
      </c>
      <c r="N3101">
        <v>0</v>
      </c>
      <c r="O3101">
        <v>3.6540120000000002E-2</v>
      </c>
      <c r="P3101">
        <v>0.99898900000000002</v>
      </c>
      <c r="Q3101">
        <v>-4.1605590000000003E-3</v>
      </c>
      <c r="R3101">
        <v>-4.47626E-2</v>
      </c>
      <c r="S3101">
        <v>2.9945680000000001</v>
      </c>
      <c r="T3101">
        <v>-8.6687799999999995E-2</v>
      </c>
      <c r="U3101">
        <v>-0.18078610000000001</v>
      </c>
      <c r="V3101">
        <v>8.12441E-2</v>
      </c>
      <c r="W3101">
        <v>5.1372459999999998E-3</v>
      </c>
      <c r="X3101">
        <v>0.99668100000000004</v>
      </c>
      <c r="Y3101">
        <v>9.6641119999999997E-2</v>
      </c>
      <c r="Z3101">
        <v>-2.4539919999999999E-3</v>
      </c>
      <c r="AA3101">
        <v>0.99531630000000004</v>
      </c>
      <c r="AB3101">
        <v>42</v>
      </c>
      <c r="AC3101">
        <v>37.862799999999901</v>
      </c>
      <c r="AD3101">
        <v>-1.1083356899869901</v>
      </c>
      <c r="AE3101">
        <v>-2.3267999999999902</v>
      </c>
      <c r="AF3101">
        <v>3.7056554243402702</v>
      </c>
      <c r="AG3101">
        <v>-1.1083356899869901</v>
      </c>
      <c r="AH3101">
        <v>37.720287197600598</v>
      </c>
      <c r="AI3101">
        <v>91.674979666266495</v>
      </c>
      <c r="AJ3101">
        <v>84.3892446339716</v>
      </c>
      <c r="AK3101">
        <v>37.918074270657698</v>
      </c>
      <c r="AL3101">
        <v>89.705656192779699</v>
      </c>
      <c r="AM3101">
        <v>85.339858177633502</v>
      </c>
      <c r="AN3101">
        <v>1.00000000542113</v>
      </c>
    </row>
    <row r="3102" spans="1:40" x14ac:dyDescent="0.25">
      <c r="A3102" t="str">
        <f>"20190312151559695"</f>
        <v>20190312151559695</v>
      </c>
      <c r="B3102" t="str">
        <f>"1552374959690451"</f>
        <v>1552374959690451</v>
      </c>
      <c r="C3102" t="s">
        <v>40</v>
      </c>
      <c r="D3102">
        <v>4.2539860000000003</v>
      </c>
      <c r="E3102">
        <v>0.50796160000000001</v>
      </c>
      <c r="F3102" t="s">
        <v>52</v>
      </c>
      <c r="G3102">
        <v>-314.55380000000002</v>
      </c>
      <c r="H3102" s="1">
        <v>2.9250809999999999E-6</v>
      </c>
      <c r="I3102">
        <v>211.98410000000001</v>
      </c>
      <c r="J3102">
        <v>-348.3562</v>
      </c>
      <c r="K3102">
        <v>1.1083289999999999</v>
      </c>
      <c r="L3102">
        <v>214.2373</v>
      </c>
      <c r="M3102">
        <v>0.99930419999999998</v>
      </c>
      <c r="N3102">
        <v>0</v>
      </c>
      <c r="O3102">
        <v>3.6094769999999998E-2</v>
      </c>
      <c r="P3102">
        <v>0.99893929999999997</v>
      </c>
      <c r="Q3102">
        <v>-3.5555500000000002E-3</v>
      </c>
      <c r="R3102">
        <v>-4.5909609999999997E-2</v>
      </c>
      <c r="S3102">
        <v>2.9938660000000001</v>
      </c>
      <c r="T3102">
        <v>-9.6964480000000006E-2</v>
      </c>
      <c r="U3102">
        <v>-0.19581599999999999</v>
      </c>
      <c r="V3102">
        <v>8.1945050000000005E-2</v>
      </c>
      <c r="W3102">
        <v>5.7032439999999997E-3</v>
      </c>
      <c r="X3102">
        <v>0.99662050000000002</v>
      </c>
      <c r="Y3102">
        <v>0.1011715</v>
      </c>
      <c r="Z3102">
        <v>-2.80386E-3</v>
      </c>
      <c r="AA3102">
        <v>0.99486509999999995</v>
      </c>
      <c r="AB3102">
        <v>42</v>
      </c>
      <c r="AC3102">
        <v>33.802399999999899</v>
      </c>
      <c r="AD3102">
        <v>-1.108326074919</v>
      </c>
      <c r="AE3102">
        <v>-2.2531999999999899</v>
      </c>
      <c r="AF3102">
        <v>3.4681632820350798</v>
      </c>
      <c r="AG3102">
        <v>-1.108326074919</v>
      </c>
      <c r="AH3102">
        <v>33.663008848888701</v>
      </c>
      <c r="AI3102">
        <v>91.875812034679697</v>
      </c>
      <c r="AJ3102">
        <v>84.117801511231804</v>
      </c>
      <c r="AK3102">
        <v>33.8593370874204</v>
      </c>
      <c r="AL3102">
        <v>89.673226407827897</v>
      </c>
      <c r="AM3102">
        <v>85.299547180950896</v>
      </c>
      <c r="AN3102">
        <v>0.99999996961593696</v>
      </c>
    </row>
    <row r="3103" spans="1:40" x14ac:dyDescent="0.25">
      <c r="A3103" t="str">
        <f>"20190312151559708"</f>
        <v>20190312151559708</v>
      </c>
      <c r="B3103" t="str">
        <f>"1552374959701188"</f>
        <v>1552374959701188</v>
      </c>
      <c r="C3103" t="s">
        <v>40</v>
      </c>
      <c r="D3103">
        <v>4.2148180000000002</v>
      </c>
      <c r="E3103">
        <v>0.50834579999999996</v>
      </c>
      <c r="F3103" t="s">
        <v>52</v>
      </c>
      <c r="G3103">
        <v>-314.71690000000001</v>
      </c>
      <c r="H3103" s="1">
        <v>2.9974010000000001E-6</v>
      </c>
      <c r="I3103">
        <v>211.97380000000001</v>
      </c>
      <c r="J3103">
        <v>-348.10399999999998</v>
      </c>
      <c r="K3103">
        <v>1.1083259999999999</v>
      </c>
      <c r="L3103">
        <v>214.24619999999999</v>
      </c>
      <c r="M3103">
        <v>0.99931409999999998</v>
      </c>
      <c r="N3103">
        <v>0</v>
      </c>
      <c r="O3103">
        <v>3.5826419999999998E-2</v>
      </c>
      <c r="P3103">
        <v>0.99891850000000004</v>
      </c>
      <c r="Q3103">
        <v>-3.265109E-3</v>
      </c>
      <c r="R3103">
        <v>-4.6383109999999998E-2</v>
      </c>
      <c r="S3103">
        <v>2.9935909999999999</v>
      </c>
      <c r="T3103">
        <v>-9.8630910000000002E-2</v>
      </c>
      <c r="U3103">
        <v>-0.20143130000000001</v>
      </c>
      <c r="V3103">
        <v>8.215016E-2</v>
      </c>
      <c r="W3103">
        <v>5.9731289999999998E-3</v>
      </c>
      <c r="X3103">
        <v>0.99660210000000005</v>
      </c>
      <c r="Y3103">
        <v>0.1027648</v>
      </c>
      <c r="Z3103">
        <v>-2.8694969999999999E-3</v>
      </c>
      <c r="AA3103">
        <v>0.99470159999999996</v>
      </c>
      <c r="AB3103">
        <v>42</v>
      </c>
      <c r="AC3103">
        <v>33.387099999999997</v>
      </c>
      <c r="AD3103">
        <v>-1.1083230025990001</v>
      </c>
      <c r="AE3103">
        <v>-2.27239999999997</v>
      </c>
      <c r="AF3103">
        <v>3.4633348923806202</v>
      </c>
      <c r="AG3103">
        <v>-1.1083230025990001</v>
      </c>
      <c r="AH3103">
        <v>33.247779417168204</v>
      </c>
      <c r="AI3103">
        <v>91.898994596946594</v>
      </c>
      <c r="AJ3103">
        <v>84.0530951163759</v>
      </c>
      <c r="AK3103">
        <v>33.446044678370299</v>
      </c>
      <c r="AL3103">
        <v>89.657762895175395</v>
      </c>
      <c r="AM3103">
        <v>85.287748166955694</v>
      </c>
      <c r="AN3103">
        <v>1.00000003639124</v>
      </c>
    </row>
    <row r="3104" spans="1:40" x14ac:dyDescent="0.25">
      <c r="A3104" t="str">
        <f>"20190312151559729"</f>
        <v>20190312151559729</v>
      </c>
      <c r="B3104" t="str">
        <f>"1552374959720407"</f>
        <v>1552374959720407</v>
      </c>
      <c r="C3104" t="s">
        <v>40</v>
      </c>
      <c r="D3104">
        <v>4.1896190000000004</v>
      </c>
      <c r="E3104">
        <v>0.50873190000000001</v>
      </c>
      <c r="F3104" t="s">
        <v>52</v>
      </c>
      <c r="G3104">
        <v>-314.60629999999998</v>
      </c>
      <c r="H3104" s="1">
        <v>2.948363E-6</v>
      </c>
      <c r="I3104">
        <v>211.94220000000001</v>
      </c>
      <c r="J3104">
        <v>-347.72309999999999</v>
      </c>
      <c r="K3104">
        <v>1.1083209999999999</v>
      </c>
      <c r="L3104">
        <v>214.2595</v>
      </c>
      <c r="M3104">
        <v>0.99932889999999996</v>
      </c>
      <c r="N3104">
        <v>0</v>
      </c>
      <c r="O3104">
        <v>3.542095E-2</v>
      </c>
      <c r="P3104">
        <v>0.99886299999999995</v>
      </c>
      <c r="Q3104">
        <v>-3.59903E-3</v>
      </c>
      <c r="R3104">
        <v>-4.753984E-2</v>
      </c>
      <c r="S3104">
        <v>2.9934080000000001</v>
      </c>
      <c r="T3104">
        <v>-9.9041580000000004E-2</v>
      </c>
      <c r="U3104">
        <v>-0.20588680000000001</v>
      </c>
      <c r="V3104">
        <v>8.289937E-2</v>
      </c>
      <c r="W3104">
        <v>5.6093080000000003E-3</v>
      </c>
      <c r="X3104">
        <v>0.99654219999999905</v>
      </c>
      <c r="Y3104">
        <v>0.103838</v>
      </c>
      <c r="Z3104">
        <v>-2.8858059999999999E-3</v>
      </c>
      <c r="AA3104">
        <v>0.99458999999999997</v>
      </c>
      <c r="AB3104">
        <v>42</v>
      </c>
      <c r="AC3104">
        <v>33.116799999999998</v>
      </c>
      <c r="AD3104">
        <v>-1.1083180516369999</v>
      </c>
      <c r="AE3104">
        <v>-2.3172999999999799</v>
      </c>
      <c r="AF3104">
        <v>3.4850409799554201</v>
      </c>
      <c r="AG3104">
        <v>-1.1083180516369999</v>
      </c>
      <c r="AH3104">
        <v>32.977176567101402</v>
      </c>
      <c r="AI3104">
        <v>91.914256821486504</v>
      </c>
      <c r="AJ3104">
        <v>83.967351241198202</v>
      </c>
      <c r="AK3104">
        <v>33.179331727346998</v>
      </c>
      <c r="AL3104">
        <v>89.678608660491903</v>
      </c>
      <c r="AM3104">
        <v>85.244684069934095</v>
      </c>
      <c r="AN3104">
        <v>1.0000000631317301</v>
      </c>
    </row>
    <row r="3105" spans="1:40" x14ac:dyDescent="0.25">
      <c r="A3105" t="str">
        <f>"20190312151559751"</f>
        <v>20190312151559751</v>
      </c>
      <c r="B3105" t="str">
        <f>"1552374959740913"</f>
        <v>1552374959740913</v>
      </c>
      <c r="C3105" t="s">
        <v>40</v>
      </c>
      <c r="D3105">
        <v>4.1922519999999999</v>
      </c>
      <c r="E3105">
        <v>0.50900059999999903</v>
      </c>
      <c r="F3105" t="s">
        <v>52</v>
      </c>
      <c r="G3105">
        <v>-316.42079999999999</v>
      </c>
      <c r="H3105" s="1">
        <v>3.7530150000000001E-6</v>
      </c>
      <c r="I3105">
        <v>212.03649999999999</v>
      </c>
      <c r="J3105">
        <v>-347.30399999999997</v>
      </c>
      <c r="K3105">
        <v>1.108309</v>
      </c>
      <c r="L3105">
        <v>214.2741</v>
      </c>
      <c r="M3105">
        <v>0.99934489999999998</v>
      </c>
      <c r="N3105">
        <v>0</v>
      </c>
      <c r="O3105">
        <v>3.4975310000000003E-2</v>
      </c>
      <c r="P3105">
        <v>0.99882340000000003</v>
      </c>
      <c r="Q3105">
        <v>-3.7348390000000002E-3</v>
      </c>
      <c r="R3105">
        <v>-4.8356669999999997E-2</v>
      </c>
      <c r="S3105">
        <v>2.99295</v>
      </c>
      <c r="T3105">
        <v>-0.1059713</v>
      </c>
      <c r="U3105">
        <v>-0.21255489999999999</v>
      </c>
      <c r="V3105">
        <v>8.3269720000000005E-2</v>
      </c>
      <c r="W3105">
        <v>5.446233E-3</v>
      </c>
      <c r="X3105">
        <v>0.99651219999999996</v>
      </c>
      <c r="Y3105">
        <v>0.105598</v>
      </c>
      <c r="Z3105">
        <v>-3.1031940000000001E-3</v>
      </c>
      <c r="AA3105">
        <v>0.99440410000000001</v>
      </c>
      <c r="AB3105">
        <v>42</v>
      </c>
      <c r="AC3105">
        <v>30.883199999999999</v>
      </c>
      <c r="AD3105">
        <v>-1.1083052469850001</v>
      </c>
      <c r="AE3105">
        <v>-2.2376000000000098</v>
      </c>
      <c r="AF3105">
        <v>3.3121836708247998</v>
      </c>
      <c r="AG3105">
        <v>-1.1083052469850001</v>
      </c>
      <c r="AH3105">
        <v>30.746648066205001</v>
      </c>
      <c r="AI3105">
        <v>92.052546438075794</v>
      </c>
      <c r="AJ3105">
        <v>83.8515208337339</v>
      </c>
      <c r="AK3105">
        <v>30.944389935767699</v>
      </c>
      <c r="AL3105">
        <v>89.687952303518102</v>
      </c>
      <c r="AM3105">
        <v>85.223394808194101</v>
      </c>
      <c r="AN3105">
        <v>1.0000000362357999</v>
      </c>
    </row>
    <row r="3106" spans="1:40" x14ac:dyDescent="0.25">
      <c r="A3106" t="str">
        <f>"20190312151559774"</f>
        <v>20190312151559774</v>
      </c>
      <c r="B3106" t="str">
        <f>"1552374959771159"</f>
        <v>1552374959771159</v>
      </c>
      <c r="C3106" t="s">
        <v>40</v>
      </c>
      <c r="D3106">
        <v>4.1623950000000001</v>
      </c>
      <c r="E3106">
        <v>0.50909040000000005</v>
      </c>
      <c r="F3106" t="s">
        <v>52</v>
      </c>
      <c r="G3106">
        <v>-315.86329999999998</v>
      </c>
      <c r="H3106" s="1">
        <v>3.5057810000000001E-6</v>
      </c>
      <c r="I3106">
        <v>211.99440000000001</v>
      </c>
      <c r="J3106">
        <v>-346.88240000000002</v>
      </c>
      <c r="K3106">
        <v>1.1083050000000001</v>
      </c>
      <c r="L3106">
        <v>214.2885</v>
      </c>
      <c r="M3106">
        <v>0.99936060000000004</v>
      </c>
      <c r="N3106">
        <v>0</v>
      </c>
      <c r="O3106">
        <v>3.4527250000000002E-2</v>
      </c>
      <c r="P3106">
        <v>0.99878789999999995</v>
      </c>
      <c r="Q3106">
        <v>-3.8577770000000002E-3</v>
      </c>
      <c r="R3106">
        <v>-4.9072530000000003E-2</v>
      </c>
      <c r="S3106">
        <v>2.9926149999999998</v>
      </c>
      <c r="T3106">
        <v>-0.1054918</v>
      </c>
      <c r="U3106">
        <v>-0.21698000000000001</v>
      </c>
      <c r="V3106">
        <v>8.3536799999999994E-2</v>
      </c>
      <c r="W3106">
        <v>5.3003219999999997E-3</v>
      </c>
      <c r="X3106">
        <v>0.9964906</v>
      </c>
      <c r="Y3106">
        <v>0.1066233</v>
      </c>
      <c r="Z3106">
        <v>-3.0916189999999999E-3</v>
      </c>
      <c r="AA3106">
        <v>0.99429469999999998</v>
      </c>
      <c r="AB3106">
        <v>42</v>
      </c>
      <c r="AC3106">
        <v>31.019100000000002</v>
      </c>
      <c r="AD3106">
        <v>-1.1083014942189999</v>
      </c>
      <c r="AE3106">
        <v>-2.2940999999999798</v>
      </c>
      <c r="AF3106">
        <v>3.35951700200554</v>
      </c>
      <c r="AG3106">
        <v>-1.1083014942189999</v>
      </c>
      <c r="AH3106">
        <v>30.882181132892701</v>
      </c>
      <c r="AI3106">
        <v>92.043307583019796</v>
      </c>
      <c r="AJ3106">
        <v>83.7914946365741</v>
      </c>
      <c r="AK3106">
        <v>31.084140622086501</v>
      </c>
      <c r="AL3106">
        <v>89.696312498341797</v>
      </c>
      <c r="AM3106">
        <v>85.208042127057894</v>
      </c>
      <c r="AN3106">
        <v>1.0000000031279499</v>
      </c>
    </row>
    <row r="3107" spans="1:40" x14ac:dyDescent="0.25">
      <c r="A3107" t="str">
        <f>"20190312151559797"</f>
        <v>20190312151559797</v>
      </c>
      <c r="B3107" t="str">
        <f>"1552374959790679"</f>
        <v>1552374959790679</v>
      </c>
      <c r="C3107" t="s">
        <v>40</v>
      </c>
      <c r="D3107">
        <v>4.3241509999999996</v>
      </c>
      <c r="E3107">
        <v>0.50928469999999904</v>
      </c>
      <c r="F3107" t="s">
        <v>52</v>
      </c>
      <c r="G3107">
        <v>-316.14830000000001</v>
      </c>
      <c r="H3107" s="1">
        <v>3.6321560000000002E-6</v>
      </c>
      <c r="I3107">
        <v>212.0283</v>
      </c>
      <c r="J3107">
        <v>-346.42959999999999</v>
      </c>
      <c r="K3107">
        <v>1.1082970000000001</v>
      </c>
      <c r="L3107">
        <v>214.30369999999999</v>
      </c>
      <c r="M3107">
        <v>0.99937719999999997</v>
      </c>
      <c r="N3107">
        <v>0</v>
      </c>
      <c r="O3107">
        <v>3.4046569999999998E-2</v>
      </c>
      <c r="P3107">
        <v>0.99873389999999995</v>
      </c>
      <c r="Q3107">
        <v>-4.205266E-3</v>
      </c>
      <c r="R3107">
        <v>-5.013128E-2</v>
      </c>
      <c r="S3107">
        <v>2.9924010000000001</v>
      </c>
      <c r="T3107">
        <v>-0.1079088</v>
      </c>
      <c r="U3107">
        <v>-0.22006229999999999</v>
      </c>
      <c r="V3107">
        <v>8.411341E-2</v>
      </c>
      <c r="W3107">
        <v>4.9322089999999999E-3</v>
      </c>
      <c r="X3107">
        <v>0.996444</v>
      </c>
      <c r="Y3107">
        <v>0.1071648</v>
      </c>
      <c r="Z3107">
        <v>-3.1549600000000001E-3</v>
      </c>
      <c r="AA3107">
        <v>0.99423629999999996</v>
      </c>
      <c r="AB3107">
        <v>42</v>
      </c>
      <c r="AC3107">
        <v>30.281299999999899</v>
      </c>
      <c r="AD3107">
        <v>-1.1082933678439999</v>
      </c>
      <c r="AE3107">
        <v>-2.2753999999999901</v>
      </c>
      <c r="AF3107">
        <v>3.30070282783538</v>
      </c>
      <c r="AG3107">
        <v>-1.1082933678439999</v>
      </c>
      <c r="AH3107">
        <v>30.146114294844999</v>
      </c>
      <c r="AI3107">
        <v>92.092980055377694</v>
      </c>
      <c r="AJ3107">
        <v>83.751565645333002</v>
      </c>
      <c r="AK3107">
        <v>30.346518093922199</v>
      </c>
      <c r="AL3107">
        <v>89.717404100153004</v>
      </c>
      <c r="AM3107">
        <v>85.174896837076403</v>
      </c>
      <c r="AN3107">
        <v>1.00000001878172</v>
      </c>
    </row>
    <row r="3108" spans="1:40" x14ac:dyDescent="0.25">
      <c r="A3108" t="str">
        <f>"20190312151559820"</f>
        <v>20190312151559820</v>
      </c>
      <c r="B3108" t="str">
        <f>"1552374959811175"</f>
        <v>1552374959811175</v>
      </c>
      <c r="C3108" t="s">
        <v>40</v>
      </c>
      <c r="D3108">
        <v>4.2374700000000001</v>
      </c>
      <c r="E3108">
        <v>0.50998750000000004</v>
      </c>
      <c r="F3108" t="s">
        <v>52</v>
      </c>
      <c r="G3108">
        <v>-315.21800000000002</v>
      </c>
      <c r="H3108" s="1">
        <v>3.2195959999999999E-6</v>
      </c>
      <c r="I3108">
        <v>211.96119999999999</v>
      </c>
      <c r="J3108">
        <v>-345.98950000000002</v>
      </c>
      <c r="K3108">
        <v>1.1082989999999999</v>
      </c>
      <c r="L3108">
        <v>214.3184</v>
      </c>
      <c r="M3108">
        <v>0.99939330000000004</v>
      </c>
      <c r="N3108">
        <v>0</v>
      </c>
      <c r="O3108">
        <v>3.3578980000000001E-2</v>
      </c>
      <c r="P3108">
        <v>0.99868900000000005</v>
      </c>
      <c r="Q3108">
        <v>-4.4248930000000001E-3</v>
      </c>
      <c r="R3108">
        <v>-5.0999040000000002E-2</v>
      </c>
      <c r="S3108">
        <v>2.9921259999999998</v>
      </c>
      <c r="T3108">
        <v>-0.10624740000000001</v>
      </c>
      <c r="U3108">
        <v>-0.2245636</v>
      </c>
      <c r="V3108">
        <v>8.4512799999999999E-2</v>
      </c>
      <c r="W3108">
        <v>4.6961770000000002E-3</v>
      </c>
      <c r="X3108">
        <v>0.9964113</v>
      </c>
      <c r="Y3108">
        <v>0.10819620000000001</v>
      </c>
      <c r="Z3108">
        <v>-3.1082359999999999E-3</v>
      </c>
      <c r="AA3108">
        <v>0.99412469999999997</v>
      </c>
      <c r="AB3108">
        <v>42</v>
      </c>
      <c r="AC3108">
        <v>30.7715</v>
      </c>
      <c r="AD3108">
        <v>-1.1082957804039999</v>
      </c>
      <c r="AE3108">
        <v>-2.3572000000000002</v>
      </c>
      <c r="AF3108">
        <v>3.3848250826096802</v>
      </c>
      <c r="AG3108">
        <v>-1.1082957804039999</v>
      </c>
      <c r="AH3108">
        <v>30.635480546861199</v>
      </c>
      <c r="AI3108">
        <v>92.059357701573106</v>
      </c>
      <c r="AJ3108">
        <v>83.695128448466903</v>
      </c>
      <c r="AK3108">
        <v>30.841822720355498</v>
      </c>
      <c r="AL3108">
        <v>89.730927881787693</v>
      </c>
      <c r="AM3108">
        <v>85.151936723146207</v>
      </c>
      <c r="AN3108">
        <v>0.99999997310497202</v>
      </c>
    </row>
    <row r="3109" spans="1:40" x14ac:dyDescent="0.25">
      <c r="A3109" t="str">
        <f>"20190312151559840"</f>
        <v>20190312151559840</v>
      </c>
      <c r="B3109" t="str">
        <f>"1552374959830694"</f>
        <v>1552374959830694</v>
      </c>
      <c r="C3109" t="s">
        <v>40</v>
      </c>
      <c r="D3109">
        <v>4.1126969999999998</v>
      </c>
      <c r="E3109">
        <v>0.51121779999999895</v>
      </c>
      <c r="F3109" t="s">
        <v>52</v>
      </c>
      <c r="G3109">
        <v>-314.33640000000003</v>
      </c>
      <c r="H3109" s="1">
        <v>2.8286689999999999E-6</v>
      </c>
      <c r="I3109">
        <v>211.85579999999999</v>
      </c>
      <c r="J3109">
        <v>-345.62009999999998</v>
      </c>
      <c r="K3109">
        <v>1.1082970000000001</v>
      </c>
      <c r="L3109">
        <v>214.3305</v>
      </c>
      <c r="M3109">
        <v>0.99940629999999997</v>
      </c>
      <c r="N3109">
        <v>0</v>
      </c>
      <c r="O3109">
        <v>3.3186889999999997E-2</v>
      </c>
      <c r="P3109">
        <v>0.99867030000000001</v>
      </c>
      <c r="Q3109">
        <v>-4.2093790000000001E-3</v>
      </c>
      <c r="R3109">
        <v>-5.1382579999999997E-2</v>
      </c>
      <c r="S3109">
        <v>2.9915769999999999</v>
      </c>
      <c r="T3109">
        <v>-0.104746699999999</v>
      </c>
      <c r="U3109">
        <v>-0.23274230000000001</v>
      </c>
      <c r="V3109">
        <v>8.4504860000000001E-2</v>
      </c>
      <c r="W3109">
        <v>4.9016909999999997E-3</v>
      </c>
      <c r="X3109">
        <v>0.99641100000000005</v>
      </c>
      <c r="Y3109">
        <v>0.1105228</v>
      </c>
      <c r="Z3109">
        <v>-3.091566E-3</v>
      </c>
      <c r="AA3109">
        <v>0.9938688</v>
      </c>
      <c r="AB3109">
        <v>42</v>
      </c>
      <c r="AC3109">
        <v>31.2836999999999</v>
      </c>
      <c r="AD3109">
        <v>-1.1082941713309999</v>
      </c>
      <c r="AE3109">
        <v>-2.4747000000000101</v>
      </c>
      <c r="AF3109">
        <v>3.5072154302053602</v>
      </c>
      <c r="AG3109">
        <v>-1.1082941713309999</v>
      </c>
      <c r="AH3109">
        <v>31.145487992702702</v>
      </c>
      <c r="AI3109">
        <v>92.025188319624405</v>
      </c>
      <c r="AJ3109">
        <v>83.575131223333997</v>
      </c>
      <c r="AK3109">
        <v>31.3619243406342</v>
      </c>
      <c r="AL3109">
        <v>89.719152665613095</v>
      </c>
      <c r="AM3109">
        <v>85.152388576793399</v>
      </c>
      <c r="AN3109">
        <v>0.99999998942963897</v>
      </c>
    </row>
    <row r="3110" spans="1:40" x14ac:dyDescent="0.25">
      <c r="A3110" t="str">
        <f>"20190312151559862"</f>
        <v>20190312151559862</v>
      </c>
      <c r="B3110" t="str">
        <f>"1552374959860951"</f>
        <v>1552374959860951</v>
      </c>
      <c r="C3110" t="s">
        <v>40</v>
      </c>
      <c r="D3110">
        <v>4.1034660000000001</v>
      </c>
      <c r="E3110">
        <v>0.51294810000000002</v>
      </c>
      <c r="F3110" t="s">
        <v>52</v>
      </c>
      <c r="G3110">
        <v>-312.49119999999999</v>
      </c>
      <c r="H3110" s="1">
        <v>2.0104120000000002E-6</v>
      </c>
      <c r="I3110">
        <v>211.6301</v>
      </c>
      <c r="J3110">
        <v>-345.17419999999998</v>
      </c>
      <c r="K3110">
        <v>1.1082920000000001</v>
      </c>
      <c r="L3110">
        <v>214.3449</v>
      </c>
      <c r="M3110">
        <v>0.99942209999999998</v>
      </c>
      <c r="N3110">
        <v>0</v>
      </c>
      <c r="O3110">
        <v>3.271379E-2</v>
      </c>
      <c r="P3110">
        <v>0.99863380000000002</v>
      </c>
      <c r="Q3110">
        <v>-3.7035890000000002E-3</v>
      </c>
      <c r="R3110">
        <v>-5.2121199999999999E-2</v>
      </c>
      <c r="S3110">
        <v>2.991028</v>
      </c>
      <c r="T3110">
        <v>-0.1000621</v>
      </c>
      <c r="U3110">
        <v>-0.24380489999999999</v>
      </c>
      <c r="V3110">
        <v>8.4770990000000004E-2</v>
      </c>
      <c r="W3110">
        <v>5.3980719999999899E-3</v>
      </c>
      <c r="X3110">
        <v>0.99638579999999999</v>
      </c>
      <c r="Y3110">
        <v>0.1137248</v>
      </c>
      <c r="Z3110">
        <v>-2.9911600000000001E-3</v>
      </c>
      <c r="AA3110">
        <v>0.99350780000000005</v>
      </c>
      <c r="AB3110">
        <v>43</v>
      </c>
      <c r="AC3110">
        <v>32.6829999999999</v>
      </c>
      <c r="AD3110">
        <v>-1.1082899895880001</v>
      </c>
      <c r="AE3110">
        <v>-2.7147999999999901</v>
      </c>
      <c r="AF3110">
        <v>3.77826231524624</v>
      </c>
      <c r="AG3110">
        <v>-1.1082899895880001</v>
      </c>
      <c r="AH3110">
        <v>32.539529043894099</v>
      </c>
      <c r="AI3110">
        <v>91.937720304067994</v>
      </c>
      <c r="AJ3110">
        <v>83.376873760612696</v>
      </c>
      <c r="AK3110">
        <v>32.776890078563802</v>
      </c>
      <c r="AL3110">
        <v>89.690711742806698</v>
      </c>
      <c r="AM3110">
        <v>85.137072755787599</v>
      </c>
      <c r="AN3110">
        <v>0.99999996118426704</v>
      </c>
    </row>
    <row r="3111" spans="1:40" x14ac:dyDescent="0.25">
      <c r="A3111" t="str">
        <f>"20190312151559885"</f>
        <v>20190312151559885</v>
      </c>
      <c r="B3111" t="str">
        <f>"1552374959880471"</f>
        <v>1552374959880471</v>
      </c>
      <c r="C3111" t="s">
        <v>40</v>
      </c>
      <c r="D3111">
        <v>4.1269609999999997</v>
      </c>
      <c r="E3111">
        <v>0.51390360000000002</v>
      </c>
      <c r="F3111" t="s">
        <v>52</v>
      </c>
      <c r="G3111">
        <v>-310.12029999999999</v>
      </c>
      <c r="H3111" s="1">
        <v>9.5901190000000002E-7</v>
      </c>
      <c r="I3111">
        <v>211.2996</v>
      </c>
      <c r="J3111">
        <v>-344.74180000000001</v>
      </c>
      <c r="K3111">
        <v>1.108295</v>
      </c>
      <c r="L3111">
        <v>214.3587</v>
      </c>
      <c r="M3111">
        <v>0.99943689999999996</v>
      </c>
      <c r="N3111">
        <v>0</v>
      </c>
      <c r="O3111">
        <v>3.2254980000000003E-2</v>
      </c>
      <c r="P3111">
        <v>0.99858990000000003</v>
      </c>
      <c r="Q3111">
        <v>-3.9813160000000004E-3</v>
      </c>
      <c r="R3111">
        <v>-5.2936709999999998E-2</v>
      </c>
      <c r="S3111">
        <v>2.9902340000000001</v>
      </c>
      <c r="T3111">
        <v>-9.4541669999999994E-2</v>
      </c>
      <c r="U3111">
        <v>-0.25978089999999998</v>
      </c>
      <c r="V3111">
        <v>8.5126640000000003E-2</v>
      </c>
      <c r="W3111">
        <v>5.1134049999999997E-3</v>
      </c>
      <c r="X3111">
        <v>0.99635700000000005</v>
      </c>
      <c r="Y3111">
        <v>0.1185659</v>
      </c>
      <c r="Z3111">
        <v>-2.8882460000000001E-3</v>
      </c>
      <c r="AA3111">
        <v>0.99294199999999999</v>
      </c>
      <c r="AB3111">
        <v>43</v>
      </c>
      <c r="AC3111">
        <v>34.621499999999997</v>
      </c>
      <c r="AD3111">
        <v>-1.1082940409880999</v>
      </c>
      <c r="AE3111">
        <v>-3.0590999999999999</v>
      </c>
      <c r="AF3111">
        <v>4.1700315238739103</v>
      </c>
      <c r="AG3111">
        <v>-1.1082940409880999</v>
      </c>
      <c r="AH3111">
        <v>34.469759247973698</v>
      </c>
      <c r="AI3111">
        <v>91.828255798804506</v>
      </c>
      <c r="AJ3111">
        <v>83.102076742392399</v>
      </c>
      <c r="AK3111">
        <v>34.738764819789701</v>
      </c>
      <c r="AL3111">
        <v>89.707022192414101</v>
      </c>
      <c r="AM3111">
        <v>85.116628710325102</v>
      </c>
      <c r="AN3111">
        <v>0.99999998159869097</v>
      </c>
    </row>
    <row r="3112" spans="1:40" x14ac:dyDescent="0.25">
      <c r="A3112" t="str">
        <f>"20190312151559907"</f>
        <v>20190312151559907</v>
      </c>
      <c r="B3112" t="str">
        <f>"1552374959900967"</f>
        <v>1552374959900967</v>
      </c>
      <c r="C3112" t="s">
        <v>40</v>
      </c>
      <c r="D3112">
        <v>4.0662010000000004</v>
      </c>
      <c r="E3112">
        <v>0.51476860000000002</v>
      </c>
      <c r="F3112" t="s">
        <v>52</v>
      </c>
      <c r="G3112">
        <v>-308.92419999999998</v>
      </c>
      <c r="H3112" s="1">
        <v>1.0702599999999999E-6</v>
      </c>
      <c r="I3112">
        <v>211.1259</v>
      </c>
      <c r="J3112">
        <v>-344.33170000000001</v>
      </c>
      <c r="K3112">
        <v>1.1082890000000001</v>
      </c>
      <c r="L3112">
        <v>214.3716</v>
      </c>
      <c r="M3112">
        <v>0.99945110000000004</v>
      </c>
      <c r="N3112">
        <v>0</v>
      </c>
      <c r="O3112">
        <v>3.1819760000000002E-2</v>
      </c>
      <c r="P3112">
        <v>0.99855830000000001</v>
      </c>
      <c r="Q3112">
        <v>-2.9376760000000002E-3</v>
      </c>
      <c r="R3112">
        <v>-5.3600519999999999E-2</v>
      </c>
      <c r="S3112">
        <v>2.9895939999999999</v>
      </c>
      <c r="T3112">
        <v>-9.2506169999999999E-2</v>
      </c>
      <c r="U3112">
        <v>-0.26983639999999998</v>
      </c>
      <c r="V3112">
        <v>8.5356600000000005E-2</v>
      </c>
      <c r="W3112">
        <v>6.1528930000000004E-3</v>
      </c>
      <c r="X3112">
        <v>0.99633150000000004</v>
      </c>
      <c r="Y3112">
        <v>0.12146709999999999</v>
      </c>
      <c r="Z3112">
        <v>-2.857633E-3</v>
      </c>
      <c r="AA3112">
        <v>0.99259129999999995</v>
      </c>
      <c r="AB3112">
        <v>43</v>
      </c>
      <c r="AC3112">
        <v>35.407499999999999</v>
      </c>
      <c r="AD3112">
        <v>-1.1082879297399999</v>
      </c>
      <c r="AE3112">
        <v>-3.2456999999999998</v>
      </c>
      <c r="AF3112">
        <v>4.36651990882054</v>
      </c>
      <c r="AG3112">
        <v>-1.1082879297399999</v>
      </c>
      <c r="AH3112">
        <v>35.252036819472004</v>
      </c>
      <c r="AI3112">
        <v>91.787079302903607</v>
      </c>
      <c r="AJ3112">
        <v>82.938980598421495</v>
      </c>
      <c r="AK3112">
        <v>35.538723924343998</v>
      </c>
      <c r="AL3112">
        <v>89.6474629863677</v>
      </c>
      <c r="AM3112">
        <v>85.103376174406506</v>
      </c>
      <c r="AN3112">
        <v>1.0000000325740299</v>
      </c>
    </row>
    <row r="3113" spans="1:40" x14ac:dyDescent="0.25">
      <c r="A3113" t="str">
        <f>"20190312151559930"</f>
        <v>20190312151559930</v>
      </c>
      <c r="B3113" t="str">
        <f>"1552374959920490"</f>
        <v>1552374959920490</v>
      </c>
      <c r="C3113" t="s">
        <v>40</v>
      </c>
      <c r="D3113">
        <v>4.0697970000000003</v>
      </c>
      <c r="E3113">
        <v>0.5155016</v>
      </c>
      <c r="F3113" t="s">
        <v>52</v>
      </c>
      <c r="G3113">
        <v>-306.35550000000001</v>
      </c>
      <c r="H3113" s="1">
        <v>1.525905E-6</v>
      </c>
      <c r="I3113">
        <v>210.83179999999999</v>
      </c>
      <c r="J3113">
        <v>-343.90660000000003</v>
      </c>
      <c r="K3113">
        <v>1.1082909999999999</v>
      </c>
      <c r="L3113">
        <v>214.38480000000001</v>
      </c>
      <c r="M3113">
        <v>0.9994653</v>
      </c>
      <c r="N3113">
        <v>0</v>
      </c>
      <c r="O3113">
        <v>3.1368970000000003E-2</v>
      </c>
      <c r="P3113">
        <v>0.99852620000000003</v>
      </c>
      <c r="Q3113">
        <v>-2.7969039999999998E-3</v>
      </c>
      <c r="R3113">
        <v>-5.420378E-2</v>
      </c>
      <c r="S3113">
        <v>2.9891359999999998</v>
      </c>
      <c r="T3113">
        <v>-8.7234019999999995E-2</v>
      </c>
      <c r="U3113">
        <v>-0.27862550000000003</v>
      </c>
      <c r="V3113">
        <v>8.5509379999999996E-2</v>
      </c>
      <c r="W3113">
        <v>6.2916500000000002E-3</v>
      </c>
      <c r="X3113">
        <v>0.99631749999999997</v>
      </c>
      <c r="Y3113">
        <v>0.123934</v>
      </c>
      <c r="Z3113">
        <v>-2.7176819999999999E-3</v>
      </c>
      <c r="AA3113">
        <v>0.99228669999999997</v>
      </c>
      <c r="AB3113">
        <v>43</v>
      </c>
      <c r="AC3113">
        <v>37.551099999999998</v>
      </c>
      <c r="AD3113">
        <v>-1.108289474095</v>
      </c>
      <c r="AE3113">
        <v>-3.5530000000000199</v>
      </c>
      <c r="AF3113">
        <v>4.7251612774629299</v>
      </c>
      <c r="AG3113">
        <v>-1.108289474095</v>
      </c>
      <c r="AH3113">
        <v>37.3888798673498</v>
      </c>
      <c r="AI3113">
        <v>91.684486172739497</v>
      </c>
      <c r="AJ3113">
        <v>82.797213595755494</v>
      </c>
      <c r="AK3113">
        <v>37.702570103264001</v>
      </c>
      <c r="AL3113">
        <v>89.639512630444798</v>
      </c>
      <c r="AM3113">
        <v>85.094585829829001</v>
      </c>
      <c r="AN3113">
        <v>0.99999999986697796</v>
      </c>
    </row>
    <row r="3114" spans="1:40" x14ac:dyDescent="0.25">
      <c r="A3114" t="str">
        <f>"20190312151559952"</f>
        <v>20190312151559952</v>
      </c>
      <c r="B3114" t="str">
        <f>"1552374959940983"</f>
        <v>1552374959940983</v>
      </c>
      <c r="C3114" t="s">
        <v>40</v>
      </c>
      <c r="D3114">
        <v>4.0888609999999996</v>
      </c>
      <c r="E3114">
        <v>0.51618819999999999</v>
      </c>
      <c r="F3114" t="s">
        <v>52</v>
      </c>
      <c r="G3114">
        <v>-305.04059999999998</v>
      </c>
      <c r="H3114" s="1">
        <v>1.7591410000000001E-6</v>
      </c>
      <c r="I3114">
        <v>210.6618</v>
      </c>
      <c r="J3114">
        <v>-343.46730000000002</v>
      </c>
      <c r="K3114">
        <v>1.1082909999999999</v>
      </c>
      <c r="L3114">
        <v>214.39830000000001</v>
      </c>
      <c r="M3114">
        <v>0.99947980000000003</v>
      </c>
      <c r="N3114">
        <v>0</v>
      </c>
      <c r="O3114">
        <v>3.0903679999999999E-2</v>
      </c>
      <c r="P3114">
        <v>0.99850340000000004</v>
      </c>
      <c r="Q3114">
        <v>-2.0878899999999998E-3</v>
      </c>
      <c r="R3114">
        <v>-5.4654469999999997E-2</v>
      </c>
      <c r="S3114">
        <v>2.9886469999999998</v>
      </c>
      <c r="T3114">
        <v>-8.5223320000000005E-2</v>
      </c>
      <c r="U3114">
        <v>-0.28628540000000002</v>
      </c>
      <c r="V3114">
        <v>8.5496139999999998E-2</v>
      </c>
      <c r="W3114">
        <v>7.0002140000000003E-3</v>
      </c>
      <c r="X3114">
        <v>0.99631389999999997</v>
      </c>
      <c r="Y3114">
        <v>0.12600989999999901</v>
      </c>
      <c r="Z3114">
        <v>-2.67147E-3</v>
      </c>
      <c r="AA3114">
        <v>0.99202539999999995</v>
      </c>
      <c r="AB3114">
        <v>43</v>
      </c>
      <c r="AC3114">
        <v>38.426699999999997</v>
      </c>
      <c r="AD3114">
        <v>-1.1082892408589999</v>
      </c>
      <c r="AE3114">
        <v>-3.7364999999999999</v>
      </c>
      <c r="AF3114">
        <v>4.9182392706765796</v>
      </c>
      <c r="AG3114">
        <v>-1.1082892408589999</v>
      </c>
      <c r="AH3114">
        <v>38.261338852051402</v>
      </c>
      <c r="AI3114">
        <v>91.6456499189472</v>
      </c>
      <c r="AJ3114">
        <v>82.675178031033894</v>
      </c>
      <c r="AK3114">
        <v>38.592064382674998</v>
      </c>
      <c r="AL3114">
        <v>89.598914002376304</v>
      </c>
      <c r="AM3114">
        <v>85.095324027548997</v>
      </c>
      <c r="AN3114">
        <v>0.99999999014207697</v>
      </c>
    </row>
    <row r="3115" spans="1:40" x14ac:dyDescent="0.25">
      <c r="A3115" t="str">
        <f>"20190312151559976"</f>
        <v>20190312151559976</v>
      </c>
      <c r="B3115" t="str">
        <f>"1552374959971239"</f>
        <v>1552374959971239</v>
      </c>
      <c r="C3115" t="s">
        <v>40</v>
      </c>
      <c r="D3115">
        <v>4.1268099999999999</v>
      </c>
      <c r="E3115">
        <v>0.51703080000000001</v>
      </c>
      <c r="F3115" t="s">
        <v>52</v>
      </c>
      <c r="G3115">
        <v>-302.52879999999999</v>
      </c>
      <c r="H3115" s="1">
        <v>2.2046879999999999E-6</v>
      </c>
      <c r="I3115">
        <v>210.38220000000001</v>
      </c>
      <c r="J3115">
        <v>-343.02940000000001</v>
      </c>
      <c r="K3115">
        <v>1.1082909999999999</v>
      </c>
      <c r="L3115">
        <v>214.41149999999999</v>
      </c>
      <c r="M3115">
        <v>0.99949399999999999</v>
      </c>
      <c r="N3115">
        <v>0</v>
      </c>
      <c r="O3115">
        <v>3.0439939999999999E-2</v>
      </c>
      <c r="P3115">
        <v>0.99847379999999997</v>
      </c>
      <c r="Q3115">
        <v>-1.7696210000000001E-3</v>
      </c>
      <c r="R3115">
        <v>-5.5199900000000003E-2</v>
      </c>
      <c r="S3115">
        <v>2.9882810000000002</v>
      </c>
      <c r="T3115">
        <v>-8.0898999999999999E-2</v>
      </c>
      <c r="U3115">
        <v>-0.29315190000000002</v>
      </c>
      <c r="V3115">
        <v>8.5578689999999999E-2</v>
      </c>
      <c r="W3115">
        <v>7.3201639999999997E-3</v>
      </c>
      <c r="X3115">
        <v>0.99630450000000004</v>
      </c>
      <c r="Y3115">
        <v>0.12782489999999999</v>
      </c>
      <c r="Z3115">
        <v>-2.5479830000000002E-3</v>
      </c>
      <c r="AA3115">
        <v>0.99179349999999999</v>
      </c>
      <c r="AB3115">
        <v>43</v>
      </c>
      <c r="AC3115">
        <v>40.500599999999999</v>
      </c>
      <c r="AD3115">
        <v>-1.108288795312</v>
      </c>
      <c r="AE3115">
        <v>-4.0292999999999699</v>
      </c>
      <c r="AF3115">
        <v>5.2564233938599099</v>
      </c>
      <c r="AG3115">
        <v>-1.108288795312</v>
      </c>
      <c r="AH3115">
        <v>40.329269686857003</v>
      </c>
      <c r="AI3115">
        <v>91.560953104898005</v>
      </c>
      <c r="AJ3115">
        <v>82.574062670075406</v>
      </c>
      <c r="AK3115">
        <v>40.685480019591502</v>
      </c>
      <c r="AL3115">
        <v>89.580581741949899</v>
      </c>
      <c r="AM3115">
        <v>85.090565404552905</v>
      </c>
      <c r="AN3115">
        <v>0.99999997685167596</v>
      </c>
    </row>
    <row r="3116" spans="1:40" x14ac:dyDescent="0.25">
      <c r="A3116" t="str">
        <f>"20190312151600065"</f>
        <v>20190312151600065</v>
      </c>
      <c r="B3116" t="str">
        <f>"1552374960061032"</f>
        <v>1552374960061032</v>
      </c>
      <c r="C3116" t="s">
        <v>40</v>
      </c>
      <c r="D3116">
        <v>4.031981</v>
      </c>
      <c r="E3116">
        <v>0.51839899999999905</v>
      </c>
      <c r="F3116" t="s">
        <v>52</v>
      </c>
      <c r="G3116">
        <v>-301.31810000000002</v>
      </c>
      <c r="H3116" s="1">
        <v>2.419451E-6</v>
      </c>
      <c r="I3116">
        <v>210.20150000000001</v>
      </c>
      <c r="J3116">
        <v>-341.30279999999999</v>
      </c>
      <c r="K3116">
        <v>1.108276</v>
      </c>
      <c r="L3116">
        <v>214.4615</v>
      </c>
      <c r="M3116">
        <v>0.99954779999999999</v>
      </c>
      <c r="N3116">
        <v>0</v>
      </c>
      <c r="O3116">
        <v>2.861412E-2</v>
      </c>
      <c r="P3116">
        <v>0.99826939999999997</v>
      </c>
      <c r="Q3116">
        <v>-1.1750129999999999E-3</v>
      </c>
      <c r="R3116">
        <v>-5.8797839999999997E-2</v>
      </c>
      <c r="S3116">
        <v>2.987762</v>
      </c>
      <c r="T3116">
        <v>-7.9386230000000002E-2</v>
      </c>
      <c r="U3116">
        <v>-0.30155939999999998</v>
      </c>
      <c r="V3116">
        <v>8.7349969999999999E-2</v>
      </c>
      <c r="W3116">
        <v>7.9285889999999998E-3</v>
      </c>
      <c r="X3116">
        <v>0.99614610000000003</v>
      </c>
      <c r="Y3116">
        <v>0.12879589999999999</v>
      </c>
      <c r="Z3116">
        <v>-2.4649070000000001E-3</v>
      </c>
      <c r="AA3116">
        <v>0.99166799999999999</v>
      </c>
      <c r="AB3116">
        <v>43</v>
      </c>
      <c r="AC3116">
        <v>39.984699999999897</v>
      </c>
      <c r="AD3116">
        <v>-1.108273580549</v>
      </c>
      <c r="AE3116">
        <v>-4.25999999999999</v>
      </c>
      <c r="AF3116">
        <v>5.3983306398773099</v>
      </c>
      <c r="AG3116">
        <v>-1.108273580549</v>
      </c>
      <c r="AH3116">
        <v>39.816179073452403</v>
      </c>
      <c r="AI3116">
        <v>91.579954251915495</v>
      </c>
      <c r="AJ3116">
        <v>82.278842990413594</v>
      </c>
      <c r="AK3116">
        <v>40.195750522113798</v>
      </c>
      <c r="AL3116">
        <v>89.545720537824593</v>
      </c>
      <c r="AM3116">
        <v>84.988670906389501</v>
      </c>
      <c r="AN3116">
        <v>0.99999996616386999</v>
      </c>
    </row>
    <row r="3117" spans="1:40" x14ac:dyDescent="0.25">
      <c r="A3117" t="str">
        <f>"20190312151600088"</f>
        <v>20190312151600088</v>
      </c>
      <c r="B3117" t="str">
        <f>"1552374960080552"</f>
        <v>1552374960080552</v>
      </c>
      <c r="C3117" t="s">
        <v>40</v>
      </c>
      <c r="D3117">
        <v>4.136857</v>
      </c>
      <c r="E3117">
        <v>0.51977929999999894</v>
      </c>
      <c r="F3117" t="s">
        <v>52</v>
      </c>
      <c r="G3117">
        <v>-294.83139999999997</v>
      </c>
      <c r="H3117" s="1">
        <v>1.799902E-6</v>
      </c>
      <c r="I3117">
        <v>209.4341</v>
      </c>
      <c r="J3117">
        <v>-340.8612</v>
      </c>
      <c r="K3117">
        <v>1.1082719999999999</v>
      </c>
      <c r="L3117">
        <v>214.47380000000001</v>
      </c>
      <c r="M3117">
        <v>0.99956100000000003</v>
      </c>
      <c r="N3117">
        <v>0</v>
      </c>
      <c r="O3117">
        <v>2.8147430000000001E-2</v>
      </c>
      <c r="P3117">
        <v>0.99819139999999995</v>
      </c>
      <c r="Q3117">
        <v>-2.4300950000000001E-4</v>
      </c>
      <c r="R3117">
        <v>-6.0119060000000002E-2</v>
      </c>
      <c r="S3117">
        <v>2.986084</v>
      </c>
      <c r="T3117">
        <v>-7.1213600000000002E-2</v>
      </c>
      <c r="U3117">
        <v>-0.32304379999999999</v>
      </c>
      <c r="V3117">
        <v>8.8204669999999999E-2</v>
      </c>
      <c r="W3117">
        <v>8.8655439999999995E-3</v>
      </c>
      <c r="X3117">
        <v>0.99606289999999997</v>
      </c>
      <c r="Y3117">
        <v>0.1354523</v>
      </c>
      <c r="Z3117">
        <v>-2.2796840000000001E-3</v>
      </c>
      <c r="AA3117">
        <v>0.99078120000000003</v>
      </c>
      <c r="AB3117">
        <v>43</v>
      </c>
      <c r="AC3117">
        <v>46.029800000000002</v>
      </c>
      <c r="AD3117">
        <v>-1.10827020009799</v>
      </c>
      <c r="AE3117">
        <v>-5.0397000000000096</v>
      </c>
      <c r="AF3117">
        <v>6.3297530218561002</v>
      </c>
      <c r="AG3117">
        <v>-1.10827020009799</v>
      </c>
      <c r="AH3117">
        <v>45.843438727314997</v>
      </c>
      <c r="AI3117">
        <v>91.371852191219602</v>
      </c>
      <c r="AJ3117">
        <v>82.138690084445798</v>
      </c>
      <c r="AK3117">
        <v>46.291628946270698</v>
      </c>
      <c r="AL3117">
        <v>89.492035081863506</v>
      </c>
      <c r="AM3117">
        <v>84.939469045056001</v>
      </c>
      <c r="AN3117">
        <v>0.99999998121831701</v>
      </c>
    </row>
    <row r="3118" spans="1:40" x14ac:dyDescent="0.25">
      <c r="A3118" t="str">
        <f>"20190312151600108"</f>
        <v>20190312151600108</v>
      </c>
      <c r="B3118" t="str">
        <f>"1552374960101052"</f>
        <v>1552374960101052</v>
      </c>
      <c r="C3118" t="s">
        <v>40</v>
      </c>
      <c r="D3118">
        <v>4.1317779999999997</v>
      </c>
      <c r="E3118">
        <v>0.52019769999999999</v>
      </c>
      <c r="F3118" t="s">
        <v>52</v>
      </c>
      <c r="G3118">
        <v>-289.01710000000003</v>
      </c>
      <c r="H3118">
        <v>6.9961209999999996E-2</v>
      </c>
      <c r="I3118">
        <v>208.6019</v>
      </c>
      <c r="J3118">
        <v>-340.45850000000002</v>
      </c>
      <c r="K3118">
        <v>1.1082749999999999</v>
      </c>
      <c r="L3118">
        <v>214.48480000000001</v>
      </c>
      <c r="M3118">
        <v>0.99957280000000004</v>
      </c>
      <c r="N3118">
        <v>0</v>
      </c>
      <c r="O3118">
        <v>2.7722050000000002E-2</v>
      </c>
      <c r="P3118">
        <v>0.99810189999999999</v>
      </c>
      <c r="Q3118">
        <v>1.2201060000000001E-3</v>
      </c>
      <c r="R3118">
        <v>-6.1573019999999999E-2</v>
      </c>
      <c r="S3118">
        <v>2.9850460000000001</v>
      </c>
      <c r="T3118">
        <v>-5.9783099999999999E-2</v>
      </c>
      <c r="U3118">
        <v>-0.33808899999999997</v>
      </c>
      <c r="V3118">
        <v>8.9233729999999997E-2</v>
      </c>
      <c r="W3118">
        <v>1.033366E-2</v>
      </c>
      <c r="X3118">
        <v>0.99595710000000004</v>
      </c>
      <c r="Y3118">
        <v>0.140012</v>
      </c>
      <c r="Z3118">
        <v>-1.951008E-3</v>
      </c>
      <c r="AA3118">
        <v>0.99014789999999997</v>
      </c>
      <c r="AB3118">
        <v>43</v>
      </c>
      <c r="AC3118">
        <v>51.441399999999902</v>
      </c>
      <c r="AD3118">
        <v>-1.0383137899999999</v>
      </c>
      <c r="AE3118">
        <v>-5.8829000000000002</v>
      </c>
      <c r="AF3118">
        <v>7.3038237730476503</v>
      </c>
      <c r="AG3118">
        <v>-1.0383137899999999</v>
      </c>
      <c r="AH3118">
        <v>51.237929442768099</v>
      </c>
      <c r="AI3118">
        <v>91.1492996959648</v>
      </c>
      <c r="AJ3118">
        <v>81.887301214458404</v>
      </c>
      <c r="AK3118">
        <v>51.766295509880997</v>
      </c>
      <c r="AL3118">
        <v>89.407914353648806</v>
      </c>
      <c r="AM3118">
        <v>84.880200191681595</v>
      </c>
      <c r="AN3118">
        <v>0.99999999406955897</v>
      </c>
    </row>
    <row r="3119" spans="1:40" x14ac:dyDescent="0.25">
      <c r="A3119" t="str">
        <f>"20190312151600130"</f>
        <v>20190312151600130</v>
      </c>
      <c r="B3119" t="str">
        <f>"1552374960120567"</f>
        <v>1552374960120567</v>
      </c>
      <c r="C3119" t="s">
        <v>40</v>
      </c>
      <c r="D3119">
        <v>4.1487600000000002</v>
      </c>
      <c r="E3119">
        <v>0.52056759999999902</v>
      </c>
      <c r="F3119" t="s">
        <v>52</v>
      </c>
      <c r="G3119">
        <v>-281.91090000000003</v>
      </c>
      <c r="H3119">
        <v>7.9999710000000002E-2</v>
      </c>
      <c r="I3119">
        <v>207.69970000000001</v>
      </c>
      <c r="J3119">
        <v>-340.036</v>
      </c>
      <c r="K3119">
        <v>1.108276</v>
      </c>
      <c r="L3119">
        <v>214.49619999999999</v>
      </c>
      <c r="M3119">
        <v>0.99958499999999995</v>
      </c>
      <c r="N3119">
        <v>0</v>
      </c>
      <c r="O3119">
        <v>2.7275979999999998E-2</v>
      </c>
      <c r="P3119">
        <v>0.99804839999999995</v>
      </c>
      <c r="Q3119">
        <v>2.18235E-3</v>
      </c>
      <c r="R3119">
        <v>-6.2409340000000001E-2</v>
      </c>
      <c r="S3119">
        <v>2.9844360000000001</v>
      </c>
      <c r="T3119">
        <v>-5.241585E-2</v>
      </c>
      <c r="U3119">
        <v>-0.34587099999999998</v>
      </c>
      <c r="V3119">
        <v>8.9624949999999995E-2</v>
      </c>
      <c r="W3119">
        <v>1.1302059999999999E-2</v>
      </c>
      <c r="X3119">
        <v>0.99591149999999995</v>
      </c>
      <c r="Y3119">
        <v>0.1421482</v>
      </c>
      <c r="Z3119">
        <v>-1.7216009999999999E-3</v>
      </c>
      <c r="AA3119">
        <v>0.9898439</v>
      </c>
      <c r="AB3119">
        <v>43</v>
      </c>
      <c r="AC3119">
        <v>58.125099999999897</v>
      </c>
      <c r="AD3119">
        <v>-1.02827629</v>
      </c>
      <c r="AE3119">
        <v>-6.7964999999999796</v>
      </c>
      <c r="AF3119">
        <v>8.3768719224113504</v>
      </c>
      <c r="AG3119">
        <v>-1.02827629</v>
      </c>
      <c r="AH3119">
        <v>57.900206854034003</v>
      </c>
      <c r="AI3119">
        <v>91.006953204203995</v>
      </c>
      <c r="AJ3119">
        <v>81.767696698425098</v>
      </c>
      <c r="AK3119">
        <v>58.512078146934599</v>
      </c>
      <c r="AL3119">
        <v>89.3524259024325</v>
      </c>
      <c r="AM3119">
        <v>84.857639774382704</v>
      </c>
      <c r="AN3119">
        <v>1.0000000420274899</v>
      </c>
    </row>
    <row r="3120" spans="1:40" x14ac:dyDescent="0.25">
      <c r="A3120" t="str">
        <f>"20190312151600153"</f>
        <v>20190312151600153</v>
      </c>
      <c r="B3120" t="str">
        <f>"1552374960150823"</f>
        <v>1552374960150823</v>
      </c>
      <c r="C3120" t="s">
        <v>40</v>
      </c>
      <c r="D3120">
        <v>4.1481729999999999</v>
      </c>
      <c r="E3120">
        <v>0.52104349999999999</v>
      </c>
      <c r="F3120" t="s">
        <v>51</v>
      </c>
      <c r="G3120">
        <v>-276.7353</v>
      </c>
      <c r="H3120">
        <v>8.0001279999999994E-2</v>
      </c>
      <c r="I3120">
        <v>207.04069999999999</v>
      </c>
      <c r="J3120">
        <v>-339.59320000000002</v>
      </c>
      <c r="K3120">
        <v>1.108282</v>
      </c>
      <c r="L3120">
        <v>214.50800000000001</v>
      </c>
      <c r="M3120">
        <v>0.99959759999999998</v>
      </c>
      <c r="N3120">
        <v>0</v>
      </c>
      <c r="O3120">
        <v>2.680863E-2</v>
      </c>
      <c r="P3120">
        <v>0.99794700000000003</v>
      </c>
      <c r="Q3120">
        <v>3.188401E-3</v>
      </c>
      <c r="R3120">
        <v>-6.396715E-2</v>
      </c>
      <c r="S3120">
        <v>2.9840089999999999</v>
      </c>
      <c r="T3120">
        <v>-4.8473120000000001E-2</v>
      </c>
      <c r="U3120">
        <v>-0.35145569999999998</v>
      </c>
      <c r="V3120">
        <v>9.0715359999999995E-2</v>
      </c>
      <c r="W3120">
        <v>1.231384E-2</v>
      </c>
      <c r="X3120">
        <v>0.99580069999999998</v>
      </c>
      <c r="Y3120">
        <v>0.14353270000000001</v>
      </c>
      <c r="Z3120">
        <v>-1.5958120000000001E-3</v>
      </c>
      <c r="AA3120">
        <v>0.98964430000000003</v>
      </c>
      <c r="AB3120">
        <v>43</v>
      </c>
      <c r="AC3120">
        <v>62.857900000000001</v>
      </c>
      <c r="AD3120">
        <v>-1.0282807199999999</v>
      </c>
      <c r="AE3120">
        <v>-7.4672999999999901</v>
      </c>
      <c r="AF3120">
        <v>9.1474086183053096</v>
      </c>
      <c r="AG3120">
        <v>-1.0282807199999999</v>
      </c>
      <c r="AH3120">
        <v>62.6185850332608</v>
      </c>
      <c r="AI3120">
        <v>90.930910089641003</v>
      </c>
      <c r="AJ3120">
        <v>81.688940078700497</v>
      </c>
      <c r="AK3120">
        <v>63.291544753127098</v>
      </c>
      <c r="AL3120">
        <v>89.294451086457698</v>
      </c>
      <c r="AM3120">
        <v>84.794841559907198</v>
      </c>
      <c r="AN3120">
        <v>0.99999997065798196</v>
      </c>
    </row>
    <row r="3121" spans="1:40" x14ac:dyDescent="0.25">
      <c r="A3121" t="str">
        <f>"20190312151600176"</f>
        <v>20190312151600176</v>
      </c>
      <c r="B3121" t="str">
        <f>"1552374960170344"</f>
        <v>1552374960170344</v>
      </c>
      <c r="C3121" t="s">
        <v>40</v>
      </c>
      <c r="D3121">
        <v>4.2014310000000004</v>
      </c>
      <c r="E3121">
        <v>0.52135619999999905</v>
      </c>
      <c r="F3121" t="s">
        <v>51</v>
      </c>
      <c r="G3121">
        <v>-274.72089999999997</v>
      </c>
      <c r="H3121">
        <v>8.0000420000000003E-2</v>
      </c>
      <c r="I3121">
        <v>206.6832</v>
      </c>
      <c r="J3121">
        <v>-339.15550000000002</v>
      </c>
      <c r="K3121">
        <v>1.108282</v>
      </c>
      <c r="L3121">
        <v>214.51939999999999</v>
      </c>
      <c r="M3121">
        <v>0.99960979999999999</v>
      </c>
      <c r="N3121">
        <v>0</v>
      </c>
      <c r="O3121">
        <v>2.6347349999999999E-2</v>
      </c>
      <c r="P3121">
        <v>0.99785729999999995</v>
      </c>
      <c r="Q3121">
        <v>3.8610889999999998E-3</v>
      </c>
      <c r="R3121">
        <v>-6.5314079999999997E-2</v>
      </c>
      <c r="S3121">
        <v>2.9832459999999998</v>
      </c>
      <c r="T3121">
        <v>-4.7286990000000001E-2</v>
      </c>
      <c r="U3121">
        <v>-0.35983280000000001</v>
      </c>
      <c r="V3121">
        <v>9.1600860000000006E-2</v>
      </c>
      <c r="W3121">
        <v>1.2992800000000001E-2</v>
      </c>
      <c r="X3121">
        <v>0.99571100000000001</v>
      </c>
      <c r="Y3121">
        <v>0.145845899999999</v>
      </c>
      <c r="Z3121">
        <v>-1.5678860000000001E-3</v>
      </c>
      <c r="AA3121">
        <v>0.98930609999999997</v>
      </c>
      <c r="AB3121">
        <v>43</v>
      </c>
      <c r="AC3121">
        <v>64.434600000000003</v>
      </c>
      <c r="AD3121">
        <v>-1.02828158</v>
      </c>
      <c r="AE3121">
        <v>-7.8361999999999901</v>
      </c>
      <c r="AF3121">
        <v>9.5288420479696594</v>
      </c>
      <c r="AG3121">
        <v>-1.02828158</v>
      </c>
      <c r="AH3121">
        <v>64.189648282412307</v>
      </c>
      <c r="AI3121">
        <v>90.907820660238698</v>
      </c>
      <c r="AJ3121">
        <v>81.556205466768304</v>
      </c>
      <c r="AK3121">
        <v>64.901210623552501</v>
      </c>
      <c r="AL3121">
        <v>89.2555464218119</v>
      </c>
      <c r="AM3121">
        <v>84.743844794084893</v>
      </c>
      <c r="AN3121">
        <v>0.99999996296278904</v>
      </c>
    </row>
    <row r="3122" spans="1:40" x14ac:dyDescent="0.25">
      <c r="A3122" t="str">
        <f>"20190312151600197"</f>
        <v>20190312151600197</v>
      </c>
      <c r="B3122" t="str">
        <f>"1552374960190839"</f>
        <v>1552374960190839</v>
      </c>
      <c r="C3122" t="s">
        <v>40</v>
      </c>
      <c r="D3122">
        <v>4.1972430000000003</v>
      </c>
      <c r="E3122">
        <v>0.52159639999999996</v>
      </c>
      <c r="F3122" t="s">
        <v>51</v>
      </c>
      <c r="G3122">
        <v>-273.14780000000002</v>
      </c>
      <c r="H3122">
        <v>8.0000890000000005E-2</v>
      </c>
      <c r="I3122">
        <v>206.41589999999999</v>
      </c>
      <c r="J3122">
        <v>-338.74099999999999</v>
      </c>
      <c r="K3122">
        <v>1.108284</v>
      </c>
      <c r="L3122">
        <v>214.53</v>
      </c>
      <c r="M3122">
        <v>0.99962099999999998</v>
      </c>
      <c r="N3122">
        <v>0</v>
      </c>
      <c r="O3122">
        <v>2.5909919999999999E-2</v>
      </c>
      <c r="P3122">
        <v>0.99782110000000002</v>
      </c>
      <c r="Q3122">
        <v>4.1384009999999999E-3</v>
      </c>
      <c r="R3122">
        <v>-6.5849099999999994E-2</v>
      </c>
      <c r="S3122">
        <v>2.9826350000000001</v>
      </c>
      <c r="T3122">
        <v>-4.646409E-2</v>
      </c>
      <c r="U3122">
        <v>-0.36616520000000002</v>
      </c>
      <c r="V3122">
        <v>9.1699260000000005E-2</v>
      </c>
      <c r="W3122">
        <v>1.3278399999999999E-2</v>
      </c>
      <c r="X3122">
        <v>0.99569819999999998</v>
      </c>
      <c r="Y3122">
        <v>0.1475071</v>
      </c>
      <c r="Z3122">
        <v>-1.546822E-3</v>
      </c>
      <c r="AA3122">
        <v>0.98905980000000004</v>
      </c>
      <c r="AB3122">
        <v>43</v>
      </c>
      <c r="AC3122">
        <v>65.593199999999896</v>
      </c>
      <c r="AD3122">
        <v>-1.0282831100000001</v>
      </c>
      <c r="AE3122">
        <v>-8.1141000000000005</v>
      </c>
      <c r="AF3122">
        <v>9.8085896044186995</v>
      </c>
      <c r="AG3122">
        <v>-1.0282831100000001</v>
      </c>
      <c r="AH3122">
        <v>65.345115427894896</v>
      </c>
      <c r="AI3122">
        <v>90.891556434953699</v>
      </c>
      <c r="AJ3122">
        <v>81.463384203375199</v>
      </c>
      <c r="AK3122">
        <v>66.085171608063007</v>
      </c>
      <c r="AL3122">
        <v>89.239181353537603</v>
      </c>
      <c r="AM3122">
        <v>84.738162910788304</v>
      </c>
      <c r="AN3122">
        <v>0.99999998783717303</v>
      </c>
    </row>
    <row r="3123" spans="1:40" x14ac:dyDescent="0.25">
      <c r="A3123" t="str">
        <f>"20190312151600222"</f>
        <v>20190312151600222</v>
      </c>
      <c r="B3123" t="str">
        <f>"1552374960210359"</f>
        <v>1552374960210359</v>
      </c>
      <c r="C3123" t="s">
        <v>40</v>
      </c>
      <c r="D3123">
        <v>4.1987360000000002</v>
      </c>
      <c r="E3123">
        <v>0.52183740000000001</v>
      </c>
      <c r="F3123" t="s">
        <v>51</v>
      </c>
      <c r="G3123">
        <v>-272.67020000000002</v>
      </c>
      <c r="H3123">
        <v>8.0001050000000004E-2</v>
      </c>
      <c r="I3123">
        <v>206.3338</v>
      </c>
      <c r="J3123">
        <v>-338.27260000000001</v>
      </c>
      <c r="K3123">
        <v>1.108277</v>
      </c>
      <c r="L3123">
        <v>214.54179999999999</v>
      </c>
      <c r="M3123">
        <v>0.99963369999999996</v>
      </c>
      <c r="N3123">
        <v>0</v>
      </c>
      <c r="O3123">
        <v>2.54161E-2</v>
      </c>
      <c r="P3123">
        <v>0.99774450000000003</v>
      </c>
      <c r="Q3123">
        <v>5.1474889999999999E-3</v>
      </c>
      <c r="R3123">
        <v>-6.6930989999999996E-2</v>
      </c>
      <c r="S3123">
        <v>2.9823300000000001</v>
      </c>
      <c r="T3123">
        <v>-4.6415089999999999E-2</v>
      </c>
      <c r="U3123">
        <v>-0.36996459999999998</v>
      </c>
      <c r="V3123">
        <v>9.2288419999999996E-2</v>
      </c>
      <c r="W3123">
        <v>1.429587E-2</v>
      </c>
      <c r="X3123">
        <v>0.99562969999999895</v>
      </c>
      <c r="Y3123">
        <v>0.14827190000000001</v>
      </c>
      <c r="Z3123">
        <v>-1.543497E-3</v>
      </c>
      <c r="AA3123">
        <v>0.98894539999999997</v>
      </c>
      <c r="AB3123">
        <v>43</v>
      </c>
      <c r="AC3123">
        <v>65.602399999999903</v>
      </c>
      <c r="AD3123">
        <v>-1.02827595</v>
      </c>
      <c r="AE3123">
        <v>-8.2079999999999895</v>
      </c>
      <c r="AF3123">
        <v>9.8703898774613901</v>
      </c>
      <c r="AG3123">
        <v>-1.02827595</v>
      </c>
      <c r="AH3123">
        <v>65.356771781027902</v>
      </c>
      <c r="AI3123">
        <v>90.891270692231203</v>
      </c>
      <c r="AJ3123">
        <v>81.411907100262894</v>
      </c>
      <c r="AK3123">
        <v>66.105896600831301</v>
      </c>
      <c r="AL3123">
        <v>89.180879091817502</v>
      </c>
      <c r="AM3123">
        <v>84.7041853754437</v>
      </c>
      <c r="AN3123">
        <v>1.0000000119436201</v>
      </c>
    </row>
    <row r="3124" spans="1:40" x14ac:dyDescent="0.25">
      <c r="A3124" t="str">
        <f>"20190312151600244"</f>
        <v>20190312151600244</v>
      </c>
      <c r="B3124" t="str">
        <f>"1552374960240616"</f>
        <v>1552374960240616</v>
      </c>
      <c r="C3124" t="s">
        <v>40</v>
      </c>
      <c r="D3124">
        <v>4.2174019999999999</v>
      </c>
      <c r="E3124">
        <v>0.52220800000000001</v>
      </c>
      <c r="F3124" t="s">
        <v>51</v>
      </c>
      <c r="G3124">
        <v>-268.5401</v>
      </c>
      <c r="H3124">
        <v>8.0000810000000006E-2</v>
      </c>
      <c r="I3124">
        <v>205.7747</v>
      </c>
      <c r="J3124">
        <v>-337.8288</v>
      </c>
      <c r="K3124">
        <v>1.1082749999999999</v>
      </c>
      <c r="L3124">
        <v>214.55269999999999</v>
      </c>
      <c r="M3124">
        <v>0.99964529999999996</v>
      </c>
      <c r="N3124">
        <v>0</v>
      </c>
      <c r="O3124">
        <v>2.494849E-2</v>
      </c>
      <c r="P3124">
        <v>0.9976545</v>
      </c>
      <c r="Q3124">
        <v>5.6367359999999998E-3</v>
      </c>
      <c r="R3124">
        <v>-6.8219520000000006E-2</v>
      </c>
      <c r="S3124">
        <v>2.9818730000000002</v>
      </c>
      <c r="T3124">
        <v>-4.3970700000000001E-2</v>
      </c>
      <c r="U3124">
        <v>-0.37489319999999998</v>
      </c>
      <c r="V3124">
        <v>9.3109200000000003E-2</v>
      </c>
      <c r="W3124">
        <v>1.479459E-2</v>
      </c>
      <c r="X3124">
        <v>0.99554600000000004</v>
      </c>
      <c r="Y3124">
        <v>0.149439299999999</v>
      </c>
      <c r="Z3124">
        <v>-1.463996E-3</v>
      </c>
      <c r="AA3124">
        <v>0.98876980000000003</v>
      </c>
      <c r="AB3124">
        <v>44</v>
      </c>
      <c r="AC3124">
        <v>69.288700000000006</v>
      </c>
      <c r="AD3124">
        <v>-1.0282741900000001</v>
      </c>
      <c r="AE3124">
        <v>-8.7779999999999898</v>
      </c>
      <c r="AF3124">
        <v>10.5017146663885</v>
      </c>
      <c r="AG3124">
        <v>-1.0282741900000001</v>
      </c>
      <c r="AH3124">
        <v>69.033160238453107</v>
      </c>
      <c r="AI3124">
        <v>90.843673524096403</v>
      </c>
      <c r="AJ3124">
        <v>81.350160673087203</v>
      </c>
      <c r="AK3124">
        <v>69.834952360920298</v>
      </c>
      <c r="AL3124">
        <v>89.152301524865393</v>
      </c>
      <c r="AM3124">
        <v>84.656911076761006</v>
      </c>
      <c r="AN3124">
        <v>1.0000000205669499</v>
      </c>
    </row>
    <row r="3125" spans="1:40" x14ac:dyDescent="0.25">
      <c r="A3125" t="str">
        <f>"20190312151600265"</f>
        <v>20190312151600265</v>
      </c>
      <c r="B3125" t="str">
        <f>"1552374960261111"</f>
        <v>1552374960261111</v>
      </c>
      <c r="C3125" t="s">
        <v>40</v>
      </c>
      <c r="D3125">
        <v>4.2429189999999997</v>
      </c>
      <c r="E3125">
        <v>0.52244000000000002</v>
      </c>
      <c r="F3125" t="s">
        <v>51</v>
      </c>
      <c r="G3125">
        <v>-267.50799999999998</v>
      </c>
      <c r="H3125">
        <v>8.0001119999999995E-2</v>
      </c>
      <c r="I3125">
        <v>205.54839999999999</v>
      </c>
      <c r="J3125">
        <v>-337.40390000000002</v>
      </c>
      <c r="K3125">
        <v>1.108276</v>
      </c>
      <c r="L3125">
        <v>214.56299999999999</v>
      </c>
      <c r="M3125">
        <v>0.99965619999999999</v>
      </c>
      <c r="N3125">
        <v>0</v>
      </c>
      <c r="O3125">
        <v>2.4501249999999999E-2</v>
      </c>
      <c r="P3125">
        <v>0.99757700000000005</v>
      </c>
      <c r="Q3125">
        <v>6.0449830000000003E-3</v>
      </c>
      <c r="R3125">
        <v>-6.9310269999999993E-2</v>
      </c>
      <c r="S3125">
        <v>2.981201</v>
      </c>
      <c r="T3125">
        <v>-4.3592930000000002E-2</v>
      </c>
      <c r="U3125">
        <v>-0.38172909999999999</v>
      </c>
      <c r="V3125">
        <v>9.3752710000000003E-2</v>
      </c>
      <c r="W3125">
        <v>1.5215589999999999E-2</v>
      </c>
      <c r="X3125">
        <v>0.99547920000000001</v>
      </c>
      <c r="Y3125">
        <v>0.15125569999999999</v>
      </c>
      <c r="Z3125">
        <v>-1.458247E-3</v>
      </c>
      <c r="AA3125">
        <v>0.98849359999999997</v>
      </c>
      <c r="AB3125">
        <v>44</v>
      </c>
      <c r="AC3125">
        <v>69.895899999999997</v>
      </c>
      <c r="AD3125">
        <v>-1.0282748799999999</v>
      </c>
      <c r="AE3125">
        <v>-9.0145999999999997</v>
      </c>
      <c r="AF3125">
        <v>10.7222225119684</v>
      </c>
      <c r="AG3125">
        <v>-1.0282748799999999</v>
      </c>
      <c r="AH3125">
        <v>69.639211447390906</v>
      </c>
      <c r="AI3125">
        <v>90.836102493027695</v>
      </c>
      <c r="AJ3125">
        <v>81.247008039699395</v>
      </c>
      <c r="AK3125">
        <v>70.467319913839603</v>
      </c>
      <c r="AL3125">
        <v>89.1281772342941</v>
      </c>
      <c r="AM3125">
        <v>84.619840176712998</v>
      </c>
      <c r="AN3125">
        <v>0.99999996122201495</v>
      </c>
    </row>
    <row r="3126" spans="1:40" x14ac:dyDescent="0.25">
      <c r="A3126" t="str">
        <f>"20190312151600287"</f>
        <v>20190312151600287</v>
      </c>
      <c r="B3126" t="str">
        <f>"1552374960280631"</f>
        <v>1552374960280631</v>
      </c>
      <c r="C3126" t="s">
        <v>40</v>
      </c>
      <c r="D3126">
        <v>4.2654540000000001</v>
      </c>
      <c r="E3126">
        <v>0.5227001</v>
      </c>
      <c r="F3126" t="s">
        <v>51</v>
      </c>
      <c r="G3126">
        <v>-266.93729999999999</v>
      </c>
      <c r="H3126">
        <v>8.0001290000000003E-2</v>
      </c>
      <c r="I3126">
        <v>205.41290000000001</v>
      </c>
      <c r="J3126">
        <v>-336.98399999999998</v>
      </c>
      <c r="K3126">
        <v>1.1082799999999999</v>
      </c>
      <c r="L3126">
        <v>214.57300000000001</v>
      </c>
      <c r="M3126">
        <v>0.99966690000000002</v>
      </c>
      <c r="N3126">
        <v>0</v>
      </c>
      <c r="O3126">
        <v>2.405966E-2</v>
      </c>
      <c r="P3126">
        <v>0.99748720000000002</v>
      </c>
      <c r="Q3126">
        <v>6.7288290000000004E-3</v>
      </c>
      <c r="R3126">
        <v>-7.0529030000000006E-2</v>
      </c>
      <c r="S3126">
        <v>2.9806520000000001</v>
      </c>
      <c r="T3126">
        <v>-4.3494819999999997E-2</v>
      </c>
      <c r="U3126">
        <v>-0.38703920000000003</v>
      </c>
      <c r="V3126">
        <v>9.4530409999999995E-2</v>
      </c>
      <c r="W3126">
        <v>1.591455E-2</v>
      </c>
      <c r="X3126">
        <v>0.99539480000000002</v>
      </c>
      <c r="Y3126">
        <v>0.15257409999999999</v>
      </c>
      <c r="Z3126">
        <v>-1.458226E-3</v>
      </c>
      <c r="AA3126">
        <v>0.98829100000000003</v>
      </c>
      <c r="AB3126">
        <v>44</v>
      </c>
      <c r="AC3126">
        <v>70.046700000000001</v>
      </c>
      <c r="AD3126">
        <v>-1.0282787099999999</v>
      </c>
      <c r="AE3126">
        <v>-9.1600999999999697</v>
      </c>
      <c r="AF3126">
        <v>10.8405245831346</v>
      </c>
      <c r="AG3126">
        <v>-1.0282787099999999</v>
      </c>
      <c r="AH3126">
        <v>69.791235820468103</v>
      </c>
      <c r="AI3126">
        <v>90.834113308426396</v>
      </c>
      <c r="AJ3126">
        <v>81.170922628665096</v>
      </c>
      <c r="AK3126">
        <v>70.635620813377002</v>
      </c>
      <c r="AL3126">
        <v>89.088124993286897</v>
      </c>
      <c r="AM3126">
        <v>84.5750184559936</v>
      </c>
      <c r="AN3126">
        <v>1.0000000395917501</v>
      </c>
    </row>
    <row r="3127" spans="1:40" x14ac:dyDescent="0.25">
      <c r="A3127" t="str">
        <f>"20190312151600309"</f>
        <v>20190312151600309</v>
      </c>
      <c r="B3127" t="str">
        <f>"1552374960301127"</f>
        <v>1552374960301127</v>
      </c>
      <c r="C3127" t="s">
        <v>40</v>
      </c>
      <c r="D3127">
        <v>4.25108</v>
      </c>
      <c r="E3127">
        <v>0.52292749999999999</v>
      </c>
      <c r="F3127" t="s">
        <v>51</v>
      </c>
      <c r="G3127">
        <v>-261.97609999999997</v>
      </c>
      <c r="H3127">
        <v>8.0001310000000006E-2</v>
      </c>
      <c r="I3127">
        <v>204.69110000000001</v>
      </c>
      <c r="J3127">
        <v>-336.54450000000003</v>
      </c>
      <c r="K3127">
        <v>1.108274</v>
      </c>
      <c r="L3127">
        <v>214.58320000000001</v>
      </c>
      <c r="M3127">
        <v>0.9996777</v>
      </c>
      <c r="N3127">
        <v>0</v>
      </c>
      <c r="O3127">
        <v>2.3597670000000001E-2</v>
      </c>
      <c r="P3127">
        <v>0.99740150000000005</v>
      </c>
      <c r="Q3127">
        <v>7.4261049999999997E-3</v>
      </c>
      <c r="R3127">
        <v>-7.1662680000000006E-2</v>
      </c>
      <c r="S3127">
        <v>2.9800719999999998</v>
      </c>
      <c r="T3127">
        <v>-4.085362E-2</v>
      </c>
      <c r="U3127">
        <v>-0.39260859999999997</v>
      </c>
      <c r="V3127">
        <v>9.5202540000000002E-2</v>
      </c>
      <c r="W3127">
        <v>1.6628279999999999E-2</v>
      </c>
      <c r="X3127">
        <v>0.99531899999999995</v>
      </c>
      <c r="Y3127">
        <v>0.15395980000000001</v>
      </c>
      <c r="Z3127">
        <v>-1.37293299999999E-3</v>
      </c>
      <c r="AA3127">
        <v>0.98807619999999896</v>
      </c>
      <c r="AB3127">
        <v>44</v>
      </c>
      <c r="AC3127">
        <v>74.568399999999997</v>
      </c>
      <c r="AD3127">
        <v>-1.0282726900000001</v>
      </c>
      <c r="AE3127">
        <v>-9.8920999999999992</v>
      </c>
      <c r="AF3127">
        <v>11.646886371583401</v>
      </c>
      <c r="AG3127">
        <v>-1.0282726900000001</v>
      </c>
      <c r="AH3127">
        <v>74.300308626314504</v>
      </c>
      <c r="AI3127">
        <v>90.783325094604606</v>
      </c>
      <c r="AJ3127">
        <v>81.091142263831003</v>
      </c>
      <c r="AK3127">
        <v>75.214647302524597</v>
      </c>
      <c r="AL3127">
        <v>89.047225794106097</v>
      </c>
      <c r="AM3127">
        <v>84.536264775470201</v>
      </c>
      <c r="AN3127">
        <v>0.99999996753960396</v>
      </c>
    </row>
    <row r="3128" spans="1:40" x14ac:dyDescent="0.25">
      <c r="A3128" t="str">
        <f>"20190312151600331"</f>
        <v>20190312151600331</v>
      </c>
      <c r="B3128" t="str">
        <f>"1552374960320647"</f>
        <v>1552374960320647</v>
      </c>
      <c r="C3128" t="s">
        <v>40</v>
      </c>
      <c r="D3128">
        <v>4.7023900000000003</v>
      </c>
      <c r="E3128">
        <v>0.52314229999999995</v>
      </c>
      <c r="F3128" t="s">
        <v>42</v>
      </c>
      <c r="G3128">
        <v>-249.0813</v>
      </c>
      <c r="H3128">
        <v>-0.05</v>
      </c>
      <c r="I3128">
        <v>202.90260000000001</v>
      </c>
      <c r="J3128">
        <v>-336.12099999999998</v>
      </c>
      <c r="K3128">
        <v>1.108271</v>
      </c>
      <c r="L3128">
        <v>214.59289999999999</v>
      </c>
      <c r="M3128">
        <v>0.99968800000000002</v>
      </c>
      <c r="N3128">
        <v>0</v>
      </c>
      <c r="O3128">
        <v>2.315238E-2</v>
      </c>
      <c r="P3128">
        <v>0.99731150000000002</v>
      </c>
      <c r="Q3128">
        <v>7.3882389999999996E-3</v>
      </c>
      <c r="R3128">
        <v>-7.2907620000000006E-2</v>
      </c>
      <c r="S3128">
        <v>2.9794619999999998</v>
      </c>
      <c r="T3128">
        <v>-3.9456959999999999E-2</v>
      </c>
      <c r="U3128">
        <v>-0.39790340000000002</v>
      </c>
      <c r="V3128">
        <v>9.6001740000000002E-2</v>
      </c>
      <c r="W3128">
        <v>1.6605869999999998E-2</v>
      </c>
      <c r="X3128">
        <v>0.99524270000000004</v>
      </c>
      <c r="Y3128">
        <v>0.1552723</v>
      </c>
      <c r="Z3128">
        <v>-1.3288950000000001E-3</v>
      </c>
      <c r="AA3128">
        <v>0.98787080000000005</v>
      </c>
      <c r="AB3128">
        <v>44</v>
      </c>
      <c r="AC3128">
        <v>87.039699999999897</v>
      </c>
      <c r="AD3128">
        <v>-1.1582709999999901</v>
      </c>
      <c r="AE3128">
        <v>-11.690299999999899</v>
      </c>
      <c r="AF3128">
        <v>13.700047760056499</v>
      </c>
      <c r="AG3128">
        <v>-1.1582709999999901</v>
      </c>
      <c r="AH3128">
        <v>86.730609925649702</v>
      </c>
      <c r="AI3128">
        <v>90.7557593619524</v>
      </c>
      <c r="AJ3128">
        <v>81.023673114303193</v>
      </c>
      <c r="AK3128">
        <v>87.813618524762305</v>
      </c>
      <c r="AL3128">
        <v>89.048510058290503</v>
      </c>
      <c r="AM3128">
        <v>84.490259434276496</v>
      </c>
      <c r="AN3128">
        <v>1.00000006045238</v>
      </c>
    </row>
    <row r="3129" spans="1:40" x14ac:dyDescent="0.25">
      <c r="A3129" t="str">
        <f>"20190312151600344"</f>
        <v>20190312151600344</v>
      </c>
      <c r="B3129" t="str">
        <f>"1552374960341143"</f>
        <v>1552374960341143</v>
      </c>
      <c r="C3129" t="s">
        <v>40</v>
      </c>
      <c r="D3129">
        <v>4.3173180000000002</v>
      </c>
      <c r="E3129">
        <v>0.52334170000000002</v>
      </c>
      <c r="F3129" t="s">
        <v>42</v>
      </c>
      <c r="G3129">
        <v>-249.3501</v>
      </c>
      <c r="H3129">
        <v>-0.05</v>
      </c>
      <c r="I3129">
        <v>202.84379999999999</v>
      </c>
      <c r="J3129">
        <v>-335.87740000000002</v>
      </c>
      <c r="K3129">
        <v>1.1082669999999999</v>
      </c>
      <c r="L3129">
        <v>214.5984</v>
      </c>
      <c r="M3129">
        <v>0.99969370000000002</v>
      </c>
      <c r="N3129">
        <v>0</v>
      </c>
      <c r="O3129">
        <v>2.2896389999999999E-2</v>
      </c>
      <c r="P3129">
        <v>0.99726700000000001</v>
      </c>
      <c r="Q3129">
        <v>7.4253590000000003E-3</v>
      </c>
      <c r="R3129">
        <v>-7.3509399999999905E-2</v>
      </c>
      <c r="S3129">
        <v>2.978882</v>
      </c>
      <c r="T3129">
        <v>-3.9763930000000003E-2</v>
      </c>
      <c r="U3129">
        <v>-0.40335080000000001</v>
      </c>
      <c r="V3129">
        <v>9.6347559999999999E-2</v>
      </c>
      <c r="W3129">
        <v>1.6651639999999999E-2</v>
      </c>
      <c r="X3129">
        <v>0.99520839999999999</v>
      </c>
      <c r="Y3129">
        <v>0.1568184</v>
      </c>
      <c r="Z3129">
        <v>-1.346199E-3</v>
      </c>
      <c r="AA3129">
        <v>0.98762660000000002</v>
      </c>
      <c r="AB3129">
        <v>44</v>
      </c>
      <c r="AC3129">
        <v>86.527299999999997</v>
      </c>
      <c r="AD3129">
        <v>-1.1582669999999999</v>
      </c>
      <c r="AE3129">
        <v>-11.7546</v>
      </c>
      <c r="AF3129">
        <v>13.7303526787764</v>
      </c>
      <c r="AG3129">
        <v>-1.1582669999999999</v>
      </c>
      <c r="AH3129">
        <v>86.2202947387417</v>
      </c>
      <c r="AI3129">
        <v>90.760078082980698</v>
      </c>
      <c r="AJ3129">
        <v>80.951775769949194</v>
      </c>
      <c r="AK3129">
        <v>87.314393956336701</v>
      </c>
      <c r="AL3129">
        <v>89.045887157267302</v>
      </c>
      <c r="AM3129">
        <v>84.470345495284505</v>
      </c>
      <c r="AN3129">
        <v>0.99999994443160001</v>
      </c>
    </row>
    <row r="3130" spans="1:40" x14ac:dyDescent="0.25">
      <c r="A3130" t="str">
        <f>"20190312151600356"</f>
        <v>20190312151600356</v>
      </c>
      <c r="B3130" t="str">
        <f>"1552374960350903"</f>
        <v>1552374960350903</v>
      </c>
      <c r="C3130" t="s">
        <v>40</v>
      </c>
      <c r="D3130">
        <v>4.258267</v>
      </c>
      <c r="E3130">
        <v>0.52342719999999998</v>
      </c>
      <c r="F3130" t="s">
        <v>42</v>
      </c>
      <c r="G3130">
        <v>-252.41849999999999</v>
      </c>
      <c r="H3130">
        <v>-0.05</v>
      </c>
      <c r="I3130">
        <v>203.20169999999999</v>
      </c>
      <c r="J3130">
        <v>-335.61880000000002</v>
      </c>
      <c r="K3130">
        <v>1.1082639999999999</v>
      </c>
      <c r="L3130">
        <v>214.60409999999999</v>
      </c>
      <c r="M3130">
        <v>0.99969980000000003</v>
      </c>
      <c r="N3130">
        <v>0</v>
      </c>
      <c r="O3130">
        <v>2.2624700000000001E-2</v>
      </c>
      <c r="P3130">
        <v>0.99723459999999997</v>
      </c>
      <c r="Q3130">
        <v>7.3119700000000001E-3</v>
      </c>
      <c r="R3130">
        <v>-7.3957060000000005E-2</v>
      </c>
      <c r="S3130">
        <v>2.978485</v>
      </c>
      <c r="T3130">
        <v>-4.1336299999999999E-2</v>
      </c>
      <c r="U3130">
        <v>-0.406723</v>
      </c>
      <c r="V3130">
        <v>9.6523970000000001E-2</v>
      </c>
      <c r="W3130">
        <v>1.654866E-2</v>
      </c>
      <c r="X3130">
        <v>0.99519310000000005</v>
      </c>
      <c r="Y3130">
        <v>0.157664</v>
      </c>
      <c r="Z3130">
        <v>-1.401591E-3</v>
      </c>
      <c r="AA3130">
        <v>0.98749180000000003</v>
      </c>
      <c r="AB3130">
        <v>44</v>
      </c>
      <c r="AC3130">
        <v>83.200299999999999</v>
      </c>
      <c r="AD3130">
        <v>-1.158264</v>
      </c>
      <c r="AE3130">
        <v>-11.4024</v>
      </c>
      <c r="AF3130">
        <v>13.2794199465599</v>
      </c>
      <c r="AG3130">
        <v>-1.158264</v>
      </c>
      <c r="AH3130">
        <v>82.905242694198606</v>
      </c>
      <c r="AI3130">
        <v>90.790350477665598</v>
      </c>
      <c r="AJ3130">
        <v>80.899897877927998</v>
      </c>
      <c r="AK3130">
        <v>83.970017481210306</v>
      </c>
      <c r="AL3130">
        <v>89.051788362340702</v>
      </c>
      <c r="AM3130">
        <v>84.460199121008898</v>
      </c>
      <c r="AN3130">
        <v>1.0000000206099799</v>
      </c>
    </row>
    <row r="3131" spans="1:40" x14ac:dyDescent="0.25">
      <c r="A3131" t="str">
        <f>"20190312151600377"</f>
        <v>20190312151600377</v>
      </c>
      <c r="B3131" t="str">
        <f>"1552374960370423"</f>
        <v>1552374960370423</v>
      </c>
      <c r="C3131" t="s">
        <v>40</v>
      </c>
      <c r="D3131">
        <v>4.6356659999999996</v>
      </c>
      <c r="E3131">
        <v>0.52341800000000005</v>
      </c>
      <c r="F3131" t="s">
        <v>51</v>
      </c>
      <c r="G3131">
        <v>-263.54390000000001</v>
      </c>
      <c r="H3131">
        <v>8.0000859999999993E-2</v>
      </c>
      <c r="I3131">
        <v>204.7123</v>
      </c>
      <c r="J3131">
        <v>-335.2269</v>
      </c>
      <c r="K3131">
        <v>1.108266</v>
      </c>
      <c r="L3131">
        <v>214.61269999999999</v>
      </c>
      <c r="M3131">
        <v>0.99970890000000001</v>
      </c>
      <c r="N3131">
        <v>0</v>
      </c>
      <c r="O3131">
        <v>2.2212909999999999E-2</v>
      </c>
      <c r="P3131">
        <v>0.99715690000000001</v>
      </c>
      <c r="Q3131">
        <v>7.2516840000000004E-3</v>
      </c>
      <c r="R3131">
        <v>-7.5006509999999998E-2</v>
      </c>
      <c r="S3131">
        <v>2.9783019999999998</v>
      </c>
      <c r="T3131">
        <v>-4.2490239999999999E-2</v>
      </c>
      <c r="U3131">
        <v>-0.40875240000000002</v>
      </c>
      <c r="V3131">
        <v>9.7161070000000002E-2</v>
      </c>
      <c r="W3131">
        <v>1.6505269999999999E-2</v>
      </c>
      <c r="X3131">
        <v>0.99513180000000001</v>
      </c>
      <c r="Y3131">
        <v>0.15792490000000001</v>
      </c>
      <c r="Z3131">
        <v>-1.436737E-3</v>
      </c>
      <c r="AA3131">
        <v>0.9874501</v>
      </c>
      <c r="AB3131">
        <v>44</v>
      </c>
      <c r="AC3131">
        <v>71.682999999999893</v>
      </c>
      <c r="AD3131">
        <v>-1.02826514</v>
      </c>
      <c r="AE3131">
        <v>-9.9003999999999905</v>
      </c>
      <c r="AF3131">
        <v>11.4879960240704</v>
      </c>
      <c r="AG3131">
        <v>-1.02826514</v>
      </c>
      <c r="AH3131">
        <v>71.4309620432103</v>
      </c>
      <c r="AI3131">
        <v>90.814267049782401</v>
      </c>
      <c r="AJ3131">
        <v>80.8635526614474</v>
      </c>
      <c r="AK3131">
        <v>72.356158827467794</v>
      </c>
      <c r="AL3131">
        <v>89.054274744763703</v>
      </c>
      <c r="AM3131">
        <v>84.423522412602395</v>
      </c>
      <c r="AN3131">
        <v>0.99999999841627796</v>
      </c>
    </row>
    <row r="3132" spans="1:40" x14ac:dyDescent="0.25">
      <c r="A3132" t="str">
        <f>"20190312151600398"</f>
        <v>20190312151600398</v>
      </c>
      <c r="B3132" t="str">
        <f>"1552374960390919"</f>
        <v>1552374960390919</v>
      </c>
      <c r="C3132" t="s">
        <v>40</v>
      </c>
      <c r="D3132">
        <v>4.2839510000000001</v>
      </c>
      <c r="E3132">
        <v>0.48911450000000001</v>
      </c>
      <c r="F3132" t="s">
        <v>51</v>
      </c>
      <c r="G3132">
        <v>-265.30380000000002</v>
      </c>
      <c r="H3132">
        <v>8.0001790000000003E-2</v>
      </c>
      <c r="I3132">
        <v>204.93940000000001</v>
      </c>
      <c r="J3132">
        <v>-334.79289999999997</v>
      </c>
      <c r="K3132">
        <v>1.10826</v>
      </c>
      <c r="L3132">
        <v>214.62200000000001</v>
      </c>
      <c r="M3132">
        <v>0.99971869999999996</v>
      </c>
      <c r="N3132">
        <v>0</v>
      </c>
      <c r="O3132">
        <v>2.1757269999999999E-2</v>
      </c>
      <c r="P3132">
        <v>0.99710880000000002</v>
      </c>
      <c r="Q3132">
        <v>7.5982139999999998E-3</v>
      </c>
      <c r="R3132">
        <v>-7.5606480000000004E-2</v>
      </c>
      <c r="S3132">
        <v>2.9779049999999998</v>
      </c>
      <c r="T3132">
        <v>-4.3792009999999999E-2</v>
      </c>
      <c r="U3132">
        <v>-0.411972</v>
      </c>
      <c r="V3132">
        <v>9.7307039999999997E-2</v>
      </c>
      <c r="W3132">
        <v>1.687429E-2</v>
      </c>
      <c r="X3132">
        <v>0.99511130000000003</v>
      </c>
      <c r="Y3132">
        <v>0.15853909999999999</v>
      </c>
      <c r="Z3132">
        <v>-1.478659E-3</v>
      </c>
      <c r="AA3132">
        <v>0.9873516</v>
      </c>
      <c r="AB3132">
        <v>44</v>
      </c>
      <c r="AC3132">
        <v>69.489099999999894</v>
      </c>
      <c r="AD3132">
        <v>-1.02825821</v>
      </c>
      <c r="AE3132">
        <v>-9.6826000000000008</v>
      </c>
      <c r="AF3132">
        <v>11.1898647550672</v>
      </c>
      <c r="AG3132">
        <v>-1.02825821</v>
      </c>
      <c r="AH3132">
        <v>69.247099141814502</v>
      </c>
      <c r="AI3132">
        <v>90.8398363424688</v>
      </c>
      <c r="AJ3132">
        <v>80.820736602868294</v>
      </c>
      <c r="AK3132">
        <v>70.152912467975398</v>
      </c>
      <c r="AL3132">
        <v>89.033128464427904</v>
      </c>
      <c r="AM3132">
        <v>84.415083189358498</v>
      </c>
      <c r="AN3132">
        <v>0.99999995054212598</v>
      </c>
    </row>
    <row r="3133" spans="1:40" x14ac:dyDescent="0.25">
      <c r="A3133" t="str">
        <f>"20190312151600422"</f>
        <v>20190312151600422</v>
      </c>
      <c r="B3133" t="str">
        <f>"1552374960410439"</f>
        <v>1552374960410439</v>
      </c>
      <c r="C3133" t="s">
        <v>40</v>
      </c>
      <c r="D3133">
        <v>4.511215</v>
      </c>
      <c r="E3133">
        <v>0.4910891</v>
      </c>
      <c r="F3133" t="s">
        <v>57</v>
      </c>
      <c r="G3133">
        <v>-168.41079999999999</v>
      </c>
      <c r="H3133">
        <v>1.2301899999999999</v>
      </c>
      <c r="I3133">
        <v>206.8278</v>
      </c>
      <c r="J3133">
        <v>-334.34449999999998</v>
      </c>
      <c r="K3133">
        <v>1.1082620000000001</v>
      </c>
      <c r="L3133">
        <v>214.63140000000001</v>
      </c>
      <c r="M3133">
        <v>0.99972859999999997</v>
      </c>
      <c r="N3133">
        <v>0</v>
      </c>
      <c r="O3133">
        <v>2.1286679999999999E-2</v>
      </c>
      <c r="P3133">
        <v>0.99705790000000005</v>
      </c>
      <c r="Q3133">
        <v>8.2717260000000001E-3</v>
      </c>
      <c r="R3133">
        <v>-7.6207140000000007E-2</v>
      </c>
      <c r="S3133">
        <v>2.9980159999999998</v>
      </c>
      <c r="T3133">
        <v>2.1976230000000001E-3</v>
      </c>
      <c r="U3133">
        <v>-0.14044189999999901</v>
      </c>
      <c r="V3133">
        <v>9.7438960000000005E-2</v>
      </c>
      <c r="W3133">
        <v>1.7571799999999999E-2</v>
      </c>
      <c r="X3133">
        <v>0.99508640000000004</v>
      </c>
      <c r="Y3133">
        <v>6.804731E-2</v>
      </c>
      <c r="Z3133" s="1">
        <v>4.0523430000000001E-5</v>
      </c>
      <c r="AA3133">
        <v>0.99768210000000002</v>
      </c>
      <c r="AB3133">
        <v>44</v>
      </c>
      <c r="AC3133">
        <v>165.93369999999999</v>
      </c>
      <c r="AD3133">
        <v>0.121927999999999</v>
      </c>
      <c r="AE3133">
        <v>-7.8036000000000101</v>
      </c>
      <c r="AF3133">
        <v>11.334161372384401</v>
      </c>
      <c r="AG3133">
        <v>0.121927999999999</v>
      </c>
      <c r="AH3133">
        <v>165.72988874003499</v>
      </c>
      <c r="AI3133">
        <v>89.957945554313298</v>
      </c>
      <c r="AJ3133">
        <v>86.087670058167006</v>
      </c>
      <c r="AK3133">
        <v>166.117049402633</v>
      </c>
      <c r="AL3133">
        <v>88.993158235061301</v>
      </c>
      <c r="AM3133">
        <v>84.407420582546393</v>
      </c>
      <c r="AN3133">
        <v>1.0000000312730399</v>
      </c>
    </row>
    <row r="3134" spans="1:40" x14ac:dyDescent="0.25">
      <c r="A3134" t="str">
        <f>"20190312151600445"</f>
        <v>20190312151600445</v>
      </c>
      <c r="B3134" t="str">
        <f>"1552374960440696"</f>
        <v>1552374960440696</v>
      </c>
      <c r="C3134" t="s">
        <v>40</v>
      </c>
      <c r="D3134">
        <v>4.2678140000000004</v>
      </c>
      <c r="E3134">
        <v>0.49241079999999998</v>
      </c>
      <c r="F3134" t="s">
        <v>57</v>
      </c>
      <c r="G3134">
        <v>-168.4117</v>
      </c>
      <c r="H3134">
        <v>3.00617</v>
      </c>
      <c r="I3134">
        <v>205.90049999999999</v>
      </c>
      <c r="J3134">
        <v>-333.88990000000001</v>
      </c>
      <c r="K3134">
        <v>1.108266</v>
      </c>
      <c r="L3134">
        <v>214.64070000000001</v>
      </c>
      <c r="M3134">
        <v>0.99973829999999997</v>
      </c>
      <c r="N3134">
        <v>0</v>
      </c>
      <c r="O3134">
        <v>2.080982E-2</v>
      </c>
      <c r="P3134">
        <v>0.99698640000000005</v>
      </c>
      <c r="Q3134">
        <v>8.5298270000000002E-3</v>
      </c>
      <c r="R3134">
        <v>-7.7107599999999998E-2</v>
      </c>
      <c r="S3134">
        <v>2.9965519999999999</v>
      </c>
      <c r="T3134">
        <v>3.4274579999999999E-2</v>
      </c>
      <c r="U3134">
        <v>-0.15766910000000001</v>
      </c>
      <c r="V3134">
        <v>9.7863439999999996E-2</v>
      </c>
      <c r="W3134">
        <v>1.785262E-2</v>
      </c>
      <c r="X3134">
        <v>0.99503969999999997</v>
      </c>
      <c r="Y3134">
        <v>7.3308650000000003E-2</v>
      </c>
      <c r="Z3134">
        <v>6.5682990000000003E-4</v>
      </c>
      <c r="AA3134">
        <v>0.99730909999999995</v>
      </c>
      <c r="AB3134">
        <v>44</v>
      </c>
      <c r="AC3134">
        <v>165.47819999999999</v>
      </c>
      <c r="AD3134">
        <v>1.897904</v>
      </c>
      <c r="AE3134">
        <v>-8.7402000000000104</v>
      </c>
      <c r="AF3134">
        <v>12.1804363820484</v>
      </c>
      <c r="AG3134">
        <v>1.897904</v>
      </c>
      <c r="AH3134">
        <v>165.23879713584401</v>
      </c>
      <c r="AI3134">
        <v>89.343720074804494</v>
      </c>
      <c r="AJ3134">
        <v>85.784115716716997</v>
      </c>
      <c r="AK3134">
        <v>165.69799379881101</v>
      </c>
      <c r="AL3134">
        <v>88.977065864703505</v>
      </c>
      <c r="AM3134">
        <v>84.382950777100802</v>
      </c>
      <c r="AN3134">
        <v>0.999999986752793</v>
      </c>
    </row>
    <row r="3135" spans="1:40" x14ac:dyDescent="0.25">
      <c r="A3135" t="str">
        <f>"20190312151600467"</f>
        <v>20190312151600467</v>
      </c>
      <c r="B3135" t="str">
        <f>"1552374960461192"</f>
        <v>1552374960461192</v>
      </c>
      <c r="C3135" t="s">
        <v>40</v>
      </c>
      <c r="D3135">
        <v>4.6009690000000001</v>
      </c>
      <c r="E3135">
        <v>0.49246119999999999</v>
      </c>
      <c r="F3135" t="s">
        <v>48</v>
      </c>
      <c r="G3135">
        <v>-177.60579999999999</v>
      </c>
      <c r="H3135">
        <v>3.4656370000000001</v>
      </c>
      <c r="I3135">
        <v>205.7235</v>
      </c>
      <c r="J3135">
        <v>-333.459</v>
      </c>
      <c r="K3135">
        <v>1.1082669999999999</v>
      </c>
      <c r="L3135">
        <v>214.64940000000001</v>
      </c>
      <c r="M3135">
        <v>0.99974750000000001</v>
      </c>
      <c r="N3135">
        <v>0</v>
      </c>
      <c r="O3135">
        <v>2.035789E-2</v>
      </c>
      <c r="P3135">
        <v>0.99692979999999998</v>
      </c>
      <c r="Q3135">
        <v>8.8123249999999993E-3</v>
      </c>
      <c r="R3135">
        <v>-7.7804070000000003E-2</v>
      </c>
      <c r="S3135">
        <v>2.9954529999999999</v>
      </c>
      <c r="T3135">
        <v>4.5183059999999997E-2</v>
      </c>
      <c r="U3135">
        <v>-0.1709137</v>
      </c>
      <c r="V3135">
        <v>9.8109199999999994E-2</v>
      </c>
      <c r="W3135">
        <v>1.8156309999999998E-2</v>
      </c>
      <c r="X3135">
        <v>0.99500999999999995</v>
      </c>
      <c r="Y3135">
        <v>7.7267939999999993E-2</v>
      </c>
      <c r="Z3135">
        <v>8.8909539999999895E-4</v>
      </c>
      <c r="AA3135">
        <v>0.99700999999999995</v>
      </c>
      <c r="AB3135">
        <v>44</v>
      </c>
      <c r="AC3135">
        <v>155.85319999999999</v>
      </c>
      <c r="AD3135">
        <v>2.35737</v>
      </c>
      <c r="AE3135">
        <v>-8.9259000000000093</v>
      </c>
      <c r="AF3135">
        <v>12.094277949052801</v>
      </c>
      <c r="AG3135">
        <v>2.35737</v>
      </c>
      <c r="AH3135">
        <v>155.603693708918</v>
      </c>
      <c r="AI3135">
        <v>89.134654408325403</v>
      </c>
      <c r="AJ3135">
        <v>85.555627930063807</v>
      </c>
      <c r="AK3135">
        <v>156.09080129297999</v>
      </c>
      <c r="AL3135">
        <v>88.959662884736602</v>
      </c>
      <c r="AM3135">
        <v>84.368768481412701</v>
      </c>
      <c r="AN3135">
        <v>0.99999998340872698</v>
      </c>
    </row>
    <row r="3136" spans="1:40" x14ac:dyDescent="0.25">
      <c r="A3136" t="str">
        <f>"20190312151600488"</f>
        <v>20190312151600488</v>
      </c>
      <c r="B3136" t="str">
        <f>"1552374960480715"</f>
        <v>1552374960480715</v>
      </c>
      <c r="C3136" t="s">
        <v>40</v>
      </c>
      <c r="D3136">
        <v>4.3082200000000004</v>
      </c>
      <c r="E3136">
        <v>0.49284070000000002</v>
      </c>
      <c r="F3136" t="s">
        <v>48</v>
      </c>
      <c r="G3136">
        <v>-177.58410000000001</v>
      </c>
      <c r="H3136">
        <v>3.1376360000000001</v>
      </c>
      <c r="I3136">
        <v>205.6283</v>
      </c>
      <c r="J3136">
        <v>-333.03649999999999</v>
      </c>
      <c r="K3136">
        <v>1.1082639999999999</v>
      </c>
      <c r="L3136">
        <v>214.6576</v>
      </c>
      <c r="M3136">
        <v>0.99975619999999998</v>
      </c>
      <c r="N3136">
        <v>0</v>
      </c>
      <c r="O3136">
        <v>1.9914729999999999E-2</v>
      </c>
      <c r="P3136">
        <v>0.99687959999999998</v>
      </c>
      <c r="Q3136">
        <v>8.8802999999999903E-3</v>
      </c>
      <c r="R3136">
        <v>-7.8436549999999994E-2</v>
      </c>
      <c r="S3136">
        <v>2.9953919999999998</v>
      </c>
      <c r="T3136">
        <v>3.8997650000000002E-2</v>
      </c>
      <c r="U3136">
        <v>-0.17335510000000001</v>
      </c>
      <c r="V3136">
        <v>9.8299520000000001E-2</v>
      </c>
      <c r="W3136">
        <v>1.8244030000000001E-2</v>
      </c>
      <c r="X3136">
        <v>0.99498960000000003</v>
      </c>
      <c r="Y3136">
        <v>7.7639940000000005E-2</v>
      </c>
      <c r="Z3136">
        <v>7.6404449999999905E-4</v>
      </c>
      <c r="AA3136">
        <v>0.99698109999999995</v>
      </c>
      <c r="AB3136">
        <v>44</v>
      </c>
      <c r="AC3136">
        <v>155.45239999999899</v>
      </c>
      <c r="AD3136">
        <v>2.029372</v>
      </c>
      <c r="AE3136">
        <v>-9.0292999999999992</v>
      </c>
      <c r="AF3136">
        <v>12.1213837029101</v>
      </c>
      <c r="AG3136">
        <v>2.029372</v>
      </c>
      <c r="AH3136">
        <v>155.21538061023199</v>
      </c>
      <c r="AI3136">
        <v>89.253199395842302</v>
      </c>
      <c r="AJ3136">
        <v>85.534608622870095</v>
      </c>
      <c r="AK3136">
        <v>155.70119033445701</v>
      </c>
      <c r="AL3136">
        <v>88.954636054512804</v>
      </c>
      <c r="AM3136">
        <v>84.357800055090607</v>
      </c>
      <c r="AN3136">
        <v>0.99999997218551495</v>
      </c>
    </row>
    <row r="3137" spans="1:40" x14ac:dyDescent="0.25">
      <c r="A3137" t="str">
        <f>"20190312151600509"</f>
        <v>20190312151600509</v>
      </c>
      <c r="B3137" t="str">
        <f>"1552374960501207"</f>
        <v>1552374960501207</v>
      </c>
      <c r="C3137" t="s">
        <v>40</v>
      </c>
      <c r="D3137">
        <v>4.3179499999999997</v>
      </c>
      <c r="E3137">
        <v>0.49301319999999998</v>
      </c>
      <c r="F3137" t="s">
        <v>57</v>
      </c>
      <c r="G3137">
        <v>-168.41210000000001</v>
      </c>
      <c r="H3137">
        <v>3.323353</v>
      </c>
      <c r="I3137">
        <v>204.85810000000001</v>
      </c>
      <c r="J3137">
        <v>-332.60899999999998</v>
      </c>
      <c r="K3137">
        <v>1.1082620000000001</v>
      </c>
      <c r="L3137">
        <v>214.66589999999999</v>
      </c>
      <c r="M3137">
        <v>0.99976489999999996</v>
      </c>
      <c r="N3137">
        <v>0</v>
      </c>
      <c r="O3137">
        <v>1.9466279999999999E-2</v>
      </c>
      <c r="P3137">
        <v>0.99683460000000002</v>
      </c>
      <c r="Q3137">
        <v>8.251665E-3</v>
      </c>
      <c r="R3137">
        <v>-7.9076889999999997E-2</v>
      </c>
      <c r="S3137">
        <v>2.9950260000000002</v>
      </c>
      <c r="T3137">
        <v>4.0299889999999998E-2</v>
      </c>
      <c r="U3137">
        <v>-0.17828369999999999</v>
      </c>
      <c r="V3137">
        <v>9.8491599999999999E-2</v>
      </c>
      <c r="W3137">
        <v>1.7634730000000001E-2</v>
      </c>
      <c r="X3137">
        <v>0.99498160000000002</v>
      </c>
      <c r="Y3137">
        <v>7.8834050000000003E-2</v>
      </c>
      <c r="Z3137">
        <v>7.9161170000000003E-4</v>
      </c>
      <c r="AA3137">
        <v>0.99688739999999998</v>
      </c>
      <c r="AB3137">
        <v>44</v>
      </c>
      <c r="AC3137">
        <v>164.1969</v>
      </c>
      <c r="AD3137">
        <v>2.2150910000000001</v>
      </c>
      <c r="AE3137">
        <v>-9.8077999999999808</v>
      </c>
      <c r="AF3137">
        <v>13.000032499912001</v>
      </c>
      <c r="AG3137">
        <v>2.2150910000000001</v>
      </c>
      <c r="AH3137">
        <v>163.94512337337801</v>
      </c>
      <c r="AI3137">
        <v>89.228335786763594</v>
      </c>
      <c r="AJ3137">
        <v>85.466216263912301</v>
      </c>
      <c r="AK3137">
        <v>164.47465139360901</v>
      </c>
      <c r="AL3137">
        <v>88.989552002851696</v>
      </c>
      <c r="AM3137">
        <v>84.346801224648004</v>
      </c>
      <c r="AN3137">
        <v>0.99999998165564596</v>
      </c>
    </row>
    <row r="3138" spans="1:40" x14ac:dyDescent="0.25">
      <c r="A3138" t="str">
        <f>"20190312151600532"</f>
        <v>20190312151600532</v>
      </c>
      <c r="B3138" t="str">
        <f>"1552374960520727"</f>
        <v>1552374960520727</v>
      </c>
      <c r="C3138" t="s">
        <v>40</v>
      </c>
      <c r="D3138">
        <v>4.3103379999999998</v>
      </c>
      <c r="E3138">
        <v>0.49299989999999999</v>
      </c>
      <c r="F3138" t="s">
        <v>57</v>
      </c>
      <c r="G3138">
        <v>-168.41200000000001</v>
      </c>
      <c r="H3138">
        <v>2.7586189999999999</v>
      </c>
      <c r="I3138">
        <v>204.7054</v>
      </c>
      <c r="J3138">
        <v>-332.15120000000002</v>
      </c>
      <c r="K3138">
        <v>1.1082609999999999</v>
      </c>
      <c r="L3138">
        <v>214.67439999999999</v>
      </c>
      <c r="M3138">
        <v>0.99977380000000005</v>
      </c>
      <c r="N3138">
        <v>0</v>
      </c>
      <c r="O3138">
        <v>1.8986639999999999E-2</v>
      </c>
      <c r="P3138">
        <v>0.99678250000000002</v>
      </c>
      <c r="Q3138">
        <v>8.0298469999999997E-3</v>
      </c>
      <c r="R3138">
        <v>-7.9751730000000007E-2</v>
      </c>
      <c r="S3138">
        <v>2.9948429999999999</v>
      </c>
      <c r="T3138">
        <v>3.0102009999999998E-2</v>
      </c>
      <c r="U3138">
        <v>-0.1816711</v>
      </c>
      <c r="V3138">
        <v>9.8687739999999996E-2</v>
      </c>
      <c r="W3138">
        <v>1.7432110000000001E-2</v>
      </c>
      <c r="X3138">
        <v>0.99496569999999995</v>
      </c>
      <c r="Y3138">
        <v>7.9486849999999998E-2</v>
      </c>
      <c r="Z3138">
        <v>5.8978329999999997E-4</v>
      </c>
      <c r="AA3138">
        <v>0.99683580000000005</v>
      </c>
      <c r="AB3138">
        <v>44</v>
      </c>
      <c r="AC3138">
        <v>163.73920000000001</v>
      </c>
      <c r="AD3138">
        <v>1.65035799999999</v>
      </c>
      <c r="AE3138">
        <v>-9.9689999999999905</v>
      </c>
      <c r="AF3138">
        <v>13.0748794646567</v>
      </c>
      <c r="AG3138">
        <v>1.65035799999999</v>
      </c>
      <c r="AH3138">
        <v>163.50384572996299</v>
      </c>
      <c r="AI3138">
        <v>89.423533598339901</v>
      </c>
      <c r="AJ3138">
        <v>85.427968821541796</v>
      </c>
      <c r="AK3138">
        <v>164.03409317282501</v>
      </c>
      <c r="AL3138">
        <v>89.001163023519695</v>
      </c>
      <c r="AM3138">
        <v>84.335526433965896</v>
      </c>
      <c r="AN3138">
        <v>0.99999994633092304</v>
      </c>
    </row>
    <row r="3139" spans="1:40" x14ac:dyDescent="0.25">
      <c r="A3139" t="str">
        <f>"20190312151600554"</f>
        <v>20190312151600554</v>
      </c>
      <c r="B3139" t="str">
        <f>"1552374960550984"</f>
        <v>1552374960550984</v>
      </c>
      <c r="C3139" t="s">
        <v>40</v>
      </c>
      <c r="D3139">
        <v>4.5605260000000003</v>
      </c>
      <c r="E3139">
        <v>0.49240709999999999</v>
      </c>
      <c r="F3139" t="s">
        <v>57</v>
      </c>
      <c r="G3139">
        <v>-168.4119</v>
      </c>
      <c r="H3139">
        <v>2.3421690000000002</v>
      </c>
      <c r="I3139">
        <v>204.63669999999999</v>
      </c>
      <c r="J3139">
        <v>-331.70979999999997</v>
      </c>
      <c r="K3139">
        <v>1.1082559999999999</v>
      </c>
      <c r="L3139">
        <v>214.6825</v>
      </c>
      <c r="M3139">
        <v>0.99978230000000001</v>
      </c>
      <c r="N3139">
        <v>0</v>
      </c>
      <c r="O3139">
        <v>1.8524659999999998E-2</v>
      </c>
      <c r="P3139">
        <v>0.9967568</v>
      </c>
      <c r="Q3139">
        <v>8.0139510000000001E-3</v>
      </c>
      <c r="R3139">
        <v>-8.0075439999999998E-2</v>
      </c>
      <c r="S3139">
        <v>2.9948429999999999</v>
      </c>
      <c r="T3139">
        <v>2.2569180000000001E-2</v>
      </c>
      <c r="U3139">
        <v>-0.1835938</v>
      </c>
      <c r="V3139">
        <v>9.8551109999999997E-2</v>
      </c>
      <c r="W3139">
        <v>1.7434499999999999E-2</v>
      </c>
      <c r="X3139">
        <v>0.99497930000000001</v>
      </c>
      <c r="Y3139">
        <v>7.9665959999999994E-2</v>
      </c>
      <c r="Z3139">
        <v>4.3938560000000002E-4</v>
      </c>
      <c r="AA3139">
        <v>0.99682150000000003</v>
      </c>
      <c r="AB3139">
        <v>44</v>
      </c>
      <c r="AC3139">
        <v>163.297899999999</v>
      </c>
      <c r="AD3139">
        <v>1.23391299999999</v>
      </c>
      <c r="AE3139">
        <v>-10.0458</v>
      </c>
      <c r="AF3139">
        <v>13.068510193700501</v>
      </c>
      <c r="AG3139">
        <v>1.23391299999999</v>
      </c>
      <c r="AH3139">
        <v>163.07449665896601</v>
      </c>
      <c r="AI3139">
        <v>89.567861660944004</v>
      </c>
      <c r="AJ3139">
        <v>85.418206168751198</v>
      </c>
      <c r="AK3139">
        <v>163.60195585795901</v>
      </c>
      <c r="AL3139">
        <v>89.001026164613705</v>
      </c>
      <c r="AM3139">
        <v>84.343394637311306</v>
      </c>
      <c r="AN3139">
        <v>1.00000004525048</v>
      </c>
    </row>
    <row r="3140" spans="1:40" x14ac:dyDescent="0.25">
      <c r="A3140" t="str">
        <f>"20190312151600577"</f>
        <v>20190312151600577</v>
      </c>
      <c r="B3140" t="str">
        <f>"1552374960570507"</f>
        <v>1552374960570507</v>
      </c>
      <c r="C3140" t="s">
        <v>40</v>
      </c>
      <c r="D3140">
        <v>4.5121310000000001</v>
      </c>
      <c r="E3140">
        <v>0.49189040000000001</v>
      </c>
      <c r="F3140" t="s">
        <v>57</v>
      </c>
      <c r="G3140">
        <v>-168.4117</v>
      </c>
      <c r="H3140">
        <v>2.0165250000000001</v>
      </c>
      <c r="I3140">
        <v>204.8733</v>
      </c>
      <c r="J3140">
        <v>-331.26569999999998</v>
      </c>
      <c r="K3140">
        <v>1.108257</v>
      </c>
      <c r="L3140">
        <v>214.69040000000001</v>
      </c>
      <c r="M3140">
        <v>0.99979070000000003</v>
      </c>
      <c r="N3140">
        <v>0</v>
      </c>
      <c r="O3140">
        <v>1.8059820000000001E-2</v>
      </c>
      <c r="P3140">
        <v>0.99674479999999999</v>
      </c>
      <c r="Q3140">
        <v>7.64079199999999E-3</v>
      </c>
      <c r="R3140">
        <v>-8.0259479999999994E-2</v>
      </c>
      <c r="S3140">
        <v>2.9951479999999999</v>
      </c>
      <c r="T3140">
        <v>1.6659739999999999E-2</v>
      </c>
      <c r="U3140">
        <v>-0.1799164</v>
      </c>
      <c r="V3140">
        <v>9.8271860000000003E-2</v>
      </c>
      <c r="W3140">
        <v>1.7079299999999999E-2</v>
      </c>
      <c r="X3140">
        <v>0.99501309999999998</v>
      </c>
      <c r="Y3140">
        <v>7.7978099999999995E-2</v>
      </c>
      <c r="Z3140">
        <v>3.170456E-4</v>
      </c>
      <c r="AA3140">
        <v>0.99695500000000004</v>
      </c>
      <c r="AB3140">
        <v>44</v>
      </c>
      <c r="AC3140">
        <v>162.85399999999899</v>
      </c>
      <c r="AD3140">
        <v>0.90826799999999996</v>
      </c>
      <c r="AE3140">
        <v>-9.8170999999999999</v>
      </c>
      <c r="AF3140">
        <v>12.7563532262851</v>
      </c>
      <c r="AG3140">
        <v>0.90826799999999996</v>
      </c>
      <c r="AH3140">
        <v>162.64509336575401</v>
      </c>
      <c r="AI3140">
        <v>89.6810228792137</v>
      </c>
      <c r="AJ3140">
        <v>85.515437645222505</v>
      </c>
      <c r="AK3140">
        <v>163.14709894554801</v>
      </c>
      <c r="AL3140">
        <v>89.021380675089901</v>
      </c>
      <c r="AM3140">
        <v>84.359509805179499</v>
      </c>
      <c r="AN3140">
        <v>1.00000006506397</v>
      </c>
    </row>
    <row r="3141" spans="1:40" x14ac:dyDescent="0.25">
      <c r="A3141" t="str">
        <f>"20190312151600590"</f>
        <v>20190312151600590</v>
      </c>
      <c r="B3141" t="str">
        <f>"1552374960581240"</f>
        <v>1552374960581240</v>
      </c>
      <c r="C3141" t="s">
        <v>40</v>
      </c>
      <c r="D3141">
        <v>4.5697390000000002</v>
      </c>
      <c r="E3141">
        <v>0.49168709999999999</v>
      </c>
      <c r="F3141" t="s">
        <v>48</v>
      </c>
      <c r="G3141">
        <v>-177.58770000000001</v>
      </c>
      <c r="H3141">
        <v>1.6470990000000001</v>
      </c>
      <c r="I3141">
        <v>205.64410000000001</v>
      </c>
      <c r="J3141">
        <v>-331.00880000000001</v>
      </c>
      <c r="K3141">
        <v>1.1082540000000001</v>
      </c>
      <c r="L3141">
        <v>214.69489999999999</v>
      </c>
      <c r="M3141">
        <v>0.9997954</v>
      </c>
      <c r="N3141">
        <v>0</v>
      </c>
      <c r="O3141">
        <v>1.7791000000000001E-2</v>
      </c>
      <c r="P3141">
        <v>0.99674050000000003</v>
      </c>
      <c r="Q3141">
        <v>7.8396109999999998E-3</v>
      </c>
      <c r="R3141">
        <v>-8.0293229999999993E-2</v>
      </c>
      <c r="S3141">
        <v>2.995514</v>
      </c>
      <c r="T3141">
        <v>1.0503169999999999E-2</v>
      </c>
      <c r="U3141">
        <v>-0.1763306</v>
      </c>
      <c r="V3141">
        <v>9.8038349999999996E-2</v>
      </c>
      <c r="W3141">
        <v>1.7288600000000001E-2</v>
      </c>
      <c r="X3141">
        <v>0.99503240000000004</v>
      </c>
      <c r="Y3141">
        <v>7.6514369999999998E-2</v>
      </c>
      <c r="Z3141">
        <v>1.9635980000000001E-4</v>
      </c>
      <c r="AA3141">
        <v>0.99706850000000002</v>
      </c>
      <c r="AB3141">
        <v>44</v>
      </c>
      <c r="AC3141">
        <v>153.4211</v>
      </c>
      <c r="AD3141">
        <v>0.53884500000000002</v>
      </c>
      <c r="AE3141">
        <v>-9.0507999999999793</v>
      </c>
      <c r="AF3141">
        <v>11.7788638091326</v>
      </c>
      <c r="AG3141">
        <v>0.53884500000000002</v>
      </c>
      <c r="AH3141">
        <v>153.23390152330899</v>
      </c>
      <c r="AI3141">
        <v>89.799113591915699</v>
      </c>
      <c r="AJ3141">
        <v>85.604401934332699</v>
      </c>
      <c r="AK3141">
        <v>153.686891316805</v>
      </c>
      <c r="AL3141">
        <v>89.009386779708294</v>
      </c>
      <c r="AM3141">
        <v>84.372934856483198</v>
      </c>
      <c r="AN3141">
        <v>0.99999994540521897</v>
      </c>
    </row>
    <row r="3142" spans="1:40" x14ac:dyDescent="0.25">
      <c r="A3142" t="str">
        <f>"20190312151600611"</f>
        <v>20190312151600611</v>
      </c>
      <c r="B3142" t="str">
        <f>"1552374960600760"</f>
        <v>1552374960600760</v>
      </c>
      <c r="C3142" t="s">
        <v>40</v>
      </c>
      <c r="D3142">
        <v>4.5637860000000003</v>
      </c>
      <c r="E3142">
        <v>0.49115249999999999</v>
      </c>
      <c r="F3142" t="s">
        <v>48</v>
      </c>
      <c r="G3142">
        <v>-177.60149999999999</v>
      </c>
      <c r="H3142">
        <v>1.5995200000000001</v>
      </c>
      <c r="I3142">
        <v>205.7336</v>
      </c>
      <c r="J3142">
        <v>-330.59870000000001</v>
      </c>
      <c r="K3142">
        <v>1.1082479999999999</v>
      </c>
      <c r="L3142">
        <v>214.70189999999999</v>
      </c>
      <c r="M3142">
        <v>0.99980290000000005</v>
      </c>
      <c r="N3142">
        <v>0</v>
      </c>
      <c r="O3142">
        <v>1.7362120000000002E-2</v>
      </c>
      <c r="P3142">
        <v>0.99673840000000002</v>
      </c>
      <c r="Q3142">
        <v>7.3933499999999999E-3</v>
      </c>
      <c r="R3142">
        <v>-8.0362660000000002E-2</v>
      </c>
      <c r="S3142">
        <v>2.9956049999999999</v>
      </c>
      <c r="T3142">
        <v>9.5930100000000008E-3</v>
      </c>
      <c r="U3142">
        <v>-0.1749878</v>
      </c>
      <c r="V3142">
        <v>9.7680329999999996E-2</v>
      </c>
      <c r="W3142">
        <v>1.6857609999999999E-2</v>
      </c>
      <c r="X3142">
        <v>0.99507500000000004</v>
      </c>
      <c r="Y3142">
        <v>7.5639540000000005E-2</v>
      </c>
      <c r="Z3142">
        <v>1.765689E-4</v>
      </c>
      <c r="AA3142">
        <v>0.9971352</v>
      </c>
      <c r="AB3142">
        <v>44</v>
      </c>
      <c r="AC3142">
        <v>152.99719999999999</v>
      </c>
      <c r="AD3142">
        <v>0.49127199999999999</v>
      </c>
      <c r="AE3142">
        <v>-8.9682999999999993</v>
      </c>
      <c r="AF3142">
        <v>11.623307525719399</v>
      </c>
      <c r="AG3142">
        <v>0.49127199999999999</v>
      </c>
      <c r="AH3142">
        <v>152.81685000671899</v>
      </c>
      <c r="AI3142">
        <v>89.816338004998698</v>
      </c>
      <c r="AJ3142">
        <v>85.650436067581893</v>
      </c>
      <c r="AK3142">
        <v>153.259036510058</v>
      </c>
      <c r="AL3142">
        <v>89.034084284579905</v>
      </c>
      <c r="AM3142">
        <v>84.393591307863502</v>
      </c>
      <c r="AN3142">
        <v>0.99999994075440801</v>
      </c>
    </row>
    <row r="3143" spans="1:40" x14ac:dyDescent="0.25">
      <c r="A3143" t="str">
        <f>"20190312151600634"</f>
        <v>20190312151600634</v>
      </c>
      <c r="B3143" t="str">
        <f>"1552374960631016"</f>
        <v>1552374960631016</v>
      </c>
      <c r="C3143" t="s">
        <v>40</v>
      </c>
      <c r="D3143">
        <v>4.3623529999999997</v>
      </c>
      <c r="E3143">
        <v>0.49145169999999999</v>
      </c>
      <c r="F3143" t="s">
        <v>57</v>
      </c>
      <c r="G3143">
        <v>-168.41130000000001</v>
      </c>
      <c r="H3143">
        <v>1.464672</v>
      </c>
      <c r="I3143">
        <v>205.44450000000001</v>
      </c>
      <c r="J3143">
        <v>-330.1386</v>
      </c>
      <c r="K3143">
        <v>1.108247</v>
      </c>
      <c r="L3143">
        <v>214.70949999999999</v>
      </c>
      <c r="M3143">
        <v>0.99981100000000001</v>
      </c>
      <c r="N3143">
        <v>0</v>
      </c>
      <c r="O3143">
        <v>1.6880840000000001E-2</v>
      </c>
      <c r="P3143">
        <v>0.99672059999999996</v>
      </c>
      <c r="Q3143">
        <v>7.4917439999999998E-3</v>
      </c>
      <c r="R3143">
        <v>-8.0575380000000002E-2</v>
      </c>
      <c r="S3143">
        <v>2.9960019999999998</v>
      </c>
      <c r="T3143">
        <v>6.5846439999999997E-3</v>
      </c>
      <c r="U3143">
        <v>-0.1710052</v>
      </c>
      <c r="V3143">
        <v>9.7413730000000004E-2</v>
      </c>
      <c r="W3143">
        <v>1.697251E-2</v>
      </c>
      <c r="X3143">
        <v>0.99509919999999996</v>
      </c>
      <c r="Y3143">
        <v>7.3830919999999994E-2</v>
      </c>
      <c r="Z3143">
        <v>1.181426E-4</v>
      </c>
      <c r="AA3143">
        <v>0.99727080000000001</v>
      </c>
      <c r="AB3143">
        <v>44</v>
      </c>
      <c r="AC3143">
        <v>161.72730000000001</v>
      </c>
      <c r="AD3143">
        <v>0.35642499999999999</v>
      </c>
      <c r="AE3143">
        <v>-9.2649999999999793</v>
      </c>
      <c r="AF3143">
        <v>11.993841264598499</v>
      </c>
      <c r="AG3143">
        <v>0.35642499999999999</v>
      </c>
      <c r="AH3143">
        <v>161.547062759721</v>
      </c>
      <c r="AI3143">
        <v>89.873934175246504</v>
      </c>
      <c r="AJ3143">
        <v>85.753943176103505</v>
      </c>
      <c r="AK3143">
        <v>161.99207620545599</v>
      </c>
      <c r="AL3143">
        <v>89.027500075215599</v>
      </c>
      <c r="AM3143">
        <v>84.408930963203204</v>
      </c>
      <c r="AN3143">
        <v>0.99999995936442498</v>
      </c>
    </row>
    <row r="3144" spans="1:40" x14ac:dyDescent="0.25">
      <c r="A3144" t="str">
        <f>"20190312151600657"</f>
        <v>20190312151600657</v>
      </c>
      <c r="B3144" t="str">
        <f>"1552374960650536"</f>
        <v>1552374960650536</v>
      </c>
      <c r="C3144" t="s">
        <v>40</v>
      </c>
      <c r="D3144">
        <v>4.3512309999999896</v>
      </c>
      <c r="E3144">
        <v>0.49152689999999999</v>
      </c>
      <c r="F3144" t="s">
        <v>57</v>
      </c>
      <c r="G3144">
        <v>-168.41130000000001</v>
      </c>
      <c r="H3144">
        <v>1.347488</v>
      </c>
      <c r="I3144">
        <v>205.31379999999999</v>
      </c>
      <c r="J3144">
        <v>-329.67849999999999</v>
      </c>
      <c r="K3144">
        <v>1.108249</v>
      </c>
      <c r="L3144">
        <v>214.71690000000001</v>
      </c>
      <c r="M3144">
        <v>0.9998186</v>
      </c>
      <c r="N3144">
        <v>0</v>
      </c>
      <c r="O3144">
        <v>1.640028E-2</v>
      </c>
      <c r="P3144">
        <v>0.99668999999999996</v>
      </c>
      <c r="Q3144">
        <v>7.7382800000000002E-3</v>
      </c>
      <c r="R3144">
        <v>-8.0925990000000003E-2</v>
      </c>
      <c r="S3144">
        <v>2.9957579999999999</v>
      </c>
      <c r="T3144">
        <v>4.4322010000000002E-3</v>
      </c>
      <c r="U3144">
        <v>-0.17404169999999999</v>
      </c>
      <c r="V3144">
        <v>9.7285960000000005E-2</v>
      </c>
      <c r="W3144">
        <v>1.7233769999999999E-2</v>
      </c>
      <c r="X3144">
        <v>0.99510719999999997</v>
      </c>
      <c r="Y3144">
        <v>7.4363810000000002E-2</v>
      </c>
      <c r="Z3144" s="1">
        <v>7.9210829999999999E-5</v>
      </c>
      <c r="AA3144">
        <v>0.99723119999999998</v>
      </c>
      <c r="AB3144">
        <v>45</v>
      </c>
      <c r="AC3144">
        <v>161.26719999999901</v>
      </c>
      <c r="AD3144">
        <v>0.23923900000000001</v>
      </c>
      <c r="AE3144">
        <v>-9.4031000000000198</v>
      </c>
      <c r="AF3144">
        <v>12.0467600852747</v>
      </c>
      <c r="AG3144">
        <v>0.23923900000000001</v>
      </c>
      <c r="AH3144">
        <v>161.09093452667</v>
      </c>
      <c r="AI3144">
        <v>89.915146023210795</v>
      </c>
      <c r="AJ3144">
        <v>85.723247036412403</v>
      </c>
      <c r="AK3144">
        <v>161.54092624015499</v>
      </c>
      <c r="AL3144">
        <v>89.012528780284597</v>
      </c>
      <c r="AM3144">
        <v>84.4162625643486</v>
      </c>
      <c r="AN3144">
        <v>0.99999995016668597</v>
      </c>
    </row>
    <row r="3145" spans="1:40" x14ac:dyDescent="0.25">
      <c r="A3145" t="str">
        <f>"20190312151600678"</f>
        <v>20190312151600678</v>
      </c>
      <c r="B3145" t="str">
        <f>"1552374960671032"</f>
        <v>1552374960671032</v>
      </c>
      <c r="C3145" t="s">
        <v>40</v>
      </c>
      <c r="D3145">
        <v>4.5206850000000003</v>
      </c>
      <c r="E3145">
        <v>0.49138229999999999</v>
      </c>
      <c r="F3145" t="s">
        <v>48</v>
      </c>
      <c r="G3145">
        <v>-177.55080000000001</v>
      </c>
      <c r="H3145">
        <v>1.2741960000000001</v>
      </c>
      <c r="I3145">
        <v>205.79730000000001</v>
      </c>
      <c r="J3145">
        <v>-329.24919999999997</v>
      </c>
      <c r="K3145">
        <v>1.1082510000000001</v>
      </c>
      <c r="L3145">
        <v>214.72370000000001</v>
      </c>
      <c r="M3145">
        <v>0.99982579999999999</v>
      </c>
      <c r="N3145">
        <v>0</v>
      </c>
      <c r="O3145">
        <v>1.595156E-2</v>
      </c>
      <c r="P3145">
        <v>0.99665729999999997</v>
      </c>
      <c r="Q3145">
        <v>8.3353980000000008E-3</v>
      </c>
      <c r="R3145">
        <v>-8.1272999999999998E-2</v>
      </c>
      <c r="S3145">
        <v>2.9956670000000001</v>
      </c>
      <c r="T3145">
        <v>3.2677650000000002E-3</v>
      </c>
      <c r="U3145">
        <v>-0.17564389999999999</v>
      </c>
      <c r="V3145">
        <v>9.7186330000000001E-2</v>
      </c>
      <c r="W3145">
        <v>1.7844039999999999E-2</v>
      </c>
      <c r="X3145">
        <v>0.99510620000000005</v>
      </c>
      <c r="Y3145">
        <v>7.4449619999999994E-2</v>
      </c>
      <c r="Z3145" s="1">
        <v>5.7958940000000001E-5</v>
      </c>
      <c r="AA3145">
        <v>0.99722469999999996</v>
      </c>
      <c r="AB3145">
        <v>45</v>
      </c>
      <c r="AC3145">
        <v>151.698399999999</v>
      </c>
      <c r="AD3145">
        <v>0.16594499999999901</v>
      </c>
      <c r="AE3145">
        <v>-8.9263999999999992</v>
      </c>
      <c r="AF3145">
        <v>11.345190389740599</v>
      </c>
      <c r="AG3145">
        <v>0.16594499999999901</v>
      </c>
      <c r="AH3145">
        <v>151.53651955602299</v>
      </c>
      <c r="AI3145">
        <v>89.937431524451995</v>
      </c>
      <c r="AJ3145">
        <v>85.718384687919098</v>
      </c>
      <c r="AK3145">
        <v>151.96071084946701</v>
      </c>
      <c r="AL3145">
        <v>88.977557524599206</v>
      </c>
      <c r="AM3145">
        <v>84.421939186022101</v>
      </c>
      <c r="AN3145">
        <v>0.99999997089041404</v>
      </c>
    </row>
    <row r="3146" spans="1:40" x14ac:dyDescent="0.25">
      <c r="A3146" t="str">
        <f>"20190312151600712"</f>
        <v>20190312151600712</v>
      </c>
      <c r="B3146" t="str">
        <f>"1552374960701288"</f>
        <v>1552374960701288</v>
      </c>
      <c r="C3146" t="s">
        <v>40</v>
      </c>
      <c r="D3146">
        <v>4.3228739999999997</v>
      </c>
      <c r="E3146">
        <v>0.49126249999999999</v>
      </c>
      <c r="F3146" t="s">
        <v>57</v>
      </c>
      <c r="G3146">
        <v>-168.41130000000001</v>
      </c>
      <c r="H3146">
        <v>1.213009</v>
      </c>
      <c r="I3146">
        <v>205.30080000000001</v>
      </c>
      <c r="J3146">
        <v>-328.59320000000002</v>
      </c>
      <c r="K3146">
        <v>1.1082479999999999</v>
      </c>
      <c r="L3146">
        <v>214.7336</v>
      </c>
      <c r="M3146">
        <v>0.99983630000000001</v>
      </c>
      <c r="N3146">
        <v>0</v>
      </c>
      <c r="O3146">
        <v>1.526635E-2</v>
      </c>
      <c r="P3146">
        <v>0.99661699999999998</v>
      </c>
      <c r="Q3146">
        <v>8.4528889999999999E-3</v>
      </c>
      <c r="R3146">
        <v>-8.1752169999999999E-2</v>
      </c>
      <c r="S3146">
        <v>2.9957280000000002</v>
      </c>
      <c r="T3146">
        <v>1.9518140000000001E-3</v>
      </c>
      <c r="U3146">
        <v>-0.17550660000000001</v>
      </c>
      <c r="V3146">
        <v>9.6983100000000003E-2</v>
      </c>
      <c r="W3146">
        <v>1.7980860000000001E-2</v>
      </c>
      <c r="X3146">
        <v>0.9951236</v>
      </c>
      <c r="Y3146">
        <v>7.3719460000000001E-2</v>
      </c>
      <c r="Z3146" s="1">
        <v>3.3934019999999999E-5</v>
      </c>
      <c r="AA3146">
        <v>0.99727900000000003</v>
      </c>
      <c r="AB3146">
        <v>45</v>
      </c>
      <c r="AC3146">
        <v>160.18190000000001</v>
      </c>
      <c r="AD3146">
        <v>0.10476100000000001</v>
      </c>
      <c r="AE3146">
        <v>-9.4327999999999808</v>
      </c>
      <c r="AF3146">
        <v>11.8772038304371</v>
      </c>
      <c r="AG3146">
        <v>0.10476100000000001</v>
      </c>
      <c r="AH3146">
        <v>160.01915161286101</v>
      </c>
      <c r="AI3146">
        <v>89.962592625350595</v>
      </c>
      <c r="AJ3146">
        <v>85.755082588191797</v>
      </c>
      <c r="AK3146">
        <v>160.45936503861901</v>
      </c>
      <c r="AL3146">
        <v>88.969717094206601</v>
      </c>
      <c r="AM3146">
        <v>84.4336270629083</v>
      </c>
      <c r="AN3146">
        <v>1.0000000061444501</v>
      </c>
    </row>
    <row r="3147" spans="1:40" x14ac:dyDescent="0.25">
      <c r="A3147" t="str">
        <f>"20190312151600734"</f>
        <v>20190312151600734</v>
      </c>
      <c r="B3147" t="str">
        <f>"1552374960730568"</f>
        <v>1552374960730568</v>
      </c>
      <c r="C3147" t="s">
        <v>40</v>
      </c>
      <c r="D3147">
        <v>4.3292580000000003</v>
      </c>
      <c r="E3147">
        <v>0.4914077</v>
      </c>
      <c r="F3147" t="s">
        <v>57</v>
      </c>
      <c r="G3147">
        <v>-168.41130000000001</v>
      </c>
      <c r="H3147">
        <v>1.1489389999999999</v>
      </c>
      <c r="I3147">
        <v>205.3117</v>
      </c>
      <c r="J3147">
        <v>-328.14260000000002</v>
      </c>
      <c r="K3147">
        <v>1.108247</v>
      </c>
      <c r="L3147">
        <v>214.74019999999999</v>
      </c>
      <c r="M3147">
        <v>0.99984320000000004</v>
      </c>
      <c r="N3147">
        <v>0</v>
      </c>
      <c r="O3147">
        <v>1.4796109999999999E-2</v>
      </c>
      <c r="P3147">
        <v>0.99661679999999997</v>
      </c>
      <c r="Q3147">
        <v>8.2796699999999994E-3</v>
      </c>
      <c r="R3147">
        <v>-8.1768709999999994E-2</v>
      </c>
      <c r="S3147">
        <v>2.9957280000000002</v>
      </c>
      <c r="T3147">
        <v>7.6162820000000005E-4</v>
      </c>
      <c r="U3147">
        <v>-0.17620849999999999</v>
      </c>
      <c r="V3147">
        <v>9.6531560000000002E-2</v>
      </c>
      <c r="W3147">
        <v>1.7821630000000001E-2</v>
      </c>
      <c r="X3147">
        <v>0.99517040000000001</v>
      </c>
      <c r="Y3147">
        <v>7.3483300000000001E-2</v>
      </c>
      <c r="Z3147" s="1">
        <v>1.309204E-5</v>
      </c>
      <c r="AA3147">
        <v>0.99729650000000003</v>
      </c>
      <c r="AB3147">
        <v>45</v>
      </c>
      <c r="AC3147">
        <v>159.7313</v>
      </c>
      <c r="AD3147">
        <v>4.0691999999999902E-2</v>
      </c>
      <c r="AE3147">
        <v>-9.4284999999999801</v>
      </c>
      <c r="AF3147">
        <v>11.790980758481201</v>
      </c>
      <c r="AG3147">
        <v>4.0691999999999902E-2</v>
      </c>
      <c r="AH3147">
        <v>159.57429076457001</v>
      </c>
      <c r="AI3147">
        <v>89.985429099663605</v>
      </c>
      <c r="AJ3147">
        <v>85.774081453635802</v>
      </c>
      <c r="AK3147">
        <v>160.00932209125</v>
      </c>
      <c r="AL3147">
        <v>88.978841796624295</v>
      </c>
      <c r="AM3147">
        <v>84.459640630865593</v>
      </c>
      <c r="AN3147">
        <v>1.00000003880402</v>
      </c>
    </row>
    <row r="3148" spans="1:40" x14ac:dyDescent="0.25">
      <c r="A3148" t="str">
        <f>"20190312151600755"</f>
        <v>20190312151600755</v>
      </c>
      <c r="B3148" t="str">
        <f>"1552374960751064"</f>
        <v>1552374960751064</v>
      </c>
      <c r="C3148" t="s">
        <v>40</v>
      </c>
      <c r="D3148">
        <v>5.1659179999999996</v>
      </c>
      <c r="E3148">
        <v>0.49156470000000002</v>
      </c>
      <c r="F3148" t="s">
        <v>48</v>
      </c>
      <c r="G3148">
        <v>-177.6602</v>
      </c>
      <c r="H3148">
        <v>1.0249969999999999</v>
      </c>
      <c r="I3148">
        <v>205.82409999999999</v>
      </c>
      <c r="J3148">
        <v>-327.7002</v>
      </c>
      <c r="K3148">
        <v>1.1082430000000001</v>
      </c>
      <c r="L3148">
        <v>214.74639999999999</v>
      </c>
      <c r="M3148">
        <v>0.99984980000000001</v>
      </c>
      <c r="N3148">
        <v>0</v>
      </c>
      <c r="O3148">
        <v>1.4334639999999999E-2</v>
      </c>
      <c r="P3148">
        <v>0.99658369999999996</v>
      </c>
      <c r="Q3148">
        <v>8.1774289999999999E-3</v>
      </c>
      <c r="R3148">
        <v>-8.2183759999999995E-2</v>
      </c>
      <c r="S3148">
        <v>2.9956360000000002</v>
      </c>
      <c r="T3148">
        <v>-1.6572479999999901E-3</v>
      </c>
      <c r="U3148">
        <v>-0.17749019999999999</v>
      </c>
      <c r="V3148">
        <v>9.6486680000000005E-2</v>
      </c>
      <c r="W3148">
        <v>1.7731520000000001E-2</v>
      </c>
      <c r="X3148">
        <v>0.99517630000000001</v>
      </c>
      <c r="Y3148">
        <v>7.3450009999999996E-2</v>
      </c>
      <c r="Z3148" s="1">
        <v>-2.822352E-5</v>
      </c>
      <c r="AA3148">
        <v>0.99729889999999999</v>
      </c>
      <c r="AB3148">
        <v>45</v>
      </c>
      <c r="AC3148">
        <v>150.04</v>
      </c>
      <c r="AD3148">
        <v>-8.3246000000000098E-2</v>
      </c>
      <c r="AE3148">
        <v>-8.9222999999999999</v>
      </c>
      <c r="AF3148">
        <v>11.072251225998601</v>
      </c>
      <c r="AG3148">
        <v>-8.3246000000000098E-2</v>
      </c>
      <c r="AH3148">
        <v>149.89663248482799</v>
      </c>
      <c r="AI3148">
        <v>90.031733101004093</v>
      </c>
      <c r="AJ3148">
        <v>85.775467196636995</v>
      </c>
      <c r="AK3148">
        <v>150.305030213229</v>
      </c>
      <c r="AL3148">
        <v>88.984005472423405</v>
      </c>
      <c r="AM3148">
        <v>84.462233097671898</v>
      </c>
      <c r="AN3148">
        <v>0.99999997715031097</v>
      </c>
    </row>
    <row r="3149" spans="1:40" x14ac:dyDescent="0.25">
      <c r="A3149" t="str">
        <f>"20190312151600779"</f>
        <v>20190312151600779</v>
      </c>
      <c r="B3149" t="str">
        <f>"1552374960770584"</f>
        <v>1552374960770584</v>
      </c>
      <c r="C3149" t="s">
        <v>40</v>
      </c>
      <c r="D3149">
        <v>4.4119409999999997</v>
      </c>
      <c r="E3149">
        <v>0.49248320000000001</v>
      </c>
      <c r="F3149" t="s">
        <v>48</v>
      </c>
      <c r="G3149">
        <v>-177.6541</v>
      </c>
      <c r="H3149">
        <v>1.052036</v>
      </c>
      <c r="I3149">
        <v>205.74029999999999</v>
      </c>
      <c r="J3149">
        <v>-327.24040000000002</v>
      </c>
      <c r="K3149">
        <v>1.1082459999999901</v>
      </c>
      <c r="L3149">
        <v>214.7526</v>
      </c>
      <c r="M3149">
        <v>0.99985650000000004</v>
      </c>
      <c r="N3149">
        <v>0</v>
      </c>
      <c r="O3149">
        <v>1.3854989999999999E-2</v>
      </c>
      <c r="P3149">
        <v>0.99658190000000002</v>
      </c>
      <c r="Q3149">
        <v>7.9986910000000005E-3</v>
      </c>
      <c r="R3149">
        <v>-8.2224649999999996E-2</v>
      </c>
      <c r="S3149">
        <v>2.9954830000000001</v>
      </c>
      <c r="T3149">
        <v>-1.1221169999999999E-3</v>
      </c>
      <c r="U3149">
        <v>-0.17979429999999999</v>
      </c>
      <c r="V3149">
        <v>9.6049720000000005E-2</v>
      </c>
      <c r="W3149">
        <v>1.7566080000000001E-2</v>
      </c>
      <c r="X3149">
        <v>0.99522160000000004</v>
      </c>
      <c r="Y3149">
        <v>7.3738979999999996E-2</v>
      </c>
      <c r="Z3149" s="1">
        <v>-1.898512E-5</v>
      </c>
      <c r="AA3149">
        <v>0.99727759999999999</v>
      </c>
      <c r="AB3149">
        <v>45</v>
      </c>
      <c r="AC3149">
        <v>149.58629999999999</v>
      </c>
      <c r="AD3149">
        <v>-5.6209999999999802E-2</v>
      </c>
      <c r="AE3149">
        <v>-9.0123000000000104</v>
      </c>
      <c r="AF3149">
        <v>11.0840484744477</v>
      </c>
      <c r="AG3149">
        <v>-5.6209999999999802E-2</v>
      </c>
      <c r="AH3149">
        <v>149.447048312334</v>
      </c>
      <c r="AI3149">
        <v>90.021491051031006</v>
      </c>
      <c r="AJ3149">
        <v>85.758306504522906</v>
      </c>
      <c r="AK3149">
        <v>149.85753080648701</v>
      </c>
      <c r="AL3149">
        <v>88.993486061007204</v>
      </c>
      <c r="AM3149">
        <v>84.487406567290506</v>
      </c>
      <c r="AN3149">
        <v>1.0000000744925901</v>
      </c>
    </row>
    <row r="3150" spans="1:40" x14ac:dyDescent="0.25">
      <c r="A3150" t="str">
        <f>"20190312151600799"</f>
        <v>20190312151600799</v>
      </c>
      <c r="B3150" t="str">
        <f>"1552374960791080"</f>
        <v>1552374960791080</v>
      </c>
      <c r="C3150" t="s">
        <v>40</v>
      </c>
      <c r="D3150">
        <v>4.5136699999999896</v>
      </c>
      <c r="E3150">
        <v>0.49368079999999998</v>
      </c>
      <c r="F3150" t="s">
        <v>57</v>
      </c>
      <c r="G3150">
        <v>-168.41130000000001</v>
      </c>
      <c r="H3150">
        <v>0.81221580000000004</v>
      </c>
      <c r="I3150">
        <v>204.82839999999999</v>
      </c>
      <c r="J3150">
        <v>-326.81659999999999</v>
      </c>
      <c r="K3150">
        <v>1.1082419999999999</v>
      </c>
      <c r="L3150">
        <v>214.75819999999999</v>
      </c>
      <c r="M3150">
        <v>0.99986249999999999</v>
      </c>
      <c r="N3150">
        <v>0</v>
      </c>
      <c r="O3150">
        <v>1.3413069999999999E-2</v>
      </c>
      <c r="P3150">
        <v>0.99661129999999998</v>
      </c>
      <c r="Q3150">
        <v>8.1014009999999994E-3</v>
      </c>
      <c r="R3150">
        <v>-8.1856970000000001E-2</v>
      </c>
      <c r="S3150">
        <v>2.9949340000000002</v>
      </c>
      <c r="T3150">
        <v>-5.581379E-3</v>
      </c>
      <c r="U3150">
        <v>-0.18713379999999999</v>
      </c>
      <c r="V3150">
        <v>9.5242750000000001E-2</v>
      </c>
      <c r="W3150">
        <v>1.768146E-2</v>
      </c>
      <c r="X3150">
        <v>0.99529699999999999</v>
      </c>
      <c r="Y3150">
        <v>7.5743649999999996E-2</v>
      </c>
      <c r="Z3150" s="1">
        <v>-9.5484910000000005E-5</v>
      </c>
      <c r="AA3150">
        <v>0.99712730000000005</v>
      </c>
      <c r="AB3150">
        <v>45</v>
      </c>
      <c r="AC3150">
        <v>158.40529999999899</v>
      </c>
      <c r="AD3150">
        <v>-0.29602619999999902</v>
      </c>
      <c r="AE3150">
        <v>-9.9298000000000002</v>
      </c>
      <c r="AF3150">
        <v>12.0536670891904</v>
      </c>
      <c r="AG3150">
        <v>-0.29602619999999902</v>
      </c>
      <c r="AH3150">
        <v>158.25730265528099</v>
      </c>
      <c r="AI3150">
        <v>90.106864255672505</v>
      </c>
      <c r="AJ3150">
        <v>85.644476382935906</v>
      </c>
      <c r="AK3150">
        <v>158.715948680444</v>
      </c>
      <c r="AL3150">
        <v>88.986874138485703</v>
      </c>
      <c r="AM3150">
        <v>84.533850981894602</v>
      </c>
      <c r="AN3150">
        <v>0.99999996683214598</v>
      </c>
    </row>
    <row r="3151" spans="1:40" x14ac:dyDescent="0.25">
      <c r="A3151" t="str">
        <f>"20190312151600824"</f>
        <v>20190312151600824</v>
      </c>
      <c r="B3151" t="str">
        <f>"1552374960820360"</f>
        <v>1552374960820360</v>
      </c>
      <c r="C3151" t="s">
        <v>40</v>
      </c>
      <c r="D3151">
        <v>4.413932</v>
      </c>
      <c r="E3151">
        <v>0.49537740000000002</v>
      </c>
      <c r="F3151" t="s">
        <v>57</v>
      </c>
      <c r="G3151">
        <v>-168.41139999999999</v>
      </c>
      <c r="H3151">
        <v>0.58063319999999996</v>
      </c>
      <c r="I3151">
        <v>204.40039999999999</v>
      </c>
      <c r="J3151">
        <v>-326.33569999999997</v>
      </c>
      <c r="K3151">
        <v>1.1082419999999999</v>
      </c>
      <c r="L3151">
        <v>214.76429999999999</v>
      </c>
      <c r="M3151">
        <v>0.99986900000000001</v>
      </c>
      <c r="N3151">
        <v>0</v>
      </c>
      <c r="O3151">
        <v>1.2911779999999999E-2</v>
      </c>
      <c r="P3151">
        <v>0.99660090000000001</v>
      </c>
      <c r="Q3151">
        <v>8.7453069999999904E-3</v>
      </c>
      <c r="R3151">
        <v>-8.1916320000000001E-2</v>
      </c>
      <c r="S3151">
        <v>2.994202</v>
      </c>
      <c r="T3151">
        <v>-9.9723339999999994E-3</v>
      </c>
      <c r="U3151">
        <v>-0.1957855</v>
      </c>
      <c r="V3151">
        <v>9.4803990000000005E-2</v>
      </c>
      <c r="W3151">
        <v>1.833796E-2</v>
      </c>
      <c r="X3151">
        <v>0.99532710000000002</v>
      </c>
      <c r="Y3151">
        <v>7.8127829999999995E-2</v>
      </c>
      <c r="Z3151">
        <v>-1.729282E-4</v>
      </c>
      <c r="AA3151">
        <v>0.99694340000000004</v>
      </c>
      <c r="AB3151">
        <v>45</v>
      </c>
      <c r="AC3151">
        <v>157.92429999999999</v>
      </c>
      <c r="AD3151">
        <v>-0.52760879999999999</v>
      </c>
      <c r="AE3151">
        <v>-10.363899999999999</v>
      </c>
      <c r="AF3151">
        <v>12.4020791001064</v>
      </c>
      <c r="AG3151">
        <v>-0.52760879999999999</v>
      </c>
      <c r="AH3151">
        <v>157.77555785001701</v>
      </c>
      <c r="AI3151">
        <v>90.191009836026396</v>
      </c>
      <c r="AJ3151">
        <v>85.505459410119997</v>
      </c>
      <c r="AK3151">
        <v>158.263124548756</v>
      </c>
      <c r="AL3151">
        <v>88.949253450054002</v>
      </c>
      <c r="AM3151">
        <v>84.559044279246805</v>
      </c>
      <c r="AN3151">
        <v>1.00000005664564</v>
      </c>
    </row>
    <row r="3152" spans="1:40" x14ac:dyDescent="0.25">
      <c r="A3152" t="str">
        <f>"20190312151600847"</f>
        <v>20190312151600847</v>
      </c>
      <c r="B3152" t="str">
        <f>"1552374960840856"</f>
        <v>1552374960840856</v>
      </c>
      <c r="C3152" t="s">
        <v>40</v>
      </c>
      <c r="D3152">
        <v>4.3327660000000003</v>
      </c>
      <c r="E3152">
        <v>0.49645830000000002</v>
      </c>
      <c r="F3152" t="s">
        <v>57</v>
      </c>
      <c r="G3152">
        <v>-168.41149999999999</v>
      </c>
      <c r="H3152">
        <v>0.27754970000000001</v>
      </c>
      <c r="I3152">
        <v>203.72020000000001</v>
      </c>
      <c r="J3152">
        <v>-325.87349999999998</v>
      </c>
      <c r="K3152">
        <v>1.1082369999999999</v>
      </c>
      <c r="L3152">
        <v>214.76990000000001</v>
      </c>
      <c r="M3152">
        <v>0.99987490000000001</v>
      </c>
      <c r="N3152">
        <v>0</v>
      </c>
      <c r="O3152">
        <v>1.2430460000000001E-2</v>
      </c>
      <c r="P3152">
        <v>0.99658239999999998</v>
      </c>
      <c r="Q3152">
        <v>8.7859619999999996E-3</v>
      </c>
      <c r="R3152">
        <v>-8.2135600000000003E-2</v>
      </c>
      <c r="S3152">
        <v>2.9931640000000002</v>
      </c>
      <c r="T3152">
        <v>-1.5743610000000002E-2</v>
      </c>
      <c r="U3152">
        <v>-0.20932010000000001</v>
      </c>
      <c r="V3152">
        <v>9.4544050000000004E-2</v>
      </c>
      <c r="W3152">
        <v>1.839087E-2</v>
      </c>
      <c r="X3152">
        <v>0.99535079999999998</v>
      </c>
      <c r="Y3152">
        <v>8.2156419999999994E-2</v>
      </c>
      <c r="Z3152">
        <v>-2.8111169999999998E-4</v>
      </c>
      <c r="AA3152">
        <v>0.99661940000000004</v>
      </c>
      <c r="AB3152">
        <v>45</v>
      </c>
      <c r="AC3152">
        <v>157.46199999999999</v>
      </c>
      <c r="AD3152">
        <v>-0.83068730000000002</v>
      </c>
      <c r="AE3152">
        <v>-11.0497</v>
      </c>
      <c r="AF3152">
        <v>13.005904742395799</v>
      </c>
      <c r="AG3152">
        <v>-0.83068730000000002</v>
      </c>
      <c r="AH3152">
        <v>157.30811717921401</v>
      </c>
      <c r="AI3152">
        <v>90.301526697956007</v>
      </c>
      <c r="AJ3152">
        <v>85.273654914818493</v>
      </c>
      <c r="AK3152">
        <v>157.84703776133401</v>
      </c>
      <c r="AL3152">
        <v>88.946221368232003</v>
      </c>
      <c r="AM3152">
        <v>84.574001927486904</v>
      </c>
      <c r="AN3152">
        <v>1.0000000082751901</v>
      </c>
    </row>
    <row r="3153" spans="1:40" x14ac:dyDescent="0.25">
      <c r="A3153" t="str">
        <f>"20190312151600868"</f>
        <v>20190312151600868</v>
      </c>
      <c r="B3153" t="str">
        <f>"1552374960860375"</f>
        <v>1552374960860375</v>
      </c>
      <c r="C3153" t="s">
        <v>40</v>
      </c>
      <c r="D3153">
        <v>4.4224990000000002</v>
      </c>
      <c r="E3153">
        <v>0.49739339999999999</v>
      </c>
      <c r="F3153" t="s">
        <v>57</v>
      </c>
      <c r="G3153">
        <v>-168.41159999999999</v>
      </c>
      <c r="H3153">
        <v>9.017944E-2</v>
      </c>
      <c r="I3153">
        <v>203.2577</v>
      </c>
      <c r="J3153">
        <v>-325.45280000000002</v>
      </c>
      <c r="K3153">
        <v>1.1082339999999999</v>
      </c>
      <c r="L3153">
        <v>214.7749</v>
      </c>
      <c r="M3153">
        <v>0.99988010000000005</v>
      </c>
      <c r="N3153">
        <v>0</v>
      </c>
      <c r="O3153">
        <v>1.199243E-2</v>
      </c>
      <c r="P3153">
        <v>0.99653599999999998</v>
      </c>
      <c r="Q3153">
        <v>9.0349200000000001E-3</v>
      </c>
      <c r="R3153">
        <v>-8.2673179999999999E-2</v>
      </c>
      <c r="S3153">
        <v>2.992432</v>
      </c>
      <c r="T3153">
        <v>-1.934671E-2</v>
      </c>
      <c r="U3153">
        <v>-0.21878049999999999</v>
      </c>
      <c r="V3153">
        <v>9.4644809999999996E-2</v>
      </c>
      <c r="W3153">
        <v>1.865023E-2</v>
      </c>
      <c r="X3153">
        <v>0.99533640000000001</v>
      </c>
      <c r="Y3153">
        <v>8.4870479999999998E-2</v>
      </c>
      <c r="Z3153">
        <v>-3.5142479999999998E-4</v>
      </c>
      <c r="AA3153">
        <v>0.99639200000000006</v>
      </c>
      <c r="AB3153">
        <v>45</v>
      </c>
      <c r="AC3153">
        <v>157.0412</v>
      </c>
      <c r="AD3153">
        <v>-1.0180545599999999</v>
      </c>
      <c r="AE3153">
        <v>-11.517200000000001</v>
      </c>
      <c r="AF3153">
        <v>13.399207572194101</v>
      </c>
      <c r="AG3153">
        <v>-1.0180545599999999</v>
      </c>
      <c r="AH3153">
        <v>156.88522202396001</v>
      </c>
      <c r="AI3153">
        <v>90.370448099618898</v>
      </c>
      <c r="AJ3153">
        <v>85.118345374174893</v>
      </c>
      <c r="AK3153">
        <v>157.459671307154</v>
      </c>
      <c r="AL3153">
        <v>88.931358587678702</v>
      </c>
      <c r="AM3153">
        <v>84.568175642225498</v>
      </c>
      <c r="AN3153">
        <v>1.0000000101519699</v>
      </c>
    </row>
    <row r="3154" spans="1:40" x14ac:dyDescent="0.25">
      <c r="A3154" t="str">
        <f>"20190312151600889"</f>
        <v>20190312151600889</v>
      </c>
      <c r="B3154" t="str">
        <f>"1552374960880872"</f>
        <v>1552374960880872</v>
      </c>
      <c r="C3154" t="s">
        <v>40</v>
      </c>
      <c r="D3154">
        <v>4.4418230000000003</v>
      </c>
      <c r="E3154">
        <v>0.49826930000000003</v>
      </c>
      <c r="F3154" t="s">
        <v>51</v>
      </c>
      <c r="G3154">
        <v>-214.90110000000001</v>
      </c>
      <c r="H3154">
        <v>8.0000379999999996E-2</v>
      </c>
      <c r="I3154">
        <v>206.35339999999999</v>
      </c>
      <c r="J3154">
        <v>-325.02080000000001</v>
      </c>
      <c r="K3154">
        <v>1.1082430000000001</v>
      </c>
      <c r="L3154">
        <v>214.77969999999999</v>
      </c>
      <c r="M3154">
        <v>0.99988540000000004</v>
      </c>
      <c r="N3154">
        <v>0</v>
      </c>
      <c r="O3154">
        <v>1.154235E-2</v>
      </c>
      <c r="P3154">
        <v>0.99648990000000004</v>
      </c>
      <c r="Q3154">
        <v>8.9352340000000002E-3</v>
      </c>
      <c r="R3154">
        <v>-8.3236899999999905E-2</v>
      </c>
      <c r="S3154">
        <v>2.9917910000000001</v>
      </c>
      <c r="T3154">
        <v>-2.7826429999999999E-2</v>
      </c>
      <c r="U3154">
        <v>-0.22790530000000001</v>
      </c>
      <c r="V3154">
        <v>9.4759940000000001E-2</v>
      </c>
      <c r="W3154">
        <v>1.85606E-2</v>
      </c>
      <c r="X3154">
        <v>0.99532710000000002</v>
      </c>
      <c r="Y3154">
        <v>8.7457049999999995E-2</v>
      </c>
      <c r="Z3154">
        <v>-5.1333089999999997E-4</v>
      </c>
      <c r="AA3154">
        <v>0.9961681</v>
      </c>
      <c r="AB3154">
        <v>45</v>
      </c>
      <c r="AC3154">
        <v>110.11969999999999</v>
      </c>
      <c r="AD3154">
        <v>-1.0282426200000001</v>
      </c>
      <c r="AE3154">
        <v>-8.4262999999999906</v>
      </c>
      <c r="AF3154">
        <v>9.6959992734655192</v>
      </c>
      <c r="AG3154">
        <v>-1.0282426200000001</v>
      </c>
      <c r="AH3154">
        <v>110.00556425475099</v>
      </c>
      <c r="AI3154">
        <v>90.533470696598897</v>
      </c>
      <c r="AJ3154">
        <v>84.9629104951687</v>
      </c>
      <c r="AK3154">
        <v>110.436831952943</v>
      </c>
      <c r="AL3154">
        <v>88.936494874972198</v>
      </c>
      <c r="AM3154">
        <v>84.561557219761397</v>
      </c>
      <c r="AN3154">
        <v>0.99999998904778598</v>
      </c>
    </row>
    <row r="3155" spans="1:40" x14ac:dyDescent="0.25">
      <c r="A3155" t="str">
        <f>"20190312151600912"</f>
        <v>20190312151600912</v>
      </c>
      <c r="B3155" t="str">
        <f>"1552374960900392"</f>
        <v>1552374960900392</v>
      </c>
      <c r="C3155" t="s">
        <v>40</v>
      </c>
      <c r="D3155">
        <v>4.4048220000000002</v>
      </c>
      <c r="E3155">
        <v>0.49908659999999999</v>
      </c>
      <c r="F3155" t="s">
        <v>51</v>
      </c>
      <c r="G3155">
        <v>-238.01689999999999</v>
      </c>
      <c r="H3155">
        <v>8.0000870000000002E-2</v>
      </c>
      <c r="I3155">
        <v>207.89760000000001</v>
      </c>
      <c r="J3155">
        <v>-324.5591</v>
      </c>
      <c r="K3155">
        <v>1.1082369999999999</v>
      </c>
      <c r="L3155">
        <v>214.78479999999999</v>
      </c>
      <c r="M3155">
        <v>0.99989070000000002</v>
      </c>
      <c r="N3155">
        <v>0</v>
      </c>
      <c r="O3155">
        <v>1.106234E-2</v>
      </c>
      <c r="P3155">
        <v>0.99643910000000002</v>
      </c>
      <c r="Q3155">
        <v>8.5941379999999994E-3</v>
      </c>
      <c r="R3155">
        <v>-8.3876649999999997E-2</v>
      </c>
      <c r="S3155">
        <v>2.9911189999999999</v>
      </c>
      <c r="T3155">
        <v>-3.5350079999999999E-2</v>
      </c>
      <c r="U3155">
        <v>-0.2366028</v>
      </c>
      <c r="V3155">
        <v>9.4920980000000002E-2</v>
      </c>
      <c r="W3155">
        <v>1.823021E-2</v>
      </c>
      <c r="X3155">
        <v>0.99531789999999998</v>
      </c>
      <c r="Y3155">
        <v>8.987204E-2</v>
      </c>
      <c r="Z3155">
        <v>-6.6077159999999998E-4</v>
      </c>
      <c r="AA3155">
        <v>0.99595310000000004</v>
      </c>
      <c r="AB3155">
        <v>45</v>
      </c>
      <c r="AC3155">
        <v>86.542199999999994</v>
      </c>
      <c r="AD3155">
        <v>-1.02823613</v>
      </c>
      <c r="AE3155">
        <v>-6.8871999999999698</v>
      </c>
      <c r="AF3155">
        <v>7.8430836257058596</v>
      </c>
      <c r="AG3155">
        <v>-1.02823613</v>
      </c>
      <c r="AH3155">
        <v>86.448585006882993</v>
      </c>
      <c r="AI3155">
        <v>90.678667803769599</v>
      </c>
      <c r="AJ3155">
        <v>84.816008940602401</v>
      </c>
      <c r="AK3155">
        <v>86.809729178192597</v>
      </c>
      <c r="AL3155">
        <v>88.955428071736904</v>
      </c>
      <c r="AM3155">
        <v>84.552320348083995</v>
      </c>
      <c r="AN3155">
        <v>1.0000000275306</v>
      </c>
    </row>
    <row r="3156" spans="1:40" x14ac:dyDescent="0.25">
      <c r="A3156" t="str">
        <f>"20190312151600935"</f>
        <v>20190312151600935</v>
      </c>
      <c r="B3156" t="str">
        <f>"1552374960930648"</f>
        <v>1552374960930648</v>
      </c>
      <c r="C3156" t="s">
        <v>40</v>
      </c>
      <c r="D3156">
        <v>4.4442349999999999</v>
      </c>
      <c r="E3156">
        <v>0.50018019999999996</v>
      </c>
      <c r="F3156" t="s">
        <v>51</v>
      </c>
      <c r="G3156">
        <v>-254.77379999999999</v>
      </c>
      <c r="H3156">
        <v>8.0000310000000005E-2</v>
      </c>
      <c r="I3156">
        <v>209.06549999999999</v>
      </c>
      <c r="J3156">
        <v>-324.09969999999998</v>
      </c>
      <c r="K3156">
        <v>1.1082369999999999</v>
      </c>
      <c r="L3156">
        <v>214.7895</v>
      </c>
      <c r="M3156">
        <v>0.9998958</v>
      </c>
      <c r="N3156">
        <v>0</v>
      </c>
      <c r="O3156">
        <v>1.058478E-2</v>
      </c>
      <c r="P3156">
        <v>0.99637509999999996</v>
      </c>
      <c r="Q3156">
        <v>8.8085860000000002E-3</v>
      </c>
      <c r="R3156">
        <v>-8.4611220000000001E-2</v>
      </c>
      <c r="S3156">
        <v>2.9904790000000001</v>
      </c>
      <c r="T3156">
        <v>-4.4062610000000002E-2</v>
      </c>
      <c r="U3156">
        <v>-0.24508669999999999</v>
      </c>
      <c r="V3156">
        <v>9.5179650000000005E-2</v>
      </c>
      <c r="W3156">
        <v>1.8454760000000001E-2</v>
      </c>
      <c r="X3156">
        <v>0.99528899999999998</v>
      </c>
      <c r="Y3156">
        <v>9.2216099999999995E-2</v>
      </c>
      <c r="Z3156">
        <v>-8.3390869999999998E-4</v>
      </c>
      <c r="AA3156">
        <v>0.99573869999999998</v>
      </c>
      <c r="AB3156">
        <v>45</v>
      </c>
      <c r="AC3156">
        <v>69.325899999999905</v>
      </c>
      <c r="AD3156">
        <v>-1.02823669</v>
      </c>
      <c r="AE3156">
        <v>-5.72400000000001</v>
      </c>
      <c r="AF3156">
        <v>6.45610342620546</v>
      </c>
      <c r="AG3156">
        <v>-1.02823669</v>
      </c>
      <c r="AH3156">
        <v>69.246295690143995</v>
      </c>
      <c r="AI3156">
        <v>90.847048215916999</v>
      </c>
      <c r="AJ3156">
        <v>84.673488081559398</v>
      </c>
      <c r="AK3156">
        <v>69.554209138968602</v>
      </c>
      <c r="AL3156">
        <v>88.942560077721197</v>
      </c>
      <c r="AM3156">
        <v>84.537406848065004</v>
      </c>
      <c r="AN3156">
        <v>0.99999996873088903</v>
      </c>
    </row>
    <row r="3157" spans="1:40" x14ac:dyDescent="0.25">
      <c r="A3157" t="str">
        <f>"20190312151600957"</f>
        <v>20190312151600957</v>
      </c>
      <c r="B3157" t="str">
        <f>"1552374960951144"</f>
        <v>1552374960951144</v>
      </c>
      <c r="C3157" t="s">
        <v>40</v>
      </c>
      <c r="D3157">
        <v>4.4408859999999999</v>
      </c>
      <c r="E3157">
        <v>0.50084200000000001</v>
      </c>
      <c r="F3157" t="s">
        <v>51</v>
      </c>
      <c r="G3157">
        <v>-263.72469999999998</v>
      </c>
      <c r="H3157">
        <v>2.2929109999999999E-2</v>
      </c>
      <c r="I3157">
        <v>209.6163</v>
      </c>
      <c r="J3157">
        <v>-323.64460000000003</v>
      </c>
      <c r="K3157">
        <v>1.1082369999999999</v>
      </c>
      <c r="L3157">
        <v>214.79400000000001</v>
      </c>
      <c r="M3157">
        <v>0.99990049999999997</v>
      </c>
      <c r="N3157">
        <v>0</v>
      </c>
      <c r="O3157">
        <v>1.011158E-2</v>
      </c>
      <c r="P3157">
        <v>0.99635799999999997</v>
      </c>
      <c r="Q3157">
        <v>8.6122200000000003E-3</v>
      </c>
      <c r="R3157">
        <v>-8.4834549999999995E-2</v>
      </c>
      <c r="S3157">
        <v>2.9896240000000001</v>
      </c>
      <c r="T3157">
        <v>-5.3741810000000001E-2</v>
      </c>
      <c r="U3157">
        <v>-0.25616460000000002</v>
      </c>
      <c r="V3157">
        <v>9.4931450000000001E-2</v>
      </c>
      <c r="W3157">
        <v>1.8269299999999999E-2</v>
      </c>
      <c r="X3157">
        <v>0.99531610000000004</v>
      </c>
      <c r="Y3157">
        <v>9.5425579999999996E-2</v>
      </c>
      <c r="Z3157">
        <v>-1.0374990000000001E-3</v>
      </c>
      <c r="AA3157">
        <v>0.99543599999999999</v>
      </c>
      <c r="AB3157">
        <v>45</v>
      </c>
      <c r="AC3157">
        <v>59.919899999999998</v>
      </c>
      <c r="AD3157">
        <v>-1.0853078899999999</v>
      </c>
      <c r="AE3157">
        <v>-5.1777000000000104</v>
      </c>
      <c r="AF3157">
        <v>5.7814667897248899</v>
      </c>
      <c r="AG3157">
        <v>-1.0853078899999999</v>
      </c>
      <c r="AH3157">
        <v>59.844991426373099</v>
      </c>
      <c r="AI3157">
        <v>91.034149642711299</v>
      </c>
      <c r="AJ3157">
        <v>84.481930016875594</v>
      </c>
      <c r="AK3157">
        <v>60.133403780922499</v>
      </c>
      <c r="AL3157">
        <v>88.953187918448705</v>
      </c>
      <c r="AM3157">
        <v>84.551713278368993</v>
      </c>
      <c r="AN3157">
        <v>0.99999994322039898</v>
      </c>
    </row>
    <row r="3158" spans="1:40" x14ac:dyDescent="0.25">
      <c r="A3158" t="str">
        <f>"20190312151600980"</f>
        <v>20190312151600980</v>
      </c>
      <c r="B3158" t="str">
        <f>"1552374960970664"</f>
        <v>1552374960970664</v>
      </c>
      <c r="C3158" t="s">
        <v>40</v>
      </c>
      <c r="D3158">
        <v>4.4534779999999996</v>
      </c>
      <c r="E3158">
        <v>0.50147489999999995</v>
      </c>
      <c r="F3158" t="s">
        <v>51</v>
      </c>
      <c r="G3158">
        <v>-268.6671</v>
      </c>
      <c r="H3158" s="1">
        <v>3.2784459999999998E-6</v>
      </c>
      <c r="I3158">
        <v>209.97110000000001</v>
      </c>
      <c r="J3158">
        <v>-323.18340000000001</v>
      </c>
      <c r="K3158">
        <v>1.1082299999999901</v>
      </c>
      <c r="L3158">
        <v>214.79830000000001</v>
      </c>
      <c r="M3158">
        <v>0.9999053</v>
      </c>
      <c r="N3158">
        <v>0</v>
      </c>
      <c r="O3158">
        <v>9.632112E-3</v>
      </c>
      <c r="P3158">
        <v>0.99630920000000001</v>
      </c>
      <c r="Q3158">
        <v>8.9076629999999997E-3</v>
      </c>
      <c r="R3158">
        <v>-8.5375939999999997E-2</v>
      </c>
      <c r="S3158">
        <v>2.989166</v>
      </c>
      <c r="T3158">
        <v>-6.0255410000000002E-2</v>
      </c>
      <c r="U3158">
        <v>-0.26222230000000002</v>
      </c>
      <c r="V3158">
        <v>9.4995609999999994E-2</v>
      </c>
      <c r="W3158">
        <v>1.8575379999999999E-2</v>
      </c>
      <c r="X3158">
        <v>0.99530430000000003</v>
      </c>
      <c r="Y3158">
        <v>9.6958820000000001E-2</v>
      </c>
      <c r="Z3158">
        <v>-1.1690730000000001E-3</v>
      </c>
      <c r="AA3158">
        <v>0.9952877</v>
      </c>
      <c r="AB3158">
        <v>45</v>
      </c>
      <c r="AC3158">
        <v>54.516300000000001</v>
      </c>
      <c r="AD3158">
        <v>-1.10822672155399</v>
      </c>
      <c r="AE3158">
        <v>-4.8272000000000004</v>
      </c>
      <c r="AF3158">
        <v>5.3499149097227798</v>
      </c>
      <c r="AG3158">
        <v>-1.10822672155399</v>
      </c>
      <c r="AH3158">
        <v>54.444948461502598</v>
      </c>
      <c r="AI3158">
        <v>91.160506660957196</v>
      </c>
      <c r="AJ3158">
        <v>84.387970553968202</v>
      </c>
      <c r="AK3158">
        <v>54.7183896782728</v>
      </c>
      <c r="AL3158">
        <v>88.9356478346063</v>
      </c>
      <c r="AM3158">
        <v>84.547988952871407</v>
      </c>
      <c r="AN3158">
        <v>0.99999993012995003</v>
      </c>
    </row>
    <row r="3159" spans="1:40" x14ac:dyDescent="0.25">
      <c r="A3159" t="str">
        <f>"20190312151601002"</f>
        <v>20190312151601002</v>
      </c>
      <c r="B3159" t="str">
        <f>"1552374960991160"</f>
        <v>1552374960991160</v>
      </c>
      <c r="C3159" t="s">
        <v>40</v>
      </c>
      <c r="D3159">
        <v>4.4702780000000004</v>
      </c>
      <c r="E3159">
        <v>0.50203050000000005</v>
      </c>
      <c r="F3159" t="s">
        <v>51</v>
      </c>
      <c r="G3159">
        <v>-271.61219999999997</v>
      </c>
      <c r="H3159" s="1">
        <v>-4.8408729999999898E-7</v>
      </c>
      <c r="I3159">
        <v>210.15979999999999</v>
      </c>
      <c r="J3159">
        <v>-322.73700000000002</v>
      </c>
      <c r="K3159">
        <v>1.108223</v>
      </c>
      <c r="L3159">
        <v>214.8023</v>
      </c>
      <c r="M3159">
        <v>0.99990950000000001</v>
      </c>
      <c r="N3159">
        <v>0</v>
      </c>
      <c r="O3159">
        <v>9.1679110000000008E-3</v>
      </c>
      <c r="P3159">
        <v>0.99626939999999997</v>
      </c>
      <c r="Q3159">
        <v>8.6036259999999996E-3</v>
      </c>
      <c r="R3159">
        <v>-8.5868940000000005E-2</v>
      </c>
      <c r="S3159">
        <v>2.9886780000000002</v>
      </c>
      <c r="T3159">
        <v>-6.4224599999999896E-2</v>
      </c>
      <c r="U3159">
        <v>-0.268814099999999</v>
      </c>
      <c r="V3159">
        <v>9.5025819999999997E-2</v>
      </c>
      <c r="W3159">
        <v>1.8281700000000001E-2</v>
      </c>
      <c r="X3159">
        <v>0.99530689999999999</v>
      </c>
      <c r="Y3159">
        <v>9.8685549999999997E-2</v>
      </c>
      <c r="Z3159">
        <v>-1.2547050000000001E-3</v>
      </c>
      <c r="AA3159">
        <v>0.9951179</v>
      </c>
      <c r="AB3159">
        <v>45</v>
      </c>
      <c r="AC3159">
        <v>51.1248</v>
      </c>
      <c r="AD3159">
        <v>-1.1082234840873</v>
      </c>
      <c r="AE3159">
        <v>-4.6425000000000098</v>
      </c>
      <c r="AF3159">
        <v>5.1086543640251003</v>
      </c>
      <c r="AG3159">
        <v>-1.1082234840873</v>
      </c>
      <c r="AH3159">
        <v>51.056292749790103</v>
      </c>
      <c r="AI3159">
        <v>91.237285585081196</v>
      </c>
      <c r="AJ3159">
        <v>84.286045714806903</v>
      </c>
      <c r="AK3159">
        <v>51.3232066228721</v>
      </c>
      <c r="AL3159">
        <v>88.952477366517499</v>
      </c>
      <c r="AM3159">
        <v>84.546279745925801</v>
      </c>
      <c r="AN3159">
        <v>0.99999997610458502</v>
      </c>
    </row>
    <row r="3160" spans="1:40" x14ac:dyDescent="0.25">
      <c r="A3160" t="str">
        <f>"20190312151601025"</f>
        <v>20190312151601025</v>
      </c>
      <c r="B3160" t="str">
        <f>"1552374961020440"</f>
        <v>1552374961020440</v>
      </c>
      <c r="C3160" t="s">
        <v>40</v>
      </c>
      <c r="D3160">
        <v>4.4911269999999996</v>
      </c>
      <c r="E3160">
        <v>0.50283549999999999</v>
      </c>
      <c r="F3160" t="s">
        <v>51</v>
      </c>
      <c r="G3160">
        <v>-273.2998</v>
      </c>
      <c r="H3160" s="1">
        <v>4.0960659999999997E-7</v>
      </c>
      <c r="I3160">
        <v>210.2603</v>
      </c>
      <c r="J3160">
        <v>-322.27910000000003</v>
      </c>
      <c r="K3160">
        <v>1.10822</v>
      </c>
      <c r="L3160">
        <v>214.80609999999999</v>
      </c>
      <c r="M3160">
        <v>0.99991350000000001</v>
      </c>
      <c r="N3160">
        <v>0</v>
      </c>
      <c r="O3160">
        <v>8.6920839999999992E-3</v>
      </c>
      <c r="P3160">
        <v>0.99622069999999996</v>
      </c>
      <c r="Q3160">
        <v>7.8591500000000005E-3</v>
      </c>
      <c r="R3160">
        <v>-8.6502930000000006E-2</v>
      </c>
      <c r="S3160">
        <v>2.9881899999999999</v>
      </c>
      <c r="T3160">
        <v>-6.6985610000000001E-2</v>
      </c>
      <c r="U3160">
        <v>-0.27453610000000001</v>
      </c>
      <c r="V3160">
        <v>9.5184359999999996E-2</v>
      </c>
      <c r="W3160">
        <v>1.7547960000000001E-2</v>
      </c>
      <c r="X3160">
        <v>0.995305</v>
      </c>
      <c r="Y3160">
        <v>0.10011390000000001</v>
      </c>
      <c r="Z3160">
        <v>-1.3140599999999999E-3</v>
      </c>
      <c r="AA3160">
        <v>0.9949751</v>
      </c>
      <c r="AB3160">
        <v>45</v>
      </c>
      <c r="AC3160">
        <v>48.979300000000002</v>
      </c>
      <c r="AD3160">
        <v>-1.10821959039339</v>
      </c>
      <c r="AE3160">
        <v>-4.5457999999999803</v>
      </c>
      <c r="AF3160">
        <v>4.9688591136555296</v>
      </c>
      <c r="AG3160">
        <v>-1.10821959039339</v>
      </c>
      <c r="AH3160">
        <v>48.913107985429697</v>
      </c>
      <c r="AI3160">
        <v>91.291279539337495</v>
      </c>
      <c r="AJ3160">
        <v>84.1994819876804</v>
      </c>
      <c r="AK3160">
        <v>49.177330593945399</v>
      </c>
      <c r="AL3160">
        <v>88.9945243638536</v>
      </c>
      <c r="AM3160">
        <v>84.537225451723501</v>
      </c>
      <c r="AN3160">
        <v>1.00000001815688</v>
      </c>
    </row>
    <row r="3161" spans="1:40" x14ac:dyDescent="0.25">
      <c r="A3161" t="str">
        <f>"20190312151601048"</f>
        <v>20190312151601048</v>
      </c>
      <c r="B3161" t="str">
        <f>"1552374961040937"</f>
        <v>1552374961040937</v>
      </c>
      <c r="C3161" t="s">
        <v>40</v>
      </c>
      <c r="D3161">
        <v>4.4575300000000002</v>
      </c>
      <c r="E3161">
        <v>0.50336650000000005</v>
      </c>
      <c r="F3161" t="s">
        <v>51</v>
      </c>
      <c r="G3161">
        <v>-276.12329999999997</v>
      </c>
      <c r="H3161" s="1">
        <v>1.904447E-6</v>
      </c>
      <c r="I3161">
        <v>210.43549999999999</v>
      </c>
      <c r="J3161">
        <v>-321.81420000000003</v>
      </c>
      <c r="K3161">
        <v>1.108217</v>
      </c>
      <c r="L3161">
        <v>214.8098</v>
      </c>
      <c r="M3161">
        <v>0.99991750000000001</v>
      </c>
      <c r="N3161">
        <v>0</v>
      </c>
      <c r="O3161">
        <v>8.2090419999999997E-3</v>
      </c>
      <c r="P3161">
        <v>0.9961643</v>
      </c>
      <c r="Q3161">
        <v>7.7348259999999898E-3</v>
      </c>
      <c r="R3161">
        <v>-8.7162229999999993E-2</v>
      </c>
      <c r="S3161">
        <v>2.9873959999999999</v>
      </c>
      <c r="T3161">
        <v>-7.1728470000000003E-2</v>
      </c>
      <c r="U3161">
        <v>-0.28288269999999999</v>
      </c>
      <c r="V3161">
        <v>9.5362249999999996E-2</v>
      </c>
      <c r="W3161">
        <v>1.743306E-2</v>
      </c>
      <c r="X3161">
        <v>0.99529000000000001</v>
      </c>
      <c r="Y3161">
        <v>0.1024085</v>
      </c>
      <c r="Z3161">
        <v>-1.4231739999999999E-3</v>
      </c>
      <c r="AA3161">
        <v>0.9947414</v>
      </c>
      <c r="AB3161">
        <v>45</v>
      </c>
      <c r="AC3161">
        <v>45.690899999999999</v>
      </c>
      <c r="AD3161">
        <v>-1.1082150955529999</v>
      </c>
      <c r="AE3161">
        <v>-4.3742999999999999</v>
      </c>
      <c r="AF3161">
        <v>4.74648248785146</v>
      </c>
      <c r="AG3161">
        <v>-1.1082150955529999</v>
      </c>
      <c r="AH3161">
        <v>45.626851875155197</v>
      </c>
      <c r="AI3161">
        <v>91.383899031375606</v>
      </c>
      <c r="AJ3161">
        <v>84.060981458267904</v>
      </c>
      <c r="AK3161">
        <v>45.886456049065799</v>
      </c>
      <c r="AL3161">
        <v>89.001108665044299</v>
      </c>
      <c r="AM3161">
        <v>84.526996024650501</v>
      </c>
      <c r="AN3161">
        <v>1.0000000272030101</v>
      </c>
    </row>
    <row r="3162" spans="1:40" x14ac:dyDescent="0.25">
      <c r="A3162" t="str">
        <f>"20190312151601070"</f>
        <v>20190312151601070</v>
      </c>
      <c r="B3162" t="str">
        <f>"1552374961060458"</f>
        <v>1552374961060458</v>
      </c>
      <c r="C3162" t="s">
        <v>40</v>
      </c>
      <c r="D3162">
        <v>4.5045440000000001</v>
      </c>
      <c r="E3162">
        <v>0.50418909999999995</v>
      </c>
      <c r="F3162" t="s">
        <v>51</v>
      </c>
      <c r="G3162">
        <v>-276.78660000000002</v>
      </c>
      <c r="H3162" s="1">
        <v>2.2568120000000001E-6</v>
      </c>
      <c r="I3162">
        <v>210.45</v>
      </c>
      <c r="J3162">
        <v>-321.37049999999999</v>
      </c>
      <c r="K3162">
        <v>1.108223</v>
      </c>
      <c r="L3162">
        <v>214.81319999999999</v>
      </c>
      <c r="M3162">
        <v>0.99992110000000001</v>
      </c>
      <c r="N3162">
        <v>0</v>
      </c>
      <c r="O3162">
        <v>7.7485940000000001E-3</v>
      </c>
      <c r="P3162">
        <v>0.99610540000000003</v>
      </c>
      <c r="Q3162">
        <v>7.2164229999999996E-3</v>
      </c>
      <c r="R3162">
        <v>-8.7875899999999896E-2</v>
      </c>
      <c r="S3162">
        <v>2.9868160000000001</v>
      </c>
      <c r="T3162">
        <v>-7.3511240000000005E-2</v>
      </c>
      <c r="U3162">
        <v>-0.28919980000000001</v>
      </c>
      <c r="V3162">
        <v>9.561646E-2</v>
      </c>
      <c r="W3162">
        <v>1.6924829999999998E-2</v>
      </c>
      <c r="X3162">
        <v>0.9952744</v>
      </c>
      <c r="Y3162">
        <v>0.1040512</v>
      </c>
      <c r="Z3162">
        <v>-1.4675300000000001E-3</v>
      </c>
      <c r="AA3162">
        <v>0.99457090000000004</v>
      </c>
      <c r="AB3162">
        <v>45</v>
      </c>
      <c r="AC3162">
        <v>44.5838999999999</v>
      </c>
      <c r="AD3162">
        <v>-1.108220743188</v>
      </c>
      <c r="AE3162">
        <v>-4.3632</v>
      </c>
      <c r="AF3162">
        <v>4.7056685221976604</v>
      </c>
      <c r="AG3162">
        <v>-1.108220743188</v>
      </c>
      <c r="AH3162">
        <v>44.521503611808697</v>
      </c>
      <c r="AI3162">
        <v>91.418005902158001</v>
      </c>
      <c r="AJ3162">
        <v>83.966564041976596</v>
      </c>
      <c r="AK3162">
        <v>44.783208385652003</v>
      </c>
      <c r="AL3162">
        <v>89.0302324129228</v>
      </c>
      <c r="AM3162">
        <v>84.512409925664699</v>
      </c>
      <c r="AN3162">
        <v>1.0000000442943999</v>
      </c>
    </row>
    <row r="3163" spans="1:40" x14ac:dyDescent="0.25">
      <c r="A3163" t="str">
        <f>"20190312151601091"</f>
        <v>20190312151601091</v>
      </c>
      <c r="B3163" t="str">
        <f>"1552374961080952"</f>
        <v>1552374961080952</v>
      </c>
      <c r="C3163" t="s">
        <v>40</v>
      </c>
      <c r="D3163">
        <v>4.4570420000000004</v>
      </c>
      <c r="E3163">
        <v>0.50513730000000001</v>
      </c>
      <c r="F3163" t="s">
        <v>51</v>
      </c>
      <c r="G3163">
        <v>-277.4796</v>
      </c>
      <c r="H3163" s="1">
        <v>2.6261850000000002E-6</v>
      </c>
      <c r="I3163">
        <v>210.4367</v>
      </c>
      <c r="J3163">
        <v>-320.93</v>
      </c>
      <c r="K3163">
        <v>1.1082160000000001</v>
      </c>
      <c r="L3163">
        <v>214.81630000000001</v>
      </c>
      <c r="M3163">
        <v>0.99992449999999999</v>
      </c>
      <c r="N3163">
        <v>0</v>
      </c>
      <c r="O3163">
        <v>7.2915430000000002E-3</v>
      </c>
      <c r="P3163">
        <v>0.99604479999999995</v>
      </c>
      <c r="Q3163">
        <v>7.32795199999999E-3</v>
      </c>
      <c r="R3163">
        <v>-8.8552679999999995E-2</v>
      </c>
      <c r="S3163">
        <v>2.9860229999999999</v>
      </c>
      <c r="T3163">
        <v>-7.5395459999999997E-2</v>
      </c>
      <c r="U3163">
        <v>-0.29774479999999998</v>
      </c>
      <c r="V3163">
        <v>9.5837850000000002E-2</v>
      </c>
      <c r="W3163">
        <v>1.704545E-2</v>
      </c>
      <c r="X3163">
        <v>0.995251</v>
      </c>
      <c r="Y3163">
        <v>0.1064382</v>
      </c>
      <c r="Z3163">
        <v>-1.5238649999999999E-3</v>
      </c>
      <c r="AA3163">
        <v>0.99431809999999998</v>
      </c>
      <c r="AB3163">
        <v>45</v>
      </c>
      <c r="AC3163">
        <v>43.450400000000002</v>
      </c>
      <c r="AD3163">
        <v>-1.108213373815</v>
      </c>
      <c r="AE3163">
        <v>-4.3796000000000097</v>
      </c>
      <c r="AF3163">
        <v>4.6932971536709598</v>
      </c>
      <c r="AG3163">
        <v>-1.108213373815</v>
      </c>
      <c r="AH3163">
        <v>43.389367534191699</v>
      </c>
      <c r="AI3163">
        <v>91.454599670242203</v>
      </c>
      <c r="AJ3163">
        <v>83.826490386367595</v>
      </c>
      <c r="AK3163">
        <v>43.6565274623592</v>
      </c>
      <c r="AL3163">
        <v>89.023320352922696</v>
      </c>
      <c r="AM3163">
        <v>84.499653281043507</v>
      </c>
      <c r="AN3163">
        <v>0.99999999692966202</v>
      </c>
    </row>
    <row r="3164" spans="1:40" x14ac:dyDescent="0.25">
      <c r="A3164" t="str">
        <f>"20190312151601114"</f>
        <v>20190312151601114</v>
      </c>
      <c r="B3164" t="str">
        <f>"1552374961111208"</f>
        <v>1552374961111208</v>
      </c>
      <c r="C3164" t="s">
        <v>40</v>
      </c>
      <c r="D3164">
        <v>4.4737689999999999</v>
      </c>
      <c r="E3164">
        <v>0.50644679999999997</v>
      </c>
      <c r="F3164" t="s">
        <v>51</v>
      </c>
      <c r="G3164">
        <v>-277.1619</v>
      </c>
      <c r="H3164" s="1">
        <v>2.4626119999999998E-6</v>
      </c>
      <c r="I3164">
        <v>210.31120000000001</v>
      </c>
      <c r="J3164">
        <v>-320.48140000000001</v>
      </c>
      <c r="K3164">
        <v>1.1082160000000001</v>
      </c>
      <c r="L3164">
        <v>214.8192</v>
      </c>
      <c r="M3164">
        <v>0.99992749999999997</v>
      </c>
      <c r="N3164">
        <v>0</v>
      </c>
      <c r="O3164">
        <v>6.8261479999999998E-3</v>
      </c>
      <c r="P3164">
        <v>0.99598790000000004</v>
      </c>
      <c r="Q3164">
        <v>7.1459419999999997E-3</v>
      </c>
      <c r="R3164">
        <v>-8.9202260000000005E-2</v>
      </c>
      <c r="S3164">
        <v>2.9851380000000001</v>
      </c>
      <c r="T3164">
        <v>-7.5584170000000006E-2</v>
      </c>
      <c r="U3164">
        <v>-0.30726619999999999</v>
      </c>
      <c r="V3164">
        <v>9.6023629999999999E-2</v>
      </c>
      <c r="W3164">
        <v>1.6873340000000001E-2</v>
      </c>
      <c r="X3164">
        <v>0.99523600000000001</v>
      </c>
      <c r="Y3164">
        <v>0.1091425</v>
      </c>
      <c r="Z3164">
        <v>-1.5502720000000001E-3</v>
      </c>
      <c r="AA3164">
        <v>0.99402489999999999</v>
      </c>
      <c r="AB3164">
        <v>45</v>
      </c>
      <c r="AC3164">
        <v>43.319499999999998</v>
      </c>
      <c r="AD3164">
        <v>-1.108213537388</v>
      </c>
      <c r="AE3164">
        <v>-4.5079999999999796</v>
      </c>
      <c r="AF3164">
        <v>4.8005067689661498</v>
      </c>
      <c r="AG3164">
        <v>-1.108213537388</v>
      </c>
      <c r="AH3164">
        <v>43.259708597202099</v>
      </c>
      <c r="AI3164">
        <v>91.458515343835103</v>
      </c>
      <c r="AJ3164">
        <v>83.667825065516396</v>
      </c>
      <c r="AK3164">
        <v>43.539354501395401</v>
      </c>
      <c r="AL3164">
        <v>89.033182923347695</v>
      </c>
      <c r="AM3164">
        <v>84.488973982793098</v>
      </c>
      <c r="AN3164">
        <v>0.999999971408565</v>
      </c>
    </row>
    <row r="3165" spans="1:40" x14ac:dyDescent="0.25">
      <c r="A3165" t="str">
        <f>"20190312151601136"</f>
        <v>20190312151601136</v>
      </c>
      <c r="B3165" t="str">
        <f>"1552374961131335"</f>
        <v>1552374961131335</v>
      </c>
      <c r="C3165" t="s">
        <v>40</v>
      </c>
      <c r="D3165">
        <v>4.5475390000000004</v>
      </c>
      <c r="E3165">
        <v>0.5072894</v>
      </c>
      <c r="F3165" t="s">
        <v>52</v>
      </c>
      <c r="G3165">
        <v>-280.2527</v>
      </c>
      <c r="H3165" s="1">
        <v>7.4689029999999996E-6</v>
      </c>
      <c r="I3165">
        <v>210.50559999999999</v>
      </c>
      <c r="J3165">
        <v>-320.01429999999999</v>
      </c>
      <c r="K3165">
        <v>1.1082129999999999</v>
      </c>
      <c r="L3165">
        <v>214.82210000000001</v>
      </c>
      <c r="M3165">
        <v>0.99993069999999895</v>
      </c>
      <c r="N3165">
        <v>0</v>
      </c>
      <c r="O3165">
        <v>6.3419779999999999E-3</v>
      </c>
      <c r="P3165">
        <v>0.99596750000000001</v>
      </c>
      <c r="Q3165">
        <v>7.2884619999999999E-3</v>
      </c>
      <c r="R3165">
        <v>-8.9418709999999998E-2</v>
      </c>
      <c r="S3165">
        <v>2.983978</v>
      </c>
      <c r="T3165">
        <v>-8.2201720000000006E-2</v>
      </c>
      <c r="U3165">
        <v>-0.31996149999999901</v>
      </c>
      <c r="V3165">
        <v>9.575823E-2</v>
      </c>
      <c r="W3165">
        <v>1.7026380000000001E-2</v>
      </c>
      <c r="X3165">
        <v>0.995259</v>
      </c>
      <c r="Y3165">
        <v>0.11287469999999999</v>
      </c>
      <c r="Z3165">
        <v>-1.724181E-3</v>
      </c>
      <c r="AA3165">
        <v>0.99360780000000004</v>
      </c>
      <c r="AB3165">
        <v>46</v>
      </c>
      <c r="AC3165">
        <v>39.761599999999902</v>
      </c>
      <c r="AD3165">
        <v>-1.10820553109699</v>
      </c>
      <c r="AE3165">
        <v>-4.3165000000000102</v>
      </c>
      <c r="AF3165">
        <v>4.5650878961858199</v>
      </c>
      <c r="AG3165">
        <v>-1.10820553109699</v>
      </c>
      <c r="AH3165">
        <v>39.702941529769703</v>
      </c>
      <c r="AI3165">
        <v>91.588389350607699</v>
      </c>
      <c r="AJ3165">
        <v>83.440872349314404</v>
      </c>
      <c r="AK3165">
        <v>39.979891359474301</v>
      </c>
      <c r="AL3165">
        <v>89.024413151517507</v>
      </c>
      <c r="AM3165">
        <v>84.504238766226905</v>
      </c>
      <c r="AN3165">
        <v>1.00000000665481</v>
      </c>
    </row>
    <row r="3166" spans="1:40" x14ac:dyDescent="0.25">
      <c r="A3166" t="str">
        <f>"20190312151601157"</f>
        <v>20190312151601157</v>
      </c>
      <c r="B3166" t="str">
        <f>"1552374961150858"</f>
        <v>1552374961150858</v>
      </c>
      <c r="C3166" t="s">
        <v>40</v>
      </c>
      <c r="D3166">
        <v>4.614789</v>
      </c>
      <c r="E3166">
        <v>0.50803580000000004</v>
      </c>
      <c r="F3166" t="s">
        <v>52</v>
      </c>
      <c r="G3166">
        <v>-281.53590000000003</v>
      </c>
      <c r="H3166" s="1">
        <v>6.8884650000000003E-6</v>
      </c>
      <c r="I3166">
        <v>210.6009</v>
      </c>
      <c r="J3166">
        <v>-319.56959999999998</v>
      </c>
      <c r="K3166">
        <v>1.1082129999999999</v>
      </c>
      <c r="L3166">
        <v>214.8246</v>
      </c>
      <c r="M3166">
        <v>0.99993350000000003</v>
      </c>
      <c r="N3166">
        <v>0</v>
      </c>
      <c r="O3166">
        <v>5.8808790000000003E-3</v>
      </c>
      <c r="P3166">
        <v>0.99591940000000001</v>
      </c>
      <c r="Q3166">
        <v>7.4088790000000002E-3</v>
      </c>
      <c r="R3166">
        <v>-8.9943889999999999E-2</v>
      </c>
      <c r="S3166">
        <v>2.9833980000000002</v>
      </c>
      <c r="T3166">
        <v>-8.5924150000000005E-2</v>
      </c>
      <c r="U3166">
        <v>-0.32728580000000002</v>
      </c>
      <c r="V3166">
        <v>9.5824259999999994E-2</v>
      </c>
      <c r="W3166">
        <v>1.7156060000000001E-2</v>
      </c>
      <c r="X3166">
        <v>0.99525039999999998</v>
      </c>
      <c r="Y3166">
        <v>0.11484279999999999</v>
      </c>
      <c r="Z3166">
        <v>-1.817349E-3</v>
      </c>
      <c r="AA3166">
        <v>0.99338199999999999</v>
      </c>
      <c r="AB3166">
        <v>46</v>
      </c>
      <c r="AC3166">
        <v>38.033699999999897</v>
      </c>
      <c r="AD3166">
        <v>-1.1082061115349999</v>
      </c>
      <c r="AE3166">
        <v>-4.2237</v>
      </c>
      <c r="AF3166">
        <v>4.4435829376555702</v>
      </c>
      <c r="AG3166">
        <v>-1.1082061115349999</v>
      </c>
      <c r="AH3166">
        <v>37.976353075618597</v>
      </c>
      <c r="AI3166">
        <v>91.660181315967293</v>
      </c>
      <c r="AJ3166">
        <v>83.326213179239502</v>
      </c>
      <c r="AK3166">
        <v>38.251495958112699</v>
      </c>
      <c r="AL3166">
        <v>89.016981932025601</v>
      </c>
      <c r="AM3166">
        <v>84.500425163956905</v>
      </c>
      <c r="AN3166">
        <v>0.99999998894971498</v>
      </c>
    </row>
    <row r="3167" spans="1:40" x14ac:dyDescent="0.25">
      <c r="A3167" t="str">
        <f>"20190312151601180"</f>
        <v>20190312151601180</v>
      </c>
      <c r="B3167" t="str">
        <f>"1552374961171357"</f>
        <v>1552374961171357</v>
      </c>
      <c r="C3167" t="s">
        <v>40</v>
      </c>
      <c r="D3167">
        <v>4.4994529999999999</v>
      </c>
      <c r="E3167">
        <v>0.50878859999999904</v>
      </c>
      <c r="F3167" t="s">
        <v>52</v>
      </c>
      <c r="G3167">
        <v>-281.91809999999998</v>
      </c>
      <c r="H3167" s="1">
        <v>6.7193500000000003E-6</v>
      </c>
      <c r="I3167">
        <v>210.59790000000001</v>
      </c>
      <c r="J3167">
        <v>-319.12079999999997</v>
      </c>
      <c r="K3167">
        <v>1.1082069999999999</v>
      </c>
      <c r="L3167">
        <v>214.82689999999999</v>
      </c>
      <c r="M3167">
        <v>0.99993589999999999</v>
      </c>
      <c r="N3167">
        <v>0</v>
      </c>
      <c r="O3167">
        <v>5.4158459999999898E-3</v>
      </c>
      <c r="P3167">
        <v>0.99588120000000002</v>
      </c>
      <c r="Q3167">
        <v>7.5632130000000001E-3</v>
      </c>
      <c r="R3167">
        <v>-9.035427E-2</v>
      </c>
      <c r="S3167">
        <v>2.9827270000000001</v>
      </c>
      <c r="T3167">
        <v>-8.7791320000000006E-2</v>
      </c>
      <c r="U3167">
        <v>-0.33483889999999999</v>
      </c>
      <c r="V3167">
        <v>9.5771609999999993E-2</v>
      </c>
      <c r="W3167">
        <v>1.732007E-2</v>
      </c>
      <c r="X3167">
        <v>0.99525260000000004</v>
      </c>
      <c r="Y3167">
        <v>0.1168869</v>
      </c>
      <c r="Z3167">
        <v>-1.8733199999999999E-3</v>
      </c>
      <c r="AA3167">
        <v>0.99314340000000001</v>
      </c>
      <c r="AB3167">
        <v>46</v>
      </c>
      <c r="AC3167">
        <v>37.202699999999901</v>
      </c>
      <c r="AD3167">
        <v>-1.10820028065</v>
      </c>
      <c r="AE3167">
        <v>-4.2289999999999797</v>
      </c>
      <c r="AF3167">
        <v>4.4265542979895498</v>
      </c>
      <c r="AG3167">
        <v>-1.10820028065</v>
      </c>
      <c r="AH3167">
        <v>37.146708513279698</v>
      </c>
      <c r="AI3167">
        <v>91.696804233178796</v>
      </c>
      <c r="AJ3167">
        <v>83.204444591697793</v>
      </c>
      <c r="AK3167">
        <v>37.425932776427203</v>
      </c>
      <c r="AL3167">
        <v>89.007583427835598</v>
      </c>
      <c r="AM3167">
        <v>84.503440433872996</v>
      </c>
      <c r="AN3167">
        <v>0.99999996195677698</v>
      </c>
    </row>
    <row r="3168" spans="1:40" x14ac:dyDescent="0.25">
      <c r="A3168" t="str">
        <f>"20190312151601202"</f>
        <v>20190312151601202</v>
      </c>
      <c r="B3168" t="str">
        <f>"1552374961190871"</f>
        <v>1552374961190871</v>
      </c>
      <c r="C3168" t="s">
        <v>40</v>
      </c>
      <c r="D3168">
        <v>4.5006890000000004</v>
      </c>
      <c r="E3168">
        <v>0.50948110000000002</v>
      </c>
      <c r="F3168" t="s">
        <v>52</v>
      </c>
      <c r="G3168">
        <v>-281.48610000000002</v>
      </c>
      <c r="H3168" s="1">
        <v>6.9214009999999997E-6</v>
      </c>
      <c r="I3168">
        <v>210.5102</v>
      </c>
      <c r="J3168">
        <v>-318.65460000000002</v>
      </c>
      <c r="K3168">
        <v>1.1082099999999999</v>
      </c>
      <c r="L3168">
        <v>214.82910000000001</v>
      </c>
      <c r="M3168">
        <v>0.99993840000000001</v>
      </c>
      <c r="N3168">
        <v>0</v>
      </c>
      <c r="O3168">
        <v>4.9330479999999998E-3</v>
      </c>
      <c r="P3168">
        <v>0.99579640000000003</v>
      </c>
      <c r="Q3168">
        <v>7.6269459999999999E-3</v>
      </c>
      <c r="R3168">
        <v>-9.1276540000000003E-2</v>
      </c>
      <c r="S3168">
        <v>2.982056</v>
      </c>
      <c r="T3168">
        <v>-8.7810159999999998E-2</v>
      </c>
      <c r="U3168">
        <v>-0.34204099999999998</v>
      </c>
      <c r="V3168">
        <v>9.6213409999999999E-2</v>
      </c>
      <c r="W3168">
        <v>1.7392060000000001E-2</v>
      </c>
      <c r="X3168">
        <v>0.99520869999999995</v>
      </c>
      <c r="Y3168">
        <v>0.1187994</v>
      </c>
      <c r="Z3168">
        <v>-1.8877760000000001E-3</v>
      </c>
      <c r="AA3168">
        <v>0.99291649999999998</v>
      </c>
      <c r="AB3168">
        <v>46</v>
      </c>
      <c r="AC3168">
        <v>37.168500000000002</v>
      </c>
      <c r="AD3168">
        <v>-1.108203078599</v>
      </c>
      <c r="AE3168">
        <v>-4.31890000000001</v>
      </c>
      <c r="AF3168">
        <v>4.4982649390145104</v>
      </c>
      <c r="AG3168">
        <v>-1.108203078599</v>
      </c>
      <c r="AH3168">
        <v>37.114187337782298</v>
      </c>
      <c r="AI3168">
        <v>91.697884998714599</v>
      </c>
      <c r="AJ3168">
        <v>83.089418624901299</v>
      </c>
      <c r="AK3168">
        <v>37.402211208282601</v>
      </c>
      <c r="AL3168">
        <v>89.003458051553693</v>
      </c>
      <c r="AM3168">
        <v>84.477998770381603</v>
      </c>
      <c r="AN3168">
        <v>0.999999930285278</v>
      </c>
    </row>
    <row r="3169" spans="1:40" x14ac:dyDescent="0.25">
      <c r="A3169" t="str">
        <f>"20190312151601226"</f>
        <v>20190312151601226</v>
      </c>
      <c r="B3169" t="str">
        <f>"1552374961221126"</f>
        <v>1552374961221126</v>
      </c>
      <c r="C3169" t="s">
        <v>40</v>
      </c>
      <c r="D3169">
        <v>4.501798</v>
      </c>
      <c r="E3169">
        <v>0.51043059999999996</v>
      </c>
      <c r="F3169" t="s">
        <v>52</v>
      </c>
      <c r="G3169">
        <v>-281.06639999999999</v>
      </c>
      <c r="H3169" s="1">
        <v>7.1190779999999898E-6</v>
      </c>
      <c r="I3169">
        <v>210.4128</v>
      </c>
      <c r="J3169">
        <v>-318.18150000000003</v>
      </c>
      <c r="K3169">
        <v>1.1082129999999999</v>
      </c>
      <c r="L3169">
        <v>214.83109999999999</v>
      </c>
      <c r="M3169">
        <v>0.99994059999999996</v>
      </c>
      <c r="N3169">
        <v>0</v>
      </c>
      <c r="O3169">
        <v>4.4435719999999998E-3</v>
      </c>
      <c r="P3169">
        <v>0.9957068</v>
      </c>
      <c r="Q3169">
        <v>7.7944769999999898E-3</v>
      </c>
      <c r="R3169">
        <v>-9.2236890000000002E-2</v>
      </c>
      <c r="S3169">
        <v>2.9812319999999999</v>
      </c>
      <c r="T3169">
        <v>-8.7895039999999994E-2</v>
      </c>
      <c r="U3169">
        <v>-0.35026550000000001</v>
      </c>
      <c r="V3169">
        <v>9.6686019999999998E-2</v>
      </c>
      <c r="W3169">
        <v>1.7568460000000001E-2</v>
      </c>
      <c r="X3169">
        <v>0.99515989999999999</v>
      </c>
      <c r="Y3169">
        <v>0.1210461</v>
      </c>
      <c r="Z3169">
        <v>-1.908437E-3</v>
      </c>
      <c r="AA3169">
        <v>0.992645</v>
      </c>
      <c r="AB3169">
        <v>46</v>
      </c>
      <c r="AC3169">
        <v>37.115099999999998</v>
      </c>
      <c r="AD3169">
        <v>-1.1082058809219999</v>
      </c>
      <c r="AE3169">
        <v>-4.4182999999999799</v>
      </c>
      <c r="AF3169">
        <v>4.5791627130993202</v>
      </c>
      <c r="AG3169">
        <v>-1.1082058809219999</v>
      </c>
      <c r="AH3169">
        <v>37.062518617238801</v>
      </c>
      <c r="AI3169">
        <v>91.699773172180898</v>
      </c>
      <c r="AJ3169">
        <v>82.956664125203304</v>
      </c>
      <c r="AK3169">
        <v>37.3607700359712</v>
      </c>
      <c r="AL3169">
        <v>88.993349633144604</v>
      </c>
      <c r="AM3169">
        <v>84.4507726160777</v>
      </c>
      <c r="AN3169">
        <v>1.00000003190911</v>
      </c>
    </row>
    <row r="3170" spans="1:40" x14ac:dyDescent="0.25">
      <c r="A3170" t="str">
        <f>"20190312151601242"</f>
        <v>20190312151601242</v>
      </c>
      <c r="B3170" t="str">
        <f>"1552374961231436"</f>
        <v>1552374961231436</v>
      </c>
      <c r="C3170" t="s">
        <v>40</v>
      </c>
      <c r="D3170">
        <v>4.5930239999999998</v>
      </c>
      <c r="E3170">
        <v>0.51078769999999996</v>
      </c>
      <c r="F3170" t="s">
        <v>52</v>
      </c>
      <c r="G3170">
        <v>-281.34050000000002</v>
      </c>
      <c r="H3170" s="1">
        <v>7.0024839999999999E-6</v>
      </c>
      <c r="I3170">
        <v>210.3715</v>
      </c>
      <c r="J3170">
        <v>-317.85059999999999</v>
      </c>
      <c r="K3170">
        <v>1.1082110000000001</v>
      </c>
      <c r="L3170">
        <v>214.83240000000001</v>
      </c>
      <c r="M3170">
        <v>0.99994209999999994</v>
      </c>
      <c r="N3170">
        <v>0</v>
      </c>
      <c r="O3170">
        <v>4.1013389999999999E-3</v>
      </c>
      <c r="P3170">
        <v>0.99563800000000002</v>
      </c>
      <c r="Q3170">
        <v>8.2948269999999994E-3</v>
      </c>
      <c r="R3170">
        <v>-9.2934470000000005E-2</v>
      </c>
      <c r="S3170">
        <v>2.9802550000000001</v>
      </c>
      <c r="T3170">
        <v>-8.9648489999999997E-2</v>
      </c>
      <c r="U3170">
        <v>-0.36076350000000001</v>
      </c>
      <c r="V3170">
        <v>9.7043690000000002E-2</v>
      </c>
      <c r="W3170">
        <v>1.807479E-2</v>
      </c>
      <c r="X3170">
        <v>0.995116</v>
      </c>
      <c r="Y3170">
        <v>0.1241876</v>
      </c>
      <c r="Z3170">
        <v>-1.9835310000000002E-3</v>
      </c>
      <c r="AA3170">
        <v>0.99225680000000005</v>
      </c>
      <c r="AB3170">
        <v>46</v>
      </c>
      <c r="AC3170">
        <v>36.510099999999902</v>
      </c>
      <c r="AD3170">
        <v>-1.1082039975160001</v>
      </c>
      <c r="AE3170">
        <v>-4.4608999999999996</v>
      </c>
      <c r="AF3170">
        <v>4.6064285881024203</v>
      </c>
      <c r="AG3170">
        <v>-1.1082039975160001</v>
      </c>
      <c r="AH3170">
        <v>36.458400332374701</v>
      </c>
      <c r="AI3170">
        <v>91.727324925434999</v>
      </c>
      <c r="AJ3170">
        <v>82.798976705540198</v>
      </c>
      <c r="AK3170">
        <v>36.764959611470999</v>
      </c>
      <c r="AL3170">
        <v>88.964334435695207</v>
      </c>
      <c r="AM3170">
        <v>84.430129072417898</v>
      </c>
      <c r="AN3170">
        <v>1.0000000146291801</v>
      </c>
    </row>
    <row r="3171" spans="1:40" x14ac:dyDescent="0.25">
      <c r="A3171" t="str">
        <f>"20190312151601259"</f>
        <v>20190312151601259</v>
      </c>
      <c r="B3171" t="str">
        <f>"1552374961250956"</f>
        <v>1552374961250956</v>
      </c>
      <c r="C3171" t="s">
        <v>40</v>
      </c>
      <c r="D3171">
        <v>4.5567270000000004</v>
      </c>
      <c r="E3171">
        <v>0.51137349999999904</v>
      </c>
      <c r="F3171" t="s">
        <v>52</v>
      </c>
      <c r="G3171">
        <v>-281.23230000000001</v>
      </c>
      <c r="H3171" s="1">
        <v>7.0546439999999997E-6</v>
      </c>
      <c r="I3171">
        <v>210.33629999999999</v>
      </c>
      <c r="J3171">
        <v>-317.4871</v>
      </c>
      <c r="K3171">
        <v>1.1082099999999999</v>
      </c>
      <c r="L3171">
        <v>214.83359999999999</v>
      </c>
      <c r="M3171">
        <v>0.99994340000000004</v>
      </c>
      <c r="N3171">
        <v>0</v>
      </c>
      <c r="O3171">
        <v>3.725426E-3</v>
      </c>
      <c r="P3171">
        <v>0.99556630000000002</v>
      </c>
      <c r="Q3171">
        <v>7.7648190000000001E-3</v>
      </c>
      <c r="R3171">
        <v>-9.3742939999999997E-2</v>
      </c>
      <c r="S3171">
        <v>2.9797359999999999</v>
      </c>
      <c r="T3171">
        <v>-9.0177770000000004E-2</v>
      </c>
      <c r="U3171">
        <v>-0.36586000000000002</v>
      </c>
      <c r="V3171">
        <v>9.7476999999999994E-2</v>
      </c>
      <c r="W3171">
        <v>1.7551299999999999E-2</v>
      </c>
      <c r="X3171">
        <v>0.99508300000000005</v>
      </c>
      <c r="Y3171">
        <v>0.12550619999999901</v>
      </c>
      <c r="Z3171">
        <v>-2.003917E-3</v>
      </c>
      <c r="AA3171">
        <v>0.99209080000000005</v>
      </c>
      <c r="AB3171">
        <v>46</v>
      </c>
      <c r="AC3171">
        <v>36.254799999999904</v>
      </c>
      <c r="AD3171">
        <v>-1.1082029453560001</v>
      </c>
      <c r="AE3171">
        <v>-4.4972999999999903</v>
      </c>
      <c r="AF3171">
        <v>4.6280813740871798</v>
      </c>
      <c r="AG3171">
        <v>-1.1082029453560001</v>
      </c>
      <c r="AH3171">
        <v>36.204478337819602</v>
      </c>
      <c r="AI3171">
        <v>91.739107879816402</v>
      </c>
      <c r="AJ3171">
        <v>82.715289211445295</v>
      </c>
      <c r="AK3171">
        <v>36.5159075292799</v>
      </c>
      <c r="AL3171">
        <v>88.994332943462993</v>
      </c>
      <c r="AM3171">
        <v>84.405232103892402</v>
      </c>
      <c r="AN3171">
        <v>0.99999999527484495</v>
      </c>
    </row>
    <row r="3172" spans="1:40" x14ac:dyDescent="0.25">
      <c r="A3172" t="str">
        <f>"20190312151601281"</f>
        <v>20190312151601281</v>
      </c>
      <c r="B3172" t="str">
        <f>"1552374961271452"</f>
        <v>1552374961271452</v>
      </c>
      <c r="C3172" t="s">
        <v>40</v>
      </c>
      <c r="D3172">
        <v>4.5521430000000001</v>
      </c>
      <c r="E3172">
        <v>0.51198859999999902</v>
      </c>
      <c r="F3172" t="s">
        <v>52</v>
      </c>
      <c r="G3172">
        <v>-282.6925</v>
      </c>
      <c r="H3172" s="1">
        <v>6.3903940000000001E-6</v>
      </c>
      <c r="I3172">
        <v>210.47659999999999</v>
      </c>
      <c r="J3172">
        <v>-317.05549999999999</v>
      </c>
      <c r="K3172">
        <v>1.108209</v>
      </c>
      <c r="L3172">
        <v>214.8349</v>
      </c>
      <c r="M3172">
        <v>0.99994479999999997</v>
      </c>
      <c r="N3172">
        <v>0</v>
      </c>
      <c r="O3172">
        <v>3.2790509999999998E-3</v>
      </c>
      <c r="P3172">
        <v>0.99546210000000002</v>
      </c>
      <c r="Q3172">
        <v>7.9557480000000003E-3</v>
      </c>
      <c r="R3172">
        <v>-9.4826469999999996E-2</v>
      </c>
      <c r="S3172">
        <v>2.9790040000000002</v>
      </c>
      <c r="T3172">
        <v>-9.4880939999999997E-2</v>
      </c>
      <c r="U3172">
        <v>-0.37303160000000002</v>
      </c>
      <c r="V3172">
        <v>9.8116239999999993E-2</v>
      </c>
      <c r="W3172">
        <v>1.7750109999999999E-2</v>
      </c>
      <c r="X3172">
        <v>0.99501660000000003</v>
      </c>
      <c r="Y3172">
        <v>0.12743779999999999</v>
      </c>
      <c r="Z3172">
        <v>-2.1250549999999998E-3</v>
      </c>
      <c r="AA3172">
        <v>0.99184430000000001</v>
      </c>
      <c r="AB3172">
        <v>46</v>
      </c>
      <c r="AC3172">
        <v>34.363</v>
      </c>
      <c r="AD3172">
        <v>-1.108202609606</v>
      </c>
      <c r="AE3172">
        <v>-4.3583000000000096</v>
      </c>
      <c r="AF3172">
        <v>4.4663884641785003</v>
      </c>
      <c r="AG3172">
        <v>-1.108202609606</v>
      </c>
      <c r="AH3172">
        <v>34.313400618973901</v>
      </c>
      <c r="AI3172">
        <v>91.834346424782396</v>
      </c>
      <c r="AJ3172">
        <v>82.583816545062902</v>
      </c>
      <c r="AK3172">
        <v>34.620603706103701</v>
      </c>
      <c r="AL3172">
        <v>88.982940147176905</v>
      </c>
      <c r="AM3172">
        <v>84.368404114625406</v>
      </c>
      <c r="AN3172">
        <v>0.99999994861615304</v>
      </c>
    </row>
    <row r="3173" spans="1:40" x14ac:dyDescent="0.25">
      <c r="A3173" t="str">
        <f>"20190312151601304"</f>
        <v>20190312151601304</v>
      </c>
      <c r="B3173" t="str">
        <f>"1552374961300732"</f>
        <v>1552374961300732</v>
      </c>
      <c r="C3173" t="s">
        <v>40</v>
      </c>
      <c r="D3173">
        <v>4.5392989999999998</v>
      </c>
      <c r="E3173">
        <v>0.51290190000000002</v>
      </c>
      <c r="F3173" t="s">
        <v>52</v>
      </c>
      <c r="G3173">
        <v>-283.04770000000002</v>
      </c>
      <c r="H3173" s="1">
        <v>6.2320419999999997E-6</v>
      </c>
      <c r="I3173">
        <v>210.48339999999999</v>
      </c>
      <c r="J3173">
        <v>-316.5711</v>
      </c>
      <c r="K3173">
        <v>1.108206</v>
      </c>
      <c r="L3173">
        <v>214.83619999999999</v>
      </c>
      <c r="M3173">
        <v>0.99994620000000001</v>
      </c>
      <c r="N3173">
        <v>0</v>
      </c>
      <c r="O3173">
        <v>2.7782520000000002E-3</v>
      </c>
      <c r="P3173">
        <v>0.99534540000000005</v>
      </c>
      <c r="Q3173">
        <v>8.2483419999999901E-3</v>
      </c>
      <c r="R3173">
        <v>-9.6020359999999999E-2</v>
      </c>
      <c r="S3173">
        <v>2.9781490000000002</v>
      </c>
      <c r="T3173">
        <v>-9.7048280000000001E-2</v>
      </c>
      <c r="U3173">
        <v>-0.381073</v>
      </c>
      <c r="V3173">
        <v>9.8811869999999996E-2</v>
      </c>
      <c r="W3173">
        <v>1.805095E-2</v>
      </c>
      <c r="X3173">
        <v>0.9949424</v>
      </c>
      <c r="Y3173">
        <v>0.1296078</v>
      </c>
      <c r="Z3173">
        <v>-2.192776E-3</v>
      </c>
      <c r="AA3173">
        <v>0.99156290000000002</v>
      </c>
      <c r="AB3173">
        <v>46</v>
      </c>
      <c r="AC3173">
        <v>33.523399999999903</v>
      </c>
      <c r="AD3173">
        <v>-1.108199767958</v>
      </c>
      <c r="AE3173">
        <v>-4.3528000000000002</v>
      </c>
      <c r="AF3173">
        <v>4.44115148803201</v>
      </c>
      <c r="AG3173">
        <v>-1.108199767958</v>
      </c>
      <c r="AH3173">
        <v>33.475201705256197</v>
      </c>
      <c r="AI3173">
        <v>91.879631957531899</v>
      </c>
      <c r="AJ3173">
        <v>82.442708132372402</v>
      </c>
      <c r="AK3173">
        <v>33.786699490671502</v>
      </c>
      <c r="AL3173">
        <v>88.965700575723801</v>
      </c>
      <c r="AM3173">
        <v>84.328316095486201</v>
      </c>
      <c r="AN3173">
        <v>1.0000000008832699</v>
      </c>
    </row>
    <row r="3174" spans="1:40" x14ac:dyDescent="0.25">
      <c r="A3174" t="str">
        <f>"20190312151601326"</f>
        <v>20190312151601326</v>
      </c>
      <c r="B3174" t="str">
        <f>"1552374961321228"</f>
        <v>1552374961321228</v>
      </c>
      <c r="C3174" t="s">
        <v>40</v>
      </c>
      <c r="D3174">
        <v>4.5309080000000002</v>
      </c>
      <c r="E3174">
        <v>0.51344979999999996</v>
      </c>
      <c r="F3174" t="s">
        <v>52</v>
      </c>
      <c r="G3174">
        <v>-282.15910000000002</v>
      </c>
      <c r="H3174" s="1">
        <v>6.6472469999999999E-6</v>
      </c>
      <c r="I3174">
        <v>210.30600000000001</v>
      </c>
      <c r="J3174">
        <v>-316.12009999999998</v>
      </c>
      <c r="K3174">
        <v>1.1082080000000001</v>
      </c>
      <c r="L3174">
        <v>214.83709999999999</v>
      </c>
      <c r="M3174">
        <v>0.99994740000000004</v>
      </c>
      <c r="N3174">
        <v>0</v>
      </c>
      <c r="O3174">
        <v>2.3119680000000002E-3</v>
      </c>
      <c r="P3174">
        <v>0.99530929999999995</v>
      </c>
      <c r="Q3174">
        <v>8.0656359999999993E-3</v>
      </c>
      <c r="R3174">
        <v>-9.6410389999999999E-2</v>
      </c>
      <c r="S3174">
        <v>2.9769899999999998</v>
      </c>
      <c r="T3174">
        <v>-9.5870730000000001E-2</v>
      </c>
      <c r="U3174">
        <v>-0.3919067</v>
      </c>
      <c r="V3174">
        <v>9.873759E-2</v>
      </c>
      <c r="W3174">
        <v>1.7877879999999999E-2</v>
      </c>
      <c r="X3174">
        <v>0.99495290000000003</v>
      </c>
      <c r="Y3174">
        <v>0.13274229999999901</v>
      </c>
      <c r="Z3174">
        <v>-2.201808E-3</v>
      </c>
      <c r="AA3174">
        <v>0.99114809999999998</v>
      </c>
      <c r="AB3174">
        <v>46</v>
      </c>
      <c r="AC3174">
        <v>33.960999999999899</v>
      </c>
      <c r="AD3174">
        <v>-1.1082013527529999</v>
      </c>
      <c r="AE3174">
        <v>-4.5311000000000003</v>
      </c>
      <c r="AF3174">
        <v>4.6047910355852499</v>
      </c>
      <c r="AG3174">
        <v>-1.1082013527529999</v>
      </c>
      <c r="AH3174">
        <v>33.914951222408803</v>
      </c>
      <c r="AI3174">
        <v>91.854521208259499</v>
      </c>
      <c r="AJ3174">
        <v>82.267966293116899</v>
      </c>
      <c r="AK3174">
        <v>34.244067035590497</v>
      </c>
      <c r="AL3174">
        <v>88.975618357634204</v>
      </c>
      <c r="AM3174">
        <v>84.332611333161907</v>
      </c>
      <c r="AN3174">
        <v>1.0000000017453501</v>
      </c>
    </row>
    <row r="3175" spans="1:40" x14ac:dyDescent="0.25">
      <c r="A3175" t="str">
        <f>"20190312151601347"</f>
        <v>20190312151601347</v>
      </c>
      <c r="B3175" t="str">
        <f>"1552374961340598"</f>
        <v>1552374961340598</v>
      </c>
      <c r="C3175" t="s">
        <v>40</v>
      </c>
      <c r="D3175">
        <v>4.5615949999999996</v>
      </c>
      <c r="E3175">
        <v>0.51398120000000003</v>
      </c>
      <c r="F3175" t="s">
        <v>52</v>
      </c>
      <c r="G3175">
        <v>-282.70729999999998</v>
      </c>
      <c r="H3175" s="1">
        <v>6.3959470000000003E-6</v>
      </c>
      <c r="I3175">
        <v>210.37479999999999</v>
      </c>
      <c r="J3175">
        <v>-315.66840000000002</v>
      </c>
      <c r="K3175">
        <v>1.108195</v>
      </c>
      <c r="L3175">
        <v>214.83779999999999</v>
      </c>
      <c r="M3175">
        <v>0.99994810000000001</v>
      </c>
      <c r="N3175">
        <v>0</v>
      </c>
      <c r="O3175">
        <v>1.845385E-3</v>
      </c>
      <c r="P3175">
        <v>0.99526769999999998</v>
      </c>
      <c r="Q3175">
        <v>8.324662E-3</v>
      </c>
      <c r="R3175">
        <v>-9.6814810000000001E-2</v>
      </c>
      <c r="S3175">
        <v>2.9764400000000002</v>
      </c>
      <c r="T3175">
        <v>-9.8719719999999997E-2</v>
      </c>
      <c r="U3175">
        <v>-0.39750669999999999</v>
      </c>
      <c r="V3175">
        <v>9.867803E-2</v>
      </c>
      <c r="W3175">
        <v>1.8146300000000001E-2</v>
      </c>
      <c r="X3175">
        <v>0.99495389999999995</v>
      </c>
      <c r="Y3175">
        <v>0.13413129999999901</v>
      </c>
      <c r="Z3175">
        <v>-2.274861E-3</v>
      </c>
      <c r="AA3175">
        <v>0.99096099999999998</v>
      </c>
      <c r="AB3175">
        <v>46</v>
      </c>
      <c r="AC3175">
        <v>32.961100000000002</v>
      </c>
      <c r="AD3175">
        <v>-1.108188604053</v>
      </c>
      <c r="AE3175">
        <v>-4.4629999999999903</v>
      </c>
      <c r="AF3175">
        <v>4.5188053734792097</v>
      </c>
      <c r="AG3175">
        <v>-1.108188604053</v>
      </c>
      <c r="AH3175">
        <v>32.916269530632398</v>
      </c>
      <c r="AI3175">
        <v>91.910338789685198</v>
      </c>
      <c r="AJ3175">
        <v>82.183192712632305</v>
      </c>
      <c r="AK3175">
        <v>33.243472799916297</v>
      </c>
      <c r="AL3175">
        <v>88.960236477827095</v>
      </c>
      <c r="AM3175">
        <v>84.336013407595701</v>
      </c>
      <c r="AN3175">
        <v>0.99999995246678897</v>
      </c>
    </row>
    <row r="3176" spans="1:40" x14ac:dyDescent="0.25">
      <c r="A3176" t="str">
        <f>"20190312151601362"</f>
        <v>20190312151601362</v>
      </c>
      <c r="B3176" t="str">
        <f>"1552374961351334"</f>
        <v>1552374961351334</v>
      </c>
      <c r="C3176" t="s">
        <v>40</v>
      </c>
      <c r="D3176">
        <v>4.5402959999999997</v>
      </c>
      <c r="E3176">
        <v>0.51423069999999904</v>
      </c>
      <c r="F3176" t="s">
        <v>52</v>
      </c>
      <c r="G3176">
        <v>-282.69029999999998</v>
      </c>
      <c r="H3176" s="1">
        <v>6.4036890000000001E-6</v>
      </c>
      <c r="I3176">
        <v>210.3733</v>
      </c>
      <c r="J3176">
        <v>-315.38639999999998</v>
      </c>
      <c r="K3176">
        <v>1.1081989999999999</v>
      </c>
      <c r="L3176">
        <v>214.8382</v>
      </c>
      <c r="M3176">
        <v>0.99994870000000002</v>
      </c>
      <c r="N3176">
        <v>0</v>
      </c>
      <c r="O3176">
        <v>1.5541210000000001E-3</v>
      </c>
      <c r="P3176">
        <v>0.99523170000000005</v>
      </c>
      <c r="Q3176">
        <v>8.0685359999999994E-3</v>
      </c>
      <c r="R3176">
        <v>-9.7205070000000005E-2</v>
      </c>
      <c r="S3176">
        <v>2.9759220000000002</v>
      </c>
      <c r="T3176">
        <v>-0.1000021</v>
      </c>
      <c r="U3176">
        <v>-0.40287780000000001</v>
      </c>
      <c r="V3176">
        <v>9.8778110000000002E-2</v>
      </c>
      <c r="W3176">
        <v>1.7895520000000002E-2</v>
      </c>
      <c r="X3176">
        <v>0.99494859999999896</v>
      </c>
      <c r="Y3176">
        <v>0.1356193</v>
      </c>
      <c r="Z3176">
        <v>-2.3196559999999998E-3</v>
      </c>
      <c r="AA3176">
        <v>0.99075829999999998</v>
      </c>
      <c r="AB3176">
        <v>46</v>
      </c>
      <c r="AC3176">
        <v>32.696100000000001</v>
      </c>
      <c r="AD3176">
        <v>-1.108192596311</v>
      </c>
      <c r="AE3176">
        <v>-4.4649000000000001</v>
      </c>
      <c r="AF3176">
        <v>4.5106239733733098</v>
      </c>
      <c r="AG3176">
        <v>-1.108192596311</v>
      </c>
      <c r="AH3176">
        <v>32.652297402246099</v>
      </c>
      <c r="AI3176">
        <v>91.925554502195595</v>
      </c>
      <c r="AJ3176">
        <v>82.134876402562696</v>
      </c>
      <c r="AK3176">
        <v>32.980999759018999</v>
      </c>
      <c r="AL3176">
        <v>88.974607538261594</v>
      </c>
      <c r="AM3176">
        <v>84.330276352544999</v>
      </c>
      <c r="AN3176">
        <v>1.0000000406466001</v>
      </c>
    </row>
    <row r="3177" spans="1:40" x14ac:dyDescent="0.25">
      <c r="A3177" t="str">
        <f>"20190312151601381"</f>
        <v>20190312151601381</v>
      </c>
      <c r="B3177" t="str">
        <f>"1552374961370854"</f>
        <v>1552374961370854</v>
      </c>
      <c r="C3177" t="s">
        <v>40</v>
      </c>
      <c r="D3177">
        <v>4.566567</v>
      </c>
      <c r="E3177">
        <v>0.51474109999999995</v>
      </c>
      <c r="F3177" t="s">
        <v>52</v>
      </c>
      <c r="G3177">
        <v>-283.03309999999999</v>
      </c>
      <c r="H3177" s="1">
        <v>6.2458319999999996E-6</v>
      </c>
      <c r="I3177">
        <v>210.422</v>
      </c>
      <c r="J3177">
        <v>-314.9751</v>
      </c>
      <c r="K3177">
        <v>1.108198</v>
      </c>
      <c r="L3177">
        <v>214.83860000000001</v>
      </c>
      <c r="M3177">
        <v>0.99994899999999998</v>
      </c>
      <c r="N3177">
        <v>0</v>
      </c>
      <c r="O3177">
        <v>1.1296850000000001E-3</v>
      </c>
      <c r="P3177">
        <v>0.99521649999999995</v>
      </c>
      <c r="Q3177">
        <v>8.4895479999999995E-3</v>
      </c>
      <c r="R3177">
        <v>-9.7325679999999998E-2</v>
      </c>
      <c r="S3177">
        <v>2.9755549999999999</v>
      </c>
      <c r="T3177">
        <v>-0.1019214</v>
      </c>
      <c r="U3177">
        <v>-0.40615839999999998</v>
      </c>
      <c r="V3177">
        <v>9.8476869999999994E-2</v>
      </c>
      <c r="W3177">
        <v>1.832603E-2</v>
      </c>
      <c r="X3177">
        <v>0.99497060000000004</v>
      </c>
      <c r="Y3177">
        <v>0.1362844</v>
      </c>
      <c r="Z3177">
        <v>-2.361134E-3</v>
      </c>
      <c r="AA3177">
        <v>0.99066690000000002</v>
      </c>
      <c r="AB3177">
        <v>46</v>
      </c>
      <c r="AC3177">
        <v>31.942</v>
      </c>
      <c r="AD3177">
        <v>-1.108191754168</v>
      </c>
      <c r="AE3177">
        <v>-4.4166000000000096</v>
      </c>
      <c r="AF3177">
        <v>4.4474306058192896</v>
      </c>
      <c r="AG3177">
        <v>-1.108191754168</v>
      </c>
      <c r="AH3177">
        <v>31.899314212478998</v>
      </c>
      <c r="AI3177">
        <v>91.970627125351299</v>
      </c>
      <c r="AJ3177">
        <v>82.062935214788197</v>
      </c>
      <c r="AK3177">
        <v>32.226913832758697</v>
      </c>
      <c r="AL3177">
        <v>88.949937060950901</v>
      </c>
      <c r="AM3177">
        <v>84.347579133022094</v>
      </c>
      <c r="AN3177">
        <v>1.00000001608245</v>
      </c>
    </row>
    <row r="3178" spans="1:40" x14ac:dyDescent="0.25">
      <c r="A3178" t="str">
        <f>"20190312151601404"</f>
        <v>20190312151601404</v>
      </c>
      <c r="B3178" t="str">
        <f>"1552374961401109"</f>
        <v>1552374961401109</v>
      </c>
      <c r="C3178" t="s">
        <v>40</v>
      </c>
      <c r="D3178">
        <v>4.5475300000000001</v>
      </c>
      <c r="E3178">
        <v>0.51549179999999994</v>
      </c>
      <c r="F3178" t="s">
        <v>52</v>
      </c>
      <c r="G3178">
        <v>-282.88440000000003</v>
      </c>
      <c r="H3178" s="1">
        <v>6.3128230000000004E-6</v>
      </c>
      <c r="I3178">
        <v>210.4135</v>
      </c>
      <c r="J3178">
        <v>-314.51029999999997</v>
      </c>
      <c r="K3178">
        <v>1.108198</v>
      </c>
      <c r="L3178">
        <v>214.83879999999999</v>
      </c>
      <c r="M3178">
        <v>0.99994950000000005</v>
      </c>
      <c r="N3178">
        <v>0</v>
      </c>
      <c r="O3178">
        <v>6.4975079999999999E-4</v>
      </c>
      <c r="P3178">
        <v>0.9951603</v>
      </c>
      <c r="Q3178">
        <v>8.9048579999999999E-3</v>
      </c>
      <c r="R3178">
        <v>-9.7863279999999997E-2</v>
      </c>
      <c r="S3178">
        <v>2.9751590000000001</v>
      </c>
      <c r="T3178">
        <v>-0.1027415</v>
      </c>
      <c r="U3178">
        <v>-0.4102478</v>
      </c>
      <c r="V3178">
        <v>9.8537399999999997E-2</v>
      </c>
      <c r="W3178">
        <v>1.875083E-2</v>
      </c>
      <c r="X3178">
        <v>0.99495670000000003</v>
      </c>
      <c r="Y3178">
        <v>0.13716159999999999</v>
      </c>
      <c r="Z3178">
        <v>-2.3787909999999999E-3</v>
      </c>
      <c r="AA3178">
        <v>0.99054580000000003</v>
      </c>
      <c r="AB3178">
        <v>46</v>
      </c>
      <c r="AC3178">
        <v>31.625899999999898</v>
      </c>
      <c r="AD3178">
        <v>-1.1081916871769999</v>
      </c>
      <c r="AE3178">
        <v>-4.4252999999999902</v>
      </c>
      <c r="AF3178">
        <v>4.4405015018167404</v>
      </c>
      <c r="AG3178">
        <v>-1.1081916871769999</v>
      </c>
      <c r="AH3178">
        <v>31.584981073443998</v>
      </c>
      <c r="AI3178">
        <v>91.989904004866005</v>
      </c>
      <c r="AJ3178">
        <v>81.997292738935002</v>
      </c>
      <c r="AK3178">
        <v>31.914842500206301</v>
      </c>
      <c r="AL3178">
        <v>88.925593638914094</v>
      </c>
      <c r="AM3178">
        <v>84.344048820627805</v>
      </c>
      <c r="AN3178">
        <v>1.00000002384966</v>
      </c>
    </row>
    <row r="3179" spans="1:40" x14ac:dyDescent="0.25">
      <c r="A3179" t="str">
        <f>"20190312151601417"</f>
        <v>20190312151601417</v>
      </c>
      <c r="B3179" t="str">
        <f>"1552374961410870"</f>
        <v>1552374961410870</v>
      </c>
      <c r="C3179" t="s">
        <v>40</v>
      </c>
      <c r="D3179">
        <v>4.6001640000000004</v>
      </c>
      <c r="E3179">
        <v>0.515721599999999</v>
      </c>
      <c r="F3179" t="s">
        <v>52</v>
      </c>
      <c r="G3179">
        <v>-282.81900000000002</v>
      </c>
      <c r="H3179" s="1">
        <v>6.3452550000000003E-6</v>
      </c>
      <c r="I3179">
        <v>210.38470000000001</v>
      </c>
      <c r="J3179">
        <v>-314.22410000000002</v>
      </c>
      <c r="K3179">
        <v>1.108198</v>
      </c>
      <c r="L3179">
        <v>214.83879999999999</v>
      </c>
      <c r="M3179">
        <v>0.99994959999999999</v>
      </c>
      <c r="N3179">
        <v>0</v>
      </c>
      <c r="O3179">
        <v>3.5425460000000001E-4</v>
      </c>
      <c r="P3179">
        <v>0.99511550000000004</v>
      </c>
      <c r="Q3179">
        <v>8.6480210000000005E-3</v>
      </c>
      <c r="R3179">
        <v>-9.8339839999999998E-2</v>
      </c>
      <c r="S3179">
        <v>2.9744570000000001</v>
      </c>
      <c r="T3179">
        <v>-0.1040118</v>
      </c>
      <c r="U3179">
        <v>-0.418045</v>
      </c>
      <c r="V3179">
        <v>9.8719710000000002E-2</v>
      </c>
      <c r="W3179">
        <v>1.8499580000000002E-2</v>
      </c>
      <c r="X3179">
        <v>0.99494329999999997</v>
      </c>
      <c r="Y3179">
        <v>0.13944419999999999</v>
      </c>
      <c r="Z3179">
        <v>-2.4377359999999998E-3</v>
      </c>
      <c r="AA3179">
        <v>0.99022690000000002</v>
      </c>
      <c r="AB3179">
        <v>46</v>
      </c>
      <c r="AC3179">
        <v>31.405100000000001</v>
      </c>
      <c r="AD3179">
        <v>-1.1081916547449999</v>
      </c>
      <c r="AE3179">
        <v>-4.45409999999998</v>
      </c>
      <c r="AF3179">
        <v>4.4597819852997302</v>
      </c>
      <c r="AG3179">
        <v>-1.1081916547449999</v>
      </c>
      <c r="AH3179">
        <v>31.365235050215698</v>
      </c>
      <c r="AI3179">
        <v>92.003390036153306</v>
      </c>
      <c r="AJ3179">
        <v>81.9074341496042</v>
      </c>
      <c r="AK3179">
        <v>31.700090123772998</v>
      </c>
      <c r="AL3179">
        <v>88.939991667957798</v>
      </c>
      <c r="AM3179">
        <v>84.3335766210771</v>
      </c>
      <c r="AN3179">
        <v>0.99999999290877495</v>
      </c>
    </row>
    <row r="3180" spans="1:40" x14ac:dyDescent="0.25">
      <c r="A3180" t="str">
        <f>"20190312151601437"</f>
        <v>20190312151601437</v>
      </c>
      <c r="B3180" t="str">
        <f>"1552374961431456"</f>
        <v>1552374961431456</v>
      </c>
      <c r="C3180" t="s">
        <v>40</v>
      </c>
      <c r="D3180">
        <v>4.5945619999999998</v>
      </c>
      <c r="E3180">
        <v>0.51617849999999998</v>
      </c>
      <c r="F3180" t="s">
        <v>52</v>
      </c>
      <c r="G3180">
        <v>-283.1062</v>
      </c>
      <c r="H3180" s="1">
        <v>6.2123429999999999E-6</v>
      </c>
      <c r="I3180">
        <v>210.43119999999999</v>
      </c>
      <c r="J3180">
        <v>-313.81939999999997</v>
      </c>
      <c r="K3180">
        <v>1.108195</v>
      </c>
      <c r="L3180">
        <v>214.83869999999999</v>
      </c>
      <c r="M3180">
        <v>0.99994959999999999</v>
      </c>
      <c r="N3180">
        <v>0</v>
      </c>
      <c r="O3180" s="1">
        <v>-6.3386439999999996E-5</v>
      </c>
      <c r="P3180">
        <v>0.99506249999999996</v>
      </c>
      <c r="Q3180">
        <v>8.7587540000000005E-3</v>
      </c>
      <c r="R3180">
        <v>-9.8866229999999999E-2</v>
      </c>
      <c r="S3180">
        <v>2.97403</v>
      </c>
      <c r="T3180">
        <v>-0.1059133</v>
      </c>
      <c r="U3180">
        <v>-0.4212494</v>
      </c>
      <c r="V3180">
        <v>9.8830539999999995E-2</v>
      </c>
      <c r="W3180">
        <v>1.8618289999999999E-2</v>
      </c>
      <c r="X3180">
        <v>0.99493010000000004</v>
      </c>
      <c r="Y3180">
        <v>0.1400931</v>
      </c>
      <c r="Z3180">
        <v>-2.479139E-3</v>
      </c>
      <c r="AA3180">
        <v>0.99013530000000005</v>
      </c>
      <c r="AB3180">
        <v>46</v>
      </c>
      <c r="AC3180">
        <v>30.713199999999901</v>
      </c>
      <c r="AD3180">
        <v>-1.108188787657</v>
      </c>
      <c r="AE3180">
        <v>-4.40749999999999</v>
      </c>
      <c r="AF3180">
        <v>4.3999403997727198</v>
      </c>
      <c r="AG3180">
        <v>-1.108188787657</v>
      </c>
      <c r="AH3180">
        <v>30.674350228539399</v>
      </c>
      <c r="AI3180">
        <v>92.048110971636902</v>
      </c>
      <c r="AJ3180">
        <v>81.837151734501006</v>
      </c>
      <c r="AK3180">
        <v>31.008116999484798</v>
      </c>
      <c r="AL3180">
        <v>88.933188932634593</v>
      </c>
      <c r="AM3180">
        <v>84.327181775580797</v>
      </c>
      <c r="AN3180">
        <v>1.0000000101226101</v>
      </c>
    </row>
    <row r="3181" spans="1:40" x14ac:dyDescent="0.25">
      <c r="A3181" t="str">
        <f>"20190312151601460"</f>
        <v>20190312151601460</v>
      </c>
      <c r="B3181" t="str">
        <f>"1552374961450976"</f>
        <v>1552374961450976</v>
      </c>
      <c r="C3181" t="s">
        <v>40</v>
      </c>
      <c r="D3181">
        <v>4.5322899999999997</v>
      </c>
      <c r="E3181">
        <v>0.5165554</v>
      </c>
      <c r="F3181" t="s">
        <v>52</v>
      </c>
      <c r="G3181">
        <v>-283.11419999999998</v>
      </c>
      <c r="H3181" s="1">
        <v>6.208373E-6</v>
      </c>
      <c r="I3181">
        <v>210.4348</v>
      </c>
      <c r="J3181">
        <v>-313.34429999999998</v>
      </c>
      <c r="K3181">
        <v>1.108195</v>
      </c>
      <c r="L3181">
        <v>214.8383</v>
      </c>
      <c r="M3181">
        <v>0.99994930000000004</v>
      </c>
      <c r="N3181">
        <v>0</v>
      </c>
      <c r="O3181">
        <v>-5.5304080000000003E-4</v>
      </c>
      <c r="P3181">
        <v>0.99496969999999996</v>
      </c>
      <c r="Q3181">
        <v>8.7841580000000002E-3</v>
      </c>
      <c r="R3181">
        <v>-9.9793359999999998E-2</v>
      </c>
      <c r="S3181">
        <v>2.9734500000000001</v>
      </c>
      <c r="T3181">
        <v>-0.10731540000000001</v>
      </c>
      <c r="U3181">
        <v>-0.42646790000000001</v>
      </c>
      <c r="V3181">
        <v>9.9270529999999996E-2</v>
      </c>
      <c r="W3181">
        <v>1.8652140000000001E-2</v>
      </c>
      <c r="X3181">
        <v>0.99488560000000004</v>
      </c>
      <c r="Y3181">
        <v>0.14133519999999999</v>
      </c>
      <c r="Z3181">
        <v>-2.5168299999999998E-3</v>
      </c>
      <c r="AA3181">
        <v>0.98995860000000002</v>
      </c>
      <c r="AB3181">
        <v>46</v>
      </c>
      <c r="AC3181">
        <v>30.2301</v>
      </c>
      <c r="AD3181">
        <v>-1.1081887916269999</v>
      </c>
      <c r="AE3181">
        <v>-4.4035000000000002</v>
      </c>
      <c r="AF3181">
        <v>4.3810149357773502</v>
      </c>
      <c r="AG3181">
        <v>-1.1081887916269999</v>
      </c>
      <c r="AH3181">
        <v>30.192799493924401</v>
      </c>
      <c r="AI3181">
        <v>92.080260258740793</v>
      </c>
      <c r="AJ3181">
        <v>81.743927418544402</v>
      </c>
      <c r="AK3181">
        <v>30.529109314647702</v>
      </c>
      <c r="AL3181">
        <v>88.9312490680922</v>
      </c>
      <c r="AM3181">
        <v>84.301839228448202</v>
      </c>
      <c r="AN3181">
        <v>0.99999994877020804</v>
      </c>
    </row>
    <row r="3182" spans="1:40" x14ac:dyDescent="0.25">
      <c r="A3182" t="str">
        <f>"20190312151601483"</f>
        <v>20190312151601483</v>
      </c>
      <c r="B3182" t="str">
        <f>"1552374961470496"</f>
        <v>1552374961470496</v>
      </c>
      <c r="C3182" t="s">
        <v>40</v>
      </c>
      <c r="D3182">
        <v>5.1286230000000002</v>
      </c>
      <c r="E3182">
        <v>0.51649079999999903</v>
      </c>
      <c r="F3182" t="s">
        <v>52</v>
      </c>
      <c r="G3182">
        <v>-283.37369999999999</v>
      </c>
      <c r="H3182" s="1">
        <v>6.0877409999999998E-6</v>
      </c>
      <c r="I3182">
        <v>210.48140000000001</v>
      </c>
      <c r="J3182">
        <v>-312.87889999999999</v>
      </c>
      <c r="K3182">
        <v>1.108196</v>
      </c>
      <c r="L3182">
        <v>214.83770000000001</v>
      </c>
      <c r="M3182">
        <v>0.99994890000000003</v>
      </c>
      <c r="N3182">
        <v>0</v>
      </c>
      <c r="O3182">
        <v>-1.0329169999999999E-3</v>
      </c>
      <c r="P3182">
        <v>0.99484720000000004</v>
      </c>
      <c r="Q3182">
        <v>9.0794789999999997E-3</v>
      </c>
      <c r="R3182">
        <v>-0.10098</v>
      </c>
      <c r="S3182">
        <v>2.9728089999999998</v>
      </c>
      <c r="T3182">
        <v>-0.10992209999999999</v>
      </c>
      <c r="U3182">
        <v>-0.43215940000000003</v>
      </c>
      <c r="V3182">
        <v>9.9980440000000004E-2</v>
      </c>
      <c r="W3182">
        <v>1.8955349999999999E-2</v>
      </c>
      <c r="X3182">
        <v>0.9948089</v>
      </c>
      <c r="Y3182">
        <v>0.14274149999999999</v>
      </c>
      <c r="Z3182">
        <v>-2.5863309999999999E-3</v>
      </c>
      <c r="AA3182">
        <v>0.98975659999999999</v>
      </c>
      <c r="AB3182">
        <v>46</v>
      </c>
      <c r="AC3182">
        <v>29.505199999999999</v>
      </c>
      <c r="AD3182">
        <v>-1.108189912259</v>
      </c>
      <c r="AE3182">
        <v>-4.3563000000000001</v>
      </c>
      <c r="AF3182">
        <v>4.3198557483302702</v>
      </c>
      <c r="AG3182">
        <v>-1.108189912259</v>
      </c>
      <c r="AH3182">
        <v>29.468999480648801</v>
      </c>
      <c r="AI3182">
        <v>92.130857378063595</v>
      </c>
      <c r="AJ3182">
        <v>81.660417937180796</v>
      </c>
      <c r="AK3182">
        <v>29.804549467463701</v>
      </c>
      <c r="AL3182">
        <v>88.913873474031604</v>
      </c>
      <c r="AM3182">
        <v>84.260921684856498</v>
      </c>
      <c r="AN3182">
        <v>1.0000000705977099</v>
      </c>
    </row>
    <row r="3183" spans="1:40" x14ac:dyDescent="0.25">
      <c r="A3183" t="str">
        <f>"20190312151601504"</f>
        <v>20190312151601504</v>
      </c>
      <c r="B3183" t="str">
        <f>"1552374961500752"</f>
        <v>1552374961500752</v>
      </c>
      <c r="C3183" t="s">
        <v>40</v>
      </c>
      <c r="D3183">
        <v>4.6469300000000002</v>
      </c>
      <c r="E3183">
        <v>0.51614780000000005</v>
      </c>
      <c r="F3183" t="s">
        <v>52</v>
      </c>
      <c r="G3183">
        <v>-282.4624</v>
      </c>
      <c r="H3183" s="1">
        <v>6.5033699999999999E-6</v>
      </c>
      <c r="I3183">
        <v>210.38489999999999</v>
      </c>
      <c r="J3183">
        <v>-312.42759999999998</v>
      </c>
      <c r="K3183">
        <v>1.1081890000000001</v>
      </c>
      <c r="L3183">
        <v>214.83690000000001</v>
      </c>
      <c r="M3183">
        <v>0.99994799999999995</v>
      </c>
      <c r="N3183">
        <v>0</v>
      </c>
      <c r="O3183">
        <v>-1.4975329999999999E-3</v>
      </c>
      <c r="P3183">
        <v>0.99474019999999996</v>
      </c>
      <c r="Q3183">
        <v>8.7919279999999992E-3</v>
      </c>
      <c r="R3183">
        <v>-0.1020542</v>
      </c>
      <c r="S3183">
        <v>2.9723510000000002</v>
      </c>
      <c r="T3183">
        <v>-0.108294</v>
      </c>
      <c r="U3183">
        <v>-0.43513489999999999</v>
      </c>
      <c r="V3183">
        <v>0.1005918</v>
      </c>
      <c r="W3183">
        <v>1.8675500000000001E-2</v>
      </c>
      <c r="X3183">
        <v>0.99475250000000004</v>
      </c>
      <c r="Y3183">
        <v>0.14327619999999999</v>
      </c>
      <c r="Z3183">
        <v>-2.5411079999999998E-3</v>
      </c>
      <c r="AA3183">
        <v>0.98967950000000005</v>
      </c>
      <c r="AB3183">
        <v>46</v>
      </c>
      <c r="AC3183">
        <v>29.9651999999999</v>
      </c>
      <c r="AD3183">
        <v>-1.10818249662999</v>
      </c>
      <c r="AE3183">
        <v>-4.4520000000000204</v>
      </c>
      <c r="AF3183">
        <v>4.4012293273056997</v>
      </c>
      <c r="AG3183">
        <v>-1.10818249662999</v>
      </c>
      <c r="AH3183">
        <v>29.931780431642899</v>
      </c>
      <c r="AI3183">
        <v>92.097791219960399</v>
      </c>
      <c r="AJ3183">
        <v>81.635056511892898</v>
      </c>
      <c r="AK3183">
        <v>30.273922240856901</v>
      </c>
      <c r="AL3183">
        <v>88.929910471388496</v>
      </c>
      <c r="AM3183">
        <v>84.225739632552902</v>
      </c>
      <c r="AN3183">
        <v>1.00000001039187</v>
      </c>
    </row>
    <row r="3184" spans="1:40" x14ac:dyDescent="0.25">
      <c r="A3184" t="str">
        <f>"20190312151601526"</f>
        <v>20190312151601526</v>
      </c>
      <c r="B3184" t="str">
        <f>"1552374961521248"</f>
        <v>1552374961521248</v>
      </c>
      <c r="C3184" t="s">
        <v>40</v>
      </c>
      <c r="D3184">
        <v>4.7623749999999996</v>
      </c>
      <c r="E3184">
        <v>0.5159224</v>
      </c>
      <c r="F3184" t="s">
        <v>52</v>
      </c>
      <c r="G3184">
        <v>-281.61529999999999</v>
      </c>
      <c r="H3184" s="1">
        <v>6.8869479999999997E-6</v>
      </c>
      <c r="I3184">
        <v>210.3184</v>
      </c>
      <c r="J3184">
        <v>-311.9778</v>
      </c>
      <c r="K3184">
        <v>1.1081890000000001</v>
      </c>
      <c r="L3184">
        <v>214.83600000000001</v>
      </c>
      <c r="M3184">
        <v>0.99994729999999998</v>
      </c>
      <c r="N3184">
        <v>0</v>
      </c>
      <c r="O3184">
        <v>-1.9611939999999999E-3</v>
      </c>
      <c r="P3184">
        <v>0.9946547</v>
      </c>
      <c r="Q3184">
        <v>9.0439969999999998E-3</v>
      </c>
      <c r="R3184">
        <v>-0.1028633</v>
      </c>
      <c r="S3184">
        <v>2.9721069999999998</v>
      </c>
      <c r="T3184">
        <v>-0.1068934</v>
      </c>
      <c r="U3184">
        <v>-0.43585210000000002</v>
      </c>
      <c r="V3184">
        <v>0.1009403</v>
      </c>
      <c r="W3184">
        <v>1.893628E-2</v>
      </c>
      <c r="X3184">
        <v>0.99471220000000005</v>
      </c>
      <c r="Y3184">
        <v>0.14306549999999901</v>
      </c>
      <c r="Z3184">
        <v>-2.4880760000000001E-3</v>
      </c>
      <c r="AA3184">
        <v>0.98971010000000004</v>
      </c>
      <c r="AB3184">
        <v>46</v>
      </c>
      <c r="AC3184">
        <v>30.362500000000001</v>
      </c>
      <c r="AD3184">
        <v>-1.10818211305199</v>
      </c>
      <c r="AE3184">
        <v>-4.5175999999999803</v>
      </c>
      <c r="AF3184">
        <v>4.4522390217459096</v>
      </c>
      <c r="AG3184">
        <v>-1.10818211305199</v>
      </c>
      <c r="AH3184">
        <v>30.331771160427198</v>
      </c>
      <c r="AI3184">
        <v>92.070227318182503</v>
      </c>
      <c r="AJ3184">
        <v>81.649489808446006</v>
      </c>
      <c r="AK3184">
        <v>30.676812768457001</v>
      </c>
      <c r="AL3184">
        <v>88.914966163073302</v>
      </c>
      <c r="AM3184">
        <v>84.205637453753894</v>
      </c>
      <c r="AN3184">
        <v>0.99999994384658197</v>
      </c>
    </row>
    <row r="3185" spans="1:40" x14ac:dyDescent="0.25">
      <c r="A3185" t="str">
        <f>"20190312151601549"</f>
        <v>20190312151601549</v>
      </c>
      <c r="B3185" t="str">
        <f>"1552374961540771"</f>
        <v>1552374961540771</v>
      </c>
      <c r="C3185" t="s">
        <v>40</v>
      </c>
      <c r="D3185">
        <v>4.6372200000000001</v>
      </c>
      <c r="E3185">
        <v>0.51568700000000001</v>
      </c>
      <c r="F3185" t="s">
        <v>52</v>
      </c>
      <c r="G3185">
        <v>-280.60449999999997</v>
      </c>
      <c r="H3185" s="1">
        <v>7.345814E-6</v>
      </c>
      <c r="I3185">
        <v>210.2295</v>
      </c>
      <c r="J3185">
        <v>-311.50479999999999</v>
      </c>
      <c r="K3185">
        <v>1.108185</v>
      </c>
      <c r="L3185">
        <v>214.8347</v>
      </c>
      <c r="M3185">
        <v>0.99994609999999995</v>
      </c>
      <c r="N3185">
        <v>0</v>
      </c>
      <c r="O3185">
        <v>-2.4481030000000001E-3</v>
      </c>
      <c r="P3185">
        <v>0.99457329999999999</v>
      </c>
      <c r="Q3185">
        <v>9.1011210000000002E-3</v>
      </c>
      <c r="R3185">
        <v>-0.103642</v>
      </c>
      <c r="S3185">
        <v>2.9719850000000001</v>
      </c>
      <c r="T3185">
        <v>-0.1049776</v>
      </c>
      <c r="U3185">
        <v>-0.4363708</v>
      </c>
      <c r="V3185">
        <v>0.1012349</v>
      </c>
      <c r="W3185">
        <v>1.9002069999999999E-2</v>
      </c>
      <c r="X3185">
        <v>0.99468109999999998</v>
      </c>
      <c r="Y3185">
        <v>0.14276220000000001</v>
      </c>
      <c r="Z3185">
        <v>-2.4211520000000002E-3</v>
      </c>
      <c r="AA3185">
        <v>0.98975409999999997</v>
      </c>
      <c r="AB3185">
        <v>46</v>
      </c>
      <c r="AC3185">
        <v>30.900300000000001</v>
      </c>
      <c r="AD3185">
        <v>-1.108177654186</v>
      </c>
      <c r="AE3185">
        <v>-4.6051999999999902</v>
      </c>
      <c r="AF3185">
        <v>4.5238432906238399</v>
      </c>
      <c r="AG3185">
        <v>-1.108177654186</v>
      </c>
      <c r="AH3185">
        <v>30.872637744135499</v>
      </c>
      <c r="AI3185">
        <v>92.034054563187098</v>
      </c>
      <c r="AJ3185">
        <v>81.663636591549903</v>
      </c>
      <c r="AK3185">
        <v>31.2219950853877</v>
      </c>
      <c r="AL3185">
        <v>88.911196096779605</v>
      </c>
      <c r="AM3185">
        <v>84.188661397195503</v>
      </c>
      <c r="AN3185">
        <v>1.0000000371697499</v>
      </c>
    </row>
    <row r="3186" spans="1:40" x14ac:dyDescent="0.25">
      <c r="A3186" t="str">
        <f>"20190312151601571"</f>
        <v>20190312151601571</v>
      </c>
      <c r="B3186" t="str">
        <f>"1552374961561264"</f>
        <v>1552374961561264</v>
      </c>
      <c r="C3186" t="s">
        <v>40</v>
      </c>
      <c r="D3186">
        <v>4.7333249999999998</v>
      </c>
      <c r="E3186">
        <v>0.51542569999999999</v>
      </c>
      <c r="F3186" t="s">
        <v>51</v>
      </c>
      <c r="G3186">
        <v>-279.81619999999998</v>
      </c>
      <c r="H3186" s="1">
        <v>3.8809779999999996E-6</v>
      </c>
      <c r="I3186">
        <v>210.17609999999999</v>
      </c>
      <c r="J3186">
        <v>-311.04219999999998</v>
      </c>
      <c r="K3186">
        <v>1.1081970000000001</v>
      </c>
      <c r="L3186">
        <v>214.83330000000001</v>
      </c>
      <c r="M3186">
        <v>0.99994459999999996</v>
      </c>
      <c r="N3186">
        <v>0</v>
      </c>
      <c r="O3186">
        <v>-2.9240569999999999E-3</v>
      </c>
      <c r="P3186">
        <v>0.99454240000000005</v>
      </c>
      <c r="Q3186">
        <v>9.0840859999999999E-3</v>
      </c>
      <c r="R3186">
        <v>-0.10393869999999999</v>
      </c>
      <c r="S3186">
        <v>2.9718019999999998</v>
      </c>
      <c r="T3186">
        <v>-0.1039267</v>
      </c>
      <c r="U3186">
        <v>-0.43688959999999999</v>
      </c>
      <c r="V3186">
        <v>0.10105840000000001</v>
      </c>
      <c r="W3186">
        <v>1.899731E-2</v>
      </c>
      <c r="X3186">
        <v>0.99469909999999995</v>
      </c>
      <c r="Y3186">
        <v>0.14247119999999999</v>
      </c>
      <c r="Z3186">
        <v>-2.3754330000000001E-3</v>
      </c>
      <c r="AA3186">
        <v>0.98979609999999996</v>
      </c>
      <c r="AB3186">
        <v>46</v>
      </c>
      <c r="AC3186">
        <v>31.225999999999999</v>
      </c>
      <c r="AD3186">
        <v>-1.10819311902199</v>
      </c>
      <c r="AE3186">
        <v>-4.6572000000000102</v>
      </c>
      <c r="AF3186">
        <v>4.56025016321707</v>
      </c>
      <c r="AG3186">
        <v>-1.10819311902199</v>
      </c>
      <c r="AH3186">
        <v>31.201042518416301</v>
      </c>
      <c r="AI3186">
        <v>92.012799192992304</v>
      </c>
      <c r="AJ3186">
        <v>81.684698413861994</v>
      </c>
      <c r="AK3186">
        <v>31.5520051308342</v>
      </c>
      <c r="AL3186">
        <v>88.911468832113897</v>
      </c>
      <c r="AM3186">
        <v>84.198828389650103</v>
      </c>
      <c r="AN3186">
        <v>0.99999999876930301</v>
      </c>
    </row>
    <row r="3187" spans="1:40" x14ac:dyDescent="0.25">
      <c r="A3187" t="str">
        <f>"20190312151601584"</f>
        <v>20190312151601584</v>
      </c>
      <c r="B3187" t="str">
        <f>"1552374961580784"</f>
        <v>1552374961580784</v>
      </c>
      <c r="C3187" t="s">
        <v>40</v>
      </c>
      <c r="D3187">
        <v>4.6192529999999996</v>
      </c>
      <c r="E3187">
        <v>0.51520679999999996</v>
      </c>
      <c r="F3187" t="s">
        <v>51</v>
      </c>
      <c r="G3187">
        <v>-279.32380000000001</v>
      </c>
      <c r="H3187" s="1">
        <v>3.6186340000000001E-6</v>
      </c>
      <c r="I3187">
        <v>210.18350000000001</v>
      </c>
      <c r="J3187">
        <v>-310.755</v>
      </c>
      <c r="K3187">
        <v>1.1081970000000001</v>
      </c>
      <c r="L3187">
        <v>214.8323</v>
      </c>
      <c r="M3187">
        <v>0.99994360000000004</v>
      </c>
      <c r="N3187">
        <v>0</v>
      </c>
      <c r="O3187">
        <v>-3.2193930000000001E-3</v>
      </c>
      <c r="P3187">
        <v>0.99450830000000001</v>
      </c>
      <c r="Q3187">
        <v>8.9937980000000008E-3</v>
      </c>
      <c r="R3187">
        <v>-0.10427160000000001</v>
      </c>
      <c r="S3187">
        <v>2.971924</v>
      </c>
      <c r="T3187">
        <v>-0.10383439999999999</v>
      </c>
      <c r="U3187">
        <v>-0.43566890000000003</v>
      </c>
      <c r="V3187">
        <v>0.1010972</v>
      </c>
      <c r="W3187">
        <v>1.891578E-2</v>
      </c>
      <c r="X3187">
        <v>0.99469669999999999</v>
      </c>
      <c r="Y3187">
        <v>0.1417757</v>
      </c>
      <c r="Z3187">
        <v>-2.3509590000000001E-3</v>
      </c>
      <c r="AA3187">
        <v>0.989896</v>
      </c>
      <c r="AB3187">
        <v>46</v>
      </c>
      <c r="AC3187">
        <v>31.431199999999901</v>
      </c>
      <c r="AD3187">
        <v>-1.1081933813660001</v>
      </c>
      <c r="AE3187">
        <v>-4.6487999999999898</v>
      </c>
      <c r="AF3187">
        <v>4.5420559392057704</v>
      </c>
      <c r="AG3187">
        <v>-1.1081933813660001</v>
      </c>
      <c r="AH3187">
        <v>31.407796679159802</v>
      </c>
      <c r="AI3187">
        <v>91.999998937607899</v>
      </c>
      <c r="AJ3187">
        <v>81.7711874571024</v>
      </c>
      <c r="AK3187">
        <v>31.753866803348899</v>
      </c>
      <c r="AL3187">
        <v>88.916140984666796</v>
      </c>
      <c r="AM3187">
        <v>84.196602401237897</v>
      </c>
      <c r="AN3187">
        <v>0.99999998778586896</v>
      </c>
    </row>
    <row r="3188" spans="1:40" x14ac:dyDescent="0.25">
      <c r="A3188" t="str">
        <f>"20190312151601597"</f>
        <v>20190312151601597</v>
      </c>
      <c r="B3188" t="str">
        <f>"1552374961590544"</f>
        <v>1552374961590544</v>
      </c>
      <c r="C3188" t="s">
        <v>40</v>
      </c>
      <c r="D3188">
        <v>4.8491140000000001</v>
      </c>
      <c r="E3188">
        <v>0.51509079999999996</v>
      </c>
      <c r="F3188" t="s">
        <v>51</v>
      </c>
      <c r="G3188">
        <v>-278.94569999999999</v>
      </c>
      <c r="H3188" s="1">
        <v>3.4177139999999999E-6</v>
      </c>
      <c r="I3188">
        <v>210.1772</v>
      </c>
      <c r="J3188">
        <v>-310.48880000000003</v>
      </c>
      <c r="K3188">
        <v>1.108196</v>
      </c>
      <c r="L3188">
        <v>214.8312</v>
      </c>
      <c r="M3188">
        <v>0.99994260000000001</v>
      </c>
      <c r="N3188">
        <v>0</v>
      </c>
      <c r="O3188">
        <v>-3.49351E-3</v>
      </c>
      <c r="P3188">
        <v>0.99450130000000003</v>
      </c>
      <c r="Q3188">
        <v>9.0557150000000006E-3</v>
      </c>
      <c r="R3188">
        <v>-0.10433249999999999</v>
      </c>
      <c r="S3188">
        <v>2.9718629999999999</v>
      </c>
      <c r="T3188">
        <v>-0.10353569999999999</v>
      </c>
      <c r="U3188">
        <v>-0.43490600000000001</v>
      </c>
      <c r="V3188">
        <v>0.1008858</v>
      </c>
      <c r="W3188">
        <v>1.898729E-2</v>
      </c>
      <c r="X3188">
        <v>0.99471679999999996</v>
      </c>
      <c r="Y3188">
        <v>0.14125940000000001</v>
      </c>
      <c r="Z3188">
        <v>-2.32585E-3</v>
      </c>
      <c r="AA3188">
        <v>0.98996989999999996</v>
      </c>
      <c r="AB3188">
        <v>47</v>
      </c>
      <c r="AC3188">
        <v>31.543099999999999</v>
      </c>
      <c r="AD3188">
        <v>-1.1081925822859999</v>
      </c>
      <c r="AE3188">
        <v>-4.6539999999999901</v>
      </c>
      <c r="AF3188">
        <v>4.5382875324721397</v>
      </c>
      <c r="AG3188">
        <v>-1.1081925822859999</v>
      </c>
      <c r="AH3188">
        <v>31.521089475891699</v>
      </c>
      <c r="AI3188">
        <v>91.9929948862722</v>
      </c>
      <c r="AJ3188">
        <v>81.807071093966897</v>
      </c>
      <c r="AK3188">
        <v>31.865392297506599</v>
      </c>
      <c r="AL3188">
        <v>88.912043026602902</v>
      </c>
      <c r="AM3188">
        <v>84.208771292821993</v>
      </c>
      <c r="AN3188">
        <v>0.99999998701271098</v>
      </c>
    </row>
    <row r="3189" spans="1:40" x14ac:dyDescent="0.25">
      <c r="A3189" t="str">
        <f>"20190312151601615"</f>
        <v>20190312151601615</v>
      </c>
      <c r="B3189" t="str">
        <f>"1552374961611040"</f>
        <v>1552374961611040</v>
      </c>
      <c r="C3189" t="s">
        <v>40</v>
      </c>
      <c r="D3189">
        <v>4.7790839999999903</v>
      </c>
      <c r="E3189">
        <v>0.51488219999999996</v>
      </c>
      <c r="F3189" t="s">
        <v>51</v>
      </c>
      <c r="G3189">
        <v>-278.50170000000003</v>
      </c>
      <c r="H3189" s="1">
        <v>3.1822810000000001E-6</v>
      </c>
      <c r="I3189">
        <v>210.1574</v>
      </c>
      <c r="J3189">
        <v>-310.11070000000001</v>
      </c>
      <c r="K3189">
        <v>1.108193</v>
      </c>
      <c r="L3189">
        <v>214.8297</v>
      </c>
      <c r="M3189">
        <v>0.99994110000000003</v>
      </c>
      <c r="N3189">
        <v>0</v>
      </c>
      <c r="O3189">
        <v>-3.8824530000000001E-3</v>
      </c>
      <c r="P3189">
        <v>0.99451020000000001</v>
      </c>
      <c r="Q3189">
        <v>8.8445119999999901E-3</v>
      </c>
      <c r="R3189">
        <v>-0.1042672</v>
      </c>
      <c r="S3189">
        <v>2.971924</v>
      </c>
      <c r="T3189">
        <v>-0.1029621</v>
      </c>
      <c r="U3189">
        <v>-0.43424990000000002</v>
      </c>
      <c r="V3189">
        <v>0.1004331</v>
      </c>
      <c r="W3189">
        <v>1.8791349999999998E-2</v>
      </c>
      <c r="X3189">
        <v>0.99476640000000005</v>
      </c>
      <c r="Y3189">
        <v>0.1406589</v>
      </c>
      <c r="Z3189">
        <v>-2.2892210000000001E-3</v>
      </c>
      <c r="AA3189">
        <v>0.99005549999999998</v>
      </c>
      <c r="AB3189">
        <v>47</v>
      </c>
      <c r="AC3189">
        <v>31.608999999999899</v>
      </c>
      <c r="AD3189">
        <v>-1.1081898177189999</v>
      </c>
      <c r="AE3189">
        <v>-4.6722999999999999</v>
      </c>
      <c r="AF3189">
        <v>4.54407207885383</v>
      </c>
      <c r="AG3189">
        <v>-1.1081898177189999</v>
      </c>
      <c r="AH3189">
        <v>31.588905211828099</v>
      </c>
      <c r="AI3189">
        <v>91.988750058238395</v>
      </c>
      <c r="AJ3189">
        <v>81.814142287822307</v>
      </c>
      <c r="AK3189">
        <v>31.933299363075101</v>
      </c>
      <c r="AL3189">
        <v>88.923271640007201</v>
      </c>
      <c r="AM3189">
        <v>84.234868073537299</v>
      </c>
      <c r="AN3189">
        <v>1.00000005648969</v>
      </c>
    </row>
    <row r="3190" spans="1:40" x14ac:dyDescent="0.25">
      <c r="A3190" t="str">
        <f>"20190312151601629"</f>
        <v>20190312151601629</v>
      </c>
      <c r="B3190" t="str">
        <f>"1552374961620800"</f>
        <v>1552374961620800</v>
      </c>
      <c r="C3190" t="s">
        <v>40</v>
      </c>
      <c r="D3190">
        <v>4.5872799999999998</v>
      </c>
      <c r="E3190">
        <v>0.51477829999999902</v>
      </c>
      <c r="F3190" t="s">
        <v>51</v>
      </c>
      <c r="G3190">
        <v>-278.18169999999998</v>
      </c>
      <c r="H3190" s="1">
        <v>3.0107930000000001E-6</v>
      </c>
      <c r="I3190">
        <v>210.18549999999999</v>
      </c>
      <c r="J3190">
        <v>-309.81400000000002</v>
      </c>
      <c r="K3190">
        <v>1.10819</v>
      </c>
      <c r="L3190">
        <v>214.82839999999999</v>
      </c>
      <c r="M3190">
        <v>0.99993969999999999</v>
      </c>
      <c r="N3190">
        <v>0</v>
      </c>
      <c r="O3190">
        <v>-4.1873370000000002E-3</v>
      </c>
      <c r="P3190">
        <v>0.99450830000000001</v>
      </c>
      <c r="Q3190">
        <v>9.0295370000000007E-3</v>
      </c>
      <c r="R3190">
        <v>-0.10426870000000001</v>
      </c>
      <c r="S3190">
        <v>2.9721679999999999</v>
      </c>
      <c r="T3190">
        <v>-0.103158</v>
      </c>
      <c r="U3190">
        <v>-0.43231199999999997</v>
      </c>
      <c r="V3190">
        <v>0.10013180000000001</v>
      </c>
      <c r="W3190">
        <v>1.8987770000000001E-2</v>
      </c>
      <c r="X3190">
        <v>0.99479300000000004</v>
      </c>
      <c r="Y3190">
        <v>0.1397137</v>
      </c>
      <c r="Z3190">
        <v>-2.2666589999999999E-3</v>
      </c>
      <c r="AA3190">
        <v>0.9901894</v>
      </c>
      <c r="AB3190">
        <v>47</v>
      </c>
      <c r="AC3190">
        <v>31.632300000000001</v>
      </c>
      <c r="AD3190">
        <v>-1.108186989207</v>
      </c>
      <c r="AE3190">
        <v>-4.6428999999999903</v>
      </c>
      <c r="AF3190">
        <v>4.5049848269687001</v>
      </c>
      <c r="AG3190">
        <v>-1.108186989207</v>
      </c>
      <c r="AH3190">
        <v>31.613482850943001</v>
      </c>
      <c r="AI3190">
        <v>91.987575723833899</v>
      </c>
      <c r="AJ3190">
        <v>81.889839337886698</v>
      </c>
      <c r="AK3190">
        <v>31.9520776266761</v>
      </c>
      <c r="AL3190">
        <v>88.912015547745199</v>
      </c>
      <c r="AM3190">
        <v>84.252200193571198</v>
      </c>
      <c r="AN3190">
        <v>1.0000000128149</v>
      </c>
    </row>
    <row r="3191" spans="1:40" x14ac:dyDescent="0.25">
      <c r="A3191" t="str">
        <f>"20190312151601651"</f>
        <v>20190312151601651</v>
      </c>
      <c r="B3191" t="str">
        <f>"1552374961641296"</f>
        <v>1552374961641296</v>
      </c>
      <c r="C3191" t="s">
        <v>40</v>
      </c>
      <c r="D3191">
        <v>4.6009409999999997</v>
      </c>
      <c r="E3191">
        <v>0.51453789999999999</v>
      </c>
      <c r="F3191" t="s">
        <v>51</v>
      </c>
      <c r="G3191">
        <v>-277.60669999999999</v>
      </c>
      <c r="H3191" s="1">
        <v>2.7062290000000002E-6</v>
      </c>
      <c r="I3191">
        <v>210.1524</v>
      </c>
      <c r="J3191">
        <v>-309.39420000000001</v>
      </c>
      <c r="K3191">
        <v>1.1081859999999999</v>
      </c>
      <c r="L3191">
        <v>214.8263</v>
      </c>
      <c r="M3191">
        <v>0.99993759999999998</v>
      </c>
      <c r="N3191">
        <v>0</v>
      </c>
      <c r="O3191">
        <v>-4.6185030000000004E-3</v>
      </c>
      <c r="P3191">
        <v>0.99450640000000001</v>
      </c>
      <c r="Q3191">
        <v>8.7044289999999996E-3</v>
      </c>
      <c r="R3191">
        <v>-0.1043139</v>
      </c>
      <c r="S3191">
        <v>2.9722599999999999</v>
      </c>
      <c r="T3191">
        <v>-0.1022692</v>
      </c>
      <c r="U3191">
        <v>-0.43151859999999997</v>
      </c>
      <c r="V3191">
        <v>9.9747429999999998E-2</v>
      </c>
      <c r="W3191">
        <v>1.8681219999999998E-2</v>
      </c>
      <c r="X3191">
        <v>0.99483739999999998</v>
      </c>
      <c r="Y3191">
        <v>0.13902539999999999</v>
      </c>
      <c r="Z3191">
        <v>-2.2205879999999999E-3</v>
      </c>
      <c r="AA3191">
        <v>0.99028629999999995</v>
      </c>
      <c r="AB3191">
        <v>47</v>
      </c>
      <c r="AC3191">
        <v>31.787500000000001</v>
      </c>
      <c r="AD3191">
        <v>-1.1081832937710001</v>
      </c>
      <c r="AE3191">
        <v>-4.6738999999999997</v>
      </c>
      <c r="AF3191">
        <v>4.5216526768666503</v>
      </c>
      <c r="AG3191">
        <v>-1.1081832937710001</v>
      </c>
      <c r="AH3191">
        <v>31.770951986124501</v>
      </c>
      <c r="AI3191">
        <v>91.977775893070699</v>
      </c>
      <c r="AJ3191">
        <v>81.900041336887995</v>
      </c>
      <c r="AK3191">
        <v>32.110228950405201</v>
      </c>
      <c r="AL3191">
        <v>88.929582665983801</v>
      </c>
      <c r="AM3191">
        <v>84.274370893978002</v>
      </c>
      <c r="AN3191">
        <v>0.99999999510552595</v>
      </c>
    </row>
    <row r="3192" spans="1:40" x14ac:dyDescent="0.25">
      <c r="A3192" t="str">
        <f>"20190312151601672"</f>
        <v>20190312151601672</v>
      </c>
      <c r="B3192" t="str">
        <f>"1552374961660816"</f>
        <v>1552374961660816</v>
      </c>
      <c r="C3192" t="s">
        <v>40</v>
      </c>
      <c r="D3192">
        <v>4.5699560000000004</v>
      </c>
      <c r="E3192">
        <v>0.51430989999999999</v>
      </c>
      <c r="F3192" t="s">
        <v>51</v>
      </c>
      <c r="G3192">
        <v>-277.85789999999997</v>
      </c>
      <c r="H3192" s="1">
        <v>2.8349160000000002E-6</v>
      </c>
      <c r="I3192">
        <v>210.26750000000001</v>
      </c>
      <c r="J3192">
        <v>-308.93400000000003</v>
      </c>
      <c r="K3192">
        <v>1.10819</v>
      </c>
      <c r="L3192">
        <v>214.82390000000001</v>
      </c>
      <c r="M3192">
        <v>0.99993500000000002</v>
      </c>
      <c r="N3192">
        <v>0</v>
      </c>
      <c r="O3192">
        <v>-5.0909400000000004E-3</v>
      </c>
      <c r="P3192">
        <v>0.9944849</v>
      </c>
      <c r="Q3192">
        <v>8.5015869999999997E-3</v>
      </c>
      <c r="R3192">
        <v>-0.1045353</v>
      </c>
      <c r="S3192">
        <v>2.9724119999999998</v>
      </c>
      <c r="T3192">
        <v>-0.1044506</v>
      </c>
      <c r="U3192">
        <v>-0.4296875</v>
      </c>
      <c r="V3192">
        <v>9.9498569999999995E-2</v>
      </c>
      <c r="W3192">
        <v>1.8500050000000001E-2</v>
      </c>
      <c r="X3192">
        <v>0.99486569999999996</v>
      </c>
      <c r="Y3192">
        <v>0.1379504</v>
      </c>
      <c r="Z3192">
        <v>-2.2326160000000002E-3</v>
      </c>
      <c r="AA3192">
        <v>0.9904366</v>
      </c>
      <c r="AB3192">
        <v>47</v>
      </c>
      <c r="AC3192">
        <v>31.0761</v>
      </c>
      <c r="AD3192">
        <v>-1.1081871650839901</v>
      </c>
      <c r="AE3192">
        <v>-4.5563999999999902</v>
      </c>
      <c r="AF3192">
        <v>4.3926577167815202</v>
      </c>
      <c r="AG3192">
        <v>-1.1081871650839901</v>
      </c>
      <c r="AH3192">
        <v>31.060227811249401</v>
      </c>
      <c r="AI3192">
        <v>92.023253519219693</v>
      </c>
      <c r="AJ3192">
        <v>81.950391645845798</v>
      </c>
      <c r="AK3192">
        <v>31.388871790753601</v>
      </c>
      <c r="AL3192">
        <v>88.939964730356806</v>
      </c>
      <c r="AM3192">
        <v>84.2887226082117</v>
      </c>
      <c r="AN3192">
        <v>0.99999998915926802</v>
      </c>
    </row>
    <row r="3193" spans="1:40" x14ac:dyDescent="0.25">
      <c r="A3193" t="str">
        <f>"20190312151601705"</f>
        <v>20190312151601705</v>
      </c>
      <c r="B3193" t="str">
        <f>"1552374961700832"</f>
        <v>1552374961700832</v>
      </c>
      <c r="C3193" t="s">
        <v>40</v>
      </c>
      <c r="D3193">
        <v>4.8044820000000001</v>
      </c>
      <c r="E3193">
        <v>0.51391880000000001</v>
      </c>
      <c r="F3193" t="s">
        <v>51</v>
      </c>
      <c r="G3193">
        <v>-277.84140000000002</v>
      </c>
      <c r="H3193" s="1">
        <v>2.8229059999999999E-6</v>
      </c>
      <c r="I3193">
        <v>210.34030000000001</v>
      </c>
      <c r="J3193">
        <v>-308.24090000000001</v>
      </c>
      <c r="K3193">
        <v>1.1081909999999999</v>
      </c>
      <c r="L3193">
        <v>214.81979999999999</v>
      </c>
      <c r="M3193">
        <v>0.99993080000000001</v>
      </c>
      <c r="N3193">
        <v>0</v>
      </c>
      <c r="O3193">
        <v>-5.8021430000000001E-3</v>
      </c>
      <c r="P3193">
        <v>0.9944035</v>
      </c>
      <c r="Q3193">
        <v>8.4729519999999902E-3</v>
      </c>
      <c r="R3193">
        <v>-0.1053104</v>
      </c>
      <c r="S3193">
        <v>2.9724430000000002</v>
      </c>
      <c r="T3193">
        <v>-0.1059422</v>
      </c>
      <c r="U3193">
        <v>-0.42863459999999998</v>
      </c>
      <c r="V3193">
        <v>9.9566329999999995E-2</v>
      </c>
      <c r="W3193">
        <v>1.8510539999999999E-2</v>
      </c>
      <c r="X3193">
        <v>0.99485869999999998</v>
      </c>
      <c r="Y3193">
        <v>0.13689960000000001</v>
      </c>
      <c r="Z3193">
        <v>-2.2206840000000001E-3</v>
      </c>
      <c r="AA3193">
        <v>0.99058250000000003</v>
      </c>
      <c r="AB3193">
        <v>47</v>
      </c>
      <c r="AC3193">
        <v>30.3994999999999</v>
      </c>
      <c r="AD3193">
        <v>-1.1081881770940001</v>
      </c>
      <c r="AE3193">
        <v>-4.4794999999999696</v>
      </c>
      <c r="AF3193">
        <v>4.2974435776895401</v>
      </c>
      <c r="AG3193">
        <v>-1.1081881770940001</v>
      </c>
      <c r="AH3193">
        <v>30.385459035368999</v>
      </c>
      <c r="AI3193">
        <v>92.068145109027796</v>
      </c>
      <c r="AJ3193">
        <v>81.949995525891296</v>
      </c>
      <c r="AK3193">
        <v>30.707852792557201</v>
      </c>
      <c r="AL3193">
        <v>88.939363567534997</v>
      </c>
      <c r="AM3193">
        <v>84.284818936482097</v>
      </c>
      <c r="AN3193">
        <v>0.99999996356322396</v>
      </c>
    </row>
    <row r="3194" spans="1:40" x14ac:dyDescent="0.25">
      <c r="A3194" t="str">
        <f>"20190312151601727"</f>
        <v>20190312151601727</v>
      </c>
      <c r="B3194" t="str">
        <f>"1552374961721328"</f>
        <v>1552374961721328</v>
      </c>
      <c r="C3194" t="s">
        <v>40</v>
      </c>
      <c r="D3194">
        <v>4.6273540000000004</v>
      </c>
      <c r="E3194">
        <v>0.51371089999999997</v>
      </c>
      <c r="F3194" t="s">
        <v>51</v>
      </c>
      <c r="G3194">
        <v>-277.45859999999999</v>
      </c>
      <c r="H3194" s="1">
        <v>2.617104E-6</v>
      </c>
      <c r="I3194">
        <v>210.38890000000001</v>
      </c>
      <c r="J3194">
        <v>-307.78100000000001</v>
      </c>
      <c r="K3194">
        <v>1.1081939999999999</v>
      </c>
      <c r="L3194">
        <v>214.8168</v>
      </c>
      <c r="M3194">
        <v>0.99992769999999997</v>
      </c>
      <c r="N3194">
        <v>0</v>
      </c>
      <c r="O3194">
        <v>-6.2737869999999899E-3</v>
      </c>
      <c r="P3194">
        <v>0.99432050000000005</v>
      </c>
      <c r="Q3194">
        <v>8.5697380000000004E-3</v>
      </c>
      <c r="R3194">
        <v>-0.1060817</v>
      </c>
      <c r="S3194">
        <v>2.9724729999999999</v>
      </c>
      <c r="T3194">
        <v>-0.1070117</v>
      </c>
      <c r="U3194">
        <v>-0.42787170000000002</v>
      </c>
      <c r="V3194">
        <v>9.98695E-2</v>
      </c>
      <c r="W3194">
        <v>1.8635450000000001E-2</v>
      </c>
      <c r="X3194">
        <v>0.99482599999999999</v>
      </c>
      <c r="Y3194">
        <v>0.13618079999999999</v>
      </c>
      <c r="Z3194">
        <v>-2.213352E-3</v>
      </c>
      <c r="AA3194">
        <v>0.99068149999999999</v>
      </c>
      <c r="AB3194">
        <v>47</v>
      </c>
      <c r="AC3194">
        <v>30.322399999999998</v>
      </c>
      <c r="AD3194">
        <v>-1.1081913828959999</v>
      </c>
      <c r="AE3194">
        <v>-4.4278999999999904</v>
      </c>
      <c r="AF3194">
        <v>4.23203193874087</v>
      </c>
      <c r="AG3194">
        <v>-1.1081913828959999</v>
      </c>
      <c r="AH3194">
        <v>30.309945223025501</v>
      </c>
      <c r="AI3194">
        <v>92.073814697842806</v>
      </c>
      <c r="AJ3194">
        <v>82.051452755728107</v>
      </c>
      <c r="AK3194">
        <v>30.6240258929889</v>
      </c>
      <c r="AL3194">
        <v>88.932205538189805</v>
      </c>
      <c r="AM3194">
        <v>84.267345307662595</v>
      </c>
      <c r="AN3194">
        <v>0.99999998365147602</v>
      </c>
    </row>
    <row r="3195" spans="1:40" x14ac:dyDescent="0.25">
      <c r="A3195" t="str">
        <f>"20190312151601749"</f>
        <v>20190312151601749</v>
      </c>
      <c r="B3195" t="str">
        <f>"1552374961740853"</f>
        <v>1552374961740853</v>
      </c>
      <c r="C3195" t="s">
        <v>40</v>
      </c>
      <c r="D3195">
        <v>4.6429099999999996</v>
      </c>
      <c r="E3195">
        <v>0.51354569999999999</v>
      </c>
      <c r="F3195" t="s">
        <v>51</v>
      </c>
      <c r="G3195">
        <v>-277.13690000000003</v>
      </c>
      <c r="H3195" s="1">
        <v>2.4455480000000002E-6</v>
      </c>
      <c r="I3195">
        <v>210.39699999999999</v>
      </c>
      <c r="J3195">
        <v>-307.32420000000002</v>
      </c>
      <c r="K3195">
        <v>1.108204</v>
      </c>
      <c r="L3195">
        <v>214.81360000000001</v>
      </c>
      <c r="M3195">
        <v>0.99992440000000005</v>
      </c>
      <c r="N3195">
        <v>0</v>
      </c>
      <c r="O3195">
        <v>-6.7421030000000002E-3</v>
      </c>
      <c r="P3195">
        <v>0.99421470000000001</v>
      </c>
      <c r="Q3195">
        <v>8.5222400000000004E-3</v>
      </c>
      <c r="R3195">
        <v>-0.1070748</v>
      </c>
      <c r="S3195">
        <v>2.9722900000000001</v>
      </c>
      <c r="T3195">
        <v>-0.10748779999999999</v>
      </c>
      <c r="U3195">
        <v>-0.42869570000000001</v>
      </c>
      <c r="V3195">
        <v>0.1003971</v>
      </c>
      <c r="W3195">
        <v>1.8615909999999999E-2</v>
      </c>
      <c r="X3195">
        <v>0.99477329999999997</v>
      </c>
      <c r="Y3195">
        <v>0.13599420000000001</v>
      </c>
      <c r="Z3195">
        <v>-2.20309E-3</v>
      </c>
      <c r="AA3195">
        <v>0.99070720000000001</v>
      </c>
      <c r="AB3195">
        <v>47</v>
      </c>
      <c r="AC3195">
        <v>30.1873</v>
      </c>
      <c r="AD3195">
        <v>-1.1082015544519901</v>
      </c>
      <c r="AE3195">
        <v>-4.4165999999999803</v>
      </c>
      <c r="AF3195">
        <v>4.20741151996274</v>
      </c>
      <c r="AG3195">
        <v>-1.1082015544519901</v>
      </c>
      <c r="AH3195">
        <v>30.176576288740598</v>
      </c>
      <c r="AI3195">
        <v>92.083047833780796</v>
      </c>
      <c r="AJ3195">
        <v>82.0626250013337</v>
      </c>
      <c r="AK3195">
        <v>30.488623761885201</v>
      </c>
      <c r="AL3195">
        <v>88.933325335130107</v>
      </c>
      <c r="AM3195">
        <v>84.236960363619801</v>
      </c>
      <c r="AN3195">
        <v>1.0000000240932101</v>
      </c>
    </row>
    <row r="3196" spans="1:40" x14ac:dyDescent="0.25">
      <c r="A3196" t="str">
        <f>"20190312151601772"</f>
        <v>20190312151601772</v>
      </c>
      <c r="B3196" t="str">
        <f>"1552374961761344"</f>
        <v>1552374961761344</v>
      </c>
      <c r="C3196" t="s">
        <v>40</v>
      </c>
      <c r="D3196">
        <v>4.7345709999999999</v>
      </c>
      <c r="E3196">
        <v>0.51337820000000001</v>
      </c>
      <c r="F3196" t="s">
        <v>51</v>
      </c>
      <c r="G3196">
        <v>-276.52170000000001</v>
      </c>
      <c r="H3196" s="1">
        <v>2.119968E-6</v>
      </c>
      <c r="I3196">
        <v>210.3553</v>
      </c>
      <c r="J3196">
        <v>-306.85219999999998</v>
      </c>
      <c r="K3196">
        <v>1.1082069999999999</v>
      </c>
      <c r="L3196">
        <v>214.81020000000001</v>
      </c>
      <c r="M3196">
        <v>0.9999207</v>
      </c>
      <c r="N3196">
        <v>0</v>
      </c>
      <c r="O3196">
        <v>-7.22581099999999E-3</v>
      </c>
      <c r="P3196">
        <v>0.99409789999999998</v>
      </c>
      <c r="Q3196">
        <v>8.6484179999999997E-3</v>
      </c>
      <c r="R3196">
        <v>-0.1081438</v>
      </c>
      <c r="S3196">
        <v>2.9720759999999999</v>
      </c>
      <c r="T3196">
        <v>-0.1069283</v>
      </c>
      <c r="U3196">
        <v>-0.4301758</v>
      </c>
      <c r="V3196">
        <v>0.1009859</v>
      </c>
      <c r="W3196">
        <v>1.8773709999999999E-2</v>
      </c>
      <c r="X3196">
        <v>0.99471069999999995</v>
      </c>
      <c r="Y3196">
        <v>0.1360094</v>
      </c>
      <c r="Z3196">
        <v>-2.1746780000000002E-3</v>
      </c>
      <c r="AA3196">
        <v>0.99070510000000001</v>
      </c>
      <c r="AB3196">
        <v>47</v>
      </c>
      <c r="AC3196">
        <v>30.330499999999901</v>
      </c>
      <c r="AD3196">
        <v>-1.1082048800319999</v>
      </c>
      <c r="AE3196">
        <v>-4.4549000000000003</v>
      </c>
      <c r="AF3196">
        <v>4.2300816666854901</v>
      </c>
      <c r="AG3196">
        <v>-1.1082048800319999</v>
      </c>
      <c r="AH3196">
        <v>30.322274710269099</v>
      </c>
      <c r="AI3196">
        <v>92.073031750279199</v>
      </c>
      <c r="AJ3196">
        <v>82.058258245971302</v>
      </c>
      <c r="AK3196">
        <v>30.635960121530001</v>
      </c>
      <c r="AL3196">
        <v>88.924282444767698</v>
      </c>
      <c r="AM3196">
        <v>84.203028978866996</v>
      </c>
      <c r="AN3196">
        <v>0.99999999044023102</v>
      </c>
    </row>
    <row r="3197" spans="1:40" x14ac:dyDescent="0.25">
      <c r="A3197" t="str">
        <f>"20190312151601795"</f>
        <v>20190312151601795</v>
      </c>
      <c r="B3197" t="str">
        <f>"1552374961790624"</f>
        <v>1552374961790624</v>
      </c>
      <c r="C3197" t="s">
        <v>40</v>
      </c>
      <c r="D3197">
        <v>4.6729609999999999</v>
      </c>
      <c r="E3197">
        <v>0.51311039999999997</v>
      </c>
      <c r="F3197" t="s">
        <v>51</v>
      </c>
      <c r="G3197">
        <v>-275.76600000000002</v>
      </c>
      <c r="H3197" s="1">
        <v>1.7206150000000001E-6</v>
      </c>
      <c r="I3197">
        <v>210.2919</v>
      </c>
      <c r="J3197">
        <v>-306.36939999999998</v>
      </c>
      <c r="K3197">
        <v>1.1082080000000001</v>
      </c>
      <c r="L3197">
        <v>214.80629999999999</v>
      </c>
      <c r="M3197">
        <v>0.99991649999999999</v>
      </c>
      <c r="N3197">
        <v>0</v>
      </c>
      <c r="O3197">
        <v>-7.7200350000000001E-3</v>
      </c>
      <c r="P3197">
        <v>0.99405569999999999</v>
      </c>
      <c r="Q3197">
        <v>8.8545029999999997E-3</v>
      </c>
      <c r="R3197">
        <v>-0.10851230000000001</v>
      </c>
      <c r="S3197">
        <v>2.9717410000000002</v>
      </c>
      <c r="T3197">
        <v>-0.1059409</v>
      </c>
      <c r="U3197">
        <v>-0.43193049999999999</v>
      </c>
      <c r="V3197">
        <v>0.1008633</v>
      </c>
      <c r="W3197">
        <v>1.9016379999999999E-2</v>
      </c>
      <c r="X3197">
        <v>0.99471860000000001</v>
      </c>
      <c r="Y3197">
        <v>0.13611029999999999</v>
      </c>
      <c r="Z3197">
        <v>-2.1390300000000001E-3</v>
      </c>
      <c r="AA3197">
        <v>0.9906914</v>
      </c>
      <c r="AB3197">
        <v>47</v>
      </c>
      <c r="AC3197">
        <v>30.603400000000001</v>
      </c>
      <c r="AD3197">
        <v>-1.108206279385</v>
      </c>
      <c r="AE3197">
        <v>-4.5143999999999904</v>
      </c>
      <c r="AF3197">
        <v>4.2725102257082197</v>
      </c>
      <c r="AG3197">
        <v>-1.108206279385</v>
      </c>
      <c r="AH3197">
        <v>30.598072379001099</v>
      </c>
      <c r="AI3197">
        <v>92.054328713031197</v>
      </c>
      <c r="AJ3197">
        <v>82.050996372509701</v>
      </c>
      <c r="AK3197">
        <v>30.914794162294601</v>
      </c>
      <c r="AL3197">
        <v>88.910376071551894</v>
      </c>
      <c r="AM3197">
        <v>84.210064508471902</v>
      </c>
      <c r="AN3197">
        <v>1.0000000605905699</v>
      </c>
    </row>
    <row r="3198" spans="1:40" x14ac:dyDescent="0.25">
      <c r="A3198" t="str">
        <f>"20190312151601816"</f>
        <v>20190312151601816</v>
      </c>
      <c r="B3198" t="str">
        <f>"1552374961811120"</f>
        <v>1552374961811120</v>
      </c>
      <c r="C3198" t="s">
        <v>40</v>
      </c>
      <c r="D3198">
        <v>4.5869609999999996</v>
      </c>
      <c r="E3198">
        <v>0.51292249999999995</v>
      </c>
      <c r="F3198" t="s">
        <v>51</v>
      </c>
      <c r="G3198">
        <v>-274.94740000000002</v>
      </c>
      <c r="H3198" s="1">
        <v>1.286943E-6</v>
      </c>
      <c r="I3198">
        <v>210.2475</v>
      </c>
      <c r="J3198">
        <v>-305.90159999999997</v>
      </c>
      <c r="K3198">
        <v>1.1082069999999999</v>
      </c>
      <c r="L3198">
        <v>214.80240000000001</v>
      </c>
      <c r="M3198">
        <v>0.99991229999999998</v>
      </c>
      <c r="N3198">
        <v>0</v>
      </c>
      <c r="O3198">
        <v>-8.1990020000000004E-3</v>
      </c>
      <c r="P3198">
        <v>0.99395440000000002</v>
      </c>
      <c r="Q3198">
        <v>8.5149309999999999E-3</v>
      </c>
      <c r="R3198">
        <v>-0.10946350000000001</v>
      </c>
      <c r="S3198">
        <v>2.9717709999999999</v>
      </c>
      <c r="T3198">
        <v>-0.10480979999999999</v>
      </c>
      <c r="U3198">
        <v>-0.43115229999999999</v>
      </c>
      <c r="V3198">
        <v>0.10133830000000001</v>
      </c>
      <c r="W3198">
        <v>1.871316E-2</v>
      </c>
      <c r="X3198">
        <v>0.994676</v>
      </c>
      <c r="Y3198">
        <v>0.13538269999999999</v>
      </c>
      <c r="Z3198">
        <v>-2.0866669999999999E-3</v>
      </c>
      <c r="AA3198">
        <v>0.99079119999999998</v>
      </c>
      <c r="AB3198">
        <v>47</v>
      </c>
      <c r="AC3198">
        <v>30.954199999999901</v>
      </c>
      <c r="AD3198">
        <v>-1.108205713057</v>
      </c>
      <c r="AE3198">
        <v>-4.5548999999999999</v>
      </c>
      <c r="AF3198">
        <v>4.2955504978514396</v>
      </c>
      <c r="AG3198">
        <v>-1.108205713057</v>
      </c>
      <c r="AH3198">
        <v>30.951675760248602</v>
      </c>
      <c r="AI3198">
        <v>92.031113816262902</v>
      </c>
      <c r="AJ3198">
        <v>82.098818462993805</v>
      </c>
      <c r="AK3198">
        <v>31.2679725334024</v>
      </c>
      <c r="AL3198">
        <v>88.927752312474595</v>
      </c>
      <c r="AM3198">
        <v>84.182736836292804</v>
      </c>
      <c r="AN3198">
        <v>0.99999998919003696</v>
      </c>
    </row>
    <row r="3199" spans="1:40" x14ac:dyDescent="0.25">
      <c r="A3199" t="str">
        <f>"20190312151601839"</f>
        <v>20190312151601839</v>
      </c>
      <c r="B3199" t="str">
        <f>"1552374961830640"</f>
        <v>1552374961830640</v>
      </c>
      <c r="C3199" t="s">
        <v>40</v>
      </c>
      <c r="D3199">
        <v>4.653295</v>
      </c>
      <c r="E3199">
        <v>0.51278230000000002</v>
      </c>
      <c r="F3199" t="s">
        <v>51</v>
      </c>
      <c r="G3199">
        <v>-274.98809999999997</v>
      </c>
      <c r="H3199" s="1">
        <v>1.30608E-6</v>
      </c>
      <c r="I3199">
        <v>210.30549999999999</v>
      </c>
      <c r="J3199">
        <v>-305.44029999999998</v>
      </c>
      <c r="K3199">
        <v>1.108214</v>
      </c>
      <c r="L3199">
        <v>214.79830000000001</v>
      </c>
      <c r="M3199">
        <v>0.99990789999999996</v>
      </c>
      <c r="N3199">
        <v>0</v>
      </c>
      <c r="O3199">
        <v>-8.6710480000000006E-3</v>
      </c>
      <c r="P3199">
        <v>0.99383699999999997</v>
      </c>
      <c r="Q3199">
        <v>8.1232159999999904E-3</v>
      </c>
      <c r="R3199">
        <v>-0.1105535</v>
      </c>
      <c r="S3199">
        <v>2.9715880000000001</v>
      </c>
      <c r="T3199">
        <v>-0.1065276</v>
      </c>
      <c r="U3199">
        <v>-0.43226619999999999</v>
      </c>
      <c r="V3199">
        <v>0.1019591</v>
      </c>
      <c r="W3199">
        <v>1.8355590000000001E-2</v>
      </c>
      <c r="X3199">
        <v>0.99461929999999998</v>
      </c>
      <c r="Y3199">
        <v>0.13528509999999999</v>
      </c>
      <c r="Z3199">
        <v>-2.1023550000000002E-3</v>
      </c>
      <c r="AA3199">
        <v>0.99080449999999998</v>
      </c>
      <c r="AB3199">
        <v>47</v>
      </c>
      <c r="AC3199">
        <v>30.452200000000001</v>
      </c>
      <c r="AD3199">
        <v>-1.1082126939200001</v>
      </c>
      <c r="AE3199">
        <v>-4.4928000000000097</v>
      </c>
      <c r="AF3199">
        <v>4.2230904163735197</v>
      </c>
      <c r="AG3199">
        <v>-1.1082126939200001</v>
      </c>
      <c r="AH3199">
        <v>30.4505458175732</v>
      </c>
      <c r="AI3199">
        <v>92.064551363366704</v>
      </c>
      <c r="AJ3199">
        <v>82.104194257838202</v>
      </c>
      <c r="AK3199">
        <v>30.761963016490999</v>
      </c>
      <c r="AL3199">
        <v>88.948243168301403</v>
      </c>
      <c r="AM3199">
        <v>84.147015499646599</v>
      </c>
      <c r="AN3199">
        <v>1.0000000688447701</v>
      </c>
    </row>
    <row r="3200" spans="1:40" x14ac:dyDescent="0.25">
      <c r="A3200" t="str">
        <f>"20190312151601861"</f>
        <v>20190312151601861</v>
      </c>
      <c r="B3200" t="str">
        <f>"1552374961851136"</f>
        <v>1552374961851136</v>
      </c>
      <c r="C3200" t="s">
        <v>40</v>
      </c>
      <c r="D3200">
        <v>4.6897650000000004</v>
      </c>
      <c r="E3200">
        <v>0.51264200000000004</v>
      </c>
      <c r="F3200" t="s">
        <v>51</v>
      </c>
      <c r="G3200">
        <v>-274.70490000000001</v>
      </c>
      <c r="H3200" s="1">
        <v>1.1553819999999999E-6</v>
      </c>
      <c r="I3200">
        <v>210.30500000000001</v>
      </c>
      <c r="J3200">
        <v>-304.97039999999998</v>
      </c>
      <c r="K3200">
        <v>1.108215</v>
      </c>
      <c r="L3200">
        <v>214.79390000000001</v>
      </c>
      <c r="M3200">
        <v>0.9999034</v>
      </c>
      <c r="N3200">
        <v>0</v>
      </c>
      <c r="O3200">
        <v>-9.1517939999999996E-3</v>
      </c>
      <c r="P3200">
        <v>0.99375860000000005</v>
      </c>
      <c r="Q3200">
        <v>8.3932390000000003E-3</v>
      </c>
      <c r="R3200">
        <v>-0.111238</v>
      </c>
      <c r="S3200">
        <v>2.97113</v>
      </c>
      <c r="T3200">
        <v>-0.10712869999999999</v>
      </c>
      <c r="U3200">
        <v>-0.43435669999999998</v>
      </c>
      <c r="V3200">
        <v>0.10216649999999999</v>
      </c>
      <c r="W3200">
        <v>1.8661199999999999E-2</v>
      </c>
      <c r="X3200">
        <v>0.99459219999999904</v>
      </c>
      <c r="Y3200">
        <v>0.135512299999999</v>
      </c>
      <c r="Z3200">
        <v>-2.1012689999999998E-3</v>
      </c>
      <c r="AA3200">
        <v>0.99077340000000003</v>
      </c>
      <c r="AB3200">
        <v>47</v>
      </c>
      <c r="AC3200">
        <v>30.2654999999999</v>
      </c>
      <c r="AD3200">
        <v>-1.1082138446180001</v>
      </c>
      <c r="AE3200">
        <v>-4.4889000000000001</v>
      </c>
      <c r="AF3200">
        <v>4.2061950969264998</v>
      </c>
      <c r="AG3200">
        <v>-1.1082138446180001</v>
      </c>
      <c r="AH3200">
        <v>30.265610609472802</v>
      </c>
      <c r="AI3200">
        <v>92.077076003763494</v>
      </c>
      <c r="AJ3200">
        <v>82.087937747251601</v>
      </c>
      <c r="AK3200">
        <v>30.576582554024</v>
      </c>
      <c r="AL3200">
        <v>88.930729867707896</v>
      </c>
      <c r="AM3200">
        <v>84.135033876420493</v>
      </c>
      <c r="AN3200">
        <v>0.999999939204262</v>
      </c>
    </row>
    <row r="3201" spans="1:40" x14ac:dyDescent="0.25">
      <c r="A3201" t="str">
        <f>"20190312151601885"</f>
        <v>20190312151601885</v>
      </c>
      <c r="B3201" t="str">
        <f>"1552374961881393"</f>
        <v>1552374961881393</v>
      </c>
      <c r="C3201" t="s">
        <v>40</v>
      </c>
      <c r="D3201">
        <v>4.5593909999999997</v>
      </c>
      <c r="E3201">
        <v>0.51241059999999905</v>
      </c>
      <c r="F3201" t="s">
        <v>51</v>
      </c>
      <c r="G3201">
        <v>-273.86</v>
      </c>
      <c r="H3201" s="1">
        <v>7.0879449999999995E-7</v>
      </c>
      <c r="I3201">
        <v>210.2353</v>
      </c>
      <c r="J3201">
        <v>-304.47480000000002</v>
      </c>
      <c r="K3201">
        <v>1.108223</v>
      </c>
      <c r="L3201">
        <v>214.78899999999999</v>
      </c>
      <c r="M3201">
        <v>0.99989799999999995</v>
      </c>
      <c r="N3201">
        <v>0</v>
      </c>
      <c r="O3201">
        <v>-9.6583120000000005E-3</v>
      </c>
      <c r="P3201">
        <v>0.99370740000000002</v>
      </c>
      <c r="Q3201">
        <v>8.4672730000000009E-3</v>
      </c>
      <c r="R3201">
        <v>-0.11168740000000001</v>
      </c>
      <c r="S3201">
        <v>2.9709780000000001</v>
      </c>
      <c r="T3201">
        <v>-0.1058321</v>
      </c>
      <c r="U3201">
        <v>-0.43533329999999998</v>
      </c>
      <c r="V3201">
        <v>0.1021127</v>
      </c>
      <c r="W3201">
        <v>1.8775139999999999E-2</v>
      </c>
      <c r="X3201">
        <v>0.99459560000000002</v>
      </c>
      <c r="Y3201">
        <v>0.13533889999999901</v>
      </c>
      <c r="Z3201">
        <v>-2.0549000000000001E-3</v>
      </c>
      <c r="AA3201">
        <v>0.99079720000000004</v>
      </c>
      <c r="AB3201">
        <v>47</v>
      </c>
      <c r="AC3201">
        <v>30.614799999999999</v>
      </c>
      <c r="AD3201">
        <v>-1.1082222912055</v>
      </c>
      <c r="AE3201">
        <v>-4.5537000000000196</v>
      </c>
      <c r="AF3201">
        <v>4.2523324405552403</v>
      </c>
      <c r="AG3201">
        <v>-1.1082222912055</v>
      </c>
      <c r="AH3201">
        <v>30.618103038443799</v>
      </c>
      <c r="AI3201">
        <v>92.053225816670405</v>
      </c>
      <c r="AJ3201">
        <v>82.093171191157396</v>
      </c>
      <c r="AK3201">
        <v>30.931839930797601</v>
      </c>
      <c r="AL3201">
        <v>88.924200462951603</v>
      </c>
      <c r="AM3201">
        <v>84.138120704215197</v>
      </c>
      <c r="AN3201">
        <v>0.99999995846133305</v>
      </c>
    </row>
    <row r="3202" spans="1:40" x14ac:dyDescent="0.25">
      <c r="A3202" t="str">
        <f>"20190312151601905"</f>
        <v>20190312151601905</v>
      </c>
      <c r="B3202" t="str">
        <f>"1552374961900912"</f>
        <v>1552374961900912</v>
      </c>
      <c r="C3202" t="s">
        <v>40</v>
      </c>
      <c r="D3202">
        <v>4.578684</v>
      </c>
      <c r="E3202">
        <v>0.51225329999999902</v>
      </c>
      <c r="F3202" t="s">
        <v>51</v>
      </c>
      <c r="G3202">
        <v>-273.18290000000002</v>
      </c>
      <c r="H3202" s="1">
        <v>3.4966059999999998E-7</v>
      </c>
      <c r="I3202">
        <v>210.20820000000001</v>
      </c>
      <c r="J3202">
        <v>-304.03719999999998</v>
      </c>
      <c r="K3202">
        <v>1.1082299999999901</v>
      </c>
      <c r="L3202">
        <v>214.78450000000001</v>
      </c>
      <c r="M3202">
        <v>0.99989320000000004</v>
      </c>
      <c r="N3202">
        <v>0</v>
      </c>
      <c r="O3202">
        <v>-1.010546E-2</v>
      </c>
      <c r="P3202">
        <v>0.9936817</v>
      </c>
      <c r="Q3202">
        <v>8.553237E-3</v>
      </c>
      <c r="R3202">
        <v>-0.1119083</v>
      </c>
      <c r="S3202">
        <v>2.9710079999999999</v>
      </c>
      <c r="T3202">
        <v>-0.10521999999999999</v>
      </c>
      <c r="U3202">
        <v>-0.43492130000000001</v>
      </c>
      <c r="V3202">
        <v>0.1018892</v>
      </c>
      <c r="W3202">
        <v>1.8901479999999998E-2</v>
      </c>
      <c r="X3202">
        <v>0.99461619999999995</v>
      </c>
      <c r="Y3202">
        <v>0.1347614</v>
      </c>
      <c r="Z3202">
        <v>-2.0171099999999999E-3</v>
      </c>
      <c r="AA3202">
        <v>0.99087599999999998</v>
      </c>
      <c r="AB3202">
        <v>47</v>
      </c>
      <c r="AC3202">
        <v>30.854299999999899</v>
      </c>
      <c r="AD3202">
        <v>-1.10822965033939</v>
      </c>
      <c r="AE3202">
        <v>-4.5762999999999998</v>
      </c>
      <c r="AF3202">
        <v>4.2588758605833004</v>
      </c>
      <c r="AG3202">
        <v>-1.10822965033939</v>
      </c>
      <c r="AH3202">
        <v>30.860016590779399</v>
      </c>
      <c r="AI3202">
        <v>92.037399997288802</v>
      </c>
      <c r="AJ3202">
        <v>82.142456399414797</v>
      </c>
      <c r="AK3202">
        <v>31.172212313804899</v>
      </c>
      <c r="AL3202">
        <v>88.916960506734299</v>
      </c>
      <c r="AM3202">
        <v>84.150982191841507</v>
      </c>
      <c r="AN3202">
        <v>1.0000000301626299</v>
      </c>
    </row>
    <row r="3203" spans="1:40" x14ac:dyDescent="0.25">
      <c r="A3203" t="str">
        <f>"20190312151601928"</f>
        <v>20190312151601928</v>
      </c>
      <c r="B3203" t="str">
        <f>"1552374961921416"</f>
        <v>1552374961921416</v>
      </c>
      <c r="C3203" t="s">
        <v>40</v>
      </c>
      <c r="D3203">
        <v>4.5336069999999999</v>
      </c>
      <c r="E3203">
        <v>0.51211629999999997</v>
      </c>
      <c r="F3203" t="s">
        <v>51</v>
      </c>
      <c r="G3203">
        <v>-272.84640000000002</v>
      </c>
      <c r="H3203" s="1">
        <v>1.69907799999999E-7</v>
      </c>
      <c r="I3203">
        <v>210.22380000000001</v>
      </c>
      <c r="J3203">
        <v>-303.55840000000001</v>
      </c>
      <c r="K3203">
        <v>1.108233</v>
      </c>
      <c r="L3203">
        <v>214.77930000000001</v>
      </c>
      <c r="M3203">
        <v>0.99988759999999999</v>
      </c>
      <c r="N3203">
        <v>0</v>
      </c>
      <c r="O3203">
        <v>-1.059499E-2</v>
      </c>
      <c r="P3203">
        <v>0.99366160000000003</v>
      </c>
      <c r="Q3203">
        <v>8.8346759999999996E-3</v>
      </c>
      <c r="R3203">
        <v>-0.1120649</v>
      </c>
      <c r="S3203">
        <v>2.9710079999999999</v>
      </c>
      <c r="T3203">
        <v>-0.10556169999999999</v>
      </c>
      <c r="U3203">
        <v>-0.43441770000000002</v>
      </c>
      <c r="V3203">
        <v>0.1015595</v>
      </c>
      <c r="W3203">
        <v>1.9233299999999998E-2</v>
      </c>
      <c r="X3203">
        <v>0.99464350000000001</v>
      </c>
      <c r="Y3203">
        <v>0.13411199999999901</v>
      </c>
      <c r="Z3203">
        <v>-1.9949210000000002E-3</v>
      </c>
      <c r="AA3203">
        <v>0.99096419999999996</v>
      </c>
      <c r="AB3203">
        <v>47</v>
      </c>
      <c r="AC3203">
        <v>30.7119999999999</v>
      </c>
      <c r="AD3203">
        <v>-1.1082328300922</v>
      </c>
      <c r="AE3203">
        <v>-4.5554999999999897</v>
      </c>
      <c r="AF3203">
        <v>4.2244503777191502</v>
      </c>
      <c r="AG3203">
        <v>-1.1082328300922</v>
      </c>
      <c r="AH3203">
        <v>30.719405424824501</v>
      </c>
      <c r="AI3203">
        <v>92.046858877661904</v>
      </c>
      <c r="AJ3203">
        <v>82.1699494117873</v>
      </c>
      <c r="AK3203">
        <v>31.028310148221799</v>
      </c>
      <c r="AL3203">
        <v>88.897945100560904</v>
      </c>
      <c r="AM3203">
        <v>84.169937172830601</v>
      </c>
      <c r="AN3203">
        <v>0.99999997198069401</v>
      </c>
    </row>
    <row r="3204" spans="1:40" x14ac:dyDescent="0.25">
      <c r="A3204" t="str">
        <f>"20190312151601951"</f>
        <v>20190312151601951</v>
      </c>
      <c r="B3204" t="str">
        <f>"1552374961940928"</f>
        <v>1552374961940928</v>
      </c>
      <c r="C3204" t="s">
        <v>40</v>
      </c>
      <c r="D3204">
        <v>4.4699989999999996</v>
      </c>
      <c r="E3204">
        <v>0.48526390000000003</v>
      </c>
      <c r="F3204" t="s">
        <v>51</v>
      </c>
      <c r="G3204">
        <v>-272.12349999999998</v>
      </c>
      <c r="H3204" s="1">
        <v>-2.133255E-7</v>
      </c>
      <c r="I3204">
        <v>210.19130000000001</v>
      </c>
      <c r="J3204">
        <v>-303.07470000000001</v>
      </c>
      <c r="K3204">
        <v>1.1082399999999999</v>
      </c>
      <c r="L3204">
        <v>214.7739</v>
      </c>
      <c r="M3204">
        <v>0.99988169999999998</v>
      </c>
      <c r="N3204">
        <v>0</v>
      </c>
      <c r="O3204">
        <v>-1.108874E-2</v>
      </c>
      <c r="P3204">
        <v>0.99363570000000001</v>
      </c>
      <c r="Q3204">
        <v>8.5072009999999903E-3</v>
      </c>
      <c r="R3204">
        <v>-0.1123202</v>
      </c>
      <c r="S3204">
        <v>2.9711910000000001</v>
      </c>
      <c r="T3204">
        <v>-0.1047491</v>
      </c>
      <c r="U3204">
        <v>-0.43365480000000001</v>
      </c>
      <c r="V3204">
        <v>0.1013236</v>
      </c>
      <c r="W3204">
        <v>1.8962030000000001E-2</v>
      </c>
      <c r="X3204">
        <v>0.99467280000000002</v>
      </c>
      <c r="Y3204">
        <v>0.1333667</v>
      </c>
      <c r="Z3204">
        <v>-1.9491199999999999E-3</v>
      </c>
      <c r="AA3204">
        <v>0.99106479999999997</v>
      </c>
      <c r="AB3204">
        <v>47</v>
      </c>
      <c r="AC3204">
        <v>30.9512</v>
      </c>
      <c r="AD3204">
        <v>-1.1082402133254901</v>
      </c>
      <c r="AE3204">
        <v>-4.5825999999999798</v>
      </c>
      <c r="AF3204">
        <v>4.2337773356351498</v>
      </c>
      <c r="AG3204">
        <v>-1.1082402133254901</v>
      </c>
      <c r="AH3204">
        <v>30.9612718697161</v>
      </c>
      <c r="AI3204">
        <v>92.031107122963704</v>
      </c>
      <c r="AJ3204">
        <v>82.213423021568801</v>
      </c>
      <c r="AK3204">
        <v>31.269048957213901</v>
      </c>
      <c r="AL3204">
        <v>88.913490597928202</v>
      </c>
      <c r="AM3204">
        <v>84.183556310913801</v>
      </c>
      <c r="AN3204">
        <v>1.0000000047792601</v>
      </c>
    </row>
    <row r="3205" spans="1:40" x14ac:dyDescent="0.25">
      <c r="A3205" t="str">
        <f>"20190312151601975"</f>
        <v>20190312151601975</v>
      </c>
      <c r="B3205" t="str">
        <f>"1552374961971184"</f>
        <v>1552374961971184</v>
      </c>
      <c r="C3205" t="s">
        <v>40</v>
      </c>
      <c r="D3205">
        <v>4.451314</v>
      </c>
      <c r="E3205">
        <v>0.48485840000000002</v>
      </c>
      <c r="F3205" t="s">
        <v>51</v>
      </c>
      <c r="G3205">
        <v>-268.7987</v>
      </c>
      <c r="H3205" s="1">
        <v>3.2493509999999999E-6</v>
      </c>
      <c r="I3205">
        <v>212.2397</v>
      </c>
      <c r="J3205">
        <v>-302.59769999999997</v>
      </c>
      <c r="K3205">
        <v>1.1082510000000001</v>
      </c>
      <c r="L3205">
        <v>214.76820000000001</v>
      </c>
      <c r="M3205">
        <v>0.99987550000000003</v>
      </c>
      <c r="N3205">
        <v>0</v>
      </c>
      <c r="O3205">
        <v>-1.157541E-2</v>
      </c>
      <c r="P3205">
        <v>0.99358360000000001</v>
      </c>
      <c r="Q3205">
        <v>8.2607400000000008E-3</v>
      </c>
      <c r="R3205">
        <v>-0.1128002</v>
      </c>
      <c r="S3205">
        <v>2.9950559999999999</v>
      </c>
      <c r="T3205">
        <v>-9.6838469999999996E-2</v>
      </c>
      <c r="U3205">
        <v>-0.22143550000000001</v>
      </c>
      <c r="V3205">
        <v>0.10131950000000001</v>
      </c>
      <c r="W3205">
        <v>1.8781809999999999E-2</v>
      </c>
      <c r="X3205">
        <v>0.99467660000000002</v>
      </c>
      <c r="Y3205">
        <v>6.2156660000000002E-2</v>
      </c>
      <c r="Z3205">
        <v>-6.2958519999999996E-4</v>
      </c>
      <c r="AA3205">
        <v>0.99806620000000001</v>
      </c>
      <c r="AB3205">
        <v>47</v>
      </c>
      <c r="AC3205">
        <v>33.7989999999999</v>
      </c>
      <c r="AD3205">
        <v>-1.1082477506490001</v>
      </c>
      <c r="AE3205">
        <v>-2.5285000000000002</v>
      </c>
      <c r="AF3205">
        <v>2.1347883702937001</v>
      </c>
      <c r="AG3205">
        <v>-1.1082477506490001</v>
      </c>
      <c r="AH3205">
        <v>33.789878655698402</v>
      </c>
      <c r="AI3205">
        <v>91.874790760244807</v>
      </c>
      <c r="AJ3205">
        <v>86.384952597930095</v>
      </c>
      <c r="AK3205">
        <v>33.875380942944197</v>
      </c>
      <c r="AL3205">
        <v>88.923818242983202</v>
      </c>
      <c r="AM3205">
        <v>84.1838121238752</v>
      </c>
      <c r="AN3205">
        <v>0.99999996802734203</v>
      </c>
    </row>
    <row r="3206" spans="1:40" x14ac:dyDescent="0.25">
      <c r="A3206" t="str">
        <f>"20190312151601997"</f>
        <v>20190312151601997</v>
      </c>
      <c r="B3206" t="str">
        <f>"1552374961990704"</f>
        <v>1552374961990704</v>
      </c>
      <c r="C3206" t="s">
        <v>40</v>
      </c>
      <c r="D3206">
        <v>4.4974049999999997</v>
      </c>
      <c r="E3206">
        <v>0.48502109999999898</v>
      </c>
      <c r="F3206" t="s">
        <v>51</v>
      </c>
      <c r="G3206">
        <v>-267.57190000000003</v>
      </c>
      <c r="H3206" s="1">
        <v>2.5981970000000001E-6</v>
      </c>
      <c r="I3206">
        <v>212.20089999999999</v>
      </c>
      <c r="J3206">
        <v>-302.10539999999997</v>
      </c>
      <c r="K3206">
        <v>1.108266</v>
      </c>
      <c r="L3206">
        <v>214.76220000000001</v>
      </c>
      <c r="M3206">
        <v>0.99986850000000005</v>
      </c>
      <c r="N3206">
        <v>0</v>
      </c>
      <c r="O3206">
        <v>-1.2076730000000001E-2</v>
      </c>
      <c r="P3206">
        <v>0.9934558</v>
      </c>
      <c r="Q3206">
        <v>8.6549839999999992E-3</v>
      </c>
      <c r="R3206">
        <v>-0.1138888</v>
      </c>
      <c r="S3206">
        <v>2.995209</v>
      </c>
      <c r="T3206">
        <v>-9.4771389999999997E-2</v>
      </c>
      <c r="U3206">
        <v>-0.2195435</v>
      </c>
      <c r="V3206">
        <v>0.1019119</v>
      </c>
      <c r="W3206">
        <v>1.9258089999999999E-2</v>
      </c>
      <c r="X3206">
        <v>0.99460700000000002</v>
      </c>
      <c r="Y3206">
        <v>6.1027280000000003E-2</v>
      </c>
      <c r="Z3206">
        <v>-5.8246229999999995E-4</v>
      </c>
      <c r="AA3206">
        <v>0.99813589999999996</v>
      </c>
      <c r="AB3206">
        <v>47</v>
      </c>
      <c r="AC3206">
        <v>34.533499999999897</v>
      </c>
      <c r="AD3206">
        <v>-1.108263401803</v>
      </c>
      <c r="AE3206">
        <v>-2.5613000000000099</v>
      </c>
      <c r="AF3206">
        <v>2.14184314319614</v>
      </c>
      <c r="AG3206">
        <v>-1.108263401803</v>
      </c>
      <c r="AH3206">
        <v>34.526550094769</v>
      </c>
      <c r="AI3206">
        <v>91.834973833710393</v>
      </c>
      <c r="AJ3206">
        <v>86.450224093524795</v>
      </c>
      <c r="AK3206">
        <v>34.610668893629096</v>
      </c>
      <c r="AL3206">
        <v>88.8965245025489</v>
      </c>
      <c r="AM3206">
        <v>84.149634381277806</v>
      </c>
      <c r="AN3206">
        <v>0.99999999692052899</v>
      </c>
    </row>
    <row r="3207" spans="1:40" x14ac:dyDescent="0.25">
      <c r="A3207" t="str">
        <f>"20190312151602019"</f>
        <v>20190312151602019</v>
      </c>
      <c r="B3207" t="str">
        <f>"1552374962011200"</f>
        <v>1552374962011200</v>
      </c>
      <c r="C3207" t="s">
        <v>40</v>
      </c>
      <c r="D3207">
        <v>4.4248149999999997</v>
      </c>
      <c r="E3207">
        <v>0.48505880000000001</v>
      </c>
      <c r="F3207" t="s">
        <v>51</v>
      </c>
      <c r="G3207">
        <v>-267.50069999999999</v>
      </c>
      <c r="H3207" s="1">
        <v>2.5616370000000001E-6</v>
      </c>
      <c r="I3207">
        <v>212.16970000000001</v>
      </c>
      <c r="J3207">
        <v>-301.65069999999997</v>
      </c>
      <c r="K3207">
        <v>1.1082799999999999</v>
      </c>
      <c r="L3207">
        <v>214.75640000000001</v>
      </c>
      <c r="M3207">
        <v>0.99986209999999998</v>
      </c>
      <c r="N3207">
        <v>0</v>
      </c>
      <c r="O3207">
        <v>-1.253921E-2</v>
      </c>
      <c r="P3207">
        <v>0.99330370000000001</v>
      </c>
      <c r="Q3207">
        <v>9.0598020000000005E-3</v>
      </c>
      <c r="R3207">
        <v>-0.1151788</v>
      </c>
      <c r="S3207">
        <v>2.9948730000000001</v>
      </c>
      <c r="T3207">
        <v>-9.5914959999999994E-2</v>
      </c>
      <c r="U3207">
        <v>-0.22436519999999999</v>
      </c>
      <c r="V3207">
        <v>0.10274419999999999</v>
      </c>
      <c r="W3207">
        <v>1.9746280000000001E-2</v>
      </c>
      <c r="X3207">
        <v>0.99451179999999995</v>
      </c>
      <c r="Y3207">
        <v>6.217102E-2</v>
      </c>
      <c r="Z3207">
        <v>-5.9301980000000002E-4</v>
      </c>
      <c r="AA3207">
        <v>0.99806539999999999</v>
      </c>
      <c r="AB3207">
        <v>47</v>
      </c>
      <c r="AC3207">
        <v>34.149999999999899</v>
      </c>
      <c r="AD3207">
        <v>-1.1082774383630001</v>
      </c>
      <c r="AE3207">
        <v>-2.5867</v>
      </c>
      <c r="AF3207">
        <v>2.1559994365116402</v>
      </c>
      <c r="AG3207">
        <v>-1.1082774383630001</v>
      </c>
      <c r="AH3207">
        <v>34.143996235812097</v>
      </c>
      <c r="AI3207">
        <v>91.855414040976896</v>
      </c>
      <c r="AJ3207">
        <v>86.386893913375502</v>
      </c>
      <c r="AK3207">
        <v>34.229944367494603</v>
      </c>
      <c r="AL3207">
        <v>88.868547962033702</v>
      </c>
      <c r="AM3207">
        <v>84.101630130910394</v>
      </c>
      <c r="AN3207">
        <v>1.00000000327335</v>
      </c>
    </row>
    <row r="3208" spans="1:40" x14ac:dyDescent="0.25">
      <c r="A3208" t="str">
        <f>"20190312151602041"</f>
        <v>20190312151602041</v>
      </c>
      <c r="B3208" t="str">
        <f>"1552374962030720"</f>
        <v>1552374962030720</v>
      </c>
      <c r="C3208" t="s">
        <v>40</v>
      </c>
      <c r="D3208">
        <v>4.4455179999999999</v>
      </c>
      <c r="E3208">
        <v>0.4849637</v>
      </c>
      <c r="F3208" t="s">
        <v>51</v>
      </c>
      <c r="G3208">
        <v>-266.03800000000001</v>
      </c>
      <c r="H3208" s="1">
        <v>1.788979E-6</v>
      </c>
      <c r="I3208">
        <v>212.0393</v>
      </c>
      <c r="J3208">
        <v>-301.17419999999998</v>
      </c>
      <c r="K3208">
        <v>1.1082909999999999</v>
      </c>
      <c r="L3208">
        <v>214.75</v>
      </c>
      <c r="M3208">
        <v>0.99985480000000004</v>
      </c>
      <c r="N3208">
        <v>0</v>
      </c>
      <c r="O3208">
        <v>-1.3023089999999999E-2</v>
      </c>
      <c r="P3208">
        <v>0.99312829999999996</v>
      </c>
      <c r="Q3208">
        <v>9.2678139999999992E-3</v>
      </c>
      <c r="R3208">
        <v>-0.1166639</v>
      </c>
      <c r="S3208">
        <v>2.9945979999999999</v>
      </c>
      <c r="T3208">
        <v>-9.3192819999999996E-2</v>
      </c>
      <c r="U3208">
        <v>-0.2284698</v>
      </c>
      <c r="V3208">
        <v>0.1037508</v>
      </c>
      <c r="W3208">
        <v>2.0047579999999999E-2</v>
      </c>
      <c r="X3208">
        <v>0.99440130000000004</v>
      </c>
      <c r="Y3208">
        <v>6.305624E-2</v>
      </c>
      <c r="Z3208">
        <v>-5.7494209999999998E-4</v>
      </c>
      <c r="AA3208">
        <v>0.99800979999999995</v>
      </c>
      <c r="AB3208">
        <v>47</v>
      </c>
      <c r="AC3208">
        <v>35.136199999999903</v>
      </c>
      <c r="AD3208">
        <v>-1.1082892110210001</v>
      </c>
      <c r="AE3208">
        <v>-2.7107000000000001</v>
      </c>
      <c r="AF3208">
        <v>2.2506345674838202</v>
      </c>
      <c r="AG3208">
        <v>-1.1082892110210001</v>
      </c>
      <c r="AH3208">
        <v>35.133774616426102</v>
      </c>
      <c r="AI3208">
        <v>91.803093602869794</v>
      </c>
      <c r="AJ3208">
        <v>86.334697614672805</v>
      </c>
      <c r="AK3208">
        <v>35.223227843703498</v>
      </c>
      <c r="AL3208">
        <v>88.8512813673468</v>
      </c>
      <c r="AM3208">
        <v>84.043599250465803</v>
      </c>
      <c r="AN3208">
        <v>1.0000000397030899</v>
      </c>
    </row>
    <row r="3209" spans="1:40" x14ac:dyDescent="0.25">
      <c r="A3209" t="str">
        <f>"20190312151602063"</f>
        <v>20190312151602063</v>
      </c>
      <c r="B3209" t="str">
        <f>"1552374962060976"</f>
        <v>1552374962060976</v>
      </c>
      <c r="C3209" t="s">
        <v>40</v>
      </c>
      <c r="D3209">
        <v>5.4360549999999996</v>
      </c>
      <c r="E3209">
        <v>0.4849367</v>
      </c>
      <c r="F3209" t="s">
        <v>51</v>
      </c>
      <c r="G3209">
        <v>-265.18310000000002</v>
      </c>
      <c r="H3209" s="1">
        <v>1.337556E-6</v>
      </c>
      <c r="I3209">
        <v>211.95939999999999</v>
      </c>
      <c r="J3209">
        <v>-300.69760000000002</v>
      </c>
      <c r="K3209">
        <v>1.1083050000000001</v>
      </c>
      <c r="L3209">
        <v>214.74350000000001</v>
      </c>
      <c r="M3209">
        <v>0.99984729999999999</v>
      </c>
      <c r="N3209">
        <v>0</v>
      </c>
      <c r="O3209">
        <v>-1.3507150000000001E-2</v>
      </c>
      <c r="P3209">
        <v>0.99301099999999998</v>
      </c>
      <c r="Q3209">
        <v>9.5130930000000002E-3</v>
      </c>
      <c r="R3209">
        <v>-0.1176403</v>
      </c>
      <c r="S3209">
        <v>2.994354</v>
      </c>
      <c r="T3209">
        <v>-9.22066E-2</v>
      </c>
      <c r="U3209">
        <v>-0.23217769999999999</v>
      </c>
      <c r="V3209">
        <v>0.1042476</v>
      </c>
      <c r="W3209">
        <v>2.03956E-2</v>
      </c>
      <c r="X3209">
        <v>0.99434219999999895</v>
      </c>
      <c r="Y3209">
        <v>6.3808149999999994E-2</v>
      </c>
      <c r="Z3209">
        <v>-5.6556110000000005E-4</v>
      </c>
      <c r="AA3209">
        <v>0.99796200000000002</v>
      </c>
      <c r="AB3209">
        <v>47</v>
      </c>
      <c r="AC3209">
        <v>35.514499999999998</v>
      </c>
      <c r="AD3209">
        <v>-1.1083036624439999</v>
      </c>
      <c r="AE3209">
        <v>-2.78410000000002</v>
      </c>
      <c r="AF3209">
        <v>2.3018887460139998</v>
      </c>
      <c r="AG3209">
        <v>-1.1083036624439999</v>
      </c>
      <c r="AH3209">
        <v>35.514491682846</v>
      </c>
      <c r="AI3209">
        <v>91.783713617755694</v>
      </c>
      <c r="AJ3209">
        <v>86.291534017511495</v>
      </c>
      <c r="AK3209">
        <v>35.606265576414401</v>
      </c>
      <c r="AL3209">
        <v>88.831337139031305</v>
      </c>
      <c r="AM3209">
        <v>84.014931028303295</v>
      </c>
      <c r="AN3209">
        <v>0.99999997665297902</v>
      </c>
    </row>
    <row r="3210" spans="1:40" x14ac:dyDescent="0.25">
      <c r="A3210" t="str">
        <f>"20190312151602086"</f>
        <v>20190312151602086</v>
      </c>
      <c r="B3210" t="str">
        <f>"1552374962080497"</f>
        <v>1552374962080497</v>
      </c>
      <c r="C3210" t="s">
        <v>40</v>
      </c>
      <c r="D3210">
        <v>4.4439289999999998</v>
      </c>
      <c r="E3210">
        <v>0.48480129999999999</v>
      </c>
      <c r="F3210" t="s">
        <v>51</v>
      </c>
      <c r="G3210">
        <v>-264.02010000000001</v>
      </c>
      <c r="H3210" s="1">
        <v>7.2288880000000002E-7</v>
      </c>
      <c r="I3210">
        <v>211.86269999999999</v>
      </c>
      <c r="J3210">
        <v>-300.22899999999998</v>
      </c>
      <c r="K3210">
        <v>1.1083229999999999</v>
      </c>
      <c r="L3210">
        <v>214.73679999999999</v>
      </c>
      <c r="M3210">
        <v>0.99983940000000004</v>
      </c>
      <c r="N3210">
        <v>0</v>
      </c>
      <c r="O3210">
        <v>-1.3983010000000001E-2</v>
      </c>
      <c r="P3210">
        <v>0.99292389999999997</v>
      </c>
      <c r="Q3210">
        <v>9.5870969999999993E-3</v>
      </c>
      <c r="R3210">
        <v>-0.11836480000000001</v>
      </c>
      <c r="S3210">
        <v>2.99411</v>
      </c>
      <c r="T3210">
        <v>-9.0474719999999995E-2</v>
      </c>
      <c r="U3210">
        <v>-0.2351685</v>
      </c>
      <c r="V3210">
        <v>0.1045003</v>
      </c>
      <c r="W3210">
        <v>2.0576279999999999E-2</v>
      </c>
      <c r="X3210">
        <v>0.99431199999999997</v>
      </c>
      <c r="Y3210">
        <v>6.4331089999999994E-2</v>
      </c>
      <c r="Z3210">
        <v>-5.485043E-4</v>
      </c>
      <c r="AA3210">
        <v>0.99792840000000005</v>
      </c>
      <c r="AB3210">
        <v>47</v>
      </c>
      <c r="AC3210">
        <v>36.2089</v>
      </c>
      <c r="AD3210">
        <v>-1.1083222771112</v>
      </c>
      <c r="AE3210">
        <v>-2.8740999999999901</v>
      </c>
      <c r="AF3210">
        <v>2.3652755560171301</v>
      </c>
      <c r="AG3210">
        <v>-1.1083222771112</v>
      </c>
      <c r="AH3210">
        <v>36.211835521287803</v>
      </c>
      <c r="AI3210">
        <v>91.749358049552498</v>
      </c>
      <c r="AJ3210">
        <v>86.262877362176098</v>
      </c>
      <c r="AK3210">
        <v>36.305921535565403</v>
      </c>
      <c r="AL3210">
        <v>88.820982820997898</v>
      </c>
      <c r="AM3210">
        <v>84.000347798619103</v>
      </c>
      <c r="AN3210">
        <v>1.0000000246713601</v>
      </c>
    </row>
    <row r="3211" spans="1:40" x14ac:dyDescent="0.25">
      <c r="A3211" t="str">
        <f>"20190312151602108"</f>
        <v>20190312151602108</v>
      </c>
      <c r="B3211" t="str">
        <f>"1552374962100992"</f>
        <v>1552374962100992</v>
      </c>
      <c r="C3211" t="s">
        <v>40</v>
      </c>
      <c r="D3211">
        <v>4.4175620000000002</v>
      </c>
      <c r="E3211">
        <v>0.48482449999999999</v>
      </c>
      <c r="F3211" t="s">
        <v>51</v>
      </c>
      <c r="G3211">
        <v>-262.94670000000002</v>
      </c>
      <c r="H3211" s="1">
        <v>1.54478399999999E-7</v>
      </c>
      <c r="I3211">
        <v>211.79830000000001</v>
      </c>
      <c r="J3211">
        <v>-299.76889999999997</v>
      </c>
      <c r="K3211">
        <v>1.108333</v>
      </c>
      <c r="L3211">
        <v>214.73</v>
      </c>
      <c r="M3211">
        <v>0.99983160000000004</v>
      </c>
      <c r="N3211">
        <v>0</v>
      </c>
      <c r="O3211">
        <v>-1.445039E-2</v>
      </c>
      <c r="P3211">
        <v>0.992865</v>
      </c>
      <c r="Q3211">
        <v>9.6965230000000003E-3</v>
      </c>
      <c r="R3211">
        <v>-0.1188501</v>
      </c>
      <c r="S3211">
        <v>2.9941409999999999</v>
      </c>
      <c r="T3211">
        <v>-8.9009399999999905E-2</v>
      </c>
      <c r="U3211">
        <v>-0.23599239999999999</v>
      </c>
      <c r="V3211">
        <v>0.1045218</v>
      </c>
      <c r="W3211">
        <v>2.079129E-2</v>
      </c>
      <c r="X3211">
        <v>0.99430529999999995</v>
      </c>
      <c r="Y3211">
        <v>6.4137749999999993E-2</v>
      </c>
      <c r="Z3211">
        <v>-5.2287860000000005E-4</v>
      </c>
      <c r="AA3211">
        <v>0.99794090000000002</v>
      </c>
      <c r="AB3211">
        <v>47</v>
      </c>
      <c r="AC3211">
        <v>36.822199999999903</v>
      </c>
      <c r="AD3211">
        <v>-1.1083328455215999</v>
      </c>
      <c r="AE3211">
        <v>-2.93169999999997</v>
      </c>
      <c r="AF3211">
        <v>2.3971065959964402</v>
      </c>
      <c r="AG3211">
        <v>-1.1083328455215999</v>
      </c>
      <c r="AH3211">
        <v>36.827566686323799</v>
      </c>
      <c r="AI3211">
        <v>91.720169539243003</v>
      </c>
      <c r="AJ3211">
        <v>86.275870697294394</v>
      </c>
      <c r="AK3211">
        <v>36.922136852634303</v>
      </c>
      <c r="AL3211">
        <v>88.808661058226704</v>
      </c>
      <c r="AM3211">
        <v>83.999082289099505</v>
      </c>
      <c r="AN3211">
        <v>1.0000000570115899</v>
      </c>
    </row>
    <row r="3212" spans="1:40" x14ac:dyDescent="0.25">
      <c r="A3212" t="str">
        <f>"20190312151602130"</f>
        <v>20190312151602130</v>
      </c>
      <c r="B3212" t="str">
        <f>"1552374962120513"</f>
        <v>1552374962120513</v>
      </c>
      <c r="C3212" t="s">
        <v>40</v>
      </c>
      <c r="D3212">
        <v>5.4329739999999997</v>
      </c>
      <c r="E3212">
        <v>0.48489189999999999</v>
      </c>
      <c r="F3212" t="s">
        <v>51</v>
      </c>
      <c r="G3212">
        <v>-262.38959999999997</v>
      </c>
      <c r="H3212" s="1">
        <v>-1.4048519999999999E-7</v>
      </c>
      <c r="I3212">
        <v>211.7645</v>
      </c>
      <c r="J3212">
        <v>-299.30919999999998</v>
      </c>
      <c r="K3212">
        <v>1.108341</v>
      </c>
      <c r="L3212">
        <v>214.72309999999999</v>
      </c>
      <c r="M3212">
        <v>0.99982360000000003</v>
      </c>
      <c r="N3212">
        <v>0</v>
      </c>
      <c r="O3212">
        <v>-1.4917140000000001E-2</v>
      </c>
      <c r="P3212">
        <v>0.99282649999999995</v>
      </c>
      <c r="Q3212">
        <v>9.697921E-3</v>
      </c>
      <c r="R3212">
        <v>-0.11917129999999999</v>
      </c>
      <c r="S3212">
        <v>2.9939879999999999</v>
      </c>
      <c r="T3212">
        <v>-8.8774800000000001E-2</v>
      </c>
      <c r="U3212">
        <v>-0.23753360000000001</v>
      </c>
      <c r="V3212">
        <v>0.104379399999999</v>
      </c>
      <c r="W3212">
        <v>2.0894260000000001E-2</v>
      </c>
      <c r="X3212">
        <v>0.99431809999999998</v>
      </c>
      <c r="Y3212">
        <v>6.4186629999999995E-2</v>
      </c>
      <c r="Z3212">
        <v>-5.0842949999999997E-4</v>
      </c>
      <c r="AA3212">
        <v>0.99793779999999999</v>
      </c>
      <c r="AB3212">
        <v>47</v>
      </c>
      <c r="AC3212">
        <v>36.919600000000003</v>
      </c>
      <c r="AD3212">
        <v>-1.1083411404851999</v>
      </c>
      <c r="AE3212">
        <v>-2.9585999999999899</v>
      </c>
      <c r="AF3212">
        <v>2.4053461274792798</v>
      </c>
      <c r="AG3212">
        <v>-1.1083411404851999</v>
      </c>
      <c r="AH3212">
        <v>36.926561498167104</v>
      </c>
      <c r="AI3212">
        <v>91.715568196076504</v>
      </c>
      <c r="AJ3212">
        <v>86.273095827686006</v>
      </c>
      <c r="AK3212">
        <v>37.021413454304898</v>
      </c>
      <c r="AL3212">
        <v>88.802760029765693</v>
      </c>
      <c r="AM3212">
        <v>84.007274958517201</v>
      </c>
      <c r="AN3212">
        <v>1.00000005661645</v>
      </c>
    </row>
    <row r="3213" spans="1:40" x14ac:dyDescent="0.25">
      <c r="A3213" t="str">
        <f>"20190312151602152"</f>
        <v>20190312151602152</v>
      </c>
      <c r="B3213" t="str">
        <f>"1552374962141009"</f>
        <v>1552374962141009</v>
      </c>
      <c r="C3213" t="s">
        <v>40</v>
      </c>
      <c r="D3213">
        <v>4.4351399999999996</v>
      </c>
      <c r="E3213">
        <v>0.48401159999999999</v>
      </c>
      <c r="F3213" t="s">
        <v>51</v>
      </c>
      <c r="G3213">
        <v>-261.8963</v>
      </c>
      <c r="H3213" s="1">
        <v>-4.0179699999999998E-7</v>
      </c>
      <c r="I3213">
        <v>211.73660000000001</v>
      </c>
      <c r="J3213">
        <v>-298.83249999999998</v>
      </c>
      <c r="K3213">
        <v>1.1083510000000001</v>
      </c>
      <c r="L3213">
        <v>214.71559999999999</v>
      </c>
      <c r="M3213">
        <v>0.99981509999999996</v>
      </c>
      <c r="N3213">
        <v>0</v>
      </c>
      <c r="O3213">
        <v>-1.5401379999999999E-2</v>
      </c>
      <c r="P3213">
        <v>0.9928226</v>
      </c>
      <c r="Q3213">
        <v>9.918039E-3</v>
      </c>
      <c r="R3213">
        <v>-0.11918430000000001</v>
      </c>
      <c r="S3213">
        <v>2.9938349999999998</v>
      </c>
      <c r="T3213">
        <v>-8.8690999999999895E-2</v>
      </c>
      <c r="U3213">
        <v>-0.23898320000000001</v>
      </c>
      <c r="V3213">
        <v>0.1039115</v>
      </c>
      <c r="W3213">
        <v>2.1212720000000001E-2</v>
      </c>
      <c r="X3213">
        <v>0.99436029999999997</v>
      </c>
      <c r="Y3213">
        <v>6.4187709999999995E-2</v>
      </c>
      <c r="Z3213">
        <v>-4.9366669999999896E-4</v>
      </c>
      <c r="AA3213">
        <v>0.99793770000000004</v>
      </c>
      <c r="AB3213">
        <v>47</v>
      </c>
      <c r="AC3213">
        <v>36.9361999999999</v>
      </c>
      <c r="AD3213">
        <v>-1.108351401797</v>
      </c>
      <c r="AE3213">
        <v>-2.9789999999999801</v>
      </c>
      <c r="AF3213">
        <v>2.4075866022667198</v>
      </c>
      <c r="AG3213">
        <v>-1.108351401797</v>
      </c>
      <c r="AH3213">
        <v>36.944651108695197</v>
      </c>
      <c r="AI3213">
        <v>91.714741354907304</v>
      </c>
      <c r="AJ3213">
        <v>86.271455562594198</v>
      </c>
      <c r="AK3213">
        <v>37.039602611535798</v>
      </c>
      <c r="AL3213">
        <v>88.784509493959703</v>
      </c>
      <c r="AM3213">
        <v>84.034195639407898</v>
      </c>
      <c r="AN3213">
        <v>0.99999999276906903</v>
      </c>
    </row>
    <row r="3214" spans="1:40" x14ac:dyDescent="0.25">
      <c r="A3214" t="str">
        <f>"20190312151602175"</f>
        <v>20190312151602175</v>
      </c>
      <c r="B3214" t="str">
        <f>"1552374962171264"</f>
        <v>1552374962171264</v>
      </c>
      <c r="C3214" t="s">
        <v>40</v>
      </c>
      <c r="D3214">
        <v>4.4750220000000001</v>
      </c>
      <c r="E3214">
        <v>0.48606700000000003</v>
      </c>
      <c r="F3214" t="s">
        <v>52</v>
      </c>
      <c r="G3214">
        <v>-280.20089999999999</v>
      </c>
      <c r="H3214" s="1">
        <v>7.162866E-6</v>
      </c>
      <c r="I3214">
        <v>213.2653</v>
      </c>
      <c r="J3214">
        <v>-298.35199999999998</v>
      </c>
      <c r="K3214">
        <v>1.10836</v>
      </c>
      <c r="L3214">
        <v>214.70779999999999</v>
      </c>
      <c r="M3214">
        <v>0.99980650000000004</v>
      </c>
      <c r="N3214">
        <v>0</v>
      </c>
      <c r="O3214">
        <v>-1.58902E-2</v>
      </c>
      <c r="P3214">
        <v>0.99277590000000004</v>
      </c>
      <c r="Q3214">
        <v>9.7637320000000007E-3</v>
      </c>
      <c r="R3214">
        <v>-0.11958779999999999</v>
      </c>
      <c r="S3214">
        <v>2.9954529999999999</v>
      </c>
      <c r="T3214">
        <v>-0.1781915</v>
      </c>
      <c r="U3214">
        <v>-0.2331696</v>
      </c>
      <c r="V3214">
        <v>0.1038292</v>
      </c>
      <c r="W3214">
        <v>2.1146459999999999E-2</v>
      </c>
      <c r="X3214">
        <v>0.99437030000000004</v>
      </c>
      <c r="Y3214">
        <v>6.1672860000000003E-2</v>
      </c>
      <c r="Z3214">
        <v>-8.871002E-4</v>
      </c>
      <c r="AA3214">
        <v>0.99809599999999998</v>
      </c>
      <c r="AB3214">
        <v>47</v>
      </c>
      <c r="AC3214">
        <v>18.1511</v>
      </c>
      <c r="AD3214">
        <v>-1.1083528371339999</v>
      </c>
      <c r="AE3214">
        <v>-1.4424999999999899</v>
      </c>
      <c r="AF3214">
        <v>1.14961425456932</v>
      </c>
      <c r="AG3214">
        <v>-1.1083528371339999</v>
      </c>
      <c r="AH3214">
        <v>18.1046491377578</v>
      </c>
      <c r="AI3214">
        <v>93.496208098772897</v>
      </c>
      <c r="AJ3214">
        <v>86.366693961615198</v>
      </c>
      <c r="AK3214">
        <v>18.1749382212762</v>
      </c>
      <c r="AL3214">
        <v>88.788306754132705</v>
      </c>
      <c r="AM3214">
        <v>84.038946156365597</v>
      </c>
      <c r="AN3214">
        <v>0.99999998453262995</v>
      </c>
    </row>
    <row r="3215" spans="1:40" x14ac:dyDescent="0.25">
      <c r="A3215" t="str">
        <f>"20190312151602196"</f>
        <v>20190312151602196</v>
      </c>
      <c r="B3215" t="str">
        <f>"1552374962190785"</f>
        <v>1552374962190785</v>
      </c>
      <c r="C3215" t="s">
        <v>40</v>
      </c>
      <c r="D3215">
        <v>4.4819360000000001</v>
      </c>
      <c r="E3215">
        <v>0.48664669999999999</v>
      </c>
      <c r="F3215" t="s">
        <v>51</v>
      </c>
      <c r="G3215">
        <v>-273.08909999999997</v>
      </c>
      <c r="H3215" s="1">
        <v>1.9530769999999999E-7</v>
      </c>
      <c r="I3215">
        <v>212.59800000000001</v>
      </c>
      <c r="J3215">
        <v>-297.88600000000002</v>
      </c>
      <c r="K3215">
        <v>1.108365</v>
      </c>
      <c r="L3215">
        <v>214.7</v>
      </c>
      <c r="M3215">
        <v>0.99979799999999996</v>
      </c>
      <c r="N3215">
        <v>0</v>
      </c>
      <c r="O3215">
        <v>-1.636522E-2</v>
      </c>
      <c r="P3215">
        <v>0.99275020000000003</v>
      </c>
      <c r="Q3215">
        <v>9.5952780000000005E-3</v>
      </c>
      <c r="R3215">
        <v>-0.11981319999999999</v>
      </c>
      <c r="S3215">
        <v>2.9929809999999999</v>
      </c>
      <c r="T3215">
        <v>-0.13131139999999999</v>
      </c>
      <c r="U3215">
        <v>-0.24995419999999999</v>
      </c>
      <c r="V3215">
        <v>0.1035821</v>
      </c>
      <c r="W3215">
        <v>2.1055399999999998E-2</v>
      </c>
      <c r="X3215">
        <v>0.994398</v>
      </c>
      <c r="Y3215">
        <v>6.6854830000000004E-2</v>
      </c>
      <c r="Z3215">
        <v>-7.4701070000000001E-4</v>
      </c>
      <c r="AA3215">
        <v>0.99776240000000005</v>
      </c>
      <c r="AB3215">
        <v>47</v>
      </c>
      <c r="AC3215">
        <v>24.796899999999901</v>
      </c>
      <c r="AD3215">
        <v>-1.1083648046923</v>
      </c>
      <c r="AE3215">
        <v>-2.1019999999999999</v>
      </c>
      <c r="AF3215">
        <v>1.6925267636191601</v>
      </c>
      <c r="AG3215">
        <v>-1.1083648046923</v>
      </c>
      <c r="AH3215">
        <v>24.7788287235078</v>
      </c>
      <c r="AI3215">
        <v>92.555205081351403</v>
      </c>
      <c r="AJ3215">
        <v>86.092460766921604</v>
      </c>
      <c r="AK3215">
        <v>24.861284606688901</v>
      </c>
      <c r="AL3215">
        <v>88.793525266568295</v>
      </c>
      <c r="AM3215">
        <v>84.053195371102703</v>
      </c>
      <c r="AN3215">
        <v>0.99999998185678396</v>
      </c>
    </row>
    <row r="3216" spans="1:40" x14ac:dyDescent="0.25">
      <c r="A3216" t="str">
        <f>"20190312151602219"</f>
        <v>20190312151602219</v>
      </c>
      <c r="B3216" t="str">
        <f>"1552374962211280"</f>
        <v>1552374962211280</v>
      </c>
      <c r="C3216" t="s">
        <v>40</v>
      </c>
      <c r="D3216">
        <v>4.4567240000000004</v>
      </c>
      <c r="E3216">
        <v>0.48680449999999997</v>
      </c>
      <c r="F3216" t="s">
        <v>51</v>
      </c>
      <c r="G3216">
        <v>-270.57499999999999</v>
      </c>
      <c r="H3216" s="1">
        <v>-1.1326660000000001E-6</v>
      </c>
      <c r="I3216">
        <v>212.37129999999999</v>
      </c>
      <c r="J3216">
        <v>-297.42079999999999</v>
      </c>
      <c r="K3216">
        <v>1.108366</v>
      </c>
      <c r="L3216">
        <v>214.69200000000001</v>
      </c>
      <c r="M3216">
        <v>0.99978920000000004</v>
      </c>
      <c r="N3216">
        <v>0</v>
      </c>
      <c r="O3216">
        <v>-1.6839710000000001E-2</v>
      </c>
      <c r="P3216">
        <v>0.99263109999999999</v>
      </c>
      <c r="Q3216">
        <v>1.007829E-2</v>
      </c>
      <c r="R3216">
        <v>-0.12075610000000001</v>
      </c>
      <c r="S3216">
        <v>2.99234</v>
      </c>
      <c r="T3216">
        <v>-0.1214385</v>
      </c>
      <c r="U3216">
        <v>-0.25514219999999999</v>
      </c>
      <c r="V3216">
        <v>0.1040555</v>
      </c>
      <c r="W3216">
        <v>2.1605070000000001E-2</v>
      </c>
      <c r="X3216">
        <v>0.99433680000000002</v>
      </c>
      <c r="Y3216">
        <v>6.8122920000000003E-2</v>
      </c>
      <c r="Z3216">
        <v>-6.9746000000000001E-4</v>
      </c>
      <c r="AA3216">
        <v>0.99767669999999997</v>
      </c>
      <c r="AB3216">
        <v>47</v>
      </c>
      <c r="AC3216">
        <v>26.845800000000001</v>
      </c>
      <c r="AD3216">
        <v>-1.1083671326660001</v>
      </c>
      <c r="AE3216">
        <v>-2.3207000000000102</v>
      </c>
      <c r="AF3216">
        <v>1.8651085807205501</v>
      </c>
      <c r="AG3216">
        <v>-1.1083671326660001</v>
      </c>
      <c r="AH3216">
        <v>26.835671449617902</v>
      </c>
      <c r="AI3216">
        <v>92.359401447435005</v>
      </c>
      <c r="AJ3216">
        <v>86.024273748629895</v>
      </c>
      <c r="AK3216">
        <v>26.9232310444064</v>
      </c>
      <c r="AL3216">
        <v>88.762024348731501</v>
      </c>
      <c r="AM3216">
        <v>84.0258478397419</v>
      </c>
      <c r="AN3216">
        <v>0.99999999898209702</v>
      </c>
    </row>
    <row r="3217" spans="1:40" x14ac:dyDescent="0.25">
      <c r="A3217" t="str">
        <f>"20190312151602241"</f>
        <v>20190312151602241</v>
      </c>
      <c r="B3217" t="str">
        <f>"1552374962230801"</f>
        <v>1552374962230801</v>
      </c>
      <c r="C3217" t="s">
        <v>40</v>
      </c>
      <c r="D3217">
        <v>4.4039679999999999</v>
      </c>
      <c r="E3217">
        <v>0.48707050000000002</v>
      </c>
      <c r="F3217" t="s">
        <v>51</v>
      </c>
      <c r="G3217">
        <v>-268.20569999999998</v>
      </c>
      <c r="H3217" s="1">
        <v>2.9371249999999999E-6</v>
      </c>
      <c r="I3217">
        <v>212.1634</v>
      </c>
      <c r="J3217">
        <v>-296.95859999999999</v>
      </c>
      <c r="K3217">
        <v>1.108376</v>
      </c>
      <c r="L3217">
        <v>214.68389999999999</v>
      </c>
      <c r="M3217">
        <v>0.99978049999999996</v>
      </c>
      <c r="N3217">
        <v>0</v>
      </c>
      <c r="O3217">
        <v>-1.7310699999999998E-2</v>
      </c>
      <c r="P3217">
        <v>0.99255450000000001</v>
      </c>
      <c r="Q3217">
        <v>1.002922E-2</v>
      </c>
      <c r="R3217">
        <v>-0.1213887</v>
      </c>
      <c r="S3217">
        <v>2.9919129999999998</v>
      </c>
      <c r="T3217">
        <v>-0.1135075</v>
      </c>
      <c r="U3217">
        <v>-0.25895689999999999</v>
      </c>
      <c r="V3217">
        <v>0.1042208</v>
      </c>
      <c r="W3217">
        <v>2.1615550000000001E-2</v>
      </c>
      <c r="X3217">
        <v>0.99431930000000002</v>
      </c>
      <c r="Y3217">
        <v>6.8932729999999998E-2</v>
      </c>
      <c r="Z3217">
        <v>-6.4950809999999996E-4</v>
      </c>
      <c r="AA3217">
        <v>0.99762110000000004</v>
      </c>
      <c r="AB3217">
        <v>47</v>
      </c>
      <c r="AC3217">
        <v>28.7529</v>
      </c>
      <c r="AD3217">
        <v>-1.1083730628749999</v>
      </c>
      <c r="AE3217">
        <v>-2.52049999999999</v>
      </c>
      <c r="AF3217">
        <v>2.0193769367481398</v>
      </c>
      <c r="AG3217">
        <v>-1.1083730628749999</v>
      </c>
      <c r="AH3217">
        <v>28.749830222271399</v>
      </c>
      <c r="AI3217">
        <v>92.202371904792699</v>
      </c>
      <c r="AJ3217">
        <v>85.982165440685705</v>
      </c>
      <c r="AK3217">
        <v>28.8419678917477</v>
      </c>
      <c r="AL3217">
        <v>88.761423797971005</v>
      </c>
      <c r="AM3217">
        <v>84.016321701101305</v>
      </c>
      <c r="AN3217">
        <v>1.00000003875346</v>
      </c>
    </row>
    <row r="3218" spans="1:40" x14ac:dyDescent="0.25">
      <c r="A3218" t="str">
        <f>"20190312151602264"</f>
        <v>20190312151602264</v>
      </c>
      <c r="B3218" t="str">
        <f>"1552374962261058"</f>
        <v>1552374962261058</v>
      </c>
      <c r="C3218" t="s">
        <v>40</v>
      </c>
      <c r="D3218">
        <v>4.4274139999999997</v>
      </c>
      <c r="E3218">
        <v>0.4871125</v>
      </c>
      <c r="F3218" t="s">
        <v>51</v>
      </c>
      <c r="G3218">
        <v>-267.47550000000001</v>
      </c>
      <c r="H3218" s="1">
        <v>2.55173E-6</v>
      </c>
      <c r="I3218">
        <v>212.09020000000001</v>
      </c>
      <c r="J3218">
        <v>-296.4658</v>
      </c>
      <c r="K3218">
        <v>1.1083780000000001</v>
      </c>
      <c r="L3218">
        <v>214.67500000000001</v>
      </c>
      <c r="M3218">
        <v>0.99977099999999997</v>
      </c>
      <c r="N3218">
        <v>0</v>
      </c>
      <c r="O3218">
        <v>-1.7811460000000001E-2</v>
      </c>
      <c r="P3218">
        <v>0.99246000000000001</v>
      </c>
      <c r="Q3218">
        <v>9.7068020000000005E-3</v>
      </c>
      <c r="R3218">
        <v>-0.1221865</v>
      </c>
      <c r="S3218">
        <v>2.9914550000000002</v>
      </c>
      <c r="T3218">
        <v>-0.1124594</v>
      </c>
      <c r="U3218">
        <v>-0.26316830000000002</v>
      </c>
      <c r="V3218">
        <v>0.1045215</v>
      </c>
      <c r="W3218">
        <v>2.134906E-2</v>
      </c>
      <c r="X3218">
        <v>0.99429350000000005</v>
      </c>
      <c r="Y3218">
        <v>6.9840349999999995E-2</v>
      </c>
      <c r="Z3218">
        <v>-6.4182249999999996E-4</v>
      </c>
      <c r="AA3218">
        <v>0.99755799999999994</v>
      </c>
      <c r="AB3218">
        <v>47</v>
      </c>
      <c r="AC3218">
        <v>28.990299999999898</v>
      </c>
      <c r="AD3218">
        <v>-1.1083754482699999</v>
      </c>
      <c r="AE3218">
        <v>-2.5848</v>
      </c>
      <c r="AF3218">
        <v>2.0649993266120501</v>
      </c>
      <c r="AG3218">
        <v>-1.1083754482699999</v>
      </c>
      <c r="AH3218">
        <v>28.989701706673799</v>
      </c>
      <c r="AI3218">
        <v>92.184018653912204</v>
      </c>
      <c r="AJ3218">
        <v>85.925579293494096</v>
      </c>
      <c r="AK3218">
        <v>29.0842830992129</v>
      </c>
      <c r="AL3218">
        <v>88.776696082038896</v>
      </c>
      <c r="AM3218">
        <v>83.999028689989998</v>
      </c>
      <c r="AN3218">
        <v>1.0000000452336899</v>
      </c>
    </row>
    <row r="3219" spans="1:40" x14ac:dyDescent="0.25">
      <c r="A3219" t="str">
        <f>"20190312151602287"</f>
        <v>20190312151602287</v>
      </c>
      <c r="B3219" t="str">
        <f>"1552374962280576"</f>
        <v>1552374962280576</v>
      </c>
      <c r="C3219" t="s">
        <v>40</v>
      </c>
      <c r="D3219">
        <v>4.4840429999999998</v>
      </c>
      <c r="E3219">
        <v>0.48709400000000003</v>
      </c>
      <c r="F3219" t="s">
        <v>51</v>
      </c>
      <c r="G3219">
        <v>-267.95510000000002</v>
      </c>
      <c r="H3219" s="1">
        <v>2.8047169999999998E-6</v>
      </c>
      <c r="I3219">
        <v>212.1414</v>
      </c>
      <c r="J3219">
        <v>-295.98309999999998</v>
      </c>
      <c r="K3219">
        <v>1.1083769999999999</v>
      </c>
      <c r="L3219">
        <v>214.666</v>
      </c>
      <c r="M3219">
        <v>0.99976160000000003</v>
      </c>
      <c r="N3219">
        <v>0</v>
      </c>
      <c r="O3219">
        <v>-1.8300609999999998E-2</v>
      </c>
      <c r="P3219">
        <v>0.99236170000000001</v>
      </c>
      <c r="Q3219">
        <v>9.4738349999999999E-3</v>
      </c>
      <c r="R3219">
        <v>-0.1229992</v>
      </c>
      <c r="S3219">
        <v>2.9911799999999999</v>
      </c>
      <c r="T3219">
        <v>-0.1162845</v>
      </c>
      <c r="U3219">
        <v>-0.26580809999999999</v>
      </c>
      <c r="V3219">
        <v>0.104849</v>
      </c>
      <c r="W3219">
        <v>2.1163620000000001E-2</v>
      </c>
      <c r="X3219">
        <v>0.99426289999999995</v>
      </c>
      <c r="Y3219">
        <v>7.0231349999999998E-2</v>
      </c>
      <c r="Z3219">
        <v>-6.5229179999999999E-4</v>
      </c>
      <c r="AA3219">
        <v>0.99753049999999999</v>
      </c>
      <c r="AB3219">
        <v>47</v>
      </c>
      <c r="AC3219">
        <v>28.027999999999899</v>
      </c>
      <c r="AD3219">
        <v>-1.108374195283</v>
      </c>
      <c r="AE3219">
        <v>-2.5245999999999902</v>
      </c>
      <c r="AF3219">
        <v>2.0080962283995998</v>
      </c>
      <c r="AG3219">
        <v>-1.108374195283</v>
      </c>
      <c r="AH3219">
        <v>28.026035346606001</v>
      </c>
      <c r="AI3219">
        <v>92.258969184474196</v>
      </c>
      <c r="AJ3219">
        <v>85.901698260181206</v>
      </c>
      <c r="AK3219">
        <v>28.119736859872798</v>
      </c>
      <c r="AL3219">
        <v>88.787323312300401</v>
      </c>
      <c r="AM3219">
        <v>83.980179631700196</v>
      </c>
      <c r="AN3219">
        <v>0.99999996296445604</v>
      </c>
    </row>
    <row r="3220" spans="1:40" x14ac:dyDescent="0.25">
      <c r="A3220" t="str">
        <f>"20190312151602309"</f>
        <v>20190312151602309</v>
      </c>
      <c r="B3220" t="str">
        <f>"1552374962301072"</f>
        <v>1552374962301072</v>
      </c>
      <c r="C3220" t="s">
        <v>40</v>
      </c>
      <c r="D3220">
        <v>4.4274740000000001</v>
      </c>
      <c r="E3220">
        <v>0.48683209999999999</v>
      </c>
      <c r="F3220" t="s">
        <v>51</v>
      </c>
      <c r="G3220">
        <v>-267.53980000000001</v>
      </c>
      <c r="H3220" s="1">
        <v>2.5848389999999998E-6</v>
      </c>
      <c r="I3220">
        <v>212.11529999999999</v>
      </c>
      <c r="J3220">
        <v>-295.51440000000002</v>
      </c>
      <c r="K3220">
        <v>1.108379</v>
      </c>
      <c r="L3220">
        <v>214.65710000000001</v>
      </c>
      <c r="M3220">
        <v>0.99975219999999998</v>
      </c>
      <c r="N3220">
        <v>0</v>
      </c>
      <c r="O3220">
        <v>-1.8774590000000001E-2</v>
      </c>
      <c r="P3220">
        <v>0.9922164</v>
      </c>
      <c r="Q3220">
        <v>9.8187159999999999E-3</v>
      </c>
      <c r="R3220">
        <v>-0.12413829999999999</v>
      </c>
      <c r="S3220">
        <v>2.9909669999999999</v>
      </c>
      <c r="T3220">
        <v>-0.1165514</v>
      </c>
      <c r="U3220">
        <v>-0.26821899999999999</v>
      </c>
      <c r="V3220">
        <v>0.10551969999999999</v>
      </c>
      <c r="W3220">
        <v>2.1548339999999999E-2</v>
      </c>
      <c r="X3220">
        <v>0.9941837</v>
      </c>
      <c r="Y3220">
        <v>7.0562340000000001E-2</v>
      </c>
      <c r="Z3220">
        <v>-6.4182859999999998E-4</v>
      </c>
      <c r="AA3220">
        <v>0.99750720000000004</v>
      </c>
      <c r="AB3220">
        <v>47</v>
      </c>
      <c r="AC3220">
        <v>27.974599999999999</v>
      </c>
      <c r="AD3220">
        <v>-1.1083764151610001</v>
      </c>
      <c r="AE3220">
        <v>-2.5418000000000198</v>
      </c>
      <c r="AF3220">
        <v>2.01296860512082</v>
      </c>
      <c r="AG3220">
        <v>-1.1083764151610001</v>
      </c>
      <c r="AH3220">
        <v>27.973839198444999</v>
      </c>
      <c r="AI3220">
        <v>92.263134602720498</v>
      </c>
      <c r="AJ3220">
        <v>85.884149127774705</v>
      </c>
      <c r="AK3220">
        <v>28.068064065470299</v>
      </c>
      <c r="AL3220">
        <v>88.765275476309697</v>
      </c>
      <c r="AM3220">
        <v>83.941478375545202</v>
      </c>
      <c r="AN3220">
        <v>0.99999998369526699</v>
      </c>
    </row>
    <row r="3221" spans="1:40" x14ac:dyDescent="0.25">
      <c r="A3221" t="str">
        <f>"20190312151602331"</f>
        <v>20190312151602331</v>
      </c>
      <c r="B3221" t="str">
        <f>"1552374962320593"</f>
        <v>1552374962320593</v>
      </c>
      <c r="C3221" t="s">
        <v>40</v>
      </c>
      <c r="D3221">
        <v>4.4497070000000001</v>
      </c>
      <c r="E3221">
        <v>0.48668129999999998</v>
      </c>
      <c r="F3221" t="s">
        <v>51</v>
      </c>
      <c r="G3221">
        <v>-268.01429999999999</v>
      </c>
      <c r="H3221" s="1">
        <v>2.8345990000000001E-6</v>
      </c>
      <c r="I3221">
        <v>212.17779999999999</v>
      </c>
      <c r="J3221">
        <v>-295.0575</v>
      </c>
      <c r="K3221">
        <v>1.1083829999999999</v>
      </c>
      <c r="L3221">
        <v>214.6482</v>
      </c>
      <c r="M3221">
        <v>0.99974300000000005</v>
      </c>
      <c r="N3221">
        <v>0</v>
      </c>
      <c r="O3221">
        <v>-1.9233750000000001E-2</v>
      </c>
      <c r="P3221">
        <v>0.99210799999999999</v>
      </c>
      <c r="Q3221">
        <v>9.5475750000000009E-3</v>
      </c>
      <c r="R3221">
        <v>-0.12502279999999999</v>
      </c>
      <c r="S3221">
        <v>2.9909970000000001</v>
      </c>
      <c r="T3221">
        <v>-0.1205502</v>
      </c>
      <c r="U3221">
        <v>-0.26965329999999998</v>
      </c>
      <c r="V3221">
        <v>0.10594870000000001</v>
      </c>
      <c r="W3221">
        <v>2.1313309999999999E-2</v>
      </c>
      <c r="X3221">
        <v>0.99414309999999995</v>
      </c>
      <c r="Y3221">
        <v>7.0575449999999998E-2</v>
      </c>
      <c r="Z3221">
        <v>-6.4562210000000003E-4</v>
      </c>
      <c r="AA3221">
        <v>0.99750629999999996</v>
      </c>
      <c r="AB3221">
        <v>47</v>
      </c>
      <c r="AC3221">
        <v>27.043199999999999</v>
      </c>
      <c r="AD3221">
        <v>-1.1083801654009999</v>
      </c>
      <c r="AE3221">
        <v>-2.4704000000000099</v>
      </c>
      <c r="AF3221">
        <v>1.9465206106380599</v>
      </c>
      <c r="AG3221">
        <v>-1.1083801654009999</v>
      </c>
      <c r="AH3221">
        <v>27.040667759417101</v>
      </c>
      <c r="AI3221">
        <v>92.341153319946102</v>
      </c>
      <c r="AJ3221">
        <v>85.882669217903299</v>
      </c>
      <c r="AK3221">
        <v>27.1332851301473</v>
      </c>
      <c r="AL3221">
        <v>88.778744748275798</v>
      </c>
      <c r="AM3221">
        <v>83.916784645066002</v>
      </c>
      <c r="AN3221">
        <v>0.99999994374622603</v>
      </c>
    </row>
    <row r="3222" spans="1:40" x14ac:dyDescent="0.25">
      <c r="A3222" t="str">
        <f>"20190312151602354"</f>
        <v>20190312151602354</v>
      </c>
      <c r="B3222" t="str">
        <f>"1552374962350848"</f>
        <v>1552374962350848</v>
      </c>
      <c r="C3222" t="s">
        <v>40</v>
      </c>
      <c r="D3222">
        <v>4.4536069999999999</v>
      </c>
      <c r="E3222">
        <v>0.48663980000000001</v>
      </c>
      <c r="F3222" t="s">
        <v>51</v>
      </c>
      <c r="G3222">
        <v>-268.88499999999999</v>
      </c>
      <c r="H3222" s="1">
        <v>3.2937060000000001E-6</v>
      </c>
      <c r="I3222">
        <v>212.2747</v>
      </c>
      <c r="J3222">
        <v>-294.56889999999999</v>
      </c>
      <c r="K3222">
        <v>1.108393</v>
      </c>
      <c r="L3222">
        <v>214.63839999999999</v>
      </c>
      <c r="M3222">
        <v>0.99973330000000005</v>
      </c>
      <c r="N3222">
        <v>0</v>
      </c>
      <c r="O3222">
        <v>-1.971504E-2</v>
      </c>
      <c r="P3222">
        <v>0.99198549999999996</v>
      </c>
      <c r="Q3222">
        <v>9.4444339999999998E-3</v>
      </c>
      <c r="R3222">
        <v>-0.12600140000000001</v>
      </c>
      <c r="S3222">
        <v>2.990875</v>
      </c>
      <c r="T3222">
        <v>-0.12666069999999999</v>
      </c>
      <c r="U3222">
        <v>-0.27122499999999999</v>
      </c>
      <c r="V3222">
        <v>0.1064504</v>
      </c>
      <c r="W3222">
        <v>2.1248469999999998E-2</v>
      </c>
      <c r="X3222">
        <v>0.99409099999999995</v>
      </c>
      <c r="Y3222">
        <v>7.0614880000000005E-2</v>
      </c>
      <c r="Z3222">
        <v>-6.5884369999999904E-4</v>
      </c>
      <c r="AA3222">
        <v>0.99750349999999999</v>
      </c>
      <c r="AB3222">
        <v>47</v>
      </c>
      <c r="AC3222">
        <v>25.683899999999898</v>
      </c>
      <c r="AD3222">
        <v>-1.108389706294</v>
      </c>
      <c r="AE3222">
        <v>-2.3636999999999899</v>
      </c>
      <c r="AF3222">
        <v>1.85342203789993</v>
      </c>
      <c r="AG3222">
        <v>-1.108389706294</v>
      </c>
      <c r="AH3222">
        <v>25.6780910052567</v>
      </c>
      <c r="AI3222">
        <v>92.465221276879205</v>
      </c>
      <c r="AJ3222">
        <v>85.871600477761305</v>
      </c>
      <c r="AK3222">
        <v>25.768741891404702</v>
      </c>
      <c r="AL3222">
        <v>88.782460778597198</v>
      </c>
      <c r="AM3222">
        <v>83.887878349860799</v>
      </c>
      <c r="AN3222">
        <v>1.0000000507092399</v>
      </c>
    </row>
    <row r="3223" spans="1:40" x14ac:dyDescent="0.25">
      <c r="A3223" t="str">
        <f>"20190312151602376"</f>
        <v>20190312151602376</v>
      </c>
      <c r="B3223" t="str">
        <f>"1552374962371345"</f>
        <v>1552374962371345</v>
      </c>
      <c r="C3223" t="s">
        <v>40</v>
      </c>
      <c r="D3223">
        <v>4.4508590000000003</v>
      </c>
      <c r="E3223">
        <v>0.48653289999999999</v>
      </c>
      <c r="F3223" t="s">
        <v>51</v>
      </c>
      <c r="G3223">
        <v>-268.05079999999998</v>
      </c>
      <c r="H3223" s="1">
        <v>2.8526839999999998E-6</v>
      </c>
      <c r="I3223">
        <v>212.209</v>
      </c>
      <c r="J3223">
        <v>-294.09890000000001</v>
      </c>
      <c r="K3223">
        <v>1.1084020000000001</v>
      </c>
      <c r="L3223">
        <v>214.62880000000001</v>
      </c>
      <c r="M3223">
        <v>0.99972399999999995</v>
      </c>
      <c r="N3223">
        <v>0</v>
      </c>
      <c r="O3223">
        <v>-2.015902E-2</v>
      </c>
      <c r="P3223">
        <v>0.99190250000000002</v>
      </c>
      <c r="Q3223">
        <v>9.5033389999999995E-3</v>
      </c>
      <c r="R3223">
        <v>-0.1266468</v>
      </c>
      <c r="S3223">
        <v>2.9906009999999998</v>
      </c>
      <c r="T3223">
        <v>-0.1249996</v>
      </c>
      <c r="U3223">
        <v>-0.27397159999999998</v>
      </c>
      <c r="V3223">
        <v>0.1066555</v>
      </c>
      <c r="W3223">
        <v>2.13443E-2</v>
      </c>
      <c r="X3223">
        <v>0.99406689999999998</v>
      </c>
      <c r="Y3223">
        <v>7.1089840000000001E-2</v>
      </c>
      <c r="Z3223">
        <v>-6.4164560000000003E-4</v>
      </c>
      <c r="AA3223">
        <v>0.99746970000000001</v>
      </c>
      <c r="AB3223">
        <v>47</v>
      </c>
      <c r="AC3223">
        <v>26.048100000000002</v>
      </c>
      <c r="AD3223">
        <v>-1.108399147316</v>
      </c>
      <c r="AE3223">
        <v>-2.4198</v>
      </c>
      <c r="AF3223">
        <v>1.89077152916812</v>
      </c>
      <c r="AG3223">
        <v>-1.108399147316</v>
      </c>
      <c r="AH3223">
        <v>26.044835033800599</v>
      </c>
      <c r="AI3223">
        <v>92.430497451488804</v>
      </c>
      <c r="AJ3223">
        <v>85.847794311093693</v>
      </c>
      <c r="AK3223">
        <v>26.136889592741699</v>
      </c>
      <c r="AL3223">
        <v>88.776968802392304</v>
      </c>
      <c r="AM3223">
        <v>83.876044067647896</v>
      </c>
      <c r="AN3223">
        <v>0.99999998824917402</v>
      </c>
    </row>
    <row r="3224" spans="1:40" x14ac:dyDescent="0.25">
      <c r="A3224" t="str">
        <f>"20190312151602398"</f>
        <v>20190312151602398</v>
      </c>
      <c r="B3224" t="str">
        <f>"1552374962390865"</f>
        <v>1552374962390865</v>
      </c>
      <c r="C3224" t="s">
        <v>40</v>
      </c>
      <c r="D3224">
        <v>4.4753030000000003</v>
      </c>
      <c r="E3224">
        <v>0.4865254</v>
      </c>
      <c r="F3224" t="s">
        <v>51</v>
      </c>
      <c r="G3224">
        <v>-267.31950000000001</v>
      </c>
      <c r="H3224" s="1">
        <v>2.465357E-6</v>
      </c>
      <c r="I3224">
        <v>212.16659999999999</v>
      </c>
      <c r="J3224">
        <v>-293.63400000000001</v>
      </c>
      <c r="K3224">
        <v>1.1084210000000001</v>
      </c>
      <c r="L3224">
        <v>214.6191</v>
      </c>
      <c r="M3224">
        <v>0.99971509999999997</v>
      </c>
      <c r="N3224">
        <v>0</v>
      </c>
      <c r="O3224">
        <v>-2.0578809999999999E-2</v>
      </c>
      <c r="P3224">
        <v>0.99183290000000002</v>
      </c>
      <c r="Q3224">
        <v>9.3658679999999994E-3</v>
      </c>
      <c r="R3224">
        <v>-0.12720119999999999</v>
      </c>
      <c r="S3224">
        <v>2.99057</v>
      </c>
      <c r="T3224">
        <v>-0.1237798</v>
      </c>
      <c r="U3224">
        <v>-0.27496340000000002</v>
      </c>
      <c r="V3224">
        <v>0.1067927</v>
      </c>
      <c r="W3224">
        <v>2.1241320000000001E-2</v>
      </c>
      <c r="X3224">
        <v>0.9940544</v>
      </c>
      <c r="Y3224">
        <v>7.1001229999999999E-2</v>
      </c>
      <c r="Z3224">
        <v>-6.1623530000000002E-4</v>
      </c>
      <c r="AA3224">
        <v>0.99747600000000003</v>
      </c>
      <c r="AB3224">
        <v>47</v>
      </c>
      <c r="AC3224">
        <v>26.314499999999999</v>
      </c>
      <c r="AD3224">
        <v>-1.10841853464299</v>
      </c>
      <c r="AE3224">
        <v>-2.4525000000000099</v>
      </c>
      <c r="AF3224">
        <v>1.90706538123612</v>
      </c>
      <c r="AG3224">
        <v>-1.10841853464299</v>
      </c>
      <c r="AH3224">
        <v>26.313115605600299</v>
      </c>
      <c r="AI3224">
        <v>92.405809100252597</v>
      </c>
      <c r="AJ3224">
        <v>85.854687717736994</v>
      </c>
      <c r="AK3224">
        <v>26.4054074554804</v>
      </c>
      <c r="AL3224">
        <v>88.782870489130204</v>
      </c>
      <c r="AM3224">
        <v>83.868149761117706</v>
      </c>
      <c r="AN3224">
        <v>1.00000001230399</v>
      </c>
    </row>
    <row r="3225" spans="1:40" x14ac:dyDescent="0.25">
      <c r="A3225" t="str">
        <f>"20190312151602420"</f>
        <v>20190312151602420</v>
      </c>
      <c r="B3225" t="str">
        <f>"1552374962411361"</f>
        <v>1552374962411361</v>
      </c>
      <c r="C3225" t="s">
        <v>40</v>
      </c>
      <c r="D3225">
        <v>4.5551050000000002</v>
      </c>
      <c r="E3225">
        <v>0.48643170000000002</v>
      </c>
      <c r="F3225" t="s">
        <v>51</v>
      </c>
      <c r="G3225">
        <v>-266.66579999999999</v>
      </c>
      <c r="H3225" s="1">
        <v>2.119269E-6</v>
      </c>
      <c r="I3225">
        <v>212.12639999999999</v>
      </c>
      <c r="J3225">
        <v>-293.16520000000003</v>
      </c>
      <c r="K3225">
        <v>1.108452</v>
      </c>
      <c r="L3225">
        <v>214.60919999999999</v>
      </c>
      <c r="M3225">
        <v>0.9997066</v>
      </c>
      <c r="N3225">
        <v>0</v>
      </c>
      <c r="O3225">
        <v>-2.097104E-2</v>
      </c>
      <c r="P3225">
        <v>0.99179949999999995</v>
      </c>
      <c r="Q3225">
        <v>9.4039210000000008E-3</v>
      </c>
      <c r="R3225">
        <v>-0.12745919999999999</v>
      </c>
      <c r="S3225">
        <v>2.9904169999999999</v>
      </c>
      <c r="T3225">
        <v>-0.1229089</v>
      </c>
      <c r="U3225">
        <v>-0.27641300000000002</v>
      </c>
      <c r="V3225">
        <v>0.10666009999999999</v>
      </c>
      <c r="W3225">
        <v>2.1313309999999999E-2</v>
      </c>
      <c r="X3225">
        <v>0.99406709999999998</v>
      </c>
      <c r="Y3225">
        <v>7.1094809999999994E-2</v>
      </c>
      <c r="Z3225">
        <v>-5.9776920000000002E-4</v>
      </c>
      <c r="AA3225">
        <v>0.99746939999999995</v>
      </c>
      <c r="AB3225">
        <v>47</v>
      </c>
      <c r="AC3225">
        <v>26.499400000000001</v>
      </c>
      <c r="AD3225">
        <v>-1.1084498807309999</v>
      </c>
      <c r="AE3225">
        <v>-2.4827999999999899</v>
      </c>
      <c r="AF3225">
        <v>1.9231574637526601</v>
      </c>
      <c r="AG3225">
        <v>-1.1084498807309999</v>
      </c>
      <c r="AH3225">
        <v>26.499679577900601</v>
      </c>
      <c r="AI3225">
        <v>92.388942110125697</v>
      </c>
      <c r="AJ3225">
        <v>85.849158608722107</v>
      </c>
      <c r="AK3225">
        <v>26.592484154359902</v>
      </c>
      <c r="AL3225">
        <v>88.778744837395195</v>
      </c>
      <c r="AM3225">
        <v>83.875783174291598</v>
      </c>
      <c r="AN3225">
        <v>1.0000000167087799</v>
      </c>
    </row>
    <row r="3226" spans="1:40" x14ac:dyDescent="0.25">
      <c r="A3226" t="str">
        <f>"20190312151602454"</f>
        <v>20190312151602454</v>
      </c>
      <c r="B3226" t="str">
        <f>"1552374962440640"</f>
        <v>1552374962440640</v>
      </c>
      <c r="C3226" t="s">
        <v>40</v>
      </c>
      <c r="D3226">
        <v>4.4435690000000001</v>
      </c>
      <c r="E3226">
        <v>0.48645290000000002</v>
      </c>
      <c r="F3226" t="s">
        <v>51</v>
      </c>
      <c r="G3226">
        <v>-265.75200000000001</v>
      </c>
      <c r="H3226" s="1">
        <v>1.6352029999999999E-6</v>
      </c>
      <c r="I3226">
        <v>212.07570000000001</v>
      </c>
      <c r="J3226">
        <v>-292.45819999999998</v>
      </c>
      <c r="K3226">
        <v>1.108508</v>
      </c>
      <c r="L3226">
        <v>214.59389999999999</v>
      </c>
      <c r="M3226">
        <v>0.99969540000000001</v>
      </c>
      <c r="N3226">
        <v>0</v>
      </c>
      <c r="O3226">
        <v>-2.1474110000000001E-2</v>
      </c>
      <c r="P3226">
        <v>0.99170550000000002</v>
      </c>
      <c r="Q3226">
        <v>9.2696040000000007E-3</v>
      </c>
      <c r="R3226">
        <v>-0.12819659999999999</v>
      </c>
      <c r="S3226">
        <v>2.9904480000000002</v>
      </c>
      <c r="T3226">
        <v>-0.1209185</v>
      </c>
      <c r="U3226">
        <v>-0.27636719999999998</v>
      </c>
      <c r="V3226">
        <v>0.106896</v>
      </c>
      <c r="W3226">
        <v>2.122988E-2</v>
      </c>
      <c r="X3226">
        <v>0.99404349999999997</v>
      </c>
      <c r="Y3226">
        <v>7.0578959999999996E-2</v>
      </c>
      <c r="Z3226">
        <v>-5.5740970000000005E-4</v>
      </c>
      <c r="AA3226">
        <v>0.997506</v>
      </c>
      <c r="AB3226">
        <v>47</v>
      </c>
      <c r="AC3226">
        <v>26.7061999999999</v>
      </c>
      <c r="AD3226">
        <v>-1.1085063647969999</v>
      </c>
      <c r="AE3226">
        <v>-2.5181999999999798</v>
      </c>
      <c r="AF3226">
        <v>1.9407706920980099</v>
      </c>
      <c r="AG3226">
        <v>-1.1085063647969999</v>
      </c>
      <c r="AH3226">
        <v>26.708511132560002</v>
      </c>
      <c r="AI3226">
        <v>92.370389472658601</v>
      </c>
      <c r="AJ3226">
        <v>85.843913890792507</v>
      </c>
      <c r="AK3226">
        <v>26.801864564954901</v>
      </c>
      <c r="AL3226">
        <v>88.783526050740093</v>
      </c>
      <c r="AM3226">
        <v>83.862196917892007</v>
      </c>
      <c r="AN3226">
        <v>0.99999997125653095</v>
      </c>
    </row>
    <row r="3227" spans="1:40" x14ac:dyDescent="0.25">
      <c r="A3227" t="str">
        <f>"20190312151602471"</f>
        <v>20190312151602471</v>
      </c>
      <c r="B3227" t="str">
        <f>"1552374962461137"</f>
        <v>1552374962461137</v>
      </c>
      <c r="C3227" t="s">
        <v>40</v>
      </c>
      <c r="D3227">
        <v>4.4098470000000001</v>
      </c>
      <c r="E3227">
        <v>0.48635679999999998</v>
      </c>
      <c r="F3227" t="s">
        <v>51</v>
      </c>
      <c r="G3227">
        <v>-264.58629999999999</v>
      </c>
      <c r="H3227" s="1">
        <v>1.0184409999999999E-6</v>
      </c>
      <c r="I3227">
        <v>211.99449999999999</v>
      </c>
      <c r="J3227">
        <v>-292.07209999999998</v>
      </c>
      <c r="K3227">
        <v>1.108555</v>
      </c>
      <c r="L3227">
        <v>214.58539999999999</v>
      </c>
      <c r="M3227">
        <v>0.99969079999999999</v>
      </c>
      <c r="N3227">
        <v>0</v>
      </c>
      <c r="O3227">
        <v>-2.1680290000000001E-2</v>
      </c>
      <c r="P3227">
        <v>0.99164640000000004</v>
      </c>
      <c r="Q3227">
        <v>9.7472510000000002E-3</v>
      </c>
      <c r="R3227">
        <v>-0.1286185</v>
      </c>
      <c r="S3227">
        <v>2.9901430000000002</v>
      </c>
      <c r="T3227">
        <v>-0.1189228</v>
      </c>
      <c r="U3227">
        <v>-0.2788696</v>
      </c>
      <c r="V3227">
        <v>0.10711229999999999</v>
      </c>
      <c r="W3227">
        <v>2.1735689999999998E-2</v>
      </c>
      <c r="X3227">
        <v>0.99400929999999998</v>
      </c>
      <c r="Y3227">
        <v>7.1211170000000004E-2</v>
      </c>
      <c r="Z3227">
        <v>-5.526191E-4</v>
      </c>
      <c r="AA3227">
        <v>0.99746109999999999</v>
      </c>
      <c r="AB3227">
        <v>47</v>
      </c>
      <c r="AC3227">
        <v>27.485799999999902</v>
      </c>
      <c r="AD3227">
        <v>-1.108553981559</v>
      </c>
      <c r="AE3227">
        <v>-2.5909</v>
      </c>
      <c r="AF3227">
        <v>1.9911362578516401</v>
      </c>
      <c r="AG3227">
        <v>-1.108553981559</v>
      </c>
      <c r="AH3227">
        <v>27.491189286616699</v>
      </c>
      <c r="AI3227">
        <v>92.303115986891697</v>
      </c>
      <c r="AJ3227">
        <v>85.857405798428005</v>
      </c>
      <c r="AK3227">
        <v>27.585485384889399</v>
      </c>
      <c r="AL3227">
        <v>88.754538600895998</v>
      </c>
      <c r="AM3227">
        <v>83.849662409530893</v>
      </c>
      <c r="AN3227">
        <v>0.99999998675877799</v>
      </c>
    </row>
    <row r="3228" spans="1:40" x14ac:dyDescent="0.25">
      <c r="A3228" t="str">
        <f>"20190312151602492"</f>
        <v>20190312151602492</v>
      </c>
      <c r="B3228" t="str">
        <f>"1552374962480656"</f>
        <v>1552374962480656</v>
      </c>
      <c r="C3228" t="s">
        <v>40</v>
      </c>
      <c r="D3228">
        <v>4.5041739999999999</v>
      </c>
      <c r="E3228">
        <v>0.4682211</v>
      </c>
      <c r="F3228" t="s">
        <v>51</v>
      </c>
      <c r="G3228">
        <v>-263.65660000000003</v>
      </c>
      <c r="H3228" s="1">
        <v>5.2654179999999997E-7</v>
      </c>
      <c r="I3228">
        <v>211.92910000000001</v>
      </c>
      <c r="J3228">
        <v>-291.65260000000001</v>
      </c>
      <c r="K3228">
        <v>1.108608</v>
      </c>
      <c r="L3228">
        <v>214.5762</v>
      </c>
      <c r="M3228">
        <v>0.99968679999999999</v>
      </c>
      <c r="N3228">
        <v>0</v>
      </c>
      <c r="O3228">
        <v>-2.1856049999999998E-2</v>
      </c>
      <c r="P3228">
        <v>0.99160959999999998</v>
      </c>
      <c r="Q3228">
        <v>9.8024419999999998E-3</v>
      </c>
      <c r="R3228">
        <v>-0.12889680000000001</v>
      </c>
      <c r="S3228">
        <v>2.990173</v>
      </c>
      <c r="T3228">
        <v>-0.1166536</v>
      </c>
      <c r="U3228">
        <v>-0.27952579999999999</v>
      </c>
      <c r="V3228">
        <v>0.1072138</v>
      </c>
      <c r="W3228">
        <v>2.1821500000000001E-2</v>
      </c>
      <c r="X3228">
        <v>0.99399649999999995</v>
      </c>
      <c r="Y3228">
        <v>7.1253399999999995E-2</v>
      </c>
      <c r="Z3228">
        <v>-5.3605799999999996E-4</v>
      </c>
      <c r="AA3228">
        <v>0.99745810000000001</v>
      </c>
      <c r="AB3228">
        <v>47</v>
      </c>
      <c r="AC3228">
        <v>27.995999999999899</v>
      </c>
      <c r="AD3228">
        <v>-1.1086074734581901</v>
      </c>
      <c r="AE3228">
        <v>-2.6470999999999898</v>
      </c>
      <c r="AF3228">
        <v>2.0313830274887099</v>
      </c>
      <c r="AG3228">
        <v>-1.1086074734581901</v>
      </c>
      <c r="AH3228">
        <v>28.003648597341801</v>
      </c>
      <c r="AI3228">
        <v>92.261104509888696</v>
      </c>
      <c r="AJ3228">
        <v>85.851034674362694</v>
      </c>
      <c r="AK3228">
        <v>28.0991078559085</v>
      </c>
      <c r="AL3228">
        <v>88.7496209119018</v>
      </c>
      <c r="AM3228">
        <v>83.843800391856107</v>
      </c>
      <c r="AN3228">
        <v>1.0000000093924699</v>
      </c>
    </row>
    <row r="3229" spans="1:40" x14ac:dyDescent="0.25">
      <c r="A3229" t="str">
        <f>"20190312151602510"</f>
        <v>20190312151602510</v>
      </c>
      <c r="B3229" t="str">
        <f>"1552374962501153"</f>
        <v>1552374962501153</v>
      </c>
      <c r="C3229" t="s">
        <v>40</v>
      </c>
      <c r="D3229">
        <v>4.3677630000000001</v>
      </c>
      <c r="E3229">
        <v>0.44782270000000002</v>
      </c>
      <c r="F3229" t="s">
        <v>51</v>
      </c>
      <c r="G3229">
        <v>-256.92570000000001</v>
      </c>
      <c r="H3229" s="1">
        <v>2.2193929999999999E-6</v>
      </c>
      <c r="I3229">
        <v>212.9999</v>
      </c>
      <c r="J3229">
        <v>-291.25450000000001</v>
      </c>
      <c r="K3229">
        <v>1.1086659999999999</v>
      </c>
      <c r="L3229">
        <v>214.56739999999999</v>
      </c>
      <c r="M3229">
        <v>0.99968409999999996</v>
      </c>
      <c r="N3229">
        <v>0</v>
      </c>
      <c r="O3229">
        <v>-2.1972080000000001E-2</v>
      </c>
      <c r="P3229">
        <v>0.99160020000000004</v>
      </c>
      <c r="Q3229">
        <v>9.6704779999999997E-3</v>
      </c>
      <c r="R3229">
        <v>-0.1289796</v>
      </c>
      <c r="S3229">
        <v>3.008575</v>
      </c>
      <c r="T3229">
        <v>-9.6044299999999999E-2</v>
      </c>
      <c r="U3229">
        <v>-0.1365662</v>
      </c>
      <c r="V3229">
        <v>0.10717839999999999</v>
      </c>
      <c r="W3229">
        <v>2.171996E-2</v>
      </c>
      <c r="X3229">
        <v>0.99400250000000001</v>
      </c>
      <c r="Y3229">
        <v>2.338283E-2</v>
      </c>
      <c r="Z3229">
        <v>3.278655E-4</v>
      </c>
      <c r="AA3229">
        <v>0.99972649999999996</v>
      </c>
      <c r="AB3229">
        <v>47</v>
      </c>
      <c r="AC3229">
        <v>34.328800000000001</v>
      </c>
      <c r="AD3229">
        <v>-1.1086637806070001</v>
      </c>
      <c r="AE3229">
        <v>-1.5674999999999899</v>
      </c>
      <c r="AF3229">
        <v>0.811945119475321</v>
      </c>
      <c r="AG3229">
        <v>-1.1086637806070001</v>
      </c>
      <c r="AH3229">
        <v>34.319234733356602</v>
      </c>
      <c r="AI3229">
        <v>91.849747574825997</v>
      </c>
      <c r="AJ3229">
        <v>88.6447147762062</v>
      </c>
      <c r="AK3229">
        <v>34.346735841105797</v>
      </c>
      <c r="AL3229">
        <v>88.755440053046499</v>
      </c>
      <c r="AM3229">
        <v>83.845854316657693</v>
      </c>
      <c r="AN3229">
        <v>0.99999996804760505</v>
      </c>
    </row>
    <row r="3230" spans="1:40" x14ac:dyDescent="0.25">
      <c r="A3230" t="str">
        <f>"20190312151602533"</f>
        <v>20190312151602533</v>
      </c>
      <c r="B3230" t="str">
        <f>"1552374962520673"</f>
        <v>1552374962520673</v>
      </c>
      <c r="C3230" t="s">
        <v>40</v>
      </c>
      <c r="D3230">
        <v>4.6596000000000002</v>
      </c>
      <c r="E3230">
        <v>0.4493316</v>
      </c>
      <c r="F3230" t="s">
        <v>51</v>
      </c>
      <c r="G3230">
        <v>-274.80180000000001</v>
      </c>
      <c r="H3230" s="1">
        <v>1.0150729999999999E-6</v>
      </c>
      <c r="I3230">
        <v>214.69390000000001</v>
      </c>
      <c r="J3230">
        <v>-290.78539999999998</v>
      </c>
      <c r="K3230">
        <v>1.1087419999999999</v>
      </c>
      <c r="L3230">
        <v>214.55709999999999</v>
      </c>
      <c r="M3230">
        <v>0.99968219999999997</v>
      </c>
      <c r="N3230">
        <v>0</v>
      </c>
      <c r="O3230">
        <v>-2.2042869999999999E-2</v>
      </c>
      <c r="P3230">
        <v>0.99157209999999996</v>
      </c>
      <c r="Q3230">
        <v>9.6635450000000008E-3</v>
      </c>
      <c r="R3230">
        <v>-0.12919620000000001</v>
      </c>
      <c r="S3230">
        <v>3.0304259999999998</v>
      </c>
      <c r="T3230">
        <v>-0.204205</v>
      </c>
      <c r="U3230">
        <v>2.3284909999999999E-2</v>
      </c>
      <c r="V3230">
        <v>0.1073214</v>
      </c>
      <c r="W3230">
        <v>2.175142E-2</v>
      </c>
      <c r="X3230">
        <v>0.99398640000000005</v>
      </c>
      <c r="Y3230">
        <v>-2.9608349999999999E-2</v>
      </c>
      <c r="Z3230">
        <v>2.4801390000000001E-3</v>
      </c>
      <c r="AA3230">
        <v>0.99955850000000002</v>
      </c>
      <c r="AB3230">
        <v>47</v>
      </c>
      <c r="AC3230">
        <v>15.9835999999999</v>
      </c>
      <c r="AD3230">
        <v>-1.108740984927</v>
      </c>
      <c r="AE3230">
        <v>0.13680000000002199</v>
      </c>
      <c r="AF3230">
        <v>-0.48677541901736998</v>
      </c>
      <c r="AG3230">
        <v>-1.108740984927</v>
      </c>
      <c r="AH3230">
        <v>15.900196570028699</v>
      </c>
      <c r="AI3230">
        <v>93.986989018416807</v>
      </c>
      <c r="AJ3230">
        <v>91.753529810867803</v>
      </c>
      <c r="AK3230">
        <v>15.9462380468175</v>
      </c>
      <c r="AL3230">
        <v>88.753637123299697</v>
      </c>
      <c r="AM3230">
        <v>83.837607394883307</v>
      </c>
      <c r="AN3230">
        <v>0.99999998527746803</v>
      </c>
    </row>
    <row r="3231" spans="1:40" x14ac:dyDescent="0.25">
      <c r="A3231" t="str">
        <f>"20190312151602555"</f>
        <v>20190312151602555</v>
      </c>
      <c r="B3231" t="str">
        <f>"1552374962550928"</f>
        <v>1552374962550928</v>
      </c>
      <c r="C3231" t="s">
        <v>40</v>
      </c>
      <c r="D3231">
        <v>4.3604370000000001</v>
      </c>
      <c r="E3231">
        <v>0.45035229999999998</v>
      </c>
      <c r="F3231" t="s">
        <v>51</v>
      </c>
      <c r="G3231">
        <v>-271.51519999999999</v>
      </c>
      <c r="H3231" s="1">
        <v>-7.3100919999999999E-7</v>
      </c>
      <c r="I3231">
        <v>214.6283</v>
      </c>
      <c r="J3231">
        <v>-290.3186</v>
      </c>
      <c r="K3231">
        <v>1.1088290000000001</v>
      </c>
      <c r="L3231">
        <v>214.54679999999999</v>
      </c>
      <c r="M3231">
        <v>0.99968239999999997</v>
      </c>
      <c r="N3231">
        <v>0</v>
      </c>
      <c r="O3231">
        <v>-2.2024510000000001E-2</v>
      </c>
      <c r="P3231">
        <v>0.99153690000000005</v>
      </c>
      <c r="Q3231">
        <v>1.038731E-2</v>
      </c>
      <c r="R3231">
        <v>-0.12941069999999999</v>
      </c>
      <c r="S3231">
        <v>3.0286559999999998</v>
      </c>
      <c r="T3231">
        <v>-0.17425839999999901</v>
      </c>
      <c r="U3231">
        <v>1.119995E-2</v>
      </c>
      <c r="V3231">
        <v>0.1075511</v>
      </c>
      <c r="W3231">
        <v>2.2514650000000001E-2</v>
      </c>
      <c r="X3231">
        <v>0.99394459999999996</v>
      </c>
      <c r="Y3231">
        <v>-2.564425E-2</v>
      </c>
      <c r="Z3231">
        <v>2.0033220000000001E-3</v>
      </c>
      <c r="AA3231">
        <v>0.99966909999999998</v>
      </c>
      <c r="AB3231">
        <v>47</v>
      </c>
      <c r="AC3231">
        <v>18.8034</v>
      </c>
      <c r="AD3231">
        <v>-1.1088297310091999</v>
      </c>
      <c r="AE3231">
        <v>8.1500000000005401E-2</v>
      </c>
      <c r="AF3231">
        <v>-0.49392939988547602</v>
      </c>
      <c r="AG3231">
        <v>-1.1088297310091999</v>
      </c>
      <c r="AH3231">
        <v>18.731905611930099</v>
      </c>
      <c r="AI3231">
        <v>93.386479633054194</v>
      </c>
      <c r="AJ3231">
        <v>91.510445034028606</v>
      </c>
      <c r="AK3231">
        <v>18.771194886812602</v>
      </c>
      <c r="AL3231">
        <v>88.709896578463699</v>
      </c>
      <c r="AM3231">
        <v>83.824262127899999</v>
      </c>
      <c r="AN3231">
        <v>1.00000000822249</v>
      </c>
    </row>
    <row r="3232" spans="1:40" x14ac:dyDescent="0.25">
      <c r="A3232" t="str">
        <f>"20190312151602577"</f>
        <v>20190312151602577</v>
      </c>
      <c r="B3232" t="str">
        <f>"1552374962571425"</f>
        <v>1552374962571425</v>
      </c>
      <c r="C3232" t="s">
        <v>40</v>
      </c>
      <c r="D3232">
        <v>4.3374709999999999</v>
      </c>
      <c r="E3232">
        <v>0.4504512</v>
      </c>
      <c r="F3232" t="s">
        <v>51</v>
      </c>
      <c r="G3232">
        <v>-268.51909999999998</v>
      </c>
      <c r="H3232" s="1">
        <v>2.9988890000000001E-6</v>
      </c>
      <c r="I3232">
        <v>214.56489999999999</v>
      </c>
      <c r="J3232">
        <v>-289.85210000000001</v>
      </c>
      <c r="K3232">
        <v>1.108919</v>
      </c>
      <c r="L3232">
        <v>214.53659999999999</v>
      </c>
      <c r="M3232">
        <v>0.99968449999999998</v>
      </c>
      <c r="N3232">
        <v>0</v>
      </c>
      <c r="O3232">
        <v>-2.192144E-2</v>
      </c>
      <c r="P3232">
        <v>0.99155599999999999</v>
      </c>
      <c r="Q3232">
        <v>1.0767809999999999E-2</v>
      </c>
      <c r="R3232">
        <v>-0.12923270000000001</v>
      </c>
      <c r="S3232">
        <v>3.0275569999999998</v>
      </c>
      <c r="T3232">
        <v>-0.15399579999999999</v>
      </c>
      <c r="U3232">
        <v>2.5176999999999999E-3</v>
      </c>
      <c r="V3232">
        <v>0.10747080000000001</v>
      </c>
      <c r="W3232">
        <v>2.2936069999999999E-2</v>
      </c>
      <c r="X3232">
        <v>0.99394360000000004</v>
      </c>
      <c r="Y3232">
        <v>-2.2696790000000001E-2</v>
      </c>
      <c r="Z3232">
        <v>1.691185E-3</v>
      </c>
      <c r="AA3232">
        <v>0.99974099999999999</v>
      </c>
      <c r="AB3232">
        <v>47</v>
      </c>
      <c r="AC3232">
        <v>21.332999999999998</v>
      </c>
      <c r="AD3232">
        <v>-1.108916001111</v>
      </c>
      <c r="AE3232">
        <v>2.8300000000001501E-2</v>
      </c>
      <c r="AF3232">
        <v>-0.49464189274506798</v>
      </c>
      <c r="AG3232">
        <v>-1.108916001111</v>
      </c>
      <c r="AH3232">
        <v>21.26978049193</v>
      </c>
      <c r="AI3232">
        <v>92.983651208346899</v>
      </c>
      <c r="AJ3232">
        <v>91.332208639848304</v>
      </c>
      <c r="AK3232">
        <v>21.3044109863302</v>
      </c>
      <c r="AL3232">
        <v>88.685744687843098</v>
      </c>
      <c r="AM3232">
        <v>83.828831316860004</v>
      </c>
      <c r="AN3232">
        <v>0.99999995807032105</v>
      </c>
    </row>
    <row r="3233" spans="1:40" x14ac:dyDescent="0.25">
      <c r="A3233" t="str">
        <f>"20190312151602599"</f>
        <v>20190312151602599</v>
      </c>
      <c r="B3233" t="str">
        <f>"1552374962590944"</f>
        <v>1552374962590944</v>
      </c>
      <c r="C3233" t="s">
        <v>40</v>
      </c>
      <c r="D3233">
        <v>4.3013560000000002</v>
      </c>
      <c r="E3233">
        <v>0.4504089</v>
      </c>
      <c r="F3233" t="s">
        <v>51</v>
      </c>
      <c r="G3233">
        <v>-268.76209999999998</v>
      </c>
      <c r="H3233" s="1">
        <v>3.128729E-6</v>
      </c>
      <c r="I3233">
        <v>214.55260000000001</v>
      </c>
      <c r="J3233">
        <v>-289.37549999999999</v>
      </c>
      <c r="K3233">
        <v>1.1090089999999999</v>
      </c>
      <c r="L3233">
        <v>214.52619999999999</v>
      </c>
      <c r="M3233">
        <v>0.99968800000000002</v>
      </c>
      <c r="N3233">
        <v>0</v>
      </c>
      <c r="O3233">
        <v>-2.1744639999999999E-2</v>
      </c>
      <c r="P3233">
        <v>0.99161739999999998</v>
      </c>
      <c r="Q3233">
        <v>1.1044379999999999E-2</v>
      </c>
      <c r="R3233">
        <v>-0.1287365</v>
      </c>
      <c r="S3233">
        <v>3.0275880000000002</v>
      </c>
      <c r="T3233">
        <v>-0.1591911</v>
      </c>
      <c r="U3233">
        <v>2.3040769999999999E-3</v>
      </c>
      <c r="V3233">
        <v>0.1071447</v>
      </c>
      <c r="W3233">
        <v>2.3266430000000001E-2</v>
      </c>
      <c r="X3233">
        <v>0.99397120000000005</v>
      </c>
      <c r="Y3233">
        <v>-2.2446069999999999E-2</v>
      </c>
      <c r="Z3233">
        <v>1.7322710000000001E-3</v>
      </c>
      <c r="AA3233">
        <v>0.99974660000000004</v>
      </c>
      <c r="AB3233">
        <v>47</v>
      </c>
      <c r="AC3233">
        <v>20.613399999999999</v>
      </c>
      <c r="AD3233">
        <v>-1.10900587127099</v>
      </c>
      <c r="AE3233">
        <v>2.64000000000237E-2</v>
      </c>
      <c r="AF3233">
        <v>-0.47328866521694002</v>
      </c>
      <c r="AG3233">
        <v>-1.10900587127099</v>
      </c>
      <c r="AH3233">
        <v>20.548474514873799</v>
      </c>
      <c r="AI3233">
        <v>93.088451665628995</v>
      </c>
      <c r="AJ3233">
        <v>91.319448271560006</v>
      </c>
      <c r="AK3233">
        <v>20.5838213427817</v>
      </c>
      <c r="AL3233">
        <v>88.666811496394203</v>
      </c>
      <c r="AM3233">
        <v>83.847582270102805</v>
      </c>
      <c r="AN3233">
        <v>1.0000000299662299</v>
      </c>
    </row>
    <row r="3234" spans="1:40" x14ac:dyDescent="0.25">
      <c r="A3234" t="str">
        <f>"20190312151602621"</f>
        <v>20190312151602621</v>
      </c>
      <c r="B3234" t="str">
        <f>"1552374962610465"</f>
        <v>1552374962610465</v>
      </c>
      <c r="C3234" t="s">
        <v>40</v>
      </c>
      <c r="D3234">
        <v>4.3369660000000003</v>
      </c>
      <c r="E3234">
        <v>0.4502256</v>
      </c>
      <c r="F3234" t="s">
        <v>51</v>
      </c>
      <c r="G3234">
        <v>-268.71449999999999</v>
      </c>
      <c r="H3234" s="1">
        <v>3.1033769999999998E-6</v>
      </c>
      <c r="I3234">
        <v>214.5539</v>
      </c>
      <c r="J3234">
        <v>-288.90989999999999</v>
      </c>
      <c r="K3234">
        <v>1.109105</v>
      </c>
      <c r="L3234">
        <v>214.5163</v>
      </c>
      <c r="M3234">
        <v>0.99969240000000004</v>
      </c>
      <c r="N3234">
        <v>0</v>
      </c>
      <c r="O3234">
        <v>-2.150929E-2</v>
      </c>
      <c r="P3234">
        <v>0.99162689999999998</v>
      </c>
      <c r="Q3234">
        <v>1.0749E-2</v>
      </c>
      <c r="R3234">
        <v>-0.12868840000000001</v>
      </c>
      <c r="S3234">
        <v>3.0277099999999999</v>
      </c>
      <c r="T3234">
        <v>-0.1625161</v>
      </c>
      <c r="U3234">
        <v>4.0588380000000004E-3</v>
      </c>
      <c r="V3234">
        <v>0.10732559999999999</v>
      </c>
      <c r="W3234">
        <v>2.3037129999999999E-2</v>
      </c>
      <c r="X3234">
        <v>0.99395699999999998</v>
      </c>
      <c r="Y3234">
        <v>-2.2787390000000001E-2</v>
      </c>
      <c r="Z3234">
        <v>1.764863E-3</v>
      </c>
      <c r="AA3234">
        <v>0.99973880000000004</v>
      </c>
      <c r="AB3234">
        <v>47</v>
      </c>
      <c r="AC3234">
        <v>20.195399999999999</v>
      </c>
      <c r="AD3234">
        <v>-1.109101896623</v>
      </c>
      <c r="AE3234">
        <v>3.7599999999997601E-2</v>
      </c>
      <c r="AF3234">
        <v>-0.470593803761368</v>
      </c>
      <c r="AG3234">
        <v>-1.109101896623</v>
      </c>
      <c r="AH3234">
        <v>20.129207831088401</v>
      </c>
      <c r="AI3234">
        <v>93.152899063210896</v>
      </c>
      <c r="AJ3234">
        <v>91.339254298398103</v>
      </c>
      <c r="AK3234">
        <v>20.165231797635801</v>
      </c>
      <c r="AL3234">
        <v>88.679952908791904</v>
      </c>
      <c r="AM3234">
        <v>83.837187206371993</v>
      </c>
      <c r="AN3234">
        <v>1.00000000581149</v>
      </c>
    </row>
    <row r="3235" spans="1:40" x14ac:dyDescent="0.25">
      <c r="A3235" t="str">
        <f>"20190312151602644"</f>
        <v>20190312151602644</v>
      </c>
      <c r="B3235" t="str">
        <f>"1552374962640721"</f>
        <v>1552374962640721</v>
      </c>
      <c r="C3235" t="s">
        <v>40</v>
      </c>
      <c r="D3235">
        <v>4.3306589999999998</v>
      </c>
      <c r="E3235">
        <v>0.45008949999999998</v>
      </c>
      <c r="F3235" t="s">
        <v>51</v>
      </c>
      <c r="G3235">
        <v>-268.53059999999999</v>
      </c>
      <c r="H3235" s="1">
        <v>3.0054250000000001E-6</v>
      </c>
      <c r="I3235">
        <v>214.5557</v>
      </c>
      <c r="J3235">
        <v>-288.43430000000001</v>
      </c>
      <c r="K3235">
        <v>1.109186</v>
      </c>
      <c r="L3235">
        <v>214.50620000000001</v>
      </c>
      <c r="M3235">
        <v>0.99969889999999995</v>
      </c>
      <c r="N3235">
        <v>0</v>
      </c>
      <c r="O3235">
        <v>-2.120795E-2</v>
      </c>
      <c r="P3235">
        <v>0.99169589999999996</v>
      </c>
      <c r="Q3235">
        <v>1.030608E-2</v>
      </c>
      <c r="R3235">
        <v>-0.12819430000000001</v>
      </c>
      <c r="S3235">
        <v>3.0278930000000002</v>
      </c>
      <c r="T3235">
        <v>-0.16478670000000001</v>
      </c>
      <c r="U3235">
        <v>5.859375E-3</v>
      </c>
      <c r="V3235">
        <v>0.10712480000000001</v>
      </c>
      <c r="W3235">
        <v>2.2614289999999999E-2</v>
      </c>
      <c r="X3235">
        <v>0.99398839999999999</v>
      </c>
      <c r="Y3235">
        <v>-2.3078680000000001E-2</v>
      </c>
      <c r="Z3235">
        <v>1.7809119999999999E-3</v>
      </c>
      <c r="AA3235">
        <v>0.99973210000000001</v>
      </c>
      <c r="AB3235">
        <v>47</v>
      </c>
      <c r="AC3235">
        <v>19.903700000000001</v>
      </c>
      <c r="AD3235">
        <v>-1.109182994575</v>
      </c>
      <c r="AE3235">
        <v>4.9499999999994701E-2</v>
      </c>
      <c r="AF3235">
        <v>-0.47017754247610399</v>
      </c>
      <c r="AG3235">
        <v>-1.109182994575</v>
      </c>
      <c r="AH3235">
        <v>19.8365697134907</v>
      </c>
      <c r="AI3235">
        <v>93.199525261017996</v>
      </c>
      <c r="AJ3235">
        <v>91.357802582772905</v>
      </c>
      <c r="AK3235">
        <v>19.873118825063202</v>
      </c>
      <c r="AL3235">
        <v>88.704186206663294</v>
      </c>
      <c r="AM3235">
        <v>83.848821824294902</v>
      </c>
      <c r="AN3235">
        <v>1.0000000341109001</v>
      </c>
    </row>
    <row r="3236" spans="1:40" x14ac:dyDescent="0.25">
      <c r="A3236" t="str">
        <f>"20190312151602666"</f>
        <v>20190312151602666</v>
      </c>
      <c r="B3236" t="str">
        <f>"1552374962661217"</f>
        <v>1552374962661217</v>
      </c>
      <c r="C3236" t="s">
        <v>40</v>
      </c>
      <c r="D3236">
        <v>4.3432190000000004</v>
      </c>
      <c r="E3236">
        <v>0.4500363</v>
      </c>
      <c r="F3236" t="s">
        <v>51</v>
      </c>
      <c r="G3236">
        <v>-268.57409999999999</v>
      </c>
      <c r="H3236" s="1">
        <v>3.0283170000000001E-6</v>
      </c>
      <c r="I3236">
        <v>214.56200000000001</v>
      </c>
      <c r="J3236">
        <v>-287.9606</v>
      </c>
      <c r="K3236">
        <v>1.1092630000000001</v>
      </c>
      <c r="L3236">
        <v>214.49639999999999</v>
      </c>
      <c r="M3236">
        <v>0.9997064</v>
      </c>
      <c r="N3236">
        <v>0</v>
      </c>
      <c r="O3236">
        <v>-2.0850980000000002E-2</v>
      </c>
      <c r="P3236">
        <v>0.99182329999999996</v>
      </c>
      <c r="Q3236">
        <v>1.0326979999999999E-2</v>
      </c>
      <c r="R3236">
        <v>-0.12720109999999901</v>
      </c>
      <c r="S3236">
        <v>3.0279850000000001</v>
      </c>
      <c r="T3236">
        <v>-0.16911209999999999</v>
      </c>
      <c r="U3236">
        <v>8.4991459999999904E-3</v>
      </c>
      <c r="V3236">
        <v>0.1064797</v>
      </c>
      <c r="W3236">
        <v>2.2648129999999999E-2</v>
      </c>
      <c r="X3236">
        <v>0.99405690000000002</v>
      </c>
      <c r="Y3236">
        <v>-2.3589470000000001E-2</v>
      </c>
      <c r="Z3236">
        <v>1.821865E-3</v>
      </c>
      <c r="AA3236">
        <v>0.9997201</v>
      </c>
      <c r="AB3236">
        <v>47</v>
      </c>
      <c r="AC3236">
        <v>19.386500000000002</v>
      </c>
      <c r="AD3236">
        <v>-1.1092599716829901</v>
      </c>
      <c r="AE3236">
        <v>6.5600000000017603E-2</v>
      </c>
      <c r="AF3236">
        <v>-0.46831086140806999</v>
      </c>
      <c r="AG3236">
        <v>-1.1092599716829901</v>
      </c>
      <c r="AH3236">
        <v>19.317672938402399</v>
      </c>
      <c r="AI3236">
        <v>93.285467782484304</v>
      </c>
      <c r="AJ3236">
        <v>91.388727375392193</v>
      </c>
      <c r="AK3236">
        <v>19.355161081809101</v>
      </c>
      <c r="AL3236">
        <v>88.702246766660494</v>
      </c>
      <c r="AM3236">
        <v>83.886000616645106</v>
      </c>
      <c r="AN3236">
        <v>0.99999999237109805</v>
      </c>
    </row>
    <row r="3237" spans="1:40" x14ac:dyDescent="0.25">
      <c r="A3237" t="str">
        <f>"20190312151602689"</f>
        <v>20190312151602689</v>
      </c>
      <c r="B3237" t="str">
        <f>"1552374962680737"</f>
        <v>1552374962680737</v>
      </c>
      <c r="C3237" t="s">
        <v>40</v>
      </c>
      <c r="D3237">
        <v>4.3182450000000001</v>
      </c>
      <c r="E3237">
        <v>0.44999640000000002</v>
      </c>
      <c r="F3237" t="s">
        <v>51</v>
      </c>
      <c r="G3237">
        <v>-268.09089999999998</v>
      </c>
      <c r="H3237" s="1">
        <v>2.7705870000000001E-6</v>
      </c>
      <c r="I3237">
        <v>214.57499999999999</v>
      </c>
      <c r="J3237">
        <v>-287.48669999999998</v>
      </c>
      <c r="K3237">
        <v>1.1093390000000001</v>
      </c>
      <c r="L3237">
        <v>214.48679999999999</v>
      </c>
      <c r="M3237">
        <v>0.99971480000000001</v>
      </c>
      <c r="N3237">
        <v>0</v>
      </c>
      <c r="O3237">
        <v>-2.0443449999999998E-2</v>
      </c>
      <c r="P3237">
        <v>0.99195860000000002</v>
      </c>
      <c r="Q3237">
        <v>1.00627999999999E-2</v>
      </c>
      <c r="R3237">
        <v>-0.12616169999999999</v>
      </c>
      <c r="S3237">
        <v>3.0280459999999998</v>
      </c>
      <c r="T3237">
        <v>-0.1690458</v>
      </c>
      <c r="U3237">
        <v>1.197815E-2</v>
      </c>
      <c r="V3237">
        <v>0.1058393</v>
      </c>
      <c r="W3237">
        <v>2.241168E-2</v>
      </c>
      <c r="X3237">
        <v>0.99413070000000003</v>
      </c>
      <c r="Y3237">
        <v>-2.4330009999999999E-2</v>
      </c>
      <c r="Z3237">
        <v>1.819038E-3</v>
      </c>
      <c r="AA3237">
        <v>0.99970230000000004</v>
      </c>
      <c r="AB3237">
        <v>47</v>
      </c>
      <c r="AC3237">
        <v>19.395800000000001</v>
      </c>
      <c r="AD3237">
        <v>-1.10933622941299</v>
      </c>
      <c r="AE3237">
        <v>8.82000000000005E-2</v>
      </c>
      <c r="AF3237">
        <v>-0.483148390210352</v>
      </c>
      <c r="AG3237">
        <v>-1.10933622941299</v>
      </c>
      <c r="AH3237">
        <v>19.3267217875438</v>
      </c>
      <c r="AI3237">
        <v>93.284097157729803</v>
      </c>
      <c r="AJ3237">
        <v>91.432037953115</v>
      </c>
      <c r="AK3237">
        <v>19.364561298670601</v>
      </c>
      <c r="AL3237">
        <v>88.715797860806802</v>
      </c>
      <c r="AM3237">
        <v>83.922943764050999</v>
      </c>
      <c r="AN3237">
        <v>1.0000000447537001</v>
      </c>
    </row>
    <row r="3238" spans="1:40" x14ac:dyDescent="0.25">
      <c r="A3238" t="str">
        <f>"20190312151602711"</f>
        <v>20190312151602711</v>
      </c>
      <c r="B3238" t="str">
        <f>"1552374962701232"</f>
        <v>1552374962701232</v>
      </c>
      <c r="C3238" t="s">
        <v>40</v>
      </c>
      <c r="D3238">
        <v>4.3340759999999996</v>
      </c>
      <c r="E3238">
        <v>0.4499262</v>
      </c>
      <c r="F3238" t="s">
        <v>51</v>
      </c>
      <c r="G3238">
        <v>-267.86270000000002</v>
      </c>
      <c r="H3238" s="1">
        <v>2.6486669999999999E-6</v>
      </c>
      <c r="I3238">
        <v>214.5865</v>
      </c>
      <c r="J3238">
        <v>-287.01179999999999</v>
      </c>
      <c r="K3238">
        <v>1.1093959999999901</v>
      </c>
      <c r="L3238">
        <v>214.47739999999999</v>
      </c>
      <c r="M3238">
        <v>0.99972369999999999</v>
      </c>
      <c r="N3238">
        <v>0</v>
      </c>
      <c r="O3238">
        <v>-1.999575E-2</v>
      </c>
      <c r="P3238">
        <v>0.99212140000000004</v>
      </c>
      <c r="Q3238">
        <v>1.019638E-2</v>
      </c>
      <c r="R3238">
        <v>-0.12486559999999999</v>
      </c>
      <c r="S3238">
        <v>3.0280149999999999</v>
      </c>
      <c r="T3238">
        <v>-0.17117299999999999</v>
      </c>
      <c r="U3238">
        <v>1.538086E-2</v>
      </c>
      <c r="V3238">
        <v>0.10498150000000001</v>
      </c>
      <c r="W3238">
        <v>2.2583780000000001E-2</v>
      </c>
      <c r="X3238">
        <v>0.99421769999999998</v>
      </c>
      <c r="Y3238">
        <v>-2.5003620000000001E-2</v>
      </c>
      <c r="Z3238">
        <v>1.835646E-3</v>
      </c>
      <c r="AA3238">
        <v>0.99968570000000001</v>
      </c>
      <c r="AB3238">
        <v>47</v>
      </c>
      <c r="AC3238">
        <v>19.149099999999901</v>
      </c>
      <c r="AD3238">
        <v>-1.1093933513330001</v>
      </c>
      <c r="AE3238">
        <v>0.10910000000001201</v>
      </c>
      <c r="AF3238">
        <v>-0.490362235750608</v>
      </c>
      <c r="AG3238">
        <v>-1.1093933513330001</v>
      </c>
      <c r="AH3238">
        <v>19.079054179340901</v>
      </c>
      <c r="AI3238">
        <v>93.326745131145202</v>
      </c>
      <c r="AJ3238">
        <v>91.472269134371601</v>
      </c>
      <c r="AK3238">
        <v>19.117570899789001</v>
      </c>
      <c r="AL3238">
        <v>88.705934688658502</v>
      </c>
      <c r="AM3238">
        <v>83.972356212955702</v>
      </c>
      <c r="AN3238">
        <v>0.99999998872731399</v>
      </c>
    </row>
    <row r="3239" spans="1:40" x14ac:dyDescent="0.25">
      <c r="A3239" t="str">
        <f>"20190312151602745"</f>
        <v>20190312151602745</v>
      </c>
      <c r="B3239" t="str">
        <f>"1552374962741249"</f>
        <v>1552374962741249</v>
      </c>
      <c r="C3239" t="s">
        <v>40</v>
      </c>
      <c r="D3239">
        <v>4.3047000000000004</v>
      </c>
      <c r="E3239">
        <v>0.44984849999999998</v>
      </c>
      <c r="F3239" t="s">
        <v>51</v>
      </c>
      <c r="G3239">
        <v>-267.46910000000003</v>
      </c>
      <c r="H3239" s="1">
        <v>2.438346E-6</v>
      </c>
      <c r="I3239">
        <v>214.6062</v>
      </c>
      <c r="J3239">
        <v>-286.30610000000001</v>
      </c>
      <c r="K3239">
        <v>1.109478</v>
      </c>
      <c r="L3239">
        <v>214.4639</v>
      </c>
      <c r="M3239">
        <v>0.99973730000000005</v>
      </c>
      <c r="N3239">
        <v>0</v>
      </c>
      <c r="O3239">
        <v>-1.9280390000000001E-2</v>
      </c>
      <c r="P3239">
        <v>0.99226400000000003</v>
      </c>
      <c r="Q3239">
        <v>9.8376090000000006E-3</v>
      </c>
      <c r="R3239">
        <v>-0.1237563</v>
      </c>
      <c r="S3239">
        <v>3.0281069999999999</v>
      </c>
      <c r="T3239">
        <v>-0.17189860000000001</v>
      </c>
      <c r="U3239">
        <v>1.9958500000000001E-2</v>
      </c>
      <c r="V3239">
        <v>0.10457760000000001</v>
      </c>
      <c r="W3239">
        <v>2.2282489999999999E-2</v>
      </c>
      <c r="X3239">
        <v>0.99426700000000001</v>
      </c>
      <c r="Y3239">
        <v>-2.579859E-2</v>
      </c>
      <c r="Z3239">
        <v>1.8253270000000001E-3</v>
      </c>
      <c r="AA3239">
        <v>0.99966549999999998</v>
      </c>
      <c r="AB3239">
        <v>47</v>
      </c>
      <c r="AC3239">
        <v>18.8369999999999</v>
      </c>
      <c r="AD3239">
        <v>-1.109475561654</v>
      </c>
      <c r="AE3239">
        <v>0.14230000000000501</v>
      </c>
      <c r="AF3239">
        <v>-0.50373874543372998</v>
      </c>
      <c r="AG3239">
        <v>-1.109475561654</v>
      </c>
      <c r="AH3239">
        <v>18.765658644938</v>
      </c>
      <c r="AI3239">
        <v>93.382324327192194</v>
      </c>
      <c r="AJ3239">
        <v>91.537658503393999</v>
      </c>
      <c r="AK3239">
        <v>18.805175700425998</v>
      </c>
      <c r="AL3239">
        <v>88.723201598946702</v>
      </c>
      <c r="AM3239">
        <v>83.995672441977703</v>
      </c>
      <c r="AN3239">
        <v>0.99999992553567696</v>
      </c>
    </row>
    <row r="3240" spans="1:40" x14ac:dyDescent="0.25">
      <c r="A3240" t="str">
        <f>"20190312151602765"</f>
        <v>20190312151602765</v>
      </c>
      <c r="B3240" t="str">
        <f>"1552374962760769"</f>
        <v>1552374962760769</v>
      </c>
      <c r="C3240" t="s">
        <v>40</v>
      </c>
      <c r="D3240">
        <v>4.4613509999999996</v>
      </c>
      <c r="E3240">
        <v>0.44991330000000002</v>
      </c>
      <c r="F3240" t="s">
        <v>51</v>
      </c>
      <c r="G3240">
        <v>-266.99099999999999</v>
      </c>
      <c r="H3240" s="1">
        <v>2.1834440000000001E-6</v>
      </c>
      <c r="I3240">
        <v>214.6173</v>
      </c>
      <c r="J3240">
        <v>-285.85050000000001</v>
      </c>
      <c r="K3240">
        <v>1.109521</v>
      </c>
      <c r="L3240">
        <v>214.4555</v>
      </c>
      <c r="M3240">
        <v>0.99974609999999997</v>
      </c>
      <c r="N3240">
        <v>0</v>
      </c>
      <c r="O3240">
        <v>-1.880244E-2</v>
      </c>
      <c r="P3240">
        <v>0.99234860000000003</v>
      </c>
      <c r="Q3240">
        <v>1.003154E-2</v>
      </c>
      <c r="R3240">
        <v>-0.1230614</v>
      </c>
      <c r="S3240">
        <v>3.0281069999999999</v>
      </c>
      <c r="T3240">
        <v>-0.1739376</v>
      </c>
      <c r="U3240">
        <v>2.4047849999999999E-2</v>
      </c>
      <c r="V3240">
        <v>0.1043539</v>
      </c>
      <c r="W3240">
        <v>2.2509410000000001E-2</v>
      </c>
      <c r="X3240">
        <v>0.99428550000000004</v>
      </c>
      <c r="Y3240">
        <v>-2.6668239999999999E-2</v>
      </c>
      <c r="Z3240">
        <v>1.8444640000000001E-3</v>
      </c>
      <c r="AA3240">
        <v>0.99964260000000005</v>
      </c>
      <c r="AB3240">
        <v>47</v>
      </c>
      <c r="AC3240">
        <v>18.859500000000001</v>
      </c>
      <c r="AD3240">
        <v>-1.1095188165559999</v>
      </c>
      <c r="AE3240">
        <v>0.161799999999999</v>
      </c>
      <c r="AF3240">
        <v>-0.51462234618889202</v>
      </c>
      <c r="AG3240">
        <v>-1.1095188165559999</v>
      </c>
      <c r="AH3240">
        <v>18.788101066404401</v>
      </c>
      <c r="AI3240">
        <v>93.378374922092704</v>
      </c>
      <c r="AJ3240">
        <v>91.568988676425803</v>
      </c>
      <c r="AK3240">
        <v>18.827867904914701</v>
      </c>
      <c r="AL3240">
        <v>88.710196916089004</v>
      </c>
      <c r="AM3240">
        <v>84.008533328490998</v>
      </c>
      <c r="AN3240">
        <v>1.000000032747</v>
      </c>
    </row>
    <row r="3241" spans="1:40" x14ac:dyDescent="0.25">
      <c r="A3241" t="str">
        <f>"20190312151602789"</f>
        <v>20190312151602789</v>
      </c>
      <c r="B3241" t="str">
        <f>"1552374962781265"</f>
        <v>1552374962781265</v>
      </c>
      <c r="C3241" t="s">
        <v>40</v>
      </c>
      <c r="D3241">
        <v>4.3057089999999896</v>
      </c>
      <c r="E3241">
        <v>0.44992500000000002</v>
      </c>
      <c r="F3241" t="s">
        <v>51</v>
      </c>
      <c r="G3241">
        <v>-266.28809999999999</v>
      </c>
      <c r="H3241" s="1">
        <v>1.8092120000000001E-6</v>
      </c>
      <c r="I3241">
        <v>214.62110000000001</v>
      </c>
      <c r="J3241">
        <v>-285.3716</v>
      </c>
      <c r="K3241">
        <v>1.1095729999999999</v>
      </c>
      <c r="L3241">
        <v>214.4468</v>
      </c>
      <c r="M3241">
        <v>0.99975519999999996</v>
      </c>
      <c r="N3241">
        <v>0</v>
      </c>
      <c r="O3241">
        <v>-1.8294029999999999E-2</v>
      </c>
      <c r="P3241">
        <v>0.99236029999999997</v>
      </c>
      <c r="Q3241">
        <v>1.0662090000000001E-2</v>
      </c>
      <c r="R3241">
        <v>-0.1229127</v>
      </c>
      <c r="S3241">
        <v>3.0280459999999998</v>
      </c>
      <c r="T3241">
        <v>-0.17174110000000001</v>
      </c>
      <c r="U3241">
        <v>2.5634770000000001E-2</v>
      </c>
      <c r="V3241">
        <v>0.1047082</v>
      </c>
      <c r="W3241">
        <v>2.3170610000000001E-2</v>
      </c>
      <c r="X3241">
        <v>0.99423300000000003</v>
      </c>
      <c r="Y3241">
        <v>-2.668657E-2</v>
      </c>
      <c r="Z3241">
        <v>1.792952E-3</v>
      </c>
      <c r="AA3241">
        <v>0.99964229999999998</v>
      </c>
      <c r="AB3241">
        <v>47</v>
      </c>
      <c r="AC3241">
        <v>19.083500000000001</v>
      </c>
      <c r="AD3241">
        <v>-1.1095711907879999</v>
      </c>
      <c r="AE3241">
        <v>0.174300000000016</v>
      </c>
      <c r="AF3241">
        <v>-0.521648644129176</v>
      </c>
      <c r="AG3241">
        <v>-1.1095711907879999</v>
      </c>
      <c r="AH3241">
        <v>19.012847445206599</v>
      </c>
      <c r="AI3241">
        <v>93.338683878677699</v>
      </c>
      <c r="AJ3241">
        <v>91.571609382218099</v>
      </c>
      <c r="AK3241">
        <v>19.0523393185731</v>
      </c>
      <c r="AL3241">
        <v>88.672302980371597</v>
      </c>
      <c r="AM3241">
        <v>83.988024836877699</v>
      </c>
      <c r="AN3241">
        <v>0.99999997130200502</v>
      </c>
    </row>
    <row r="3242" spans="1:40" x14ac:dyDescent="0.25">
      <c r="A3242" t="str">
        <f>"20190312151602811"</f>
        <v>20190312151602811</v>
      </c>
      <c r="B3242" t="str">
        <f>"1552374962800785"</f>
        <v>1552374962800785</v>
      </c>
      <c r="C3242" t="s">
        <v>40</v>
      </c>
      <c r="D3242">
        <v>4.2928280000000001</v>
      </c>
      <c r="E3242">
        <v>0.44990019999999997</v>
      </c>
      <c r="F3242" t="s">
        <v>51</v>
      </c>
      <c r="G3242">
        <v>-265.4914</v>
      </c>
      <c r="H3242" s="1">
        <v>1.385428E-6</v>
      </c>
      <c r="I3242">
        <v>214.61750000000001</v>
      </c>
      <c r="J3242">
        <v>-284.8972</v>
      </c>
      <c r="K3242">
        <v>1.1096159999999999</v>
      </c>
      <c r="L3242">
        <v>214.4385</v>
      </c>
      <c r="M3242">
        <v>0.99976399999999999</v>
      </c>
      <c r="N3242">
        <v>0</v>
      </c>
      <c r="O3242">
        <v>-1.778797E-2</v>
      </c>
      <c r="P3242">
        <v>0.9923651</v>
      </c>
      <c r="Q3242">
        <v>1.0743539999999999E-2</v>
      </c>
      <c r="R3242">
        <v>-0.1228663</v>
      </c>
      <c r="S3242">
        <v>3.0281069999999999</v>
      </c>
      <c r="T3242">
        <v>-0.1690073</v>
      </c>
      <c r="U3242">
        <v>2.600098E-2</v>
      </c>
      <c r="V3242">
        <v>0.1051634</v>
      </c>
      <c r="W3242">
        <v>2.3279299999999999E-2</v>
      </c>
      <c r="X3242">
        <v>0.99418249999999997</v>
      </c>
      <c r="Y3242">
        <v>-2.6304950000000001E-2</v>
      </c>
      <c r="Z3242">
        <v>1.725557E-3</v>
      </c>
      <c r="AA3242">
        <v>0.99965250000000005</v>
      </c>
      <c r="AB3242">
        <v>47</v>
      </c>
      <c r="AC3242">
        <v>19.405799999999999</v>
      </c>
      <c r="AD3242">
        <v>-1.1096146145719901</v>
      </c>
      <c r="AE3242">
        <v>0.17900000000000199</v>
      </c>
      <c r="AF3242">
        <v>-0.52248020666986905</v>
      </c>
      <c r="AG3242">
        <v>-1.1096146145719901</v>
      </c>
      <c r="AH3242">
        <v>19.336330135191201</v>
      </c>
      <c r="AI3242">
        <v>93.283118616284398</v>
      </c>
      <c r="AJ3242">
        <v>91.547792582371997</v>
      </c>
      <c r="AK3242">
        <v>19.375187566997599</v>
      </c>
      <c r="AL3242">
        <v>88.666073933231502</v>
      </c>
      <c r="AM3242">
        <v>83.961777082520896</v>
      </c>
      <c r="AN3242">
        <v>1.0000000549071399</v>
      </c>
    </row>
    <row r="3243" spans="1:40" x14ac:dyDescent="0.25">
      <c r="A3243" t="str">
        <f>"20190312151602834"</f>
        <v>20190312151602834</v>
      </c>
      <c r="B3243" t="str">
        <f>"1552374962831041"</f>
        <v>1552374962831041</v>
      </c>
      <c r="C3243" t="s">
        <v>40</v>
      </c>
      <c r="D3243">
        <v>4.3088300000000004</v>
      </c>
      <c r="E3243">
        <v>0.45002619999999999</v>
      </c>
      <c r="F3243" t="s">
        <v>51</v>
      </c>
      <c r="G3243">
        <v>-265.07170000000002</v>
      </c>
      <c r="H3243" s="1">
        <v>1.162259E-6</v>
      </c>
      <c r="I3243">
        <v>214.6129</v>
      </c>
      <c r="J3243">
        <v>-284.4178</v>
      </c>
      <c r="K3243">
        <v>1.109645</v>
      </c>
      <c r="L3243">
        <v>214.43029999999999</v>
      </c>
      <c r="M3243">
        <v>0.99977289999999996</v>
      </c>
      <c r="N3243">
        <v>0</v>
      </c>
      <c r="O3243">
        <v>-1.727528E-2</v>
      </c>
      <c r="P3243">
        <v>0.99235450000000003</v>
      </c>
      <c r="Q3243">
        <v>1.148122E-2</v>
      </c>
      <c r="R3243">
        <v>-0.1228866</v>
      </c>
      <c r="S3243">
        <v>3.028168</v>
      </c>
      <c r="T3243">
        <v>-0.16948369999999999</v>
      </c>
      <c r="U3243">
        <v>2.6641850000000002E-2</v>
      </c>
      <c r="V3243">
        <v>0.1056913</v>
      </c>
      <c r="W3243">
        <v>2.4042020000000001E-2</v>
      </c>
      <c r="X3243">
        <v>0.99410829999999994</v>
      </c>
      <c r="Y3243">
        <v>-2.6004579999999999E-2</v>
      </c>
      <c r="Z3243">
        <v>1.6933060000000001E-3</v>
      </c>
      <c r="AA3243">
        <v>0.9996604</v>
      </c>
      <c r="AB3243">
        <v>47</v>
      </c>
      <c r="AC3243">
        <v>19.3460999999999</v>
      </c>
      <c r="AD3243">
        <v>-1.1096438377410001</v>
      </c>
      <c r="AE3243">
        <v>0.18260000000000701</v>
      </c>
      <c r="AF3243">
        <v>-0.51511355243800905</v>
      </c>
      <c r="AG3243">
        <v>-1.1096438377410001</v>
      </c>
      <c r="AH3243">
        <v>19.276645598545301</v>
      </c>
      <c r="AI3243">
        <v>93.293374380318994</v>
      </c>
      <c r="AJ3243">
        <v>91.530702547034196</v>
      </c>
      <c r="AK3243">
        <v>19.315426916080799</v>
      </c>
      <c r="AL3243">
        <v>88.622360971857802</v>
      </c>
      <c r="AM3243">
        <v>83.931242414485098</v>
      </c>
      <c r="AN3243">
        <v>0.99999999087513003</v>
      </c>
    </row>
    <row r="3244" spans="1:40" x14ac:dyDescent="0.25">
      <c r="A3244" t="str">
        <f>"20190312151602945"</f>
        <v>20190312151602945</v>
      </c>
      <c r="B3244" t="str">
        <f>"1552374962941329"</f>
        <v>1552374962941329</v>
      </c>
      <c r="C3244" t="s">
        <v>40</v>
      </c>
      <c r="D3244">
        <v>4.7492580000000002</v>
      </c>
      <c r="E3244">
        <v>0.50503120000000001</v>
      </c>
      <c r="F3244" t="s">
        <v>51</v>
      </c>
      <c r="G3244">
        <v>-264.34500000000003</v>
      </c>
      <c r="H3244" s="1">
        <v>7.7619800000000003E-7</v>
      </c>
      <c r="I3244">
        <v>214.59800000000001</v>
      </c>
      <c r="J3244">
        <v>-282.06599999999997</v>
      </c>
      <c r="K3244">
        <v>1.1095930000000001</v>
      </c>
      <c r="L3244">
        <v>214.39420000000001</v>
      </c>
      <c r="M3244">
        <v>0.99982179999999998</v>
      </c>
      <c r="N3244">
        <v>0</v>
      </c>
      <c r="O3244">
        <v>-1.457635E-2</v>
      </c>
      <c r="P3244">
        <v>0.99233210000000005</v>
      </c>
      <c r="Q3244">
        <v>1.349536E-2</v>
      </c>
      <c r="R3244">
        <v>-0.12286130000000001</v>
      </c>
      <c r="S3244">
        <v>3.0281980000000002</v>
      </c>
      <c r="T3244">
        <v>-0.16740179999999999</v>
      </c>
      <c r="U3244">
        <v>2.529907E-2</v>
      </c>
      <c r="V3244">
        <v>0.10834249999999999</v>
      </c>
      <c r="W3244">
        <v>2.5587929999999998E-2</v>
      </c>
      <c r="X3244">
        <v>0.99378420000000001</v>
      </c>
      <c r="Y3244">
        <v>-2.2873029999999999E-2</v>
      </c>
      <c r="Z3244">
        <v>1.4369439999999999E-3</v>
      </c>
      <c r="AA3244">
        <v>0.99973730000000005</v>
      </c>
      <c r="AB3244">
        <v>47</v>
      </c>
      <c r="AC3244">
        <v>17.720999999999901</v>
      </c>
      <c r="AD3244">
        <v>-1.109592223802</v>
      </c>
      <c r="AE3244">
        <v>0.203799999999972</v>
      </c>
      <c r="AF3244">
        <v>-0.460300025819811</v>
      </c>
      <c r="AG3244">
        <v>-1.109592223802</v>
      </c>
      <c r="AH3244">
        <v>17.646968954784601</v>
      </c>
      <c r="AI3244">
        <v>93.596642385296207</v>
      </c>
      <c r="AJ3244">
        <v>91.494152914019693</v>
      </c>
      <c r="AK3244">
        <v>17.687808917670498</v>
      </c>
      <c r="AL3244">
        <v>88.533759482068206</v>
      </c>
      <c r="AM3244">
        <v>83.778177627930006</v>
      </c>
      <c r="AN3244">
        <v>0.99999993781878505</v>
      </c>
    </row>
    <row r="3245" spans="1:40" x14ac:dyDescent="0.25">
      <c r="A3245" t="str">
        <f>"20190312151602968"</f>
        <v>20190312151602968</v>
      </c>
      <c r="B3245" t="str">
        <f>"1552374962960849"</f>
        <v>1552374962960849</v>
      </c>
      <c r="C3245" t="s">
        <v>40</v>
      </c>
      <c r="D3245">
        <v>4.4368100000000004</v>
      </c>
      <c r="E3245">
        <v>0.50074640000000004</v>
      </c>
      <c r="F3245" t="s">
        <v>51</v>
      </c>
      <c r="G3245">
        <v>-237.03</v>
      </c>
      <c r="H3245">
        <v>8.0001149999999993E-2</v>
      </c>
      <c r="I3245">
        <v>208.19759999999999</v>
      </c>
      <c r="J3245">
        <v>-281.57760000000002</v>
      </c>
      <c r="K3245">
        <v>1.10924</v>
      </c>
      <c r="L3245">
        <v>214.38740000000001</v>
      </c>
      <c r="M3245">
        <v>0.9998456</v>
      </c>
      <c r="N3245">
        <v>0</v>
      </c>
      <c r="O3245">
        <v>-1.3973879999999999E-2</v>
      </c>
      <c r="P3245">
        <v>0.99224939999999995</v>
      </c>
      <c r="Q3245">
        <v>1.4995319999999999E-2</v>
      </c>
      <c r="R3245">
        <v>-0.1233547</v>
      </c>
      <c r="S3245">
        <v>2.9734189999999998</v>
      </c>
      <c r="T3245">
        <v>-6.7976830000000002E-2</v>
      </c>
      <c r="U3245">
        <v>-0.4091187</v>
      </c>
      <c r="V3245">
        <v>0.1094371</v>
      </c>
      <c r="W3245">
        <v>2.5753809999999999E-2</v>
      </c>
      <c r="X3245">
        <v>0.99365999999999999</v>
      </c>
      <c r="Y3245">
        <v>0.1224224</v>
      </c>
      <c r="Z3245">
        <v>-1.07478E-3</v>
      </c>
      <c r="AA3245">
        <v>0.99247750000000001</v>
      </c>
      <c r="AB3245">
        <v>47</v>
      </c>
      <c r="AC3245">
        <v>44.547600000000003</v>
      </c>
      <c r="AD3245">
        <v>-1.02923885</v>
      </c>
      <c r="AE3245">
        <v>-6.1898000000000204</v>
      </c>
      <c r="AF3245">
        <v>5.5637437060341997</v>
      </c>
      <c r="AG3245">
        <v>-1.02923885</v>
      </c>
      <c r="AH3245">
        <v>44.606390166599603</v>
      </c>
      <c r="AI3245">
        <v>91.311636787004502</v>
      </c>
      <c r="AJ3245">
        <v>82.890230361641102</v>
      </c>
      <c r="AK3245">
        <v>44.963814566067398</v>
      </c>
      <c r="AL3245">
        <v>88.524252166873097</v>
      </c>
      <c r="AM3245">
        <v>83.715038890333702</v>
      </c>
      <c r="AN3245">
        <v>0.99999996659296198</v>
      </c>
    </row>
    <row r="3246" spans="1:40" x14ac:dyDescent="0.25">
      <c r="A3246" t="str">
        <f>"20190312151602991"</f>
        <v>20190312151602991</v>
      </c>
      <c r="B3246" t="str">
        <f>"1552374962981345"</f>
        <v>1552374962981345</v>
      </c>
      <c r="C3246" t="s">
        <v>40</v>
      </c>
      <c r="D3246">
        <v>4.5457419999999997</v>
      </c>
      <c r="E3246">
        <v>0.49696030000000002</v>
      </c>
      <c r="F3246" t="s">
        <v>57</v>
      </c>
      <c r="G3246">
        <v>-168.41419999999999</v>
      </c>
      <c r="H3246">
        <v>4.9651779999999999</v>
      </c>
      <c r="I3246">
        <v>200.09960000000001</v>
      </c>
      <c r="J3246">
        <v>-281.09190000000001</v>
      </c>
      <c r="K3246">
        <v>1.108905</v>
      </c>
      <c r="L3246">
        <v>214.3809</v>
      </c>
      <c r="M3246">
        <v>0.99986850000000005</v>
      </c>
      <c r="N3246">
        <v>0</v>
      </c>
      <c r="O3246">
        <v>-1.334903E-2</v>
      </c>
      <c r="P3246">
        <v>0.99219610000000003</v>
      </c>
      <c r="Q3246">
        <v>1.67613E-2</v>
      </c>
      <c r="R3246">
        <v>-0.123556399999999</v>
      </c>
      <c r="S3246">
        <v>2.9751889999999999</v>
      </c>
      <c r="T3246">
        <v>0.1013777</v>
      </c>
      <c r="U3246">
        <v>-0.3756409</v>
      </c>
      <c r="V3246">
        <v>0.1102612</v>
      </c>
      <c r="W3246">
        <v>2.6072709999999999E-2</v>
      </c>
      <c r="X3246">
        <v>0.99356060000000002</v>
      </c>
      <c r="Y3246">
        <v>0.11195140000000001</v>
      </c>
      <c r="Z3246">
        <v>1.4464059999999999E-3</v>
      </c>
      <c r="AA3246">
        <v>0.99371259999999995</v>
      </c>
      <c r="AB3246">
        <v>48</v>
      </c>
      <c r="AC3246">
        <v>112.6777</v>
      </c>
      <c r="AD3246">
        <v>3.8562729999999998</v>
      </c>
      <c r="AE3246">
        <v>-14.2812999999999</v>
      </c>
      <c r="AF3246">
        <v>12.761115141595001</v>
      </c>
      <c r="AG3246">
        <v>3.8562729999999998</v>
      </c>
      <c r="AH3246">
        <v>112.728360286887</v>
      </c>
      <c r="AI3246">
        <v>88.053183490516801</v>
      </c>
      <c r="AJ3246">
        <v>83.541477706904303</v>
      </c>
      <c r="AK3246">
        <v>113.51387630628101</v>
      </c>
      <c r="AL3246">
        <v>88.505974442530501</v>
      </c>
      <c r="AM3246">
        <v>83.667465576881398</v>
      </c>
      <c r="AN3246">
        <v>0.99999999215227198</v>
      </c>
    </row>
    <row r="3247" spans="1:40" x14ac:dyDescent="0.25">
      <c r="A3247" t="str">
        <f>"20190312151603012"</f>
        <v>20190312151603012</v>
      </c>
      <c r="B3247" t="str">
        <f>"1552374963000865"</f>
        <v>1552374963000865</v>
      </c>
      <c r="C3247" t="s">
        <v>40</v>
      </c>
      <c r="D3247">
        <v>4.5546290000000003</v>
      </c>
      <c r="E3247">
        <v>0.49660749999999998</v>
      </c>
      <c r="F3247" t="s">
        <v>57</v>
      </c>
      <c r="G3247">
        <v>-168.41499999999999</v>
      </c>
      <c r="H3247">
        <v>8.5129780000000004</v>
      </c>
      <c r="I3247">
        <v>201.3004</v>
      </c>
      <c r="J3247">
        <v>-280.62040000000002</v>
      </c>
      <c r="K3247">
        <v>1.108711</v>
      </c>
      <c r="L3247">
        <v>214.37479999999999</v>
      </c>
      <c r="M3247">
        <v>0.99988759999999999</v>
      </c>
      <c r="N3247">
        <v>0</v>
      </c>
      <c r="O3247">
        <v>-1.269429E-2</v>
      </c>
      <c r="P3247">
        <v>0.99216139999999997</v>
      </c>
      <c r="Q3247">
        <v>1.8250990000000002E-2</v>
      </c>
      <c r="R3247">
        <v>-0.12362330000000001</v>
      </c>
      <c r="S3247">
        <v>2.9772639999999999</v>
      </c>
      <c r="T3247">
        <v>0.1956388</v>
      </c>
      <c r="U3247">
        <v>-0.34562680000000001</v>
      </c>
      <c r="V3247">
        <v>0.1109786</v>
      </c>
      <c r="W3247">
        <v>2.634918E-2</v>
      </c>
      <c r="X3247">
        <v>0.99347339999999995</v>
      </c>
      <c r="Y3247">
        <v>0.102504</v>
      </c>
      <c r="Z3247">
        <v>2.5226319999999999E-3</v>
      </c>
      <c r="AA3247">
        <v>0.99472939999999999</v>
      </c>
      <c r="AB3247">
        <v>48</v>
      </c>
      <c r="AC3247">
        <v>112.2054</v>
      </c>
      <c r="AD3247">
        <v>7.4042669999999999</v>
      </c>
      <c r="AE3247">
        <v>-13.074399999999899</v>
      </c>
      <c r="AF3247">
        <v>11.599101726133</v>
      </c>
      <c r="AG3247">
        <v>7.4042669999999999</v>
      </c>
      <c r="AH3247">
        <v>111.881673138829</v>
      </c>
      <c r="AI3247">
        <v>86.233845114648403</v>
      </c>
      <c r="AJ3247">
        <v>84.081123299279497</v>
      </c>
      <c r="AK3247">
        <v>112.724758216659</v>
      </c>
      <c r="AL3247">
        <v>88.490128389606397</v>
      </c>
      <c r="AM3247">
        <v>83.626046922136794</v>
      </c>
      <c r="AN3247">
        <v>0.99999996272609504</v>
      </c>
    </row>
    <row r="3248" spans="1:40" x14ac:dyDescent="0.25">
      <c r="A3248" t="str">
        <f>"20190312151603036"</f>
        <v>20190312151603036</v>
      </c>
      <c r="B3248" t="str">
        <f>"1552374963031121"</f>
        <v>1552374963031121</v>
      </c>
      <c r="C3248" t="s">
        <v>40</v>
      </c>
      <c r="D3248">
        <v>4.5303089999999999</v>
      </c>
      <c r="E3248">
        <v>0.49517820000000001</v>
      </c>
      <c r="F3248" t="s">
        <v>57</v>
      </c>
      <c r="G3248">
        <v>-168.4143</v>
      </c>
      <c r="H3248">
        <v>6.531218</v>
      </c>
      <c r="I3248">
        <v>201.43510000000001</v>
      </c>
      <c r="J3248">
        <v>-280.12380000000002</v>
      </c>
      <c r="K3248">
        <v>1.1087450000000001</v>
      </c>
      <c r="L3248">
        <v>214.36879999999999</v>
      </c>
      <c r="M3248">
        <v>0.99990239999999997</v>
      </c>
      <c r="N3248">
        <v>0</v>
      </c>
      <c r="O3248">
        <v>-1.1947050000000001E-2</v>
      </c>
      <c r="P3248">
        <v>0.99223289999999997</v>
      </c>
      <c r="Q3248">
        <v>1.9357160000000002E-2</v>
      </c>
      <c r="R3248">
        <v>-0.1228804</v>
      </c>
      <c r="S3248">
        <v>2.9783019999999998</v>
      </c>
      <c r="T3248">
        <v>0.14393129999999901</v>
      </c>
      <c r="U3248">
        <v>-0.34346009999999999</v>
      </c>
      <c r="V3248">
        <v>0.1109723</v>
      </c>
      <c r="W3248">
        <v>2.6759120000000001E-2</v>
      </c>
      <c r="X3248">
        <v>0.99346319999999999</v>
      </c>
      <c r="Y3248">
        <v>0.1025803</v>
      </c>
      <c r="Z3248">
        <v>1.8940389999999999E-3</v>
      </c>
      <c r="AA3248">
        <v>0.99472289999999997</v>
      </c>
      <c r="AB3248">
        <v>48</v>
      </c>
      <c r="AC3248">
        <v>111.70950000000001</v>
      </c>
      <c r="AD3248">
        <v>5.4224730000000001</v>
      </c>
      <c r="AE3248">
        <v>-12.9336999999999</v>
      </c>
      <c r="AF3248">
        <v>11.571239239334799</v>
      </c>
      <c r="AG3248">
        <v>5.4224730000000001</v>
      </c>
      <c r="AH3248">
        <v>111.596583456018</v>
      </c>
      <c r="AI3248">
        <v>87.2329998443345</v>
      </c>
      <c r="AJ3248">
        <v>84.080263021914703</v>
      </c>
      <c r="AK3248">
        <v>112.325839547388</v>
      </c>
      <c r="AL3248">
        <v>88.466632352845807</v>
      </c>
      <c r="AM3248">
        <v>83.626340879203397</v>
      </c>
      <c r="AN3248">
        <v>1.0000000158123501</v>
      </c>
    </row>
    <row r="3249" spans="1:40" x14ac:dyDescent="0.25">
      <c r="A3249" t="str">
        <f>"20190312151603056"</f>
        <v>20190312151603056</v>
      </c>
      <c r="B3249" t="str">
        <f>"1552374963051263"</f>
        <v>1552374963051263</v>
      </c>
      <c r="C3249" t="s">
        <v>40</v>
      </c>
      <c r="D3249">
        <v>4.3552749999999998</v>
      </c>
      <c r="E3249">
        <v>0.49448520000000001</v>
      </c>
      <c r="F3249" t="s">
        <v>57</v>
      </c>
      <c r="G3249">
        <v>-168.4136</v>
      </c>
      <c r="H3249">
        <v>5.0212399999999997</v>
      </c>
      <c r="I3249">
        <v>201.99639999999999</v>
      </c>
      <c r="J3249">
        <v>-279.66070000000002</v>
      </c>
      <c r="K3249">
        <v>1.1089739999999999</v>
      </c>
      <c r="L3249">
        <v>214.36359999999999</v>
      </c>
      <c r="M3249">
        <v>0.99991110000000005</v>
      </c>
      <c r="N3249">
        <v>0</v>
      </c>
      <c r="O3249">
        <v>-1.121346E-2</v>
      </c>
      <c r="P3249">
        <v>0.99240819999999996</v>
      </c>
      <c r="Q3249">
        <v>1.9754540000000001E-2</v>
      </c>
      <c r="R3249">
        <v>-0.12139030000000001</v>
      </c>
      <c r="S3249">
        <v>2.9805600000000001</v>
      </c>
      <c r="T3249">
        <v>0.104390899999999</v>
      </c>
      <c r="U3249">
        <v>-0.33010859999999997</v>
      </c>
      <c r="V3249">
        <v>0.1102018</v>
      </c>
      <c r="W3249">
        <v>2.7132819999999998E-2</v>
      </c>
      <c r="X3249">
        <v>0.99353880000000006</v>
      </c>
      <c r="Y3249">
        <v>9.8875190000000002E-2</v>
      </c>
      <c r="Z3249">
        <v>1.334329E-3</v>
      </c>
      <c r="AA3249">
        <v>0.99509890000000001</v>
      </c>
      <c r="AB3249">
        <v>49</v>
      </c>
      <c r="AC3249">
        <v>111.2471</v>
      </c>
      <c r="AD3249">
        <v>3.9122659999999998</v>
      </c>
      <c r="AE3249">
        <v>-12.367199999999899</v>
      </c>
      <c r="AF3249">
        <v>11.1053582205988</v>
      </c>
      <c r="AG3249">
        <v>3.9122659999999998</v>
      </c>
      <c r="AH3249">
        <v>111.24288860936799</v>
      </c>
      <c r="AI3249">
        <v>87.995767108576302</v>
      </c>
      <c r="AJ3249">
        <v>84.299060736336997</v>
      </c>
      <c r="AK3249">
        <v>111.864270759787</v>
      </c>
      <c r="AL3249">
        <v>88.445213097754205</v>
      </c>
      <c r="AM3249">
        <v>83.670711607219403</v>
      </c>
      <c r="AN3249">
        <v>0.99999998687491598</v>
      </c>
    </row>
    <row r="3250" spans="1:40" x14ac:dyDescent="0.25">
      <c r="A3250" t="str">
        <f>"20190312151603078"</f>
        <v>20190312151603078</v>
      </c>
      <c r="B3250" t="str">
        <f>"1552374963070782"</f>
        <v>1552374963070782</v>
      </c>
      <c r="C3250" t="s">
        <v>40</v>
      </c>
      <c r="D3250">
        <v>4.3126129999999998</v>
      </c>
      <c r="E3250">
        <v>0.4945389</v>
      </c>
      <c r="F3250" t="s">
        <v>57</v>
      </c>
      <c r="G3250">
        <v>-168.41329999999999</v>
      </c>
      <c r="H3250">
        <v>4.4833470000000002</v>
      </c>
      <c r="I3250">
        <v>202.41550000000001</v>
      </c>
      <c r="J3250">
        <v>-279.18990000000002</v>
      </c>
      <c r="K3250">
        <v>1.109267</v>
      </c>
      <c r="L3250">
        <v>214.3587</v>
      </c>
      <c r="M3250">
        <v>0.99991779999999997</v>
      </c>
      <c r="N3250">
        <v>0</v>
      </c>
      <c r="O3250">
        <v>-1.0420759999999999E-2</v>
      </c>
      <c r="P3250">
        <v>0.99264169999999996</v>
      </c>
      <c r="Q3250">
        <v>1.9796049999999999E-2</v>
      </c>
      <c r="R3250">
        <v>-0.1194622</v>
      </c>
      <c r="S3250">
        <v>2.9819640000000001</v>
      </c>
      <c r="T3250">
        <v>9.0450290000000003E-2</v>
      </c>
      <c r="U3250">
        <v>-0.32026670000000002</v>
      </c>
      <c r="V3250">
        <v>0.109051</v>
      </c>
      <c r="W3250">
        <v>2.7482220000000002E-2</v>
      </c>
      <c r="X3250">
        <v>0.99365619999999999</v>
      </c>
      <c r="Y3250">
        <v>9.6380789999999994E-2</v>
      </c>
      <c r="Z3250">
        <v>1.14214E-3</v>
      </c>
      <c r="AA3250">
        <v>0.99534389999999995</v>
      </c>
      <c r="AB3250">
        <v>49</v>
      </c>
      <c r="AC3250">
        <v>110.7766</v>
      </c>
      <c r="AD3250">
        <v>3.3740800000000002</v>
      </c>
      <c r="AE3250">
        <v>-11.9431999999999</v>
      </c>
      <c r="AF3250">
        <v>10.778258642765801</v>
      </c>
      <c r="AG3250">
        <v>3.3740800000000002</v>
      </c>
      <c r="AH3250">
        <v>110.79344170532799</v>
      </c>
      <c r="AI3250">
        <v>88.263856514874405</v>
      </c>
      <c r="AJ3250">
        <v>84.443609891898802</v>
      </c>
      <c r="AK3250">
        <v>111.36759852007501</v>
      </c>
      <c r="AL3250">
        <v>88.425186533376106</v>
      </c>
      <c r="AM3250">
        <v>83.737012296747395</v>
      </c>
      <c r="AN3250">
        <v>1.00000001840778</v>
      </c>
    </row>
    <row r="3251" spans="1:40" x14ac:dyDescent="0.25">
      <c r="A3251" t="str">
        <f>"20190312151603102"</f>
        <v>20190312151603102</v>
      </c>
      <c r="B3251" t="str">
        <f>"1552374963091278"</f>
        <v>1552374963091278</v>
      </c>
      <c r="C3251" t="s">
        <v>40</v>
      </c>
      <c r="D3251">
        <v>4.5445650000000004</v>
      </c>
      <c r="E3251">
        <v>0.4949016</v>
      </c>
      <c r="F3251" t="s">
        <v>57</v>
      </c>
      <c r="G3251">
        <v>-168.41309999999999</v>
      </c>
      <c r="H3251">
        <v>4.05504</v>
      </c>
      <c r="I3251">
        <v>202.6567</v>
      </c>
      <c r="J3251">
        <v>-278.68790000000001</v>
      </c>
      <c r="K3251">
        <v>1.109531</v>
      </c>
      <c r="L3251">
        <v>214.35400000000001</v>
      </c>
      <c r="M3251">
        <v>0.99992380000000003</v>
      </c>
      <c r="N3251">
        <v>0</v>
      </c>
      <c r="O3251">
        <v>-9.5091700000000008E-3</v>
      </c>
      <c r="P3251">
        <v>0.99282110000000001</v>
      </c>
      <c r="Q3251">
        <v>1.944044E-2</v>
      </c>
      <c r="R3251">
        <v>-0.1180187</v>
      </c>
      <c r="S3251">
        <v>2.9826969999999999</v>
      </c>
      <c r="T3251">
        <v>7.9316620000000004E-2</v>
      </c>
      <c r="U3251">
        <v>-0.31507869999999999</v>
      </c>
      <c r="V3251">
        <v>0.1085052</v>
      </c>
      <c r="W3251">
        <v>2.753036E-2</v>
      </c>
      <c r="X3251">
        <v>0.9937146</v>
      </c>
      <c r="Y3251">
        <v>9.5559359999999996E-2</v>
      </c>
      <c r="Z3251">
        <v>1.0147239999999901E-3</v>
      </c>
      <c r="AA3251">
        <v>0.99542319999999995</v>
      </c>
      <c r="AB3251">
        <v>48</v>
      </c>
      <c r="AC3251">
        <v>110.2748</v>
      </c>
      <c r="AD3251">
        <v>2.9455089999999999</v>
      </c>
      <c r="AE3251">
        <v>-11.6973</v>
      </c>
      <c r="AF3251">
        <v>10.640609627065899</v>
      </c>
      <c r="AG3251">
        <v>2.9455089999999999</v>
      </c>
      <c r="AH3251">
        <v>110.30322782494601</v>
      </c>
      <c r="AI3251">
        <v>88.477416496554298</v>
      </c>
      <c r="AJ3251">
        <v>84.489904047337603</v>
      </c>
      <c r="AK3251">
        <v>110.85441202363801</v>
      </c>
      <c r="AL3251">
        <v>88.422427245794907</v>
      </c>
      <c r="AM3251">
        <v>83.768474647547094</v>
      </c>
      <c r="AN3251">
        <v>1.0000000027009599</v>
      </c>
    </row>
    <row r="3252" spans="1:40" x14ac:dyDescent="0.25">
      <c r="A3252" t="str">
        <f>"20190312151603123"</f>
        <v>20190312151603123</v>
      </c>
      <c r="B3252" t="str">
        <f>"1552374963110798"</f>
        <v>1552374963110798</v>
      </c>
      <c r="C3252" t="s">
        <v>40</v>
      </c>
      <c r="D3252">
        <v>4.3468030000000004</v>
      </c>
      <c r="E3252">
        <v>0.49480610000000003</v>
      </c>
      <c r="F3252" t="s">
        <v>57</v>
      </c>
      <c r="G3252">
        <v>-168.41290000000001</v>
      </c>
      <c r="H3252">
        <v>3.7020590000000002</v>
      </c>
      <c r="I3252">
        <v>202.7628</v>
      </c>
      <c r="J3252">
        <v>-278.21050000000002</v>
      </c>
      <c r="K3252">
        <v>1.109723</v>
      </c>
      <c r="L3252">
        <v>214.3501</v>
      </c>
      <c r="M3252">
        <v>0.99992939999999997</v>
      </c>
      <c r="N3252">
        <v>0</v>
      </c>
      <c r="O3252">
        <v>-8.5841000000000008E-3</v>
      </c>
      <c r="P3252">
        <v>0.9929036</v>
      </c>
      <c r="Q3252">
        <v>1.9247859999999999E-2</v>
      </c>
      <c r="R3252">
        <v>-0.1173549</v>
      </c>
      <c r="S3252">
        <v>2.9830320000000001</v>
      </c>
      <c r="T3252">
        <v>7.0130940000000003E-2</v>
      </c>
      <c r="U3252">
        <v>-0.31355290000000002</v>
      </c>
      <c r="V3252">
        <v>0.1087545</v>
      </c>
      <c r="W3252">
        <v>2.770719E-2</v>
      </c>
      <c r="X3252">
        <v>0.99368239999999997</v>
      </c>
      <c r="Y3252">
        <v>9.5971150000000005E-2</v>
      </c>
      <c r="Z3252">
        <v>9.2367359999999995E-4</v>
      </c>
      <c r="AA3252">
        <v>0.99538369999999998</v>
      </c>
      <c r="AB3252">
        <v>48</v>
      </c>
      <c r="AC3252">
        <v>109.7976</v>
      </c>
      <c r="AD3252">
        <v>2.5923359999999902</v>
      </c>
      <c r="AE3252">
        <v>-11.587300000000001</v>
      </c>
      <c r="AF3252">
        <v>10.6384626865051</v>
      </c>
      <c r="AG3252">
        <v>2.5923359999999902</v>
      </c>
      <c r="AH3252">
        <v>109.83247376435099</v>
      </c>
      <c r="AI3252">
        <v>88.654215571657801</v>
      </c>
      <c r="AJ3252">
        <v>84.467543016309193</v>
      </c>
      <c r="AK3252">
        <v>110.376942281737</v>
      </c>
      <c r="AL3252">
        <v>88.412291716156204</v>
      </c>
      <c r="AM3252">
        <v>83.754069416581899</v>
      </c>
      <c r="AN3252">
        <v>0.99999997085885195</v>
      </c>
    </row>
    <row r="3253" spans="1:40" x14ac:dyDescent="0.25">
      <c r="A3253" t="str">
        <f>"20190312151603146"</f>
        <v>20190312151603146</v>
      </c>
      <c r="B3253" t="str">
        <f>"1552374963140771"</f>
        <v>1552374963140771</v>
      </c>
      <c r="C3253" t="s">
        <v>40</v>
      </c>
      <c r="D3253">
        <v>4.3329890000000004</v>
      </c>
      <c r="E3253">
        <v>0.49479980000000001</v>
      </c>
      <c r="F3253" t="s">
        <v>57</v>
      </c>
      <c r="G3253">
        <v>-168.4128</v>
      </c>
      <c r="H3253">
        <v>3.240253</v>
      </c>
      <c r="I3253">
        <v>202.90479999999999</v>
      </c>
      <c r="J3253">
        <v>-277.71449999999999</v>
      </c>
      <c r="K3253">
        <v>1.1098699999999999</v>
      </c>
      <c r="L3253">
        <v>214.34649999999999</v>
      </c>
      <c r="M3253">
        <v>0.99993460000000001</v>
      </c>
      <c r="N3253">
        <v>0</v>
      </c>
      <c r="O3253">
        <v>-7.5792029999999996E-3</v>
      </c>
      <c r="P3253">
        <v>0.99299420000000005</v>
      </c>
      <c r="Q3253">
        <v>1.8750300000000001E-2</v>
      </c>
      <c r="R3253">
        <v>-0.11666700000000001</v>
      </c>
      <c r="S3253">
        <v>2.9835509999999998</v>
      </c>
      <c r="T3253">
        <v>5.7894109999999999E-2</v>
      </c>
      <c r="U3253">
        <v>-0.31100460000000002</v>
      </c>
      <c r="V3253">
        <v>0.10906150000000001</v>
      </c>
      <c r="W3253">
        <v>2.7580879999999999E-2</v>
      </c>
      <c r="X3253">
        <v>0.99365230000000004</v>
      </c>
      <c r="Y3253">
        <v>9.6119919999999998E-2</v>
      </c>
      <c r="Z3253">
        <v>7.8332070000000002E-4</v>
      </c>
      <c r="AA3253">
        <v>0.99536939999999996</v>
      </c>
      <c r="AB3253">
        <v>49</v>
      </c>
      <c r="AC3253">
        <v>109.301699999999</v>
      </c>
      <c r="AD3253">
        <v>2.1303830000000001</v>
      </c>
      <c r="AE3253">
        <v>-11.4416999999999</v>
      </c>
      <c r="AF3253">
        <v>10.6089346059424</v>
      </c>
      <c r="AG3253">
        <v>2.1303830000000001</v>
      </c>
      <c r="AH3253">
        <v>109.34419362132699</v>
      </c>
      <c r="AI3253">
        <v>88.889047209497704</v>
      </c>
      <c r="AJ3253">
        <v>84.458319811089893</v>
      </c>
      <c r="AK3253">
        <v>109.878299513135</v>
      </c>
      <c r="AL3253">
        <v>88.419531566308294</v>
      </c>
      <c r="AM3253">
        <v>83.736389667765195</v>
      </c>
      <c r="AN3253">
        <v>1.0000000045095501</v>
      </c>
    </row>
    <row r="3254" spans="1:40" x14ac:dyDescent="0.25">
      <c r="A3254" t="str">
        <f>"20190312151603168"</f>
        <v>20190312151603168</v>
      </c>
      <c r="B3254" t="str">
        <f>"1552374963161266"</f>
        <v>1552374963161266</v>
      </c>
      <c r="C3254" t="s">
        <v>40</v>
      </c>
      <c r="D3254">
        <v>4.3402859999999999</v>
      </c>
      <c r="E3254">
        <v>0.49483759999999999</v>
      </c>
      <c r="F3254" t="s">
        <v>57</v>
      </c>
      <c r="G3254">
        <v>-168.41249999999999</v>
      </c>
      <c r="H3254">
        <v>2.542681</v>
      </c>
      <c r="I3254">
        <v>203.0334</v>
      </c>
      <c r="J3254">
        <v>-277.24270000000001</v>
      </c>
      <c r="K3254">
        <v>1.1099779999999999</v>
      </c>
      <c r="L3254">
        <v>214.34360000000001</v>
      </c>
      <c r="M3254">
        <v>0.99993849999999995</v>
      </c>
      <c r="N3254">
        <v>0</v>
      </c>
      <c r="O3254">
        <v>-6.5932469999999896E-3</v>
      </c>
      <c r="P3254">
        <v>0.99305489999999996</v>
      </c>
      <c r="Q3254">
        <v>1.8124189999999998E-2</v>
      </c>
      <c r="R3254">
        <v>-0.1162473</v>
      </c>
      <c r="S3254">
        <v>2.9841310000000001</v>
      </c>
      <c r="T3254">
        <v>3.9119010000000003E-2</v>
      </c>
      <c r="U3254">
        <v>-0.30886839999999999</v>
      </c>
      <c r="V3254">
        <v>0.1096196</v>
      </c>
      <c r="W3254">
        <v>2.730204E-2</v>
      </c>
      <c r="X3254">
        <v>0.9935986</v>
      </c>
      <c r="Y3254">
        <v>9.6385289999999998E-2</v>
      </c>
      <c r="Z3254">
        <v>5.4385550000000005E-4</v>
      </c>
      <c r="AA3254">
        <v>0.99534389999999995</v>
      </c>
      <c r="AB3254">
        <v>49</v>
      </c>
      <c r="AC3254">
        <v>108.8302</v>
      </c>
      <c r="AD3254">
        <v>1.4327029999999901</v>
      </c>
      <c r="AE3254">
        <v>-11.3102</v>
      </c>
      <c r="AF3254">
        <v>10.590565425983</v>
      </c>
      <c r="AG3254">
        <v>1.4327029999999901</v>
      </c>
      <c r="AH3254">
        <v>108.883739648416</v>
      </c>
      <c r="AI3254">
        <v>89.249680400823905</v>
      </c>
      <c r="AJ3254">
        <v>84.444606941431701</v>
      </c>
      <c r="AK3254">
        <v>109.406953498177</v>
      </c>
      <c r="AL3254">
        <v>88.435513961336198</v>
      </c>
      <c r="AM3254">
        <v>83.704256114347601</v>
      </c>
      <c r="AN3254">
        <v>1.00000001800714</v>
      </c>
    </row>
    <row r="3255" spans="1:40" x14ac:dyDescent="0.25">
      <c r="A3255" t="str">
        <f>"20190312151603190"</f>
        <v>20190312151603190</v>
      </c>
      <c r="B3255" t="str">
        <f>"1552374963180786"</f>
        <v>1552374963180786</v>
      </c>
      <c r="C3255" t="s">
        <v>40</v>
      </c>
      <c r="D3255">
        <v>4.3573680000000001</v>
      </c>
      <c r="E3255">
        <v>0.49484479999999997</v>
      </c>
      <c r="F3255" t="s">
        <v>57</v>
      </c>
      <c r="G3255">
        <v>-168.41229999999999</v>
      </c>
      <c r="H3255">
        <v>2.094687</v>
      </c>
      <c r="I3255">
        <v>203.11269999999999</v>
      </c>
      <c r="J3255">
        <v>-276.76530000000002</v>
      </c>
      <c r="K3255">
        <v>1.110052</v>
      </c>
      <c r="L3255">
        <v>214.34110000000001</v>
      </c>
      <c r="M3255">
        <v>0.99994170000000004</v>
      </c>
      <c r="N3255">
        <v>0</v>
      </c>
      <c r="O3255">
        <v>-5.5766269999999998E-3</v>
      </c>
      <c r="P3255">
        <v>0.99307999999999996</v>
      </c>
      <c r="Q3255">
        <v>1.7952019999999999E-2</v>
      </c>
      <c r="R3255">
        <v>-0.1160607</v>
      </c>
      <c r="S3255">
        <v>2.9844360000000001</v>
      </c>
      <c r="T3255">
        <v>2.7004360000000002E-2</v>
      </c>
      <c r="U3255">
        <v>-0.30798340000000002</v>
      </c>
      <c r="V3255">
        <v>0.11044080000000001</v>
      </c>
      <c r="W3255">
        <v>2.7468869999999999E-2</v>
      </c>
      <c r="X3255">
        <v>0.99350300000000002</v>
      </c>
      <c r="Y3255">
        <v>9.7098669999999998E-2</v>
      </c>
      <c r="Z3255">
        <v>3.8779819999999998E-4</v>
      </c>
      <c r="AA3255">
        <v>0.99527469999999996</v>
      </c>
      <c r="AB3255">
        <v>49</v>
      </c>
      <c r="AC3255">
        <v>108.35299999999999</v>
      </c>
      <c r="AD3255">
        <v>0.98463500000000004</v>
      </c>
      <c r="AE3255">
        <v>-11.228400000000001</v>
      </c>
      <c r="AF3255">
        <v>10.6230873696377</v>
      </c>
      <c r="AG3255">
        <v>0.98463500000000004</v>
      </c>
      <c r="AH3255">
        <v>108.405077444439</v>
      </c>
      <c r="AI3255">
        <v>89.482081821579598</v>
      </c>
      <c r="AJ3255">
        <v>84.403205628602507</v>
      </c>
      <c r="AK3255">
        <v>108.928785484283</v>
      </c>
      <c r="AL3255">
        <v>88.425951629039901</v>
      </c>
      <c r="AM3255">
        <v>83.656870030997098</v>
      </c>
      <c r="AN3255">
        <v>0.99999996006635705</v>
      </c>
    </row>
    <row r="3256" spans="1:40" x14ac:dyDescent="0.25">
      <c r="A3256" t="str">
        <f>"20190312151603212"</f>
        <v>20190312151603212</v>
      </c>
      <c r="B3256" t="str">
        <f>"1552374963201283"</f>
        <v>1552374963201283</v>
      </c>
      <c r="C3256" t="s">
        <v>40</v>
      </c>
      <c r="D3256">
        <v>4.4881409999999997</v>
      </c>
      <c r="E3256">
        <v>0.49500290000000002</v>
      </c>
      <c r="F3256" t="s">
        <v>57</v>
      </c>
      <c r="G3256">
        <v>-168.41220000000001</v>
      </c>
      <c r="H3256">
        <v>1.7566849999999901</v>
      </c>
      <c r="I3256">
        <v>203.1764</v>
      </c>
      <c r="J3256">
        <v>-276.26940000000002</v>
      </c>
      <c r="K3256">
        <v>1.1101080000000001</v>
      </c>
      <c r="L3256">
        <v>214.3391</v>
      </c>
      <c r="M3256">
        <v>0.99994400000000006</v>
      </c>
      <c r="N3256">
        <v>0</v>
      </c>
      <c r="O3256">
        <v>-4.5108240000000001E-3</v>
      </c>
      <c r="P3256">
        <v>0.99318740000000005</v>
      </c>
      <c r="Q3256">
        <v>1.7773750000000001E-2</v>
      </c>
      <c r="R3256">
        <v>-0.1151658</v>
      </c>
      <c r="S3256">
        <v>2.98468</v>
      </c>
      <c r="T3256">
        <v>1.7812970000000001E-2</v>
      </c>
      <c r="U3256">
        <v>-0.30754090000000001</v>
      </c>
      <c r="V3256">
        <v>0.1106024</v>
      </c>
      <c r="W3256">
        <v>2.7619009999999999E-2</v>
      </c>
      <c r="X3256">
        <v>0.9934809</v>
      </c>
      <c r="Y3256">
        <v>9.8007179999999999E-2</v>
      </c>
      <c r="Z3256">
        <v>2.6483570000000002E-4</v>
      </c>
      <c r="AA3256">
        <v>0.99518569999999995</v>
      </c>
      <c r="AB3256">
        <v>49</v>
      </c>
      <c r="AC3256">
        <v>107.85720000000001</v>
      </c>
      <c r="AD3256">
        <v>0.64657699999999896</v>
      </c>
      <c r="AE3256">
        <v>-11.162699999999999</v>
      </c>
      <c r="AF3256">
        <v>10.675659693906599</v>
      </c>
      <c r="AG3256">
        <v>0.64657699999999896</v>
      </c>
      <c r="AH3256">
        <v>107.902621257261</v>
      </c>
      <c r="AI3256">
        <v>89.658342871622594</v>
      </c>
      <c r="AJ3256">
        <v>84.3496640155021</v>
      </c>
      <c r="AK3256">
        <v>108.43137666701899</v>
      </c>
      <c r="AL3256">
        <v>88.417346037947397</v>
      </c>
      <c r="AM3256">
        <v>83.647524253721599</v>
      </c>
      <c r="AN3256">
        <v>0.99999999963197495</v>
      </c>
    </row>
    <row r="3257" spans="1:40" x14ac:dyDescent="0.25">
      <c r="A3257" t="str">
        <f>"20190312151603235"</f>
        <v>20190312151603235</v>
      </c>
      <c r="B3257" t="str">
        <f>"1552374963230563"</f>
        <v>1552374963230563</v>
      </c>
      <c r="C3257" t="s">
        <v>40</v>
      </c>
      <c r="D3257">
        <v>4.3772880000000001</v>
      </c>
      <c r="E3257">
        <v>0.49501479999999998</v>
      </c>
      <c r="F3257" t="s">
        <v>57</v>
      </c>
      <c r="G3257">
        <v>-168.41200000000001</v>
      </c>
      <c r="H3257">
        <v>1.515579</v>
      </c>
      <c r="I3257">
        <v>203.27449999999999</v>
      </c>
      <c r="J3257">
        <v>-275.79390000000001</v>
      </c>
      <c r="K3257">
        <v>1.11015</v>
      </c>
      <c r="L3257">
        <v>214.33760000000001</v>
      </c>
      <c r="M3257">
        <v>0.99994519999999998</v>
      </c>
      <c r="N3257">
        <v>0</v>
      </c>
      <c r="O3257">
        <v>-3.4879910000000002E-3</v>
      </c>
      <c r="P3257">
        <v>0.99331599999999998</v>
      </c>
      <c r="Q3257">
        <v>1.7019949999999999E-2</v>
      </c>
      <c r="R3257">
        <v>-0.1141648</v>
      </c>
      <c r="S3257">
        <v>2.9848330000000001</v>
      </c>
      <c r="T3257">
        <v>1.122189E-2</v>
      </c>
      <c r="U3257">
        <v>-0.30619809999999997</v>
      </c>
      <c r="V3257">
        <v>0.1106176</v>
      </c>
      <c r="W3257">
        <v>2.7156179999999999E-2</v>
      </c>
      <c r="X3257">
        <v>0.99349189999999998</v>
      </c>
      <c r="Y3257">
        <v>9.8577890000000001E-2</v>
      </c>
      <c r="Z3257">
        <v>1.7174359999999999E-4</v>
      </c>
      <c r="AA3257">
        <v>0.99512929999999999</v>
      </c>
      <c r="AB3257">
        <v>49</v>
      </c>
      <c r="AC3257">
        <v>107.3819</v>
      </c>
      <c r="AD3257">
        <v>0.40542899999999998</v>
      </c>
      <c r="AE3257">
        <v>-11.0631</v>
      </c>
      <c r="AF3257">
        <v>10.6883165858191</v>
      </c>
      <c r="AG3257">
        <v>0.40542899999999998</v>
      </c>
      <c r="AH3257">
        <v>107.418321432559</v>
      </c>
      <c r="AI3257">
        <v>89.784812162090603</v>
      </c>
      <c r="AJ3257">
        <v>84.317670258149903</v>
      </c>
      <c r="AK3257">
        <v>107.94952646260801</v>
      </c>
      <c r="AL3257">
        <v>88.443874091810699</v>
      </c>
      <c r="AM3257">
        <v>83.646728145647003</v>
      </c>
      <c r="AN3257">
        <v>0.99999993345377902</v>
      </c>
    </row>
    <row r="3258" spans="1:40" x14ac:dyDescent="0.25">
      <c r="A3258" t="str">
        <f>"20190312151603258"</f>
        <v>20190312151603258</v>
      </c>
      <c r="B3258" t="str">
        <f>"1552374963250678"</f>
        <v>1552374963250678</v>
      </c>
      <c r="C3258" t="s">
        <v>40</v>
      </c>
      <c r="D3258">
        <v>4.387003</v>
      </c>
      <c r="E3258">
        <v>0.49511569999999999</v>
      </c>
      <c r="F3258" t="s">
        <v>57</v>
      </c>
      <c r="G3258">
        <v>-168.4119</v>
      </c>
      <c r="H3258">
        <v>1.257708</v>
      </c>
      <c r="I3258">
        <v>203.4288</v>
      </c>
      <c r="J3258">
        <v>-275.29329999999999</v>
      </c>
      <c r="K3258">
        <v>1.1101840000000001</v>
      </c>
      <c r="L3258">
        <v>214.3365</v>
      </c>
      <c r="M3258">
        <v>0.9999458</v>
      </c>
      <c r="N3258">
        <v>0</v>
      </c>
      <c r="O3258">
        <v>-2.414373E-3</v>
      </c>
      <c r="P3258">
        <v>0.99346909999999999</v>
      </c>
      <c r="Q3258">
        <v>1.6604879999999999E-2</v>
      </c>
      <c r="R3258">
        <v>-0.1128873</v>
      </c>
      <c r="S3258">
        <v>2.9852599999999998</v>
      </c>
      <c r="T3258">
        <v>4.1030650000000004E-3</v>
      </c>
      <c r="U3258">
        <v>-0.30326839999999999</v>
      </c>
      <c r="V3258">
        <v>0.11040560000000001</v>
      </c>
      <c r="W3258">
        <v>2.7021280000000002E-2</v>
      </c>
      <c r="X3258">
        <v>0.99351920000000005</v>
      </c>
      <c r="Y3258">
        <v>9.8665920000000004E-2</v>
      </c>
      <c r="Z3258" s="1">
        <v>6.4321229999999999E-5</v>
      </c>
      <c r="AA3258">
        <v>0.99512060000000002</v>
      </c>
      <c r="AB3258">
        <v>49</v>
      </c>
      <c r="AC3258">
        <v>106.8814</v>
      </c>
      <c r="AD3258">
        <v>0.14752399999999999</v>
      </c>
      <c r="AE3258">
        <v>-10.9077</v>
      </c>
      <c r="AF3258">
        <v>10.649583324300901</v>
      </c>
      <c r="AG3258">
        <v>0.14752399999999999</v>
      </c>
      <c r="AH3258">
        <v>106.907223487146</v>
      </c>
      <c r="AI3258">
        <v>89.921325531633201</v>
      </c>
      <c r="AJ3258">
        <v>84.311237414762999</v>
      </c>
      <c r="AK3258">
        <v>107.436445501712</v>
      </c>
      <c r="AL3258">
        <v>88.451606192298897</v>
      </c>
      <c r="AM3258">
        <v>83.658977814279496</v>
      </c>
      <c r="AN3258">
        <v>0.999999973426418</v>
      </c>
    </row>
    <row r="3259" spans="1:40" x14ac:dyDescent="0.25">
      <c r="A3259" t="str">
        <f>"20190312151603278"</f>
        <v>20190312151603278</v>
      </c>
      <c r="B3259" t="str">
        <f>"1552374963271174"</f>
        <v>1552374963271174</v>
      </c>
      <c r="C3259" t="s">
        <v>40</v>
      </c>
      <c r="D3259">
        <v>4.4483920000000001</v>
      </c>
      <c r="E3259">
        <v>0.49529430000000002</v>
      </c>
      <c r="F3259" t="s">
        <v>57</v>
      </c>
      <c r="G3259">
        <v>-168.4118</v>
      </c>
      <c r="H3259">
        <v>1.1198709999999901</v>
      </c>
      <c r="I3259">
        <v>203.59460000000001</v>
      </c>
      <c r="J3259">
        <v>-274.84089999999998</v>
      </c>
      <c r="K3259">
        <v>1.1102110000000001</v>
      </c>
      <c r="L3259">
        <v>214.33600000000001</v>
      </c>
      <c r="M3259">
        <v>0.99994519999999998</v>
      </c>
      <c r="N3259">
        <v>0</v>
      </c>
      <c r="O3259">
        <v>-1.447201E-3</v>
      </c>
      <c r="P3259">
        <v>0.99360009999999999</v>
      </c>
      <c r="Q3259">
        <v>1.6854439999999998E-2</v>
      </c>
      <c r="R3259">
        <v>-0.11169229999999999</v>
      </c>
      <c r="S3259">
        <v>2.9856259999999999</v>
      </c>
      <c r="T3259">
        <v>2.7155879999999998E-4</v>
      </c>
      <c r="U3259">
        <v>-0.300064099999999</v>
      </c>
      <c r="V3259">
        <v>0.1101689</v>
      </c>
      <c r="W3259">
        <v>2.7501279999999999E-2</v>
      </c>
      <c r="X3259">
        <v>0.99353239999999998</v>
      </c>
      <c r="Y3259">
        <v>9.8558999999999994E-2</v>
      </c>
      <c r="Z3259" s="1">
        <v>4.3396690000000003E-6</v>
      </c>
      <c r="AA3259">
        <v>0.99513119999999999</v>
      </c>
      <c r="AB3259">
        <v>49</v>
      </c>
      <c r="AC3259">
        <v>106.429099999999</v>
      </c>
      <c r="AD3259">
        <v>9.6599999999997799E-3</v>
      </c>
      <c r="AE3259">
        <v>-10.741399999999899</v>
      </c>
      <c r="AF3259">
        <v>10.587356084475299</v>
      </c>
      <c r="AG3259">
        <v>9.6599999999997799E-3</v>
      </c>
      <c r="AH3259">
        <v>106.444533468277</v>
      </c>
      <c r="AI3259">
        <v>89.994825853604496</v>
      </c>
      <c r="AJ3259">
        <v>84.319837861250605</v>
      </c>
      <c r="AK3259">
        <v>106.969766324202</v>
      </c>
      <c r="AL3259">
        <v>88.424094141704103</v>
      </c>
      <c r="AM3259">
        <v>83.6725454169638</v>
      </c>
      <c r="AN3259">
        <v>1.0000000683893</v>
      </c>
    </row>
    <row r="3260" spans="1:40" x14ac:dyDescent="0.25">
      <c r="A3260" t="str">
        <f>"20190312151603295"</f>
        <v>20190312151603295</v>
      </c>
      <c r="B3260" t="str">
        <f>"1552374963290694"</f>
        <v>1552374963290694</v>
      </c>
      <c r="C3260" t="s">
        <v>40</v>
      </c>
      <c r="D3260">
        <v>4.4918050000000003</v>
      </c>
      <c r="E3260">
        <v>0.49536239999999998</v>
      </c>
      <c r="F3260" t="s">
        <v>57</v>
      </c>
      <c r="G3260">
        <v>-168.4117</v>
      </c>
      <c r="H3260">
        <v>1.0388759999999999</v>
      </c>
      <c r="I3260">
        <v>203.71789999999999</v>
      </c>
      <c r="J3260">
        <v>-274.49020000000002</v>
      </c>
      <c r="K3260">
        <v>1.110225</v>
      </c>
      <c r="L3260">
        <v>214.33590000000001</v>
      </c>
      <c r="M3260">
        <v>0.99994439999999996</v>
      </c>
      <c r="N3260">
        <v>0</v>
      </c>
      <c r="O3260">
        <v>-6.9919220000000002E-4</v>
      </c>
      <c r="P3260">
        <v>0.99370910000000001</v>
      </c>
      <c r="Q3260">
        <v>1.6921729999999999E-2</v>
      </c>
      <c r="R3260">
        <v>-0.11070729999999999</v>
      </c>
      <c r="S3260">
        <v>2.9859309999999999</v>
      </c>
      <c r="T3260">
        <v>-2.0004509999999999E-3</v>
      </c>
      <c r="U3260">
        <v>-0.29789729999999998</v>
      </c>
      <c r="V3260">
        <v>0.1099258</v>
      </c>
      <c r="W3260">
        <v>2.773246E-2</v>
      </c>
      <c r="X3260">
        <v>0.99355289999999996</v>
      </c>
      <c r="Y3260">
        <v>9.8578299999999994E-2</v>
      </c>
      <c r="Z3260" s="1">
        <v>-3.2472640000000001E-5</v>
      </c>
      <c r="AA3260">
        <v>0.99512929999999999</v>
      </c>
      <c r="AB3260">
        <v>49</v>
      </c>
      <c r="AC3260">
        <v>106.07850000000001</v>
      </c>
      <c r="AD3260">
        <v>-7.1348999999999801E-2</v>
      </c>
      <c r="AE3260">
        <v>-10.618</v>
      </c>
      <c r="AF3260">
        <v>10.5438193159181</v>
      </c>
      <c r="AG3260">
        <v>-7.1348999999999801E-2</v>
      </c>
      <c r="AH3260">
        <v>106.085850984617</v>
      </c>
      <c r="AI3260">
        <v>90.038345859752596</v>
      </c>
      <c r="AJ3260">
        <v>84.324041895891696</v>
      </c>
      <c r="AK3260">
        <v>106.608559673119</v>
      </c>
      <c r="AL3260">
        <v>88.410843449549304</v>
      </c>
      <c r="AM3260">
        <v>83.686523996454099</v>
      </c>
      <c r="AN3260">
        <v>1.0000000679708401</v>
      </c>
    </row>
    <row r="3261" spans="1:40" x14ac:dyDescent="0.25">
      <c r="A3261" t="str">
        <f>"20190312151603314"</f>
        <v>20190312151603314</v>
      </c>
      <c r="B3261" t="str">
        <f>"1552374963311190"</f>
        <v>1552374963311190</v>
      </c>
      <c r="C3261" t="s">
        <v>40</v>
      </c>
      <c r="D3261">
        <v>4.3491119999999999</v>
      </c>
      <c r="E3261">
        <v>0.4945233</v>
      </c>
      <c r="F3261" t="s">
        <v>57</v>
      </c>
      <c r="G3261">
        <v>-168.4117</v>
      </c>
      <c r="H3261">
        <v>0.93387030000000004</v>
      </c>
      <c r="I3261">
        <v>203.8349</v>
      </c>
      <c r="J3261">
        <v>-274.07839999999999</v>
      </c>
      <c r="K3261">
        <v>1.110242</v>
      </c>
      <c r="L3261">
        <v>214.33619999999999</v>
      </c>
      <c r="M3261">
        <v>0.99994269999999996</v>
      </c>
      <c r="N3261">
        <v>0</v>
      </c>
      <c r="O3261">
        <v>1.7851219999999999E-4</v>
      </c>
      <c r="P3261">
        <v>0.99385389999999996</v>
      </c>
      <c r="Q3261">
        <v>1.6697480000000001E-2</v>
      </c>
      <c r="R3261">
        <v>-0.1094344</v>
      </c>
      <c r="S3261">
        <v>2.986145</v>
      </c>
      <c r="T3261">
        <v>-4.9635169999999998E-3</v>
      </c>
      <c r="U3261">
        <v>-0.2956085</v>
      </c>
      <c r="V3261">
        <v>0.10952439999999999</v>
      </c>
      <c r="W3261">
        <v>2.7684790000000001E-2</v>
      </c>
      <c r="X3261">
        <v>0.99359850000000005</v>
      </c>
      <c r="Y3261">
        <v>9.8689379999999993E-2</v>
      </c>
      <c r="Z3261" s="1">
        <v>-8.2115880000000003E-5</v>
      </c>
      <c r="AA3261">
        <v>0.99511830000000001</v>
      </c>
      <c r="AB3261">
        <v>49</v>
      </c>
      <c r="AC3261">
        <v>105.66670000000001</v>
      </c>
      <c r="AD3261">
        <v>-0.17637169999999899</v>
      </c>
      <c r="AE3261">
        <v>-10.501299999999899</v>
      </c>
      <c r="AF3261">
        <v>10.520134685866299</v>
      </c>
      <c r="AG3261">
        <v>-0.17637169999999899</v>
      </c>
      <c r="AH3261">
        <v>105.664532096042</v>
      </c>
      <c r="AI3261">
        <v>90.095165606860803</v>
      </c>
      <c r="AJ3261">
        <v>84.314275131453101</v>
      </c>
      <c r="AK3261">
        <v>106.187088122148</v>
      </c>
      <c r="AL3261">
        <v>88.413575697075103</v>
      </c>
      <c r="AM3261">
        <v>83.709679226991696</v>
      </c>
      <c r="AN3261">
        <v>1.00000001049747</v>
      </c>
    </row>
    <row r="3262" spans="1:40" x14ac:dyDescent="0.25">
      <c r="A3262" t="str">
        <f>"20190312151603336"</f>
        <v>20190312151603336</v>
      </c>
      <c r="B3262" t="str">
        <f>"1552374963330709"</f>
        <v>1552374963330709</v>
      </c>
      <c r="C3262" t="s">
        <v>40</v>
      </c>
      <c r="D3262">
        <v>4.4176460000000004</v>
      </c>
      <c r="E3262">
        <v>0.44815199999999999</v>
      </c>
      <c r="F3262" t="s">
        <v>51</v>
      </c>
      <c r="G3262">
        <v>-249.9847</v>
      </c>
      <c r="H3262" s="1">
        <v>-1.431937E-6</v>
      </c>
      <c r="I3262">
        <v>212.03139999999999</v>
      </c>
      <c r="J3262">
        <v>-273.59660000000002</v>
      </c>
      <c r="K3262">
        <v>1.1102510000000001</v>
      </c>
      <c r="L3262">
        <v>214.33699999999999</v>
      </c>
      <c r="M3262">
        <v>0.99994000000000005</v>
      </c>
      <c r="N3262">
        <v>0</v>
      </c>
      <c r="O3262">
        <v>1.2069509999999999E-3</v>
      </c>
      <c r="P3262">
        <v>0.99397429999999998</v>
      </c>
      <c r="Q3262">
        <v>1.6686949999999999E-2</v>
      </c>
      <c r="R3262">
        <v>-0.1083375</v>
      </c>
      <c r="S3262">
        <v>2.9894099999999999</v>
      </c>
      <c r="T3262">
        <v>-0.1377525</v>
      </c>
      <c r="U3262">
        <v>-0.28596500000000002</v>
      </c>
      <c r="V3262">
        <v>0.1094484</v>
      </c>
      <c r="W3262">
        <v>2.7861629999999998E-2</v>
      </c>
      <c r="X3262">
        <v>0.99360190000000004</v>
      </c>
      <c r="Y3262">
        <v>9.6323530000000004E-2</v>
      </c>
      <c r="Z3262">
        <v>-2.2685470000000001E-3</v>
      </c>
      <c r="AA3262">
        <v>0.99534750000000005</v>
      </c>
      <c r="AB3262">
        <v>49</v>
      </c>
      <c r="AC3262">
        <v>23.611899999999999</v>
      </c>
      <c r="AD3262">
        <v>-1.110252431937</v>
      </c>
      <c r="AE3262">
        <v>-2.3056000000000201</v>
      </c>
      <c r="AF3262">
        <v>2.3289977203172398</v>
      </c>
      <c r="AG3262">
        <v>-1.110252431937</v>
      </c>
      <c r="AH3262">
        <v>23.557507019218502</v>
      </c>
      <c r="AI3262">
        <v>92.685250312641699</v>
      </c>
      <c r="AJ3262">
        <v>84.353837550998605</v>
      </c>
      <c r="AK3262">
        <v>23.6983760583799</v>
      </c>
      <c r="AL3262">
        <v>88.403439551517096</v>
      </c>
      <c r="AM3262">
        <v>83.714030523468693</v>
      </c>
      <c r="AN3262">
        <v>0.99999997918621297</v>
      </c>
    </row>
    <row r="3263" spans="1:40" x14ac:dyDescent="0.25">
      <c r="A3263" t="str">
        <f>"20190312151603357"</f>
        <v>20190312151603357</v>
      </c>
      <c r="B3263" t="str">
        <f>"1552374963350788"</f>
        <v>1552374963350788</v>
      </c>
      <c r="C3263" t="s">
        <v>40</v>
      </c>
      <c r="D3263">
        <v>4.4619580000000001</v>
      </c>
      <c r="E3263">
        <v>0.4401079</v>
      </c>
      <c r="F3263" t="s">
        <v>51</v>
      </c>
      <c r="G3263">
        <v>-248.0266</v>
      </c>
      <c r="H3263" s="1">
        <v>2.715344E-6</v>
      </c>
      <c r="I3263">
        <v>215.0558</v>
      </c>
      <c r="J3263">
        <v>-273.12619999999998</v>
      </c>
      <c r="K3263">
        <v>1.1102590000000001</v>
      </c>
      <c r="L3263">
        <v>214.3382</v>
      </c>
      <c r="M3263">
        <v>0.99993650000000001</v>
      </c>
      <c r="N3263">
        <v>0</v>
      </c>
      <c r="O3263">
        <v>2.2122579999999999E-3</v>
      </c>
      <c r="P3263">
        <v>0.99411590000000005</v>
      </c>
      <c r="Q3263">
        <v>1.653781E-2</v>
      </c>
      <c r="R3263">
        <v>-0.1070514</v>
      </c>
      <c r="S3263">
        <v>3.0296940000000001</v>
      </c>
      <c r="T3263">
        <v>-0.13154920000000001</v>
      </c>
      <c r="U3263">
        <v>8.5174559999999996E-2</v>
      </c>
      <c r="V3263">
        <v>0.1091613</v>
      </c>
      <c r="W3263">
        <v>2.787545E-2</v>
      </c>
      <c r="X3263">
        <v>0.99363310000000005</v>
      </c>
      <c r="Y3263">
        <v>-2.58683E-2</v>
      </c>
      <c r="Z3263">
        <v>4.6522829999999998E-4</v>
      </c>
      <c r="AA3263">
        <v>0.99966529999999998</v>
      </c>
      <c r="AB3263">
        <v>49</v>
      </c>
      <c r="AC3263">
        <v>25.099599999999899</v>
      </c>
      <c r="AD3263">
        <v>-1.110256284656</v>
      </c>
      <c r="AE3263">
        <v>0.71760000000000401</v>
      </c>
      <c r="AF3263">
        <v>-0.66077621158864697</v>
      </c>
      <c r="AG3263">
        <v>-1.110256284656</v>
      </c>
      <c r="AH3263">
        <v>25.052147965278699</v>
      </c>
      <c r="AI3263">
        <v>92.536681840062897</v>
      </c>
      <c r="AJ3263">
        <v>91.510884904714402</v>
      </c>
      <c r="AK3263">
        <v>25.085442230378099</v>
      </c>
      <c r="AL3263">
        <v>88.402647423488403</v>
      </c>
      <c r="AM3263">
        <v>83.730583405254606</v>
      </c>
      <c r="AN3263">
        <v>0.99999998377300103</v>
      </c>
    </row>
    <row r="3264" spans="1:40" x14ac:dyDescent="0.25">
      <c r="A3264" t="str">
        <f>"20190312151603380"</f>
        <v>20190312151603380</v>
      </c>
      <c r="B3264" t="str">
        <f>"1552374963371284"</f>
        <v>1552374963371284</v>
      </c>
      <c r="C3264" t="s">
        <v>40</v>
      </c>
      <c r="D3264">
        <v>4.4318289999999996</v>
      </c>
      <c r="E3264">
        <v>0.43664789999999998</v>
      </c>
      <c r="F3264" t="s">
        <v>51</v>
      </c>
      <c r="G3264">
        <v>-252.6842</v>
      </c>
      <c r="H3264" s="1">
        <v>-1.41159E-7</v>
      </c>
      <c r="I3264">
        <v>215.36600000000001</v>
      </c>
      <c r="J3264">
        <v>-272.64389999999997</v>
      </c>
      <c r="K3264">
        <v>1.1102529999999999</v>
      </c>
      <c r="L3264">
        <v>214.34</v>
      </c>
      <c r="M3264">
        <v>0.99993209999999999</v>
      </c>
      <c r="N3264">
        <v>0</v>
      </c>
      <c r="O3264">
        <v>3.2452470000000001E-3</v>
      </c>
      <c r="P3264">
        <v>0.99417259999999996</v>
      </c>
      <c r="Q3264">
        <v>1.6340360000000002E-2</v>
      </c>
      <c r="R3264">
        <v>-0.10655489999999999</v>
      </c>
      <c r="S3264">
        <v>3.0369259999999998</v>
      </c>
      <c r="T3264">
        <v>-0.1649436</v>
      </c>
      <c r="U3264">
        <v>0.15269469999999999</v>
      </c>
      <c r="V3264">
        <v>0.10969139999999999</v>
      </c>
      <c r="W3264">
        <v>2.7827790000000002E-2</v>
      </c>
      <c r="X3264">
        <v>0.99357600000000001</v>
      </c>
      <c r="Y3264">
        <v>-4.6910109999999998E-2</v>
      </c>
      <c r="Z3264">
        <v>1.096142E-3</v>
      </c>
      <c r="AA3264">
        <v>0.99889850000000002</v>
      </c>
      <c r="AB3264">
        <v>49</v>
      </c>
      <c r="AC3264">
        <v>19.959699999999899</v>
      </c>
      <c r="AD3264">
        <v>-1.110253141159</v>
      </c>
      <c r="AE3264">
        <v>1.02599999999998</v>
      </c>
      <c r="AF3264">
        <v>-0.95825923527378698</v>
      </c>
      <c r="AG3264">
        <v>-1.110253141159</v>
      </c>
      <c r="AH3264">
        <v>19.901509498201701</v>
      </c>
      <c r="AI3264">
        <v>93.189384437861904</v>
      </c>
      <c r="AJ3264">
        <v>92.756667189925594</v>
      </c>
      <c r="AK3264">
        <v>19.955475516921499</v>
      </c>
      <c r="AL3264">
        <v>88.405379111890099</v>
      </c>
      <c r="AM3264">
        <v>83.700023450355403</v>
      </c>
      <c r="AN3264">
        <v>0.99999992845311902</v>
      </c>
    </row>
    <row r="3265" spans="1:40" x14ac:dyDescent="0.25">
      <c r="A3265" t="str">
        <f>"20190312151603401"</f>
        <v>20190312151603401</v>
      </c>
      <c r="B3265" t="str">
        <f>"1552374963390804"</f>
        <v>1552374963390804</v>
      </c>
      <c r="C3265" t="s">
        <v>40</v>
      </c>
      <c r="D3265">
        <v>4.4520269999999904</v>
      </c>
      <c r="E3265">
        <v>0.43508180000000002</v>
      </c>
      <c r="F3265" t="s">
        <v>51</v>
      </c>
      <c r="G3265">
        <v>-254.32130000000001</v>
      </c>
      <c r="H3265" s="1">
        <v>7.2697400000000001E-7</v>
      </c>
      <c r="I3265">
        <v>215.43520000000001</v>
      </c>
      <c r="J3265">
        <v>-272.17070000000001</v>
      </c>
      <c r="K3265">
        <v>1.1102609999999999</v>
      </c>
      <c r="L3265">
        <v>214.34219999999999</v>
      </c>
      <c r="M3265">
        <v>0.9999268</v>
      </c>
      <c r="N3265">
        <v>0</v>
      </c>
      <c r="O3265">
        <v>4.2602760000000003E-3</v>
      </c>
      <c r="P3265">
        <v>0.99424800000000002</v>
      </c>
      <c r="Q3265">
        <v>1.6275749999999999E-2</v>
      </c>
      <c r="R3265">
        <v>-0.1058606</v>
      </c>
      <c r="S3265">
        <v>3.0400700000000001</v>
      </c>
      <c r="T3265">
        <v>-0.18421170000000001</v>
      </c>
      <c r="U3265">
        <v>0.18171689999999999</v>
      </c>
      <c r="V3265">
        <v>0.1100057</v>
      </c>
      <c r="W3265">
        <v>2.7895E-2</v>
      </c>
      <c r="X3265">
        <v>0.99353950000000002</v>
      </c>
      <c r="Y3265">
        <v>-5.5320620000000001E-2</v>
      </c>
      <c r="Z3265">
        <v>1.4153480000000001E-3</v>
      </c>
      <c r="AA3265">
        <v>0.99846760000000001</v>
      </c>
      <c r="AB3265">
        <v>49</v>
      </c>
      <c r="AC3265">
        <v>17.849399999999999</v>
      </c>
      <c r="AD3265">
        <v>-1.1102602730260001</v>
      </c>
      <c r="AE3265">
        <v>1.09300000000001</v>
      </c>
      <c r="AF3265">
        <v>-1.0130370016899</v>
      </c>
      <c r="AG3265">
        <v>-1.1102602730260001</v>
      </c>
      <c r="AH3265">
        <v>17.785339780274899</v>
      </c>
      <c r="AI3265">
        <v>93.566321845694404</v>
      </c>
      <c r="AJ3265">
        <v>93.259993746997694</v>
      </c>
      <c r="AK3265">
        <v>17.8487319701003</v>
      </c>
      <c r="AL3265">
        <v>88.401526979597904</v>
      </c>
      <c r="AM3265">
        <v>83.681887594878503</v>
      </c>
      <c r="AN3265">
        <v>1.00000006155886</v>
      </c>
    </row>
    <row r="3266" spans="1:40" x14ac:dyDescent="0.25">
      <c r="A3266" t="str">
        <f>"20190312151603424"</f>
        <v>20190312151603424</v>
      </c>
      <c r="B3266" t="str">
        <f>"1552374963421059"</f>
        <v>1552374963421059</v>
      </c>
      <c r="C3266" t="s">
        <v>40</v>
      </c>
      <c r="D3266">
        <v>4.4708959999999998</v>
      </c>
      <c r="E3266">
        <v>0.43366860000000002</v>
      </c>
      <c r="F3266" t="s">
        <v>51</v>
      </c>
      <c r="G3266">
        <v>-254.59059999999999</v>
      </c>
      <c r="H3266" s="1">
        <v>8.685835E-7</v>
      </c>
      <c r="I3266">
        <v>215.47460000000001</v>
      </c>
      <c r="J3266">
        <v>-271.67700000000002</v>
      </c>
      <c r="K3266">
        <v>1.1102650000000001</v>
      </c>
      <c r="L3266">
        <v>214.345</v>
      </c>
      <c r="M3266">
        <v>0.99992020000000004</v>
      </c>
      <c r="N3266">
        <v>0</v>
      </c>
      <c r="O3266">
        <v>5.3204940000000003E-3</v>
      </c>
      <c r="P3266">
        <v>0.994336</v>
      </c>
      <c r="Q3266">
        <v>1.6293950000000001E-2</v>
      </c>
      <c r="R3266">
        <v>-0.1050277</v>
      </c>
      <c r="S3266">
        <v>3.0413510000000001</v>
      </c>
      <c r="T3266">
        <v>-0.1920741</v>
      </c>
      <c r="U3266">
        <v>0.19590759999999999</v>
      </c>
      <c r="V3266">
        <v>0.11022609999999999</v>
      </c>
      <c r="W3266">
        <v>2.8039419999999999E-2</v>
      </c>
      <c r="X3266">
        <v>0.99351100000000003</v>
      </c>
      <c r="Y3266">
        <v>-5.8864470000000002E-2</v>
      </c>
      <c r="Z3266">
        <v>1.5196649999999999E-3</v>
      </c>
      <c r="AA3266">
        <v>0.99826479999999995</v>
      </c>
      <c r="AB3266">
        <v>49</v>
      </c>
      <c r="AC3266">
        <v>17.086400000000001</v>
      </c>
      <c r="AD3266">
        <v>-1.1102641314165</v>
      </c>
      <c r="AE3266">
        <v>1.1296000000000099</v>
      </c>
      <c r="AF3266">
        <v>-1.0343217169343799</v>
      </c>
      <c r="AG3266">
        <v>-1.1102641314165</v>
      </c>
      <c r="AH3266">
        <v>17.020614753585502</v>
      </c>
      <c r="AI3266">
        <v>93.725295255349096</v>
      </c>
      <c r="AJ3266">
        <v>93.477517255336593</v>
      </c>
      <c r="AK3266">
        <v>17.088119687244902</v>
      </c>
      <c r="AL3266">
        <v>88.393249074560401</v>
      </c>
      <c r="AM3266">
        <v>83.669151596284095</v>
      </c>
      <c r="AN3266">
        <v>1.0000000546580701</v>
      </c>
    </row>
    <row r="3267" spans="1:40" x14ac:dyDescent="0.25">
      <c r="A3267" t="str">
        <f>"20190312151603439"</f>
        <v>20190312151603439</v>
      </c>
      <c r="B3267" t="str">
        <f>"1552374963430820"</f>
        <v>1552374963430820</v>
      </c>
      <c r="C3267" t="s">
        <v>40</v>
      </c>
      <c r="D3267">
        <v>4.4405130000000002</v>
      </c>
      <c r="E3267">
        <v>0.43343619999999999</v>
      </c>
      <c r="F3267" t="s">
        <v>51</v>
      </c>
      <c r="G3267">
        <v>-254.8304</v>
      </c>
      <c r="H3267" s="1">
        <v>9.9481289999999998E-7</v>
      </c>
      <c r="I3267">
        <v>215.5061</v>
      </c>
      <c r="J3267">
        <v>-271.3501</v>
      </c>
      <c r="K3267">
        <v>1.1102650000000001</v>
      </c>
      <c r="L3267">
        <v>214.34710000000001</v>
      </c>
      <c r="M3267">
        <v>0.99991540000000001</v>
      </c>
      <c r="N3267">
        <v>0</v>
      </c>
      <c r="O3267">
        <v>6.0228549999999997E-3</v>
      </c>
      <c r="P3267">
        <v>0.99439109999999997</v>
      </c>
      <c r="Q3267">
        <v>1.6336739999999999E-2</v>
      </c>
      <c r="R3267">
        <v>-0.1044982</v>
      </c>
      <c r="S3267">
        <v>3.0425110000000002</v>
      </c>
      <c r="T3267">
        <v>-0.20051459999999999</v>
      </c>
      <c r="U3267">
        <v>0.20970150000000001</v>
      </c>
      <c r="V3267">
        <v>0.1103943</v>
      </c>
      <c r="W3267">
        <v>2.8160009999999999E-2</v>
      </c>
      <c r="X3267">
        <v>0.99348879999999995</v>
      </c>
      <c r="Y3267">
        <v>-6.2628249999999996E-2</v>
      </c>
      <c r="Z3267">
        <v>1.6630270000000001E-3</v>
      </c>
      <c r="AA3267">
        <v>0.99803560000000002</v>
      </c>
      <c r="AB3267">
        <v>49</v>
      </c>
      <c r="AC3267">
        <v>16.5197</v>
      </c>
      <c r="AD3267">
        <v>-1.1102640051871</v>
      </c>
      <c r="AE3267">
        <v>1.15899999999999</v>
      </c>
      <c r="AF3267">
        <v>-1.0547357201491501</v>
      </c>
      <c r="AG3267">
        <v>-1.1102640051871</v>
      </c>
      <c r="AH3267">
        <v>16.4524299878364</v>
      </c>
      <c r="AI3267">
        <v>93.852768833296395</v>
      </c>
      <c r="AJ3267">
        <v>93.668109813574304</v>
      </c>
      <c r="AK3267">
        <v>16.523547019487999</v>
      </c>
      <c r="AL3267">
        <v>88.386336865140393</v>
      </c>
      <c r="AM3267">
        <v>83.6594291008103</v>
      </c>
      <c r="AN3267">
        <v>0.99999994168056305</v>
      </c>
    </row>
    <row r="3268" spans="1:40" x14ac:dyDescent="0.25">
      <c r="A3268" t="str">
        <f>"20190312151603451"</f>
        <v>20190312151603451</v>
      </c>
      <c r="B3268" t="str">
        <f>"1552374963441164"</f>
        <v>1552374963441164</v>
      </c>
      <c r="C3268" t="s">
        <v>40</v>
      </c>
      <c r="D3268">
        <v>4.5231709999999996</v>
      </c>
      <c r="E3268">
        <v>0.43316939999999998</v>
      </c>
      <c r="F3268" t="s">
        <v>51</v>
      </c>
      <c r="G3268">
        <v>-254.54509999999999</v>
      </c>
      <c r="H3268" s="1">
        <v>8.4220799999999997E-7</v>
      </c>
      <c r="I3268">
        <v>215.5239</v>
      </c>
      <c r="J3268">
        <v>-271.07119999999998</v>
      </c>
      <c r="K3268">
        <v>1.1102669999999999</v>
      </c>
      <c r="L3268">
        <v>214.34909999999999</v>
      </c>
      <c r="M3268">
        <v>0.99991079999999999</v>
      </c>
      <c r="N3268">
        <v>0</v>
      </c>
      <c r="O3268">
        <v>6.622513E-3</v>
      </c>
      <c r="P3268">
        <v>0.99442050000000004</v>
      </c>
      <c r="Q3268">
        <v>1.6491539999999999E-2</v>
      </c>
      <c r="R3268">
        <v>-0.1041936</v>
      </c>
      <c r="S3268">
        <v>3.0426030000000002</v>
      </c>
      <c r="T3268">
        <v>-0.2010169</v>
      </c>
      <c r="U3268">
        <v>0.21305850000000001</v>
      </c>
      <c r="V3268">
        <v>0.11068509999999999</v>
      </c>
      <c r="W3268">
        <v>2.8378319999999999E-2</v>
      </c>
      <c r="X3268">
        <v>0.99345030000000001</v>
      </c>
      <c r="Y3268">
        <v>-6.3123150000000003E-2</v>
      </c>
      <c r="Z3268">
        <v>1.64385799999999E-3</v>
      </c>
      <c r="AA3268">
        <v>0.99800440000000001</v>
      </c>
      <c r="AB3268">
        <v>49</v>
      </c>
      <c r="AC3268">
        <v>16.5260999999999</v>
      </c>
      <c r="AD3268">
        <v>-1.1102661577920001</v>
      </c>
      <c r="AE3268">
        <v>1.1748000000000001</v>
      </c>
      <c r="AF3268">
        <v>-1.0605597911011699</v>
      </c>
      <c r="AG3268">
        <v>-1.1102661577920001</v>
      </c>
      <c r="AH3268">
        <v>16.459601323841198</v>
      </c>
      <c r="AI3268">
        <v>93.851022611752398</v>
      </c>
      <c r="AJ3268">
        <v>93.686706196552905</v>
      </c>
      <c r="AK3268">
        <v>16.531060273056699</v>
      </c>
      <c r="AL3268">
        <v>88.373823732106601</v>
      </c>
      <c r="AM3268">
        <v>83.642619022849004</v>
      </c>
      <c r="AN3268">
        <v>1.00000000948906</v>
      </c>
    </row>
    <row r="3269" spans="1:40" x14ac:dyDescent="0.25">
      <c r="A3269" t="str">
        <f>"20190312151603468"</f>
        <v>20190312151603468</v>
      </c>
      <c r="B3269" t="str">
        <f>"1552374963460683"</f>
        <v>1552374963460683</v>
      </c>
      <c r="C3269" t="s">
        <v>40</v>
      </c>
      <c r="D3269">
        <v>4.4772089999999896</v>
      </c>
      <c r="E3269">
        <v>0.43292429999999898</v>
      </c>
      <c r="F3269" t="s">
        <v>51</v>
      </c>
      <c r="G3269">
        <v>-254.49019999999999</v>
      </c>
      <c r="H3269" s="1">
        <v>8.1281490000000002E-7</v>
      </c>
      <c r="I3269">
        <v>215.52789999999999</v>
      </c>
      <c r="J3269">
        <v>-270.7106</v>
      </c>
      <c r="K3269">
        <v>1.110276</v>
      </c>
      <c r="L3269">
        <v>214.352</v>
      </c>
      <c r="M3269">
        <v>0.99990460000000003</v>
      </c>
      <c r="N3269">
        <v>0</v>
      </c>
      <c r="O3269">
        <v>7.3988559999999997E-3</v>
      </c>
      <c r="P3269">
        <v>0.99447640000000004</v>
      </c>
      <c r="Q3269">
        <v>1.6126359999999999E-2</v>
      </c>
      <c r="R3269">
        <v>-0.1037145</v>
      </c>
      <c r="S3269">
        <v>3.0428769999999998</v>
      </c>
      <c r="T3269">
        <v>-0.20375170000000001</v>
      </c>
      <c r="U3269">
        <v>0.21633910000000001</v>
      </c>
      <c r="V3269">
        <v>0.11097890000000001</v>
      </c>
      <c r="W3269">
        <v>2.8087560000000001E-2</v>
      </c>
      <c r="X3269">
        <v>0.99342580000000003</v>
      </c>
      <c r="Y3269">
        <v>-6.3410430000000004E-2</v>
      </c>
      <c r="Z3269">
        <v>1.6236979999999901E-3</v>
      </c>
      <c r="AA3269">
        <v>0.99798620000000005</v>
      </c>
      <c r="AB3269">
        <v>49</v>
      </c>
      <c r="AC3269">
        <v>16.220400000000001</v>
      </c>
      <c r="AD3269">
        <v>-1.1102751871851</v>
      </c>
      <c r="AE3269">
        <v>1.17589999999998</v>
      </c>
      <c r="AF3269">
        <v>-1.05094896406585</v>
      </c>
      <c r="AG3269">
        <v>-1.1102751871851</v>
      </c>
      <c r="AH3269">
        <v>16.153369031731899</v>
      </c>
      <c r="AI3269">
        <v>93.923677368289503</v>
      </c>
      <c r="AJ3269">
        <v>93.722455300453703</v>
      </c>
      <c r="AK3269">
        <v>16.2255519410486</v>
      </c>
      <c r="AL3269">
        <v>88.390489719254205</v>
      </c>
      <c r="AM3269">
        <v>83.6257269386671</v>
      </c>
      <c r="AN3269">
        <v>1.0000000236888</v>
      </c>
    </row>
    <row r="3270" spans="1:40" x14ac:dyDescent="0.25">
      <c r="A3270" t="str">
        <f>"20190312151603485"</f>
        <v>20190312151603485</v>
      </c>
      <c r="B3270" t="str">
        <f>"1552374963481179"</f>
        <v>1552374963481179</v>
      </c>
      <c r="C3270" t="s">
        <v>40</v>
      </c>
      <c r="D3270">
        <v>4.4878920000000004</v>
      </c>
      <c r="E3270">
        <v>0.4325599</v>
      </c>
      <c r="F3270" t="s">
        <v>51</v>
      </c>
      <c r="G3270">
        <v>-254.244</v>
      </c>
      <c r="H3270" s="1">
        <v>6.8119430000000001E-7</v>
      </c>
      <c r="I3270">
        <v>215.54169999999999</v>
      </c>
      <c r="J3270">
        <v>-270.36680000000001</v>
      </c>
      <c r="K3270">
        <v>1.1102799999999999</v>
      </c>
      <c r="L3270">
        <v>214.35499999999999</v>
      </c>
      <c r="M3270">
        <v>0.99989810000000001</v>
      </c>
      <c r="N3270">
        <v>0</v>
      </c>
      <c r="O3270">
        <v>8.1415059999999997E-3</v>
      </c>
      <c r="P3270">
        <v>0.9945792</v>
      </c>
      <c r="Q3270">
        <v>1.5856459999999999E-2</v>
      </c>
      <c r="R3270">
        <v>-0.1027675</v>
      </c>
      <c r="S3270">
        <v>3.0429080000000002</v>
      </c>
      <c r="T3270">
        <v>-0.20516999999999999</v>
      </c>
      <c r="U3270">
        <v>0.2198639</v>
      </c>
      <c r="V3270">
        <v>0.1107711</v>
      </c>
      <c r="W3270">
        <v>2.7881650000000001E-2</v>
      </c>
      <c r="X3270">
        <v>0.99345479999999997</v>
      </c>
      <c r="Y3270">
        <v>-6.3817639999999995E-2</v>
      </c>
      <c r="Z3270">
        <v>1.5986399999999999E-3</v>
      </c>
      <c r="AA3270">
        <v>0.99796030000000002</v>
      </c>
      <c r="AB3270">
        <v>49</v>
      </c>
      <c r="AC3270">
        <v>16.122799999999899</v>
      </c>
      <c r="AD3270">
        <v>-1.1102793188057001</v>
      </c>
      <c r="AE3270">
        <v>1.1867000000000001</v>
      </c>
      <c r="AF3270">
        <v>-1.0504332003467001</v>
      </c>
      <c r="AG3270">
        <v>-1.1102793188057001</v>
      </c>
      <c r="AH3270">
        <v>16.0561957045588</v>
      </c>
      <c r="AI3270">
        <v>93.947271120735493</v>
      </c>
      <c r="AJ3270">
        <v>93.743087338419002</v>
      </c>
      <c r="AK3270">
        <v>16.1287801949574</v>
      </c>
      <c r="AL3270">
        <v>88.402292127512794</v>
      </c>
      <c r="AM3270">
        <v>83.637748542996704</v>
      </c>
      <c r="AN3270">
        <v>1.0000000313224799</v>
      </c>
    </row>
    <row r="3271" spans="1:40" x14ac:dyDescent="0.25">
      <c r="A3271" t="str">
        <f>"20190312151603503"</f>
        <v>20190312151603503</v>
      </c>
      <c r="B3271" t="str">
        <f>"1552374963490939"</f>
        <v>1552374963490939</v>
      </c>
      <c r="C3271" t="s">
        <v>40</v>
      </c>
      <c r="D3271">
        <v>4.5061999999999998</v>
      </c>
      <c r="E3271">
        <v>0.43243979999999999</v>
      </c>
      <c r="F3271" t="s">
        <v>51</v>
      </c>
      <c r="G3271">
        <v>-254.12100000000001</v>
      </c>
      <c r="H3271" s="1">
        <v>6.1499580000000005E-7</v>
      </c>
      <c r="I3271">
        <v>215.5592</v>
      </c>
      <c r="J3271">
        <v>-269.96660000000003</v>
      </c>
      <c r="K3271">
        <v>1.110284</v>
      </c>
      <c r="L3271">
        <v>214.3588</v>
      </c>
      <c r="M3271">
        <v>0.99988980000000005</v>
      </c>
      <c r="N3271">
        <v>0</v>
      </c>
      <c r="O3271">
        <v>9.0094370000000003E-3</v>
      </c>
      <c r="P3271">
        <v>0.9947165</v>
      </c>
      <c r="Q3271">
        <v>1.565273E-2</v>
      </c>
      <c r="R3271">
        <v>-0.1014601</v>
      </c>
      <c r="S3271">
        <v>3.0429689999999998</v>
      </c>
      <c r="T3271">
        <v>-0.20796439999999999</v>
      </c>
      <c r="U3271">
        <v>0.22555539999999999</v>
      </c>
      <c r="V3271">
        <v>0.11032790000000001</v>
      </c>
      <c r="W3271">
        <v>2.7746280000000002E-2</v>
      </c>
      <c r="X3271">
        <v>0.9935079</v>
      </c>
      <c r="Y3271">
        <v>-6.4802860000000004E-2</v>
      </c>
      <c r="Z3271">
        <v>1.5946420000000001E-3</v>
      </c>
      <c r="AA3271">
        <v>0.99789680000000003</v>
      </c>
      <c r="AB3271">
        <v>49</v>
      </c>
      <c r="AC3271">
        <v>15.845599999999999</v>
      </c>
      <c r="AD3271">
        <v>-1.1102833850042</v>
      </c>
      <c r="AE3271">
        <v>1.2003999999999999</v>
      </c>
      <c r="AF3271">
        <v>-1.05244375773479</v>
      </c>
      <c r="AG3271">
        <v>-1.1102833850042</v>
      </c>
      <c r="AH3271">
        <v>15.778746454154501</v>
      </c>
      <c r="AI3271">
        <v>94.016131886097</v>
      </c>
      <c r="AJ3271">
        <v>93.815981188666896</v>
      </c>
      <c r="AK3271">
        <v>15.8527349918777</v>
      </c>
      <c r="AL3271">
        <v>88.410051247923406</v>
      </c>
      <c r="AM3271">
        <v>83.663332629471697</v>
      </c>
      <c r="AN3271">
        <v>1.0000000244673199</v>
      </c>
    </row>
    <row r="3272" spans="1:40" x14ac:dyDescent="0.25">
      <c r="A3272" t="str">
        <f>"20190312151603525"</f>
        <v>20190312151603525</v>
      </c>
      <c r="B3272" t="str">
        <f>"1552374963521196"</f>
        <v>1552374963521196</v>
      </c>
      <c r="C3272" t="s">
        <v>40</v>
      </c>
      <c r="D3272">
        <v>4.4847799999999998</v>
      </c>
      <c r="E3272">
        <v>0.43213360000000001</v>
      </c>
      <c r="F3272" t="s">
        <v>51</v>
      </c>
      <c r="G3272">
        <v>-253.93049999999999</v>
      </c>
      <c r="H3272" s="1">
        <v>5.1300759999999898E-7</v>
      </c>
      <c r="I3272">
        <v>215.57320000000001</v>
      </c>
      <c r="J3272">
        <v>-269.48</v>
      </c>
      <c r="K3272">
        <v>1.1102909999999999</v>
      </c>
      <c r="L3272">
        <v>214.3638</v>
      </c>
      <c r="M3272">
        <v>0.99987879999999996</v>
      </c>
      <c r="N3272">
        <v>0</v>
      </c>
      <c r="O3272">
        <v>1.0070529999999999E-2</v>
      </c>
      <c r="P3272">
        <v>0.99481750000000002</v>
      </c>
      <c r="Q3272">
        <v>1.580378E-2</v>
      </c>
      <c r="R3272">
        <v>-0.10044210000000001</v>
      </c>
      <c r="S3272">
        <v>3.042786</v>
      </c>
      <c r="T3272">
        <v>-0.21067230000000001</v>
      </c>
      <c r="U3272">
        <v>0.23043820000000001</v>
      </c>
      <c r="V3272">
        <v>0.1103639</v>
      </c>
      <c r="W3272">
        <v>2.7971260000000001E-2</v>
      </c>
      <c r="X3272">
        <v>0.99349759999999998</v>
      </c>
      <c r="Y3272">
        <v>-6.5338560000000004E-2</v>
      </c>
      <c r="Z3272">
        <v>1.5605899999999999E-3</v>
      </c>
      <c r="AA3272">
        <v>0.99786189999999997</v>
      </c>
      <c r="AB3272">
        <v>49</v>
      </c>
      <c r="AC3272">
        <v>15.5495</v>
      </c>
      <c r="AD3272">
        <v>-1.11029048699239</v>
      </c>
      <c r="AE3272">
        <v>1.20940000000001</v>
      </c>
      <c r="AF3272">
        <v>-1.0474277447065801</v>
      </c>
      <c r="AG3272">
        <v>-1.11029048699239</v>
      </c>
      <c r="AH3272">
        <v>15.4824293939994</v>
      </c>
      <c r="AI3272">
        <v>94.092503833503599</v>
      </c>
      <c r="AJ3272">
        <v>93.870315206697597</v>
      </c>
      <c r="AK3272">
        <v>15.557489186435699</v>
      </c>
      <c r="AL3272">
        <v>88.397155849917894</v>
      </c>
      <c r="AM3272">
        <v>83.661216620532699</v>
      </c>
      <c r="AN3272">
        <v>1.00000003150747</v>
      </c>
    </row>
    <row r="3273" spans="1:40" x14ac:dyDescent="0.25">
      <c r="A3273" t="str">
        <f>"20190312151603548"</f>
        <v>20190312151603548</v>
      </c>
      <c r="B3273" t="str">
        <f>"1552374963541286"</f>
        <v>1552374963541286</v>
      </c>
      <c r="C3273" t="s">
        <v>40</v>
      </c>
      <c r="D3273">
        <v>4.4707429999999997</v>
      </c>
      <c r="E3273">
        <v>0.4319791</v>
      </c>
      <c r="F3273" t="s">
        <v>51</v>
      </c>
      <c r="G3273">
        <v>-253.51750000000001</v>
      </c>
      <c r="H3273" s="1">
        <v>2.9197430000000002E-7</v>
      </c>
      <c r="I3273">
        <v>215.60149999999999</v>
      </c>
      <c r="J3273">
        <v>-268.99520000000001</v>
      </c>
      <c r="K3273">
        <v>1.110301</v>
      </c>
      <c r="L3273">
        <v>214.36940000000001</v>
      </c>
      <c r="M3273">
        <v>0.99986679999999994</v>
      </c>
      <c r="N3273">
        <v>0</v>
      </c>
      <c r="O3273">
        <v>1.113609E-2</v>
      </c>
      <c r="P3273">
        <v>0.99491909999999895</v>
      </c>
      <c r="Q3273">
        <v>1.5603809999999999E-2</v>
      </c>
      <c r="R3273">
        <v>-9.9463140000000005E-2</v>
      </c>
      <c r="S3273">
        <v>3.0428160000000002</v>
      </c>
      <c r="T3273">
        <v>-0.21164620000000001</v>
      </c>
      <c r="U3273">
        <v>0.23591609999999999</v>
      </c>
      <c r="V3273">
        <v>0.1104453</v>
      </c>
      <c r="W3273">
        <v>2.7836840000000002E-2</v>
      </c>
      <c r="X3273">
        <v>0.99349229999999999</v>
      </c>
      <c r="Y3273">
        <v>-6.6059939999999998E-2</v>
      </c>
      <c r="Z3273">
        <v>1.5187829999999999E-3</v>
      </c>
      <c r="AA3273">
        <v>0.99781450000000005</v>
      </c>
      <c r="AB3273">
        <v>49</v>
      </c>
      <c r="AC3273">
        <v>15.4777</v>
      </c>
      <c r="AD3273">
        <v>-1.1103007080256999</v>
      </c>
      <c r="AE3273">
        <v>1.23209999999997</v>
      </c>
      <c r="AF3273">
        <v>-1.0542592200006999</v>
      </c>
      <c r="AG3273">
        <v>-1.1103007080256999</v>
      </c>
      <c r="AH3273">
        <v>15.4116531662019</v>
      </c>
      <c r="AI3273">
        <v>94.111062425370704</v>
      </c>
      <c r="AJ3273">
        <v>93.913314579818703</v>
      </c>
      <c r="AK3273">
        <v>15.487520249558999</v>
      </c>
      <c r="AL3273">
        <v>88.404860501534102</v>
      </c>
      <c r="AM3273">
        <v>83.656545919881196</v>
      </c>
      <c r="AN3273">
        <v>1.00000000205628</v>
      </c>
    </row>
    <row r="3274" spans="1:40" x14ac:dyDescent="0.25">
      <c r="A3274" t="str">
        <f>"20190312151603568"</f>
        <v>20190312151603568</v>
      </c>
      <c r="B3274" t="str">
        <f>"1552374963560810"</f>
        <v>1552374963560810</v>
      </c>
      <c r="C3274" t="s">
        <v>40</v>
      </c>
      <c r="D3274">
        <v>4.4611450000000001</v>
      </c>
      <c r="E3274">
        <v>0.43195600000000001</v>
      </c>
      <c r="F3274" t="s">
        <v>51</v>
      </c>
      <c r="G3274">
        <v>-253.11070000000001</v>
      </c>
      <c r="H3274" s="1">
        <v>7.4561119999999894E-8</v>
      </c>
      <c r="I3274">
        <v>215.62379999999999</v>
      </c>
      <c r="J3274">
        <v>-268.53550000000001</v>
      </c>
      <c r="K3274">
        <v>1.1103160000000001</v>
      </c>
      <c r="L3274">
        <v>214.37520000000001</v>
      </c>
      <c r="M3274">
        <v>0.99985429999999997</v>
      </c>
      <c r="N3274">
        <v>0</v>
      </c>
      <c r="O3274">
        <v>1.215779E-2</v>
      </c>
      <c r="P3274">
        <v>0.99501399999999995</v>
      </c>
      <c r="Q3274">
        <v>1.5851230000000001E-2</v>
      </c>
      <c r="R3274">
        <v>-9.8469490000000007E-2</v>
      </c>
      <c r="S3274">
        <v>3.0426639999999998</v>
      </c>
      <c r="T3274">
        <v>-0.21267749999999999</v>
      </c>
      <c r="U3274">
        <v>0.2402802</v>
      </c>
      <c r="V3274">
        <v>0.1104666</v>
      </c>
      <c r="W3274">
        <v>2.813856E-2</v>
      </c>
      <c r="X3274">
        <v>0.99348150000000002</v>
      </c>
      <c r="Y3274">
        <v>-6.6466839999999999E-2</v>
      </c>
      <c r="Z3274">
        <v>1.4691369999999999E-3</v>
      </c>
      <c r="AA3274">
        <v>0.99778750000000005</v>
      </c>
      <c r="AB3274">
        <v>49</v>
      </c>
      <c r="AC3274">
        <v>15.424799999999999</v>
      </c>
      <c r="AD3274">
        <v>-1.1103159254388799</v>
      </c>
      <c r="AE3274">
        <v>1.2485999999999799</v>
      </c>
      <c r="AF3274">
        <v>-1.0555291597113601</v>
      </c>
      <c r="AG3274">
        <v>-1.1103159254388799</v>
      </c>
      <c r="AH3274">
        <v>15.359772814562101</v>
      </c>
      <c r="AI3274">
        <v>94.124868745440494</v>
      </c>
      <c r="AJ3274">
        <v>93.931206168338903</v>
      </c>
      <c r="AK3274">
        <v>15.4359827732557</v>
      </c>
      <c r="AL3274">
        <v>88.387566553137901</v>
      </c>
      <c r="AM3274">
        <v>83.655264114850098</v>
      </c>
      <c r="AN3274">
        <v>1.00000006955833</v>
      </c>
    </row>
    <row r="3275" spans="1:40" x14ac:dyDescent="0.25">
      <c r="A3275" t="str">
        <f>"20190312151603585"</f>
        <v>20190312151603585</v>
      </c>
      <c r="B3275" t="str">
        <f>"1552374963581302"</f>
        <v>1552374963581302</v>
      </c>
      <c r="C3275" t="s">
        <v>40</v>
      </c>
      <c r="D3275">
        <v>4.4677499999999997</v>
      </c>
      <c r="E3275">
        <v>0.43186859999999999</v>
      </c>
      <c r="F3275" t="s">
        <v>51</v>
      </c>
      <c r="G3275">
        <v>-252.63480000000001</v>
      </c>
      <c r="H3275" s="1">
        <v>-1.797775E-7</v>
      </c>
      <c r="I3275">
        <v>215.64830000000001</v>
      </c>
      <c r="J3275">
        <v>-268.18560000000002</v>
      </c>
      <c r="K3275">
        <v>1.1103270000000001</v>
      </c>
      <c r="L3275">
        <v>214.37989999999999</v>
      </c>
      <c r="M3275">
        <v>0.99984379999999995</v>
      </c>
      <c r="N3275">
        <v>0</v>
      </c>
      <c r="O3275">
        <v>1.2944890000000001E-2</v>
      </c>
      <c r="P3275">
        <v>0.9950715</v>
      </c>
      <c r="Q3275">
        <v>1.5811559999999999E-2</v>
      </c>
      <c r="R3275">
        <v>-9.7892170000000001E-2</v>
      </c>
      <c r="S3275">
        <v>3.0424500000000001</v>
      </c>
      <c r="T3275">
        <v>-0.212449</v>
      </c>
      <c r="U3275">
        <v>0.24360660000000001</v>
      </c>
      <c r="V3275">
        <v>0.1106718</v>
      </c>
      <c r="W3275">
        <v>2.813761E-2</v>
      </c>
      <c r="X3275">
        <v>0.99345859999999997</v>
      </c>
      <c r="Y3275">
        <v>-6.6772360000000003E-2</v>
      </c>
      <c r="Z3275">
        <v>1.4234439999999901E-3</v>
      </c>
      <c r="AA3275">
        <v>0.99776719999999997</v>
      </c>
      <c r="AB3275">
        <v>49</v>
      </c>
      <c r="AC3275">
        <v>15.550800000000001</v>
      </c>
      <c r="AD3275">
        <v>-1.1103271797775001</v>
      </c>
      <c r="AE3275">
        <v>1.26840000000001</v>
      </c>
      <c r="AF3275">
        <v>-1.0615995099808599</v>
      </c>
      <c r="AG3275">
        <v>-1.1103271797775001</v>
      </c>
      <c r="AH3275">
        <v>15.4874845344569</v>
      </c>
      <c r="AI3275">
        <v>94.091060519652302</v>
      </c>
      <c r="AJ3275">
        <v>93.921242118385507</v>
      </c>
      <c r="AK3275">
        <v>15.563482809795</v>
      </c>
      <c r="AL3275">
        <v>88.387620863120702</v>
      </c>
      <c r="AM3275">
        <v>83.6434293495481</v>
      </c>
      <c r="AN3275">
        <v>0.99999998116285505</v>
      </c>
    </row>
    <row r="3276" spans="1:40" x14ac:dyDescent="0.25">
      <c r="A3276" t="str">
        <f>"20190312151603603"</f>
        <v>20190312151603603</v>
      </c>
      <c r="B3276" t="str">
        <f>"1552374963591063"</f>
        <v>1552374963591063</v>
      </c>
      <c r="C3276" t="s">
        <v>40</v>
      </c>
      <c r="D3276">
        <v>4.4538760000000002</v>
      </c>
      <c r="E3276">
        <v>0.43196089999999998</v>
      </c>
      <c r="F3276" t="s">
        <v>51</v>
      </c>
      <c r="G3276">
        <v>-252.44929999999999</v>
      </c>
      <c r="H3276" s="1">
        <v>-2.7864750000000001E-7</v>
      </c>
      <c r="I3276">
        <v>215.65170000000001</v>
      </c>
      <c r="J3276">
        <v>-267.78410000000002</v>
      </c>
      <c r="K3276">
        <v>1.1103479999999999</v>
      </c>
      <c r="L3276">
        <v>214.38570000000001</v>
      </c>
      <c r="M3276">
        <v>0.99983109999999997</v>
      </c>
      <c r="N3276">
        <v>0</v>
      </c>
      <c r="O3276">
        <v>1.385862E-2</v>
      </c>
      <c r="P3276">
        <v>0.99514069999999999</v>
      </c>
      <c r="Q3276">
        <v>1.585963E-2</v>
      </c>
      <c r="R3276">
        <v>-9.7178120000000007E-2</v>
      </c>
      <c r="S3276">
        <v>3.0424500000000001</v>
      </c>
      <c r="T3276">
        <v>-0.21466969999999999</v>
      </c>
      <c r="U3276">
        <v>0.24588009999999999</v>
      </c>
      <c r="V3276">
        <v>0.11086559999999999</v>
      </c>
      <c r="W3276">
        <v>2.8225790000000001E-2</v>
      </c>
      <c r="X3276">
        <v>0.9934345</v>
      </c>
      <c r="Y3276">
        <v>-6.6601309999999997E-2</v>
      </c>
      <c r="Z3276">
        <v>1.3679579999999901E-3</v>
      </c>
      <c r="AA3276">
        <v>0.99777870000000002</v>
      </c>
      <c r="AB3276">
        <v>49</v>
      </c>
      <c r="AC3276">
        <v>15.3348</v>
      </c>
      <c r="AD3276">
        <v>-1.1103482786475001</v>
      </c>
      <c r="AE3276">
        <v>1.26599999999999</v>
      </c>
      <c r="AF3276">
        <v>-1.04788709300683</v>
      </c>
      <c r="AG3276">
        <v>-1.1103482786475001</v>
      </c>
      <c r="AH3276">
        <v>15.2713509563039</v>
      </c>
      <c r="AI3276">
        <v>94.148818217174806</v>
      </c>
      <c r="AJ3276">
        <v>93.925359528309301</v>
      </c>
      <c r="AK3276">
        <v>15.347478642766999</v>
      </c>
      <c r="AL3276">
        <v>88.3825665298221</v>
      </c>
      <c r="AM3276">
        <v>83.632236353950404</v>
      </c>
      <c r="AN3276">
        <v>0.99999999113736704</v>
      </c>
    </row>
    <row r="3277" spans="1:40" x14ac:dyDescent="0.25">
      <c r="A3277" t="str">
        <f>"20190312151603619"</f>
        <v>20190312151603619</v>
      </c>
      <c r="B3277" t="str">
        <f>"1552374963610583"</f>
        <v>1552374963610583</v>
      </c>
      <c r="C3277" t="s">
        <v>40</v>
      </c>
      <c r="D3277">
        <v>4.4007529999999999</v>
      </c>
      <c r="E3277">
        <v>0.43205300000000002</v>
      </c>
      <c r="F3277" t="s">
        <v>51</v>
      </c>
      <c r="G3277">
        <v>-252.0564</v>
      </c>
      <c r="H3277" s="1">
        <v>-4.8829409999999898E-7</v>
      </c>
      <c r="I3277">
        <v>215.66489999999999</v>
      </c>
      <c r="J3277">
        <v>-267.44060000000002</v>
      </c>
      <c r="K3277">
        <v>1.1103620000000001</v>
      </c>
      <c r="L3277">
        <v>214.39089999999999</v>
      </c>
      <c r="M3277">
        <v>0.99981960000000003</v>
      </c>
      <c r="N3277">
        <v>0</v>
      </c>
      <c r="O3277">
        <v>1.464966E-2</v>
      </c>
      <c r="P3277">
        <v>0.99518110000000004</v>
      </c>
      <c r="Q3277">
        <v>1.5976359999999998E-2</v>
      </c>
      <c r="R3277">
        <v>-9.67441E-2</v>
      </c>
      <c r="S3277">
        <v>3.0422359999999999</v>
      </c>
      <c r="T3277">
        <v>-0.21477689999999999</v>
      </c>
      <c r="U3277">
        <v>0.2474518</v>
      </c>
      <c r="V3277">
        <v>0.1112172</v>
      </c>
      <c r="W3277">
        <v>2.8374980000000001E-2</v>
      </c>
      <c r="X3277">
        <v>0.99339100000000002</v>
      </c>
      <c r="Y3277">
        <v>-6.6332080000000002E-2</v>
      </c>
      <c r="Z3277">
        <v>1.303563E-3</v>
      </c>
      <c r="AA3277">
        <v>0.99779680000000004</v>
      </c>
      <c r="AB3277">
        <v>49</v>
      </c>
      <c r="AC3277">
        <v>15.3842</v>
      </c>
      <c r="AD3277">
        <v>-1.1103624882940999</v>
      </c>
      <c r="AE3277">
        <v>1.274</v>
      </c>
      <c r="AF3277">
        <v>-1.0430767989501499</v>
      </c>
      <c r="AG3277">
        <v>-1.1103624882940999</v>
      </c>
      <c r="AH3277">
        <v>15.321940870908</v>
      </c>
      <c r="AI3277">
        <v>94.135371532505204</v>
      </c>
      <c r="AJ3277">
        <v>93.894534573794701</v>
      </c>
      <c r="AK3277">
        <v>15.3974928516145</v>
      </c>
      <c r="AL3277">
        <v>88.374015229936106</v>
      </c>
      <c r="AM3277">
        <v>83.611930840670496</v>
      </c>
      <c r="AN3277">
        <v>1.0000000419734101</v>
      </c>
    </row>
    <row r="3278" spans="1:40" x14ac:dyDescent="0.25">
      <c r="A3278" t="str">
        <f>"20190312151603635"</f>
        <v>20190312151603635</v>
      </c>
      <c r="B3278" t="str">
        <f>"1552374963631078"</f>
        <v>1552374963631078</v>
      </c>
      <c r="C3278" t="s">
        <v>40</v>
      </c>
      <c r="D3278">
        <v>4.4452360000000004</v>
      </c>
      <c r="E3278">
        <v>0.43208200000000002</v>
      </c>
      <c r="F3278" t="s">
        <v>51</v>
      </c>
      <c r="G3278">
        <v>-251.70140000000001</v>
      </c>
      <c r="H3278" s="1">
        <v>-6.7764259999999897E-7</v>
      </c>
      <c r="I3278">
        <v>215.67410000000001</v>
      </c>
      <c r="J3278">
        <v>-267.07060000000001</v>
      </c>
      <c r="K3278">
        <v>1.110382</v>
      </c>
      <c r="L3278">
        <v>214.39680000000001</v>
      </c>
      <c r="M3278">
        <v>0.99980619999999998</v>
      </c>
      <c r="N3278">
        <v>0</v>
      </c>
      <c r="O3278">
        <v>1.5510919999999999E-2</v>
      </c>
      <c r="P3278">
        <v>0.99524900000000005</v>
      </c>
      <c r="Q3278">
        <v>1.60286E-2</v>
      </c>
      <c r="R3278">
        <v>-9.6033499999999994E-2</v>
      </c>
      <c r="S3278">
        <v>3.0421140000000002</v>
      </c>
      <c r="T3278">
        <v>-0.21461369999999999</v>
      </c>
      <c r="U3278">
        <v>0.2480164</v>
      </c>
      <c r="V3278">
        <v>0.11136260000000001</v>
      </c>
      <c r="W3278">
        <v>2.845839E-2</v>
      </c>
      <c r="X3278">
        <v>0.99337229999999999</v>
      </c>
      <c r="Y3278">
        <v>-6.5663699999999894E-2</v>
      </c>
      <c r="Z3278">
        <v>1.2185430000000001E-3</v>
      </c>
      <c r="AA3278">
        <v>0.99784110000000004</v>
      </c>
      <c r="AB3278">
        <v>49</v>
      </c>
      <c r="AC3278">
        <v>15.369199999999999</v>
      </c>
      <c r="AD3278">
        <v>-1.1103826776426</v>
      </c>
      <c r="AE3278">
        <v>1.2772999999999901</v>
      </c>
      <c r="AF3278">
        <v>-1.0333814561869199</v>
      </c>
      <c r="AG3278">
        <v>-1.1103826776426</v>
      </c>
      <c r="AH3278">
        <v>15.307810750240799</v>
      </c>
      <c r="AI3278">
        <v>94.139409301213206</v>
      </c>
      <c r="AJ3278">
        <v>93.861995765747807</v>
      </c>
      <c r="AK3278">
        <v>15.382779231659899</v>
      </c>
      <c r="AL3278">
        <v>88.369234218557693</v>
      </c>
      <c r="AM3278">
        <v>83.603529147084501</v>
      </c>
      <c r="AN3278">
        <v>1.00000001752372</v>
      </c>
    </row>
    <row r="3279" spans="1:40" x14ac:dyDescent="0.25">
      <c r="A3279" t="str">
        <f>"20190312151603651"</f>
        <v>20190312151603651</v>
      </c>
      <c r="B3279" t="str">
        <f>"1552374963640838"</f>
        <v>1552374963640838</v>
      </c>
      <c r="C3279" t="s">
        <v>40</v>
      </c>
      <c r="D3279">
        <v>4.3894460000000004</v>
      </c>
      <c r="E3279">
        <v>0.43208079999999999</v>
      </c>
      <c r="F3279" t="s">
        <v>51</v>
      </c>
      <c r="G3279">
        <v>-251.35659999999999</v>
      </c>
      <c r="H3279" s="1">
        <v>-8.6168189999999898E-7</v>
      </c>
      <c r="I3279">
        <v>215.6875</v>
      </c>
      <c r="J3279">
        <v>-266.7285</v>
      </c>
      <c r="K3279">
        <v>1.110398</v>
      </c>
      <c r="L3279">
        <v>214.40260000000001</v>
      </c>
      <c r="M3279">
        <v>0.99979309999999999</v>
      </c>
      <c r="N3279">
        <v>0</v>
      </c>
      <c r="O3279">
        <v>1.6315349999999999E-2</v>
      </c>
      <c r="P3279">
        <v>0.99532100000000001</v>
      </c>
      <c r="Q3279">
        <v>1.583789E-2</v>
      </c>
      <c r="R3279">
        <v>-9.5317620000000006E-2</v>
      </c>
      <c r="S3279">
        <v>3.0419010000000002</v>
      </c>
      <c r="T3279">
        <v>-0.21494769999999999</v>
      </c>
      <c r="U3279">
        <v>0.2498474</v>
      </c>
      <c r="V3279">
        <v>0.11144709999999999</v>
      </c>
      <c r="W3279">
        <v>2.8293949999999998E-2</v>
      </c>
      <c r="X3279">
        <v>0.99336749999999996</v>
      </c>
      <c r="Y3279">
        <v>-6.5465270000000006E-2</v>
      </c>
      <c r="Z3279">
        <v>1.156844E-3</v>
      </c>
      <c r="AA3279">
        <v>0.99785420000000002</v>
      </c>
      <c r="AB3279">
        <v>49</v>
      </c>
      <c r="AC3279">
        <v>15.3719</v>
      </c>
      <c r="AD3279">
        <v>-1.1103988616818901</v>
      </c>
      <c r="AE3279">
        <v>1.2848999999999899</v>
      </c>
      <c r="AF3279">
        <v>-1.0285826233256601</v>
      </c>
      <c r="AG3279">
        <v>-1.1103988616818901</v>
      </c>
      <c r="AH3279">
        <v>15.3114780395333</v>
      </c>
      <c r="AI3279">
        <v>94.138572536285196</v>
      </c>
      <c r="AJ3279">
        <v>93.843197312266994</v>
      </c>
      <c r="AK3279">
        <v>15.386108266879701</v>
      </c>
      <c r="AL3279">
        <v>88.378659698416797</v>
      </c>
      <c r="AM3279">
        <v>83.598685214430404</v>
      </c>
      <c r="AN3279">
        <v>0.99999999688063101</v>
      </c>
    </row>
    <row r="3280" spans="1:40" x14ac:dyDescent="0.25">
      <c r="A3280" t="str">
        <f>"20190312151603664"</f>
        <v>20190312151603664</v>
      </c>
      <c r="B3280" t="str">
        <f>"1552374963661334"</f>
        <v>1552374963661334</v>
      </c>
      <c r="C3280" t="s">
        <v>40</v>
      </c>
      <c r="D3280">
        <v>4.4096539999999997</v>
      </c>
      <c r="E3280">
        <v>0.43222349999999998</v>
      </c>
      <c r="F3280" t="s">
        <v>51</v>
      </c>
      <c r="G3280">
        <v>-251</v>
      </c>
      <c r="H3280" s="1">
        <v>-1.0522770000000001E-6</v>
      </c>
      <c r="I3280">
        <v>215.7064</v>
      </c>
      <c r="J3280">
        <v>-266.44990000000001</v>
      </c>
      <c r="K3280">
        <v>1.110412</v>
      </c>
      <c r="L3280">
        <v>214.4075</v>
      </c>
      <c r="M3280">
        <v>0.99978199999999995</v>
      </c>
      <c r="N3280">
        <v>0</v>
      </c>
      <c r="O3280">
        <v>1.697738E-2</v>
      </c>
      <c r="P3280">
        <v>0.99537770000000003</v>
      </c>
      <c r="Q3280">
        <v>1.579009E-2</v>
      </c>
      <c r="R3280">
        <v>-9.4732280000000002E-2</v>
      </c>
      <c r="S3280">
        <v>3.0416560000000001</v>
      </c>
      <c r="T3280">
        <v>-0.2147346</v>
      </c>
      <c r="U3280">
        <v>0.25213619999999998</v>
      </c>
      <c r="V3280">
        <v>0.1115203</v>
      </c>
      <c r="W3280">
        <v>2.8265829999999999E-2</v>
      </c>
      <c r="X3280">
        <v>0.99336009999999997</v>
      </c>
      <c r="Y3280">
        <v>-6.5558489999999997E-2</v>
      </c>
      <c r="Z3280">
        <v>1.1124559999999999E-3</v>
      </c>
      <c r="AA3280">
        <v>0.99784810000000002</v>
      </c>
      <c r="AB3280">
        <v>49</v>
      </c>
      <c r="AC3280">
        <v>15.4499</v>
      </c>
      <c r="AD3280">
        <v>-1.1104130522769999</v>
      </c>
      <c r="AE3280">
        <v>1.2988999999999999</v>
      </c>
      <c r="AF3280">
        <v>-1.0311057071701399</v>
      </c>
      <c r="AG3280">
        <v>-1.1104130522769999</v>
      </c>
      <c r="AH3280">
        <v>15.3907823905735</v>
      </c>
      <c r="AI3280">
        <v>94.117423538843298</v>
      </c>
      <c r="AJ3280">
        <v>93.832804193171697</v>
      </c>
      <c r="AK3280">
        <v>15.465198955073699</v>
      </c>
      <c r="AL3280">
        <v>88.380271523858497</v>
      </c>
      <c r="AM3280">
        <v>83.594468355683205</v>
      </c>
      <c r="AN3280">
        <v>1.00000001136484</v>
      </c>
    </row>
    <row r="3281" spans="1:40" x14ac:dyDescent="0.25">
      <c r="A3281" t="str">
        <f>"20190312151603677"</f>
        <v>20190312151603677</v>
      </c>
      <c r="B3281" t="str">
        <f>"1552374963671095"</f>
        <v>1552374963671095</v>
      </c>
      <c r="C3281" t="s">
        <v>40</v>
      </c>
      <c r="D3281">
        <v>4.3784979999999996</v>
      </c>
      <c r="E3281">
        <v>0.432313</v>
      </c>
      <c r="F3281" t="s">
        <v>51</v>
      </c>
      <c r="G3281">
        <v>-250.76320000000001</v>
      </c>
      <c r="H3281" s="1">
        <v>-1.178544E-6</v>
      </c>
      <c r="I3281">
        <v>215.7122</v>
      </c>
      <c r="J3281">
        <v>-266.1617</v>
      </c>
      <c r="K3281">
        <v>1.110425</v>
      </c>
      <c r="L3281">
        <v>214.4128</v>
      </c>
      <c r="M3281">
        <v>0.99976989999999999</v>
      </c>
      <c r="N3281">
        <v>0</v>
      </c>
      <c r="O3281">
        <v>1.7665879999999998E-2</v>
      </c>
      <c r="P3281">
        <v>0.995421</v>
      </c>
      <c r="Q3281">
        <v>1.6040949999999998E-2</v>
      </c>
      <c r="R3281">
        <v>-9.4233319999999995E-2</v>
      </c>
      <c r="S3281">
        <v>3.0413510000000001</v>
      </c>
      <c r="T3281">
        <v>-0.2152879</v>
      </c>
      <c r="U3281">
        <v>0.25294489999999997</v>
      </c>
      <c r="V3281">
        <v>0.11170480000000001</v>
      </c>
      <c r="W3281">
        <v>2.8535609999999999E-2</v>
      </c>
      <c r="X3281">
        <v>0.99333159999999998</v>
      </c>
      <c r="Y3281">
        <v>-6.5145159999999994E-2</v>
      </c>
      <c r="Z3281">
        <v>1.0522559999999999E-3</v>
      </c>
      <c r="AA3281">
        <v>0.99787519999999996</v>
      </c>
      <c r="AB3281">
        <v>49</v>
      </c>
      <c r="AC3281">
        <v>15.398499999999901</v>
      </c>
      <c r="AD3281">
        <v>-1.1104261785439999</v>
      </c>
      <c r="AE3281">
        <v>1.2993999999999899</v>
      </c>
      <c r="AF3281">
        <v>-1.0218725991514299</v>
      </c>
      <c r="AG3281">
        <v>-1.1104261785439999</v>
      </c>
      <c r="AH3281">
        <v>15.339846678274</v>
      </c>
      <c r="AI3281">
        <v>94.131200681417894</v>
      </c>
      <c r="AJ3281">
        <v>93.811160039742205</v>
      </c>
      <c r="AK3281">
        <v>15.4138952254077</v>
      </c>
      <c r="AL3281">
        <v>88.364807939474602</v>
      </c>
      <c r="AM3281">
        <v>83.583776745934202</v>
      </c>
      <c r="AN3281">
        <v>0.999999955469835</v>
      </c>
    </row>
    <row r="3282" spans="1:40" x14ac:dyDescent="0.25">
      <c r="A3282" t="str">
        <f>"20190312151603691"</f>
        <v>20190312151603691</v>
      </c>
      <c r="B3282" t="str">
        <f>"1552374963680855"</f>
        <v>1552374963680855</v>
      </c>
      <c r="C3282" t="s">
        <v>40</v>
      </c>
      <c r="D3282">
        <v>4.4128949999999998</v>
      </c>
      <c r="E3282">
        <v>0.43235249999999997</v>
      </c>
      <c r="F3282" t="s">
        <v>51</v>
      </c>
      <c r="G3282">
        <v>-250.4211</v>
      </c>
      <c r="H3282" s="1">
        <v>-1.3612199999999999E-6</v>
      </c>
      <c r="I3282">
        <v>215.72620000000001</v>
      </c>
      <c r="J3282">
        <v>-265.85849999999999</v>
      </c>
      <c r="K3282">
        <v>1.110439</v>
      </c>
      <c r="L3282">
        <v>214.4186</v>
      </c>
      <c r="M3282">
        <v>0.9997566</v>
      </c>
      <c r="N3282">
        <v>0</v>
      </c>
      <c r="O3282">
        <v>1.839497E-2</v>
      </c>
      <c r="P3282">
        <v>0.99546780000000001</v>
      </c>
      <c r="Q3282">
        <v>1.6219560000000001E-2</v>
      </c>
      <c r="R3282">
        <v>-9.3708810000000003E-2</v>
      </c>
      <c r="S3282">
        <v>3.04129</v>
      </c>
      <c r="T3282">
        <v>-0.21454809999999999</v>
      </c>
      <c r="U3282">
        <v>0.25375370000000003</v>
      </c>
      <c r="V3282">
        <v>0.1119042</v>
      </c>
      <c r="W3282">
        <v>2.8733419999999999E-2</v>
      </c>
      <c r="X3282">
        <v>0.99330350000000001</v>
      </c>
      <c r="Y3282">
        <v>-6.4686350000000004E-2</v>
      </c>
      <c r="Z3282">
        <v>9.812639000000001E-4</v>
      </c>
      <c r="AA3282">
        <v>0.99790509999999999</v>
      </c>
      <c r="AB3282">
        <v>49</v>
      </c>
      <c r="AC3282">
        <v>15.437399999999901</v>
      </c>
      <c r="AD3282">
        <v>-1.11044036122</v>
      </c>
      <c r="AE3282">
        <v>1.3076000000000001</v>
      </c>
      <c r="AF3282">
        <v>-1.01815653594556</v>
      </c>
      <c r="AG3282">
        <v>-1.11044036122</v>
      </c>
      <c r="AH3282">
        <v>15.37983137202</v>
      </c>
      <c r="AI3282">
        <v>94.120662439857199</v>
      </c>
      <c r="AJ3282">
        <v>93.787497684641494</v>
      </c>
      <c r="AK3282">
        <v>15.4534440678861</v>
      </c>
      <c r="AL3282">
        <v>88.353469686915105</v>
      </c>
      <c r="AM3282">
        <v>83.572238845466103</v>
      </c>
      <c r="AN3282">
        <v>1.00000000125739</v>
      </c>
    </row>
    <row r="3283" spans="1:40" x14ac:dyDescent="0.25">
      <c r="A3283" t="str">
        <f>"20190312151603710"</f>
        <v>20190312151603710</v>
      </c>
      <c r="B3283" t="str">
        <f>"1552374963701351"</f>
        <v>1552374963701351</v>
      </c>
      <c r="C3283" t="s">
        <v>40</v>
      </c>
      <c r="D3283">
        <v>4.3846600000000002</v>
      </c>
      <c r="E3283">
        <v>0.43242229999999998</v>
      </c>
      <c r="F3283" t="s">
        <v>51</v>
      </c>
      <c r="G3283">
        <v>-250.0839</v>
      </c>
      <c r="H3283" s="1">
        <v>-1.5413339999999901E-6</v>
      </c>
      <c r="I3283">
        <v>215.7414</v>
      </c>
      <c r="J3283">
        <v>-265.46449999999999</v>
      </c>
      <c r="K3283">
        <v>1.1104510000000001</v>
      </c>
      <c r="L3283">
        <v>214.4264</v>
      </c>
      <c r="M3283">
        <v>0.99973829999999997</v>
      </c>
      <c r="N3283">
        <v>0</v>
      </c>
      <c r="O3283">
        <v>1.9349140000000001E-2</v>
      </c>
      <c r="P3283">
        <v>0.99558679999999999</v>
      </c>
      <c r="Q3283">
        <v>1.60397E-2</v>
      </c>
      <c r="R3283">
        <v>-9.2464729999999995E-2</v>
      </c>
      <c r="S3283">
        <v>3.0411679999999999</v>
      </c>
      <c r="T3283">
        <v>-0.21408050000000001</v>
      </c>
      <c r="U3283">
        <v>0.25503540000000002</v>
      </c>
      <c r="V3283">
        <v>0.1116109</v>
      </c>
      <c r="W3283">
        <v>2.857469E-2</v>
      </c>
      <c r="X3283">
        <v>0.99334109999999998</v>
      </c>
      <c r="Y3283">
        <v>-6.4159049999999995E-2</v>
      </c>
      <c r="Z3283">
        <v>8.9371229999999995E-4</v>
      </c>
      <c r="AA3283">
        <v>0.99793929999999997</v>
      </c>
      <c r="AB3283">
        <v>49</v>
      </c>
      <c r="AC3283">
        <v>15.3805999999999</v>
      </c>
      <c r="AD3283">
        <v>-1.1104525413339901</v>
      </c>
      <c r="AE3283">
        <v>1.31499999999999</v>
      </c>
      <c r="AF3283">
        <v>-1.0118939211150899</v>
      </c>
      <c r="AG3283">
        <v>-1.1104525413339901</v>
      </c>
      <c r="AH3283">
        <v>15.323868773914899</v>
      </c>
      <c r="AI3283">
        <v>94.135749424546106</v>
      </c>
      <c r="AJ3283">
        <v>93.777975543691397</v>
      </c>
      <c r="AK3283">
        <v>15.3973370539944</v>
      </c>
      <c r="AL3283">
        <v>88.362568018175295</v>
      </c>
      <c r="AM3283">
        <v>83.589186156115005</v>
      </c>
      <c r="AN3283">
        <v>1.0000000234283</v>
      </c>
    </row>
    <row r="3284" spans="1:40" x14ac:dyDescent="0.25">
      <c r="A3284" t="str">
        <f>"20190312151603726"</f>
        <v>20190312151603726</v>
      </c>
      <c r="B3284" t="str">
        <f>"1552374963720871"</f>
        <v>1552374963720871</v>
      </c>
      <c r="C3284" t="s">
        <v>40</v>
      </c>
      <c r="D3284">
        <v>4.4134580000000003</v>
      </c>
      <c r="E3284">
        <v>0.43245539999999999</v>
      </c>
      <c r="F3284" t="s">
        <v>51</v>
      </c>
      <c r="G3284">
        <v>-249.7414</v>
      </c>
      <c r="H3284" s="1">
        <v>3.5970090000000001E-6</v>
      </c>
      <c r="I3284">
        <v>215.7621</v>
      </c>
      <c r="J3284">
        <v>-265.09829999999999</v>
      </c>
      <c r="K3284">
        <v>1.1104620000000001</v>
      </c>
      <c r="L3284">
        <v>214.434</v>
      </c>
      <c r="M3284">
        <v>0.99972050000000001</v>
      </c>
      <c r="N3284">
        <v>0</v>
      </c>
      <c r="O3284">
        <v>2.0240950000000001E-2</v>
      </c>
      <c r="P3284">
        <v>0.9956914</v>
      </c>
      <c r="Q3284">
        <v>1.675043E-2</v>
      </c>
      <c r="R3284">
        <v>-9.1206899999999994E-2</v>
      </c>
      <c r="S3284">
        <v>3.0407099999999998</v>
      </c>
      <c r="T3284">
        <v>-0.2147501</v>
      </c>
      <c r="U3284">
        <v>0.25831599999999999</v>
      </c>
      <c r="V3284">
        <v>0.1112383</v>
      </c>
      <c r="W3284">
        <v>2.9302040000000001E-2</v>
      </c>
      <c r="X3284">
        <v>0.99336170000000001</v>
      </c>
      <c r="Y3284">
        <v>-6.4351430000000001E-2</v>
      </c>
      <c r="Z3284">
        <v>8.4060839999999999E-4</v>
      </c>
      <c r="AA3284">
        <v>0.99792700000000001</v>
      </c>
      <c r="AB3284">
        <v>49</v>
      </c>
      <c r="AC3284">
        <v>15.3568999999999</v>
      </c>
      <c r="AD3284">
        <v>-1.1104584029910001</v>
      </c>
      <c r="AE3284">
        <v>1.3280999999999701</v>
      </c>
      <c r="AF3284">
        <v>-1.01171570027657</v>
      </c>
      <c r="AG3284">
        <v>-1.1104584029910001</v>
      </c>
      <c r="AH3284">
        <v>15.301225121291001</v>
      </c>
      <c r="AI3284">
        <v>94.141846880278493</v>
      </c>
      <c r="AJ3284">
        <v>93.782885740293096</v>
      </c>
      <c r="AK3284">
        <v>15.374790298907699</v>
      </c>
      <c r="AL3284">
        <v>88.320876463342202</v>
      </c>
      <c r="AM3284">
        <v>83.610542026685394</v>
      </c>
      <c r="AN3284">
        <v>1.00000001798097</v>
      </c>
    </row>
    <row r="3285" spans="1:40" x14ac:dyDescent="0.25">
      <c r="A3285" t="str">
        <f>"20190312151603748"</f>
        <v>20190312151603748</v>
      </c>
      <c r="B3285" t="str">
        <f>"1552374963740898"</f>
        <v>1552374963740898</v>
      </c>
      <c r="C3285" t="s">
        <v>40</v>
      </c>
      <c r="D3285">
        <v>4.4025339999999904</v>
      </c>
      <c r="E3285">
        <v>0.43251240000000002</v>
      </c>
      <c r="F3285" t="s">
        <v>51</v>
      </c>
      <c r="G3285">
        <v>-249.26339999999999</v>
      </c>
      <c r="H3285" s="1">
        <v>3.341006E-6</v>
      </c>
      <c r="I3285">
        <v>215.7997</v>
      </c>
      <c r="J3285">
        <v>-264.61779999999999</v>
      </c>
      <c r="K3285">
        <v>1.110479</v>
      </c>
      <c r="L3285">
        <v>214.44450000000001</v>
      </c>
      <c r="M3285">
        <v>0.99969569999999996</v>
      </c>
      <c r="N3285">
        <v>0</v>
      </c>
      <c r="O3285">
        <v>2.141587E-2</v>
      </c>
      <c r="P3285">
        <v>0.99575789999999997</v>
      </c>
      <c r="Q3285">
        <v>1.6961090000000002E-2</v>
      </c>
      <c r="R3285">
        <v>-9.0436840000000004E-2</v>
      </c>
      <c r="S3285">
        <v>3.0405579999999999</v>
      </c>
      <c r="T3285">
        <v>-0.21322659999999999</v>
      </c>
      <c r="U3285">
        <v>0.26223750000000001</v>
      </c>
      <c r="V3285">
        <v>0.1116359</v>
      </c>
      <c r="W3285">
        <v>2.9534640000000001E-2</v>
      </c>
      <c r="X3285">
        <v>0.99331020000000003</v>
      </c>
      <c r="Y3285">
        <v>-6.4464670000000002E-2</v>
      </c>
      <c r="Z3285">
        <v>7.5652019999999996E-4</v>
      </c>
      <c r="AA3285">
        <v>0.99791969999999997</v>
      </c>
      <c r="AB3285">
        <v>49</v>
      </c>
      <c r="AC3285">
        <v>15.354399999999901</v>
      </c>
      <c r="AD3285">
        <v>-1.1104756589939999</v>
      </c>
      <c r="AE3285">
        <v>1.35519999999999</v>
      </c>
      <c r="AF3285">
        <v>-1.0207388491148399</v>
      </c>
      <c r="AG3285">
        <v>-1.1104756589939999</v>
      </c>
      <c r="AH3285">
        <v>15.3004906819501</v>
      </c>
      <c r="AI3285">
        <v>94.141947317436404</v>
      </c>
      <c r="AJ3285">
        <v>93.816707398549696</v>
      </c>
      <c r="AK3285">
        <v>15.3746570399392</v>
      </c>
      <c r="AL3285">
        <v>88.307543683290604</v>
      </c>
      <c r="AM3285">
        <v>83.587564330022303</v>
      </c>
      <c r="AN3285">
        <v>1.0000000112763801</v>
      </c>
    </row>
    <row r="3286" spans="1:40" x14ac:dyDescent="0.25">
      <c r="A3286" t="str">
        <f>"20190312151603771"</f>
        <v>20190312151603771</v>
      </c>
      <c r="B3286" t="str">
        <f>"1552374963761395"</f>
        <v>1552374963761395</v>
      </c>
      <c r="C3286" t="s">
        <v>40</v>
      </c>
      <c r="D3286">
        <v>4.5047579999999998</v>
      </c>
      <c r="E3286">
        <v>0.4594879</v>
      </c>
      <c r="F3286" t="s">
        <v>51</v>
      </c>
      <c r="G3286">
        <v>-248.71420000000001</v>
      </c>
      <c r="H3286" s="1">
        <v>3.0475649999999999E-6</v>
      </c>
      <c r="I3286">
        <v>215.8272</v>
      </c>
      <c r="J3286">
        <v>-264.14589999999998</v>
      </c>
      <c r="K3286">
        <v>1.11049</v>
      </c>
      <c r="L3286">
        <v>214.45529999999999</v>
      </c>
      <c r="M3286">
        <v>0.99966999999999995</v>
      </c>
      <c r="N3286">
        <v>0</v>
      </c>
      <c r="O3286">
        <v>2.2573389999999999E-2</v>
      </c>
      <c r="P3286">
        <v>0.99586759999999996</v>
      </c>
      <c r="Q3286">
        <v>1.6900129999999999E-2</v>
      </c>
      <c r="R3286">
        <v>-8.9231420000000006E-2</v>
      </c>
      <c r="S3286">
        <v>3.0404049999999998</v>
      </c>
      <c r="T3286">
        <v>-0.21229819999999999</v>
      </c>
      <c r="U3286">
        <v>0.2643433</v>
      </c>
      <c r="V3286">
        <v>0.1115833</v>
      </c>
      <c r="W3286">
        <v>2.949127E-2</v>
      </c>
      <c r="X3286">
        <v>0.99331740000000002</v>
      </c>
      <c r="Y3286">
        <v>-6.4004259999999993E-2</v>
      </c>
      <c r="Z3286">
        <v>6.5669990000000004E-4</v>
      </c>
      <c r="AA3286">
        <v>0.99794939999999999</v>
      </c>
      <c r="AB3286">
        <v>49</v>
      </c>
      <c r="AC3286">
        <v>15.4316999999999</v>
      </c>
      <c r="AD3286">
        <v>-1.1104869524349901</v>
      </c>
      <c r="AE3286">
        <v>1.3719000000000099</v>
      </c>
      <c r="AF3286">
        <v>-1.01794834814416</v>
      </c>
      <c r="AG3286">
        <v>-1.1104869524349901</v>
      </c>
      <c r="AH3286">
        <v>15.379719483651099</v>
      </c>
      <c r="AI3286">
        <v>94.120868146007297</v>
      </c>
      <c r="AJ3286">
        <v>93.786752957100902</v>
      </c>
      <c r="AK3286">
        <v>15.4533223452698</v>
      </c>
      <c r="AL3286">
        <v>88.3100296861857</v>
      </c>
      <c r="AM3286">
        <v>83.590606629518504</v>
      </c>
      <c r="AN3286">
        <v>1.0000000124939299</v>
      </c>
    </row>
    <row r="3287" spans="1:40" x14ac:dyDescent="0.25">
      <c r="A3287" t="str">
        <f>"20190312151603793"</f>
        <v>20190312151603793</v>
      </c>
      <c r="B3287" t="str">
        <f>"1552374963790674"</f>
        <v>1552374963790674</v>
      </c>
      <c r="C3287" t="s">
        <v>40</v>
      </c>
      <c r="D3287">
        <v>4.7031980000000004</v>
      </c>
      <c r="E3287">
        <v>0.48522169999999998</v>
      </c>
      <c r="F3287" t="s">
        <v>51</v>
      </c>
      <c r="G3287">
        <v>-241.1687</v>
      </c>
      <c r="H3287" s="1">
        <v>-9.2581890000000005E-7</v>
      </c>
      <c r="I3287">
        <v>214.86660000000001</v>
      </c>
      <c r="J3287">
        <v>-263.65140000000002</v>
      </c>
      <c r="K3287">
        <v>1.110501</v>
      </c>
      <c r="L3287">
        <v>214.46729999999999</v>
      </c>
      <c r="M3287">
        <v>0.99964169999999997</v>
      </c>
      <c r="N3287">
        <v>0</v>
      </c>
      <c r="O3287">
        <v>2.3788900000000002E-2</v>
      </c>
      <c r="P3287">
        <v>0.99595310000000004</v>
      </c>
      <c r="Q3287">
        <v>1.6809169999999998E-2</v>
      </c>
      <c r="R3287">
        <v>-8.8288649999999996E-2</v>
      </c>
      <c r="S3287">
        <v>3.0197750000000001</v>
      </c>
      <c r="T3287">
        <v>-0.14594589999999999</v>
      </c>
      <c r="U3287">
        <v>5.4046629999999998E-2</v>
      </c>
      <c r="V3287">
        <v>0.11185059999999999</v>
      </c>
      <c r="W3287">
        <v>2.9417860000000001E-2</v>
      </c>
      <c r="X3287">
        <v>0.99328950000000005</v>
      </c>
      <c r="Y3287">
        <v>5.8626599999999996E-3</v>
      </c>
      <c r="Z3287">
        <v>-1.2904780000000001E-3</v>
      </c>
      <c r="AA3287">
        <v>0.99998200000000004</v>
      </c>
      <c r="AB3287">
        <v>49</v>
      </c>
      <c r="AC3287">
        <v>22.482700000000001</v>
      </c>
      <c r="AD3287">
        <v>-1.1105019258188999</v>
      </c>
      <c r="AE3287">
        <v>0.39930000000000998</v>
      </c>
      <c r="AF3287">
        <v>0.13536184432130399</v>
      </c>
      <c r="AG3287">
        <v>-1.1105019258188999</v>
      </c>
      <c r="AH3287">
        <v>22.431127522405799</v>
      </c>
      <c r="AI3287">
        <v>92.834187072877697</v>
      </c>
      <c r="AJ3287">
        <v>89.6542497367533</v>
      </c>
      <c r="AK3287">
        <v>22.4590075311127</v>
      </c>
      <c r="AL3287">
        <v>88.314237572295596</v>
      </c>
      <c r="AM3287">
        <v>83.575202076441599</v>
      </c>
      <c r="AN3287">
        <v>0.99999999900879399</v>
      </c>
    </row>
    <row r="3288" spans="1:40" x14ac:dyDescent="0.25">
      <c r="A3288" t="str">
        <f>"20190312151603815"</f>
        <v>20190312151603815</v>
      </c>
      <c r="B3288" t="str">
        <f>"1552374963811171"</f>
        <v>1552374963811171</v>
      </c>
      <c r="C3288" t="s">
        <v>40</v>
      </c>
      <c r="D3288">
        <v>4.5485639999999998</v>
      </c>
      <c r="E3288">
        <v>0.49076530000000002</v>
      </c>
      <c r="F3288" t="s">
        <v>51</v>
      </c>
      <c r="G3288">
        <v>-238.7876</v>
      </c>
      <c r="H3288" s="1">
        <v>3.1995559999999999E-6</v>
      </c>
      <c r="I3288">
        <v>213.2431</v>
      </c>
      <c r="J3288">
        <v>-263.17500000000001</v>
      </c>
      <c r="K3288">
        <v>1.1105149999999999</v>
      </c>
      <c r="L3288">
        <v>214.4794</v>
      </c>
      <c r="M3288">
        <v>0.99961290000000003</v>
      </c>
      <c r="N3288">
        <v>0</v>
      </c>
      <c r="O3288">
        <v>2.4962160000000001E-2</v>
      </c>
      <c r="P3288">
        <v>0.99600460000000002</v>
      </c>
      <c r="Q3288">
        <v>1.6426199999999998E-2</v>
      </c>
      <c r="R3288">
        <v>-8.7779319999999994E-2</v>
      </c>
      <c r="S3288">
        <v>3.0013429999999999</v>
      </c>
      <c r="T3288">
        <v>-0.13404949999999999</v>
      </c>
      <c r="U3288">
        <v>-0.14776610000000001</v>
      </c>
      <c r="V3288">
        <v>0.11250930000000001</v>
      </c>
      <c r="W3288">
        <v>2.9049910000000002E-2</v>
      </c>
      <c r="X3288">
        <v>0.99322589999999999</v>
      </c>
      <c r="Y3288">
        <v>7.399385E-2</v>
      </c>
      <c r="Z3288">
        <v>-2.7644079999999999E-3</v>
      </c>
      <c r="AA3288">
        <v>0.9972548</v>
      </c>
      <c r="AB3288">
        <v>49</v>
      </c>
      <c r="AC3288">
        <v>24.3874</v>
      </c>
      <c r="AD3288">
        <v>-1.110511800444</v>
      </c>
      <c r="AE3288">
        <v>-1.2363</v>
      </c>
      <c r="AF3288">
        <v>1.84091538351095</v>
      </c>
      <c r="AG3288">
        <v>-1.110511800444</v>
      </c>
      <c r="AH3288">
        <v>24.2986811353768</v>
      </c>
      <c r="AI3288">
        <v>92.609275259494595</v>
      </c>
      <c r="AJ3288">
        <v>85.667437013074903</v>
      </c>
      <c r="AK3288">
        <v>24.393607991170299</v>
      </c>
      <c r="AL3288">
        <v>88.335328510773607</v>
      </c>
      <c r="AM3288">
        <v>83.537274601732804</v>
      </c>
      <c r="AN3288">
        <v>0.99999996414415304</v>
      </c>
    </row>
    <row r="3289" spans="1:40" x14ac:dyDescent="0.25">
      <c r="A3289" t="str">
        <f>"20190312151603837"</f>
        <v>20190312151603837</v>
      </c>
      <c r="B3289" t="str">
        <f>"1552374963830690"</f>
        <v>1552374963830690</v>
      </c>
      <c r="C3289" t="s">
        <v>40</v>
      </c>
      <c r="D3289">
        <v>4.4927729999999997</v>
      </c>
      <c r="E3289">
        <v>0.49493280000000001</v>
      </c>
      <c r="F3289" t="s">
        <v>51</v>
      </c>
      <c r="G3289">
        <v>-237.64750000000001</v>
      </c>
      <c r="H3289" s="1">
        <v>2.609572E-6</v>
      </c>
      <c r="I3289">
        <v>212.86060000000001</v>
      </c>
      <c r="J3289">
        <v>-262.68720000000002</v>
      </c>
      <c r="K3289">
        <v>1.110527</v>
      </c>
      <c r="L3289">
        <v>214.4924</v>
      </c>
      <c r="M3289">
        <v>0.99958210000000003</v>
      </c>
      <c r="N3289">
        <v>0</v>
      </c>
      <c r="O3289">
        <v>2.6164199999999999E-2</v>
      </c>
      <c r="P3289">
        <v>0.99611090000000002</v>
      </c>
      <c r="Q3289">
        <v>1.6374070000000001E-2</v>
      </c>
      <c r="R3289">
        <v>-8.6574910000000005E-2</v>
      </c>
      <c r="S3289">
        <v>2.9974370000000001</v>
      </c>
      <c r="T3289">
        <v>-0.13039619999999999</v>
      </c>
      <c r="U3289">
        <v>-0.19007869999999999</v>
      </c>
      <c r="V3289">
        <v>0.1125024</v>
      </c>
      <c r="W3289">
        <v>2.900987E-2</v>
      </c>
      <c r="X3289">
        <v>0.99322790000000005</v>
      </c>
      <c r="Y3289">
        <v>8.9269909999999994E-2</v>
      </c>
      <c r="Z3289">
        <v>-3.0756300000000002E-3</v>
      </c>
      <c r="AA3289">
        <v>0.99600270000000002</v>
      </c>
      <c r="AB3289">
        <v>49</v>
      </c>
      <c r="AC3289">
        <v>25.0397</v>
      </c>
      <c r="AD3289">
        <v>-1.110524390428</v>
      </c>
      <c r="AE3289">
        <v>-1.6317999999999899</v>
      </c>
      <c r="AF3289">
        <v>2.2819649135978999</v>
      </c>
      <c r="AG3289">
        <v>-1.110524390428</v>
      </c>
      <c r="AH3289">
        <v>24.939580637037601</v>
      </c>
      <c r="AI3289">
        <v>92.539023623095105</v>
      </c>
      <c r="AJ3289">
        <v>84.772009099308804</v>
      </c>
      <c r="AK3289">
        <v>25.068372716232101</v>
      </c>
      <c r="AL3289">
        <v>88.337623680642494</v>
      </c>
      <c r="AM3289">
        <v>83.537680499222603</v>
      </c>
      <c r="AN3289">
        <v>1.0000000119507899</v>
      </c>
    </row>
    <row r="3290" spans="1:40" x14ac:dyDescent="0.25">
      <c r="A3290" t="str">
        <f>"20190312151603858"</f>
        <v>20190312151603858</v>
      </c>
      <c r="B3290" t="str">
        <f>"1552374963851186"</f>
        <v>1552374963851186</v>
      </c>
      <c r="C3290" t="s">
        <v>40</v>
      </c>
      <c r="D3290">
        <v>4.7296930000000001</v>
      </c>
      <c r="E3290">
        <v>0.49785980000000002</v>
      </c>
      <c r="F3290" t="s">
        <v>51</v>
      </c>
      <c r="G3290">
        <v>-237.06270000000001</v>
      </c>
      <c r="H3290" s="1">
        <v>2.3091430000000002E-6</v>
      </c>
      <c r="I3290">
        <v>212.61439999999999</v>
      </c>
      <c r="J3290">
        <v>-262.20659999999998</v>
      </c>
      <c r="K3290">
        <v>1.1105309999999999</v>
      </c>
      <c r="L3290">
        <v>214.50569999999999</v>
      </c>
      <c r="M3290">
        <v>0.99955020000000006</v>
      </c>
      <c r="N3290">
        <v>0</v>
      </c>
      <c r="O3290">
        <v>2.734901E-2</v>
      </c>
      <c r="P3290">
        <v>0.99622560000000004</v>
      </c>
      <c r="Q3290">
        <v>1.6849759999999998E-2</v>
      </c>
      <c r="R3290">
        <v>-8.515288E-2</v>
      </c>
      <c r="S3290">
        <v>2.9947509999999999</v>
      </c>
      <c r="T3290">
        <v>-0.1297876</v>
      </c>
      <c r="U3290">
        <v>-0.21948239999999999</v>
      </c>
      <c r="V3290">
        <v>0.1122594</v>
      </c>
      <c r="W3290">
        <v>2.9495549999999999E-2</v>
      </c>
      <c r="X3290">
        <v>0.99324109999999999</v>
      </c>
      <c r="Y3290">
        <v>0.10022440000000001</v>
      </c>
      <c r="Z3290">
        <v>-3.3512540000000001E-3</v>
      </c>
      <c r="AA3290">
        <v>0.99495919999999904</v>
      </c>
      <c r="AB3290">
        <v>49</v>
      </c>
      <c r="AC3290">
        <v>25.143899999999899</v>
      </c>
      <c r="AD3290">
        <v>-1.110528690857</v>
      </c>
      <c r="AE3290">
        <v>-1.8913</v>
      </c>
      <c r="AF3290">
        <v>2.5733137234978098</v>
      </c>
      <c r="AG3290">
        <v>-1.110528690857</v>
      </c>
      <c r="AH3290">
        <v>25.034204393556301</v>
      </c>
      <c r="AI3290">
        <v>92.526705252858605</v>
      </c>
      <c r="AJ3290">
        <v>84.131070095588697</v>
      </c>
      <c r="AK3290">
        <v>25.190605532839299</v>
      </c>
      <c r="AL3290">
        <v>88.309784368827096</v>
      </c>
      <c r="AM3290">
        <v>83.551606089507899</v>
      </c>
      <c r="AN3290">
        <v>1.00000002154368</v>
      </c>
    </row>
    <row r="3291" spans="1:40" x14ac:dyDescent="0.25">
      <c r="A3291" t="str">
        <f>"20190312151603882"</f>
        <v>20190312151603882</v>
      </c>
      <c r="B3291" t="str">
        <f>"1552374963870707"</f>
        <v>1552374963870707</v>
      </c>
      <c r="C3291" t="s">
        <v>40</v>
      </c>
      <c r="D3291">
        <v>4.6808569999999996</v>
      </c>
      <c r="E3291">
        <v>0.50020929999999997</v>
      </c>
      <c r="F3291" t="s">
        <v>51</v>
      </c>
      <c r="G3291">
        <v>-234.79570000000001</v>
      </c>
      <c r="H3291" s="1">
        <v>1.1156420000000001E-6</v>
      </c>
      <c r="I3291">
        <v>212.31899999999999</v>
      </c>
      <c r="J3291">
        <v>-261.7174</v>
      </c>
      <c r="K3291">
        <v>1.1105370000000001</v>
      </c>
      <c r="L3291">
        <v>214.51990000000001</v>
      </c>
      <c r="M3291">
        <v>0.99951650000000003</v>
      </c>
      <c r="N3291">
        <v>0</v>
      </c>
      <c r="O3291">
        <v>2.8555509999999999E-2</v>
      </c>
      <c r="P3291">
        <v>0.99633130000000003</v>
      </c>
      <c r="Q3291">
        <v>1.6320459999999998E-2</v>
      </c>
      <c r="R3291">
        <v>-8.4012310000000007E-2</v>
      </c>
      <c r="S3291">
        <v>2.9930110000000001</v>
      </c>
      <c r="T3291">
        <v>-0.121259199999999</v>
      </c>
      <c r="U3291">
        <v>-0.2387695</v>
      </c>
      <c r="V3291">
        <v>0.1123229</v>
      </c>
      <c r="W3291">
        <v>2.8976499999999999E-2</v>
      </c>
      <c r="X3291">
        <v>0.99324920000000005</v>
      </c>
      <c r="Y3291">
        <v>0.1078466</v>
      </c>
      <c r="Z3291">
        <v>-3.3351930000000002E-3</v>
      </c>
      <c r="AA3291">
        <v>0.99416199999999999</v>
      </c>
      <c r="AB3291">
        <v>49</v>
      </c>
      <c r="AC3291">
        <v>26.921699999999898</v>
      </c>
      <c r="AD3291">
        <v>-1.110535884358</v>
      </c>
      <c r="AE3291">
        <v>-2.2008999999999901</v>
      </c>
      <c r="AF3291">
        <v>2.9638136361766998</v>
      </c>
      <c r="AG3291">
        <v>-1.110535884358</v>
      </c>
      <c r="AH3291">
        <v>26.802562571609901</v>
      </c>
      <c r="AI3291">
        <v>92.358274903023002</v>
      </c>
      <c r="AJ3291">
        <v>83.689898328395799</v>
      </c>
      <c r="AK3291">
        <v>26.988791036752598</v>
      </c>
      <c r="AL3291">
        <v>88.339536462177193</v>
      </c>
      <c r="AM3291">
        <v>83.5480414504664</v>
      </c>
      <c r="AN3291">
        <v>1.0000000223586401</v>
      </c>
    </row>
    <row r="3292" spans="1:40" x14ac:dyDescent="0.25">
      <c r="A3292" t="str">
        <f>"20190312151603903"</f>
        <v>20190312151603903</v>
      </c>
      <c r="B3292" t="str">
        <f>"1552374963900963"</f>
        <v>1552374963900963</v>
      </c>
      <c r="C3292" t="s">
        <v>40</v>
      </c>
      <c r="D3292">
        <v>4.503679</v>
      </c>
      <c r="E3292">
        <v>0.50277299999999903</v>
      </c>
      <c r="F3292" t="s">
        <v>51</v>
      </c>
      <c r="G3292">
        <v>-231.86449999999999</v>
      </c>
      <c r="H3292" s="1">
        <v>-4.2960549999999998E-7</v>
      </c>
      <c r="I3292">
        <v>211.9862</v>
      </c>
      <c r="J3292">
        <v>-261.23250000000002</v>
      </c>
      <c r="K3292">
        <v>1.1105400000000001</v>
      </c>
      <c r="L3292">
        <v>214.53450000000001</v>
      </c>
      <c r="M3292">
        <v>0.99948139999999996</v>
      </c>
      <c r="N3292">
        <v>0</v>
      </c>
      <c r="O3292">
        <v>2.9752170000000001E-2</v>
      </c>
      <c r="P3292">
        <v>0.99641869999999999</v>
      </c>
      <c r="Q3292">
        <v>1.5666409999999999E-2</v>
      </c>
      <c r="R3292">
        <v>-8.3094459999999995E-2</v>
      </c>
      <c r="S3292">
        <v>2.9914550000000002</v>
      </c>
      <c r="T3292">
        <v>-0.111283199999999</v>
      </c>
      <c r="U3292">
        <v>-0.25389099999999998</v>
      </c>
      <c r="V3292">
        <v>0.1125997</v>
      </c>
      <c r="W3292">
        <v>2.833113E-2</v>
      </c>
      <c r="X3292">
        <v>0.99323649999999997</v>
      </c>
      <c r="Y3292">
        <v>0.1140796</v>
      </c>
      <c r="Z3292">
        <v>-3.2220999999999899E-3</v>
      </c>
      <c r="AA3292">
        <v>0.99346639999999997</v>
      </c>
      <c r="AB3292">
        <v>49</v>
      </c>
      <c r="AC3292">
        <v>29.367999999999999</v>
      </c>
      <c r="AD3292">
        <v>-1.1105404296054999</v>
      </c>
      <c r="AE3292">
        <v>-2.54830000000001</v>
      </c>
      <c r="AF3292">
        <v>3.4161513292021</v>
      </c>
      <c r="AG3292">
        <v>-1.1105404296054999</v>
      </c>
      <c r="AH3292">
        <v>29.2376778848773</v>
      </c>
      <c r="AI3292">
        <v>92.160547532355295</v>
      </c>
      <c r="AJ3292">
        <v>83.335736555741605</v>
      </c>
      <c r="AK3292">
        <v>29.4575151370519</v>
      </c>
      <c r="AL3292">
        <v>88.376528665391504</v>
      </c>
      <c r="AM3292">
        <v>83.532194298393904</v>
      </c>
      <c r="AN3292">
        <v>1.0000000451497</v>
      </c>
    </row>
    <row r="3293" spans="1:40" x14ac:dyDescent="0.25">
      <c r="A3293" t="str">
        <f>"20190312151603928"</f>
        <v>20190312151603928</v>
      </c>
      <c r="B3293" t="str">
        <f>"1552374963921459"</f>
        <v>1552374963921459</v>
      </c>
      <c r="C3293" t="s">
        <v>40</v>
      </c>
      <c r="D3293">
        <v>4.5209140000000003</v>
      </c>
      <c r="E3293">
        <v>0.50404229999999905</v>
      </c>
      <c r="F3293" t="s">
        <v>51</v>
      </c>
      <c r="G3293">
        <v>-232.14250000000001</v>
      </c>
      <c r="H3293" s="1">
        <v>-2.7764170000000002E-7</v>
      </c>
      <c r="I3293">
        <v>211.893</v>
      </c>
      <c r="J3293">
        <v>-260.71850000000001</v>
      </c>
      <c r="K3293">
        <v>1.1105430000000001</v>
      </c>
      <c r="L3293">
        <v>214.5506</v>
      </c>
      <c r="M3293">
        <v>0.99944270000000002</v>
      </c>
      <c r="N3293">
        <v>0</v>
      </c>
      <c r="O3293">
        <v>3.102106E-2</v>
      </c>
      <c r="P3293">
        <v>0.99648479999999995</v>
      </c>
      <c r="Q3293">
        <v>1.516735E-2</v>
      </c>
      <c r="R3293">
        <v>-8.2390859999999996E-2</v>
      </c>
      <c r="S3293">
        <v>2.98996</v>
      </c>
      <c r="T3293">
        <v>-0.1141447</v>
      </c>
      <c r="U3293">
        <v>-0.27149959999999901</v>
      </c>
      <c r="V3293">
        <v>0.11316130000000001</v>
      </c>
      <c r="W3293">
        <v>2.7841609999999999E-2</v>
      </c>
      <c r="X3293">
        <v>0.99318649999999997</v>
      </c>
      <c r="Y3293">
        <v>0.1211745</v>
      </c>
      <c r="Z3293">
        <v>-3.4891589999999999E-3</v>
      </c>
      <c r="AA3293">
        <v>0.99262510000000004</v>
      </c>
      <c r="AB3293">
        <v>49</v>
      </c>
      <c r="AC3293">
        <v>28.576000000000001</v>
      </c>
      <c r="AD3293">
        <v>-1.1105432776416999</v>
      </c>
      <c r="AE3293">
        <v>-2.6576</v>
      </c>
      <c r="AF3293">
        <v>3.5375489616289602</v>
      </c>
      <c r="AG3293">
        <v>-1.1105432776416999</v>
      </c>
      <c r="AH3293">
        <v>28.437216415355199</v>
      </c>
      <c r="AI3293">
        <v>92.219315998964504</v>
      </c>
      <c r="AJ3293">
        <v>82.908915603811295</v>
      </c>
      <c r="AK3293">
        <v>28.677915483542101</v>
      </c>
      <c r="AL3293">
        <v>88.404587138371198</v>
      </c>
      <c r="AM3293">
        <v>83.499886558462194</v>
      </c>
      <c r="AN3293">
        <v>1.00000002942366</v>
      </c>
    </row>
    <row r="3294" spans="1:40" x14ac:dyDescent="0.25">
      <c r="A3294" t="str">
        <f>"20190312151603949"</f>
        <v>20190312151603949</v>
      </c>
      <c r="B3294" t="str">
        <f>"1552374963940978"</f>
        <v>1552374963940978</v>
      </c>
      <c r="C3294" t="s">
        <v>40</v>
      </c>
      <c r="D3294">
        <v>4.6218190000000003</v>
      </c>
      <c r="E3294">
        <v>0.50518039999999997</v>
      </c>
      <c r="F3294" t="s">
        <v>51</v>
      </c>
      <c r="G3294">
        <v>-230.37129999999999</v>
      </c>
      <c r="H3294" s="1">
        <v>-1.2122480000000001E-6</v>
      </c>
      <c r="I3294">
        <v>211.71199999999999</v>
      </c>
      <c r="J3294">
        <v>-260.23820000000001</v>
      </c>
      <c r="K3294">
        <v>1.11054599999999</v>
      </c>
      <c r="L3294">
        <v>214.56630000000001</v>
      </c>
      <c r="M3294">
        <v>0.99940519999999999</v>
      </c>
      <c r="N3294">
        <v>0</v>
      </c>
      <c r="O3294">
        <v>3.2207399999999997E-2</v>
      </c>
      <c r="P3294">
        <v>0.99656560000000005</v>
      </c>
      <c r="Q3294">
        <v>1.502474E-2</v>
      </c>
      <c r="R3294">
        <v>-8.1435380000000002E-2</v>
      </c>
      <c r="S3294">
        <v>2.989166</v>
      </c>
      <c r="T3294">
        <v>-0.10938730000000001</v>
      </c>
      <c r="U3294">
        <v>-0.27960210000000002</v>
      </c>
      <c r="V3294">
        <v>0.11338819999999999</v>
      </c>
      <c r="W3294">
        <v>2.770529E-2</v>
      </c>
      <c r="X3294">
        <v>0.99316439999999995</v>
      </c>
      <c r="Y3294">
        <v>0.1250491</v>
      </c>
      <c r="Z3294">
        <v>-3.4583539999999999E-3</v>
      </c>
      <c r="AA3294">
        <v>0.99214449999999998</v>
      </c>
      <c r="AB3294">
        <v>49</v>
      </c>
      <c r="AC3294">
        <v>29.866900000000001</v>
      </c>
      <c r="AD3294">
        <v>-1.11054721224799</v>
      </c>
      <c r="AE3294">
        <v>-2.8542999999999901</v>
      </c>
      <c r="AF3294">
        <v>3.8096078011043102</v>
      </c>
      <c r="AG3294">
        <v>-1.11054721224799</v>
      </c>
      <c r="AH3294">
        <v>29.718749338587799</v>
      </c>
      <c r="AI3294">
        <v>92.122712255071207</v>
      </c>
      <c r="AJ3294">
        <v>82.695166594534001</v>
      </c>
      <c r="AK3294">
        <v>29.982503046921899</v>
      </c>
      <c r="AL3294">
        <v>88.412400660205904</v>
      </c>
      <c r="AM3294">
        <v>83.486821357534694</v>
      </c>
      <c r="AN3294">
        <v>0.99999999621029101</v>
      </c>
    </row>
    <row r="3295" spans="1:40" x14ac:dyDescent="0.25">
      <c r="A3295" t="str">
        <f>"20190312151603972"</f>
        <v>20190312151603972</v>
      </c>
      <c r="B3295" t="str">
        <f>"1552374963961476"</f>
        <v>1552374963961476</v>
      </c>
      <c r="C3295" t="s">
        <v>40</v>
      </c>
      <c r="D3295">
        <v>4.6051820000000001</v>
      </c>
      <c r="E3295">
        <v>0.50609179999999998</v>
      </c>
      <c r="F3295" t="s">
        <v>51</v>
      </c>
      <c r="G3295">
        <v>-229.8484</v>
      </c>
      <c r="H3295" s="1">
        <v>3.8332860000000002E-6</v>
      </c>
      <c r="I3295">
        <v>211.65979999999999</v>
      </c>
      <c r="J3295">
        <v>-259.76639999999998</v>
      </c>
      <c r="K3295">
        <v>1.1105499999999999</v>
      </c>
      <c r="L3295">
        <v>214.5822</v>
      </c>
      <c r="M3295">
        <v>0.99936689999999995</v>
      </c>
      <c r="N3295">
        <v>0</v>
      </c>
      <c r="O3295">
        <v>3.3373119999999999E-2</v>
      </c>
      <c r="P3295">
        <v>0.9966642</v>
      </c>
      <c r="Q3295">
        <v>1.524087E-2</v>
      </c>
      <c r="R3295">
        <v>-8.0179700000000007E-2</v>
      </c>
      <c r="S3295">
        <v>2.9886170000000001</v>
      </c>
      <c r="T3295">
        <v>-0.1092138</v>
      </c>
      <c r="U3295">
        <v>-0.28582760000000001</v>
      </c>
      <c r="V3295">
        <v>0.11329409999999999</v>
      </c>
      <c r="W3295">
        <v>2.792598E-2</v>
      </c>
      <c r="X3295">
        <v>0.99316899999999997</v>
      </c>
      <c r="Y3295">
        <v>0.1282684</v>
      </c>
      <c r="Z3295">
        <v>-3.5543530000000001E-3</v>
      </c>
      <c r="AA3295">
        <v>0.99173310000000003</v>
      </c>
      <c r="AB3295">
        <v>49</v>
      </c>
      <c r="AC3295">
        <v>29.9179999999999</v>
      </c>
      <c r="AD3295">
        <v>-1.110546166714</v>
      </c>
      <c r="AE3295">
        <v>-2.9224000000000099</v>
      </c>
      <c r="AF3295">
        <v>3.91396281756233</v>
      </c>
      <c r="AG3295">
        <v>-1.110546166714</v>
      </c>
      <c r="AH3295">
        <v>29.763172813421999</v>
      </c>
      <c r="AI3295">
        <v>92.118648707861396</v>
      </c>
      <c r="AJ3295">
        <v>82.508388960257804</v>
      </c>
      <c r="AK3295">
        <v>30.039954621258701</v>
      </c>
      <c r="AL3295">
        <v>88.399751226988201</v>
      </c>
      <c r="AM3295">
        <v>83.492210089888303</v>
      </c>
      <c r="AN3295">
        <v>1.0000000380073799</v>
      </c>
    </row>
    <row r="3296" spans="1:40" x14ac:dyDescent="0.25">
      <c r="A3296" t="str">
        <f>"20190312151603995"</f>
        <v>20190312151603995</v>
      </c>
      <c r="B3296" t="str">
        <f>"1552374963990755"</f>
        <v>1552374963990755</v>
      </c>
      <c r="C3296" t="s">
        <v>40</v>
      </c>
      <c r="D3296">
        <v>4.6021989999999997</v>
      </c>
      <c r="E3296">
        <v>0.50663899999999995</v>
      </c>
      <c r="F3296" t="s">
        <v>51</v>
      </c>
      <c r="G3296">
        <v>-227.4614</v>
      </c>
      <c r="H3296" s="1">
        <v>2.5720600000000001E-6</v>
      </c>
      <c r="I3296">
        <v>211.45339999999999</v>
      </c>
      <c r="J3296">
        <v>-259.25839999999999</v>
      </c>
      <c r="K3296">
        <v>1.110555</v>
      </c>
      <c r="L3296">
        <v>214.6</v>
      </c>
      <c r="M3296">
        <v>0.99932410000000005</v>
      </c>
      <c r="N3296">
        <v>0</v>
      </c>
      <c r="O3296">
        <v>3.4628350000000002E-2</v>
      </c>
      <c r="P3296">
        <v>0.99677090000000002</v>
      </c>
      <c r="Q3296">
        <v>1.547978E-2</v>
      </c>
      <c r="R3296">
        <v>-7.8793269999999999E-2</v>
      </c>
      <c r="S3296">
        <v>2.9883419999999998</v>
      </c>
      <c r="T3296">
        <v>-0.1027303</v>
      </c>
      <c r="U3296">
        <v>-0.28942869999999998</v>
      </c>
      <c r="V3296">
        <v>0.1131591</v>
      </c>
      <c r="W3296">
        <v>2.8169550000000002E-2</v>
      </c>
      <c r="X3296">
        <v>0.99317750000000005</v>
      </c>
      <c r="Y3296">
        <v>0.13071650000000001</v>
      </c>
      <c r="Z3296">
        <v>-3.4286220000000001E-3</v>
      </c>
      <c r="AA3296">
        <v>0.99141380000000001</v>
      </c>
      <c r="AB3296">
        <v>49</v>
      </c>
      <c r="AC3296">
        <v>31.797000000000001</v>
      </c>
      <c r="AD3296">
        <v>-1.1105524279400001</v>
      </c>
      <c r="AE3296">
        <v>-3.1465999999999998</v>
      </c>
      <c r="AF3296">
        <v>4.2407511197565801</v>
      </c>
      <c r="AG3296">
        <v>-1.1105524279400001</v>
      </c>
      <c r="AH3296">
        <v>31.630746743719801</v>
      </c>
      <c r="AI3296">
        <v>91.993005546466904</v>
      </c>
      <c r="AJ3296">
        <v>82.363859926433193</v>
      </c>
      <c r="AK3296">
        <v>31.933077463975501</v>
      </c>
      <c r="AL3296">
        <v>88.385790182563696</v>
      </c>
      <c r="AM3296">
        <v>83.499953449808402</v>
      </c>
      <c r="AN3296">
        <v>1.0000000259831301</v>
      </c>
    </row>
    <row r="3297" spans="1:40" x14ac:dyDescent="0.25">
      <c r="A3297" t="str">
        <f>"20190312151604017"</f>
        <v>20190312151604017</v>
      </c>
      <c r="B3297" t="str">
        <f>"1552374964011250"</f>
        <v>1552374964011250</v>
      </c>
      <c r="C3297" t="s">
        <v>40</v>
      </c>
      <c r="D3297">
        <v>4.5687559999999996</v>
      </c>
      <c r="E3297">
        <v>0.50692309999999996</v>
      </c>
      <c r="F3297" t="s">
        <v>51</v>
      </c>
      <c r="G3297">
        <v>-228.0617</v>
      </c>
      <c r="H3297" s="1">
        <v>2.8861050000000001E-6</v>
      </c>
      <c r="I3297">
        <v>211.5772</v>
      </c>
      <c r="J3297">
        <v>-258.78030000000001</v>
      </c>
      <c r="K3297">
        <v>1.110555</v>
      </c>
      <c r="L3297">
        <v>214.6173</v>
      </c>
      <c r="M3297">
        <v>0.99928249999999996</v>
      </c>
      <c r="N3297">
        <v>0</v>
      </c>
      <c r="O3297">
        <v>3.5807169999999999E-2</v>
      </c>
      <c r="P3297">
        <v>0.99688690000000002</v>
      </c>
      <c r="Q3297">
        <v>1.5826349999999999E-2</v>
      </c>
      <c r="R3297">
        <v>-7.7240950000000003E-2</v>
      </c>
      <c r="S3297">
        <v>2.9884949999999999</v>
      </c>
      <c r="T3297">
        <v>-0.1063858</v>
      </c>
      <c r="U3297">
        <v>-0.28956599999999999</v>
      </c>
      <c r="V3297">
        <v>0.1127823</v>
      </c>
      <c r="W3297">
        <v>2.851797E-2</v>
      </c>
      <c r="X3297">
        <v>0.99321040000000005</v>
      </c>
      <c r="Y3297">
        <v>0.1319177</v>
      </c>
      <c r="Z3297">
        <v>-3.6135579999999998E-3</v>
      </c>
      <c r="AA3297">
        <v>0.99125410000000003</v>
      </c>
      <c r="AB3297">
        <v>49</v>
      </c>
      <c r="AC3297">
        <v>30.718599999999999</v>
      </c>
      <c r="AD3297">
        <v>-1.1105521138950001</v>
      </c>
      <c r="AE3297">
        <v>-3.04009999999999</v>
      </c>
      <c r="AF3297">
        <v>4.1328308492695198</v>
      </c>
      <c r="AG3297">
        <v>-1.1105521138950001</v>
      </c>
      <c r="AH3297">
        <v>30.550489879140802</v>
      </c>
      <c r="AI3297">
        <v>92.063087761746303</v>
      </c>
      <c r="AJ3297">
        <v>82.295869748551297</v>
      </c>
      <c r="AK3297">
        <v>30.848760893783702</v>
      </c>
      <c r="AL3297">
        <v>88.365819138087105</v>
      </c>
      <c r="AM3297">
        <v>83.521625928046703</v>
      </c>
      <c r="AN3297">
        <v>1.00000001023718</v>
      </c>
    </row>
    <row r="3298" spans="1:40" x14ac:dyDescent="0.25">
      <c r="A3298" t="str">
        <f>"20190312151604037"</f>
        <v>20190312151604037</v>
      </c>
      <c r="B3298" t="str">
        <f>"1552374964030771"</f>
        <v>1552374964030771</v>
      </c>
      <c r="C3298" t="s">
        <v>40</v>
      </c>
      <c r="D3298">
        <v>4.6455140000000004</v>
      </c>
      <c r="E3298">
        <v>0.50723249999999998</v>
      </c>
      <c r="F3298" t="s">
        <v>51</v>
      </c>
      <c r="G3298">
        <v>-227.99940000000001</v>
      </c>
      <c r="H3298" s="1">
        <v>2.849364E-6</v>
      </c>
      <c r="I3298">
        <v>211.65860000000001</v>
      </c>
      <c r="J3298">
        <v>-258.31560000000002</v>
      </c>
      <c r="K3298">
        <v>1.1105529999999999</v>
      </c>
      <c r="L3298">
        <v>214.63470000000001</v>
      </c>
      <c r="M3298">
        <v>0.99924089999999999</v>
      </c>
      <c r="N3298">
        <v>0</v>
      </c>
      <c r="O3298">
        <v>3.6951100000000001E-2</v>
      </c>
      <c r="P3298">
        <v>0.99699559999999998</v>
      </c>
      <c r="Q3298">
        <v>1.5976750000000001E-2</v>
      </c>
      <c r="R3298">
        <v>-7.5795290000000001E-2</v>
      </c>
      <c r="S3298">
        <v>2.9888150000000002</v>
      </c>
      <c r="T3298">
        <v>-0.10783420000000001</v>
      </c>
      <c r="U3298">
        <v>-0.28729250000000001</v>
      </c>
      <c r="V3298">
        <v>0.1124783</v>
      </c>
      <c r="W3298">
        <v>2.8670500000000002E-2</v>
      </c>
      <c r="X3298">
        <v>0.99324049999999997</v>
      </c>
      <c r="Y3298">
        <v>0.132291299999999</v>
      </c>
      <c r="Z3298">
        <v>-3.710367E-3</v>
      </c>
      <c r="AA3298">
        <v>0.99120390000000003</v>
      </c>
      <c r="AB3298">
        <v>49</v>
      </c>
      <c r="AC3298">
        <v>30.316199999999998</v>
      </c>
      <c r="AD3298">
        <v>-1.110550150636</v>
      </c>
      <c r="AE3298">
        <v>-2.9761000000000002</v>
      </c>
      <c r="AF3298">
        <v>4.0889348038117399</v>
      </c>
      <c r="AG3298">
        <v>-1.110550150636</v>
      </c>
      <c r="AH3298">
        <v>30.145447940159301</v>
      </c>
      <c r="AI3298">
        <v>92.090679358967193</v>
      </c>
      <c r="AJ3298">
        <v>82.275530672281604</v>
      </c>
      <c r="AK3298">
        <v>30.441759820676499</v>
      </c>
      <c r="AL3298">
        <v>88.357076267462503</v>
      </c>
      <c r="AM3298">
        <v>83.539134404180004</v>
      </c>
      <c r="AN3298">
        <v>1.00000002819069</v>
      </c>
    </row>
    <row r="3299" spans="1:40" x14ac:dyDescent="0.25">
      <c r="A3299" t="str">
        <f>"20190312151604061"</f>
        <v>20190312151604061</v>
      </c>
      <c r="B3299" t="str">
        <f>"1552374964051266"</f>
        <v>1552374964051266</v>
      </c>
      <c r="C3299" t="s">
        <v>40</v>
      </c>
      <c r="D3299">
        <v>4.5775579999999998</v>
      </c>
      <c r="E3299">
        <v>0.50736599999999998</v>
      </c>
      <c r="F3299" t="s">
        <v>51</v>
      </c>
      <c r="G3299">
        <v>-228.0333</v>
      </c>
      <c r="H3299" s="1">
        <v>2.863655E-6</v>
      </c>
      <c r="I3299">
        <v>211.74510000000001</v>
      </c>
      <c r="J3299">
        <v>-257.82810000000001</v>
      </c>
      <c r="K3299">
        <v>1.1105510000000001</v>
      </c>
      <c r="L3299">
        <v>214.65350000000001</v>
      </c>
      <c r="M3299">
        <v>0.99919590000000003</v>
      </c>
      <c r="N3299">
        <v>0</v>
      </c>
      <c r="O3299">
        <v>3.8148670000000003E-2</v>
      </c>
      <c r="P3299">
        <v>0.99710200000000004</v>
      </c>
      <c r="Q3299">
        <v>1.550752E-2</v>
      </c>
      <c r="R3299">
        <v>-7.4480089999999999E-2</v>
      </c>
      <c r="S3299">
        <v>2.9891510000000001</v>
      </c>
      <c r="T3299">
        <v>-0.1096221</v>
      </c>
      <c r="U3299">
        <v>-0.2852325</v>
      </c>
      <c r="V3299">
        <v>0.11236069999999999</v>
      </c>
      <c r="W3299">
        <v>2.8203869999999999E-2</v>
      </c>
      <c r="X3299">
        <v>0.99326709999999996</v>
      </c>
      <c r="Y3299">
        <v>0.13278709999999999</v>
      </c>
      <c r="Z3299">
        <v>-3.8244329999999999E-3</v>
      </c>
      <c r="AA3299">
        <v>0.99113720000000005</v>
      </c>
      <c r="AB3299">
        <v>49</v>
      </c>
      <c r="AC3299">
        <v>29.794799999999999</v>
      </c>
      <c r="AD3299">
        <v>-1.110548136345</v>
      </c>
      <c r="AE3299">
        <v>-2.9083999999999999</v>
      </c>
      <c r="AF3299">
        <v>4.03744484755273</v>
      </c>
      <c r="AG3299">
        <v>-1.110548136345</v>
      </c>
      <c r="AH3299">
        <v>29.621383911773801</v>
      </c>
      <c r="AI3299">
        <v>92.1274425692352</v>
      </c>
      <c r="AJ3299">
        <v>82.2383181774793</v>
      </c>
      <c r="AK3299">
        <v>29.9158931491083</v>
      </c>
      <c r="AL3299">
        <v>88.383822900867798</v>
      </c>
      <c r="AM3299">
        <v>83.546003822596504</v>
      </c>
      <c r="AN3299">
        <v>0.99999995856493695</v>
      </c>
    </row>
    <row r="3300" spans="1:40" x14ac:dyDescent="0.25">
      <c r="A3300" t="str">
        <f>"20190312151604083"</f>
        <v>20190312151604083</v>
      </c>
      <c r="B3300" t="str">
        <f>"1552374964070786"</f>
        <v>1552374964070786</v>
      </c>
      <c r="C3300" t="s">
        <v>40</v>
      </c>
      <c r="D3300">
        <v>4.9444160000000004</v>
      </c>
      <c r="E3300">
        <v>0.50759370000000004</v>
      </c>
      <c r="F3300" t="s">
        <v>51</v>
      </c>
      <c r="G3300">
        <v>-228.4811</v>
      </c>
      <c r="H3300" s="1">
        <v>3.095982E-6</v>
      </c>
      <c r="I3300">
        <v>211.8817</v>
      </c>
      <c r="J3300">
        <v>-257.3193</v>
      </c>
      <c r="K3300">
        <v>1.110554</v>
      </c>
      <c r="L3300">
        <v>214.6738</v>
      </c>
      <c r="M3300">
        <v>0.99914740000000002</v>
      </c>
      <c r="N3300">
        <v>0</v>
      </c>
      <c r="O3300">
        <v>3.9392650000000001E-2</v>
      </c>
      <c r="P3300">
        <v>0.99719049999999998</v>
      </c>
      <c r="Q3300">
        <v>1.5200669999999999E-2</v>
      </c>
      <c r="R3300">
        <v>-7.3349199999999906E-2</v>
      </c>
      <c r="S3300">
        <v>2.989395</v>
      </c>
      <c r="T3300">
        <v>-0.11312460000000001</v>
      </c>
      <c r="U3300">
        <v>-0.28234860000000001</v>
      </c>
      <c r="V3300">
        <v>0.1124723</v>
      </c>
      <c r="W3300">
        <v>2.789881E-2</v>
      </c>
      <c r="X3300">
        <v>0.99326309999999995</v>
      </c>
      <c r="Y3300">
        <v>0.13305729999999999</v>
      </c>
      <c r="Z3300">
        <v>-3.9984649999999997E-3</v>
      </c>
      <c r="AA3300">
        <v>0.99110030000000005</v>
      </c>
      <c r="AB3300">
        <v>49</v>
      </c>
      <c r="AC3300">
        <v>28.838200000000001</v>
      </c>
      <c r="AD3300">
        <v>-1.1105509040179999</v>
      </c>
      <c r="AE3300">
        <v>-2.7921</v>
      </c>
      <c r="AF3300">
        <v>3.92027255821557</v>
      </c>
      <c r="AG3300">
        <v>-1.1105509040179999</v>
      </c>
      <c r="AH3300">
        <v>28.663702544504499</v>
      </c>
      <c r="AI3300">
        <v>92.198322068127197</v>
      </c>
      <c r="AJ3300">
        <v>82.2120990801576</v>
      </c>
      <c r="AK3300">
        <v>28.951851474490301</v>
      </c>
      <c r="AL3300">
        <v>88.401308457433203</v>
      </c>
      <c r="AM3300">
        <v>83.539621891604796</v>
      </c>
      <c r="AN3300">
        <v>0.99999997384415695</v>
      </c>
    </row>
    <row r="3301" spans="1:40" x14ac:dyDescent="0.25">
      <c r="A3301" t="str">
        <f>"20190312151604104"</f>
        <v>20190312151604104</v>
      </c>
      <c r="B3301" t="str">
        <f>"1552374964101043"</f>
        <v>1552374964101043</v>
      </c>
      <c r="C3301" t="s">
        <v>40</v>
      </c>
      <c r="D3301">
        <v>4.4683409999999997</v>
      </c>
      <c r="E3301">
        <v>0.53161919999999996</v>
      </c>
      <c r="F3301" t="s">
        <v>51</v>
      </c>
      <c r="G3301">
        <v>-228.43289999999999</v>
      </c>
      <c r="H3301" s="1">
        <v>3.0669109999999999E-6</v>
      </c>
      <c r="I3301">
        <v>211.95949999999999</v>
      </c>
      <c r="J3301">
        <v>-256.8553</v>
      </c>
      <c r="K3301">
        <v>1.11054599999999</v>
      </c>
      <c r="L3301">
        <v>214.69280000000001</v>
      </c>
      <c r="M3301">
        <v>0.9991025</v>
      </c>
      <c r="N3301">
        <v>0</v>
      </c>
      <c r="O3301">
        <v>4.0516799999999999E-2</v>
      </c>
      <c r="P3301">
        <v>0.99729659999999998</v>
      </c>
      <c r="Q3301">
        <v>1.4957140000000001E-2</v>
      </c>
      <c r="R3301">
        <v>-7.1943599999999996E-2</v>
      </c>
      <c r="S3301">
        <v>2.9895480000000001</v>
      </c>
      <c r="T3301">
        <v>-0.1149343</v>
      </c>
      <c r="U3301">
        <v>-0.28091430000000001</v>
      </c>
      <c r="V3301">
        <v>0.11219129999999999</v>
      </c>
      <c r="W3301">
        <v>2.7655720000000002E-2</v>
      </c>
      <c r="X3301">
        <v>0.99330169999999995</v>
      </c>
      <c r="Y3301">
        <v>0.13369110000000001</v>
      </c>
      <c r="Z3301">
        <v>-4.1175439999999999E-3</v>
      </c>
      <c r="AA3301">
        <v>0.99101450000000002</v>
      </c>
      <c r="AB3301">
        <v>49</v>
      </c>
      <c r="AC3301">
        <v>28.4224</v>
      </c>
      <c r="AD3301">
        <v>-1.11054293308899</v>
      </c>
      <c r="AE3301">
        <v>-2.7333000000000101</v>
      </c>
      <c r="AF3301">
        <v>3.87686328052704</v>
      </c>
      <c r="AG3301">
        <v>-1.11054293308899</v>
      </c>
      <c r="AH3301">
        <v>28.245577638257299</v>
      </c>
      <c r="AI3301">
        <v>92.230669452603607</v>
      </c>
      <c r="AJ3301">
        <v>82.184668045338398</v>
      </c>
      <c r="AK3301">
        <v>28.532017640204799</v>
      </c>
      <c r="AL3301">
        <v>88.415241901856604</v>
      </c>
      <c r="AM3301">
        <v>83.555874827766402</v>
      </c>
      <c r="AN3301">
        <v>0.99999999693364905</v>
      </c>
    </row>
    <row r="3302" spans="1:40" x14ac:dyDescent="0.25">
      <c r="A3302" t="str">
        <f>"20190312151604128"</f>
        <v>20190312151604128</v>
      </c>
      <c r="B3302" t="str">
        <f>"1552374964121539"</f>
        <v>1552374964121539</v>
      </c>
      <c r="C3302" t="s">
        <v>40</v>
      </c>
      <c r="D3302">
        <v>4.8671369999999996</v>
      </c>
      <c r="E3302">
        <v>0.53490499999999996</v>
      </c>
      <c r="F3302" t="s">
        <v>51</v>
      </c>
      <c r="G3302">
        <v>-238.61600000000001</v>
      </c>
      <c r="H3302" s="1">
        <v>3.1701770000000002E-6</v>
      </c>
      <c r="I3302">
        <v>211.82599999999999</v>
      </c>
      <c r="J3302">
        <v>-256.34930000000003</v>
      </c>
      <c r="K3302">
        <v>1.110536</v>
      </c>
      <c r="L3302">
        <v>214.7141</v>
      </c>
      <c r="M3302">
        <v>0.99905290000000002</v>
      </c>
      <c r="N3302">
        <v>0</v>
      </c>
      <c r="O3302">
        <v>4.1723379999999997E-2</v>
      </c>
      <c r="P3302">
        <v>0.99733309999999997</v>
      </c>
      <c r="Q3302">
        <v>1.5278770000000001E-2</v>
      </c>
      <c r="R3302">
        <v>-7.136895E-2</v>
      </c>
      <c r="S3302">
        <v>2.9771269999999999</v>
      </c>
      <c r="T3302">
        <v>-0.1812694</v>
      </c>
      <c r="U3302">
        <v>-0.46792600000000001</v>
      </c>
      <c r="V3302">
        <v>0.1128181</v>
      </c>
      <c r="W3302">
        <v>2.7976979999999999E-2</v>
      </c>
      <c r="X3302">
        <v>0.99322169999999999</v>
      </c>
      <c r="Y3302">
        <v>0.19592270000000001</v>
      </c>
      <c r="Z3302">
        <v>-8.4471670000000002E-3</v>
      </c>
      <c r="AA3302">
        <v>0.98058299999999998</v>
      </c>
      <c r="AB3302">
        <v>49</v>
      </c>
      <c r="AC3302">
        <v>17.7333</v>
      </c>
      <c r="AD3302">
        <v>-1.1105328298229999</v>
      </c>
      <c r="AE3302">
        <v>-2.8881000000000001</v>
      </c>
      <c r="AF3302">
        <v>3.61173583203245</v>
      </c>
      <c r="AG3302">
        <v>-1.1105328298229999</v>
      </c>
      <c r="AH3302">
        <v>17.530371127644202</v>
      </c>
      <c r="AI3302">
        <v>93.550418133617796</v>
      </c>
      <c r="AJ3302">
        <v>78.358396572123993</v>
      </c>
      <c r="AK3302">
        <v>17.932981647217598</v>
      </c>
      <c r="AL3302">
        <v>88.396827923559101</v>
      </c>
      <c r="AM3302">
        <v>83.519660117222003</v>
      </c>
      <c r="AN3302">
        <v>0.99999999022421004</v>
      </c>
    </row>
    <row r="3303" spans="1:40" x14ac:dyDescent="0.25">
      <c r="A3303" t="str">
        <f>"20190312151604149"</f>
        <v>20190312151604149</v>
      </c>
      <c r="B3303" t="str">
        <f>"1552374964141058"</f>
        <v>1552374964141058</v>
      </c>
      <c r="C3303" t="s">
        <v>40</v>
      </c>
      <c r="D3303">
        <v>4.5141049999999998</v>
      </c>
      <c r="E3303">
        <v>0.53459269999999903</v>
      </c>
      <c r="F3303" t="s">
        <v>51</v>
      </c>
      <c r="G3303">
        <v>-239.2336</v>
      </c>
      <c r="H3303" s="1">
        <v>3.4963910000000001E-6</v>
      </c>
      <c r="I3303">
        <v>211.8819</v>
      </c>
      <c r="J3303">
        <v>-255.87479999999999</v>
      </c>
      <c r="K3303">
        <v>1.110517</v>
      </c>
      <c r="L3303">
        <v>214.7346</v>
      </c>
      <c r="M3303">
        <v>0.99900610000000001</v>
      </c>
      <c r="N3303">
        <v>0</v>
      </c>
      <c r="O3303">
        <v>4.2827009999999999E-2</v>
      </c>
      <c r="P3303">
        <v>0.99739040000000001</v>
      </c>
      <c r="Q3303">
        <v>1.56688E-2</v>
      </c>
      <c r="R3303">
        <v>-7.0477219999999993E-2</v>
      </c>
      <c r="S3303">
        <v>2.9757389999999999</v>
      </c>
      <c r="T3303">
        <v>-0.19307669999999999</v>
      </c>
      <c r="U3303">
        <v>-0.49240109999999898</v>
      </c>
      <c r="V3303">
        <v>0.1130269</v>
      </c>
      <c r="W3303">
        <v>2.836354E-2</v>
      </c>
      <c r="X3303">
        <v>0.99318700000000004</v>
      </c>
      <c r="Y3303">
        <v>0.20485010000000001</v>
      </c>
      <c r="Z3303">
        <v>-9.3532070000000005E-3</v>
      </c>
      <c r="AA3303">
        <v>0.97874870000000003</v>
      </c>
      <c r="AB3303">
        <v>49</v>
      </c>
      <c r="AC3303">
        <v>16.641199999999898</v>
      </c>
      <c r="AD3303">
        <v>-1.1105135036089999</v>
      </c>
      <c r="AE3303">
        <v>-2.8526999999999898</v>
      </c>
      <c r="AF3303">
        <v>3.54748261120689</v>
      </c>
      <c r="AG3303">
        <v>-1.1105135036089999</v>
      </c>
      <c r="AH3303">
        <v>16.432657576778901</v>
      </c>
      <c r="AI3303">
        <v>93.779348366563397</v>
      </c>
      <c r="AJ3303">
        <v>77.817934326368402</v>
      </c>
      <c r="AK3303">
        <v>16.847851737066801</v>
      </c>
      <c r="AL3303">
        <v>88.374670879144205</v>
      </c>
      <c r="AM3303">
        <v>83.507543933160406</v>
      </c>
      <c r="AN3303">
        <v>0.99999999374697002</v>
      </c>
    </row>
    <row r="3304" spans="1:40" x14ac:dyDescent="0.25">
      <c r="A3304" t="str">
        <f>"20190312151604172"</f>
        <v>20190312151604172</v>
      </c>
      <c r="B3304" t="str">
        <f>"1552374964160579"</f>
        <v>1552374964160579</v>
      </c>
      <c r="C3304" t="s">
        <v>40</v>
      </c>
      <c r="D3304">
        <v>4.8012819999999996</v>
      </c>
      <c r="E3304">
        <v>0.53468499999999997</v>
      </c>
      <c r="F3304" t="s">
        <v>51</v>
      </c>
      <c r="G3304">
        <v>-238.934</v>
      </c>
      <c r="H3304" s="1">
        <v>3.3335299999999999E-6</v>
      </c>
      <c r="I3304">
        <v>211.96100000000001</v>
      </c>
      <c r="J3304">
        <v>-255.37889999999999</v>
      </c>
      <c r="K3304">
        <v>1.1104879999999999</v>
      </c>
      <c r="L3304">
        <v>214.75649999999999</v>
      </c>
      <c r="M3304">
        <v>0.99895789999999995</v>
      </c>
      <c r="N3304">
        <v>0</v>
      </c>
      <c r="O3304">
        <v>4.3938680000000001E-2</v>
      </c>
      <c r="P3304">
        <v>0.99745459999999997</v>
      </c>
      <c r="Q3304">
        <v>1.5816960000000001E-2</v>
      </c>
      <c r="R3304">
        <v>-6.9530439999999999E-2</v>
      </c>
      <c r="S3304">
        <v>2.9765009999999998</v>
      </c>
      <c r="T3304">
        <v>-0.19511829999999999</v>
      </c>
      <c r="U3304">
        <v>-0.48731989999999997</v>
      </c>
      <c r="V3304">
        <v>0.113191</v>
      </c>
      <c r="W3304">
        <v>2.850511E-2</v>
      </c>
      <c r="X3304">
        <v>0.99316420000000005</v>
      </c>
      <c r="Y3304">
        <v>0.2042602</v>
      </c>
      <c r="Z3304">
        <v>-9.5039970000000001E-3</v>
      </c>
      <c r="AA3304">
        <v>0.97887049999999998</v>
      </c>
      <c r="AB3304">
        <v>49</v>
      </c>
      <c r="AC3304">
        <v>16.444899999999901</v>
      </c>
      <c r="AD3304">
        <v>-1.1104846664700001</v>
      </c>
      <c r="AE3304">
        <v>-2.7955000000000001</v>
      </c>
      <c r="AF3304">
        <v>3.4999108009739901</v>
      </c>
      <c r="AG3304">
        <v>-1.1104846664700001</v>
      </c>
      <c r="AH3304">
        <v>16.2342270487426</v>
      </c>
      <c r="AI3304">
        <v>93.825537165888406</v>
      </c>
      <c r="AJ3304">
        <v>77.833901202822403</v>
      </c>
      <c r="AK3304">
        <v>16.644298713955099</v>
      </c>
      <c r="AL3304">
        <v>88.366556140126505</v>
      </c>
      <c r="AM3304">
        <v>83.498050424836194</v>
      </c>
      <c r="AN3304">
        <v>0.99999993596937398</v>
      </c>
    </row>
    <row r="3305" spans="1:40" x14ac:dyDescent="0.25">
      <c r="A3305" t="str">
        <f>"20190312151604194"</f>
        <v>20190312151604194</v>
      </c>
      <c r="B3305" t="str">
        <f>"1552374964190835"</f>
        <v>1552374964190835</v>
      </c>
      <c r="C3305" t="s">
        <v>40</v>
      </c>
      <c r="D3305">
        <v>4.4947699999999999</v>
      </c>
      <c r="E3305">
        <v>0.5348001</v>
      </c>
      <c r="F3305" t="s">
        <v>51</v>
      </c>
      <c r="G3305">
        <v>-238.34139999999999</v>
      </c>
      <c r="H3305" s="1">
        <v>3.0173709999999999E-6</v>
      </c>
      <c r="I3305">
        <v>211.9796</v>
      </c>
      <c r="J3305">
        <v>-254.904</v>
      </c>
      <c r="K3305">
        <v>1.1104430000000001</v>
      </c>
      <c r="L3305">
        <v>214.77809999999999</v>
      </c>
      <c r="M3305">
        <v>0.99891300000000005</v>
      </c>
      <c r="N3305">
        <v>0</v>
      </c>
      <c r="O3305">
        <v>4.4944900000000003E-2</v>
      </c>
      <c r="P3305">
        <v>0.99748780000000004</v>
      </c>
      <c r="Q3305">
        <v>1.5714369999999998E-2</v>
      </c>
      <c r="R3305">
        <v>-6.9073270000000006E-2</v>
      </c>
      <c r="S3305">
        <v>2.9769130000000001</v>
      </c>
      <c r="T3305">
        <v>-0.19403229999999999</v>
      </c>
      <c r="U3305">
        <v>-0.48521419999999998</v>
      </c>
      <c r="V3305">
        <v>0.1137396</v>
      </c>
      <c r="W3305">
        <v>2.8393089999999999E-2</v>
      </c>
      <c r="X3305">
        <v>0.99310480000000001</v>
      </c>
      <c r="Y3305">
        <v>0.20455329999999999</v>
      </c>
      <c r="Z3305">
        <v>-9.5250850000000008E-3</v>
      </c>
      <c r="AA3305">
        <v>0.97880909999999999</v>
      </c>
      <c r="AB3305">
        <v>49</v>
      </c>
      <c r="AC3305">
        <v>16.5626</v>
      </c>
      <c r="AD3305">
        <v>-1.1104399826289999</v>
      </c>
      <c r="AE3305">
        <v>-2.79849999999999</v>
      </c>
      <c r="AF3305">
        <v>3.5247288518670801</v>
      </c>
      <c r="AG3305">
        <v>-1.1104399826289999</v>
      </c>
      <c r="AH3305">
        <v>16.348624607608102</v>
      </c>
      <c r="AI3305">
        <v>93.7986872585589</v>
      </c>
      <c r="AJ3305">
        <v>77.833381223245993</v>
      </c>
      <c r="AK3305">
        <v>16.761095339943999</v>
      </c>
      <c r="AL3305">
        <v>88.372977123336199</v>
      </c>
      <c r="AM3305">
        <v>83.4664219933466</v>
      </c>
      <c r="AN3305">
        <v>1.00000000397547</v>
      </c>
    </row>
    <row r="3306" spans="1:40" x14ac:dyDescent="0.25">
      <c r="A3306" t="str">
        <f>"20190312151604217"</f>
        <v>20190312151604217</v>
      </c>
      <c r="B3306" t="str">
        <f>"1552374964211334"</f>
        <v>1552374964211334</v>
      </c>
      <c r="C3306" t="s">
        <v>40</v>
      </c>
      <c r="D3306">
        <v>4.7327690000000002</v>
      </c>
      <c r="E3306">
        <v>0.53529139999999997</v>
      </c>
      <c r="F3306" t="s">
        <v>51</v>
      </c>
      <c r="G3306">
        <v>-237.38159999999999</v>
      </c>
      <c r="H3306" s="1">
        <v>2.5090169999999999E-6</v>
      </c>
      <c r="I3306">
        <v>211.92400000000001</v>
      </c>
      <c r="J3306">
        <v>-254.4085</v>
      </c>
      <c r="K3306">
        <v>1.1103809999999901</v>
      </c>
      <c r="L3306">
        <v>214.80099999999999</v>
      </c>
      <c r="M3306">
        <v>0.9988686</v>
      </c>
      <c r="N3306">
        <v>0</v>
      </c>
      <c r="O3306">
        <v>4.5920790000000003E-2</v>
      </c>
      <c r="P3306">
        <v>0.99749350000000003</v>
      </c>
      <c r="Q3306">
        <v>1.5273439999999999E-2</v>
      </c>
      <c r="R3306">
        <v>-6.9090550000000001E-2</v>
      </c>
      <c r="S3306">
        <v>2.9769290000000002</v>
      </c>
      <c r="T3306">
        <v>-0.18865560000000001</v>
      </c>
      <c r="U3306">
        <v>-0.48489379999999999</v>
      </c>
      <c r="V3306">
        <v>0.11473319999999999</v>
      </c>
      <c r="W3306">
        <v>2.793884E-2</v>
      </c>
      <c r="X3306">
        <v>0.99300339999999998</v>
      </c>
      <c r="Y3306">
        <v>0.20543049999999999</v>
      </c>
      <c r="Z3306">
        <v>-9.350733E-3</v>
      </c>
      <c r="AA3306">
        <v>0.97862700000000002</v>
      </c>
      <c r="AB3306">
        <v>49</v>
      </c>
      <c r="AC3306">
        <v>17.026900000000001</v>
      </c>
      <c r="AD3306">
        <v>-1.1103784909829999</v>
      </c>
      <c r="AE3306">
        <v>-2.8769999999999798</v>
      </c>
      <c r="AF3306">
        <v>3.6408590760782502</v>
      </c>
      <c r="AG3306">
        <v>-1.1103784909829999</v>
      </c>
      <c r="AH3306">
        <v>16.807317653298199</v>
      </c>
      <c r="AI3306">
        <v>93.694323282902204</v>
      </c>
      <c r="AJ3306">
        <v>77.777242642369799</v>
      </c>
      <c r="AK3306">
        <v>17.2329545320577</v>
      </c>
      <c r="AL3306">
        <v>88.399014085542504</v>
      </c>
      <c r="AM3306">
        <v>83.409179217760396</v>
      </c>
      <c r="AN3306">
        <v>1.0000000191871701</v>
      </c>
    </row>
    <row r="3307" spans="1:40" x14ac:dyDescent="0.25">
      <c r="A3307" t="str">
        <f>"20190312151604239"</f>
        <v>20190312151604239</v>
      </c>
      <c r="B3307" t="str">
        <f>"1552374964230851"</f>
        <v>1552374964230851</v>
      </c>
      <c r="C3307" t="s">
        <v>40</v>
      </c>
      <c r="D3307">
        <v>4.7697839999999996</v>
      </c>
      <c r="E3307">
        <v>0.53568139999999997</v>
      </c>
      <c r="F3307" t="s">
        <v>51</v>
      </c>
      <c r="G3307">
        <v>-236.41749999999999</v>
      </c>
      <c r="H3307" s="1">
        <v>1.999335E-6</v>
      </c>
      <c r="I3307">
        <v>211.84700000000001</v>
      </c>
      <c r="J3307">
        <v>-253.92400000000001</v>
      </c>
      <c r="K3307">
        <v>1.110314</v>
      </c>
      <c r="L3307">
        <v>214.82380000000001</v>
      </c>
      <c r="M3307">
        <v>0.99882760000000004</v>
      </c>
      <c r="N3307">
        <v>0</v>
      </c>
      <c r="O3307">
        <v>4.6805569999999998E-2</v>
      </c>
      <c r="P3307">
        <v>0.99745760000000006</v>
      </c>
      <c r="Q3307">
        <v>1.476485E-2</v>
      </c>
      <c r="R3307">
        <v>-6.9718260000000004E-2</v>
      </c>
      <c r="S3307">
        <v>2.9765009999999998</v>
      </c>
      <c r="T3307">
        <v>-0.1837057</v>
      </c>
      <c r="U3307">
        <v>-0.48872379999999999</v>
      </c>
      <c r="V3307">
        <v>0.116244</v>
      </c>
      <c r="W3307">
        <v>2.7416909999999999E-2</v>
      </c>
      <c r="X3307">
        <v>0.99284220000000001</v>
      </c>
      <c r="Y3307">
        <v>0.20756540000000001</v>
      </c>
      <c r="Z3307">
        <v>-9.2258630000000008E-3</v>
      </c>
      <c r="AA3307">
        <v>0.97817770000000004</v>
      </c>
      <c r="AB3307">
        <v>49</v>
      </c>
      <c r="AC3307">
        <v>17.506499999999999</v>
      </c>
      <c r="AD3307">
        <v>-1.110312000665</v>
      </c>
      <c r="AE3307">
        <v>-2.9767999999999901</v>
      </c>
      <c r="AF3307">
        <v>3.7782305520625301</v>
      </c>
      <c r="AG3307">
        <v>-1.110312000665</v>
      </c>
      <c r="AH3307">
        <v>17.2804123917632</v>
      </c>
      <c r="AI3307">
        <v>93.591732850044806</v>
      </c>
      <c r="AJ3307">
        <v>77.666797251265905</v>
      </c>
      <c r="AK3307">
        <v>17.723444114301302</v>
      </c>
      <c r="AL3307">
        <v>88.428929893326995</v>
      </c>
      <c r="AM3307">
        <v>83.322095962349493</v>
      </c>
      <c r="AN3307">
        <v>0.99999999429539399</v>
      </c>
    </row>
    <row r="3308" spans="1:40" x14ac:dyDescent="0.25">
      <c r="A3308" t="str">
        <f>"20190312151604261"</f>
        <v>20190312151604261</v>
      </c>
      <c r="B3308" t="str">
        <f>"1552374964251347"</f>
        <v>1552374964251347</v>
      </c>
      <c r="C3308" t="s">
        <v>40</v>
      </c>
      <c r="D3308">
        <v>4.5835599999999896</v>
      </c>
      <c r="E3308">
        <v>0.53588499999999994</v>
      </c>
      <c r="F3308" t="s">
        <v>51</v>
      </c>
      <c r="G3308">
        <v>-235.72309999999999</v>
      </c>
      <c r="H3308" s="1">
        <v>1.6317509999999999E-6</v>
      </c>
      <c r="I3308">
        <v>211.80240000000001</v>
      </c>
      <c r="J3308">
        <v>-253.44489999999999</v>
      </c>
      <c r="K3308">
        <v>1.1102449999999999</v>
      </c>
      <c r="L3308">
        <v>214.8468</v>
      </c>
      <c r="M3308">
        <v>0.99878990000000001</v>
      </c>
      <c r="N3308">
        <v>0</v>
      </c>
      <c r="O3308">
        <v>4.7600179999999999E-2</v>
      </c>
      <c r="P3308">
        <v>0.99740010000000001</v>
      </c>
      <c r="Q3308">
        <v>1.5072179999999999E-2</v>
      </c>
      <c r="R3308">
        <v>-7.0468100000000006E-2</v>
      </c>
      <c r="S3308">
        <v>2.9758300000000002</v>
      </c>
      <c r="T3308">
        <v>-0.18153459999999999</v>
      </c>
      <c r="U3308">
        <v>-0.49400329999999898</v>
      </c>
      <c r="V3308">
        <v>0.1177844</v>
      </c>
      <c r="W3308">
        <v>2.7711960000000001E-2</v>
      </c>
      <c r="X3308">
        <v>0.99265250000000005</v>
      </c>
      <c r="Y3308">
        <v>0.2100725</v>
      </c>
      <c r="Z3308">
        <v>-9.2418210000000008E-3</v>
      </c>
      <c r="AA3308">
        <v>0.97764209999999996</v>
      </c>
      <c r="AB3308">
        <v>49</v>
      </c>
      <c r="AC3308">
        <v>17.721800000000002</v>
      </c>
      <c r="AD3308">
        <v>-1.1102433682490001</v>
      </c>
      <c r="AE3308">
        <v>-3.0443999999999898</v>
      </c>
      <c r="AF3308">
        <v>3.8698209374441301</v>
      </c>
      <c r="AG3308">
        <v>-1.1102433682490001</v>
      </c>
      <c r="AH3308">
        <v>17.4901057225388</v>
      </c>
      <c r="AI3308">
        <v>93.546620976669701</v>
      </c>
      <c r="AJ3308">
        <v>77.523864309565298</v>
      </c>
      <c r="AK3308">
        <v>17.947477611358298</v>
      </c>
      <c r="AL3308">
        <v>88.412018438677094</v>
      </c>
      <c r="AM3308">
        <v>83.233138199072599</v>
      </c>
      <c r="AN3308">
        <v>1.0000000516833201</v>
      </c>
    </row>
    <row r="3309" spans="1:40" x14ac:dyDescent="0.25">
      <c r="A3309" t="str">
        <f>"20190312151604284"</f>
        <v>20190312151604284</v>
      </c>
      <c r="B3309" t="str">
        <f>"1552374964280627"</f>
        <v>1552374964280627</v>
      </c>
      <c r="C3309" t="s">
        <v>40</v>
      </c>
      <c r="D3309">
        <v>4.5740379999999998</v>
      </c>
      <c r="E3309">
        <v>0.53646740000000004</v>
      </c>
      <c r="F3309" t="s">
        <v>51</v>
      </c>
      <c r="G3309">
        <v>-234.85720000000001</v>
      </c>
      <c r="H3309" s="1">
        <v>1.1738849999999999E-6</v>
      </c>
      <c r="I3309">
        <v>211.73580000000001</v>
      </c>
      <c r="J3309">
        <v>-252.94739999999999</v>
      </c>
      <c r="K3309">
        <v>1.110155</v>
      </c>
      <c r="L3309">
        <v>214.87090000000001</v>
      </c>
      <c r="M3309">
        <v>0.99875519999999995</v>
      </c>
      <c r="N3309">
        <v>0</v>
      </c>
      <c r="O3309">
        <v>4.832239E-2</v>
      </c>
      <c r="P3309">
        <v>0.99736199999999997</v>
      </c>
      <c r="Q3309">
        <v>1.529458E-2</v>
      </c>
      <c r="R3309">
        <v>-7.0963300000000007E-2</v>
      </c>
      <c r="S3309">
        <v>2.9753270000000001</v>
      </c>
      <c r="T3309">
        <v>-0.17771629999999899</v>
      </c>
      <c r="U3309">
        <v>-0.49797059999999999</v>
      </c>
      <c r="V3309">
        <v>0.11899999999999999</v>
      </c>
      <c r="W3309">
        <v>2.7918829999999999E-2</v>
      </c>
      <c r="X3309">
        <v>0.99250170000000004</v>
      </c>
      <c r="Y3309">
        <v>0.21208869999999999</v>
      </c>
      <c r="Z3309">
        <v>-9.1509209999999994E-3</v>
      </c>
      <c r="AA3309">
        <v>0.97720759999999995</v>
      </c>
      <c r="AB3309">
        <v>49</v>
      </c>
      <c r="AC3309">
        <v>18.0901999999999</v>
      </c>
      <c r="AD3309">
        <v>-1.1101538261149999</v>
      </c>
      <c r="AE3309">
        <v>-3.1350999999999898</v>
      </c>
      <c r="AF3309">
        <v>3.9910734709757998</v>
      </c>
      <c r="AG3309">
        <v>-1.1101538261149999</v>
      </c>
      <c r="AH3309">
        <v>17.852285289563198</v>
      </c>
      <c r="AI3309">
        <v>93.472875793986802</v>
      </c>
      <c r="AJ3309">
        <v>77.398120355051802</v>
      </c>
      <c r="AK3309">
        <v>18.326625412997402</v>
      </c>
      <c r="AL3309">
        <v>88.400161059235899</v>
      </c>
      <c r="AM3309">
        <v>83.162929180365495</v>
      </c>
      <c r="AN3309">
        <v>1.0000000427857201</v>
      </c>
    </row>
    <row r="3310" spans="1:40" x14ac:dyDescent="0.25">
      <c r="A3310" t="str">
        <f>"20190312151604301"</f>
        <v>20190312151604301</v>
      </c>
      <c r="B3310" t="str">
        <f>"1552374964291363"</f>
        <v>1552374964291363</v>
      </c>
      <c r="C3310" t="s">
        <v>40</v>
      </c>
      <c r="D3310">
        <v>4.5525739999999999</v>
      </c>
      <c r="E3310">
        <v>0.53666499999999995</v>
      </c>
      <c r="F3310" t="s">
        <v>51</v>
      </c>
      <c r="G3310">
        <v>-234.80269999999999</v>
      </c>
      <c r="H3310" s="1">
        <v>1.1422559999999999E-6</v>
      </c>
      <c r="I3310">
        <v>211.79589999999999</v>
      </c>
      <c r="J3310">
        <v>-252.56960000000001</v>
      </c>
      <c r="K3310">
        <v>1.1100779999999999</v>
      </c>
      <c r="L3310">
        <v>214.8895</v>
      </c>
      <c r="M3310">
        <v>0.99873259999999997</v>
      </c>
      <c r="N3310">
        <v>0</v>
      </c>
      <c r="O3310">
        <v>4.8787280000000002E-2</v>
      </c>
      <c r="P3310">
        <v>0.9973822</v>
      </c>
      <c r="Q3310">
        <v>1.5393189999999999E-2</v>
      </c>
      <c r="R3310">
        <v>-7.0657020000000001E-2</v>
      </c>
      <c r="S3310">
        <v>2.9748380000000001</v>
      </c>
      <c r="T3310">
        <v>-0.18201049999999999</v>
      </c>
      <c r="U3310">
        <v>-0.5041504</v>
      </c>
      <c r="V3310">
        <v>0.1191624</v>
      </c>
      <c r="W3310">
        <v>2.8000810000000001E-2</v>
      </c>
      <c r="X3310">
        <v>0.99247989999999997</v>
      </c>
      <c r="Y3310">
        <v>0.2145156</v>
      </c>
      <c r="Z3310">
        <v>-9.4734910000000006E-3</v>
      </c>
      <c r="AA3310">
        <v>0.97667459999999995</v>
      </c>
      <c r="AB3310">
        <v>49</v>
      </c>
      <c r="AC3310">
        <v>17.7669</v>
      </c>
      <c r="AD3310">
        <v>-1.1100768577439999</v>
      </c>
      <c r="AE3310">
        <v>-3.0935999999999999</v>
      </c>
      <c r="AF3310">
        <v>3.9418453949913301</v>
      </c>
      <c r="AG3310">
        <v>-1.1100768577439999</v>
      </c>
      <c r="AH3310">
        <v>17.528386878387099</v>
      </c>
      <c r="AI3310">
        <v>93.535647395762098</v>
      </c>
      <c r="AJ3310">
        <v>77.325968729760206</v>
      </c>
      <c r="AK3310">
        <v>18.0004100593993</v>
      </c>
      <c r="AL3310">
        <v>88.395462105755399</v>
      </c>
      <c r="AM3310">
        <v>83.153538138736707</v>
      </c>
      <c r="AN3310">
        <v>1.00000003741921</v>
      </c>
    </row>
    <row r="3311" spans="1:40" x14ac:dyDescent="0.25">
      <c r="A3311" t="str">
        <f>"20190312151604317"</f>
        <v>20190312151604317</v>
      </c>
      <c r="B3311" t="str">
        <f>"1552374964310883"</f>
        <v>1552374964310883</v>
      </c>
      <c r="C3311" t="s">
        <v>40</v>
      </c>
      <c r="D3311">
        <v>5.0201840000000004</v>
      </c>
      <c r="E3311">
        <v>0.53706449999999994</v>
      </c>
      <c r="F3311" t="s">
        <v>51</v>
      </c>
      <c r="G3311">
        <v>-234.61779999999999</v>
      </c>
      <c r="H3311" s="1">
        <v>1.041796E-6</v>
      </c>
      <c r="I3311">
        <v>211.84360000000001</v>
      </c>
      <c r="J3311">
        <v>-252.22149999999999</v>
      </c>
      <c r="K3311">
        <v>1.1099969999999999</v>
      </c>
      <c r="L3311">
        <v>214.9066</v>
      </c>
      <c r="M3311">
        <v>0.99871460000000001</v>
      </c>
      <c r="N3311">
        <v>0</v>
      </c>
      <c r="O3311">
        <v>4.914905E-2</v>
      </c>
      <c r="P3311">
        <v>0.99732659999999995</v>
      </c>
      <c r="Q3311">
        <v>1.5686930000000002E-2</v>
      </c>
      <c r="R3311">
        <v>-7.1369740000000001E-2</v>
      </c>
      <c r="S3311">
        <v>2.9749300000000001</v>
      </c>
      <c r="T3311">
        <v>-0.1839597</v>
      </c>
      <c r="U3311">
        <v>-0.50474549999999996</v>
      </c>
      <c r="V3311">
        <v>0.1202363</v>
      </c>
      <c r="W3311">
        <v>2.827679E-2</v>
      </c>
      <c r="X3311">
        <v>0.99234250000000002</v>
      </c>
      <c r="Y3311">
        <v>0.21504239999999999</v>
      </c>
      <c r="Z3311">
        <v>-9.612687E-3</v>
      </c>
      <c r="AA3311">
        <v>0.97655740000000002</v>
      </c>
      <c r="AB3311">
        <v>49</v>
      </c>
      <c r="AC3311">
        <v>17.6037</v>
      </c>
      <c r="AD3311">
        <v>-1.109995958204</v>
      </c>
      <c r="AE3311">
        <v>-3.0629999999999802</v>
      </c>
      <c r="AF3311">
        <v>3.90948227895879</v>
      </c>
      <c r="AG3311">
        <v>-1.109995958204</v>
      </c>
      <c r="AH3311">
        <v>17.364854737294198</v>
      </c>
      <c r="AI3311">
        <v>93.568405297484404</v>
      </c>
      <c r="AJ3311">
        <v>77.312110964900199</v>
      </c>
      <c r="AK3311">
        <v>17.834077569755401</v>
      </c>
      <c r="AL3311">
        <v>88.379643278007194</v>
      </c>
      <c r="AM3311">
        <v>83.091483667764805</v>
      </c>
      <c r="AN3311">
        <v>0.99999999099832204</v>
      </c>
    </row>
    <row r="3312" spans="1:40" x14ac:dyDescent="0.25">
      <c r="A3312" t="str">
        <f>"20190312151604340"</f>
        <v>20190312151604340</v>
      </c>
      <c r="B3312" t="str">
        <f>"1552374964331379"</f>
        <v>1552374964331379</v>
      </c>
      <c r="C3312" t="s">
        <v>40</v>
      </c>
      <c r="D3312">
        <v>4.5839919999999896</v>
      </c>
      <c r="E3312">
        <v>0.53741499999999998</v>
      </c>
      <c r="F3312" t="s">
        <v>51</v>
      </c>
      <c r="G3312">
        <v>-234.2739</v>
      </c>
      <c r="H3312" s="1">
        <v>8.5948650000000004E-7</v>
      </c>
      <c r="I3312">
        <v>211.82769999999999</v>
      </c>
      <c r="J3312">
        <v>-251.72710000000001</v>
      </c>
      <c r="K3312">
        <v>1.1098749999999999</v>
      </c>
      <c r="L3312">
        <v>214.93119999999999</v>
      </c>
      <c r="M3312">
        <v>0.99869560000000002</v>
      </c>
      <c r="N3312">
        <v>0</v>
      </c>
      <c r="O3312">
        <v>4.9534960000000003E-2</v>
      </c>
      <c r="P3312">
        <v>0.99728170000000005</v>
      </c>
      <c r="Q3312">
        <v>1.5887310000000002E-2</v>
      </c>
      <c r="R3312">
        <v>-7.1952790000000003E-2</v>
      </c>
      <c r="S3312">
        <v>2.9744259999999998</v>
      </c>
      <c r="T3312">
        <v>-0.1839586</v>
      </c>
      <c r="U3312">
        <v>-0.51026919999999998</v>
      </c>
      <c r="V3312">
        <v>0.12120839999999899</v>
      </c>
      <c r="W3312">
        <v>2.8445999999999999E-2</v>
      </c>
      <c r="X3312">
        <v>0.99221939999999997</v>
      </c>
      <c r="Y3312">
        <v>0.21720390000000001</v>
      </c>
      <c r="Z3312">
        <v>-9.7027789999999999E-3</v>
      </c>
      <c r="AA3312">
        <v>0.976078</v>
      </c>
      <c r="AB3312">
        <v>49</v>
      </c>
      <c r="AC3312">
        <v>17.453199999999999</v>
      </c>
      <c r="AD3312">
        <v>-1.1098741405135</v>
      </c>
      <c r="AE3312">
        <v>-3.1034999999999902</v>
      </c>
      <c r="AF3312">
        <v>3.9488203221996998</v>
      </c>
      <c r="AG3312">
        <v>-1.1098741405135</v>
      </c>
      <c r="AH3312">
        <v>17.210563324044099</v>
      </c>
      <c r="AI3312">
        <v>93.596579622220503</v>
      </c>
      <c r="AJ3312">
        <v>77.077622113850495</v>
      </c>
      <c r="AK3312">
        <v>17.692611239603099</v>
      </c>
      <c r="AL3312">
        <v>88.369944363132007</v>
      </c>
      <c r="AM3312">
        <v>83.035319715378407</v>
      </c>
      <c r="AN3312">
        <v>0.99999999444145904</v>
      </c>
    </row>
    <row r="3313" spans="1:40" x14ac:dyDescent="0.25">
      <c r="A3313" t="str">
        <f>"20190312151604362"</f>
        <v>20190312151604362</v>
      </c>
      <c r="B3313" t="str">
        <f>"1552374964350899"</f>
        <v>1552374964350899</v>
      </c>
      <c r="C3313" t="s">
        <v>40</v>
      </c>
      <c r="D3313">
        <v>4.56297</v>
      </c>
      <c r="E3313">
        <v>0.53777280000000005</v>
      </c>
      <c r="F3313" t="s">
        <v>51</v>
      </c>
      <c r="G3313">
        <v>-233.54179999999999</v>
      </c>
      <c r="H3313" s="1">
        <v>4.7177699999999998E-7</v>
      </c>
      <c r="I3313">
        <v>211.7841</v>
      </c>
      <c r="J3313">
        <v>-251.24039999999999</v>
      </c>
      <c r="K3313">
        <v>1.1097459999999999</v>
      </c>
      <c r="L3313">
        <v>214.9555</v>
      </c>
      <c r="M3313">
        <v>0.99868230000000002</v>
      </c>
      <c r="N3313">
        <v>0</v>
      </c>
      <c r="O3313">
        <v>4.9800240000000003E-2</v>
      </c>
      <c r="P3313">
        <v>0.9971989</v>
      </c>
      <c r="Q3313">
        <v>1.650277E-2</v>
      </c>
      <c r="R3313">
        <v>-7.2952669999999997E-2</v>
      </c>
      <c r="S3313">
        <v>2.973938</v>
      </c>
      <c r="T3313">
        <v>-0.1815032</v>
      </c>
      <c r="U3313">
        <v>-0.51466369999999995</v>
      </c>
      <c r="V3313">
        <v>0.12247479999999999</v>
      </c>
      <c r="W3313">
        <v>2.9029409999999999E-2</v>
      </c>
      <c r="X3313">
        <v>0.99204700000000001</v>
      </c>
      <c r="Y3313">
        <v>0.21889990000000001</v>
      </c>
      <c r="Z3313">
        <v>-9.6412900000000003E-3</v>
      </c>
      <c r="AA3313">
        <v>0.97569969999999995</v>
      </c>
      <c r="AB3313">
        <v>49</v>
      </c>
      <c r="AC3313">
        <v>17.698599999999999</v>
      </c>
      <c r="AD3313">
        <v>-1.109745528223</v>
      </c>
      <c r="AE3313">
        <v>-3.1714000000000002</v>
      </c>
      <c r="AF3313">
        <v>4.03356155640033</v>
      </c>
      <c r="AG3313">
        <v>-1.109745528223</v>
      </c>
      <c r="AH3313">
        <v>17.452207123429101</v>
      </c>
      <c r="AI3313">
        <v>93.545200894909598</v>
      </c>
      <c r="AJ3313">
        <v>76.986280043431904</v>
      </c>
      <c r="AK3313">
        <v>17.9466065718773</v>
      </c>
      <c r="AL3313">
        <v>88.336503657390097</v>
      </c>
      <c r="AM3313">
        <v>82.962067102816306</v>
      </c>
      <c r="AN3313">
        <v>1.00000001674449</v>
      </c>
    </row>
    <row r="3314" spans="1:40" x14ac:dyDescent="0.25">
      <c r="A3314" t="str">
        <f>"20190312151604384"</f>
        <v>20190312151604384</v>
      </c>
      <c r="B3314" t="str">
        <f>"1552374964381155"</f>
        <v>1552374964381155</v>
      </c>
      <c r="C3314" t="s">
        <v>40</v>
      </c>
      <c r="D3314">
        <v>4.6732909999999999</v>
      </c>
      <c r="E3314">
        <v>0.56639150000000005</v>
      </c>
      <c r="F3314" t="s">
        <v>51</v>
      </c>
      <c r="G3314">
        <v>-232.7106</v>
      </c>
      <c r="H3314" s="1">
        <v>3.2576099999999999E-8</v>
      </c>
      <c r="I3314">
        <v>211.71250000000001</v>
      </c>
      <c r="J3314">
        <v>-250.75810000000001</v>
      </c>
      <c r="K3314">
        <v>1.109623</v>
      </c>
      <c r="L3314">
        <v>214.97970000000001</v>
      </c>
      <c r="M3314">
        <v>0.99867419999999996</v>
      </c>
      <c r="N3314">
        <v>0</v>
      </c>
      <c r="O3314">
        <v>4.9958429999999998E-2</v>
      </c>
      <c r="P3314">
        <v>0.99709890000000001</v>
      </c>
      <c r="Q3314">
        <v>1.7283139999999999E-2</v>
      </c>
      <c r="R3314">
        <v>-7.4130710000000002E-2</v>
      </c>
      <c r="S3314">
        <v>2.9732970000000001</v>
      </c>
      <c r="T3314">
        <v>-0.17807020000000001</v>
      </c>
      <c r="U3314">
        <v>-0.52037049999999996</v>
      </c>
      <c r="V3314">
        <v>0.1238113</v>
      </c>
      <c r="W3314">
        <v>2.977724E-2</v>
      </c>
      <c r="X3314">
        <v>0.99185889999999999</v>
      </c>
      <c r="Y3314">
        <v>0.22092129999999999</v>
      </c>
      <c r="Z3314">
        <v>-9.5291850000000008E-3</v>
      </c>
      <c r="AA3314">
        <v>0.97524509999999998</v>
      </c>
      <c r="AB3314">
        <v>49</v>
      </c>
      <c r="AC3314">
        <v>18.047499999999999</v>
      </c>
      <c r="AD3314">
        <v>-1.1096229674239</v>
      </c>
      <c r="AE3314">
        <v>-3.2671999999999999</v>
      </c>
      <c r="AF3314">
        <v>4.1496251053193101</v>
      </c>
      <c r="AG3314">
        <v>-1.1096229674239</v>
      </c>
      <c r="AH3314">
        <v>17.796583713175799</v>
      </c>
      <c r="AI3314">
        <v>93.474820537516095</v>
      </c>
      <c r="AJ3314">
        <v>76.874866312717302</v>
      </c>
      <c r="AK3314">
        <v>18.307622551948299</v>
      </c>
      <c r="AL3314">
        <v>88.293637591297596</v>
      </c>
      <c r="AM3314">
        <v>82.884713439250206</v>
      </c>
      <c r="AN3314">
        <v>0.99999999976945797</v>
      </c>
    </row>
    <row r="3315" spans="1:40" x14ac:dyDescent="0.25">
      <c r="A3315" t="str">
        <f>"20190312151604407"</f>
        <v>20190312151604407</v>
      </c>
      <c r="B3315" t="str">
        <f>"1552374964400675"</f>
        <v>1552374964400675</v>
      </c>
      <c r="C3315" t="s">
        <v>40</v>
      </c>
      <c r="D3315">
        <v>4.6288080000000003</v>
      </c>
      <c r="E3315">
        <v>0.5694515</v>
      </c>
      <c r="F3315" t="s">
        <v>51</v>
      </c>
      <c r="G3315">
        <v>-237.62860000000001</v>
      </c>
      <c r="H3315" s="1">
        <v>2.6528650000000001E-6</v>
      </c>
      <c r="I3315">
        <v>211.6404</v>
      </c>
      <c r="J3315">
        <v>-250.25880000000001</v>
      </c>
      <c r="K3315">
        <v>1.1094919999999999</v>
      </c>
      <c r="L3315">
        <v>215.00470000000001</v>
      </c>
      <c r="M3315">
        <v>0.99867209999999995</v>
      </c>
      <c r="N3315">
        <v>0</v>
      </c>
      <c r="O3315">
        <v>5.0000250000000003E-2</v>
      </c>
      <c r="P3315">
        <v>0.99697950000000002</v>
      </c>
      <c r="Q3315">
        <v>1.804358E-2</v>
      </c>
      <c r="R3315">
        <v>-7.5539389999999998E-2</v>
      </c>
      <c r="S3315">
        <v>2.9571529999999999</v>
      </c>
      <c r="T3315">
        <v>-0.2499188</v>
      </c>
      <c r="U3315">
        <v>-0.75210569999999999</v>
      </c>
      <c r="V3315">
        <v>0.12526279999999901</v>
      </c>
      <c r="W3315">
        <v>3.05017E-2</v>
      </c>
      <c r="X3315">
        <v>0.99165460000000005</v>
      </c>
      <c r="Y3315">
        <v>0.29348629999999998</v>
      </c>
      <c r="Z3315">
        <v>-1.6344649999999999E-2</v>
      </c>
      <c r="AA3315">
        <v>0.95582350000000005</v>
      </c>
      <c r="AB3315">
        <v>49</v>
      </c>
      <c r="AC3315">
        <v>12.6302</v>
      </c>
      <c r="AD3315">
        <v>-1.109489347135</v>
      </c>
      <c r="AE3315">
        <v>-3.3643000000000098</v>
      </c>
      <c r="AF3315">
        <v>3.9630975618674702</v>
      </c>
      <c r="AG3315">
        <v>-1.109489347135</v>
      </c>
      <c r="AH3315">
        <v>12.3571334189896</v>
      </c>
      <c r="AI3315">
        <v>94.8866765123352</v>
      </c>
      <c r="AJ3315">
        <v>72.218261026875794</v>
      </c>
      <c r="AK3315">
        <v>13.0244330099623</v>
      </c>
      <c r="AL3315">
        <v>88.252110197029097</v>
      </c>
      <c r="AM3315">
        <v>82.800700032619901</v>
      </c>
      <c r="AN3315">
        <v>0.99999998423394398</v>
      </c>
    </row>
    <row r="3316" spans="1:40" x14ac:dyDescent="0.25">
      <c r="A3316" t="str">
        <f>"20190312151604428"</f>
        <v>20190312151604428</v>
      </c>
      <c r="B3316" t="str">
        <f>"1552374964421171"</f>
        <v>1552374964421171</v>
      </c>
      <c r="C3316" t="s">
        <v>40</v>
      </c>
      <c r="D3316">
        <v>4.6237309999999896</v>
      </c>
      <c r="E3316">
        <v>0.57050859999999903</v>
      </c>
      <c r="F3316" t="s">
        <v>51</v>
      </c>
      <c r="G3316">
        <v>-237.0762</v>
      </c>
      <c r="H3316" s="1">
        <v>2.3641329999999998E-6</v>
      </c>
      <c r="I3316">
        <v>211.52</v>
      </c>
      <c r="J3316">
        <v>-249.79</v>
      </c>
      <c r="K3316">
        <v>1.1093599999999999</v>
      </c>
      <c r="L3316">
        <v>215.02809999999999</v>
      </c>
      <c r="M3316">
        <v>0.99867629999999996</v>
      </c>
      <c r="N3316">
        <v>0</v>
      </c>
      <c r="O3316">
        <v>4.9913569999999997E-2</v>
      </c>
      <c r="P3316">
        <v>0.99687720000000002</v>
      </c>
      <c r="Q3316">
        <v>1.818196E-2</v>
      </c>
      <c r="R3316">
        <v>-7.6846200000000003E-2</v>
      </c>
      <c r="S3316">
        <v>2.954437</v>
      </c>
      <c r="T3316">
        <v>-0.24865470000000001</v>
      </c>
      <c r="U3316">
        <v>-0.78097530000000004</v>
      </c>
      <c r="V3316">
        <v>0.12648670000000001</v>
      </c>
      <c r="W3316">
        <v>3.0605609999999998E-2</v>
      </c>
      <c r="X3316">
        <v>0.99149600000000004</v>
      </c>
      <c r="Y3316">
        <v>0.30233510000000002</v>
      </c>
      <c r="Z3316">
        <v>-1.6615700000000001E-2</v>
      </c>
      <c r="AA3316">
        <v>0.95305689999999998</v>
      </c>
      <c r="AB3316">
        <v>49</v>
      </c>
      <c r="AC3316">
        <v>12.7137999999999</v>
      </c>
      <c r="AD3316">
        <v>-1.1093576358670001</v>
      </c>
      <c r="AE3316">
        <v>-3.5080999999999798</v>
      </c>
      <c r="AF3316">
        <v>4.10929357031298</v>
      </c>
      <c r="AG3316">
        <v>-1.1093576358670001</v>
      </c>
      <c r="AH3316">
        <v>12.4348586805827</v>
      </c>
      <c r="AI3316">
        <v>94.841850913213605</v>
      </c>
      <c r="AJ3316">
        <v>71.713054070453794</v>
      </c>
      <c r="AK3316">
        <v>13.143160899012599</v>
      </c>
      <c r="AL3316">
        <v>88.246153757393301</v>
      </c>
      <c r="AM3316">
        <v>82.729956603138106</v>
      </c>
      <c r="AN3316">
        <v>0.99999995332818004</v>
      </c>
    </row>
    <row r="3317" spans="1:40" x14ac:dyDescent="0.25">
      <c r="A3317" t="str">
        <f>"20190312151604451"</f>
        <v>20190312151604451</v>
      </c>
      <c r="B3317" t="str">
        <f>"1552374964440691"</f>
        <v>1552374964440691</v>
      </c>
      <c r="C3317" t="s">
        <v>40</v>
      </c>
      <c r="D3317">
        <v>4.6524510000000001</v>
      </c>
      <c r="E3317">
        <v>0.57109469999999996</v>
      </c>
      <c r="F3317" t="s">
        <v>51</v>
      </c>
      <c r="G3317">
        <v>-237.59950000000001</v>
      </c>
      <c r="H3317" s="1">
        <v>2.6324489999999999E-6</v>
      </c>
      <c r="I3317">
        <v>211.75299999999999</v>
      </c>
      <c r="J3317">
        <v>-249.29300000000001</v>
      </c>
      <c r="K3317">
        <v>1.109205</v>
      </c>
      <c r="L3317">
        <v>215.05279999999999</v>
      </c>
      <c r="M3317">
        <v>0.99868760000000001</v>
      </c>
      <c r="N3317">
        <v>0</v>
      </c>
      <c r="O3317">
        <v>4.9688240000000002E-2</v>
      </c>
      <c r="P3317">
        <v>0.99674640000000003</v>
      </c>
      <c r="Q3317">
        <v>1.8582520000000002E-2</v>
      </c>
      <c r="R3317">
        <v>-7.8432310000000005E-2</v>
      </c>
      <c r="S3317">
        <v>2.9531559999999999</v>
      </c>
      <c r="T3317">
        <v>-0.26874160000000002</v>
      </c>
      <c r="U3317">
        <v>-0.79339599999999999</v>
      </c>
      <c r="V3317">
        <v>0.12785199999999999</v>
      </c>
      <c r="W3317">
        <v>3.0967829999999998E-2</v>
      </c>
      <c r="X3317">
        <v>0.99130969999999996</v>
      </c>
      <c r="Y3317">
        <v>0.3057551</v>
      </c>
      <c r="Z3317">
        <v>-1.8083459999999999E-2</v>
      </c>
      <c r="AA3317">
        <v>0.95193850000000002</v>
      </c>
      <c r="AB3317">
        <v>49</v>
      </c>
      <c r="AC3317">
        <v>11.6935</v>
      </c>
      <c r="AD3317">
        <v>-1.1092023675509901</v>
      </c>
      <c r="AE3317">
        <v>-3.2997999999999998</v>
      </c>
      <c r="AF3317">
        <v>3.84475516490336</v>
      </c>
      <c r="AG3317">
        <v>-1.1092023675509901</v>
      </c>
      <c r="AH3317">
        <v>11.4199055549264</v>
      </c>
      <c r="AI3317">
        <v>95.259365171538803</v>
      </c>
      <c r="AJ3317">
        <v>71.393094398583997</v>
      </c>
      <c r="AK3317">
        <v>12.1006906849845</v>
      </c>
      <c r="AL3317">
        <v>88.225390374286206</v>
      </c>
      <c r="AM3317">
        <v>82.650970870590598</v>
      </c>
      <c r="AN3317">
        <v>1.00000003085649</v>
      </c>
    </row>
    <row r="3318" spans="1:40" x14ac:dyDescent="0.25">
      <c r="A3318" t="str">
        <f>"20190312151604468"</f>
        <v>20190312151604468</v>
      </c>
      <c r="B3318" t="str">
        <f>"1552374964461188"</f>
        <v>1552374964461188</v>
      </c>
      <c r="C3318" t="s">
        <v>40</v>
      </c>
      <c r="D3318">
        <v>4.6751379999999996</v>
      </c>
      <c r="E3318">
        <v>0.57083139999999999</v>
      </c>
      <c r="F3318" t="s">
        <v>51</v>
      </c>
      <c r="G3318">
        <v>-236.90989999999999</v>
      </c>
      <c r="H3318" s="1">
        <v>2.2684670000000001E-6</v>
      </c>
      <c r="I3318">
        <v>211.68440000000001</v>
      </c>
      <c r="J3318">
        <v>-248.9246</v>
      </c>
      <c r="K3318">
        <v>1.1090819999999999</v>
      </c>
      <c r="L3318">
        <v>215.071</v>
      </c>
      <c r="M3318">
        <v>0.99870049999999999</v>
      </c>
      <c r="N3318">
        <v>0</v>
      </c>
      <c r="O3318">
        <v>4.942158E-2</v>
      </c>
      <c r="P3318">
        <v>0.99667479999999997</v>
      </c>
      <c r="Q3318">
        <v>1.8847880000000001E-2</v>
      </c>
      <c r="R3318">
        <v>-7.9275349999999994E-2</v>
      </c>
      <c r="S3318">
        <v>2.9515530000000001</v>
      </c>
      <c r="T3318">
        <v>-0.2643818</v>
      </c>
      <c r="U3318">
        <v>-0.80287169999999997</v>
      </c>
      <c r="V3318">
        <v>0.12843479999999999</v>
      </c>
      <c r="W3318">
        <v>3.1202319999999999E-2</v>
      </c>
      <c r="X3318">
        <v>0.99122699999999997</v>
      </c>
      <c r="Y3318">
        <v>0.3085118</v>
      </c>
      <c r="Z3318">
        <v>-1.7890860000000001E-2</v>
      </c>
      <c r="AA3318">
        <v>0.95105220000000001</v>
      </c>
      <c r="AB3318">
        <v>49</v>
      </c>
      <c r="AC3318">
        <v>12.014699999999999</v>
      </c>
      <c r="AD3318">
        <v>-1.1090797315330001</v>
      </c>
      <c r="AE3318">
        <v>-3.3865999999999801</v>
      </c>
      <c r="AF3318">
        <v>3.9451494160892602</v>
      </c>
      <c r="AG3318">
        <v>-1.1090797315330001</v>
      </c>
      <c r="AH3318">
        <v>11.739956670157399</v>
      </c>
      <c r="AI3318">
        <v>95.117158779446598</v>
      </c>
      <c r="AJ3318">
        <v>71.425353721461903</v>
      </c>
      <c r="AK3318">
        <v>12.4346630184875</v>
      </c>
      <c r="AL3318">
        <v>88.211948579360595</v>
      </c>
      <c r="AM3318">
        <v>82.6172306645812</v>
      </c>
      <c r="AN3318">
        <v>1.00000002407671</v>
      </c>
    </row>
    <row r="3319" spans="1:40" x14ac:dyDescent="0.25">
      <c r="A3319" t="str">
        <f>"20190312151604485"</f>
        <v>20190312151604485</v>
      </c>
      <c r="B3319" t="str">
        <f>"1552374964481684"</f>
        <v>1552374964481684</v>
      </c>
      <c r="C3319" t="s">
        <v>40</v>
      </c>
      <c r="D3319">
        <v>4.6775570000000002</v>
      </c>
      <c r="E3319">
        <v>0.57009290000000001</v>
      </c>
      <c r="F3319" t="s">
        <v>51</v>
      </c>
      <c r="G3319">
        <v>-236.25710000000001</v>
      </c>
      <c r="H3319" s="1">
        <v>1.9237829999999999E-6</v>
      </c>
      <c r="I3319">
        <v>211.62309999999999</v>
      </c>
      <c r="J3319">
        <v>-248.5598</v>
      </c>
      <c r="K3319">
        <v>1.1089580000000001</v>
      </c>
      <c r="L3319">
        <v>215.0889</v>
      </c>
      <c r="M3319">
        <v>0.99871710000000002</v>
      </c>
      <c r="N3319">
        <v>0</v>
      </c>
      <c r="O3319">
        <v>4.9083399999999999E-2</v>
      </c>
      <c r="P3319">
        <v>0.99645249999999996</v>
      </c>
      <c r="Q3319">
        <v>1.9408870000000002E-2</v>
      </c>
      <c r="R3319">
        <v>-8.1889899999999904E-2</v>
      </c>
      <c r="S3319">
        <v>2.9510040000000002</v>
      </c>
      <c r="T3319">
        <v>-0.25837139999999997</v>
      </c>
      <c r="U3319">
        <v>-0.80322269999999996</v>
      </c>
      <c r="V3319">
        <v>0.13070960000000001</v>
      </c>
      <c r="W3319">
        <v>3.1727539999999999E-2</v>
      </c>
      <c r="X3319">
        <v>0.99091289999999999</v>
      </c>
      <c r="Y3319">
        <v>0.30840129999999999</v>
      </c>
      <c r="Z3319">
        <v>-1.745464E-2</v>
      </c>
      <c r="AA3319">
        <v>0.95109619999999995</v>
      </c>
      <c r="AB3319">
        <v>49</v>
      </c>
      <c r="AC3319">
        <v>12.3026999999999</v>
      </c>
      <c r="AD3319">
        <v>-1.1089560762170001</v>
      </c>
      <c r="AE3319">
        <v>-3.4658000000000002</v>
      </c>
      <c r="AF3319">
        <v>4.0351517750389796</v>
      </c>
      <c r="AG3319">
        <v>-1.1089560762170001</v>
      </c>
      <c r="AH3319">
        <v>12.027205661735</v>
      </c>
      <c r="AI3319">
        <v>94.995829869851207</v>
      </c>
      <c r="AJ3319">
        <v>71.453293178794397</v>
      </c>
      <c r="AK3319">
        <v>12.7344379324825</v>
      </c>
      <c r="AL3319">
        <v>88.181840749604703</v>
      </c>
      <c r="AM3319">
        <v>82.485595831813995</v>
      </c>
      <c r="AN3319">
        <v>1.0000000058565099</v>
      </c>
    </row>
    <row r="3320" spans="1:40" x14ac:dyDescent="0.25">
      <c r="A3320" t="str">
        <f>"20190312151604503"</f>
        <v>20190312151604503</v>
      </c>
      <c r="B3320" t="str">
        <f>"1552374964491443"</f>
        <v>1552374964491443</v>
      </c>
      <c r="C3320" t="s">
        <v>40</v>
      </c>
      <c r="D3320">
        <v>4.6405129999999897</v>
      </c>
      <c r="E3320">
        <v>0.5700305</v>
      </c>
      <c r="F3320" t="s">
        <v>51</v>
      </c>
      <c r="G3320">
        <v>-235.48269999999999</v>
      </c>
      <c r="H3320" s="1">
        <v>1.5162359999999999E-6</v>
      </c>
      <c r="I3320">
        <v>211.5188</v>
      </c>
      <c r="J3320">
        <v>-248.17519999999999</v>
      </c>
      <c r="K3320">
        <v>1.1088199999999999</v>
      </c>
      <c r="L3320">
        <v>215.10749999999999</v>
      </c>
      <c r="M3320">
        <v>0.99873849999999997</v>
      </c>
      <c r="N3320">
        <v>0</v>
      </c>
      <c r="O3320">
        <v>4.8646639999999998E-2</v>
      </c>
      <c r="P3320">
        <v>0.99631910000000001</v>
      </c>
      <c r="Q3320">
        <v>1.9956729999999999E-2</v>
      </c>
      <c r="R3320">
        <v>-8.3369380000000007E-2</v>
      </c>
      <c r="S3320">
        <v>2.9493870000000002</v>
      </c>
      <c r="T3320">
        <v>-0.25011339999999999</v>
      </c>
      <c r="U3320">
        <v>-0.80519099999999999</v>
      </c>
      <c r="V3320">
        <v>0.1317586</v>
      </c>
      <c r="W3320">
        <v>3.2236059999999997E-2</v>
      </c>
      <c r="X3320">
        <v>0.99075749999999996</v>
      </c>
      <c r="Y3320">
        <v>0.3087879</v>
      </c>
      <c r="Z3320">
        <v>-1.6885830000000001E-2</v>
      </c>
      <c r="AA3320">
        <v>0.95098099999999997</v>
      </c>
      <c r="AB3320">
        <v>49</v>
      </c>
      <c r="AC3320">
        <v>12.6924999999999</v>
      </c>
      <c r="AD3320">
        <v>-1.1088184837639901</v>
      </c>
      <c r="AE3320">
        <v>-3.5886999999999798</v>
      </c>
      <c r="AF3320">
        <v>4.1724596741174302</v>
      </c>
      <c r="AG3320">
        <v>-1.1088184837639901</v>
      </c>
      <c r="AH3320">
        <v>12.4151427502781</v>
      </c>
      <c r="AI3320">
        <v>94.839043036005606</v>
      </c>
      <c r="AJ3320">
        <v>71.423622067593399</v>
      </c>
      <c r="AK3320">
        <v>13.1443777970605</v>
      </c>
      <c r="AL3320">
        <v>88.152689699133006</v>
      </c>
      <c r="AM3320">
        <v>82.424812727463802</v>
      </c>
      <c r="AN3320">
        <v>0.99999995802226505</v>
      </c>
    </row>
    <row r="3321" spans="1:40" x14ac:dyDescent="0.25">
      <c r="A3321" t="str">
        <f>"20190312151604518"</f>
        <v>20190312151604518</v>
      </c>
      <c r="B3321" t="str">
        <f>"1552374964510963"</f>
        <v>1552374964510963</v>
      </c>
      <c r="C3321" t="s">
        <v>40</v>
      </c>
      <c r="D3321">
        <v>4.5335349999999996</v>
      </c>
      <c r="E3321">
        <v>0.56971349999999998</v>
      </c>
      <c r="F3321" t="s">
        <v>51</v>
      </c>
      <c r="G3321">
        <v>-234.98089999999999</v>
      </c>
      <c r="H3321" s="1">
        <v>1.2506520000000001E-6</v>
      </c>
      <c r="I3321">
        <v>211.48589999999999</v>
      </c>
      <c r="J3321">
        <v>-247.8305</v>
      </c>
      <c r="K3321">
        <v>1.108697</v>
      </c>
      <c r="L3321">
        <v>215.1241</v>
      </c>
      <c r="M3321">
        <v>0.99876069999999995</v>
      </c>
      <c r="N3321">
        <v>0</v>
      </c>
      <c r="O3321">
        <v>4.818476E-2</v>
      </c>
      <c r="P3321">
        <v>0.99606360000000005</v>
      </c>
      <c r="Q3321">
        <v>2.041111E-2</v>
      </c>
      <c r="R3321">
        <v>-8.6261630000000006E-2</v>
      </c>
      <c r="S3321">
        <v>2.948334</v>
      </c>
      <c r="T3321">
        <v>-0.24777189999999999</v>
      </c>
      <c r="U3321">
        <v>-0.80926509999999996</v>
      </c>
      <c r="V3321">
        <v>0.13418720000000001</v>
      </c>
      <c r="W3321">
        <v>3.265117E-2</v>
      </c>
      <c r="X3321">
        <v>0.99041800000000002</v>
      </c>
      <c r="Y3321">
        <v>0.30967749999999999</v>
      </c>
      <c r="Z3321">
        <v>-1.6729569999999999E-2</v>
      </c>
      <c r="AA3321">
        <v>0.9506945</v>
      </c>
      <c r="AB3321">
        <v>49</v>
      </c>
      <c r="AC3321">
        <v>12.849600000000001</v>
      </c>
      <c r="AD3321">
        <v>-1.1086957493480001</v>
      </c>
      <c r="AE3321">
        <v>-3.6382000000000101</v>
      </c>
      <c r="AF3321">
        <v>4.2240634458457098</v>
      </c>
      <c r="AG3321">
        <v>-1.1086957493480001</v>
      </c>
      <c r="AH3321">
        <v>12.572699747422201</v>
      </c>
      <c r="AI3321">
        <v>94.778311748933206</v>
      </c>
      <c r="AJ3321">
        <v>71.429140678957097</v>
      </c>
      <c r="AK3321">
        <v>13.309571638410601</v>
      </c>
      <c r="AL3321">
        <v>88.128893308892302</v>
      </c>
      <c r="AM3321">
        <v>82.284239209699393</v>
      </c>
      <c r="AN3321">
        <v>1.0000000591350999</v>
      </c>
    </row>
    <row r="3322" spans="1:40" x14ac:dyDescent="0.25">
      <c r="A3322" t="str">
        <f>"20190312151604537"</f>
        <v>20190312151604537</v>
      </c>
      <c r="B3322" t="str">
        <f>"1552374964531459"</f>
        <v>1552374964531459</v>
      </c>
      <c r="C3322" t="s">
        <v>40</v>
      </c>
      <c r="D3322">
        <v>4.577528</v>
      </c>
      <c r="E3322">
        <v>0.57006389999999996</v>
      </c>
      <c r="F3322" t="s">
        <v>51</v>
      </c>
      <c r="G3322">
        <v>-234.43899999999999</v>
      </c>
      <c r="H3322" s="1">
        <v>9.6526499999999998E-7</v>
      </c>
      <c r="I3322">
        <v>211.4171</v>
      </c>
      <c r="J3322">
        <v>-247.4118</v>
      </c>
      <c r="K3322">
        <v>1.1085419999999999</v>
      </c>
      <c r="L3322">
        <v>215.1438</v>
      </c>
      <c r="M3322">
        <v>0.99879220000000002</v>
      </c>
      <c r="N3322">
        <v>0</v>
      </c>
      <c r="O3322">
        <v>4.7524959999999998E-2</v>
      </c>
      <c r="P3322">
        <v>0.99584459999999997</v>
      </c>
      <c r="Q3322">
        <v>2.078677E-2</v>
      </c>
      <c r="R3322">
        <v>-8.8666170000000002E-2</v>
      </c>
      <c r="S3322">
        <v>2.9462130000000002</v>
      </c>
      <c r="T3322">
        <v>-0.24391979999999999</v>
      </c>
      <c r="U3322">
        <v>-0.81555180000000005</v>
      </c>
      <c r="V3322">
        <v>0.13593720000000001</v>
      </c>
      <c r="W3322">
        <v>3.2979059999999998E-2</v>
      </c>
      <c r="X3322">
        <v>0.99016839999999995</v>
      </c>
      <c r="Y3322">
        <v>0.31114199999999997</v>
      </c>
      <c r="Z3322">
        <v>-1.6482960000000001E-2</v>
      </c>
      <c r="AA3322">
        <v>0.95022050000000002</v>
      </c>
      <c r="AB3322">
        <v>49</v>
      </c>
      <c r="AC3322">
        <v>12.9727999999999</v>
      </c>
      <c r="AD3322">
        <v>-1.108541034735</v>
      </c>
      <c r="AE3322">
        <v>-3.7266999999999899</v>
      </c>
      <c r="AF3322">
        <v>4.3099960806841002</v>
      </c>
      <c r="AG3322">
        <v>-1.108541034735</v>
      </c>
      <c r="AH3322">
        <v>12.6953804701413</v>
      </c>
      <c r="AI3322">
        <v>94.726663567379504</v>
      </c>
      <c r="AJ3322">
        <v>71.247996398918104</v>
      </c>
      <c r="AK3322">
        <v>13.452792079076</v>
      </c>
      <c r="AL3322">
        <v>88.110096362775096</v>
      </c>
      <c r="AM3322">
        <v>82.182904174878303</v>
      </c>
      <c r="AN3322">
        <v>1.0000000005504399</v>
      </c>
    </row>
    <row r="3323" spans="1:40" x14ac:dyDescent="0.25">
      <c r="A3323" t="str">
        <f>"20190312151604552"</f>
        <v>20190312151604552</v>
      </c>
      <c r="B3323" t="str">
        <f>"1552374964541220"</f>
        <v>1552374964541220</v>
      </c>
      <c r="C3323" t="s">
        <v>40</v>
      </c>
      <c r="D3323">
        <v>4.5966809999999896</v>
      </c>
      <c r="E3323">
        <v>0.57017790000000002</v>
      </c>
      <c r="F3323" t="s">
        <v>51</v>
      </c>
      <c r="G3323">
        <v>-233.72489999999999</v>
      </c>
      <c r="H3323" s="1">
        <v>5.9011770000000001E-7</v>
      </c>
      <c r="I3323">
        <v>211.3064</v>
      </c>
      <c r="J3323">
        <v>-247.08369999999999</v>
      </c>
      <c r="K3323">
        <v>1.1084259999999999</v>
      </c>
      <c r="L3323">
        <v>215.1591</v>
      </c>
      <c r="M3323">
        <v>0.99881969999999998</v>
      </c>
      <c r="N3323">
        <v>0</v>
      </c>
      <c r="O3323">
        <v>4.6940009999999997E-2</v>
      </c>
      <c r="P3323">
        <v>0.99551579999999995</v>
      </c>
      <c r="Q3323">
        <v>2.1037050000000002E-2</v>
      </c>
      <c r="R3323">
        <v>-9.222756E-2</v>
      </c>
      <c r="S3323">
        <v>2.944016</v>
      </c>
      <c r="T3323">
        <v>-0.2384452</v>
      </c>
      <c r="U3323">
        <v>-0.82542420000000005</v>
      </c>
      <c r="V3323">
        <v>0.13890939999999999</v>
      </c>
      <c r="W3323">
        <v>3.3185409999999999E-2</v>
      </c>
      <c r="X3323">
        <v>0.98974890000000004</v>
      </c>
      <c r="Y3323">
        <v>0.31376779999999999</v>
      </c>
      <c r="Z3323">
        <v>-1.6176349999999999E-2</v>
      </c>
      <c r="AA3323">
        <v>0.94936189999999998</v>
      </c>
      <c r="AB3323">
        <v>49</v>
      </c>
      <c r="AC3323">
        <v>13.3588</v>
      </c>
      <c r="AD3323">
        <v>-1.1084254098823001</v>
      </c>
      <c r="AE3323">
        <v>-3.8526999999999898</v>
      </c>
      <c r="AF3323">
        <v>4.44729690349891</v>
      </c>
      <c r="AG3323">
        <v>-1.1084254098823001</v>
      </c>
      <c r="AH3323">
        <v>13.080076492923601</v>
      </c>
      <c r="AI3323">
        <v>94.587061804541904</v>
      </c>
      <c r="AJ3323">
        <v>71.221688406371101</v>
      </c>
      <c r="AK3323">
        <v>13.859850565495901</v>
      </c>
      <c r="AL3323">
        <v>88.098266881530705</v>
      </c>
      <c r="AM3323">
        <v>82.010828009098802</v>
      </c>
      <c r="AN3323">
        <v>0.99999998894821895</v>
      </c>
    </row>
    <row r="3324" spans="1:40" x14ac:dyDescent="0.25">
      <c r="A3324" t="str">
        <f>"20190312151604576"</f>
        <v>20190312151604576</v>
      </c>
      <c r="B3324" t="str">
        <f>"1552374964571481"</f>
        <v>1552374964571481</v>
      </c>
      <c r="C3324" t="s">
        <v>40</v>
      </c>
      <c r="D3324">
        <v>4.6367399999999996</v>
      </c>
      <c r="E3324">
        <v>0.57085059999999999</v>
      </c>
      <c r="F3324" t="s">
        <v>51</v>
      </c>
      <c r="G3324">
        <v>-233.16040000000001</v>
      </c>
      <c r="H3324" s="1">
        <v>2.9448010000000002E-7</v>
      </c>
      <c r="I3324">
        <v>211.19640000000001</v>
      </c>
      <c r="J3324">
        <v>-246.57509999999999</v>
      </c>
      <c r="K3324">
        <v>1.1082379999999901</v>
      </c>
      <c r="L3324">
        <v>215.1823</v>
      </c>
      <c r="M3324">
        <v>0.99886920000000001</v>
      </c>
      <c r="N3324">
        <v>0</v>
      </c>
      <c r="O3324">
        <v>4.5874070000000003E-2</v>
      </c>
      <c r="P3324">
        <v>0.9950755</v>
      </c>
      <c r="Q3324">
        <v>2.2149729999999999E-2</v>
      </c>
      <c r="R3324">
        <v>-9.6614169999999999E-2</v>
      </c>
      <c r="S3324">
        <v>2.9409179999999999</v>
      </c>
      <c r="T3324">
        <v>-0.23412450000000001</v>
      </c>
      <c r="U3324">
        <v>-0.83700560000000002</v>
      </c>
      <c r="V3324">
        <v>0.14223189999999999</v>
      </c>
      <c r="W3324">
        <v>3.4230530000000002E-2</v>
      </c>
      <c r="X3324">
        <v>0.98924129999999999</v>
      </c>
      <c r="Y3324">
        <v>0.31650929999999999</v>
      </c>
      <c r="Z3324">
        <v>-1.5915490000000001E-2</v>
      </c>
      <c r="AA3324">
        <v>0.94845590000000002</v>
      </c>
      <c r="AB3324">
        <v>49</v>
      </c>
      <c r="AC3324">
        <v>13.4146999999999</v>
      </c>
      <c r="AD3324">
        <v>-1.10823770551989</v>
      </c>
      <c r="AE3324">
        <v>-3.98589999999998</v>
      </c>
      <c r="AF3324">
        <v>4.5684873936645802</v>
      </c>
      <c r="AG3324">
        <v>-1.10823770551989</v>
      </c>
      <c r="AH3324">
        <v>13.1353352349304</v>
      </c>
      <c r="AI3324">
        <v>94.556185962180393</v>
      </c>
      <c r="AJ3324">
        <v>70.8222560835503</v>
      </c>
      <c r="AK3324">
        <v>13.9512114030292</v>
      </c>
      <c r="AL3324">
        <v>88.038351878856702</v>
      </c>
      <c r="AM3324">
        <v>81.818154946944901</v>
      </c>
      <c r="AN3324">
        <v>0.99999999609368995</v>
      </c>
    </row>
    <row r="3325" spans="1:40" x14ac:dyDescent="0.25">
      <c r="A3325" t="str">
        <f>"20190312151604597"</f>
        <v>20190312151604597</v>
      </c>
      <c r="B3325" t="str">
        <f>"1552374964591001"</f>
        <v>1552374964591001</v>
      </c>
      <c r="C3325" t="s">
        <v>40</v>
      </c>
      <c r="D3325">
        <v>4.6119820000000002</v>
      </c>
      <c r="E3325">
        <v>0.57109900000000002</v>
      </c>
      <c r="F3325" t="s">
        <v>51</v>
      </c>
      <c r="G3325">
        <v>-232.20410000000001</v>
      </c>
      <c r="H3325" s="1">
        <v>-2.0560769999999999E-7</v>
      </c>
      <c r="I3325">
        <v>210.99510000000001</v>
      </c>
      <c r="J3325">
        <v>-246.10239999999999</v>
      </c>
      <c r="K3325">
        <v>1.108061</v>
      </c>
      <c r="L3325">
        <v>215.20320000000001</v>
      </c>
      <c r="M3325">
        <v>0.99892179999999997</v>
      </c>
      <c r="N3325">
        <v>0</v>
      </c>
      <c r="O3325">
        <v>4.4709810000000003E-2</v>
      </c>
      <c r="P3325">
        <v>0.9946682</v>
      </c>
      <c r="Q3325">
        <v>2.3657129999999998E-2</v>
      </c>
      <c r="R3325">
        <v>-0.10037690000000001</v>
      </c>
      <c r="S3325">
        <v>2.936798</v>
      </c>
      <c r="T3325">
        <v>-0.22647510000000001</v>
      </c>
      <c r="U3325">
        <v>-0.85566710000000001</v>
      </c>
      <c r="V3325">
        <v>0.14483850000000001</v>
      </c>
      <c r="W3325">
        <v>3.566921E-2</v>
      </c>
      <c r="X3325">
        <v>0.98881220000000003</v>
      </c>
      <c r="Y3325">
        <v>0.3213724</v>
      </c>
      <c r="Z3325">
        <v>-1.549996E-2</v>
      </c>
      <c r="AA3325">
        <v>0.94682599999999995</v>
      </c>
      <c r="AB3325">
        <v>49</v>
      </c>
      <c r="AC3325">
        <v>13.8982999999999</v>
      </c>
      <c r="AD3325">
        <v>-1.1080612056076999</v>
      </c>
      <c r="AE3325">
        <v>-4.2081</v>
      </c>
      <c r="AF3325">
        <v>4.7973972823067204</v>
      </c>
      <c r="AG3325">
        <v>-1.1080612056076999</v>
      </c>
      <c r="AH3325">
        <v>13.616956705237399</v>
      </c>
      <c r="AI3325">
        <v>94.388831357469897</v>
      </c>
      <c r="AJ3325">
        <v>70.592102262021697</v>
      </c>
      <c r="AK3325">
        <v>14.4797904070454</v>
      </c>
      <c r="AL3325">
        <v>87.955871248736102</v>
      </c>
      <c r="AM3325">
        <v>81.666732477342293</v>
      </c>
      <c r="AN3325">
        <v>1.00000002524655</v>
      </c>
    </row>
    <row r="3326" spans="1:40" x14ac:dyDescent="0.25">
      <c r="A3326" t="str">
        <f>"20190312151604619"</f>
        <v>20190312151604619</v>
      </c>
      <c r="B3326" t="str">
        <f>"1552374964611498"</f>
        <v>1552374964611498</v>
      </c>
      <c r="C3326" t="s">
        <v>40</v>
      </c>
      <c r="D3326">
        <v>4.5750149999999996</v>
      </c>
      <c r="E3326">
        <v>0.57135219999999998</v>
      </c>
      <c r="F3326" t="s">
        <v>51</v>
      </c>
      <c r="G3326">
        <v>-231.3295</v>
      </c>
      <c r="H3326" s="1">
        <v>-6.6360990000000001E-7</v>
      </c>
      <c r="I3326">
        <v>210.82579999999999</v>
      </c>
      <c r="J3326">
        <v>-245.63310000000001</v>
      </c>
      <c r="K3326">
        <v>1.107864</v>
      </c>
      <c r="L3326">
        <v>215.22329999999999</v>
      </c>
      <c r="M3326">
        <v>0.99897950000000002</v>
      </c>
      <c r="N3326">
        <v>0</v>
      </c>
      <c r="O3326">
        <v>4.3397100000000001E-2</v>
      </c>
      <c r="P3326">
        <v>0.99421340000000002</v>
      </c>
      <c r="Q3326">
        <v>2.543838E-2</v>
      </c>
      <c r="R3326">
        <v>-0.1043676</v>
      </c>
      <c r="S3326">
        <v>2.9335939999999998</v>
      </c>
      <c r="T3326">
        <v>-0.22003790000000001</v>
      </c>
      <c r="U3326">
        <v>-0.8692474</v>
      </c>
      <c r="V3326">
        <v>0.1475272</v>
      </c>
      <c r="W3326">
        <v>3.737849E-2</v>
      </c>
      <c r="X3326">
        <v>0.98835150000000005</v>
      </c>
      <c r="Y3326">
        <v>0.32449</v>
      </c>
      <c r="Z3326">
        <v>-1.508461E-2</v>
      </c>
      <c r="AA3326">
        <v>0.94576879999999997</v>
      </c>
      <c r="AB3326">
        <v>49</v>
      </c>
      <c r="AC3326">
        <v>14.303599999999999</v>
      </c>
      <c r="AD3326">
        <v>-1.1078646636099001</v>
      </c>
      <c r="AE3326">
        <v>-4.3975</v>
      </c>
      <c r="AF3326">
        <v>4.9868072044177501</v>
      </c>
      <c r="AG3326">
        <v>-1.1078646636099001</v>
      </c>
      <c r="AH3326">
        <v>14.022412058193201</v>
      </c>
      <c r="AI3326">
        <v>94.257217723386105</v>
      </c>
      <c r="AJ3326">
        <v>70.423026659787993</v>
      </c>
      <c r="AK3326">
        <v>14.923928776856</v>
      </c>
      <c r="AL3326">
        <v>87.857871389710198</v>
      </c>
      <c r="AM3326">
        <v>81.510372749472694</v>
      </c>
      <c r="AN3326">
        <v>1.00000005690338</v>
      </c>
    </row>
    <row r="3327" spans="1:40" x14ac:dyDescent="0.25">
      <c r="A3327" t="str">
        <f>"20190312151604641"</f>
        <v>20190312151604641</v>
      </c>
      <c r="B3327" t="str">
        <f>"1552374964631018"</f>
        <v>1552374964631018</v>
      </c>
      <c r="C3327" t="s">
        <v>40</v>
      </c>
      <c r="D3327">
        <v>4.5707469999999999</v>
      </c>
      <c r="E3327">
        <v>0.57154749999999999</v>
      </c>
      <c r="F3327" t="s">
        <v>51</v>
      </c>
      <c r="G3327">
        <v>-230.4102</v>
      </c>
      <c r="H3327" s="1">
        <v>-1.1445049999999999E-6</v>
      </c>
      <c r="I3327">
        <v>210.63570000000001</v>
      </c>
      <c r="J3327">
        <v>-245.13849999999999</v>
      </c>
      <c r="K3327">
        <v>1.107656</v>
      </c>
      <c r="L3327">
        <v>215.24369999999999</v>
      </c>
      <c r="M3327">
        <v>0.99904660000000001</v>
      </c>
      <c r="N3327">
        <v>0</v>
      </c>
      <c r="O3327">
        <v>4.1826670000000003E-2</v>
      </c>
      <c r="P3327">
        <v>0.99375880000000005</v>
      </c>
      <c r="Q3327">
        <v>2.5025149999999999E-2</v>
      </c>
      <c r="R3327">
        <v>-0.10870970000000001</v>
      </c>
      <c r="S3327">
        <v>2.9302060000000001</v>
      </c>
      <c r="T3327">
        <v>-0.21324850000000001</v>
      </c>
      <c r="U3327">
        <v>-0.88305659999999897</v>
      </c>
      <c r="V3327">
        <v>0.15030979999999999</v>
      </c>
      <c r="W3327">
        <v>3.688292E-2</v>
      </c>
      <c r="X3327">
        <v>0.98795069999999996</v>
      </c>
      <c r="Y3327">
        <v>0.32744519999999999</v>
      </c>
      <c r="Z3327">
        <v>-1.4620070000000001E-2</v>
      </c>
      <c r="AA3327">
        <v>0.94475699999999996</v>
      </c>
      <c r="AB3327">
        <v>49</v>
      </c>
      <c r="AC3327">
        <v>14.7282999999999</v>
      </c>
      <c r="AD3327">
        <v>-1.1076571445049901</v>
      </c>
      <c r="AE3327">
        <v>-4.6079999999999703</v>
      </c>
      <c r="AF3327">
        <v>5.1932965883559898</v>
      </c>
      <c r="AG3327">
        <v>-1.1076571445049901</v>
      </c>
      <c r="AH3327">
        <v>14.4482240830087</v>
      </c>
      <c r="AI3327">
        <v>94.126450014722593</v>
      </c>
      <c r="AJ3327">
        <v>70.229438583284605</v>
      </c>
      <c r="AK3327">
        <v>15.3931287578983</v>
      </c>
      <c r="AL3327">
        <v>87.886284900820399</v>
      </c>
      <c r="AM3327">
        <v>81.349188373099196</v>
      </c>
      <c r="AN3327">
        <v>0.999999985697128</v>
      </c>
    </row>
    <row r="3328" spans="1:40" x14ac:dyDescent="0.25">
      <c r="A3328" t="str">
        <f>"20190312151604664"</f>
        <v>20190312151604664</v>
      </c>
      <c r="B3328" t="str">
        <f>"1552374964661274"</f>
        <v>1552374964661274</v>
      </c>
      <c r="C3328" t="s">
        <v>40</v>
      </c>
      <c r="D3328">
        <v>4.5179869999999998</v>
      </c>
      <c r="E3328">
        <v>0.57183669999999998</v>
      </c>
      <c r="F3328" t="s">
        <v>51</v>
      </c>
      <c r="G3328">
        <v>-230.15260000000001</v>
      </c>
      <c r="H3328" s="1">
        <v>-1.282061E-6</v>
      </c>
      <c r="I3328">
        <v>210.64709999999999</v>
      </c>
      <c r="J3328">
        <v>-244.6455</v>
      </c>
      <c r="K3328">
        <v>1.107418</v>
      </c>
      <c r="L3328">
        <v>215.26320000000001</v>
      </c>
      <c r="M3328">
        <v>0.9991196</v>
      </c>
      <c r="N3328">
        <v>0</v>
      </c>
      <c r="O3328">
        <v>4.0040880000000001E-2</v>
      </c>
      <c r="P3328">
        <v>0.99321720000000002</v>
      </c>
      <c r="Q3328">
        <v>2.4697400000000001E-2</v>
      </c>
      <c r="R3328">
        <v>-0.11362319999999999</v>
      </c>
      <c r="S3328">
        <v>2.9260709999999999</v>
      </c>
      <c r="T3328">
        <v>-0.21627560000000001</v>
      </c>
      <c r="U3328">
        <v>-0.89752199999999904</v>
      </c>
      <c r="V3328">
        <v>0.15345049999999999</v>
      </c>
      <c r="W3328">
        <v>3.646025E-2</v>
      </c>
      <c r="X3328">
        <v>0.98748349999999996</v>
      </c>
      <c r="Y3328">
        <v>0.33036959999999999</v>
      </c>
      <c r="Z3328">
        <v>-1.4813089999999999E-2</v>
      </c>
      <c r="AA3328">
        <v>0.9437354</v>
      </c>
      <c r="AB3328">
        <v>49</v>
      </c>
      <c r="AC3328">
        <v>14.492899999999899</v>
      </c>
      <c r="AD3328">
        <v>-1.107419282061</v>
      </c>
      <c r="AE3328">
        <v>-4.6161000000000101</v>
      </c>
      <c r="AF3328">
        <v>5.1653703301095799</v>
      </c>
      <c r="AG3328">
        <v>-1.107419282061</v>
      </c>
      <c r="AH3328">
        <v>14.221043907934799</v>
      </c>
      <c r="AI3328">
        <v>94.186199418622806</v>
      </c>
      <c r="AJ3328">
        <v>70.037956255579701</v>
      </c>
      <c r="AK3328">
        <v>15.1705477140698</v>
      </c>
      <c r="AL3328">
        <v>87.910518510180495</v>
      </c>
      <c r="AM3328">
        <v>81.167139063711303</v>
      </c>
      <c r="AN3328">
        <v>1.00000003427628</v>
      </c>
    </row>
    <row r="3329" spans="1:40" x14ac:dyDescent="0.25">
      <c r="A3329" t="str">
        <f>"20190312151604682"</f>
        <v>20190312151604682</v>
      </c>
      <c r="B3329" t="str">
        <f>"1552374964671034"</f>
        <v>1552374964671034</v>
      </c>
      <c r="C3329" t="s">
        <v>40</v>
      </c>
      <c r="D3329">
        <v>4.5625</v>
      </c>
      <c r="E3329">
        <v>0.57194730000000005</v>
      </c>
      <c r="F3329" t="s">
        <v>51</v>
      </c>
      <c r="G3329">
        <v>-229.84989999999999</v>
      </c>
      <c r="H3329" s="1">
        <v>3.8790160000000001E-6</v>
      </c>
      <c r="I3329">
        <v>210.63149999999999</v>
      </c>
      <c r="J3329">
        <v>-244.24189999999999</v>
      </c>
      <c r="K3329">
        <v>1.1072029999999999</v>
      </c>
      <c r="L3329">
        <v>215.2784</v>
      </c>
      <c r="M3329">
        <v>0.99918450000000003</v>
      </c>
      <c r="N3329">
        <v>0</v>
      </c>
      <c r="O3329">
        <v>3.8384960000000003E-2</v>
      </c>
      <c r="P3329">
        <v>0.99294760000000004</v>
      </c>
      <c r="Q3329">
        <v>2.4372649999999999E-2</v>
      </c>
      <c r="R3329">
        <v>-0.1160234</v>
      </c>
      <c r="S3329">
        <v>2.9213260000000001</v>
      </c>
      <c r="T3329">
        <v>-0.21865380000000001</v>
      </c>
      <c r="U3329">
        <v>-0.91450500000000001</v>
      </c>
      <c r="V3329">
        <v>0.15421860000000001</v>
      </c>
      <c r="W3329">
        <v>3.6057579999999999E-2</v>
      </c>
      <c r="X3329">
        <v>0.9873786</v>
      </c>
      <c r="Y3329">
        <v>0.33421089999999998</v>
      </c>
      <c r="Z3329">
        <v>-1.5005299999999999E-2</v>
      </c>
      <c r="AA3329">
        <v>0.94237890000000002</v>
      </c>
      <c r="AB3329">
        <v>49</v>
      </c>
      <c r="AC3329">
        <v>14.3919999999999</v>
      </c>
      <c r="AD3329">
        <v>-1.107199120984</v>
      </c>
      <c r="AE3329">
        <v>-4.6469000000000102</v>
      </c>
      <c r="AF3329">
        <v>5.1682541900689598</v>
      </c>
      <c r="AG3329">
        <v>-1.107199120984</v>
      </c>
      <c r="AH3329">
        <v>14.1272886200492</v>
      </c>
      <c r="AI3329">
        <v>94.209516273463095</v>
      </c>
      <c r="AJ3329">
        <v>69.905720404845795</v>
      </c>
      <c r="AK3329">
        <v>15.0836674923854</v>
      </c>
      <c r="AL3329">
        <v>87.933604937463301</v>
      </c>
      <c r="AM3329">
        <v>81.122700296780906</v>
      </c>
      <c r="AN3329">
        <v>1.00000001269968</v>
      </c>
    </row>
    <row r="3330" spans="1:40" x14ac:dyDescent="0.25">
      <c r="A3330" t="str">
        <f>"20190312151604697"</f>
        <v>20190312151604697</v>
      </c>
      <c r="B3330" t="str">
        <f>"1552374964691533"</f>
        <v>1552374964691533</v>
      </c>
      <c r="C3330" t="s">
        <v>40</v>
      </c>
      <c r="D3330">
        <v>4.6425380000000001</v>
      </c>
      <c r="E3330">
        <v>0.57201259999999998</v>
      </c>
      <c r="F3330" t="s">
        <v>51</v>
      </c>
      <c r="G3330">
        <v>-229.40950000000001</v>
      </c>
      <c r="H3330" s="1">
        <v>3.646524E-6</v>
      </c>
      <c r="I3330">
        <v>210.58920000000001</v>
      </c>
      <c r="J3330">
        <v>-243.91640000000001</v>
      </c>
      <c r="K3330">
        <v>1.1070150000000001</v>
      </c>
      <c r="L3330">
        <v>215.2901</v>
      </c>
      <c r="M3330">
        <v>0.99923960000000001</v>
      </c>
      <c r="N3330">
        <v>0</v>
      </c>
      <c r="O3330">
        <v>3.6918449999999998E-2</v>
      </c>
      <c r="P3330">
        <v>0.99252830000000003</v>
      </c>
      <c r="Q3330">
        <v>2.4416690000000001E-2</v>
      </c>
      <c r="R3330">
        <v>-0.1195476</v>
      </c>
      <c r="S3330">
        <v>2.9188390000000002</v>
      </c>
      <c r="T3330">
        <v>-0.21788379999999999</v>
      </c>
      <c r="U3330">
        <v>-0.92277529999999997</v>
      </c>
      <c r="V3330">
        <v>0.15629189999999901</v>
      </c>
      <c r="W3330">
        <v>3.6023760000000002E-2</v>
      </c>
      <c r="X3330">
        <v>0.98705379999999998</v>
      </c>
      <c r="Y3330">
        <v>0.33549289999999998</v>
      </c>
      <c r="Z3330">
        <v>-1.489823E-2</v>
      </c>
      <c r="AA3330">
        <v>0.94192489999999995</v>
      </c>
      <c r="AB3330">
        <v>49</v>
      </c>
      <c r="AC3330">
        <v>14.5069</v>
      </c>
      <c r="AD3330">
        <v>-1.10701135347599</v>
      </c>
      <c r="AE3330">
        <v>-4.7008999999999901</v>
      </c>
      <c r="AF3330">
        <v>5.2058754954567199</v>
      </c>
      <c r="AG3330">
        <v>-1.10701135347599</v>
      </c>
      <c r="AH3330">
        <v>14.248359873357501</v>
      </c>
      <c r="AI3330">
        <v>94.173796666164506</v>
      </c>
      <c r="AJ3330">
        <v>69.929382313301801</v>
      </c>
      <c r="AK3330">
        <v>15.2099432244708</v>
      </c>
      <c r="AL3330">
        <v>87.935543989978598</v>
      </c>
      <c r="AM3330">
        <v>81.002381945492601</v>
      </c>
      <c r="AN3330">
        <v>1.0000000366922901</v>
      </c>
    </row>
    <row r="3331" spans="1:40" x14ac:dyDescent="0.25">
      <c r="A3331" t="str">
        <f>"20190312151604719"</f>
        <v>20190312151604719</v>
      </c>
      <c r="B3331" t="str">
        <f>"1552374964711050"</f>
        <v>1552374964711050</v>
      </c>
      <c r="C3331" t="s">
        <v>40</v>
      </c>
      <c r="D3331">
        <v>4.6348060000000002</v>
      </c>
      <c r="E3331">
        <v>0.57154729999999998</v>
      </c>
      <c r="F3331" t="s">
        <v>51</v>
      </c>
      <c r="G3331">
        <v>-229.22649999999999</v>
      </c>
      <c r="H3331" s="1">
        <v>3.5493469999999999E-6</v>
      </c>
      <c r="I3331">
        <v>210.5838</v>
      </c>
      <c r="J3331">
        <v>-243.4229</v>
      </c>
      <c r="K3331">
        <v>1.106706</v>
      </c>
      <c r="L3331">
        <v>215.3066</v>
      </c>
      <c r="M3331">
        <v>0.99932889999999996</v>
      </c>
      <c r="N3331">
        <v>0</v>
      </c>
      <c r="O3331">
        <v>3.4413510000000001E-2</v>
      </c>
      <c r="P3331">
        <v>0.99198339999999996</v>
      </c>
      <c r="Q3331">
        <v>2.5080760000000001E-2</v>
      </c>
      <c r="R3331">
        <v>-0.1238542</v>
      </c>
      <c r="S3331">
        <v>2.9154969999999998</v>
      </c>
      <c r="T3331">
        <v>-0.21970780000000001</v>
      </c>
      <c r="U3331">
        <v>-0.93405150000000003</v>
      </c>
      <c r="V3331">
        <v>0.1581331</v>
      </c>
      <c r="W3331">
        <v>3.656508E-2</v>
      </c>
      <c r="X3331">
        <v>0.98674050000000002</v>
      </c>
      <c r="Y3331">
        <v>0.3367368</v>
      </c>
      <c r="Z3331">
        <v>-1.489178E-2</v>
      </c>
      <c r="AA3331">
        <v>0.94148109999999996</v>
      </c>
      <c r="AB3331">
        <v>49</v>
      </c>
      <c r="AC3331">
        <v>14.196400000000001</v>
      </c>
      <c r="AD3331">
        <v>-1.1067024506530001</v>
      </c>
      <c r="AE3331">
        <v>-4.7228000000000003</v>
      </c>
      <c r="AF3331">
        <v>5.1802440446073001</v>
      </c>
      <c r="AG3331">
        <v>-1.1067024506530001</v>
      </c>
      <c r="AH3331">
        <v>13.9491240955428</v>
      </c>
      <c r="AI3331">
        <v>94.253564980056893</v>
      </c>
      <c r="AJ3331">
        <v>69.626666112012103</v>
      </c>
      <c r="AK3331">
        <v>14.9210516287835</v>
      </c>
      <c r="AL3331">
        <v>87.904508005969902</v>
      </c>
      <c r="AM3331">
        <v>80.895308011411203</v>
      </c>
      <c r="AN3331">
        <v>0.999999948365631</v>
      </c>
    </row>
    <row r="3332" spans="1:40" x14ac:dyDescent="0.25">
      <c r="A3332" t="str">
        <f>"20190312151604743"</f>
        <v>20190312151604743</v>
      </c>
      <c r="B3332" t="str">
        <f>"1552374964731546"</f>
        <v>1552374964731546</v>
      </c>
      <c r="C3332" t="s">
        <v>40</v>
      </c>
      <c r="D3332">
        <v>4.5425389999999997</v>
      </c>
      <c r="E3332">
        <v>0.53934689999999996</v>
      </c>
      <c r="F3332" t="s">
        <v>51</v>
      </c>
      <c r="G3332">
        <v>-228.61449999999999</v>
      </c>
      <c r="H3332" s="1">
        <v>3.2269139999999999E-6</v>
      </c>
      <c r="I3332">
        <v>210.5104</v>
      </c>
      <c r="J3332">
        <v>-242.90639999999999</v>
      </c>
      <c r="K3332">
        <v>1.106352</v>
      </c>
      <c r="L3332">
        <v>215.32249999999999</v>
      </c>
      <c r="M3332">
        <v>0.99942629999999999</v>
      </c>
      <c r="N3332">
        <v>0</v>
      </c>
      <c r="O3332">
        <v>3.1451859999999998E-2</v>
      </c>
      <c r="P3332">
        <v>0.99131800000000003</v>
      </c>
      <c r="Q3332">
        <v>2.5673899999999999E-2</v>
      </c>
      <c r="R3332">
        <v>-0.12895529999999999</v>
      </c>
      <c r="S3332">
        <v>2.9119869999999999</v>
      </c>
      <c r="T3332">
        <v>-0.2176266</v>
      </c>
      <c r="U3332">
        <v>-0.94316100000000003</v>
      </c>
      <c r="V3332">
        <v>0.1603203</v>
      </c>
      <c r="W3332">
        <v>3.7016830000000001E-2</v>
      </c>
      <c r="X3332">
        <v>0.98637070000000004</v>
      </c>
      <c r="Y3332">
        <v>0.33696910000000002</v>
      </c>
      <c r="Z3332">
        <v>-1.455354E-2</v>
      </c>
      <c r="AA3332">
        <v>0.9414032</v>
      </c>
      <c r="AB3332">
        <v>49</v>
      </c>
      <c r="AC3332">
        <v>14.291899999999901</v>
      </c>
      <c r="AD3332">
        <v>-1.106348773086</v>
      </c>
      <c r="AE3332">
        <v>-4.8120999999999796</v>
      </c>
      <c r="AF3332">
        <v>5.2311060131923801</v>
      </c>
      <c r="AG3332">
        <v>-1.106348773086</v>
      </c>
      <c r="AH3332">
        <v>14.0578038690622</v>
      </c>
      <c r="AI3332">
        <v>94.218430634551396</v>
      </c>
      <c r="AJ3332">
        <v>69.589060085616097</v>
      </c>
      <c r="AK3332">
        <v>15.040290135166501</v>
      </c>
      <c r="AL3332">
        <v>87.878607212508697</v>
      </c>
      <c r="AM3332">
        <v>80.768129543994206</v>
      </c>
      <c r="AN3332">
        <v>1.0000000010569099</v>
      </c>
    </row>
    <row r="3333" spans="1:40" x14ac:dyDescent="0.25">
      <c r="A3333" t="str">
        <f>"20190312151604765"</f>
        <v>20190312151604765</v>
      </c>
      <c r="B3333" t="str">
        <f>"1552374964760827"</f>
        <v>1552374964760827</v>
      </c>
      <c r="C3333" t="s">
        <v>40</v>
      </c>
      <c r="D3333">
        <v>4.5297099999999997</v>
      </c>
      <c r="E3333">
        <v>0.5403829</v>
      </c>
      <c r="F3333" t="s">
        <v>51</v>
      </c>
      <c r="G3333">
        <v>-225.83949999999999</v>
      </c>
      <c r="H3333" s="1">
        <v>1.7183360000000001E-6</v>
      </c>
      <c r="I3333">
        <v>211.23910000000001</v>
      </c>
      <c r="J3333">
        <v>-242.43360000000001</v>
      </c>
      <c r="K3333">
        <v>1.1060140000000001</v>
      </c>
      <c r="L3333">
        <v>215.33539999999999</v>
      </c>
      <c r="M3333">
        <v>0.99951639999999997</v>
      </c>
      <c r="N3333">
        <v>0</v>
      </c>
      <c r="O3333">
        <v>2.844E-2</v>
      </c>
      <c r="P3333">
        <v>0.99059699999999995</v>
      </c>
      <c r="Q3333">
        <v>2.7050830000000001E-2</v>
      </c>
      <c r="R3333">
        <v>-0.13411149999999999</v>
      </c>
      <c r="S3333">
        <v>2.9396819999999999</v>
      </c>
      <c r="T3333">
        <v>-0.1905626</v>
      </c>
      <c r="U3333">
        <v>-0.70333859999999904</v>
      </c>
      <c r="V3333">
        <v>0.16252</v>
      </c>
      <c r="W3333">
        <v>3.825572E-2</v>
      </c>
      <c r="X3333">
        <v>0.98596329999999999</v>
      </c>
      <c r="Y3333">
        <v>0.25968380000000002</v>
      </c>
      <c r="Z3333">
        <v>-1.010903E-2</v>
      </c>
      <c r="AA3333">
        <v>0.96564079999999997</v>
      </c>
      <c r="AB3333">
        <v>49</v>
      </c>
      <c r="AC3333">
        <v>16.594100000000001</v>
      </c>
      <c r="AD3333">
        <v>-1.1060122816639999</v>
      </c>
      <c r="AE3333">
        <v>-4.0962999999999798</v>
      </c>
      <c r="AF3333">
        <v>4.5475747308856604</v>
      </c>
      <c r="AG3333">
        <v>-1.1060122816639999</v>
      </c>
      <c r="AH3333">
        <v>16.4021994566451</v>
      </c>
      <c r="AI3333">
        <v>93.717823541351706</v>
      </c>
      <c r="AJ3333">
        <v>74.503755485918504</v>
      </c>
      <c r="AK3333">
        <v>17.0568416219343</v>
      </c>
      <c r="AL3333">
        <v>87.8075735782961</v>
      </c>
      <c r="AM3333">
        <v>80.639889707704597</v>
      </c>
      <c r="AN3333">
        <v>0.99999993972980195</v>
      </c>
    </row>
    <row r="3334" spans="1:40" x14ac:dyDescent="0.25">
      <c r="A3334" t="str">
        <f>"20190312151604787"</f>
        <v>20190312151604787</v>
      </c>
      <c r="B3334" t="str">
        <f>"1552374964781322"</f>
        <v>1552374964781322</v>
      </c>
      <c r="C3334" t="s">
        <v>40</v>
      </c>
      <c r="D3334">
        <v>4.7233869999999998</v>
      </c>
      <c r="E3334">
        <v>0.53930859999999903</v>
      </c>
      <c r="F3334" t="s">
        <v>51</v>
      </c>
      <c r="G3334">
        <v>-225.8511</v>
      </c>
      <c r="H3334" s="1">
        <v>1.725024E-6</v>
      </c>
      <c r="I3334">
        <v>211.22720000000001</v>
      </c>
      <c r="J3334">
        <v>-241.9521</v>
      </c>
      <c r="K3334">
        <v>1.105666</v>
      </c>
      <c r="L3334">
        <v>215.34710000000001</v>
      </c>
      <c r="M3334">
        <v>0.99960629999999995</v>
      </c>
      <c r="N3334">
        <v>0</v>
      </c>
      <c r="O3334">
        <v>2.507438E-2</v>
      </c>
      <c r="P3334">
        <v>0.98984430000000001</v>
      </c>
      <c r="Q3334">
        <v>2.8151800000000001E-2</v>
      </c>
      <c r="R3334">
        <v>-0.139342299999999</v>
      </c>
      <c r="S3334">
        <v>2.9353790000000002</v>
      </c>
      <c r="T3334">
        <v>-0.1957825</v>
      </c>
      <c r="U3334">
        <v>-0.72721859999999905</v>
      </c>
      <c r="V3334">
        <v>0.16444919999999999</v>
      </c>
      <c r="W3334">
        <v>3.9213919999999999E-2</v>
      </c>
      <c r="X3334">
        <v>0.98560579999999998</v>
      </c>
      <c r="Y3334">
        <v>0.26413150000000002</v>
      </c>
      <c r="Z3334">
        <v>-1.0315100000000001E-2</v>
      </c>
      <c r="AA3334">
        <v>0.9644315</v>
      </c>
      <c r="AB3334">
        <v>49</v>
      </c>
      <c r="AC3334">
        <v>16.100999999999999</v>
      </c>
      <c r="AD3334">
        <v>-1.105664274976</v>
      </c>
      <c r="AE3334">
        <v>-4.1199000000000003</v>
      </c>
      <c r="AF3334">
        <v>4.5024318935504297</v>
      </c>
      <c r="AG3334">
        <v>-1.105664274976</v>
      </c>
      <c r="AH3334">
        <v>15.9221554315709</v>
      </c>
      <c r="AI3334">
        <v>93.822912962555307</v>
      </c>
      <c r="AJ3334">
        <v>74.210275359257196</v>
      </c>
      <c r="AK3334">
        <v>16.583407973999801</v>
      </c>
      <c r="AL3334">
        <v>87.752631731670505</v>
      </c>
      <c r="AM3334">
        <v>80.527408433812596</v>
      </c>
      <c r="AN3334">
        <v>1.00000003194802</v>
      </c>
    </row>
    <row r="3335" spans="1:40" x14ac:dyDescent="0.25">
      <c r="A3335" t="str">
        <f>"20190312151604808"</f>
        <v>20190312151604808</v>
      </c>
      <c r="B3335" t="str">
        <f>"1552374964800842"</f>
        <v>1552374964800842</v>
      </c>
      <c r="C3335" t="s">
        <v>40</v>
      </c>
      <c r="D3335">
        <v>4.4889169999999998</v>
      </c>
      <c r="E3335">
        <v>0.53797349999999999</v>
      </c>
      <c r="F3335" t="s">
        <v>51</v>
      </c>
      <c r="G3335">
        <v>-223.56280000000001</v>
      </c>
      <c r="H3335" s="1">
        <v>5.2842350000000001E-7</v>
      </c>
      <c r="I3335">
        <v>210.74359999999999</v>
      </c>
      <c r="J3335">
        <v>-241.47319999999999</v>
      </c>
      <c r="K3335">
        <v>1.1053139999999999</v>
      </c>
      <c r="L3335">
        <v>215.35679999999999</v>
      </c>
      <c r="M3335">
        <v>0.99969079999999999</v>
      </c>
      <c r="N3335">
        <v>0</v>
      </c>
      <c r="O3335">
        <v>2.1433730000000002E-2</v>
      </c>
      <c r="P3335">
        <v>0.98904639999999999</v>
      </c>
      <c r="Q3335">
        <v>2.8348760000000001E-2</v>
      </c>
      <c r="R3335">
        <v>-0.14485809999999999</v>
      </c>
      <c r="S3335">
        <v>2.9324340000000002</v>
      </c>
      <c r="T3335">
        <v>-0.17631340000000001</v>
      </c>
      <c r="U3335">
        <v>-0.73408509999999905</v>
      </c>
      <c r="V3335">
        <v>0.16638919999999999</v>
      </c>
      <c r="W3335">
        <v>3.9268240000000003E-2</v>
      </c>
      <c r="X3335">
        <v>0.98527799999999999</v>
      </c>
      <c r="Y3335">
        <v>0.26309349999999998</v>
      </c>
      <c r="Z3335">
        <v>-9.0512960000000003E-3</v>
      </c>
      <c r="AA3335">
        <v>0.96472789999999997</v>
      </c>
      <c r="AB3335">
        <v>49</v>
      </c>
      <c r="AC3335">
        <v>17.9103999999999</v>
      </c>
      <c r="AD3335">
        <v>-1.1053134715764901</v>
      </c>
      <c r="AE3335">
        <v>-4.6132</v>
      </c>
      <c r="AF3335">
        <v>4.97827678634824</v>
      </c>
      <c r="AG3335">
        <v>-1.1053134715764901</v>
      </c>
      <c r="AH3335">
        <v>17.744024214348698</v>
      </c>
      <c r="AI3335">
        <v>93.432280840883095</v>
      </c>
      <c r="AJ3335">
        <v>74.327964899581403</v>
      </c>
      <c r="AK3335">
        <v>18.462268358772601</v>
      </c>
      <c r="AL3335">
        <v>87.749517064200901</v>
      </c>
      <c r="AM3335">
        <v>80.414592194589204</v>
      </c>
      <c r="AN3335">
        <v>1.0000000489166601</v>
      </c>
    </row>
    <row r="3336" spans="1:40" x14ac:dyDescent="0.25">
      <c r="A3336" t="str">
        <f>"20190312151604831"</f>
        <v>20190312151604831</v>
      </c>
      <c r="B3336" t="str">
        <f>"1552374964821337"</f>
        <v>1552374964821337</v>
      </c>
      <c r="C3336" t="s">
        <v>40</v>
      </c>
      <c r="D3336">
        <v>4.512346</v>
      </c>
      <c r="E3336">
        <v>0.53776259999999998</v>
      </c>
      <c r="F3336" t="s">
        <v>51</v>
      </c>
      <c r="G3336">
        <v>-222.91890000000001</v>
      </c>
      <c r="H3336" s="1">
        <v>1.889301E-7</v>
      </c>
      <c r="I3336">
        <v>210.67150000000001</v>
      </c>
      <c r="J3336">
        <v>-240.98</v>
      </c>
      <c r="K3336">
        <v>1.1049599999999999</v>
      </c>
      <c r="L3336">
        <v>215.36500000000001</v>
      </c>
      <c r="M3336">
        <v>0.99976889999999996</v>
      </c>
      <c r="N3336">
        <v>0</v>
      </c>
      <c r="O3336">
        <v>1.7399629999999999E-2</v>
      </c>
      <c r="P3336">
        <v>0.98820090000000005</v>
      </c>
      <c r="Q3336">
        <v>2.8711299999999999E-2</v>
      </c>
      <c r="R3336">
        <v>-0.1504482</v>
      </c>
      <c r="S3336">
        <v>2.9298709999999999</v>
      </c>
      <c r="T3336">
        <v>-0.17453750000000001</v>
      </c>
      <c r="U3336">
        <v>-0.73985290000000004</v>
      </c>
      <c r="V3336">
        <v>0.168022</v>
      </c>
      <c r="W3336">
        <v>3.9490740000000003E-2</v>
      </c>
      <c r="X3336">
        <v>0.98499190000000003</v>
      </c>
      <c r="Y3336">
        <v>0.26120460000000001</v>
      </c>
      <c r="Z3336">
        <v>-8.6737469999999903E-3</v>
      </c>
      <c r="AA3336">
        <v>0.96524449999999995</v>
      </c>
      <c r="AB3336">
        <v>49</v>
      </c>
      <c r="AC3336">
        <v>18.0610999999999</v>
      </c>
      <c r="AD3336">
        <v>-1.1049598110698999</v>
      </c>
      <c r="AE3336">
        <v>-4.6935000000000002</v>
      </c>
      <c r="AF3336">
        <v>4.9895769262875298</v>
      </c>
      <c r="AG3336">
        <v>-1.1049598110698999</v>
      </c>
      <c r="AH3336">
        <v>17.913885887171201</v>
      </c>
      <c r="AI3336">
        <v>93.4005117157066</v>
      </c>
      <c r="AJ3336">
        <v>74.435818783418895</v>
      </c>
      <c r="AK3336">
        <v>18.628583458384899</v>
      </c>
      <c r="AL3336">
        <v>87.736758694920098</v>
      </c>
      <c r="AM3336">
        <v>80.319541980179494</v>
      </c>
      <c r="AN3336">
        <v>0.99999997704767796</v>
      </c>
    </row>
    <row r="3337" spans="1:40" x14ac:dyDescent="0.25">
      <c r="A3337" t="str">
        <f>"20190312151604854"</f>
        <v>20190312151604854</v>
      </c>
      <c r="B3337" t="str">
        <f>"1552374964850618"</f>
        <v>1552374964850618</v>
      </c>
      <c r="C3337" t="s">
        <v>40</v>
      </c>
      <c r="D3337">
        <v>4.9653210000000003</v>
      </c>
      <c r="E3337">
        <v>0.53750369999999903</v>
      </c>
      <c r="F3337" t="s">
        <v>51</v>
      </c>
      <c r="G3337">
        <v>-222.82130000000001</v>
      </c>
      <c r="H3337" s="1">
        <v>1.367135E-7</v>
      </c>
      <c r="I3337">
        <v>210.67830000000001</v>
      </c>
      <c r="J3337">
        <v>-240.4836</v>
      </c>
      <c r="K3337">
        <v>1.104622</v>
      </c>
      <c r="L3337">
        <v>215.37110000000001</v>
      </c>
      <c r="M3337">
        <v>0.99983469999999997</v>
      </c>
      <c r="N3337">
        <v>0</v>
      </c>
      <c r="O3337">
        <v>1.306503E-2</v>
      </c>
      <c r="P3337">
        <v>0.98732580000000003</v>
      </c>
      <c r="Q3337">
        <v>2.921035E-2</v>
      </c>
      <c r="R3337">
        <v>-0.15599679999999999</v>
      </c>
      <c r="S3337">
        <v>2.9260100000000002</v>
      </c>
      <c r="T3337">
        <v>-0.17804800000000001</v>
      </c>
      <c r="U3337">
        <v>-0.75518799999999997</v>
      </c>
      <c r="V3337">
        <v>0.1693231</v>
      </c>
      <c r="W3337">
        <v>3.9855710000000003E-2</v>
      </c>
      <c r="X3337">
        <v>0.98475440000000003</v>
      </c>
      <c r="Y3337">
        <v>0.26205820000000002</v>
      </c>
      <c r="Z3337">
        <v>-8.6195690000000005E-3</v>
      </c>
      <c r="AA3337">
        <v>0.96501360000000003</v>
      </c>
      <c r="AB3337">
        <v>49</v>
      </c>
      <c r="AC3337">
        <v>17.662299999999899</v>
      </c>
      <c r="AD3337">
        <v>-1.1046218632864999</v>
      </c>
      <c r="AE3337">
        <v>-4.6928000000000001</v>
      </c>
      <c r="AF3337">
        <v>4.9052550317654804</v>
      </c>
      <c r="AG3337">
        <v>-1.1046218632864999</v>
      </c>
      <c r="AH3337">
        <v>17.5354103538176</v>
      </c>
      <c r="AI3337">
        <v>93.471589983777704</v>
      </c>
      <c r="AJ3337">
        <v>74.371873400724894</v>
      </c>
      <c r="AK3337">
        <v>18.2420484777419</v>
      </c>
      <c r="AL3337">
        <v>87.715831050617496</v>
      </c>
      <c r="AM3337">
        <v>80.243707470858197</v>
      </c>
      <c r="AN3337">
        <v>1.0000000090662799</v>
      </c>
    </row>
    <row r="3338" spans="1:40" x14ac:dyDescent="0.25">
      <c r="A3338" t="str">
        <f>"20190312151604875"</f>
        <v>20190312151604875</v>
      </c>
      <c r="B3338" t="str">
        <f>"1552374964871114"</f>
        <v>1552374964871114</v>
      </c>
      <c r="C3338" t="s">
        <v>40</v>
      </c>
      <c r="D3338">
        <v>4.945964</v>
      </c>
      <c r="E3338">
        <v>0.5372943</v>
      </c>
      <c r="F3338" t="s">
        <v>51</v>
      </c>
      <c r="G3338">
        <v>-222.4417</v>
      </c>
      <c r="H3338" s="1">
        <v>-6.2640619999999996E-8</v>
      </c>
      <c r="I3338">
        <v>210.6173</v>
      </c>
      <c r="J3338">
        <v>-239.99879999999999</v>
      </c>
      <c r="K3338">
        <v>1.104306</v>
      </c>
      <c r="L3338">
        <v>215.37479999999999</v>
      </c>
      <c r="M3338">
        <v>0.99988290000000002</v>
      </c>
      <c r="N3338">
        <v>0</v>
      </c>
      <c r="O3338">
        <v>8.5882200000000006E-3</v>
      </c>
      <c r="P3338">
        <v>0.98647620000000003</v>
      </c>
      <c r="Q3338">
        <v>3.028689E-2</v>
      </c>
      <c r="R3338">
        <v>-0.161083</v>
      </c>
      <c r="S3338">
        <v>2.9221339999999998</v>
      </c>
      <c r="T3338">
        <v>-0.17890819999999999</v>
      </c>
      <c r="U3338">
        <v>-0.76994319999999905</v>
      </c>
      <c r="V3338">
        <v>0.17003270000000001</v>
      </c>
      <c r="W3338">
        <v>4.0816239999999997E-2</v>
      </c>
      <c r="X3338">
        <v>0.98459280000000005</v>
      </c>
      <c r="Y3338">
        <v>0.2626115</v>
      </c>
      <c r="Z3338">
        <v>-8.4140150000000004E-3</v>
      </c>
      <c r="AA3338">
        <v>0.96486499999999997</v>
      </c>
      <c r="AB3338">
        <v>49</v>
      </c>
      <c r="AC3338">
        <v>17.557099999999899</v>
      </c>
      <c r="AD3338">
        <v>-1.10430606264062</v>
      </c>
      <c r="AE3338">
        <v>-4.7574999999999896</v>
      </c>
      <c r="AF3338">
        <v>4.8900982009088896</v>
      </c>
      <c r="AG3338">
        <v>-1.10430606264062</v>
      </c>
      <c r="AH3338">
        <v>17.4512733056375</v>
      </c>
      <c r="AI3338">
        <v>93.486857752734096</v>
      </c>
      <c r="AJ3338">
        <v>74.346362655578901</v>
      </c>
      <c r="AK3338">
        <v>18.157078296977598</v>
      </c>
      <c r="AL3338">
        <v>87.660751965424595</v>
      </c>
      <c r="AM3338">
        <v>80.2020346522865</v>
      </c>
      <c r="AN3338">
        <v>1.0000000331644301</v>
      </c>
    </row>
    <row r="3339" spans="1:40" x14ac:dyDescent="0.25">
      <c r="A3339" t="str">
        <f>"20190312151604898"</f>
        <v>20190312151604898</v>
      </c>
      <c r="B3339" t="str">
        <f>"1552374964890638"</f>
        <v>1552374964890638</v>
      </c>
      <c r="C3339" t="s">
        <v>40</v>
      </c>
      <c r="D3339">
        <v>4.5097379999999996</v>
      </c>
      <c r="E3339">
        <v>0.53711149999999996</v>
      </c>
      <c r="F3339" t="s">
        <v>51</v>
      </c>
      <c r="G3339">
        <v>-220.9324</v>
      </c>
      <c r="H3339" s="1">
        <v>-8.5003039999999996E-7</v>
      </c>
      <c r="I3339">
        <v>210.2559</v>
      </c>
      <c r="J3339">
        <v>-239.50640000000001</v>
      </c>
      <c r="K3339">
        <v>1.1040080000000001</v>
      </c>
      <c r="L3339">
        <v>215.37620000000001</v>
      </c>
      <c r="M3339">
        <v>0.99991180000000002</v>
      </c>
      <c r="N3339">
        <v>0</v>
      </c>
      <c r="O3339">
        <v>3.8533349999999998E-3</v>
      </c>
      <c r="P3339">
        <v>0.98558939999999995</v>
      </c>
      <c r="Q3339">
        <v>3.1179100000000001E-2</v>
      </c>
      <c r="R3339">
        <v>-0.1662585</v>
      </c>
      <c r="S3339">
        <v>2.9183500000000002</v>
      </c>
      <c r="T3339">
        <v>-0.16902729999999999</v>
      </c>
      <c r="U3339">
        <v>-0.78350830000000005</v>
      </c>
      <c r="V3339">
        <v>0.17057919999999999</v>
      </c>
      <c r="W3339">
        <v>4.1603300000000003E-2</v>
      </c>
      <c r="X3339">
        <v>0.98446529999999999</v>
      </c>
      <c r="Y3339">
        <v>0.26259739999999998</v>
      </c>
      <c r="Z3339">
        <v>-7.685585E-3</v>
      </c>
      <c r="AA3339">
        <v>0.96487489999999998</v>
      </c>
      <c r="AB3339">
        <v>49</v>
      </c>
      <c r="AC3339">
        <v>18.574000000000002</v>
      </c>
      <c r="AD3339">
        <v>-1.1040088500303999</v>
      </c>
      <c r="AE3339">
        <v>-5.1203000000000101</v>
      </c>
      <c r="AF3339">
        <v>5.1748484874849003</v>
      </c>
      <c r="AG3339">
        <v>-1.1040088500303999</v>
      </c>
      <c r="AH3339">
        <v>18.493408922735298</v>
      </c>
      <c r="AI3339">
        <v>93.290263376239807</v>
      </c>
      <c r="AJ3339">
        <v>74.367251937516698</v>
      </c>
      <c r="AK3339">
        <v>19.2354897518331</v>
      </c>
      <c r="AL3339">
        <v>87.615618359958503</v>
      </c>
      <c r="AM3339">
        <v>80.169908252629895</v>
      </c>
      <c r="AN3339">
        <v>1.00000001247381</v>
      </c>
    </row>
    <row r="3340" spans="1:40" x14ac:dyDescent="0.25">
      <c r="A3340" t="str">
        <f>"20190312151604920"</f>
        <v>20190312151604920</v>
      </c>
      <c r="B3340" t="str">
        <f>"1552374964911130"</f>
        <v>1552374964911130</v>
      </c>
      <c r="C3340" t="s">
        <v>40</v>
      </c>
      <c r="D3340">
        <v>4.7371150000000002</v>
      </c>
      <c r="E3340">
        <v>0.53747349999999905</v>
      </c>
      <c r="F3340" t="s">
        <v>51</v>
      </c>
      <c r="G3340">
        <v>-220.571</v>
      </c>
      <c r="H3340" s="1">
        <v>-1.0394960000000001E-6</v>
      </c>
      <c r="I3340">
        <v>210.19069999999999</v>
      </c>
      <c r="J3340">
        <v>-239.02189999999999</v>
      </c>
      <c r="K3340">
        <v>1.103731</v>
      </c>
      <c r="L3340">
        <v>215.37540000000001</v>
      </c>
      <c r="M3340">
        <v>0.99991830000000004</v>
      </c>
      <c r="N3340">
        <v>0</v>
      </c>
      <c r="O3340">
        <v>-9.6324759999999996E-4</v>
      </c>
      <c r="P3340">
        <v>0.98469770000000001</v>
      </c>
      <c r="Q3340">
        <v>3.1379440000000001E-2</v>
      </c>
      <c r="R3340">
        <v>-0.17142260000000001</v>
      </c>
      <c r="S3340">
        <v>2.9145810000000001</v>
      </c>
      <c r="T3340">
        <v>-0.16993150000000001</v>
      </c>
      <c r="U3340">
        <v>-0.79817199999999999</v>
      </c>
      <c r="V3340">
        <v>0.1710285</v>
      </c>
      <c r="W3340">
        <v>4.1713359999999998E-2</v>
      </c>
      <c r="X3340">
        <v>0.98438270000000005</v>
      </c>
      <c r="Y3340">
        <v>0.26278659999999998</v>
      </c>
      <c r="Z3340">
        <v>-7.4611109999999899E-3</v>
      </c>
      <c r="AA3340">
        <v>0.96482520000000005</v>
      </c>
      <c r="AB3340">
        <v>49</v>
      </c>
      <c r="AC3340">
        <v>18.450899999999901</v>
      </c>
      <c r="AD3340">
        <v>-1.103732039496</v>
      </c>
      <c r="AE3340">
        <v>-5.1847000000000198</v>
      </c>
      <c r="AF3340">
        <v>5.1498436540980101</v>
      </c>
      <c r="AG3340">
        <v>-1.103732039496</v>
      </c>
      <c r="AH3340">
        <v>18.394878470236399</v>
      </c>
      <c r="AI3340">
        <v>93.306901317667496</v>
      </c>
      <c r="AJ3340">
        <v>74.359839850851301</v>
      </c>
      <c r="AK3340">
        <v>19.134018605913099</v>
      </c>
      <c r="AL3340">
        <v>87.609306940347196</v>
      </c>
      <c r="AM3340">
        <v>80.143712419444199</v>
      </c>
      <c r="AN3340">
        <v>1.0000000261370099</v>
      </c>
    </row>
    <row r="3341" spans="1:40" x14ac:dyDescent="0.25">
      <c r="A3341" t="str">
        <f>"20190312151604944"</f>
        <v>20190312151604944</v>
      </c>
      <c r="B3341" t="str">
        <f>"1552374964930650"</f>
        <v>1552374964930650</v>
      </c>
      <c r="C3341" t="s">
        <v>40</v>
      </c>
      <c r="D3341">
        <v>4.5257740000000002</v>
      </c>
      <c r="E3341">
        <v>0.53776029999999997</v>
      </c>
      <c r="F3341" t="s">
        <v>51</v>
      </c>
      <c r="G3341">
        <v>-220.40870000000001</v>
      </c>
      <c r="H3341" s="1">
        <v>-1.124164E-6</v>
      </c>
      <c r="I3341">
        <v>210.15260000000001</v>
      </c>
      <c r="J3341">
        <v>-238.5093</v>
      </c>
      <c r="K3341">
        <v>1.103464</v>
      </c>
      <c r="L3341">
        <v>215.37190000000001</v>
      </c>
      <c r="M3341">
        <v>0.99989899999999998</v>
      </c>
      <c r="N3341">
        <v>0</v>
      </c>
      <c r="O3341">
        <v>-6.211294E-3</v>
      </c>
      <c r="P3341">
        <v>0.98377420000000004</v>
      </c>
      <c r="Q3341">
        <v>3.1931569999999999E-2</v>
      </c>
      <c r="R3341">
        <v>-0.1765465</v>
      </c>
      <c r="S3341">
        <v>2.909958</v>
      </c>
      <c r="T3341">
        <v>-0.1725563</v>
      </c>
      <c r="U3341">
        <v>-0.81652829999999998</v>
      </c>
      <c r="V3341">
        <v>0.17102210000000001</v>
      </c>
      <c r="W3341">
        <v>4.2191680000000002E-2</v>
      </c>
      <c r="X3341">
        <v>0.9843634</v>
      </c>
      <c r="Y3341">
        <v>0.26375859999999901</v>
      </c>
      <c r="Z3341">
        <v>-7.3047419999999899E-3</v>
      </c>
      <c r="AA3341">
        <v>0.964561</v>
      </c>
      <c r="AB3341">
        <v>49</v>
      </c>
      <c r="AC3341">
        <v>18.100599999999901</v>
      </c>
      <c r="AD3341">
        <v>-1.1034651241640001</v>
      </c>
      <c r="AE3341">
        <v>-5.2192999999999996</v>
      </c>
      <c r="AF3341">
        <v>5.0892996236182899</v>
      </c>
      <c r="AG3341">
        <v>-1.1034651241640001</v>
      </c>
      <c r="AH3341">
        <v>18.070668176369399</v>
      </c>
      <c r="AI3341">
        <v>93.363822662203106</v>
      </c>
      <c r="AJ3341">
        <v>74.2710192995916</v>
      </c>
      <c r="AK3341">
        <v>18.8060536604482</v>
      </c>
      <c r="AL3341">
        <v>87.581877010970601</v>
      </c>
      <c r="AM3341">
        <v>80.143884563884001</v>
      </c>
      <c r="AN3341">
        <v>0.99999999990459598</v>
      </c>
    </row>
    <row r="3342" spans="1:40" x14ac:dyDescent="0.25">
      <c r="A3342" t="str">
        <f>"20190312151604965"</f>
        <v>20190312151604965</v>
      </c>
      <c r="B3342" t="str">
        <f>"1552374964960906"</f>
        <v>1552374964960906</v>
      </c>
      <c r="C3342" t="s">
        <v>40</v>
      </c>
      <c r="D3342">
        <v>4.5527670000000002</v>
      </c>
      <c r="E3342">
        <v>0.53765499999999999</v>
      </c>
      <c r="F3342" t="s">
        <v>51</v>
      </c>
      <c r="G3342">
        <v>-219.98099999999999</v>
      </c>
      <c r="H3342" s="1">
        <v>-1.3474170000000001E-6</v>
      </c>
      <c r="I3342">
        <v>210.0531</v>
      </c>
      <c r="J3342">
        <v>-238.02080000000001</v>
      </c>
      <c r="K3342">
        <v>1.1032219999999999</v>
      </c>
      <c r="L3342">
        <v>215.36609999999999</v>
      </c>
      <c r="M3342">
        <v>0.9998534</v>
      </c>
      <c r="N3342">
        <v>0</v>
      </c>
      <c r="O3342">
        <v>-1.1342400000000001E-2</v>
      </c>
      <c r="P3342">
        <v>0.98282499999999995</v>
      </c>
      <c r="Q3342">
        <v>3.2036620000000002E-2</v>
      </c>
      <c r="R3342">
        <v>-0.1817377</v>
      </c>
      <c r="S3342">
        <v>2.9054259999999998</v>
      </c>
      <c r="T3342">
        <v>-0.17303450000000001</v>
      </c>
      <c r="U3342">
        <v>-0.83404539999999905</v>
      </c>
      <c r="V3342">
        <v>0.17119400000000001</v>
      </c>
      <c r="W3342">
        <v>4.2239800000000001E-2</v>
      </c>
      <c r="X3342">
        <v>0.98433150000000003</v>
      </c>
      <c r="Y3342">
        <v>0.26458599999999999</v>
      </c>
      <c r="Z3342">
        <v>-7.0550400000000003E-3</v>
      </c>
      <c r="AA3342">
        <v>0.96433630000000004</v>
      </c>
      <c r="AB3342">
        <v>49</v>
      </c>
      <c r="AC3342">
        <v>18.0398</v>
      </c>
      <c r="AD3342">
        <v>-1.1032233474169999</v>
      </c>
      <c r="AE3342">
        <v>-5.3129999999999802</v>
      </c>
      <c r="AF3342">
        <v>5.0905081201750102</v>
      </c>
      <c r="AG3342">
        <v>-1.1032233474169999</v>
      </c>
      <c r="AH3342">
        <v>18.0368341147861</v>
      </c>
      <c r="AI3342">
        <v>93.368858774907494</v>
      </c>
      <c r="AJ3342">
        <v>74.239422694921103</v>
      </c>
      <c r="AK3342">
        <v>18.773858408972998</v>
      </c>
      <c r="AL3342">
        <v>87.579117585081406</v>
      </c>
      <c r="AM3342">
        <v>80.133858976474201</v>
      </c>
      <c r="AN3342">
        <v>1.0000000441161401</v>
      </c>
    </row>
    <row r="3343" spans="1:40" x14ac:dyDescent="0.25">
      <c r="A3343" t="str">
        <f>"20190312151604993"</f>
        <v>20190312151604993</v>
      </c>
      <c r="B3343" t="str">
        <f>"1552374964981402"</f>
        <v>1552374964981402</v>
      </c>
      <c r="C3343" t="s">
        <v>40</v>
      </c>
      <c r="D3343">
        <v>4.4996539999999996</v>
      </c>
      <c r="E3343">
        <v>0.51597669999999995</v>
      </c>
      <c r="F3343" t="s">
        <v>51</v>
      </c>
      <c r="G3343">
        <v>-219.2723</v>
      </c>
      <c r="H3343" s="1">
        <v>3.6044179999999998E-6</v>
      </c>
      <c r="I3343">
        <v>209.88140000000001</v>
      </c>
      <c r="J3343">
        <v>-237.4288</v>
      </c>
      <c r="K3343">
        <v>1.1029549999999999</v>
      </c>
      <c r="L3343">
        <v>215.35589999999999</v>
      </c>
      <c r="M3343">
        <v>0.99976019999999999</v>
      </c>
      <c r="N3343">
        <v>0</v>
      </c>
      <c r="O3343">
        <v>-1.7697859999999999E-2</v>
      </c>
      <c r="P3343">
        <v>0.98159730000000001</v>
      </c>
      <c r="Q3343">
        <v>3.2116970000000002E-2</v>
      </c>
      <c r="R3343">
        <v>-0.18824289999999999</v>
      </c>
      <c r="S3343">
        <v>2.9010470000000002</v>
      </c>
      <c r="T3343">
        <v>-0.170706</v>
      </c>
      <c r="U3343">
        <v>-0.84867859999999995</v>
      </c>
      <c r="V3343">
        <v>0.171486</v>
      </c>
      <c r="W3343">
        <v>4.227363E-2</v>
      </c>
      <c r="X3343">
        <v>0.98427920000000002</v>
      </c>
      <c r="Y3343">
        <v>0.26335209999999998</v>
      </c>
      <c r="Z3343">
        <v>-6.5644070000000004E-3</v>
      </c>
      <c r="AA3343">
        <v>0.96467749999999997</v>
      </c>
      <c r="AB3343">
        <v>49</v>
      </c>
      <c r="AC3343">
        <v>18.156499999999902</v>
      </c>
      <c r="AD3343">
        <v>-1.1029513955819901</v>
      </c>
      <c r="AE3343">
        <v>-5.4744999999999697</v>
      </c>
      <c r="AF3343">
        <v>5.1349148467008501</v>
      </c>
      <c r="AG3343">
        <v>-1.1029513955819901</v>
      </c>
      <c r="AH3343">
        <v>18.189023559558201</v>
      </c>
      <c r="AI3343">
        <v>93.339843979210201</v>
      </c>
      <c r="AJ3343">
        <v>74.235179007965201</v>
      </c>
      <c r="AK3343">
        <v>18.932100525669298</v>
      </c>
      <c r="AL3343">
        <v>87.577177491593801</v>
      </c>
      <c r="AM3343">
        <v>80.116847378457393</v>
      </c>
      <c r="AN3343">
        <v>1.000000025771</v>
      </c>
    </row>
    <row r="3344" spans="1:40" x14ac:dyDescent="0.25">
      <c r="A3344" t="str">
        <f>"20190312151605012"</f>
        <v>20190312151605012</v>
      </c>
      <c r="B3344" t="str">
        <f>"1552374965000922"</f>
        <v>1552374965000922</v>
      </c>
      <c r="C3344" t="s">
        <v>40</v>
      </c>
      <c r="D3344">
        <v>4.4642609999999996</v>
      </c>
      <c r="E3344">
        <v>0.51523069999999904</v>
      </c>
      <c r="F3344" t="s">
        <v>51</v>
      </c>
      <c r="G3344">
        <v>-214.8903</v>
      </c>
      <c r="H3344" s="1">
        <v>1.2679500000000001E-6</v>
      </c>
      <c r="I3344">
        <v>209.98699999999999</v>
      </c>
      <c r="J3344">
        <v>-237.00890000000001</v>
      </c>
      <c r="K3344">
        <v>1.1027849999999999</v>
      </c>
      <c r="L3344">
        <v>215.34610000000001</v>
      </c>
      <c r="M3344">
        <v>0.99966750000000004</v>
      </c>
      <c r="N3344">
        <v>0</v>
      </c>
      <c r="O3344">
        <v>-2.2295289999999999E-2</v>
      </c>
      <c r="P3344">
        <v>0.98058970000000001</v>
      </c>
      <c r="Q3344">
        <v>3.1975480000000001E-2</v>
      </c>
      <c r="R3344">
        <v>-0.19344639999999999</v>
      </c>
      <c r="S3344">
        <v>2.9271850000000001</v>
      </c>
      <c r="T3344">
        <v>-0.14324609999999999</v>
      </c>
      <c r="U3344">
        <v>-0.69729609999999997</v>
      </c>
      <c r="V3344">
        <v>0.17219699999999999</v>
      </c>
      <c r="W3344">
        <v>4.2114499999999999E-2</v>
      </c>
      <c r="X3344">
        <v>0.98416190000000003</v>
      </c>
      <c r="Y3344">
        <v>0.20976990000000001</v>
      </c>
      <c r="Z3344">
        <v>-3.9842719999999996E-3</v>
      </c>
      <c r="AA3344">
        <v>0.97774269999999996</v>
      </c>
      <c r="AB3344">
        <v>49</v>
      </c>
      <c r="AC3344">
        <v>22.118600000000001</v>
      </c>
      <c r="AD3344">
        <v>-1.10278373205</v>
      </c>
      <c r="AE3344">
        <v>-5.3591000000000104</v>
      </c>
      <c r="AF3344">
        <v>4.85319057571754</v>
      </c>
      <c r="AG3344">
        <v>-1.10278373205</v>
      </c>
      <c r="AH3344">
        <v>22.180514773953</v>
      </c>
      <c r="AI3344">
        <v>92.780644124984406</v>
      </c>
      <c r="AJ3344">
        <v>77.657947202518201</v>
      </c>
      <c r="AK3344">
        <v>22.7320220473555</v>
      </c>
      <c r="AL3344">
        <v>87.586303134102906</v>
      </c>
      <c r="AM3344">
        <v>80.075524409967599</v>
      </c>
      <c r="AN3344">
        <v>1.00000004166542</v>
      </c>
    </row>
    <row r="3345" spans="1:40" x14ac:dyDescent="0.25">
      <c r="A3345" t="str">
        <f>"20190312151605033"</f>
        <v>20190312151605033</v>
      </c>
      <c r="B3345" t="str">
        <f>"1552374965021418"</f>
        <v>1552374965021418</v>
      </c>
      <c r="C3345" t="s">
        <v>40</v>
      </c>
      <c r="D3345">
        <v>4.8776599999999997</v>
      </c>
      <c r="E3345">
        <v>0.51469500000000001</v>
      </c>
      <c r="F3345" t="s">
        <v>51</v>
      </c>
      <c r="G3345">
        <v>-213.4342</v>
      </c>
      <c r="H3345" s="1">
        <v>5.0771979999999996E-7</v>
      </c>
      <c r="I3345">
        <v>209.65199999999999</v>
      </c>
      <c r="J3345">
        <v>-236.5453</v>
      </c>
      <c r="K3345">
        <v>1.102617</v>
      </c>
      <c r="L3345">
        <v>215.33320000000001</v>
      </c>
      <c r="M3345">
        <v>0.99953820000000004</v>
      </c>
      <c r="N3345">
        <v>0</v>
      </c>
      <c r="O3345">
        <v>-2.743526E-2</v>
      </c>
      <c r="P3345">
        <v>0.97961609999999999</v>
      </c>
      <c r="Q3345">
        <v>3.2861069999999999E-2</v>
      </c>
      <c r="R3345">
        <v>-0.1981725</v>
      </c>
      <c r="S3345">
        <v>2.9244840000000001</v>
      </c>
      <c r="T3345">
        <v>-0.1368026</v>
      </c>
      <c r="U3345">
        <v>-0.70637510000000003</v>
      </c>
      <c r="V3345">
        <v>0.17191619999999999</v>
      </c>
      <c r="W3345">
        <v>4.30211E-2</v>
      </c>
      <c r="X3345">
        <v>0.98417169999999998</v>
      </c>
      <c r="Y3345">
        <v>0.20784150000000001</v>
      </c>
      <c r="Z3345">
        <v>-3.5263450000000002E-3</v>
      </c>
      <c r="AA3345">
        <v>0.97815609999999997</v>
      </c>
      <c r="AB3345">
        <v>49</v>
      </c>
      <c r="AC3345">
        <v>23.1111</v>
      </c>
      <c r="AD3345">
        <v>-1.1026164922802</v>
      </c>
      <c r="AE3345">
        <v>-5.6811999999999898</v>
      </c>
      <c r="AF3345">
        <v>5.0341422947690901</v>
      </c>
      <c r="AG3345">
        <v>-1.1026164922802</v>
      </c>
      <c r="AH3345">
        <v>23.2084611344577</v>
      </c>
      <c r="AI3345">
        <v>92.658308086087601</v>
      </c>
      <c r="AJ3345">
        <v>77.761572985295601</v>
      </c>
      <c r="AK3345">
        <v>23.773746444400899</v>
      </c>
      <c r="AL3345">
        <v>87.534311465463503</v>
      </c>
      <c r="AM3345">
        <v>80.091483861709804</v>
      </c>
      <c r="AN3345">
        <v>0.99999996497426902</v>
      </c>
    </row>
    <row r="3346" spans="1:40" x14ac:dyDescent="0.25">
      <c r="A3346" t="str">
        <f>"20190312151605055"</f>
        <v>20190312151605055</v>
      </c>
      <c r="B3346" t="str">
        <f>"1552374965050698"</f>
        <v>1552374965050698</v>
      </c>
      <c r="C3346" t="s">
        <v>40</v>
      </c>
      <c r="D3346">
        <v>4.4833319999999999</v>
      </c>
      <c r="E3346">
        <v>0.51435609999999998</v>
      </c>
      <c r="F3346" t="s">
        <v>51</v>
      </c>
      <c r="G3346">
        <v>-212.73750000000001</v>
      </c>
      <c r="H3346">
        <v>8.0000879999999996E-2</v>
      </c>
      <c r="I3346">
        <v>209.49619999999999</v>
      </c>
      <c r="J3346">
        <v>-236.07130000000001</v>
      </c>
      <c r="K3346">
        <v>1.102476</v>
      </c>
      <c r="L3346">
        <v>215.31739999999999</v>
      </c>
      <c r="M3346">
        <v>0.99937640000000005</v>
      </c>
      <c r="N3346">
        <v>0</v>
      </c>
      <c r="O3346">
        <v>-3.2759700000000003E-2</v>
      </c>
      <c r="P3346">
        <v>0.97880440000000002</v>
      </c>
      <c r="Q3346">
        <v>3.2612000000000002E-2</v>
      </c>
      <c r="R3346">
        <v>-0.20218359999999999</v>
      </c>
      <c r="S3346">
        <v>2.9217070000000001</v>
      </c>
      <c r="T3346">
        <v>-0.125496</v>
      </c>
      <c r="U3346">
        <v>-0.71632390000000001</v>
      </c>
      <c r="V3346">
        <v>0.17071929999999999</v>
      </c>
      <c r="W3346">
        <v>4.283911E-2</v>
      </c>
      <c r="X3346">
        <v>0.98438800000000004</v>
      </c>
      <c r="Y3346">
        <v>0.20602239999999999</v>
      </c>
      <c r="Z3346">
        <v>-2.9736020000000001E-3</v>
      </c>
      <c r="AA3346">
        <v>0.97854269999999999</v>
      </c>
      <c r="AB3346">
        <v>49</v>
      </c>
      <c r="AC3346">
        <v>23.3338</v>
      </c>
      <c r="AD3346">
        <v>-1.02247512</v>
      </c>
      <c r="AE3346">
        <v>-5.8212000000000002</v>
      </c>
      <c r="AF3346">
        <v>5.0444816915399304</v>
      </c>
      <c r="AG3346">
        <v>-1.02247512</v>
      </c>
      <c r="AH3346">
        <v>23.469566280616601</v>
      </c>
      <c r="AI3346">
        <v>92.438939095895293</v>
      </c>
      <c r="AJ3346">
        <v>77.869561802011802</v>
      </c>
      <c r="AK3346">
        <v>24.027334273854699</v>
      </c>
      <c r="AL3346">
        <v>87.544748436828499</v>
      </c>
      <c r="AM3346">
        <v>80.161234859331003</v>
      </c>
      <c r="AN3346">
        <v>1.00000000164104</v>
      </c>
    </row>
    <row r="3347" spans="1:40" x14ac:dyDescent="0.25">
      <c r="A3347" t="str">
        <f>"20190312151605077"</f>
        <v>20190312151605077</v>
      </c>
      <c r="B3347" t="str">
        <f>"1552374965071194"</f>
        <v>1552374965071194</v>
      </c>
      <c r="C3347" t="s">
        <v>40</v>
      </c>
      <c r="D3347">
        <v>4.6275209999999998</v>
      </c>
      <c r="E3347">
        <v>0.51423140000000001</v>
      </c>
      <c r="F3347" t="s">
        <v>50</v>
      </c>
      <c r="G3347">
        <v>-209.73490000000001</v>
      </c>
      <c r="H3347">
        <v>8.0000390000000005E-2</v>
      </c>
      <c r="I3347">
        <v>208.77250000000001</v>
      </c>
      <c r="J3347">
        <v>-235.5753</v>
      </c>
      <c r="K3347">
        <v>1.1023309999999999</v>
      </c>
      <c r="L3347">
        <v>215.298</v>
      </c>
      <c r="M3347">
        <v>0.99917389999999995</v>
      </c>
      <c r="N3347">
        <v>0</v>
      </c>
      <c r="O3347">
        <v>-3.839323E-2</v>
      </c>
      <c r="P3347">
        <v>0.97790440000000001</v>
      </c>
      <c r="Q3347">
        <v>3.184298E-2</v>
      </c>
      <c r="R3347">
        <v>-0.20661379999999999</v>
      </c>
      <c r="S3347">
        <v>2.9188999999999998</v>
      </c>
      <c r="T3347">
        <v>-0.1133224</v>
      </c>
      <c r="U3347">
        <v>-0.72537229999999997</v>
      </c>
      <c r="V3347">
        <v>0.16963139999999999</v>
      </c>
      <c r="W3347">
        <v>4.2167860000000001E-2</v>
      </c>
      <c r="X3347">
        <v>0.98460499999999995</v>
      </c>
      <c r="Y3347">
        <v>0.2036153</v>
      </c>
      <c r="Z3347">
        <v>-2.4260869999999999E-3</v>
      </c>
      <c r="AA3347">
        <v>0.97904800000000003</v>
      </c>
      <c r="AB3347">
        <v>49</v>
      </c>
      <c r="AC3347">
        <v>25.840399999999899</v>
      </c>
      <c r="AD3347">
        <v>-1.02233061</v>
      </c>
      <c r="AE3347">
        <v>-6.5254999999999903</v>
      </c>
      <c r="AF3347">
        <v>5.5203806961632802</v>
      </c>
      <c r="AG3347">
        <v>-1.02233061</v>
      </c>
      <c r="AH3347">
        <v>26.033595683085402</v>
      </c>
      <c r="AI3347">
        <v>92.199963994201696</v>
      </c>
      <c r="AJ3347">
        <v>78.027863212259405</v>
      </c>
      <c r="AK3347">
        <v>26.6320834163811</v>
      </c>
      <c r="AL3347">
        <v>87.583242947440496</v>
      </c>
      <c r="AM3347">
        <v>80.224831305697506</v>
      </c>
      <c r="AN3347">
        <v>0.99999997315396905</v>
      </c>
    </row>
    <row r="3348" spans="1:40" x14ac:dyDescent="0.25">
      <c r="A3348" t="str">
        <f>"20190312151605098"</f>
        <v>20190312151605098</v>
      </c>
      <c r="B3348" t="str">
        <f>"1552374965090715"</f>
        <v>1552374965090715</v>
      </c>
      <c r="C3348" t="s">
        <v>40</v>
      </c>
      <c r="D3348">
        <v>4.4717849999999997</v>
      </c>
      <c r="E3348">
        <v>0.51412690000000005</v>
      </c>
      <c r="F3348" t="s">
        <v>50</v>
      </c>
      <c r="G3348">
        <v>-208.5813</v>
      </c>
      <c r="H3348">
        <v>8.0000589999999996E-2</v>
      </c>
      <c r="I3348">
        <v>208.46860000000001</v>
      </c>
      <c r="J3348">
        <v>-235.0968</v>
      </c>
      <c r="K3348">
        <v>1.102217</v>
      </c>
      <c r="L3348">
        <v>215.27670000000001</v>
      </c>
      <c r="M3348">
        <v>0.998946</v>
      </c>
      <c r="N3348">
        <v>0</v>
      </c>
      <c r="O3348">
        <v>-4.3882999999999998E-2</v>
      </c>
      <c r="P3348">
        <v>0.9768327</v>
      </c>
      <c r="Q3348">
        <v>3.0226360000000001E-2</v>
      </c>
      <c r="R3348">
        <v>-0.21185989999999999</v>
      </c>
      <c r="S3348">
        <v>2.915543</v>
      </c>
      <c r="T3348">
        <v>-0.110419</v>
      </c>
      <c r="U3348">
        <v>-0.73762510000000003</v>
      </c>
      <c r="V3348">
        <v>0.169492899999999</v>
      </c>
      <c r="W3348">
        <v>4.0643770000000003E-2</v>
      </c>
      <c r="X3348">
        <v>0.98469300000000004</v>
      </c>
      <c r="Y3348">
        <v>0.20238039999999999</v>
      </c>
      <c r="Z3348">
        <v>-2.1384540000000001E-3</v>
      </c>
      <c r="AA3348">
        <v>0.97930459999999997</v>
      </c>
      <c r="AB3348">
        <v>49</v>
      </c>
      <c r="AC3348">
        <v>26.515499999999999</v>
      </c>
      <c r="AD3348">
        <v>-1.02221641</v>
      </c>
      <c r="AE3348">
        <v>-6.8080999999999898</v>
      </c>
      <c r="AF3348">
        <v>5.6300053366925402</v>
      </c>
      <c r="AG3348">
        <v>-1.02221641</v>
      </c>
      <c r="AH3348">
        <v>26.751439507674</v>
      </c>
      <c r="AI3348">
        <v>92.141436019560601</v>
      </c>
      <c r="AJ3348">
        <v>78.115190838904695</v>
      </c>
      <c r="AK3348">
        <v>27.356560496758402</v>
      </c>
      <c r="AL3348">
        <v>87.670641971672197</v>
      </c>
      <c r="AM3348">
        <v>80.233514783404502</v>
      </c>
      <c r="AN3348">
        <v>1.00000003171961</v>
      </c>
    </row>
    <row r="3349" spans="1:40" x14ac:dyDescent="0.25">
      <c r="A3349" t="str">
        <f>"20190312151605121"</f>
        <v>20190312151605121</v>
      </c>
      <c r="B3349" t="str">
        <f>"1552374965111210"</f>
        <v>1552374965111210</v>
      </c>
      <c r="C3349" t="s">
        <v>40</v>
      </c>
      <c r="D3349">
        <v>4.4861139999999997</v>
      </c>
      <c r="E3349">
        <v>0.51410529999999999</v>
      </c>
      <c r="F3349" t="s">
        <v>50</v>
      </c>
      <c r="G3349">
        <v>-208.7456</v>
      </c>
      <c r="H3349">
        <v>8.0000559999999998E-2</v>
      </c>
      <c r="I3349">
        <v>208.4684</v>
      </c>
      <c r="J3349">
        <v>-234.60910000000001</v>
      </c>
      <c r="K3349">
        <v>1.102112</v>
      </c>
      <c r="L3349">
        <v>215.25219999999999</v>
      </c>
      <c r="M3349">
        <v>0.99867980000000001</v>
      </c>
      <c r="N3349">
        <v>0</v>
      </c>
      <c r="O3349">
        <v>-4.9528210000000003E-2</v>
      </c>
      <c r="P3349">
        <v>0.9754775</v>
      </c>
      <c r="Q3349">
        <v>2.9700279999999999E-2</v>
      </c>
      <c r="R3349">
        <v>-0.21808520000000001</v>
      </c>
      <c r="S3349">
        <v>2.9115139999999999</v>
      </c>
      <c r="T3349">
        <v>-0.1129434</v>
      </c>
      <c r="U3349">
        <v>-0.75224299999999999</v>
      </c>
      <c r="V3349">
        <v>0.17021269999999999</v>
      </c>
      <c r="W3349">
        <v>4.0208290000000001E-2</v>
      </c>
      <c r="X3349">
        <v>0.98458670000000004</v>
      </c>
      <c r="Y3349">
        <v>0.20178170000000001</v>
      </c>
      <c r="Z3349">
        <v>-1.9629399999999998E-3</v>
      </c>
      <c r="AA3349">
        <v>0.97942850000000004</v>
      </c>
      <c r="AB3349">
        <v>49</v>
      </c>
      <c r="AC3349">
        <v>25.863499999999998</v>
      </c>
      <c r="AD3349">
        <v>-1.02211144</v>
      </c>
      <c r="AE3349">
        <v>-6.7837999999999798</v>
      </c>
      <c r="AF3349">
        <v>5.4863641201579103</v>
      </c>
      <c r="AG3349">
        <v>-1.02211144</v>
      </c>
      <c r="AH3349">
        <v>26.1295910934234</v>
      </c>
      <c r="AI3349">
        <v>92.192340662067494</v>
      </c>
      <c r="AJ3349">
        <v>78.142006028271098</v>
      </c>
      <c r="AK3349">
        <v>26.7189152804572</v>
      </c>
      <c r="AL3349">
        <v>87.695613523126099</v>
      </c>
      <c r="AM3349">
        <v>80.191804091675294</v>
      </c>
      <c r="AN3349">
        <v>1.00000001982145</v>
      </c>
    </row>
    <row r="3350" spans="1:40" x14ac:dyDescent="0.25">
      <c r="A3350" t="str">
        <f>"20190312151605145"</f>
        <v>20190312151605145</v>
      </c>
      <c r="B3350" t="str">
        <f>"1552374965141466"</f>
        <v>1552374965141466</v>
      </c>
      <c r="C3350" t="s">
        <v>40</v>
      </c>
      <c r="D3350">
        <v>4.4986009999999998</v>
      </c>
      <c r="E3350">
        <v>0.51390950000000002</v>
      </c>
      <c r="F3350" t="s">
        <v>50</v>
      </c>
      <c r="G3350">
        <v>-208.13579999999999</v>
      </c>
      <c r="H3350">
        <v>8.0000680000000005E-2</v>
      </c>
      <c r="I3350">
        <v>208.23320000000001</v>
      </c>
      <c r="J3350">
        <v>-234.1028</v>
      </c>
      <c r="K3350">
        <v>1.102023</v>
      </c>
      <c r="L3350">
        <v>215.22380000000001</v>
      </c>
      <c r="M3350">
        <v>0.99836650000000005</v>
      </c>
      <c r="N3350">
        <v>0</v>
      </c>
      <c r="O3350">
        <v>-5.5443909999999999E-2</v>
      </c>
      <c r="P3350">
        <v>0.973993</v>
      </c>
      <c r="Q3350">
        <v>3.030909E-2</v>
      </c>
      <c r="R3350">
        <v>-0.2245415</v>
      </c>
      <c r="S3350">
        <v>2.9065400000000001</v>
      </c>
      <c r="T3350">
        <v>-0.1122187</v>
      </c>
      <c r="U3350">
        <v>-0.77062989999999998</v>
      </c>
      <c r="V3350">
        <v>0.17092689999999999</v>
      </c>
      <c r="W3350">
        <v>4.0921529999999998E-2</v>
      </c>
      <c r="X3350">
        <v>0.98443349999999996</v>
      </c>
      <c r="Y3350">
        <v>0.20218820000000001</v>
      </c>
      <c r="Z3350">
        <v>-1.7363599999999999E-3</v>
      </c>
      <c r="AA3350">
        <v>0.97934509999999997</v>
      </c>
      <c r="AB3350">
        <v>49</v>
      </c>
      <c r="AC3350">
        <v>25.966999999999999</v>
      </c>
      <c r="AD3350">
        <v>-1.02202232</v>
      </c>
      <c r="AE3350">
        <v>-6.9905999999999997</v>
      </c>
      <c r="AF3350">
        <v>5.5320055329116</v>
      </c>
      <c r="AG3350">
        <v>-1.02202232</v>
      </c>
      <c r="AH3350">
        <v>26.276718790249401</v>
      </c>
      <c r="AI3350">
        <v>92.179641243621504</v>
      </c>
      <c r="AJ3350">
        <v>78.111206797924197</v>
      </c>
      <c r="AK3350">
        <v>26.872170831933001</v>
      </c>
      <c r="AL3350">
        <v>87.654714044856306</v>
      </c>
      <c r="AM3350">
        <v>80.149951209946195</v>
      </c>
      <c r="AN3350">
        <v>0.99999994634169898</v>
      </c>
    </row>
    <row r="3351" spans="1:40" x14ac:dyDescent="0.25">
      <c r="A3351" t="str">
        <f>"20190312151605167"</f>
        <v>20190312151605167</v>
      </c>
      <c r="B3351" t="str">
        <f>"1552374965161511"</f>
        <v>1552374965161511</v>
      </c>
      <c r="C3351" t="s">
        <v>40</v>
      </c>
      <c r="D3351">
        <v>4.4720700000000004</v>
      </c>
      <c r="E3351">
        <v>0.51380040000000005</v>
      </c>
      <c r="F3351" t="s">
        <v>50</v>
      </c>
      <c r="G3351">
        <v>-207.56440000000001</v>
      </c>
      <c r="H3351">
        <v>8.0000799999999997E-2</v>
      </c>
      <c r="I3351">
        <v>208.01599999999999</v>
      </c>
      <c r="J3351">
        <v>-233.61959999999999</v>
      </c>
      <c r="K3351">
        <v>1.1019380000000001</v>
      </c>
      <c r="L3351">
        <v>215.19399999999999</v>
      </c>
      <c r="M3351">
        <v>0.99803140000000001</v>
      </c>
      <c r="N3351">
        <v>0</v>
      </c>
      <c r="O3351">
        <v>-6.1145570000000003E-2</v>
      </c>
      <c r="P3351">
        <v>0.97259439999999997</v>
      </c>
      <c r="Q3351">
        <v>3.1784729999999997E-2</v>
      </c>
      <c r="R3351">
        <v>-0.23032620000000001</v>
      </c>
      <c r="S3351">
        <v>2.9018709999999999</v>
      </c>
      <c r="T3351">
        <v>-0.1117542</v>
      </c>
      <c r="U3351">
        <v>-0.78814700000000004</v>
      </c>
      <c r="V3351">
        <v>0.1711963</v>
      </c>
      <c r="W3351">
        <v>4.25023E-2</v>
      </c>
      <c r="X3351">
        <v>0.98431970000000002</v>
      </c>
      <c r="Y3351">
        <v>0.20250299999999999</v>
      </c>
      <c r="Z3351">
        <v>-1.5220639999999901E-3</v>
      </c>
      <c r="AA3351">
        <v>0.9792805</v>
      </c>
      <c r="AB3351">
        <v>49</v>
      </c>
      <c r="AC3351">
        <v>26.0551999999999</v>
      </c>
      <c r="AD3351">
        <v>-1.02193719999999</v>
      </c>
      <c r="AE3351">
        <v>-7.1780000000000204</v>
      </c>
      <c r="AF3351">
        <v>5.5632966273865199</v>
      </c>
      <c r="AG3351">
        <v>-1.02193719999999</v>
      </c>
      <c r="AH3351">
        <v>26.407624309525701</v>
      </c>
      <c r="AI3351">
        <v>92.168604663525898</v>
      </c>
      <c r="AJ3351">
        <v>78.1034540645704</v>
      </c>
      <c r="AK3351">
        <v>27.006614868918401</v>
      </c>
      <c r="AL3351">
        <v>87.564063683506106</v>
      </c>
      <c r="AM3351">
        <v>80.133613076923695</v>
      </c>
      <c r="AN3351">
        <v>0.99999994522353297</v>
      </c>
    </row>
    <row r="3352" spans="1:40" x14ac:dyDescent="0.25">
      <c r="A3352" t="str">
        <f>"20190312151605188"</f>
        <v>20190312151605188</v>
      </c>
      <c r="B3352" t="str">
        <f>"1552374965181031"</f>
        <v>1552374965181031</v>
      </c>
      <c r="C3352" t="s">
        <v>40</v>
      </c>
      <c r="D3352">
        <v>4.4787910000000002</v>
      </c>
      <c r="E3352">
        <v>0.51368829999999999</v>
      </c>
      <c r="F3352" t="s">
        <v>50</v>
      </c>
      <c r="G3352">
        <v>-207.2313</v>
      </c>
      <c r="H3352">
        <v>8.0000859999999993E-2</v>
      </c>
      <c r="I3352">
        <v>207.86259999999999</v>
      </c>
      <c r="J3352">
        <v>-233.14</v>
      </c>
      <c r="K3352">
        <v>1.1018559999999999</v>
      </c>
      <c r="L3352">
        <v>215.16149999999999</v>
      </c>
      <c r="M3352">
        <v>0.99766279999999996</v>
      </c>
      <c r="N3352">
        <v>0</v>
      </c>
      <c r="O3352">
        <v>-6.6859920000000003E-2</v>
      </c>
      <c r="P3352">
        <v>0.9712693</v>
      </c>
      <c r="Q3352">
        <v>3.2863959999999998E-2</v>
      </c>
      <c r="R3352">
        <v>-0.23570279999999999</v>
      </c>
      <c r="S3352">
        <v>2.897583</v>
      </c>
      <c r="T3352">
        <v>-0.11221440000000001</v>
      </c>
      <c r="U3352">
        <v>-0.80502320000000005</v>
      </c>
      <c r="V3352">
        <v>0.17103850000000001</v>
      </c>
      <c r="W3352">
        <v>4.3686610000000001E-2</v>
      </c>
      <c r="X3352">
        <v>0.98429540000000004</v>
      </c>
      <c r="Y3352">
        <v>0.20256730000000001</v>
      </c>
      <c r="Z3352">
        <v>-1.314815E-3</v>
      </c>
      <c r="AA3352">
        <v>0.97926749999999996</v>
      </c>
      <c r="AB3352">
        <v>49</v>
      </c>
      <c r="AC3352">
        <v>25.9086999999999</v>
      </c>
      <c r="AD3352">
        <v>-1.02185514</v>
      </c>
      <c r="AE3352">
        <v>-7.2988999999999997</v>
      </c>
      <c r="AF3352">
        <v>5.5421515424186598</v>
      </c>
      <c r="AG3352">
        <v>-1.02185514</v>
      </c>
      <c r="AH3352">
        <v>26.300862405412399</v>
      </c>
      <c r="AI3352">
        <v>92.177201988572804</v>
      </c>
      <c r="AJ3352">
        <v>78.100645523930893</v>
      </c>
      <c r="AK3352">
        <v>26.897862274067599</v>
      </c>
      <c r="AL3352">
        <v>87.496144905624007</v>
      </c>
      <c r="AM3352">
        <v>80.142290344444405</v>
      </c>
      <c r="AN3352">
        <v>1.00000006141834</v>
      </c>
    </row>
    <row r="3353" spans="1:40" x14ac:dyDescent="0.25">
      <c r="A3353" t="str">
        <f>"20190312151605211"</f>
        <v>20190312151605211</v>
      </c>
      <c r="B3353" t="str">
        <f>"1552374965201527"</f>
        <v>1552374965201527</v>
      </c>
      <c r="C3353" t="s">
        <v>40</v>
      </c>
      <c r="D3353">
        <v>4.6648569999999996</v>
      </c>
      <c r="E3353">
        <v>0.51359949999999999</v>
      </c>
      <c r="F3353" t="s">
        <v>50</v>
      </c>
      <c r="G3353">
        <v>-206.99</v>
      </c>
      <c r="H3353">
        <v>8.0000909999999995E-2</v>
      </c>
      <c r="I3353">
        <v>207.74270000000001</v>
      </c>
      <c r="J3353">
        <v>-232.65809999999999</v>
      </c>
      <c r="K3353">
        <v>1.10178</v>
      </c>
      <c r="L3353">
        <v>215.12610000000001</v>
      </c>
      <c r="M3353">
        <v>0.99725569999999997</v>
      </c>
      <c r="N3353">
        <v>0</v>
      </c>
      <c r="O3353">
        <v>-7.2657059999999996E-2</v>
      </c>
      <c r="P3353">
        <v>0.97002480000000002</v>
      </c>
      <c r="Q3353">
        <v>3.2929470000000002E-2</v>
      </c>
      <c r="R3353">
        <v>-0.24076510000000001</v>
      </c>
      <c r="S3353">
        <v>2.8933559999999998</v>
      </c>
      <c r="T3353">
        <v>-0.1130625</v>
      </c>
      <c r="U3353">
        <v>-0.82084659999999998</v>
      </c>
      <c r="V3353">
        <v>0.1704638</v>
      </c>
      <c r="W3353">
        <v>4.385621E-2</v>
      </c>
      <c r="X3353">
        <v>0.98438749999999997</v>
      </c>
      <c r="Y3353">
        <v>0.20221130000000001</v>
      </c>
      <c r="Z3353">
        <v>-1.0983270000000001E-3</v>
      </c>
      <c r="AA3353">
        <v>0.97934129999999997</v>
      </c>
      <c r="AB3353">
        <v>49</v>
      </c>
      <c r="AC3353">
        <v>25.6680999999999</v>
      </c>
      <c r="AD3353">
        <v>-1.0217790899999999</v>
      </c>
      <c r="AE3353">
        <v>-7.3833999999999902</v>
      </c>
      <c r="AF3353">
        <v>5.4906887211118596</v>
      </c>
      <c r="AG3353">
        <v>-1.0217790899999999</v>
      </c>
      <c r="AH3353">
        <v>26.098559356994699</v>
      </c>
      <c r="AI3353">
        <v>92.194048580521596</v>
      </c>
      <c r="AJ3353">
        <v>78.119214527146198</v>
      </c>
      <c r="AK3353">
        <v>26.689445397974801</v>
      </c>
      <c r="AL3353">
        <v>87.486418095916093</v>
      </c>
      <c r="AM3353">
        <v>80.175667618198403</v>
      </c>
      <c r="AN3353">
        <v>1.0000000122111199</v>
      </c>
    </row>
    <row r="3354" spans="1:40" x14ac:dyDescent="0.25">
      <c r="A3354" t="str">
        <f>"20190312151605234"</f>
        <v>20190312151605234</v>
      </c>
      <c r="B3354" t="str">
        <f>"1552374965230807"</f>
        <v>1552374965230807</v>
      </c>
      <c r="C3354" t="s">
        <v>40</v>
      </c>
      <c r="D3354">
        <v>4.5841699999999896</v>
      </c>
      <c r="E3354">
        <v>0.49605929999999998</v>
      </c>
      <c r="F3354" t="s">
        <v>50</v>
      </c>
      <c r="G3354">
        <v>-206.75919999999999</v>
      </c>
      <c r="H3354">
        <v>8.0000959999999996E-2</v>
      </c>
      <c r="I3354">
        <v>207.63900000000001</v>
      </c>
      <c r="J3354">
        <v>-232.16120000000001</v>
      </c>
      <c r="K3354">
        <v>1.101701</v>
      </c>
      <c r="L3354">
        <v>215.0866</v>
      </c>
      <c r="M3354">
        <v>0.99679629999999997</v>
      </c>
      <c r="N3354">
        <v>0</v>
      </c>
      <c r="O3354">
        <v>-7.8687649999999998E-2</v>
      </c>
      <c r="P3354">
        <v>0.96897469999999997</v>
      </c>
      <c r="Q3354">
        <v>3.1593040000000003E-2</v>
      </c>
      <c r="R3354">
        <v>-0.24513299999999999</v>
      </c>
      <c r="S3354">
        <v>2.8892519999999999</v>
      </c>
      <c r="T3354">
        <v>-0.11398850000000001</v>
      </c>
      <c r="U3354">
        <v>-0.83525090000000002</v>
      </c>
      <c r="V3354">
        <v>0.16892670000000001</v>
      </c>
      <c r="W3354">
        <v>4.263807E-2</v>
      </c>
      <c r="X3354">
        <v>0.98470590000000002</v>
      </c>
      <c r="Y3354">
        <v>0.20116819999999999</v>
      </c>
      <c r="Z3354">
        <v>-8.5670570000000005E-4</v>
      </c>
      <c r="AA3354">
        <v>0.97955630000000005</v>
      </c>
      <c r="AB3354">
        <v>49</v>
      </c>
      <c r="AC3354">
        <v>25.402000000000001</v>
      </c>
      <c r="AD3354">
        <v>-1.02170004</v>
      </c>
      <c r="AE3354">
        <v>-7.4475999999999898</v>
      </c>
      <c r="AF3354">
        <v>5.4174033618558202</v>
      </c>
      <c r="AG3354">
        <v>-1.02170004</v>
      </c>
      <c r="AH3354">
        <v>25.870775104897302</v>
      </c>
      <c r="AI3354">
        <v>92.213612123989407</v>
      </c>
      <c r="AJ3354">
        <v>78.173016523453398</v>
      </c>
      <c r="AK3354">
        <v>26.4516376560121</v>
      </c>
      <c r="AL3354">
        <v>87.556277642879806</v>
      </c>
      <c r="AM3354">
        <v>80.265640094011204</v>
      </c>
      <c r="AN3354">
        <v>0.99999997224051196</v>
      </c>
    </row>
    <row r="3355" spans="1:40" x14ac:dyDescent="0.25">
      <c r="A3355" t="str">
        <f>"20190312151605255"</f>
        <v>20190312151605255</v>
      </c>
      <c r="B3355" t="str">
        <f>"1552374965250923"</f>
        <v>1552374965250923</v>
      </c>
      <c r="C3355" t="s">
        <v>40</v>
      </c>
      <c r="D3355">
        <v>4.7848379999999997</v>
      </c>
      <c r="E3355">
        <v>0.49165370000000003</v>
      </c>
      <c r="F3355" t="s">
        <v>51</v>
      </c>
      <c r="G3355">
        <v>-214.23310000000001</v>
      </c>
      <c r="H3355" s="1">
        <v>8.8708799999999898E-7</v>
      </c>
      <c r="I3355">
        <v>210.6986</v>
      </c>
      <c r="J3355">
        <v>-231.68340000000001</v>
      </c>
      <c r="K3355">
        <v>1.1016330000000001</v>
      </c>
      <c r="L3355">
        <v>215.0455</v>
      </c>
      <c r="M3355">
        <v>0.99631610000000004</v>
      </c>
      <c r="N3355">
        <v>0</v>
      </c>
      <c r="O3355">
        <v>-8.453223E-2</v>
      </c>
      <c r="P3355">
        <v>0.9681573</v>
      </c>
      <c r="Q3355">
        <v>2.9676210000000001E-2</v>
      </c>
      <c r="R3355">
        <v>-0.24857789999999999</v>
      </c>
      <c r="S3355">
        <v>2.9210509999999998</v>
      </c>
      <c r="T3355">
        <v>-0.1795011</v>
      </c>
      <c r="U3355">
        <v>-0.71493530000000005</v>
      </c>
      <c r="V3355">
        <v>0.1666205</v>
      </c>
      <c r="W3355">
        <v>4.0845779999999998E-2</v>
      </c>
      <c r="X3355">
        <v>0.98517469999999996</v>
      </c>
      <c r="Y3355">
        <v>0.1546429</v>
      </c>
      <c r="Z3355">
        <v>4.1925349999999997E-4</v>
      </c>
      <c r="AA3355">
        <v>0.98797040000000003</v>
      </c>
      <c r="AB3355">
        <v>48</v>
      </c>
      <c r="AC3355">
        <v>17.450299999999999</v>
      </c>
      <c r="AD3355">
        <v>-1.1016321129119999</v>
      </c>
      <c r="AE3355">
        <v>-4.3468999999999998</v>
      </c>
      <c r="AF3355">
        <v>2.8453941203575601</v>
      </c>
      <c r="AG3355">
        <v>-1.1016321129119999</v>
      </c>
      <c r="AH3355">
        <v>17.688941443674899</v>
      </c>
      <c r="AI3355">
        <v>93.518549948997901</v>
      </c>
      <c r="AJ3355">
        <v>80.861839814790898</v>
      </c>
      <c r="AK3355">
        <v>17.950167420114099</v>
      </c>
      <c r="AL3355">
        <v>87.659057908995607</v>
      </c>
      <c r="AM3355">
        <v>80.400527407811595</v>
      </c>
      <c r="AN3355">
        <v>0.99999997914207395</v>
      </c>
    </row>
    <row r="3356" spans="1:40" x14ac:dyDescent="0.25">
      <c r="A3356" t="str">
        <f>"20190312151605278"</f>
        <v>20190312151605278</v>
      </c>
      <c r="B3356" t="str">
        <f>"1552374965271419"</f>
        <v>1552374965271419</v>
      </c>
      <c r="C3356" t="s">
        <v>40</v>
      </c>
      <c r="D3356">
        <v>4.7271380000000001</v>
      </c>
      <c r="E3356">
        <v>0.4895814</v>
      </c>
      <c r="F3356" t="s">
        <v>51</v>
      </c>
      <c r="G3356">
        <v>-215.12379999999999</v>
      </c>
      <c r="H3356" s="1">
        <v>1.3422320000000001E-6</v>
      </c>
      <c r="I3356">
        <v>211.1302</v>
      </c>
      <c r="J3356">
        <v>-231.20740000000001</v>
      </c>
      <c r="K3356">
        <v>1.1015779999999999</v>
      </c>
      <c r="L3356">
        <v>215.0018</v>
      </c>
      <c r="M3356">
        <v>0.99580029999999997</v>
      </c>
      <c r="N3356">
        <v>0</v>
      </c>
      <c r="O3356">
        <v>-9.0390090000000006E-2</v>
      </c>
      <c r="P3356">
        <v>0.96710799999999997</v>
      </c>
      <c r="Q3356">
        <v>2.816519E-2</v>
      </c>
      <c r="R3356">
        <v>-0.25280209999999997</v>
      </c>
      <c r="S3356">
        <v>2.926971</v>
      </c>
      <c r="T3356">
        <v>-0.19471740000000001</v>
      </c>
      <c r="U3356">
        <v>-0.69204709999999903</v>
      </c>
      <c r="V3356">
        <v>0.16510150000000001</v>
      </c>
      <c r="W3356">
        <v>3.9435480000000002E-2</v>
      </c>
      <c r="X3356">
        <v>0.98548789999999997</v>
      </c>
      <c r="Y3356">
        <v>0.1410719</v>
      </c>
      <c r="Z3356">
        <v>1.2804839999999999E-3</v>
      </c>
      <c r="AA3356">
        <v>0.9899985</v>
      </c>
      <c r="AB3356">
        <v>48</v>
      </c>
      <c r="AC3356">
        <v>16.083600000000001</v>
      </c>
      <c r="AD3356">
        <v>-1.101576657768</v>
      </c>
      <c r="AE3356">
        <v>-3.8715999999999999</v>
      </c>
      <c r="AF3356">
        <v>2.39119361055061</v>
      </c>
      <c r="AG3356">
        <v>-1.101576657768</v>
      </c>
      <c r="AH3356">
        <v>16.2954832151818</v>
      </c>
      <c r="AI3356">
        <v>93.8264643147686</v>
      </c>
      <c r="AJ3356">
        <v>81.652014511140706</v>
      </c>
      <c r="AK3356">
        <v>16.5067880349979</v>
      </c>
      <c r="AL3356">
        <v>87.739927451663405</v>
      </c>
      <c r="AM3356">
        <v>80.489402709400906</v>
      </c>
      <c r="AN3356">
        <v>1.00000003171574</v>
      </c>
    </row>
    <row r="3357" spans="1:40" x14ac:dyDescent="0.25">
      <c r="A3357" t="str">
        <f>"20190312151605299"</f>
        <v>20190312151605299</v>
      </c>
      <c r="B3357" t="str">
        <f>"1552374965290939"</f>
        <v>1552374965290939</v>
      </c>
      <c r="C3357" t="s">
        <v>40</v>
      </c>
      <c r="D3357">
        <v>4.4405060000000001</v>
      </c>
      <c r="E3357">
        <v>0.4886585</v>
      </c>
      <c r="F3357" t="s">
        <v>41</v>
      </c>
      <c r="G3357">
        <v>-230.1645</v>
      </c>
      <c r="H3357">
        <v>1.029927</v>
      </c>
      <c r="I3357">
        <v>214.75630000000001</v>
      </c>
      <c r="J3357">
        <v>-230.7253</v>
      </c>
      <c r="K3357">
        <v>1.1015349999999999</v>
      </c>
      <c r="L3357">
        <v>214.9547</v>
      </c>
      <c r="M3357">
        <v>0.99524009999999996</v>
      </c>
      <c r="N3357">
        <v>0</v>
      </c>
      <c r="O3357">
        <v>-9.6350649999999996E-2</v>
      </c>
      <c r="P3357">
        <v>0.96609310000000004</v>
      </c>
      <c r="Q3357">
        <v>2.7695170000000002E-2</v>
      </c>
      <c r="R3357">
        <v>-0.256704299999999</v>
      </c>
      <c r="S3357">
        <v>2.927765</v>
      </c>
      <c r="T3357">
        <v>-0.201098</v>
      </c>
      <c r="U3357">
        <v>-0.68913269999999904</v>
      </c>
      <c r="V3357">
        <v>0.16317390000000001</v>
      </c>
      <c r="W3357">
        <v>3.9069550000000001E-2</v>
      </c>
      <c r="X3357">
        <v>0.98582349999999996</v>
      </c>
      <c r="Y3357">
        <v>0.13416879999999901</v>
      </c>
      <c r="Z3357">
        <v>1.95582E-3</v>
      </c>
      <c r="AA3357">
        <v>0.99095650000000002</v>
      </c>
      <c r="AB3357">
        <v>48</v>
      </c>
      <c r="AC3357">
        <v>0.56079999999999997</v>
      </c>
      <c r="AD3357">
        <v>-7.1607999999999894E-2</v>
      </c>
      <c r="AE3357">
        <v>-0.198399999999992</v>
      </c>
      <c r="AF3357">
        <v>0.14138868190387999</v>
      </c>
      <c r="AG3357">
        <v>-7.1607999999999894E-2</v>
      </c>
      <c r="AH3357">
        <v>0.56906213442704801</v>
      </c>
      <c r="AI3357">
        <v>96.962606922501493</v>
      </c>
      <c r="AJ3357">
        <v>76.046878790747996</v>
      </c>
      <c r="AK3357">
        <v>0.59072005033957098</v>
      </c>
      <c r="AL3357">
        <v>87.760909934813597</v>
      </c>
      <c r="AM3357">
        <v>80.601590857117003</v>
      </c>
      <c r="AN3357">
        <v>1.00000006226532</v>
      </c>
    </row>
    <row r="3358" spans="1:40" x14ac:dyDescent="0.25">
      <c r="A3358" t="str">
        <f>"20190312151605318"</f>
        <v>20190312151605318</v>
      </c>
      <c r="B3358" t="str">
        <f>"1552374965311436"</f>
        <v>1552374965311436</v>
      </c>
      <c r="C3358" t="s">
        <v>40</v>
      </c>
      <c r="D3358">
        <v>4.447203</v>
      </c>
      <c r="E3358">
        <v>0.48790309999999998</v>
      </c>
      <c r="F3358" t="s">
        <v>41</v>
      </c>
      <c r="G3358">
        <v>-229.732</v>
      </c>
      <c r="H3358">
        <v>1.032354</v>
      </c>
      <c r="I3358">
        <v>214.71899999999999</v>
      </c>
      <c r="J3358">
        <v>-230.32060000000001</v>
      </c>
      <c r="K3358">
        <v>1.101507</v>
      </c>
      <c r="L3358">
        <v>214.91290000000001</v>
      </c>
      <c r="M3358">
        <v>0.99474019999999996</v>
      </c>
      <c r="N3358">
        <v>0</v>
      </c>
      <c r="O3358">
        <v>-0.10137309999999999</v>
      </c>
      <c r="P3358">
        <v>0.9650782</v>
      </c>
      <c r="Q3358">
        <v>2.749739E-2</v>
      </c>
      <c r="R3358">
        <v>-0.2605151</v>
      </c>
      <c r="S3358">
        <v>2.926682</v>
      </c>
      <c r="T3358">
        <v>-0.20377419999999999</v>
      </c>
      <c r="U3358">
        <v>-0.69413760000000002</v>
      </c>
      <c r="V3358">
        <v>0.1620877</v>
      </c>
      <c r="W3358">
        <v>3.89428E-2</v>
      </c>
      <c r="X3358">
        <v>0.98600759999999998</v>
      </c>
      <c r="Y3358">
        <v>0.1308694</v>
      </c>
      <c r="Z3358">
        <v>2.4364460000000001E-3</v>
      </c>
      <c r="AA3358">
        <v>0.99139659999999996</v>
      </c>
      <c r="AB3358">
        <v>48</v>
      </c>
      <c r="AC3358">
        <v>0.588600000000013</v>
      </c>
      <c r="AD3358">
        <v>-6.9153000000000006E-2</v>
      </c>
      <c r="AE3358">
        <v>-0.193899999999985</v>
      </c>
      <c r="AF3358">
        <v>0.13158774485262101</v>
      </c>
      <c r="AG3358">
        <v>-6.9153000000000006E-2</v>
      </c>
      <c r="AH3358">
        <v>0.59778196779580395</v>
      </c>
      <c r="AI3358">
        <v>96.445819804809105</v>
      </c>
      <c r="AJ3358">
        <v>77.585659886498306</v>
      </c>
      <c r="AK3358">
        <v>0.61598762408527497</v>
      </c>
      <c r="AL3358">
        <v>87.768177512140497</v>
      </c>
      <c r="AM3358">
        <v>80.664760568400794</v>
      </c>
      <c r="AN3358">
        <v>0.99999997571044397</v>
      </c>
    </row>
    <row r="3359" spans="1:40" x14ac:dyDescent="0.25">
      <c r="A3359" t="str">
        <f>"20190312151605333"</f>
        <v>20190312151605333</v>
      </c>
      <c r="B3359" t="str">
        <f>"1552374965321195"</f>
        <v>1552374965321195</v>
      </c>
      <c r="C3359" t="s">
        <v>40</v>
      </c>
      <c r="D3359">
        <v>4.6005260000000003</v>
      </c>
      <c r="E3359">
        <v>0.48769449999999998</v>
      </c>
      <c r="F3359" t="s">
        <v>41</v>
      </c>
      <c r="G3359">
        <v>-229.30600000000001</v>
      </c>
      <c r="H3359">
        <v>1.0271159999999999</v>
      </c>
      <c r="I3359">
        <v>214.66990000000001</v>
      </c>
      <c r="J3359">
        <v>-229.99789999999999</v>
      </c>
      <c r="K3359">
        <v>1.1014839999999999</v>
      </c>
      <c r="L3359">
        <v>214.8783</v>
      </c>
      <c r="M3359">
        <v>0.99432240000000005</v>
      </c>
      <c r="N3359">
        <v>0</v>
      </c>
      <c r="O3359">
        <v>-0.1053861</v>
      </c>
      <c r="P3359">
        <v>0.96465619999999996</v>
      </c>
      <c r="Q3359">
        <v>2.7380970000000001E-2</v>
      </c>
      <c r="R3359">
        <v>-0.26208559999999997</v>
      </c>
      <c r="S3359">
        <v>2.9256289999999998</v>
      </c>
      <c r="T3359">
        <v>-0.2144895</v>
      </c>
      <c r="U3359">
        <v>-0.70028690000000005</v>
      </c>
      <c r="V3359">
        <v>0.15971270000000001</v>
      </c>
      <c r="W3359">
        <v>3.8911830000000001E-2</v>
      </c>
      <c r="X3359">
        <v>0.9863963</v>
      </c>
      <c r="Y3359">
        <v>0.1289283</v>
      </c>
      <c r="Z3359">
        <v>2.9212610000000001E-3</v>
      </c>
      <c r="AA3359">
        <v>0.99164960000000002</v>
      </c>
      <c r="AB3359">
        <v>48</v>
      </c>
      <c r="AC3359">
        <v>0.69190000000000396</v>
      </c>
      <c r="AD3359">
        <v>-7.4367999999999906E-2</v>
      </c>
      <c r="AE3359">
        <v>-0.20839999999998299</v>
      </c>
      <c r="AF3359">
        <v>0.132906971094087</v>
      </c>
      <c r="AG3359">
        <v>-7.4367999999999906E-2</v>
      </c>
      <c r="AH3359">
        <v>0.70256956709463103</v>
      </c>
      <c r="AI3359">
        <v>95.937800884401497</v>
      </c>
      <c r="AJ3359">
        <v>79.287789948363596</v>
      </c>
      <c r="AK3359">
        <v>0.71888723663516396</v>
      </c>
      <c r="AL3359">
        <v>87.769953293152398</v>
      </c>
      <c r="AM3359">
        <v>80.802753074154495</v>
      </c>
      <c r="AN3359">
        <v>0.99999996885446396</v>
      </c>
    </row>
    <row r="3360" spans="1:40" x14ac:dyDescent="0.25">
      <c r="A3360" t="str">
        <f>"20190312151605357"</f>
        <v>20190312151605357</v>
      </c>
      <c r="B3360" t="str">
        <f>"1552374965350579"</f>
        <v>1552374965350579</v>
      </c>
      <c r="C3360" t="s">
        <v>40</v>
      </c>
      <c r="D3360">
        <v>4.4634580000000001</v>
      </c>
      <c r="E3360">
        <v>0.48718899999999998</v>
      </c>
      <c r="F3360" t="s">
        <v>41</v>
      </c>
      <c r="G3360">
        <v>-228.881</v>
      </c>
      <c r="H3360">
        <v>1.0200340000000001</v>
      </c>
      <c r="I3360">
        <v>214.6095</v>
      </c>
      <c r="J3360">
        <v>-229.50139999999999</v>
      </c>
      <c r="K3360">
        <v>1.101461</v>
      </c>
      <c r="L3360">
        <v>214.822</v>
      </c>
      <c r="M3360">
        <v>0.99364629999999998</v>
      </c>
      <c r="N3360">
        <v>0</v>
      </c>
      <c r="O3360">
        <v>-0.1115737</v>
      </c>
      <c r="P3360">
        <v>0.96361640000000004</v>
      </c>
      <c r="Q3360">
        <v>2.695707E-2</v>
      </c>
      <c r="R3360">
        <v>-0.26592710000000003</v>
      </c>
      <c r="S3360">
        <v>2.92482</v>
      </c>
      <c r="T3360">
        <v>-0.2133031</v>
      </c>
      <c r="U3360">
        <v>-0.70355219999999996</v>
      </c>
      <c r="V3360">
        <v>0.15749540000000001</v>
      </c>
      <c r="W3360">
        <v>3.8583069999999997E-2</v>
      </c>
      <c r="X3360">
        <v>0.98676569999999997</v>
      </c>
      <c r="Y3360">
        <v>0.123891</v>
      </c>
      <c r="Z3360">
        <v>3.5258939999999999E-3</v>
      </c>
      <c r="AA3360">
        <v>0.99228950000000005</v>
      </c>
      <c r="AB3360">
        <v>48</v>
      </c>
      <c r="AC3360">
        <v>0.62040000000001705</v>
      </c>
      <c r="AD3360">
        <v>-8.1426999999999902E-2</v>
      </c>
      <c r="AE3360">
        <v>-0.21250000000000499</v>
      </c>
      <c r="AF3360">
        <v>0.13978979550520099</v>
      </c>
      <c r="AG3360">
        <v>-8.1426999999999902E-2</v>
      </c>
      <c r="AH3360">
        <v>0.63051645273155099</v>
      </c>
      <c r="AI3360">
        <v>97.1860373325935</v>
      </c>
      <c r="AJ3360">
        <v>77.499336257301493</v>
      </c>
      <c r="AK3360">
        <v>0.65093973639774405</v>
      </c>
      <c r="AL3360">
        <v>87.788804080534405</v>
      </c>
      <c r="AM3360">
        <v>80.931640718133593</v>
      </c>
      <c r="AN3360">
        <v>1.0000000005041301</v>
      </c>
    </row>
    <row r="3361" spans="1:40" x14ac:dyDescent="0.25">
      <c r="A3361" t="str">
        <f>"20190312151605379"</f>
        <v>20190312151605379</v>
      </c>
      <c r="B3361" t="str">
        <f>"1552374965371075"</f>
        <v>1552374965371075</v>
      </c>
      <c r="C3361" t="s">
        <v>40</v>
      </c>
      <c r="D3361">
        <v>4.4798609999999996</v>
      </c>
      <c r="E3361">
        <v>0.48696060000000002</v>
      </c>
      <c r="F3361" t="s">
        <v>41</v>
      </c>
      <c r="G3361">
        <v>-228.44829999999999</v>
      </c>
      <c r="H3361">
        <v>1.0247440000000001</v>
      </c>
      <c r="I3361">
        <v>214.56549999999999</v>
      </c>
      <c r="J3361">
        <v>-229.01609999999999</v>
      </c>
      <c r="K3361">
        <v>1.1014469999999901</v>
      </c>
      <c r="L3361">
        <v>214.76400000000001</v>
      </c>
      <c r="M3361">
        <v>0.99294709999999997</v>
      </c>
      <c r="N3361">
        <v>0</v>
      </c>
      <c r="O3361">
        <v>-0.1176277</v>
      </c>
      <c r="P3361">
        <v>0.96251209999999998</v>
      </c>
      <c r="Q3361">
        <v>2.7418689999999999E-2</v>
      </c>
      <c r="R3361">
        <v>-0.26984960000000002</v>
      </c>
      <c r="S3361">
        <v>2.9229280000000002</v>
      </c>
      <c r="T3361">
        <v>-0.2129074</v>
      </c>
      <c r="U3361">
        <v>-0.71134949999999997</v>
      </c>
      <c r="V3361">
        <v>0.1555124</v>
      </c>
      <c r="W3361">
        <v>3.9127679999999998E-2</v>
      </c>
      <c r="X3361">
        <v>0.98705869999999996</v>
      </c>
      <c r="Y3361">
        <v>0.12051240000000001</v>
      </c>
      <c r="Z3361">
        <v>4.0703429999999997E-3</v>
      </c>
      <c r="AA3361">
        <v>0.99270349999999996</v>
      </c>
      <c r="AB3361">
        <v>48</v>
      </c>
      <c r="AC3361">
        <v>0.56780000000000497</v>
      </c>
      <c r="AD3361">
        <v>-7.6702999999999702E-2</v>
      </c>
      <c r="AE3361">
        <v>-0.19850000000002399</v>
      </c>
      <c r="AF3361">
        <v>0.12823995573324901</v>
      </c>
      <c r="AG3361">
        <v>-7.6702999999999702E-2</v>
      </c>
      <c r="AH3361">
        <v>0.57781296150624295</v>
      </c>
      <c r="AI3361">
        <v>97.384020983544602</v>
      </c>
      <c r="AJ3361">
        <v>77.486588508274806</v>
      </c>
      <c r="AK3361">
        <v>0.59682213006898599</v>
      </c>
      <c r="AL3361">
        <v>87.757576597154795</v>
      </c>
      <c r="AM3361">
        <v>81.046572184631501</v>
      </c>
      <c r="AN3361">
        <v>0.99999997957081599</v>
      </c>
    </row>
    <row r="3362" spans="1:40" x14ac:dyDescent="0.25">
      <c r="A3362" t="str">
        <f>"20190312151605401"</f>
        <v>20190312151605401</v>
      </c>
      <c r="B3362" t="str">
        <f>"1552374965391571"</f>
        <v>1552374965391571</v>
      </c>
      <c r="C3362" t="s">
        <v>40</v>
      </c>
      <c r="D3362">
        <v>4.4850830000000004</v>
      </c>
      <c r="E3362">
        <v>0.486736</v>
      </c>
      <c r="F3362" t="s">
        <v>41</v>
      </c>
      <c r="G3362">
        <v>-228.01660000000001</v>
      </c>
      <c r="H3362">
        <v>1.02915</v>
      </c>
      <c r="I3362">
        <v>214.517</v>
      </c>
      <c r="J3362">
        <v>-228.55609999999999</v>
      </c>
      <c r="K3362">
        <v>1.101434</v>
      </c>
      <c r="L3362">
        <v>214.7064</v>
      </c>
      <c r="M3362">
        <v>0.99224959999999995</v>
      </c>
      <c r="N3362">
        <v>0</v>
      </c>
      <c r="O3362">
        <v>-0.12336759999999999</v>
      </c>
      <c r="P3362">
        <v>0.96133020000000002</v>
      </c>
      <c r="Q3362">
        <v>2.7987399999999999E-2</v>
      </c>
      <c r="R3362">
        <v>-0.27397339999999998</v>
      </c>
      <c r="S3362">
        <v>2.9205930000000002</v>
      </c>
      <c r="T3362">
        <v>-0.21121809999999999</v>
      </c>
      <c r="U3362">
        <v>-0.7214661</v>
      </c>
      <c r="V3362">
        <v>0.15404989999999999</v>
      </c>
      <c r="W3362">
        <v>3.9762329999999999E-2</v>
      </c>
      <c r="X3362">
        <v>0.98726270000000005</v>
      </c>
      <c r="Y3362">
        <v>0.1182168</v>
      </c>
      <c r="Z3362">
        <v>4.5241639999999998E-3</v>
      </c>
      <c r="AA3362">
        <v>0.99297749999999996</v>
      </c>
      <c r="AB3362">
        <v>48</v>
      </c>
      <c r="AC3362">
        <v>0.539499999999975</v>
      </c>
      <c r="AD3362">
        <v>-7.2284000000000001E-2</v>
      </c>
      <c r="AE3362">
        <v>-0.18940000000000601</v>
      </c>
      <c r="AF3362">
        <v>0.119479184064561</v>
      </c>
      <c r="AG3362">
        <v>-7.2284000000000001E-2</v>
      </c>
      <c r="AH3362">
        <v>0.54995696333086497</v>
      </c>
      <c r="AI3362">
        <v>97.318976926081604</v>
      </c>
      <c r="AJ3362">
        <v>77.742854444703497</v>
      </c>
      <c r="AK3362">
        <v>0.56740894740640102</v>
      </c>
      <c r="AL3362">
        <v>87.721185615148798</v>
      </c>
      <c r="AM3362">
        <v>81.131232288733599</v>
      </c>
      <c r="AN3362">
        <v>1.00000002669416</v>
      </c>
    </row>
    <row r="3363" spans="1:40" x14ac:dyDescent="0.25">
      <c r="A3363" t="str">
        <f>"20190312151605422"</f>
        <v>20190312151605422</v>
      </c>
      <c r="B3363" t="str">
        <f>"1552374965411091"</f>
        <v>1552374965411091</v>
      </c>
      <c r="C3363" t="s">
        <v>40</v>
      </c>
      <c r="D3363">
        <v>4.4525139999999999</v>
      </c>
      <c r="E3363">
        <v>0.48644680000000001</v>
      </c>
      <c r="F3363" t="s">
        <v>41</v>
      </c>
      <c r="G3363">
        <v>-227.58619999999999</v>
      </c>
      <c r="H3363">
        <v>1.0320320000000001</v>
      </c>
      <c r="I3363">
        <v>214.46289999999999</v>
      </c>
      <c r="J3363">
        <v>-228.07259999999999</v>
      </c>
      <c r="K3363">
        <v>1.101429</v>
      </c>
      <c r="L3363">
        <v>214.64279999999999</v>
      </c>
      <c r="M3363">
        <v>0.99148150000000002</v>
      </c>
      <c r="N3363">
        <v>0</v>
      </c>
      <c r="O3363">
        <v>-0.12939310000000001</v>
      </c>
      <c r="P3363">
        <v>0.95993580000000001</v>
      </c>
      <c r="Q3363">
        <v>2.791219E-2</v>
      </c>
      <c r="R3363">
        <v>-0.27882679999999999</v>
      </c>
      <c r="S3363">
        <v>2.9181520000000001</v>
      </c>
      <c r="T3363">
        <v>-0.2087803</v>
      </c>
      <c r="U3363">
        <v>-0.73197939999999995</v>
      </c>
      <c r="V3363">
        <v>0.15303949999999999</v>
      </c>
      <c r="W3363">
        <v>3.974184E-2</v>
      </c>
      <c r="X3363">
        <v>0.98742059999999998</v>
      </c>
      <c r="Y3363">
        <v>0.1157658</v>
      </c>
      <c r="Z3363">
        <v>4.9777559999999998E-3</v>
      </c>
      <c r="AA3363">
        <v>0.99326409999999998</v>
      </c>
      <c r="AB3363">
        <v>48</v>
      </c>
      <c r="AC3363">
        <v>0.486400000000003</v>
      </c>
      <c r="AD3363">
        <v>-6.9396999999999903E-2</v>
      </c>
      <c r="AE3363">
        <v>-0.179900000000003</v>
      </c>
      <c r="AF3363">
        <v>0.113412696721058</v>
      </c>
      <c r="AG3363">
        <v>-6.9396999999999903E-2</v>
      </c>
      <c r="AH3363">
        <v>0.49669639831433698</v>
      </c>
      <c r="AI3363">
        <v>97.756606085102106</v>
      </c>
      <c r="AJ3363">
        <v>77.137924992244095</v>
      </c>
      <c r="AK3363">
        <v>0.51418449557039103</v>
      </c>
      <c r="AL3363">
        <v>87.7223604093586</v>
      </c>
      <c r="AM3363">
        <v>81.189872926872496</v>
      </c>
      <c r="AN3363">
        <v>0.99999997185559697</v>
      </c>
    </row>
    <row r="3364" spans="1:40" x14ac:dyDescent="0.25">
      <c r="A3364" t="str">
        <f>"20190312151605445"</f>
        <v>20190312151605445</v>
      </c>
      <c r="B3364" t="str">
        <f>"1552374965441347"</f>
        <v>1552374965441347</v>
      </c>
      <c r="C3364" t="s">
        <v>40</v>
      </c>
      <c r="D3364">
        <v>4.4904080000000004</v>
      </c>
      <c r="E3364">
        <v>0.48623830000000001</v>
      </c>
      <c r="F3364" t="s">
        <v>41</v>
      </c>
      <c r="G3364">
        <v>-227.15639999999999</v>
      </c>
      <c r="H3364">
        <v>1.0342439999999999</v>
      </c>
      <c r="I3364">
        <v>214.40860000000001</v>
      </c>
      <c r="J3364">
        <v>-227.6046</v>
      </c>
      <c r="K3364">
        <v>1.101432</v>
      </c>
      <c r="L3364">
        <v>214.57849999999999</v>
      </c>
      <c r="M3364">
        <v>0.99070499999999995</v>
      </c>
      <c r="N3364">
        <v>0</v>
      </c>
      <c r="O3364">
        <v>-0.13520570000000001</v>
      </c>
      <c r="P3364">
        <v>0.95859810000000001</v>
      </c>
      <c r="Q3364">
        <v>2.7812759999999999E-2</v>
      </c>
      <c r="R3364">
        <v>-0.28340100000000001</v>
      </c>
      <c r="S3364">
        <v>2.9150849999999999</v>
      </c>
      <c r="T3364">
        <v>-0.213781</v>
      </c>
      <c r="U3364">
        <v>-0.74479680000000004</v>
      </c>
      <c r="V3364">
        <v>0.15195429999999999</v>
      </c>
      <c r="W3364">
        <v>3.9697049999999998E-2</v>
      </c>
      <c r="X3364">
        <v>0.98758999999999997</v>
      </c>
      <c r="Y3364">
        <v>0.11431040000000001</v>
      </c>
      <c r="Z3364">
        <v>5.5637819999999998E-3</v>
      </c>
      <c r="AA3364">
        <v>0.99342949999999997</v>
      </c>
      <c r="AB3364">
        <v>48</v>
      </c>
      <c r="AC3364">
        <v>0.44820000000001398</v>
      </c>
      <c r="AD3364">
        <v>-6.7187999999999998E-2</v>
      </c>
      <c r="AE3364">
        <v>-0.16989999999998401</v>
      </c>
      <c r="AF3364">
        <v>0.10565758617648401</v>
      </c>
      <c r="AG3364">
        <v>-6.7187999999999998E-2</v>
      </c>
      <c r="AH3364">
        <v>0.45805737554668802</v>
      </c>
      <c r="AI3364">
        <v>98.134040815190104</v>
      </c>
      <c r="AJ3364">
        <v>77.011079299384903</v>
      </c>
      <c r="AK3364">
        <v>0.47486241391940098</v>
      </c>
      <c r="AL3364">
        <v>87.724928747642906</v>
      </c>
      <c r="AM3364">
        <v>81.252852914223595</v>
      </c>
      <c r="AN3364">
        <v>0.99999998658359601</v>
      </c>
    </row>
    <row r="3365" spans="1:40" x14ac:dyDescent="0.25">
      <c r="A3365" t="str">
        <f>"20190312151605467"</f>
        <v>20190312151605467</v>
      </c>
      <c r="B3365" t="str">
        <f>"1552374965460871"</f>
        <v>1552374965460871</v>
      </c>
      <c r="C3365" t="s">
        <v>40</v>
      </c>
      <c r="D3365">
        <v>4.430396</v>
      </c>
      <c r="E3365">
        <v>0.4860873</v>
      </c>
      <c r="F3365" t="s">
        <v>41</v>
      </c>
      <c r="G3365">
        <v>-226.727</v>
      </c>
      <c r="H3365">
        <v>1.0368630000000001</v>
      </c>
      <c r="I3365">
        <v>214.35</v>
      </c>
      <c r="J3365">
        <v>-227.1275</v>
      </c>
      <c r="K3365">
        <v>1.101445</v>
      </c>
      <c r="L3365">
        <v>214.51009999999999</v>
      </c>
      <c r="M3365">
        <v>0.98988310000000002</v>
      </c>
      <c r="N3365">
        <v>0</v>
      </c>
      <c r="O3365">
        <v>-0.14109549999999901</v>
      </c>
      <c r="P3365">
        <v>0.9572098</v>
      </c>
      <c r="Q3365">
        <v>2.8047240000000001E-2</v>
      </c>
      <c r="R3365">
        <v>-0.2880335</v>
      </c>
      <c r="S3365">
        <v>2.9118189999999999</v>
      </c>
      <c r="T3365">
        <v>-0.21428449999999999</v>
      </c>
      <c r="U3365">
        <v>-0.75741579999999997</v>
      </c>
      <c r="V3365">
        <v>0.15085989999999999</v>
      </c>
      <c r="W3365">
        <v>3.9985779999999999E-2</v>
      </c>
      <c r="X3365">
        <v>0.98774609999999996</v>
      </c>
      <c r="Y3365">
        <v>0.1127242</v>
      </c>
      <c r="Z3365">
        <v>6.0555979999999997E-3</v>
      </c>
      <c r="AA3365">
        <v>0.99360789999999999</v>
      </c>
      <c r="AB3365">
        <v>48</v>
      </c>
      <c r="AC3365">
        <v>0.40049999999999297</v>
      </c>
      <c r="AD3365">
        <v>-6.4582000000000098E-2</v>
      </c>
      <c r="AE3365">
        <v>-0.16009999999999899</v>
      </c>
      <c r="AF3365">
        <v>9.97466195794392E-2</v>
      </c>
      <c r="AG3365">
        <v>-6.4582000000000098E-2</v>
      </c>
      <c r="AH3365">
        <v>0.40989459023606301</v>
      </c>
      <c r="AI3365">
        <v>98.703831855778503</v>
      </c>
      <c r="AJ3365">
        <v>76.323080171246502</v>
      </c>
      <c r="AK3365">
        <v>0.42677136495589302</v>
      </c>
      <c r="AL3365">
        <v>87.708372542236106</v>
      </c>
      <c r="AM3365">
        <v>81.316238944525793</v>
      </c>
      <c r="AN3365">
        <v>0.99999996504771305</v>
      </c>
    </row>
    <row r="3366" spans="1:40" x14ac:dyDescent="0.25">
      <c r="A3366" t="str">
        <f>"20190312151605490"</f>
        <v>20190312151605490</v>
      </c>
      <c r="B3366" t="str">
        <f>"1552374965481363"</f>
        <v>1552374965481363</v>
      </c>
      <c r="C3366" t="s">
        <v>40</v>
      </c>
      <c r="D3366">
        <v>4.437265</v>
      </c>
      <c r="E3366">
        <v>0.48590220000000001</v>
      </c>
      <c r="F3366" t="s">
        <v>41</v>
      </c>
      <c r="G3366">
        <v>-226.29759999999999</v>
      </c>
      <c r="H3366">
        <v>1.0401049999999901</v>
      </c>
      <c r="I3366">
        <v>214.2902</v>
      </c>
      <c r="J3366">
        <v>-226.65039999999999</v>
      </c>
      <c r="K3366">
        <v>1.101483</v>
      </c>
      <c r="L3366">
        <v>214.43889999999999</v>
      </c>
      <c r="M3366">
        <v>0.98903419999999997</v>
      </c>
      <c r="N3366">
        <v>0</v>
      </c>
      <c r="O3366">
        <v>-0.146925</v>
      </c>
      <c r="P3366">
        <v>0.95556859999999999</v>
      </c>
      <c r="Q3366">
        <v>2.7754879999999999E-2</v>
      </c>
      <c r="R3366">
        <v>-0.29345969999999999</v>
      </c>
      <c r="S3366">
        <v>2.9084469999999998</v>
      </c>
      <c r="T3366">
        <v>-0.2149191</v>
      </c>
      <c r="U3366">
        <v>-0.7708893</v>
      </c>
      <c r="V3366">
        <v>0.15063460000000001</v>
      </c>
      <c r="W3366">
        <v>3.973136E-2</v>
      </c>
      <c r="X3366">
        <v>0.98779079999999997</v>
      </c>
      <c r="Y3366">
        <v>0.11147459999999999</v>
      </c>
      <c r="Z3366">
        <v>6.5369740000000001E-3</v>
      </c>
      <c r="AA3366">
        <v>0.99374580000000001</v>
      </c>
      <c r="AB3366">
        <v>48</v>
      </c>
      <c r="AC3366">
        <v>0.352800000000002</v>
      </c>
      <c r="AD3366">
        <v>-6.1378000000000099E-2</v>
      </c>
      <c r="AE3366">
        <v>-0.14869999999999001</v>
      </c>
      <c r="AF3366">
        <v>9.2858367853518003E-2</v>
      </c>
      <c r="AG3366">
        <v>-6.1378000000000099E-2</v>
      </c>
      <c r="AH3366">
        <v>0.36152892072005499</v>
      </c>
      <c r="AI3366">
        <v>99.337923856473196</v>
      </c>
      <c r="AJ3366">
        <v>75.595016644880204</v>
      </c>
      <c r="AK3366">
        <v>0.37827648074051201</v>
      </c>
      <c r="AL3366">
        <v>87.722961440068104</v>
      </c>
      <c r="AM3366">
        <v>81.329396776285705</v>
      </c>
      <c r="AN3366">
        <v>1.0000000141246199</v>
      </c>
    </row>
    <row r="3367" spans="1:40" x14ac:dyDescent="0.25">
      <c r="A3367" t="str">
        <f>"20190312151605512"</f>
        <v>20190312151605512</v>
      </c>
      <c r="B3367" t="str">
        <f>"1552374965500883"</f>
        <v>1552374965500883</v>
      </c>
      <c r="C3367" t="s">
        <v>40</v>
      </c>
      <c r="D3367">
        <v>4.4524759999999999</v>
      </c>
      <c r="E3367">
        <v>0.48153410000000002</v>
      </c>
      <c r="F3367" t="s">
        <v>41</v>
      </c>
      <c r="G3367">
        <v>-225.86949999999999</v>
      </c>
      <c r="H3367">
        <v>1.0424960000000001</v>
      </c>
      <c r="I3367">
        <v>214.22739999999999</v>
      </c>
      <c r="J3367">
        <v>-226.16460000000001</v>
      </c>
      <c r="K3367">
        <v>1.1015349999999999</v>
      </c>
      <c r="L3367">
        <v>214.36359999999999</v>
      </c>
      <c r="M3367">
        <v>0.98814729999999995</v>
      </c>
      <c r="N3367">
        <v>0</v>
      </c>
      <c r="O3367">
        <v>-0.15277560000000001</v>
      </c>
      <c r="P3367">
        <v>0.95407030000000004</v>
      </c>
      <c r="Q3367">
        <v>2.694206E-2</v>
      </c>
      <c r="R3367">
        <v>-0.29836970000000002</v>
      </c>
      <c r="S3367">
        <v>2.904404</v>
      </c>
      <c r="T3367">
        <v>-0.21942149999999999</v>
      </c>
      <c r="U3367">
        <v>-0.78627009999999997</v>
      </c>
      <c r="V3367">
        <v>0.14984359999999999</v>
      </c>
      <c r="W3367">
        <v>3.8972819999999998E-2</v>
      </c>
      <c r="X3367">
        <v>0.98794130000000002</v>
      </c>
      <c r="Y3367">
        <v>0.1108661</v>
      </c>
      <c r="Z3367">
        <v>7.125195E-3</v>
      </c>
      <c r="AA3367">
        <v>0.99380979999999997</v>
      </c>
      <c r="AB3367">
        <v>48</v>
      </c>
      <c r="AC3367">
        <v>0.29510000000001901</v>
      </c>
      <c r="AD3367">
        <v>-5.9039000000000001E-2</v>
      </c>
      <c r="AE3367">
        <v>-0.13620000000000199</v>
      </c>
      <c r="AF3367">
        <v>8.6652377249211807E-2</v>
      </c>
      <c r="AG3367">
        <v>-5.9039000000000001E-2</v>
      </c>
      <c r="AH3367">
        <v>0.302464993181294</v>
      </c>
      <c r="AI3367">
        <v>100.62763783329</v>
      </c>
      <c r="AJ3367">
        <v>74.013665034110304</v>
      </c>
      <c r="AK3367">
        <v>0.32012389805214497</v>
      </c>
      <c r="AL3367">
        <v>87.766456237444203</v>
      </c>
      <c r="AM3367">
        <v>81.375534789354703</v>
      </c>
      <c r="AN3367">
        <v>0.99999999870270095</v>
      </c>
    </row>
    <row r="3368" spans="1:40" x14ac:dyDescent="0.25">
      <c r="A3368" t="str">
        <f>"20190312151605535"</f>
        <v>20190312151605535</v>
      </c>
      <c r="B3368" t="str">
        <f>"1552374965531140"</f>
        <v>1552374965531140</v>
      </c>
      <c r="C3368" t="s">
        <v>40</v>
      </c>
      <c r="D3368">
        <v>4.420452</v>
      </c>
      <c r="E3368">
        <v>0.48196099999999997</v>
      </c>
      <c r="F3368" t="s">
        <v>41</v>
      </c>
      <c r="G3368">
        <v>-225.45400000000001</v>
      </c>
      <c r="H3368">
        <v>1.0245610000000001</v>
      </c>
      <c r="I3368">
        <v>214.17509999999999</v>
      </c>
      <c r="J3368">
        <v>-225.69569999999999</v>
      </c>
      <c r="K3368">
        <v>1.101626</v>
      </c>
      <c r="L3368">
        <v>214.28790000000001</v>
      </c>
      <c r="M3368">
        <v>0.9872763</v>
      </c>
      <c r="N3368">
        <v>0</v>
      </c>
      <c r="O3368">
        <v>-0.158304799999999</v>
      </c>
      <c r="P3368">
        <v>0.95260149999999999</v>
      </c>
      <c r="Q3368">
        <v>2.5914739999999999E-2</v>
      </c>
      <c r="R3368">
        <v>-0.30311559999999999</v>
      </c>
      <c r="S3368">
        <v>2.9117280000000001</v>
      </c>
      <c r="T3368">
        <v>-0.31543959999999999</v>
      </c>
      <c r="U3368">
        <v>-0.77255249999999998</v>
      </c>
      <c r="V3368">
        <v>0.14919969999999999</v>
      </c>
      <c r="W3368">
        <v>3.7999369999999998E-2</v>
      </c>
      <c r="X3368">
        <v>0.98807670000000003</v>
      </c>
      <c r="Y3368">
        <v>0.10049619999999999</v>
      </c>
      <c r="Z3368">
        <v>1.1338000000000001E-2</v>
      </c>
      <c r="AA3368">
        <v>0.99487289999999995</v>
      </c>
      <c r="AB3368">
        <v>48</v>
      </c>
      <c r="AC3368">
        <v>0.24169999999997999</v>
      </c>
      <c r="AD3368">
        <v>-7.7064999999999897E-2</v>
      </c>
      <c r="AE3368">
        <v>-0.11280000000002099</v>
      </c>
      <c r="AF3368">
        <v>6.7477671331144601E-2</v>
      </c>
      <c r="AG3368">
        <v>-7.7064999999999897E-2</v>
      </c>
      <c r="AH3368">
        <v>0.236746659913248</v>
      </c>
      <c r="AI3368">
        <v>107.382699790308</v>
      </c>
      <c r="AJ3368">
        <v>74.091357283484697</v>
      </c>
      <c r="AK3368">
        <v>0.257955870903054</v>
      </c>
      <c r="AL3368">
        <v>87.822272244883607</v>
      </c>
      <c r="AM3368">
        <v>81.413200927849303</v>
      </c>
      <c r="AN3368">
        <v>1.0000000338416799</v>
      </c>
    </row>
    <row r="3369" spans="1:40" x14ac:dyDescent="0.25">
      <c r="A3369" t="str">
        <f>"20190312151605552"</f>
        <v>20190312151605552</v>
      </c>
      <c r="B3369" t="str">
        <f>"1552374965540899"</f>
        <v>1552374965540899</v>
      </c>
      <c r="C3369" t="s">
        <v>40</v>
      </c>
      <c r="D3369">
        <v>4.3788650000000002</v>
      </c>
      <c r="E3369">
        <v>0.4817475</v>
      </c>
      <c r="F3369" t="s">
        <v>41</v>
      </c>
      <c r="G3369">
        <v>-224.62549999999999</v>
      </c>
      <c r="H3369">
        <v>0.99699139999999997</v>
      </c>
      <c r="I3369">
        <v>213.99709999999999</v>
      </c>
      <c r="J3369">
        <v>-225.309</v>
      </c>
      <c r="K3369">
        <v>1.1017170000000001</v>
      </c>
      <c r="L3369">
        <v>214.2236</v>
      </c>
      <c r="M3369">
        <v>0.98654960000000003</v>
      </c>
      <c r="N3369">
        <v>0</v>
      </c>
      <c r="O3369">
        <v>-0.16277179999999999</v>
      </c>
      <c r="P3369">
        <v>0.95134249999999998</v>
      </c>
      <c r="Q3369">
        <v>2.5387110000000001E-2</v>
      </c>
      <c r="R3369">
        <v>-0.30708790000000002</v>
      </c>
      <c r="S3369">
        <v>2.9058380000000001</v>
      </c>
      <c r="T3369">
        <v>-0.28408929999999999</v>
      </c>
      <c r="U3369">
        <v>-0.7893829</v>
      </c>
      <c r="V3369">
        <v>0.148830399999999</v>
      </c>
      <c r="W3369">
        <v>3.7516679999999997E-2</v>
      </c>
      <c r="X3369">
        <v>0.9881508</v>
      </c>
      <c r="Y3369">
        <v>0.1018226</v>
      </c>
      <c r="Z3369">
        <v>1.0582889999999999E-2</v>
      </c>
      <c r="AA3369">
        <v>0.99474629999999997</v>
      </c>
      <c r="AB3369">
        <v>48</v>
      </c>
      <c r="AC3369">
        <v>0.68350000000003697</v>
      </c>
      <c r="AD3369">
        <v>-0.104725599999999</v>
      </c>
      <c r="AE3369">
        <v>-0.22650000000001499</v>
      </c>
      <c r="AF3369">
        <v>0.109887120194633</v>
      </c>
      <c r="AG3369">
        <v>-0.104725599999999</v>
      </c>
      <c r="AH3369">
        <v>0.69652084533363501</v>
      </c>
      <c r="AI3369">
        <v>98.447723176590102</v>
      </c>
      <c r="AJ3369">
        <v>81.034585235797195</v>
      </c>
      <c r="AK3369">
        <v>0.71287019748640901</v>
      </c>
      <c r="AL3369">
        <v>87.849947998790398</v>
      </c>
      <c r="AM3369">
        <v>81.434772169544999</v>
      </c>
      <c r="AN3369">
        <v>0.99999999639151105</v>
      </c>
    </row>
    <row r="3370" spans="1:40" x14ac:dyDescent="0.25">
      <c r="A3370" t="str">
        <f>"20190312151605569"</f>
        <v>20190312151605569</v>
      </c>
      <c r="B3370" t="str">
        <f>"1552374965561395"</f>
        <v>1552374965561395</v>
      </c>
      <c r="C3370" t="s">
        <v>40</v>
      </c>
      <c r="D3370">
        <v>4.4048109999999996</v>
      </c>
      <c r="E3370">
        <v>0.48122310000000001</v>
      </c>
      <c r="F3370" t="s">
        <v>41</v>
      </c>
      <c r="G3370">
        <v>-224.60239999999999</v>
      </c>
      <c r="H3370">
        <v>1.0327900000000001</v>
      </c>
      <c r="I3370">
        <v>214.02889999999999</v>
      </c>
      <c r="J3370">
        <v>-224.9803</v>
      </c>
      <c r="K3370">
        <v>1.1017920000000001</v>
      </c>
      <c r="L3370">
        <v>214.16739999999999</v>
      </c>
      <c r="M3370">
        <v>0.98592930000000001</v>
      </c>
      <c r="N3370">
        <v>0</v>
      </c>
      <c r="O3370">
        <v>-0.166489</v>
      </c>
      <c r="P3370">
        <v>0.95043889999999998</v>
      </c>
      <c r="Q3370">
        <v>2.461731E-2</v>
      </c>
      <c r="R3370">
        <v>-0.30993579999999998</v>
      </c>
      <c r="S3370">
        <v>2.9028930000000002</v>
      </c>
      <c r="T3370">
        <v>-0.283166799999999</v>
      </c>
      <c r="U3370">
        <v>-0.79965209999999998</v>
      </c>
      <c r="V3370">
        <v>0.14804020000000001</v>
      </c>
      <c r="W3370">
        <v>3.6795719999999997E-2</v>
      </c>
      <c r="X3370">
        <v>0.98829659999999997</v>
      </c>
      <c r="Y3370">
        <v>0.10161729999999999</v>
      </c>
      <c r="Z3370">
        <v>1.091047E-2</v>
      </c>
      <c r="AA3370">
        <v>0.99476370000000003</v>
      </c>
      <c r="AB3370">
        <v>48</v>
      </c>
      <c r="AC3370">
        <v>0.37790000000001001</v>
      </c>
      <c r="AD3370">
        <v>-6.9002000000000202E-2</v>
      </c>
      <c r="AE3370">
        <v>-0.13849999999999299</v>
      </c>
      <c r="AF3370">
        <v>7.1540553468257301E-2</v>
      </c>
      <c r="AG3370">
        <v>-6.9002000000000202E-2</v>
      </c>
      <c r="AH3370">
        <v>0.38438785395641201</v>
      </c>
      <c r="AI3370">
        <v>100.00855032618399</v>
      </c>
      <c r="AJ3370">
        <v>79.456993535094696</v>
      </c>
      <c r="AK3370">
        <v>0.39703066514283297</v>
      </c>
      <c r="AL3370">
        <v>87.891284511896401</v>
      </c>
      <c r="AM3370">
        <v>81.480817689579993</v>
      </c>
      <c r="AN3370">
        <v>0.99999999769895898</v>
      </c>
    </row>
    <row r="3371" spans="1:40" x14ac:dyDescent="0.25">
      <c r="A3371" t="str">
        <f>"20190312151605591"</f>
        <v>20190312151605591</v>
      </c>
      <c r="B3371" t="str">
        <f>"1552374965580915"</f>
        <v>1552374965580915</v>
      </c>
      <c r="C3371" t="s">
        <v>40</v>
      </c>
      <c r="D3371">
        <v>4.7327820000000003</v>
      </c>
      <c r="E3371">
        <v>0.48043049999999998</v>
      </c>
      <c r="F3371" t="s">
        <v>41</v>
      </c>
      <c r="G3371">
        <v>-224.185</v>
      </c>
      <c r="H3371">
        <v>1.0245329999999999</v>
      </c>
      <c r="I3371">
        <v>213.9469</v>
      </c>
      <c r="J3371">
        <v>-224.5086</v>
      </c>
      <c r="K3371">
        <v>1.101936</v>
      </c>
      <c r="L3371">
        <v>214.0849</v>
      </c>
      <c r="M3371">
        <v>0.98503499999999999</v>
      </c>
      <c r="N3371">
        <v>0</v>
      </c>
      <c r="O3371">
        <v>-0.17169989999999999</v>
      </c>
      <c r="P3371">
        <v>0.94898610000000005</v>
      </c>
      <c r="Q3371">
        <v>2.425391E-2</v>
      </c>
      <c r="R3371">
        <v>-0.31438379999999999</v>
      </c>
      <c r="S3371">
        <v>2.9014739999999999</v>
      </c>
      <c r="T3371">
        <v>-0.28189910000000001</v>
      </c>
      <c r="U3371">
        <v>-0.80415340000000002</v>
      </c>
      <c r="V3371">
        <v>0.14742259999999999</v>
      </c>
      <c r="W3371">
        <v>3.6495039999999999E-2</v>
      </c>
      <c r="X3371">
        <v>0.98839999999999995</v>
      </c>
      <c r="Y3371">
        <v>9.7949999999999995E-2</v>
      </c>
      <c r="Z3371">
        <v>1.1523520000000001E-2</v>
      </c>
      <c r="AA3371">
        <v>0.99512460000000003</v>
      </c>
      <c r="AB3371">
        <v>48</v>
      </c>
      <c r="AC3371">
        <v>0.323599999999998</v>
      </c>
      <c r="AD3371">
        <v>-7.7403000000000097E-2</v>
      </c>
      <c r="AE3371">
        <v>-0.13800000000000501</v>
      </c>
      <c r="AF3371">
        <v>7.6670215500778099E-2</v>
      </c>
      <c r="AG3371">
        <v>-7.7403000000000097E-2</v>
      </c>
      <c r="AH3371">
        <v>0.32667619812476101</v>
      </c>
      <c r="AI3371">
        <v>102.98938772160101</v>
      </c>
      <c r="AJ3371">
        <v>76.791853462109302</v>
      </c>
      <c r="AK3371">
        <v>0.34436446502968898</v>
      </c>
      <c r="AL3371">
        <v>87.908523655832497</v>
      </c>
      <c r="AM3371">
        <v>81.516714685964999</v>
      </c>
      <c r="AN3371">
        <v>0.99999993546767796</v>
      </c>
    </row>
    <row r="3372" spans="1:40" x14ac:dyDescent="0.25">
      <c r="A3372" t="str">
        <f>"20190312151605613"</f>
        <v>20190312151605613</v>
      </c>
      <c r="B3372" t="str">
        <f>"1552374965601411"</f>
        <v>1552374965601411</v>
      </c>
      <c r="C3372" t="s">
        <v>40</v>
      </c>
      <c r="D3372">
        <v>4.7182269999999997</v>
      </c>
      <c r="E3372">
        <v>0.47988370000000002</v>
      </c>
      <c r="F3372" t="s">
        <v>41</v>
      </c>
      <c r="G3372">
        <v>-223.75899999999999</v>
      </c>
      <c r="H3372">
        <v>1.0304960000000001</v>
      </c>
      <c r="I3372">
        <v>213.875</v>
      </c>
      <c r="J3372">
        <v>-224.04179999999999</v>
      </c>
      <c r="K3372">
        <v>1.1020989999999999</v>
      </c>
      <c r="L3372">
        <v>214.00069999999999</v>
      </c>
      <c r="M3372">
        <v>0.98415490000000005</v>
      </c>
      <c r="N3372">
        <v>0</v>
      </c>
      <c r="O3372">
        <v>-0.17667459999999999</v>
      </c>
      <c r="P3372">
        <v>0.94745780000000002</v>
      </c>
      <c r="Q3372">
        <v>2.397125E-2</v>
      </c>
      <c r="R3372">
        <v>-0.3189825</v>
      </c>
      <c r="S3372">
        <v>2.899597</v>
      </c>
      <c r="T3372">
        <v>-0.276333099999999</v>
      </c>
      <c r="U3372">
        <v>-0.81114200000000003</v>
      </c>
      <c r="V3372">
        <v>0.1472011</v>
      </c>
      <c r="W3372">
        <v>3.6272499999999999E-2</v>
      </c>
      <c r="X3372">
        <v>0.98844129999999997</v>
      </c>
      <c r="Y3372">
        <v>9.5331650000000004E-2</v>
      </c>
      <c r="Z3372">
        <v>1.1875109999999999E-2</v>
      </c>
      <c r="AA3372">
        <v>0.99537469999999995</v>
      </c>
      <c r="AB3372">
        <v>48</v>
      </c>
      <c r="AC3372">
        <v>0.28279999999998001</v>
      </c>
      <c r="AD3372">
        <v>-7.1603E-2</v>
      </c>
      <c r="AE3372">
        <v>-0.12569999999999401</v>
      </c>
      <c r="AF3372">
        <v>7.0005542667964493E-2</v>
      </c>
      <c r="AG3372">
        <v>-7.1603E-2</v>
      </c>
      <c r="AH3372">
        <v>0.28528908009200299</v>
      </c>
      <c r="AI3372">
        <v>103.69886153070399</v>
      </c>
      <c r="AJ3372">
        <v>76.212913798205093</v>
      </c>
      <c r="AK3372">
        <v>0.30235347663451401</v>
      </c>
      <c r="AL3372">
        <v>87.921282905633703</v>
      </c>
      <c r="AM3372">
        <v>81.529624424104398</v>
      </c>
      <c r="AN3372">
        <v>1.00000003082157</v>
      </c>
    </row>
    <row r="3373" spans="1:40" x14ac:dyDescent="0.25">
      <c r="A3373" t="str">
        <f>"20190312151605635"</f>
        <v>20190312151605635</v>
      </c>
      <c r="B3373" t="str">
        <f>"1552374965630691"</f>
        <v>1552374965630691</v>
      </c>
      <c r="C3373" t="s">
        <v>40</v>
      </c>
      <c r="D3373">
        <v>4.3511610000000003</v>
      </c>
      <c r="E3373">
        <v>0.47982229999999998</v>
      </c>
      <c r="F3373" t="s">
        <v>41</v>
      </c>
      <c r="G3373">
        <v>-223.33430000000001</v>
      </c>
      <c r="H3373">
        <v>1.0359050000000001</v>
      </c>
      <c r="I3373">
        <v>213.80009999999999</v>
      </c>
      <c r="J3373">
        <v>-223.57599999999999</v>
      </c>
      <c r="K3373">
        <v>1.1022959999999999</v>
      </c>
      <c r="L3373">
        <v>213.9143</v>
      </c>
      <c r="M3373">
        <v>0.98329069999999996</v>
      </c>
      <c r="N3373">
        <v>0</v>
      </c>
      <c r="O3373">
        <v>-0.1814231</v>
      </c>
      <c r="P3373">
        <v>0.94601710000000006</v>
      </c>
      <c r="Q3373">
        <v>2.4101620000000001E-2</v>
      </c>
      <c r="R3373">
        <v>-0.32321919999999998</v>
      </c>
      <c r="S3373">
        <v>2.8970180000000001</v>
      </c>
      <c r="T3373">
        <v>-0.27100170000000001</v>
      </c>
      <c r="U3373">
        <v>-0.82044980000000001</v>
      </c>
      <c r="V3373">
        <v>0.14683979999999999</v>
      </c>
      <c r="W3373">
        <v>3.6471209999999997E-2</v>
      </c>
      <c r="X3373">
        <v>0.98848769999999997</v>
      </c>
      <c r="Y3373">
        <v>9.3731720000000004E-2</v>
      </c>
      <c r="Z3373">
        <v>1.214814E-2</v>
      </c>
      <c r="AA3373">
        <v>0.99552339999999995</v>
      </c>
      <c r="AB3373">
        <v>48</v>
      </c>
      <c r="AC3373">
        <v>0.24169999999997999</v>
      </c>
      <c r="AD3373">
        <v>-6.6391000000000006E-2</v>
      </c>
      <c r="AE3373">
        <v>-0.11420000000001</v>
      </c>
      <c r="AF3373">
        <v>6.4472784677856498E-2</v>
      </c>
      <c r="AG3373">
        <v>-6.6391000000000006E-2</v>
      </c>
      <c r="AH3373">
        <v>0.24339602323908699</v>
      </c>
      <c r="AI3373">
        <v>104.77130834323199</v>
      </c>
      <c r="AJ3373">
        <v>75.163747413675296</v>
      </c>
      <c r="AK3373">
        <v>0.26039610015074999</v>
      </c>
      <c r="AL3373">
        <v>87.909890068340104</v>
      </c>
      <c r="AM3373">
        <v>81.550505073867498</v>
      </c>
      <c r="AN3373">
        <v>1.00000000453709</v>
      </c>
    </row>
    <row r="3374" spans="1:40" x14ac:dyDescent="0.25">
      <c r="A3374" t="str">
        <f>"20190312151605657"</f>
        <v>20190312151605657</v>
      </c>
      <c r="B3374" t="str">
        <f>"1552374965651187"</f>
        <v>1552374965651187</v>
      </c>
      <c r="C3374" t="s">
        <v>40</v>
      </c>
      <c r="D3374">
        <v>4.3649230000000001</v>
      </c>
      <c r="E3374">
        <v>0.47961599999999999</v>
      </c>
      <c r="F3374" t="s">
        <v>41</v>
      </c>
      <c r="G3374">
        <v>-222.51410000000001</v>
      </c>
      <c r="H3374">
        <v>1.006203</v>
      </c>
      <c r="I3374">
        <v>213.6087</v>
      </c>
      <c r="J3374">
        <v>-223.1027</v>
      </c>
      <c r="K3374">
        <v>1.1025149999999999</v>
      </c>
      <c r="L3374">
        <v>213.82419999999999</v>
      </c>
      <c r="M3374">
        <v>0.982429</v>
      </c>
      <c r="N3374">
        <v>0</v>
      </c>
      <c r="O3374">
        <v>-0.18603349999999999</v>
      </c>
      <c r="P3374">
        <v>0.94456709999999999</v>
      </c>
      <c r="Q3374">
        <v>2.4247660000000001E-2</v>
      </c>
      <c r="R3374">
        <v>-0.3274222</v>
      </c>
      <c r="S3374">
        <v>2.8934630000000001</v>
      </c>
      <c r="T3374">
        <v>-0.26186749999999998</v>
      </c>
      <c r="U3374">
        <v>-0.83235170000000003</v>
      </c>
      <c r="V3374">
        <v>0.1465822</v>
      </c>
      <c r="W3374">
        <v>3.669041E-2</v>
      </c>
      <c r="X3374">
        <v>0.9885178</v>
      </c>
      <c r="Y3374">
        <v>9.3164590000000005E-2</v>
      </c>
      <c r="Z3374">
        <v>1.2168969999999999E-2</v>
      </c>
      <c r="AA3374">
        <v>0.99557640000000003</v>
      </c>
      <c r="AB3374">
        <v>48</v>
      </c>
      <c r="AC3374">
        <v>0.58859999999998502</v>
      </c>
      <c r="AD3374">
        <v>-9.6311999999999898E-2</v>
      </c>
      <c r="AE3374">
        <v>-0.215499999999991</v>
      </c>
      <c r="AF3374">
        <v>9.9867778493965498E-2</v>
      </c>
      <c r="AG3374">
        <v>-9.6311999999999898E-2</v>
      </c>
      <c r="AH3374">
        <v>0.60415358546619102</v>
      </c>
      <c r="AI3374">
        <v>98.93837309477</v>
      </c>
      <c r="AJ3374">
        <v>80.613772608025798</v>
      </c>
      <c r="AK3374">
        <v>0.61987993140363395</v>
      </c>
      <c r="AL3374">
        <v>87.897322379235206</v>
      </c>
      <c r="AM3374">
        <v>81.565367681461495</v>
      </c>
      <c r="AN3374">
        <v>0.99999998422982395</v>
      </c>
    </row>
    <row r="3375" spans="1:40" x14ac:dyDescent="0.25">
      <c r="A3375" t="str">
        <f>"20190312151605691"</f>
        <v>20190312151605691</v>
      </c>
      <c r="B3375" t="str">
        <f>"1552374965681443"</f>
        <v>1552374965681443</v>
      </c>
      <c r="C3375" t="s">
        <v>40</v>
      </c>
      <c r="D3375">
        <v>4.3537520000000001</v>
      </c>
      <c r="E3375">
        <v>0.47954669999999999</v>
      </c>
      <c r="F3375" t="s">
        <v>41</v>
      </c>
      <c r="G3375">
        <v>-222.09219999999999</v>
      </c>
      <c r="H3375">
        <v>1.010275</v>
      </c>
      <c r="I3375">
        <v>213.5292</v>
      </c>
      <c r="J3375">
        <v>-222.3991</v>
      </c>
      <c r="K3375">
        <v>1.1028469999999999</v>
      </c>
      <c r="L3375">
        <v>213.68639999999999</v>
      </c>
      <c r="M3375">
        <v>0.9811744</v>
      </c>
      <c r="N3375">
        <v>0</v>
      </c>
      <c r="O3375">
        <v>-0.19254180000000001</v>
      </c>
      <c r="P3375">
        <v>0.9424515</v>
      </c>
      <c r="Q3375">
        <v>2.488945E-2</v>
      </c>
      <c r="R3375">
        <v>-0.33341609999999899</v>
      </c>
      <c r="S3375">
        <v>2.8904109999999998</v>
      </c>
      <c r="T3375">
        <v>-0.263845</v>
      </c>
      <c r="U3375">
        <v>-0.84362789999999999</v>
      </c>
      <c r="V3375">
        <v>0.146292899999999</v>
      </c>
      <c r="W3375">
        <v>3.7439E-2</v>
      </c>
      <c r="X3375">
        <v>0.98853259999999998</v>
      </c>
      <c r="Y3375">
        <v>9.0465439999999994E-2</v>
      </c>
      <c r="Z3375">
        <v>1.29505E-2</v>
      </c>
      <c r="AA3375">
        <v>0.99581540000000002</v>
      </c>
      <c r="AB3375">
        <v>48</v>
      </c>
      <c r="AC3375">
        <v>0.306900000000013</v>
      </c>
      <c r="AD3375">
        <v>-9.2571999999999793E-2</v>
      </c>
      <c r="AE3375">
        <v>-0.15719999999998799</v>
      </c>
      <c r="AF3375">
        <v>8.8762720856316896E-2</v>
      </c>
      <c r="AG3375">
        <v>-9.2571999999999793E-2</v>
      </c>
      <c r="AH3375">
        <v>0.30914577629557699</v>
      </c>
      <c r="AI3375">
        <v>106.056651401013</v>
      </c>
      <c r="AJ3375">
        <v>73.980034382845005</v>
      </c>
      <c r="AK3375">
        <v>0.33469315320037801</v>
      </c>
      <c r="AL3375">
        <v>87.854401863759094</v>
      </c>
      <c r="AM3375">
        <v>81.581900038640399</v>
      </c>
      <c r="AN3375">
        <v>0.99999999628708502</v>
      </c>
    </row>
    <row r="3376" spans="1:40" x14ac:dyDescent="0.25">
      <c r="A3376" t="str">
        <f>"20190312151605713"</f>
        <v>20190312151605713</v>
      </c>
      <c r="B3376" t="str">
        <f>"1552374965710723"</f>
        <v>1552374965710723</v>
      </c>
      <c r="C3376" t="s">
        <v>40</v>
      </c>
      <c r="D3376">
        <v>4.3536630000000001</v>
      </c>
      <c r="E3376">
        <v>0.47929830000000001</v>
      </c>
      <c r="F3376" t="s">
        <v>41</v>
      </c>
      <c r="G3376">
        <v>-221.6567</v>
      </c>
      <c r="H3376">
        <v>1.0360020000000001</v>
      </c>
      <c r="I3376">
        <v>213.46469999999999</v>
      </c>
      <c r="J3376">
        <v>-221.93459999999999</v>
      </c>
      <c r="K3376">
        <v>1.103083</v>
      </c>
      <c r="L3376">
        <v>213.59280000000001</v>
      </c>
      <c r="M3376">
        <v>0.98036990000000002</v>
      </c>
      <c r="N3376">
        <v>0</v>
      </c>
      <c r="O3376">
        <v>-0.19659840000000001</v>
      </c>
      <c r="P3376">
        <v>0.94113930000000001</v>
      </c>
      <c r="Q3376">
        <v>2.4614589999999999E-2</v>
      </c>
      <c r="R3376">
        <v>-0.33712209999999998</v>
      </c>
      <c r="S3376">
        <v>2.8853</v>
      </c>
      <c r="T3376">
        <v>-0.25976460000000001</v>
      </c>
      <c r="U3376">
        <v>-0.86137389999999903</v>
      </c>
      <c r="V3376">
        <v>0.1460687</v>
      </c>
      <c r="W3376">
        <v>3.7237909999999999E-2</v>
      </c>
      <c r="X3376">
        <v>0.98857340000000005</v>
      </c>
      <c r="Y3376">
        <v>9.2449459999999997E-2</v>
      </c>
      <c r="Z3376">
        <v>1.301861E-2</v>
      </c>
      <c r="AA3376">
        <v>0.99563230000000003</v>
      </c>
      <c r="AB3376">
        <v>48</v>
      </c>
      <c r="AC3376">
        <v>0.27789999999998799</v>
      </c>
      <c r="AD3376">
        <v>-6.7080999999999905E-2</v>
      </c>
      <c r="AE3376">
        <v>-0.12810000000001701</v>
      </c>
      <c r="AF3376">
        <v>6.7705008105220704E-2</v>
      </c>
      <c r="AG3376">
        <v>-6.7080999999999905E-2</v>
      </c>
      <c r="AH3376">
        <v>0.28401383540900699</v>
      </c>
      <c r="AI3376">
        <v>102.93922714526801</v>
      </c>
      <c r="AJ3376">
        <v>76.591721191297694</v>
      </c>
      <c r="AK3376">
        <v>0.29957918383503002</v>
      </c>
      <c r="AL3376">
        <v>87.8659316205555</v>
      </c>
      <c r="AM3376">
        <v>81.594958635125593</v>
      </c>
      <c r="AN3376">
        <v>1.0000000471242001</v>
      </c>
    </row>
    <row r="3377" spans="1:40" x14ac:dyDescent="0.25">
      <c r="A3377" t="str">
        <f>"20190312151605736"</f>
        <v>20190312151605736</v>
      </c>
      <c r="B3377" t="str">
        <f>"1552374965731219"</f>
        <v>1552374965731219</v>
      </c>
      <c r="C3377" t="s">
        <v>40</v>
      </c>
      <c r="D3377">
        <v>4.7001589999999904</v>
      </c>
      <c r="E3377">
        <v>0.47922690000000001</v>
      </c>
      <c r="F3377" t="s">
        <v>41</v>
      </c>
      <c r="G3377">
        <v>-220.84360000000001</v>
      </c>
      <c r="H3377">
        <v>1.0036879999999999</v>
      </c>
      <c r="I3377">
        <v>213.2629</v>
      </c>
      <c r="J3377">
        <v>-221.4513</v>
      </c>
      <c r="K3377">
        <v>1.1033309999999901</v>
      </c>
      <c r="L3377">
        <v>213.4933</v>
      </c>
      <c r="M3377">
        <v>0.97956339999999997</v>
      </c>
      <c r="N3377">
        <v>0</v>
      </c>
      <c r="O3377">
        <v>-0.20057839999999999</v>
      </c>
      <c r="P3377">
        <v>0.93974020000000003</v>
      </c>
      <c r="Q3377">
        <v>2.4924269999999998E-2</v>
      </c>
      <c r="R3377">
        <v>-0.34098010000000001</v>
      </c>
      <c r="S3377">
        <v>2.8825229999999999</v>
      </c>
      <c r="T3377">
        <v>-0.26263560000000002</v>
      </c>
      <c r="U3377">
        <v>-0.87104799999999905</v>
      </c>
      <c r="V3377">
        <v>0.1460931</v>
      </c>
      <c r="W3377">
        <v>3.762389E-2</v>
      </c>
      <c r="X3377">
        <v>0.98855510000000002</v>
      </c>
      <c r="Y3377">
        <v>9.1758389999999995E-2</v>
      </c>
      <c r="Z3377">
        <v>1.3540750000000001E-2</v>
      </c>
      <c r="AA3377">
        <v>0.99568920000000005</v>
      </c>
      <c r="AB3377">
        <v>48</v>
      </c>
      <c r="AC3377">
        <v>0.60769999999999402</v>
      </c>
      <c r="AD3377">
        <v>-9.9642999999999898E-2</v>
      </c>
      <c r="AE3377">
        <v>-0.23040000000000299</v>
      </c>
      <c r="AF3377">
        <v>0.10142733873377301</v>
      </c>
      <c r="AG3377">
        <v>-9.9642999999999898E-2</v>
      </c>
      <c r="AH3377">
        <v>0.62683118894321899</v>
      </c>
      <c r="AI3377">
        <v>98.918242252409001</v>
      </c>
      <c r="AJ3377">
        <v>80.808654192212799</v>
      </c>
      <c r="AK3377">
        <v>0.64275467475825099</v>
      </c>
      <c r="AL3377">
        <v>87.843800917882007</v>
      </c>
      <c r="AM3377">
        <v>81.593421283816099</v>
      </c>
      <c r="AN3377">
        <v>0.99999996835117499</v>
      </c>
    </row>
    <row r="3378" spans="1:40" x14ac:dyDescent="0.25">
      <c r="A3378" t="str">
        <f>"20190312151605758"</f>
        <v>20190312151605758</v>
      </c>
      <c r="B3378" t="str">
        <f>"1552374965750739"</f>
        <v>1552374965750739</v>
      </c>
      <c r="C3378" t="s">
        <v>40</v>
      </c>
      <c r="D3378">
        <v>4.3310789999999999</v>
      </c>
      <c r="E3378">
        <v>0.47905619999999999</v>
      </c>
      <c r="F3378" t="s">
        <v>41</v>
      </c>
      <c r="G3378">
        <v>-220.4229</v>
      </c>
      <c r="H3378">
        <v>1.0102500000000001</v>
      </c>
      <c r="I3378">
        <v>213.17830000000001</v>
      </c>
      <c r="J3378">
        <v>-220.98910000000001</v>
      </c>
      <c r="K3378">
        <v>1.103577</v>
      </c>
      <c r="L3378">
        <v>213.3964</v>
      </c>
      <c r="M3378">
        <v>0.97881390000000001</v>
      </c>
      <c r="N3378">
        <v>0</v>
      </c>
      <c r="O3378">
        <v>-0.20420479999999999</v>
      </c>
      <c r="P3378">
        <v>0.93848569999999998</v>
      </c>
      <c r="Q3378">
        <v>2.4661039999999999E-2</v>
      </c>
      <c r="R3378">
        <v>-0.34443639999999998</v>
      </c>
      <c r="S3378">
        <v>2.8791959999999999</v>
      </c>
      <c r="T3378">
        <v>-0.26062079999999999</v>
      </c>
      <c r="U3378">
        <v>-0.88220209999999999</v>
      </c>
      <c r="V3378">
        <v>0.146043799999999</v>
      </c>
      <c r="W3378">
        <v>3.7434719999999998E-2</v>
      </c>
      <c r="X3378">
        <v>0.98856960000000005</v>
      </c>
      <c r="Y3378">
        <v>9.1925549999999995E-2</v>
      </c>
      <c r="Z3378">
        <v>1.3746090000000001E-2</v>
      </c>
      <c r="AA3378">
        <v>0.99567099999999997</v>
      </c>
      <c r="AB3378">
        <v>48</v>
      </c>
      <c r="AC3378">
        <v>0.56620000000000903</v>
      </c>
      <c r="AD3378">
        <v>-9.3326999999999896E-2</v>
      </c>
      <c r="AE3378">
        <v>-0.21809999999999199</v>
      </c>
      <c r="AF3378">
        <v>9.5607558867162407E-2</v>
      </c>
      <c r="AG3378">
        <v>-9.3326999999999896E-2</v>
      </c>
      <c r="AH3378">
        <v>0.58496892387994703</v>
      </c>
      <c r="AI3378">
        <v>98.947912466759206</v>
      </c>
      <c r="AJ3378">
        <v>80.717626446292599</v>
      </c>
      <c r="AK3378">
        <v>0.60003281255844698</v>
      </c>
      <c r="AL3378">
        <v>87.854647273794598</v>
      </c>
      <c r="AM3378">
        <v>81.596339119792205</v>
      </c>
      <c r="AN3378">
        <v>1.0000000019120301</v>
      </c>
    </row>
    <row r="3379" spans="1:40" x14ac:dyDescent="0.25">
      <c r="A3379" t="str">
        <f>"20190312151605784"</f>
        <v>20190312151605784</v>
      </c>
      <c r="B3379" t="str">
        <f>"1552374965780995"</f>
        <v>1552374965780995</v>
      </c>
      <c r="C3379" t="s">
        <v>40</v>
      </c>
      <c r="D3379">
        <v>4.4644539999999999</v>
      </c>
      <c r="E3379">
        <v>0.47873559999999998</v>
      </c>
      <c r="F3379" t="s">
        <v>41</v>
      </c>
      <c r="G3379">
        <v>-220.0043</v>
      </c>
      <c r="H3379">
        <v>1.0145649999999999</v>
      </c>
      <c r="I3379">
        <v>213.09100000000001</v>
      </c>
      <c r="J3379">
        <v>-220.44669999999999</v>
      </c>
      <c r="K3379">
        <v>1.103861</v>
      </c>
      <c r="L3379">
        <v>213.28039999999999</v>
      </c>
      <c r="M3379">
        <v>0.97796209999999995</v>
      </c>
      <c r="N3379">
        <v>0</v>
      </c>
      <c r="O3379">
        <v>-0.2082473</v>
      </c>
      <c r="P3379">
        <v>0.93711840000000002</v>
      </c>
      <c r="Q3379">
        <v>2.4800659999999999E-2</v>
      </c>
      <c r="R3379">
        <v>-0.34812949999999998</v>
      </c>
      <c r="S3379">
        <v>2.876312</v>
      </c>
      <c r="T3379">
        <v>-0.2600613</v>
      </c>
      <c r="U3379">
        <v>-0.89140319999999995</v>
      </c>
      <c r="V3379">
        <v>0.1458295</v>
      </c>
      <c r="W3379">
        <v>3.7662960000000002E-2</v>
      </c>
      <c r="X3379">
        <v>0.98859260000000004</v>
      </c>
      <c r="Y3379">
        <v>9.1015470000000001E-2</v>
      </c>
      <c r="Z3379">
        <v>1.410733E-2</v>
      </c>
      <c r="AA3379">
        <v>0.99574949999999995</v>
      </c>
      <c r="AB3379">
        <v>48</v>
      </c>
      <c r="AC3379">
        <v>0.44239999999999202</v>
      </c>
      <c r="AD3379">
        <v>-8.9296E-2</v>
      </c>
      <c r="AE3379">
        <v>-0.18940000000000601</v>
      </c>
      <c r="AF3379">
        <v>9.0008756166638199E-2</v>
      </c>
      <c r="AG3379">
        <v>-8.9296E-2</v>
      </c>
      <c r="AH3379">
        <v>0.456430026686581</v>
      </c>
      <c r="AI3379">
        <v>100.865401247752</v>
      </c>
      <c r="AJ3379">
        <v>78.844316911188898</v>
      </c>
      <c r="AK3379">
        <v>0.47371269886269501</v>
      </c>
      <c r="AL3379">
        <v>87.841560928335497</v>
      </c>
      <c r="AM3379">
        <v>81.608687123727194</v>
      </c>
      <c r="AN3379">
        <v>1.0000000352004801</v>
      </c>
    </row>
    <row r="3380" spans="1:40" x14ac:dyDescent="0.25">
      <c r="A3380" t="str">
        <f>"20190312151605805"</f>
        <v>20190312151605805</v>
      </c>
      <c r="B3380" t="str">
        <f>"1552374965801491"</f>
        <v>1552374965801491</v>
      </c>
      <c r="C3380" t="s">
        <v>40</v>
      </c>
      <c r="D3380">
        <v>4.3043069999999997</v>
      </c>
      <c r="E3380">
        <v>0.47177469999999999</v>
      </c>
      <c r="F3380" t="s">
        <v>41</v>
      </c>
      <c r="G3380">
        <v>-219.58189999999999</v>
      </c>
      <c r="H3380">
        <v>1.024689</v>
      </c>
      <c r="I3380">
        <v>213.0093</v>
      </c>
      <c r="J3380">
        <v>-220.01429999999999</v>
      </c>
      <c r="K3380">
        <v>1.104074</v>
      </c>
      <c r="L3380">
        <v>213.18639999999999</v>
      </c>
      <c r="M3380">
        <v>0.97730349999999999</v>
      </c>
      <c r="N3380">
        <v>0</v>
      </c>
      <c r="O3380">
        <v>-0.21131759999999999</v>
      </c>
      <c r="P3380">
        <v>0.9360271</v>
      </c>
      <c r="Q3380">
        <v>2.444816E-2</v>
      </c>
      <c r="R3380">
        <v>-0.35107830000000001</v>
      </c>
      <c r="S3380">
        <v>2.873764</v>
      </c>
      <c r="T3380">
        <v>-0.26305810000000002</v>
      </c>
      <c r="U3380">
        <v>-0.90040589999999998</v>
      </c>
      <c r="V3380">
        <v>0.1458112</v>
      </c>
      <c r="W3380">
        <v>3.7378019999999998E-2</v>
      </c>
      <c r="X3380">
        <v>0.98860610000000004</v>
      </c>
      <c r="Y3380">
        <v>9.100171E-2</v>
      </c>
      <c r="Z3380">
        <v>1.453894E-2</v>
      </c>
      <c r="AA3380">
        <v>0.99574459999999998</v>
      </c>
      <c r="AB3380">
        <v>47</v>
      </c>
      <c r="AC3380">
        <v>0.43240000000000101</v>
      </c>
      <c r="AD3380">
        <v>-7.9384999999999997E-2</v>
      </c>
      <c r="AE3380">
        <v>-0.17709999999999501</v>
      </c>
      <c r="AF3380">
        <v>7.9423352208502898E-2</v>
      </c>
      <c r="AG3380">
        <v>-7.9384999999999997E-2</v>
      </c>
      <c r="AH3380">
        <v>0.44715497860264197</v>
      </c>
      <c r="AI3380">
        <v>99.914994463910702</v>
      </c>
      <c r="AJ3380">
        <v>79.928204435011295</v>
      </c>
      <c r="AK3380">
        <v>0.46103971845185399</v>
      </c>
      <c r="AL3380">
        <v>87.857898262092604</v>
      </c>
      <c r="AM3380">
        <v>81.609838094067896</v>
      </c>
      <c r="AN3380">
        <v>1.00000002169088</v>
      </c>
    </row>
    <row r="3381" spans="1:40" x14ac:dyDescent="0.25">
      <c r="A3381" t="str">
        <f>"20190312151605824"</f>
        <v>20190312151605824</v>
      </c>
      <c r="B3381" t="str">
        <f>"1552374965821011"</f>
        <v>1552374965821011</v>
      </c>
      <c r="C3381" t="s">
        <v>40</v>
      </c>
      <c r="D3381">
        <v>4.416474</v>
      </c>
      <c r="E3381">
        <v>0.47250379999999997</v>
      </c>
      <c r="F3381" t="s">
        <v>41</v>
      </c>
      <c r="G3381">
        <v>-219.17009999999999</v>
      </c>
      <c r="H3381">
        <v>1.0110749999999999</v>
      </c>
      <c r="I3381">
        <v>212.93520000000001</v>
      </c>
      <c r="J3381">
        <v>-219.60769999999999</v>
      </c>
      <c r="K3381">
        <v>1.104276</v>
      </c>
      <c r="L3381">
        <v>213.0967</v>
      </c>
      <c r="M3381">
        <v>0.9766996</v>
      </c>
      <c r="N3381">
        <v>0</v>
      </c>
      <c r="O3381">
        <v>-0.21409159999999999</v>
      </c>
      <c r="P3381">
        <v>0.93501529999999999</v>
      </c>
      <c r="Q3381">
        <v>2.446181E-2</v>
      </c>
      <c r="R3381">
        <v>-0.35376279999999999</v>
      </c>
      <c r="S3381">
        <v>2.8909609999999999</v>
      </c>
      <c r="T3381">
        <v>-0.31854769999999999</v>
      </c>
      <c r="U3381">
        <v>-0.85960389999999998</v>
      </c>
      <c r="V3381">
        <v>0.14582339999999999</v>
      </c>
      <c r="W3381">
        <v>3.7452350000000002E-2</v>
      </c>
      <c r="X3381">
        <v>0.98860139999999996</v>
      </c>
      <c r="Y3381">
        <v>7.3918479999999995E-2</v>
      </c>
      <c r="Z3381">
        <v>1.8741379999999998E-2</v>
      </c>
      <c r="AA3381">
        <v>0.99708819999999998</v>
      </c>
      <c r="AB3381">
        <v>47</v>
      </c>
      <c r="AC3381">
        <v>0.43760000000000299</v>
      </c>
      <c r="AD3381">
        <v>-9.3201000000000006E-2</v>
      </c>
      <c r="AE3381">
        <v>-0.16149999999998901</v>
      </c>
      <c r="AF3381">
        <v>6.1598401326485697E-2</v>
      </c>
      <c r="AG3381">
        <v>-9.3201000000000006E-2</v>
      </c>
      <c r="AH3381">
        <v>0.44429318206111101</v>
      </c>
      <c r="AI3381">
        <v>101.73823645951499</v>
      </c>
      <c r="AJ3381">
        <v>82.106626421343805</v>
      </c>
      <c r="AK3381">
        <v>0.458123587117021</v>
      </c>
      <c r="AL3381">
        <v>87.853636297300397</v>
      </c>
      <c r="AM3381">
        <v>81.609106760645702</v>
      </c>
      <c r="AN3381">
        <v>0.99999993529501896</v>
      </c>
    </row>
    <row r="3382" spans="1:40" x14ac:dyDescent="0.25">
      <c r="A3382" t="str">
        <f>"20190312151605848"</f>
        <v>20190312151605848</v>
      </c>
      <c r="B3382" t="str">
        <f>"1552374965841507"</f>
        <v>1552374965841507</v>
      </c>
      <c r="C3382" t="s">
        <v>40</v>
      </c>
      <c r="D3382">
        <v>4.643796</v>
      </c>
      <c r="E3382">
        <v>0.47268739999999998</v>
      </c>
      <c r="F3382" t="s">
        <v>41</v>
      </c>
      <c r="G3382">
        <v>-218.75620000000001</v>
      </c>
      <c r="H3382">
        <v>1.0121020000000001</v>
      </c>
      <c r="I3382">
        <v>212.839</v>
      </c>
      <c r="J3382">
        <v>-219.13589999999999</v>
      </c>
      <c r="K3382">
        <v>1.1045069999999999</v>
      </c>
      <c r="L3382">
        <v>212.99109999999999</v>
      </c>
      <c r="M3382">
        <v>0.9760143</v>
      </c>
      <c r="N3382">
        <v>0</v>
      </c>
      <c r="O3382">
        <v>-0.2171951</v>
      </c>
      <c r="P3382">
        <v>0.9339845</v>
      </c>
      <c r="Q3382">
        <v>2.424919E-2</v>
      </c>
      <c r="R3382">
        <v>-0.35648980000000002</v>
      </c>
      <c r="S3382">
        <v>2.8864290000000001</v>
      </c>
      <c r="T3382">
        <v>-0.31246590000000002</v>
      </c>
      <c r="U3382">
        <v>-0.87283330000000003</v>
      </c>
      <c r="V3382">
        <v>0.1455428</v>
      </c>
      <c r="W3382">
        <v>3.73094E-2</v>
      </c>
      <c r="X3382">
        <v>0.98864819999999998</v>
      </c>
      <c r="Y3382">
        <v>7.534913E-2</v>
      </c>
      <c r="Z3382">
        <v>1.8639670000000001E-2</v>
      </c>
      <c r="AA3382">
        <v>0.99698299999999995</v>
      </c>
      <c r="AB3382">
        <v>47</v>
      </c>
      <c r="AC3382">
        <v>0.37969999999998499</v>
      </c>
      <c r="AD3382">
        <v>-9.2404999999999807E-2</v>
      </c>
      <c r="AE3382">
        <v>-0.15209999999996099</v>
      </c>
      <c r="AF3382">
        <v>6.2785786756866399E-2</v>
      </c>
      <c r="AG3382">
        <v>-9.2404999999999807E-2</v>
      </c>
      <c r="AH3382">
        <v>0.38407135677634402</v>
      </c>
      <c r="AI3382">
        <v>103.35704858372701</v>
      </c>
      <c r="AJ3382">
        <v>80.715736414332994</v>
      </c>
      <c r="AK3382">
        <v>0.39998943253503699</v>
      </c>
      <c r="AL3382">
        <v>87.861832554937806</v>
      </c>
      <c r="AM3382">
        <v>81.625414504884603</v>
      </c>
      <c r="AN3382">
        <v>0.99999998066171902</v>
      </c>
    </row>
    <row r="3383" spans="1:40" x14ac:dyDescent="0.25">
      <c r="A3383" t="str">
        <f>"20190312151605869"</f>
        <v>20190312151605869</v>
      </c>
      <c r="B3383" t="str">
        <f>"1552374965861027"</f>
        <v>1552374965861027</v>
      </c>
      <c r="C3383" t="s">
        <v>40</v>
      </c>
      <c r="D3383">
        <v>4.5186739999999999</v>
      </c>
      <c r="E3383">
        <v>0.47181489999999998</v>
      </c>
      <c r="F3383" t="s">
        <v>41</v>
      </c>
      <c r="G3383">
        <v>-218.33770000000001</v>
      </c>
      <c r="H3383">
        <v>1.020824</v>
      </c>
      <c r="I3383">
        <v>212.74690000000001</v>
      </c>
      <c r="J3383">
        <v>-218.691</v>
      </c>
      <c r="K3383">
        <v>1.1046959999999999</v>
      </c>
      <c r="L3383">
        <v>212.89019999999999</v>
      </c>
      <c r="M3383">
        <v>0.9753792</v>
      </c>
      <c r="N3383">
        <v>0</v>
      </c>
      <c r="O3383">
        <v>-0.22003039999999999</v>
      </c>
      <c r="P3383">
        <v>0.93289200000000005</v>
      </c>
      <c r="Q3383">
        <v>2.452617E-2</v>
      </c>
      <c r="R3383">
        <v>-0.35932049999999999</v>
      </c>
      <c r="S3383">
        <v>2.8833160000000002</v>
      </c>
      <c r="T3383">
        <v>-0.30233359999999998</v>
      </c>
      <c r="U3383">
        <v>-0.88188169999999899</v>
      </c>
      <c r="V3383">
        <v>0.1456559</v>
      </c>
      <c r="W3383">
        <v>3.7640560000000003E-2</v>
      </c>
      <c r="X3383">
        <v>0.98861900000000003</v>
      </c>
      <c r="Y3383">
        <v>7.5579400000000005E-2</v>
      </c>
      <c r="Z3383">
        <v>1.831516E-2</v>
      </c>
      <c r="AA3383">
        <v>0.99697150000000001</v>
      </c>
      <c r="AB3383">
        <v>47</v>
      </c>
      <c r="AC3383">
        <v>0.35329999999996098</v>
      </c>
      <c r="AD3383">
        <v>-8.3871999999999905E-2</v>
      </c>
      <c r="AE3383">
        <v>-0.143299999999982</v>
      </c>
      <c r="AF3383">
        <v>5.9178057315132197E-2</v>
      </c>
      <c r="AG3383">
        <v>-8.3871999999999905E-2</v>
      </c>
      <c r="AH3383">
        <v>0.35880898396149702</v>
      </c>
      <c r="AI3383">
        <v>102.98733273789099</v>
      </c>
      <c r="AJ3383">
        <v>80.634567298186496</v>
      </c>
      <c r="AK3383">
        <v>0.37320294991207498</v>
      </c>
      <c r="AL3383">
        <v>87.842845167029097</v>
      </c>
      <c r="AM3383">
        <v>81.618755062422096</v>
      </c>
      <c r="AN3383">
        <v>0.99999999006146101</v>
      </c>
    </row>
    <row r="3384" spans="1:40" x14ac:dyDescent="0.25">
      <c r="A3384" t="str">
        <f>"20190312151605892"</f>
        <v>20190312151605892</v>
      </c>
      <c r="B3384" t="str">
        <f>"1552374965881523"</f>
        <v>1552374965881523</v>
      </c>
      <c r="C3384" t="s">
        <v>40</v>
      </c>
      <c r="D3384">
        <v>4.3735819999999999</v>
      </c>
      <c r="E3384">
        <v>0.47158159999999999</v>
      </c>
      <c r="F3384" t="s">
        <v>41</v>
      </c>
      <c r="G3384">
        <v>-217.92349999999999</v>
      </c>
      <c r="H3384">
        <v>1.0217560000000001</v>
      </c>
      <c r="I3384">
        <v>212.65469999999999</v>
      </c>
      <c r="J3384">
        <v>-218.21420000000001</v>
      </c>
      <c r="K3384">
        <v>1.104886</v>
      </c>
      <c r="L3384">
        <v>212.78059999999999</v>
      </c>
      <c r="M3384">
        <v>0.97470579999999996</v>
      </c>
      <c r="N3384">
        <v>0</v>
      </c>
      <c r="O3384">
        <v>-0.2229952</v>
      </c>
      <c r="P3384">
        <v>0.93162460000000002</v>
      </c>
      <c r="Q3384">
        <v>2.487379E-2</v>
      </c>
      <c r="R3384">
        <v>-0.36257040000000001</v>
      </c>
      <c r="S3384">
        <v>2.8833470000000001</v>
      </c>
      <c r="T3384">
        <v>-0.311608</v>
      </c>
      <c r="U3384">
        <v>-0.88439939999999995</v>
      </c>
      <c r="V3384">
        <v>0.1460861</v>
      </c>
      <c r="W3384">
        <v>3.8035579999999999E-2</v>
      </c>
      <c r="X3384">
        <v>0.98854039999999999</v>
      </c>
      <c r="Y3384">
        <v>7.3409299999999997E-2</v>
      </c>
      <c r="Z3384">
        <v>1.9286629999999999E-2</v>
      </c>
      <c r="AA3384">
        <v>0.99711539999999999</v>
      </c>
      <c r="AB3384">
        <v>47</v>
      </c>
      <c r="AC3384">
        <v>0.290700000000015</v>
      </c>
      <c r="AD3384">
        <v>-8.3130000000000107E-2</v>
      </c>
      <c r="AE3384">
        <v>-0.12590000000000101</v>
      </c>
      <c r="AF3384">
        <v>5.4167223748984299E-2</v>
      </c>
      <c r="AG3384">
        <v>-8.3130000000000107E-2</v>
      </c>
      <c r="AH3384">
        <v>0.29139141252013701</v>
      </c>
      <c r="AI3384">
        <v>105.667821140614</v>
      </c>
      <c r="AJ3384">
        <v>79.469393858897803</v>
      </c>
      <c r="AK3384">
        <v>0.30782079253869998</v>
      </c>
      <c r="AL3384">
        <v>87.820195964305896</v>
      </c>
      <c r="AM3384">
        <v>81.593695109338398</v>
      </c>
      <c r="AN3384">
        <v>0.99999998819565294</v>
      </c>
    </row>
    <row r="3385" spans="1:40" x14ac:dyDescent="0.25">
      <c r="A3385" t="str">
        <f>"20190312151605914"</f>
        <v>20190312151605914</v>
      </c>
      <c r="B3385" t="str">
        <f>"1552374965910804"</f>
        <v>1552374965910804</v>
      </c>
      <c r="C3385" t="s">
        <v>40</v>
      </c>
      <c r="D3385">
        <v>4.5383909999999998</v>
      </c>
      <c r="E3385">
        <v>0.49868600000000002</v>
      </c>
      <c r="F3385" t="s">
        <v>41</v>
      </c>
      <c r="G3385">
        <v>-217.5078</v>
      </c>
      <c r="H3385">
        <v>1.0268379999999999</v>
      </c>
      <c r="I3385">
        <v>212.56139999999999</v>
      </c>
      <c r="J3385">
        <v>-217.7612</v>
      </c>
      <c r="K3385">
        <v>1.10504</v>
      </c>
      <c r="L3385">
        <v>212.67490000000001</v>
      </c>
      <c r="M3385">
        <v>0.97406959999999998</v>
      </c>
      <c r="N3385">
        <v>0</v>
      </c>
      <c r="O3385">
        <v>-0.22575870000000001</v>
      </c>
      <c r="P3385">
        <v>0.93050089999999996</v>
      </c>
      <c r="Q3385">
        <v>2.5497969999999998E-2</v>
      </c>
      <c r="R3385">
        <v>-0.36540139999999999</v>
      </c>
      <c r="S3385">
        <v>2.881119</v>
      </c>
      <c r="T3385">
        <v>-0.318409</v>
      </c>
      <c r="U3385">
        <v>-0.89305109999999999</v>
      </c>
      <c r="V3385">
        <v>0.14628550000000001</v>
      </c>
      <c r="W3385">
        <v>3.8699799999999999E-2</v>
      </c>
      <c r="X3385">
        <v>0.98848519999999895</v>
      </c>
      <c r="Y3385">
        <v>7.357843E-2</v>
      </c>
      <c r="Z3385">
        <v>1.998699E-2</v>
      </c>
      <c r="AA3385">
        <v>0.99708909999999995</v>
      </c>
      <c r="AB3385">
        <v>47</v>
      </c>
      <c r="AC3385">
        <v>0.25339999999999901</v>
      </c>
      <c r="AD3385">
        <v>-7.8202000000000105E-2</v>
      </c>
      <c r="AE3385">
        <v>-0.113500000000016</v>
      </c>
      <c r="AF3385">
        <v>4.9434134376507198E-2</v>
      </c>
      <c r="AG3385">
        <v>-7.8202000000000105E-2</v>
      </c>
      <c r="AH3385">
        <v>0.25245661424971599</v>
      </c>
      <c r="AI3385">
        <v>106.908802221046</v>
      </c>
      <c r="AJ3385">
        <v>78.920956125819401</v>
      </c>
      <c r="AK3385">
        <v>0.26887474504680497</v>
      </c>
      <c r="AL3385">
        <v>87.782111069227696</v>
      </c>
      <c r="AM3385">
        <v>81.581921891862706</v>
      </c>
      <c r="AN3385">
        <v>1.00000005632466</v>
      </c>
    </row>
    <row r="3386" spans="1:40" x14ac:dyDescent="0.25">
      <c r="A3386" t="str">
        <f>"20190312151605936"</f>
        <v>20190312151605936</v>
      </c>
      <c r="B3386" t="str">
        <f>"1552374965931299"</f>
        <v>1552374965931299</v>
      </c>
      <c r="C3386" t="s">
        <v>40</v>
      </c>
      <c r="D3386">
        <v>4.4599279999999997</v>
      </c>
      <c r="E3386">
        <v>0.51595230000000003</v>
      </c>
      <c r="F3386" t="s">
        <v>41</v>
      </c>
      <c r="G3386">
        <v>-216.71350000000001</v>
      </c>
      <c r="H3386">
        <v>1.015226</v>
      </c>
      <c r="I3386">
        <v>212.2629</v>
      </c>
      <c r="J3386">
        <v>-217.30160000000001</v>
      </c>
      <c r="K3386">
        <v>1.105167</v>
      </c>
      <c r="L3386">
        <v>212.56630000000001</v>
      </c>
      <c r="M3386">
        <v>0.9734235</v>
      </c>
      <c r="N3386">
        <v>0</v>
      </c>
      <c r="O3386">
        <v>-0.22852829999999999</v>
      </c>
      <c r="P3386">
        <v>0.92907119999999999</v>
      </c>
      <c r="Q3386">
        <v>2.6425810000000001E-2</v>
      </c>
      <c r="R3386">
        <v>-0.3689558</v>
      </c>
      <c r="S3386">
        <v>2.7986300000000002</v>
      </c>
      <c r="T3386">
        <v>-0.2399443</v>
      </c>
      <c r="U3386">
        <v>-1.1000369999999999</v>
      </c>
      <c r="V3386">
        <v>0.14725669999999999</v>
      </c>
      <c r="W3386">
        <v>3.9652739999999999E-2</v>
      </c>
      <c r="X3386">
        <v>0.98830320000000005</v>
      </c>
      <c r="Y3386">
        <v>0.14367769999999999</v>
      </c>
      <c r="Z3386">
        <v>1.260636E-2</v>
      </c>
      <c r="AA3386">
        <v>0.98954419999999998</v>
      </c>
      <c r="AB3386">
        <v>47</v>
      </c>
      <c r="AC3386">
        <v>0.58809999999999696</v>
      </c>
      <c r="AD3386">
        <v>-8.9940999999999993E-2</v>
      </c>
      <c r="AE3386">
        <v>-0.30340000000001</v>
      </c>
      <c r="AF3386">
        <v>0.15803766169439301</v>
      </c>
      <c r="AG3386">
        <v>-8.9940999999999993E-2</v>
      </c>
      <c r="AH3386">
        <v>0.63023487970854197</v>
      </c>
      <c r="AI3386">
        <v>97.881058579377594</v>
      </c>
      <c r="AJ3386">
        <v>75.922783675091793</v>
      </c>
      <c r="AK3386">
        <v>0.65594305362285199</v>
      </c>
      <c r="AL3386">
        <v>87.727469657691202</v>
      </c>
      <c r="AM3386">
        <v>81.525304627467193</v>
      </c>
      <c r="AN3386">
        <v>1.0000000453073099</v>
      </c>
    </row>
    <row r="3387" spans="1:40" x14ac:dyDescent="0.25">
      <c r="A3387" t="str">
        <f>"20190312151605958"</f>
        <v>20190312151605958</v>
      </c>
      <c r="B3387" t="str">
        <f>"1552374965950820"</f>
        <v>1552374965950820</v>
      </c>
      <c r="C3387" t="s">
        <v>40</v>
      </c>
      <c r="D3387">
        <v>4.52576</v>
      </c>
      <c r="E3387">
        <v>0.52322639999999998</v>
      </c>
      <c r="F3387" t="s">
        <v>50</v>
      </c>
      <c r="G3387">
        <v>-205.08500000000001</v>
      </c>
      <c r="H3387">
        <v>8.0001299999999997E-2</v>
      </c>
      <c r="I3387">
        <v>207.0531</v>
      </c>
      <c r="J3387">
        <v>-216.8441</v>
      </c>
      <c r="K3387">
        <v>1.1052839999999999</v>
      </c>
      <c r="L3387">
        <v>212.45679999999999</v>
      </c>
      <c r="M3387">
        <v>0.97277769999999997</v>
      </c>
      <c r="N3387">
        <v>0</v>
      </c>
      <c r="O3387">
        <v>-0.23126260000000001</v>
      </c>
      <c r="P3387">
        <v>0.92755790000000005</v>
      </c>
      <c r="Q3387">
        <v>2.6308740000000001E-2</v>
      </c>
      <c r="R3387">
        <v>-0.37275259999999999</v>
      </c>
      <c r="S3387">
        <v>2.7438509999999998</v>
      </c>
      <c r="T3387">
        <v>-0.2302535</v>
      </c>
      <c r="U3387">
        <v>-1.2382660000000001</v>
      </c>
      <c r="V3387">
        <v>0.1485098</v>
      </c>
      <c r="W3387">
        <v>3.9552209999999997E-2</v>
      </c>
      <c r="X3387">
        <v>0.98811970000000005</v>
      </c>
      <c r="Y3387">
        <v>0.18948190000000001</v>
      </c>
      <c r="Z3387">
        <v>1.0560099999999999E-2</v>
      </c>
      <c r="AA3387">
        <v>0.98182740000000002</v>
      </c>
      <c r="AB3387">
        <v>47</v>
      </c>
      <c r="AC3387">
        <v>11.759099999999901</v>
      </c>
      <c r="AD3387">
        <v>-1.0252827</v>
      </c>
      <c r="AE3387">
        <v>-5.4036999999999802</v>
      </c>
      <c r="AF3387">
        <v>2.52161193485178</v>
      </c>
      <c r="AG3387">
        <v>-1.0252827</v>
      </c>
      <c r="AH3387">
        <v>12.610911963142399</v>
      </c>
      <c r="AI3387">
        <v>94.558157290478405</v>
      </c>
      <c r="AJ3387">
        <v>78.6925596524719</v>
      </c>
      <c r="AK3387">
        <v>12.9013500032761</v>
      </c>
      <c r="AL3387">
        <v>87.733234111730098</v>
      </c>
      <c r="AM3387">
        <v>81.452684954490394</v>
      </c>
      <c r="AN3387">
        <v>1.00000003977</v>
      </c>
    </row>
    <row r="3388" spans="1:40" x14ac:dyDescent="0.25">
      <c r="A3388" t="str">
        <f>"20190312151605984"</f>
        <v>20190312151605984</v>
      </c>
      <c r="B3388" t="str">
        <f>"1552374965971317"</f>
        <v>1552374965971317</v>
      </c>
      <c r="C3388" t="s">
        <v>40</v>
      </c>
      <c r="D3388">
        <v>4.4289699999999996</v>
      </c>
      <c r="E3388">
        <v>0.52703679999999997</v>
      </c>
      <c r="F3388" t="s">
        <v>50</v>
      </c>
      <c r="G3388">
        <v>-205.1859</v>
      </c>
      <c r="H3388">
        <v>8.0001269999999999E-2</v>
      </c>
      <c r="I3388">
        <v>206.8648</v>
      </c>
      <c r="J3388">
        <v>-216.35230000000001</v>
      </c>
      <c r="K3388">
        <v>1.1053919999999999</v>
      </c>
      <c r="L3388">
        <v>212.33770000000001</v>
      </c>
      <c r="M3388">
        <v>0.97207750000000004</v>
      </c>
      <c r="N3388">
        <v>0</v>
      </c>
      <c r="O3388">
        <v>-0.23418829999999999</v>
      </c>
      <c r="P3388">
        <v>0.92608509999999999</v>
      </c>
      <c r="Q3388">
        <v>2.5356320000000002E-2</v>
      </c>
      <c r="R3388">
        <v>-0.37646230000000003</v>
      </c>
      <c r="S3388">
        <v>2.717285</v>
      </c>
      <c r="T3388">
        <v>-0.23897189999999999</v>
      </c>
      <c r="U3388">
        <v>-1.303391</v>
      </c>
      <c r="V3388">
        <v>0.14946699999999999</v>
      </c>
      <c r="W3388">
        <v>3.8617369999999998E-2</v>
      </c>
      <c r="X3388">
        <v>0.98801229999999995</v>
      </c>
      <c r="Y3388">
        <v>0.2093457</v>
      </c>
      <c r="Z3388">
        <v>1.0395339999999999E-2</v>
      </c>
      <c r="AA3388">
        <v>0.97778640000000006</v>
      </c>
      <c r="AB3388">
        <v>47</v>
      </c>
      <c r="AC3388">
        <v>11.166399999999999</v>
      </c>
      <c r="AD3388">
        <v>-1.02539073</v>
      </c>
      <c r="AE3388">
        <v>-5.4729000000000099</v>
      </c>
      <c r="AF3388">
        <v>2.6870721380086602</v>
      </c>
      <c r="AG3388">
        <v>-1.02539073</v>
      </c>
      <c r="AH3388">
        <v>12.055669536943601</v>
      </c>
      <c r="AI3388">
        <v>94.745670893955406</v>
      </c>
      <c r="AJ3388">
        <v>77.434809759938503</v>
      </c>
      <c r="AK3388">
        <v>12.393988494751101</v>
      </c>
      <c r="AL3388">
        <v>87.786837357725901</v>
      </c>
      <c r="AM3388">
        <v>81.397494798530204</v>
      </c>
      <c r="AN3388">
        <v>0.99999999515300297</v>
      </c>
    </row>
    <row r="3389" spans="1:40" x14ac:dyDescent="0.25">
      <c r="A3389" t="str">
        <f>"20190312151606005"</f>
        <v>20190312151606005</v>
      </c>
      <c r="B3389" t="str">
        <f>"1552374966001572"</f>
        <v>1552374966001572</v>
      </c>
      <c r="C3389" t="s">
        <v>40</v>
      </c>
      <c r="D3389">
        <v>4.4711749999999997</v>
      </c>
      <c r="E3389">
        <v>0.52986929999999999</v>
      </c>
      <c r="F3389" t="s">
        <v>50</v>
      </c>
      <c r="G3389">
        <v>-204.05449999999999</v>
      </c>
      <c r="H3389">
        <v>8.0001329999999996E-2</v>
      </c>
      <c r="I3389">
        <v>206.22810000000001</v>
      </c>
      <c r="J3389">
        <v>-215.90950000000001</v>
      </c>
      <c r="K3389">
        <v>1.105478</v>
      </c>
      <c r="L3389">
        <v>212.22900000000001</v>
      </c>
      <c r="M3389">
        <v>0.97144059999999999</v>
      </c>
      <c r="N3389">
        <v>0</v>
      </c>
      <c r="O3389">
        <v>-0.2368171</v>
      </c>
      <c r="P3389">
        <v>0.92485430000000002</v>
      </c>
      <c r="Q3389">
        <v>2.5049249999999999E-2</v>
      </c>
      <c r="R3389">
        <v>-0.37949650000000001</v>
      </c>
      <c r="S3389">
        <v>2.700272</v>
      </c>
      <c r="T3389">
        <v>-0.2251486</v>
      </c>
      <c r="U3389">
        <v>-1.341507</v>
      </c>
      <c r="V3389">
        <v>0.15002179999999901</v>
      </c>
      <c r="W3389">
        <v>3.832576E-2</v>
      </c>
      <c r="X3389">
        <v>0.98793960000000003</v>
      </c>
      <c r="Y3389">
        <v>0.22018979999999999</v>
      </c>
      <c r="Z3389">
        <v>9.5853190000000001E-3</v>
      </c>
      <c r="AA3389">
        <v>0.97541</v>
      </c>
      <c r="AB3389">
        <v>47</v>
      </c>
      <c r="AC3389">
        <v>11.855</v>
      </c>
      <c r="AD3389">
        <v>-1.02547667</v>
      </c>
      <c r="AE3389">
        <v>-6.0008999999999997</v>
      </c>
      <c r="AF3389">
        <v>3.0044891449859801</v>
      </c>
      <c r="AG3389">
        <v>-1.02547667</v>
      </c>
      <c r="AH3389">
        <v>12.8623601626431</v>
      </c>
      <c r="AI3389">
        <v>94.439367941860795</v>
      </c>
      <c r="AJ3389">
        <v>76.852156769971501</v>
      </c>
      <c r="AK3389">
        <v>13.248353345853999</v>
      </c>
      <c r="AL3389">
        <v>87.803557832264403</v>
      </c>
      <c r="AM3389">
        <v>81.365418094055599</v>
      </c>
      <c r="AN3389">
        <v>1.0000000288014801</v>
      </c>
    </row>
    <row r="3390" spans="1:40" x14ac:dyDescent="0.25">
      <c r="A3390" t="str">
        <f>"20190312151606026"</f>
        <v>20190312151606026</v>
      </c>
      <c r="B3390" t="str">
        <f>"1552374966021092"</f>
        <v>1552374966021092</v>
      </c>
      <c r="C3390" t="s">
        <v>40</v>
      </c>
      <c r="D3390">
        <v>4.5957239999999997</v>
      </c>
      <c r="E3390">
        <v>0.53151000000000004</v>
      </c>
      <c r="F3390" t="s">
        <v>50</v>
      </c>
      <c r="G3390">
        <v>-203.91220000000001</v>
      </c>
      <c r="H3390">
        <v>8.0001340000000004E-2</v>
      </c>
      <c r="I3390">
        <v>206.10489999999999</v>
      </c>
      <c r="J3390">
        <v>-215.45310000000001</v>
      </c>
      <c r="K3390">
        <v>1.105553</v>
      </c>
      <c r="L3390">
        <v>212.11580000000001</v>
      </c>
      <c r="M3390">
        <v>0.97077500000000005</v>
      </c>
      <c r="N3390">
        <v>0</v>
      </c>
      <c r="O3390">
        <v>-0.23953099999999999</v>
      </c>
      <c r="P3390">
        <v>0.92356199999999999</v>
      </c>
      <c r="Q3390">
        <v>2.5604769999999999E-2</v>
      </c>
      <c r="R3390">
        <v>-0.38259339999999997</v>
      </c>
      <c r="S3390">
        <v>2.6871489999999998</v>
      </c>
      <c r="T3390">
        <v>-0.22968469999999999</v>
      </c>
      <c r="U3390">
        <v>-1.3716740000000001</v>
      </c>
      <c r="V3390">
        <v>0.1505744</v>
      </c>
      <c r="W3390">
        <v>3.8892309999999999E-2</v>
      </c>
      <c r="X3390">
        <v>0.98783339999999997</v>
      </c>
      <c r="Y3390">
        <v>0.22806580000000001</v>
      </c>
      <c r="Z3390">
        <v>9.6817910000000004E-3</v>
      </c>
      <c r="AA3390">
        <v>0.97359759999999995</v>
      </c>
      <c r="AB3390">
        <v>47</v>
      </c>
      <c r="AC3390">
        <v>11.540899999999899</v>
      </c>
      <c r="AD3390">
        <v>-1.0255516600000001</v>
      </c>
      <c r="AE3390">
        <v>-6.0109000000000199</v>
      </c>
      <c r="AF3390">
        <v>3.0522083296532698</v>
      </c>
      <c r="AG3390">
        <v>-1.0255516600000001</v>
      </c>
      <c r="AH3390">
        <v>12.566751429276399</v>
      </c>
      <c r="AI3390">
        <v>94.534226038389505</v>
      </c>
      <c r="AJ3390">
        <v>76.348362522671707</v>
      </c>
      <c r="AK3390">
        <v>12.9727010826641</v>
      </c>
      <c r="AL3390">
        <v>87.771072721484003</v>
      </c>
      <c r="AM3390">
        <v>81.333177382206401</v>
      </c>
      <c r="AN3390">
        <v>1.00000004393402</v>
      </c>
    </row>
    <row r="3391" spans="1:40" x14ac:dyDescent="0.25">
      <c r="A3391" t="str">
        <f>"20190312151606049"</f>
        <v>20190312151606049</v>
      </c>
      <c r="B3391" t="str">
        <f>"1552374966041588"</f>
        <v>1552374966041588</v>
      </c>
      <c r="C3391" t="s">
        <v>40</v>
      </c>
      <c r="D3391">
        <v>4.4739269999999998</v>
      </c>
      <c r="E3391">
        <v>0.53234309999999996</v>
      </c>
      <c r="F3391" t="s">
        <v>50</v>
      </c>
      <c r="G3391">
        <v>-203.79150000000001</v>
      </c>
      <c r="H3391">
        <v>8.0001340000000004E-2</v>
      </c>
      <c r="I3391">
        <v>206.04920000000001</v>
      </c>
      <c r="J3391">
        <v>-215.0061</v>
      </c>
      <c r="K3391">
        <v>1.105602</v>
      </c>
      <c r="L3391">
        <v>212.0035</v>
      </c>
      <c r="M3391">
        <v>0.97011009999999998</v>
      </c>
      <c r="N3391">
        <v>0</v>
      </c>
      <c r="O3391">
        <v>-0.24221010000000001</v>
      </c>
      <c r="P3391">
        <v>0.9222321</v>
      </c>
      <c r="Q3391">
        <v>2.6275630000000001E-2</v>
      </c>
      <c r="R3391">
        <v>-0.38574269999999999</v>
      </c>
      <c r="S3391">
        <v>2.677765</v>
      </c>
      <c r="T3391">
        <v>-0.2354889</v>
      </c>
      <c r="U3391">
        <v>-1.3930209999999901</v>
      </c>
      <c r="V3391">
        <v>0.151225</v>
      </c>
      <c r="W3391">
        <v>3.9566030000000002E-2</v>
      </c>
      <c r="X3391">
        <v>0.98770720000000001</v>
      </c>
      <c r="Y3391">
        <v>0.2328788</v>
      </c>
      <c r="Z3391">
        <v>9.9462049999999996E-3</v>
      </c>
      <c r="AA3391">
        <v>0.97245490000000001</v>
      </c>
      <c r="AB3391">
        <v>47</v>
      </c>
      <c r="AC3391">
        <v>11.2145999999999</v>
      </c>
      <c r="AD3391">
        <v>-1.0256006600000001</v>
      </c>
      <c r="AE3391">
        <v>-5.9542999999999804</v>
      </c>
      <c r="AF3391">
        <v>3.0405374193669199</v>
      </c>
      <c r="AG3391">
        <v>-1.0256006600000001</v>
      </c>
      <c r="AH3391">
        <v>12.243070314272201</v>
      </c>
      <c r="AI3391">
        <v>94.647938176447497</v>
      </c>
      <c r="AJ3391">
        <v>76.052896235355306</v>
      </c>
      <c r="AK3391">
        <v>12.6565988809228</v>
      </c>
      <c r="AL3391">
        <v>87.732441555733104</v>
      </c>
      <c r="AM3391">
        <v>81.295207076230497</v>
      </c>
      <c r="AN3391">
        <v>0.99999999214339996</v>
      </c>
    </row>
    <row r="3392" spans="1:40" x14ac:dyDescent="0.25">
      <c r="A3392" t="str">
        <f>"20190312151606070"</f>
        <v>20190312151606070</v>
      </c>
      <c r="B3392" t="str">
        <f>"1552374966061107"</f>
        <v>1552374966061107</v>
      </c>
      <c r="C3392" t="s">
        <v>40</v>
      </c>
      <c r="D3392">
        <v>4.5292110000000001</v>
      </c>
      <c r="E3392">
        <v>0.53317729999999997</v>
      </c>
      <c r="F3392" t="s">
        <v>50</v>
      </c>
      <c r="G3392">
        <v>-203.65520000000001</v>
      </c>
      <c r="H3392">
        <v>8.0001349999999999E-2</v>
      </c>
      <c r="I3392">
        <v>206.01730000000001</v>
      </c>
      <c r="J3392">
        <v>-214.5617</v>
      </c>
      <c r="K3392">
        <v>1.105618</v>
      </c>
      <c r="L3392">
        <v>211.8905</v>
      </c>
      <c r="M3392">
        <v>0.96943009999999996</v>
      </c>
      <c r="N3392">
        <v>0</v>
      </c>
      <c r="O3392">
        <v>-0.24491859999999999</v>
      </c>
      <c r="P3392">
        <v>0.92076400000000003</v>
      </c>
      <c r="Q3392">
        <v>2.6535690000000001E-2</v>
      </c>
      <c r="R3392">
        <v>-0.38921709999999998</v>
      </c>
      <c r="S3392">
        <v>2.670731</v>
      </c>
      <c r="T3392">
        <v>-0.24131169999999999</v>
      </c>
      <c r="U3392">
        <v>-1.4084779999999999</v>
      </c>
      <c r="V3392">
        <v>0.1521932</v>
      </c>
      <c r="W3392">
        <v>3.981664E-2</v>
      </c>
      <c r="X3392">
        <v>0.98754839999999999</v>
      </c>
      <c r="Y3392">
        <v>0.23562440000000001</v>
      </c>
      <c r="Z3392">
        <v>1.0299910000000001E-2</v>
      </c>
      <c r="AA3392">
        <v>0.97178960000000003</v>
      </c>
      <c r="AB3392">
        <v>47</v>
      </c>
      <c r="AC3392">
        <v>10.9064999999999</v>
      </c>
      <c r="AD3392">
        <v>-1.0256166499999999</v>
      </c>
      <c r="AE3392">
        <v>-5.87319999999999</v>
      </c>
      <c r="AF3392">
        <v>3.0022045013207901</v>
      </c>
      <c r="AG3392">
        <v>-1.0256166499999999</v>
      </c>
      <c r="AH3392">
        <v>11.931078994958201</v>
      </c>
      <c r="AI3392">
        <v>94.765336341950103</v>
      </c>
      <c r="AJ3392">
        <v>75.875950121029902</v>
      </c>
      <c r="AK3392">
        <v>12.345678084432601</v>
      </c>
      <c r="AL3392">
        <v>87.718071328392497</v>
      </c>
      <c r="AM3392">
        <v>81.238950661832007</v>
      </c>
      <c r="AN3392">
        <v>0.99999998864484396</v>
      </c>
    </row>
    <row r="3393" spans="1:40" x14ac:dyDescent="0.25">
      <c r="A3393" t="str">
        <f>"20190312151606093"</f>
        <v>20190312151606093</v>
      </c>
      <c r="B3393" t="str">
        <f>"1552374966081603"</f>
        <v>1552374966081603</v>
      </c>
      <c r="C3393" t="s">
        <v>40</v>
      </c>
      <c r="D3393">
        <v>4.4824929999999998</v>
      </c>
      <c r="E3393">
        <v>0.53395490000000001</v>
      </c>
      <c r="F3393" t="s">
        <v>50</v>
      </c>
      <c r="G3393">
        <v>-203.47970000000001</v>
      </c>
      <c r="H3393">
        <v>8.0001349999999999E-2</v>
      </c>
      <c r="I3393">
        <v>205.96090000000001</v>
      </c>
      <c r="J3393">
        <v>-214.1028</v>
      </c>
      <c r="K3393">
        <v>1.105604</v>
      </c>
      <c r="L3393">
        <v>211.77250000000001</v>
      </c>
      <c r="M3393">
        <v>0.96869839999999996</v>
      </c>
      <c r="N3393">
        <v>0</v>
      </c>
      <c r="O3393">
        <v>-0.24779699999999999</v>
      </c>
      <c r="P3393">
        <v>0.91908719999999999</v>
      </c>
      <c r="Q3393">
        <v>2.6164239999999998E-2</v>
      </c>
      <c r="R3393">
        <v>-0.39318530000000002</v>
      </c>
      <c r="S3393">
        <v>2.6629640000000001</v>
      </c>
      <c r="T3393">
        <v>-0.24645020000000001</v>
      </c>
      <c r="U3393">
        <v>-1.424866</v>
      </c>
      <c r="V3393">
        <v>0.15351579999999901</v>
      </c>
      <c r="W3393">
        <v>3.9420219999999999E-2</v>
      </c>
      <c r="X3393">
        <v>0.9873596</v>
      </c>
      <c r="Y3393">
        <v>0.2385669</v>
      </c>
      <c r="Z3393">
        <v>1.063596E-2</v>
      </c>
      <c r="AA3393">
        <v>0.97106780000000004</v>
      </c>
      <c r="AB3393">
        <v>47</v>
      </c>
      <c r="AC3393">
        <v>10.6230999999999</v>
      </c>
      <c r="AD3393">
        <v>-1.0256026499999999</v>
      </c>
      <c r="AE3393">
        <v>-5.8115999999999897</v>
      </c>
      <c r="AF3393">
        <v>2.9762937628647999</v>
      </c>
      <c r="AG3393">
        <v>-1.0256026499999999</v>
      </c>
      <c r="AH3393">
        <v>11.648404396582899</v>
      </c>
      <c r="AI3393">
        <v>94.875869750211606</v>
      </c>
      <c r="AJ3393">
        <v>75.6669687661593</v>
      </c>
      <c r="AK3393">
        <v>12.0662964634923</v>
      </c>
      <c r="AL3393">
        <v>87.740802432707895</v>
      </c>
      <c r="AM3393">
        <v>81.162348235247507</v>
      </c>
      <c r="AN3393">
        <v>1.0000000171533201</v>
      </c>
    </row>
    <row r="3394" spans="1:40" x14ac:dyDescent="0.25">
      <c r="A3394" t="str">
        <f>"20190312151606115"</f>
        <v>20190312151606115</v>
      </c>
      <c r="B3394" t="str">
        <f>"1552374966110887"</f>
        <v>1552374966110887</v>
      </c>
      <c r="C3394" t="s">
        <v>40</v>
      </c>
      <c r="D3394">
        <v>4.5528019999999998</v>
      </c>
      <c r="E3394">
        <v>0.53495689999999996</v>
      </c>
      <c r="F3394" t="s">
        <v>50</v>
      </c>
      <c r="G3394">
        <v>-203.32210000000001</v>
      </c>
      <c r="H3394">
        <v>8.0001349999999999E-2</v>
      </c>
      <c r="I3394">
        <v>205.91650000000001</v>
      </c>
      <c r="J3394">
        <v>-213.64570000000001</v>
      </c>
      <c r="K3394">
        <v>1.1055459999999999</v>
      </c>
      <c r="L3394">
        <v>211.6532</v>
      </c>
      <c r="M3394">
        <v>0.96792480000000003</v>
      </c>
      <c r="N3394">
        <v>0</v>
      </c>
      <c r="O3394">
        <v>-0.25080150000000001</v>
      </c>
      <c r="P3394">
        <v>0.91733779999999998</v>
      </c>
      <c r="Q3394">
        <v>2.5758119999999999E-2</v>
      </c>
      <c r="R3394">
        <v>-0.39727580000000001</v>
      </c>
      <c r="S3394">
        <v>2.6544490000000001</v>
      </c>
      <c r="T3394">
        <v>-0.25252520000000001</v>
      </c>
      <c r="U3394">
        <v>-1.4418789999999999</v>
      </c>
      <c r="V3394">
        <v>0.1548506</v>
      </c>
      <c r="W3394">
        <v>3.8974250000000002E-2</v>
      </c>
      <c r="X3394">
        <v>0.98716879999999996</v>
      </c>
      <c r="Y3394">
        <v>0.24166660000000001</v>
      </c>
      <c r="Z3394">
        <v>1.102275E-2</v>
      </c>
      <c r="AA3394">
        <v>0.97029670000000001</v>
      </c>
      <c r="AB3394">
        <v>47</v>
      </c>
      <c r="AC3394">
        <v>10.323600000000001</v>
      </c>
      <c r="AD3394">
        <v>-1.0255446499999901</v>
      </c>
      <c r="AE3394">
        <v>-5.7366999999999804</v>
      </c>
      <c r="AF3394">
        <v>2.9416657005676901</v>
      </c>
      <c r="AG3394">
        <v>-1.0255446499999901</v>
      </c>
      <c r="AH3394">
        <v>11.346943062803399</v>
      </c>
      <c r="AI3394">
        <v>94.999990037369997</v>
      </c>
      <c r="AJ3394">
        <v>75.466180600858095</v>
      </c>
      <c r="AK3394">
        <v>11.766828620896201</v>
      </c>
      <c r="AL3394">
        <v>87.766374178236902</v>
      </c>
      <c r="AM3394">
        <v>81.085039499143406</v>
      </c>
      <c r="AN3394">
        <v>0.99999997008843</v>
      </c>
    </row>
    <row r="3395" spans="1:40" x14ac:dyDescent="0.25">
      <c r="A3395" t="str">
        <f>"20190312151606137"</f>
        <v>20190312151606137</v>
      </c>
      <c r="B3395" t="str">
        <f>"1552374966131383"</f>
        <v>1552374966131383</v>
      </c>
      <c r="C3395" t="s">
        <v>40</v>
      </c>
      <c r="D3395">
        <v>4.7172109999999998</v>
      </c>
      <c r="E3395">
        <v>0.53553499999999998</v>
      </c>
      <c r="F3395" t="s">
        <v>50</v>
      </c>
      <c r="G3395">
        <v>-203.21860000000001</v>
      </c>
      <c r="H3395">
        <v>8.0001349999999999E-2</v>
      </c>
      <c r="I3395">
        <v>205.89089999999999</v>
      </c>
      <c r="J3395">
        <v>-213.1986</v>
      </c>
      <c r="K3395">
        <v>1.105475</v>
      </c>
      <c r="L3395">
        <v>211.535</v>
      </c>
      <c r="M3395">
        <v>0.96712620000000005</v>
      </c>
      <c r="N3395">
        <v>0</v>
      </c>
      <c r="O3395">
        <v>-0.25386320000000001</v>
      </c>
      <c r="P3395">
        <v>0.91530820000000002</v>
      </c>
      <c r="Q3395">
        <v>2.6483650000000001E-2</v>
      </c>
      <c r="R3395">
        <v>-0.40188239999999997</v>
      </c>
      <c r="S3395">
        <v>2.6446839999999998</v>
      </c>
      <c r="T3395">
        <v>-0.26011380000000001</v>
      </c>
      <c r="U3395">
        <v>-1.461517</v>
      </c>
      <c r="V3395">
        <v>0.15671019999999999</v>
      </c>
      <c r="W3395">
        <v>3.9644649999999997E-2</v>
      </c>
      <c r="X3395">
        <v>0.98684859999999996</v>
      </c>
      <c r="Y3395">
        <v>0.24562970000000001</v>
      </c>
      <c r="Z3395">
        <v>1.144856E-2</v>
      </c>
      <c r="AA3395">
        <v>0.96929620000000005</v>
      </c>
      <c r="AB3395">
        <v>47</v>
      </c>
      <c r="AC3395">
        <v>9.9799999999999898</v>
      </c>
      <c r="AD3395">
        <v>-1.0254736499999999</v>
      </c>
      <c r="AE3395">
        <v>-5.6440999999999999</v>
      </c>
      <c r="AF3395">
        <v>2.9021089404698501</v>
      </c>
      <c r="AG3395">
        <v>-1.0254736499999999</v>
      </c>
      <c r="AH3395">
        <v>10.9979910253714</v>
      </c>
      <c r="AI3395">
        <v>95.151625826261693</v>
      </c>
      <c r="AJ3395">
        <v>75.217949453802206</v>
      </c>
      <c r="AK3395">
        <v>11.420579630795901</v>
      </c>
      <c r="AL3395">
        <v>87.727933379074898</v>
      </c>
      <c r="AM3395">
        <v>80.976851231779605</v>
      </c>
      <c r="AN3395">
        <v>0.99999997218980996</v>
      </c>
    </row>
    <row r="3396" spans="1:40" x14ac:dyDescent="0.25">
      <c r="A3396" t="str">
        <f>"20190312151606160"</f>
        <v>20190312151606160</v>
      </c>
      <c r="B3396" t="str">
        <f>"1552374966150900"</f>
        <v>1552374966150900</v>
      </c>
      <c r="C3396" t="s">
        <v>40</v>
      </c>
      <c r="D3396">
        <v>4.5829779999999998</v>
      </c>
      <c r="E3396">
        <v>0.5360876</v>
      </c>
      <c r="F3396" t="s">
        <v>50</v>
      </c>
      <c r="G3396">
        <v>-202.7714</v>
      </c>
      <c r="H3396">
        <v>8.0001370000000002E-2</v>
      </c>
      <c r="I3396">
        <v>205.6814</v>
      </c>
      <c r="J3396">
        <v>-212.74109999999999</v>
      </c>
      <c r="K3396">
        <v>1.105372</v>
      </c>
      <c r="L3396">
        <v>211.41239999999999</v>
      </c>
      <c r="M3396">
        <v>0.96625559999999999</v>
      </c>
      <c r="N3396">
        <v>0</v>
      </c>
      <c r="O3396">
        <v>-0.25715710000000003</v>
      </c>
      <c r="P3396">
        <v>0.91284779999999999</v>
      </c>
      <c r="Q3396">
        <v>2.707157E-2</v>
      </c>
      <c r="R3396">
        <v>-0.40740169999999998</v>
      </c>
      <c r="S3396">
        <v>2.6354679999999999</v>
      </c>
      <c r="T3396">
        <v>-0.25918940000000001</v>
      </c>
      <c r="U3396">
        <v>-1.479492</v>
      </c>
      <c r="V3396">
        <v>0.159328</v>
      </c>
      <c r="W3396">
        <v>4.0157310000000002E-2</v>
      </c>
      <c r="X3396">
        <v>0.98640870000000003</v>
      </c>
      <c r="Y3396">
        <v>0.24880070000000001</v>
      </c>
      <c r="Z3396">
        <v>1.1559160000000001E-2</v>
      </c>
      <c r="AA3396">
        <v>0.9684857</v>
      </c>
      <c r="AB3396">
        <v>47</v>
      </c>
      <c r="AC3396">
        <v>9.96969999999998</v>
      </c>
      <c r="AD3396">
        <v>-1.0253706300000001</v>
      </c>
      <c r="AE3396">
        <v>-5.7309999999999901</v>
      </c>
      <c r="AF3396">
        <v>2.9506994816835999</v>
      </c>
      <c r="AG3396">
        <v>-1.0253706300000001</v>
      </c>
      <c r="AH3396">
        <v>11.020648623281099</v>
      </c>
      <c r="AI3396">
        <v>95.135671723405494</v>
      </c>
      <c r="AJ3396">
        <v>75.011033048478495</v>
      </c>
      <c r="AK3396">
        <v>11.4548115845658</v>
      </c>
      <c r="AL3396">
        <v>87.698536943728698</v>
      </c>
      <c r="AM3396">
        <v>80.824642603845803</v>
      </c>
      <c r="AN3396">
        <v>1.00000007228306</v>
      </c>
    </row>
    <row r="3397" spans="1:40" x14ac:dyDescent="0.25">
      <c r="A3397" t="str">
        <f>"20190312151606184"</f>
        <v>20190312151606184</v>
      </c>
      <c r="B3397" t="str">
        <f>"1552374966181156"</f>
        <v>1552374966181156</v>
      </c>
      <c r="C3397" t="s">
        <v>40</v>
      </c>
      <c r="D3397">
        <v>4.5660309999999997</v>
      </c>
      <c r="E3397">
        <v>0.53679639999999995</v>
      </c>
      <c r="F3397" t="s">
        <v>50</v>
      </c>
      <c r="G3397">
        <v>-202.2619</v>
      </c>
      <c r="H3397">
        <v>8.0001379999999997E-2</v>
      </c>
      <c r="I3397">
        <v>205.42410000000001</v>
      </c>
      <c r="J3397">
        <v>-212.26089999999999</v>
      </c>
      <c r="K3397">
        <v>1.105216</v>
      </c>
      <c r="L3397">
        <v>211.2817</v>
      </c>
      <c r="M3397">
        <v>0.96526959999999995</v>
      </c>
      <c r="N3397">
        <v>0</v>
      </c>
      <c r="O3397">
        <v>-0.26083400000000001</v>
      </c>
      <c r="P3397">
        <v>0.91068070000000001</v>
      </c>
      <c r="Q3397">
        <v>2.7328519999999999E-2</v>
      </c>
      <c r="R3397">
        <v>-0.41220620000000002</v>
      </c>
      <c r="S3397">
        <v>2.6246489999999998</v>
      </c>
      <c r="T3397">
        <v>-0.25681660000000001</v>
      </c>
      <c r="U3397">
        <v>-1.4998320000000001</v>
      </c>
      <c r="V3397">
        <v>0.16079079999999901</v>
      </c>
      <c r="W3397">
        <v>4.033788E-2</v>
      </c>
      <c r="X3397">
        <v>0.98616389999999998</v>
      </c>
      <c r="Y3397">
        <v>0.25248989999999999</v>
      </c>
      <c r="Z3397">
        <v>1.161529E-2</v>
      </c>
      <c r="AA3397">
        <v>0.9675298</v>
      </c>
      <c r="AB3397">
        <v>47</v>
      </c>
      <c r="AC3397">
        <v>9.9989999999999899</v>
      </c>
      <c r="AD3397">
        <v>-1.0252146200000001</v>
      </c>
      <c r="AE3397">
        <v>-5.8575999999999899</v>
      </c>
      <c r="AF3397">
        <v>3.0227611310565301</v>
      </c>
      <c r="AG3397">
        <v>-1.0252146200000001</v>
      </c>
      <c r="AH3397">
        <v>11.093993333001499</v>
      </c>
      <c r="AI3397">
        <v>95.0950937157195</v>
      </c>
      <c r="AJ3397">
        <v>74.758694791031104</v>
      </c>
      <c r="AK3397">
        <v>11.5440390654731</v>
      </c>
      <c r="AL3397">
        <v>87.688182562212603</v>
      </c>
      <c r="AM3397">
        <v>80.7395969337542</v>
      </c>
      <c r="AN3397">
        <v>1.0000000317953699</v>
      </c>
    </row>
    <row r="3398" spans="1:40" x14ac:dyDescent="0.25">
      <c r="A3398" t="str">
        <f>"20190312151606205"</f>
        <v>20190312151606205</v>
      </c>
      <c r="B3398" t="str">
        <f>"1552374966201651"</f>
        <v>1552374966201651</v>
      </c>
      <c r="C3398" t="s">
        <v>40</v>
      </c>
      <c r="D3398">
        <v>4.5429839999999997</v>
      </c>
      <c r="E3398">
        <v>0.53720769999999995</v>
      </c>
      <c r="F3398" t="s">
        <v>50</v>
      </c>
      <c r="G3398">
        <v>-201.79130000000001</v>
      </c>
      <c r="H3398">
        <v>8.0001390000000006E-2</v>
      </c>
      <c r="I3398">
        <v>205.19880000000001</v>
      </c>
      <c r="J3398">
        <v>-211.82900000000001</v>
      </c>
      <c r="K3398">
        <v>1.105051</v>
      </c>
      <c r="L3398">
        <v>211.16239999999999</v>
      </c>
      <c r="M3398">
        <v>0.96430839999999995</v>
      </c>
      <c r="N3398">
        <v>0</v>
      </c>
      <c r="O3398">
        <v>-0.26436470000000001</v>
      </c>
      <c r="P3398">
        <v>0.90828039999999999</v>
      </c>
      <c r="Q3398">
        <v>2.7455520000000001E-2</v>
      </c>
      <c r="R3398">
        <v>-0.41746040000000001</v>
      </c>
      <c r="S3398">
        <v>2.614395</v>
      </c>
      <c r="T3398">
        <v>-0.2560095</v>
      </c>
      <c r="U3398">
        <v>-1.518967</v>
      </c>
      <c r="V3398">
        <v>0.16289890000000001</v>
      </c>
      <c r="W3398">
        <v>4.0373619999999999E-2</v>
      </c>
      <c r="X3398">
        <v>0.98581640000000004</v>
      </c>
      <c r="Y3398">
        <v>0.2558916</v>
      </c>
      <c r="Z3398">
        <v>1.173945E-2</v>
      </c>
      <c r="AA3398">
        <v>0.9666342</v>
      </c>
      <c r="AB3398">
        <v>47</v>
      </c>
      <c r="AC3398">
        <v>10.037699999999999</v>
      </c>
      <c r="AD3398">
        <v>-1.0250496099999999</v>
      </c>
      <c r="AE3398">
        <v>-5.96359999999998</v>
      </c>
      <c r="AF3398">
        <v>3.0737855984440201</v>
      </c>
      <c r="AG3398">
        <v>-1.0250496099999999</v>
      </c>
      <c r="AH3398">
        <v>11.171140675728401</v>
      </c>
      <c r="AI3398">
        <v>95.055838270491705</v>
      </c>
      <c r="AJ3398">
        <v>74.615538466506607</v>
      </c>
      <c r="AK3398">
        <v>11.6315634634849</v>
      </c>
      <c r="AL3398">
        <v>87.686133132037</v>
      </c>
      <c r="AM3398">
        <v>80.617081894818298</v>
      </c>
      <c r="AN3398">
        <v>1.0000000276610299</v>
      </c>
    </row>
    <row r="3399" spans="1:40" x14ac:dyDescent="0.25">
      <c r="A3399" t="str">
        <f>"20190312151606227"</f>
        <v>20190312151606227</v>
      </c>
      <c r="B3399" t="str">
        <f>"1552374966221171"</f>
        <v>1552374966221171</v>
      </c>
      <c r="C3399" t="s">
        <v>40</v>
      </c>
      <c r="D3399">
        <v>4.5438739999999997</v>
      </c>
      <c r="E3399">
        <v>0.53751269999999995</v>
      </c>
      <c r="F3399" t="s">
        <v>50</v>
      </c>
      <c r="G3399">
        <v>-201.30719999999999</v>
      </c>
      <c r="H3399">
        <v>8.0001399999999903E-2</v>
      </c>
      <c r="I3399">
        <v>204.95089999999999</v>
      </c>
      <c r="J3399">
        <v>-211.38229999999999</v>
      </c>
      <c r="K3399">
        <v>1.1050879999999901</v>
      </c>
      <c r="L3399">
        <v>211.03729999999999</v>
      </c>
      <c r="M3399">
        <v>0.96310309999999999</v>
      </c>
      <c r="N3399">
        <v>0</v>
      </c>
      <c r="O3399">
        <v>-0.26870559999999899</v>
      </c>
      <c r="P3399">
        <v>0.90492779999999995</v>
      </c>
      <c r="Q3399">
        <v>2.794671E-2</v>
      </c>
      <c r="R3399">
        <v>-0.42464629999999998</v>
      </c>
      <c r="S3399">
        <v>2.6040649999999999</v>
      </c>
      <c r="T3399">
        <v>-0.2536911</v>
      </c>
      <c r="U3399">
        <v>-1.537277</v>
      </c>
      <c r="V3399">
        <v>0.166288299999999</v>
      </c>
      <c r="W3399">
        <v>4.1104010000000003E-2</v>
      </c>
      <c r="X3399">
        <v>0.98522010000000004</v>
      </c>
      <c r="Y3399">
        <v>0.25826110000000002</v>
      </c>
      <c r="Z3399">
        <v>1.190834E-2</v>
      </c>
      <c r="AA3399">
        <v>0.96600169999999996</v>
      </c>
      <c r="AB3399">
        <v>47</v>
      </c>
      <c r="AC3399">
        <v>10.0750999999999</v>
      </c>
      <c r="AD3399">
        <v>-1.0250865999999901</v>
      </c>
      <c r="AE3399">
        <v>-6.0863999999999896</v>
      </c>
      <c r="AF3399">
        <v>3.13120965882531</v>
      </c>
      <c r="AG3399">
        <v>-1.0250865999999901</v>
      </c>
      <c r="AH3399">
        <v>11.254754324139499</v>
      </c>
      <c r="AI3399">
        <v>95.014727521687902</v>
      </c>
      <c r="AJ3399">
        <v>74.452785452148106</v>
      </c>
      <c r="AK3399">
        <v>11.727095606404699</v>
      </c>
      <c r="AL3399">
        <v>87.644250013525394</v>
      </c>
      <c r="AM3399">
        <v>80.419744569789998</v>
      </c>
      <c r="AN3399">
        <v>0.99999999189948996</v>
      </c>
    </row>
    <row r="3400" spans="1:40" x14ac:dyDescent="0.25">
      <c r="A3400" t="str">
        <f>"20190312151606249"</f>
        <v>20190312151606249</v>
      </c>
      <c r="B3400" t="str">
        <f>"1552374966241673"</f>
        <v>1552374966241673</v>
      </c>
      <c r="C3400" t="s">
        <v>40</v>
      </c>
      <c r="D3400">
        <v>4.594036</v>
      </c>
      <c r="E3400">
        <v>0.53782369999999902</v>
      </c>
      <c r="F3400" t="s">
        <v>50</v>
      </c>
      <c r="G3400">
        <v>-201.05760000000001</v>
      </c>
      <c r="H3400">
        <v>8.0001409999999995E-2</v>
      </c>
      <c r="I3400">
        <v>204.82210000000001</v>
      </c>
      <c r="J3400">
        <v>-210.9494</v>
      </c>
      <c r="K3400">
        <v>1.105218</v>
      </c>
      <c r="L3400">
        <v>210.91489999999999</v>
      </c>
      <c r="M3400">
        <v>0.96151350000000002</v>
      </c>
      <c r="N3400">
        <v>0</v>
      </c>
      <c r="O3400">
        <v>-0.274314</v>
      </c>
      <c r="P3400">
        <v>0.90089490000000005</v>
      </c>
      <c r="Q3400">
        <v>2.7244000000000001E-2</v>
      </c>
      <c r="R3400">
        <v>-0.43318200000000001</v>
      </c>
      <c r="S3400">
        <v>2.5911870000000001</v>
      </c>
      <c r="T3400">
        <v>-0.25726639999999901</v>
      </c>
      <c r="U3400">
        <v>-1.559814</v>
      </c>
      <c r="V3400">
        <v>0.1698682</v>
      </c>
      <c r="W3400">
        <v>4.0728100000000003E-2</v>
      </c>
      <c r="X3400">
        <v>0.98462479999999997</v>
      </c>
      <c r="Y3400">
        <v>0.26092799999999999</v>
      </c>
      <c r="Z3400">
        <v>1.245288E-2</v>
      </c>
      <c r="AA3400">
        <v>0.96527799999999997</v>
      </c>
      <c r="AB3400">
        <v>47</v>
      </c>
      <c r="AC3400">
        <v>9.8917999999999893</v>
      </c>
      <c r="AD3400">
        <v>-1.0252165900000001</v>
      </c>
      <c r="AE3400">
        <v>-6.09279999999998</v>
      </c>
      <c r="AF3400">
        <v>3.1209293449942801</v>
      </c>
      <c r="AG3400">
        <v>-1.0252165900000001</v>
      </c>
      <c r="AH3400">
        <v>11.0973818475927</v>
      </c>
      <c r="AI3400">
        <v>95.082151816186595</v>
      </c>
      <c r="AJ3400">
        <v>74.2923635774698</v>
      </c>
      <c r="AK3400">
        <v>11.5733812217579</v>
      </c>
      <c r="AL3400">
        <v>87.665806117542999</v>
      </c>
      <c r="AM3400">
        <v>80.211642313077306</v>
      </c>
      <c r="AN3400">
        <v>0.99999999013794405</v>
      </c>
    </row>
    <row r="3401" spans="1:40" x14ac:dyDescent="0.25">
      <c r="A3401" t="str">
        <f>"20190312151606271"</f>
        <v>20190312151606271</v>
      </c>
      <c r="B3401" t="str">
        <f>"1552374966261188"</f>
        <v>1552374966261188</v>
      </c>
      <c r="C3401" t="s">
        <v>40</v>
      </c>
      <c r="D3401">
        <v>4.586322</v>
      </c>
      <c r="E3401">
        <v>0.56396309999999905</v>
      </c>
      <c r="F3401" t="s">
        <v>50</v>
      </c>
      <c r="G3401">
        <v>-200.93979999999999</v>
      </c>
      <c r="H3401">
        <v>8.0001409999999995E-2</v>
      </c>
      <c r="I3401">
        <v>204.74780000000001</v>
      </c>
      <c r="J3401">
        <v>-210.49209999999999</v>
      </c>
      <c r="K3401">
        <v>1.1047400000000001</v>
      </c>
      <c r="L3401">
        <v>210.7843</v>
      </c>
      <c r="M3401">
        <v>0.95937660000000002</v>
      </c>
      <c r="N3401">
        <v>0</v>
      </c>
      <c r="O3401">
        <v>-0.28168660000000001</v>
      </c>
      <c r="P3401">
        <v>0.89602440000000005</v>
      </c>
      <c r="Q3401">
        <v>2.7376029999999999E-2</v>
      </c>
      <c r="R3401">
        <v>-0.44316</v>
      </c>
      <c r="S3401">
        <v>2.5751189999999999</v>
      </c>
      <c r="T3401">
        <v>-0.26375290000000001</v>
      </c>
      <c r="U3401">
        <v>-1.586578</v>
      </c>
      <c r="V3401">
        <v>0.17335729999999999</v>
      </c>
      <c r="W3401">
        <v>4.0535130000000003E-2</v>
      </c>
      <c r="X3401">
        <v>0.98402449999999997</v>
      </c>
      <c r="Y3401">
        <v>0.26349640000000002</v>
      </c>
      <c r="Z3401">
        <v>1.331799E-2</v>
      </c>
      <c r="AA3401">
        <v>0.96456839999999999</v>
      </c>
      <c r="AB3401">
        <v>46</v>
      </c>
      <c r="AC3401">
        <v>9.5523000000000007</v>
      </c>
      <c r="AD3401">
        <v>-1.0247385899999999</v>
      </c>
      <c r="AE3401">
        <v>-6.0364999999999798</v>
      </c>
      <c r="AF3401">
        <v>3.0756144445081</v>
      </c>
      <c r="AG3401">
        <v>-1.0247385899999999</v>
      </c>
      <c r="AH3401">
        <v>10.777374987068001</v>
      </c>
      <c r="AI3401">
        <v>95.224150329513407</v>
      </c>
      <c r="AJ3401">
        <v>74.072474688277495</v>
      </c>
      <c r="AK3401">
        <v>11.2543904766531</v>
      </c>
      <c r="AL3401">
        <v>87.676871722782195</v>
      </c>
      <c r="AM3401">
        <v>80.008627132768396</v>
      </c>
      <c r="AN3401">
        <v>1.0000000334138199</v>
      </c>
    </row>
    <row r="3402" spans="1:40" x14ac:dyDescent="0.25">
      <c r="A3402" t="str">
        <f>"20190312151606294"</f>
        <v>20190312151606294</v>
      </c>
      <c r="B3402" t="str">
        <f>"1552374966291444"</f>
        <v>1552374966291444</v>
      </c>
      <c r="C3402" t="s">
        <v>40</v>
      </c>
      <c r="D3402">
        <v>4.5170219999999999</v>
      </c>
      <c r="E3402">
        <v>0.57786939999999998</v>
      </c>
      <c r="F3402" t="s">
        <v>50</v>
      </c>
      <c r="G3402">
        <v>-202.91030000000001</v>
      </c>
      <c r="H3402">
        <v>8.0001340000000004E-2</v>
      </c>
      <c r="I3402">
        <v>205.22880000000001</v>
      </c>
      <c r="J3402">
        <v>-210.0549</v>
      </c>
      <c r="K3402">
        <v>1.103361</v>
      </c>
      <c r="L3402">
        <v>210.6568</v>
      </c>
      <c r="M3402">
        <v>0.95737649999999996</v>
      </c>
      <c r="N3402">
        <v>0</v>
      </c>
      <c r="O3402">
        <v>-0.28845609999999999</v>
      </c>
      <c r="P3402">
        <v>0.89135889999999995</v>
      </c>
      <c r="Q3402">
        <v>2.935873E-2</v>
      </c>
      <c r="R3402">
        <v>-0.45234679999999999</v>
      </c>
      <c r="S3402">
        <v>2.4649510000000001</v>
      </c>
      <c r="T3402">
        <v>-0.33315739999999999</v>
      </c>
      <c r="U3402">
        <v>-1.8061830000000001</v>
      </c>
      <c r="V3402">
        <v>0.176763</v>
      </c>
      <c r="W3402">
        <v>4.0746200000000003E-2</v>
      </c>
      <c r="X3402">
        <v>0.98340959999999999</v>
      </c>
      <c r="Y3402">
        <v>0.33293440000000002</v>
      </c>
      <c r="Z3402">
        <v>1.3522330000000001E-2</v>
      </c>
      <c r="AA3402">
        <v>0.94285300000000005</v>
      </c>
      <c r="AB3402">
        <v>46</v>
      </c>
      <c r="AC3402">
        <v>7.1445999999999898</v>
      </c>
      <c r="AD3402">
        <v>-1.0233596599999999</v>
      </c>
      <c r="AE3402">
        <v>-5.4279999999999902</v>
      </c>
      <c r="AF3402">
        <v>3.0958156043241298</v>
      </c>
      <c r="AG3402">
        <v>-1.0233596599999999</v>
      </c>
      <c r="AH3402">
        <v>8.2987987267829801</v>
      </c>
      <c r="AI3402">
        <v>96.590550090062194</v>
      </c>
      <c r="AJ3402">
        <v>69.542280433189006</v>
      </c>
      <c r="AK3402">
        <v>8.9163557329969105</v>
      </c>
      <c r="AL3402">
        <v>87.664768052903298</v>
      </c>
      <c r="AM3402">
        <v>79.810176470060597</v>
      </c>
      <c r="AN3402">
        <v>0.99999992617779698</v>
      </c>
    </row>
    <row r="3403" spans="1:40" x14ac:dyDescent="0.25">
      <c r="A3403" t="str">
        <f>"20190312151606316"</f>
        <v>20190312151606316</v>
      </c>
      <c r="B3403" t="str">
        <f>"1552374966310964"</f>
        <v>1552374966310964</v>
      </c>
      <c r="C3403" t="s">
        <v>40</v>
      </c>
      <c r="D3403">
        <v>4.5391760000000003</v>
      </c>
      <c r="E3403">
        <v>0.58097080000000001</v>
      </c>
      <c r="F3403" t="s">
        <v>50</v>
      </c>
      <c r="G3403">
        <v>-198.76830000000001</v>
      </c>
      <c r="H3403" s="1">
        <v>5.0299650000000002E-6</v>
      </c>
      <c r="I3403">
        <v>201.56950000000001</v>
      </c>
      <c r="J3403">
        <v>-209.59950000000001</v>
      </c>
      <c r="K3403">
        <v>1.101788</v>
      </c>
      <c r="L3403">
        <v>210.51990000000001</v>
      </c>
      <c r="M3403">
        <v>0.95577109999999998</v>
      </c>
      <c r="N3403">
        <v>0</v>
      </c>
      <c r="O3403">
        <v>-0.29380630000000002</v>
      </c>
      <c r="P3403">
        <v>0.88716079999999997</v>
      </c>
      <c r="Q3403">
        <v>3.1736390000000003E-2</v>
      </c>
      <c r="R3403">
        <v>-0.46036779999999999</v>
      </c>
      <c r="S3403">
        <v>2.3948360000000002</v>
      </c>
      <c r="T3403">
        <v>-0.2341135</v>
      </c>
      <c r="U3403">
        <v>-1.928177</v>
      </c>
      <c r="V3403">
        <v>0.1804193</v>
      </c>
      <c r="W3403">
        <v>4.0477480000000003E-2</v>
      </c>
      <c r="X3403">
        <v>0.98275659999999998</v>
      </c>
      <c r="Y3403">
        <v>0.37035030000000002</v>
      </c>
      <c r="Z3403">
        <v>8.3866240000000005E-3</v>
      </c>
      <c r="AA3403">
        <v>0.92885430000000002</v>
      </c>
      <c r="AB3403">
        <v>46</v>
      </c>
      <c r="AC3403">
        <v>10.8311999999999</v>
      </c>
      <c r="AD3403">
        <v>-1.1017829700349999</v>
      </c>
      <c r="AE3403">
        <v>-8.9504000000000001</v>
      </c>
      <c r="AF3403">
        <v>5.3399069178193903</v>
      </c>
      <c r="AG3403">
        <v>-1.1017829700349999</v>
      </c>
      <c r="AH3403">
        <v>12.9036547802963</v>
      </c>
      <c r="AI3403">
        <v>94.511091462878397</v>
      </c>
      <c r="AJ3403">
        <v>67.518808203266502</v>
      </c>
      <c r="AK3403">
        <v>14.008313185144701</v>
      </c>
      <c r="AL3403">
        <v>87.680177558639897</v>
      </c>
      <c r="AM3403">
        <v>79.597196234163604</v>
      </c>
      <c r="AN3403">
        <v>1.00000004252159</v>
      </c>
    </row>
    <row r="3404" spans="1:40" x14ac:dyDescent="0.25">
      <c r="A3404" t="str">
        <f>"20190312151606338"</f>
        <v>20190312151606338</v>
      </c>
      <c r="B3404" t="str">
        <f>"1552374966331463"</f>
        <v>1552374966331463</v>
      </c>
      <c r="C3404" t="s">
        <v>40</v>
      </c>
      <c r="D3404">
        <v>4.5254859999999999</v>
      </c>
      <c r="E3404">
        <v>0.58246260000000005</v>
      </c>
      <c r="F3404" t="s">
        <v>50</v>
      </c>
      <c r="G3404">
        <v>-197.05590000000001</v>
      </c>
      <c r="H3404" s="1">
        <v>5.8989999999999998E-6</v>
      </c>
      <c r="I3404">
        <v>200.0592</v>
      </c>
      <c r="J3404">
        <v>-209.17070000000001</v>
      </c>
      <c r="K3404">
        <v>1.1008530000000001</v>
      </c>
      <c r="L3404">
        <v>210.38730000000001</v>
      </c>
      <c r="M3404">
        <v>0.9545093</v>
      </c>
      <c r="N3404">
        <v>0</v>
      </c>
      <c r="O3404">
        <v>-0.29794340000000002</v>
      </c>
      <c r="P3404">
        <v>0.88353459999999995</v>
      </c>
      <c r="Q3404">
        <v>3.4298639999999998E-2</v>
      </c>
      <c r="R3404">
        <v>-0.46710879999999999</v>
      </c>
      <c r="S3404">
        <v>2.3653719999999998</v>
      </c>
      <c r="T3404">
        <v>-0.20776520000000001</v>
      </c>
      <c r="U3404">
        <v>-1.9725950000000001</v>
      </c>
      <c r="V3404">
        <v>0.18390210000000001</v>
      </c>
      <c r="W3404">
        <v>4.0597069999999999E-2</v>
      </c>
      <c r="X3404">
        <v>0.98210589999999998</v>
      </c>
      <c r="Y3404">
        <v>0.38234030000000002</v>
      </c>
      <c r="Z3404">
        <v>7.2950929999999999E-3</v>
      </c>
      <c r="AA3404">
        <v>0.92399279999999995</v>
      </c>
      <c r="AB3404">
        <v>46</v>
      </c>
      <c r="AC3404">
        <v>12.114800000000001</v>
      </c>
      <c r="AD3404">
        <v>-1.1008471010000001</v>
      </c>
      <c r="AE3404">
        <v>-10.328099999999999</v>
      </c>
      <c r="AF3404">
        <v>6.2194461339872902</v>
      </c>
      <c r="AG3404">
        <v>-1.1008471010000001</v>
      </c>
      <c r="AH3404">
        <v>14.572236063531101</v>
      </c>
      <c r="AI3404">
        <v>93.974550878809197</v>
      </c>
      <c r="AJ3404">
        <v>66.887158059919599</v>
      </c>
      <c r="AK3404">
        <v>15.882173605795399</v>
      </c>
      <c r="AL3404">
        <v>87.673319941101695</v>
      </c>
      <c r="AM3404">
        <v>79.394026682075094</v>
      </c>
      <c r="AN3404">
        <v>1.0000000516459</v>
      </c>
    </row>
    <row r="3405" spans="1:40" x14ac:dyDescent="0.25">
      <c r="A3405" t="str">
        <f>"20190312151606361"</f>
        <v>20190312151606361</v>
      </c>
      <c r="B3405" t="str">
        <f>"1552374966350980"</f>
        <v>1552374966350980</v>
      </c>
      <c r="C3405" t="s">
        <v>40</v>
      </c>
      <c r="D3405">
        <v>4.570138</v>
      </c>
      <c r="E3405">
        <v>0.58296289999999995</v>
      </c>
      <c r="F3405" t="s">
        <v>50</v>
      </c>
      <c r="G3405">
        <v>-197.03360000000001</v>
      </c>
      <c r="H3405" s="1">
        <v>5.920796E-6</v>
      </c>
      <c r="I3405">
        <v>200.01429999999999</v>
      </c>
      <c r="J3405">
        <v>-208.71780000000001</v>
      </c>
      <c r="K3405">
        <v>1.1007690000000001</v>
      </c>
      <c r="L3405">
        <v>210.24369999999999</v>
      </c>
      <c r="M3405">
        <v>0.95296329999999996</v>
      </c>
      <c r="N3405">
        <v>0</v>
      </c>
      <c r="O3405">
        <v>-0.30289680000000002</v>
      </c>
      <c r="P3405">
        <v>0.87919639999999999</v>
      </c>
      <c r="Q3405">
        <v>3.7005290000000003E-2</v>
      </c>
      <c r="R3405">
        <v>-0.4750202</v>
      </c>
      <c r="S3405">
        <v>2.3444210000000001</v>
      </c>
      <c r="T3405">
        <v>-0.21264150000000001</v>
      </c>
      <c r="U3405">
        <v>-2.0036619999999998</v>
      </c>
      <c r="V3405">
        <v>0.187856</v>
      </c>
      <c r="W3405">
        <v>4.1300290000000003E-2</v>
      </c>
      <c r="X3405">
        <v>0.98132790000000003</v>
      </c>
      <c r="Y3405">
        <v>0.38869229999999999</v>
      </c>
      <c r="Z3405">
        <v>7.5833489999999996E-3</v>
      </c>
      <c r="AA3405">
        <v>0.92133640000000006</v>
      </c>
      <c r="AB3405">
        <v>46</v>
      </c>
      <c r="AC3405">
        <v>11.684200000000001</v>
      </c>
      <c r="AD3405">
        <v>-1.100763079204</v>
      </c>
      <c r="AE3405">
        <v>-10.229399999999901</v>
      </c>
      <c r="AF3405">
        <v>6.1784487015007103</v>
      </c>
      <c r="AG3405">
        <v>-1.100763079204</v>
      </c>
      <c r="AH3405">
        <v>14.1627225160178</v>
      </c>
      <c r="AI3405">
        <v>94.074800305122196</v>
      </c>
      <c r="AJ3405">
        <v>66.430895994466695</v>
      </c>
      <c r="AK3405">
        <v>15.490888185618401</v>
      </c>
      <c r="AL3405">
        <v>87.6329945041212</v>
      </c>
      <c r="AM3405">
        <v>79.162952918459595</v>
      </c>
      <c r="AN3405">
        <v>1.00000001900424</v>
      </c>
    </row>
    <row r="3406" spans="1:40" x14ac:dyDescent="0.25">
      <c r="A3406" t="str">
        <f>"20190312151606384"</f>
        <v>20190312151606384</v>
      </c>
      <c r="B3406" t="str">
        <f>"1552374966381236"</f>
        <v>1552374966381236</v>
      </c>
      <c r="C3406" t="s">
        <v>40</v>
      </c>
      <c r="D3406">
        <v>4.677956</v>
      </c>
      <c r="E3406">
        <v>0.58277849999999998</v>
      </c>
      <c r="F3406" t="s">
        <v>50</v>
      </c>
      <c r="G3406">
        <v>-196.94579999999999</v>
      </c>
      <c r="H3406" s="1">
        <v>5.96293199999999E-6</v>
      </c>
      <c r="I3406">
        <v>199.96119999999999</v>
      </c>
      <c r="J3406">
        <v>-208.2687</v>
      </c>
      <c r="K3406">
        <v>1.1012949999999999</v>
      </c>
      <c r="L3406">
        <v>210.09880000000001</v>
      </c>
      <c r="M3406">
        <v>0.95094219999999896</v>
      </c>
      <c r="N3406">
        <v>0</v>
      </c>
      <c r="O3406">
        <v>-0.30920110000000001</v>
      </c>
      <c r="P3406">
        <v>0.87426759999999903</v>
      </c>
      <c r="Q3406">
        <v>3.8512610000000003E-2</v>
      </c>
      <c r="R3406">
        <v>-0.48391410000000001</v>
      </c>
      <c r="S3406">
        <v>2.3244020000000001</v>
      </c>
      <c r="T3406">
        <v>-0.2173475</v>
      </c>
      <c r="U3406">
        <v>-2.0303040000000001</v>
      </c>
      <c r="V3406">
        <v>0.19151370000000001</v>
      </c>
      <c r="W3406">
        <v>4.1478950000000001E-2</v>
      </c>
      <c r="X3406">
        <v>0.98061310000000002</v>
      </c>
      <c r="Y3406">
        <v>0.39251390000000003</v>
      </c>
      <c r="Z3406">
        <v>8.0725989999999997E-3</v>
      </c>
      <c r="AA3406">
        <v>0.91971060000000004</v>
      </c>
      <c r="AB3406">
        <v>46</v>
      </c>
      <c r="AC3406">
        <v>11.322900000000001</v>
      </c>
      <c r="AD3406">
        <v>-1.101289037068</v>
      </c>
      <c r="AE3406">
        <v>-10.137600000000001</v>
      </c>
      <c r="AF3406">
        <v>6.10746715187648</v>
      </c>
      <c r="AG3406">
        <v>-1.101289037068</v>
      </c>
      <c r="AH3406">
        <v>13.8300810009593</v>
      </c>
      <c r="AI3406">
        <v>94.166254261973904</v>
      </c>
      <c r="AJ3406">
        <v>66.1733884312561</v>
      </c>
      <c r="AK3406">
        <v>15.158665279222699</v>
      </c>
      <c r="AL3406">
        <v>87.622749278208701</v>
      </c>
      <c r="AM3406">
        <v>78.949235018262598</v>
      </c>
      <c r="AN3406">
        <v>1.0000000262362001</v>
      </c>
    </row>
    <row r="3407" spans="1:40" x14ac:dyDescent="0.25">
      <c r="A3407" t="str">
        <f>"20190312151606406"</f>
        <v>20190312151606406</v>
      </c>
      <c r="B3407" t="str">
        <f>"1552374966400756"</f>
        <v>1552374966400756</v>
      </c>
      <c r="C3407" t="s">
        <v>40</v>
      </c>
      <c r="D3407">
        <v>4.6565709999999996</v>
      </c>
      <c r="E3407">
        <v>0.5825186</v>
      </c>
      <c r="F3407" t="s">
        <v>43</v>
      </c>
      <c r="G3407">
        <v>-195.47409999999999</v>
      </c>
      <c r="H3407" s="1">
        <v>-4.9569589999999996E-6</v>
      </c>
      <c r="I3407">
        <v>198.69970000000001</v>
      </c>
      <c r="J3407">
        <v>-207.8254</v>
      </c>
      <c r="K3407">
        <v>1.1019219999999901</v>
      </c>
      <c r="L3407">
        <v>209.95339999999999</v>
      </c>
      <c r="M3407">
        <v>0.94854579999999999</v>
      </c>
      <c r="N3407">
        <v>0</v>
      </c>
      <c r="O3407">
        <v>-0.31647979999999998</v>
      </c>
      <c r="P3407">
        <v>0.868654699999999</v>
      </c>
      <c r="Q3407">
        <v>3.964239E-2</v>
      </c>
      <c r="R3407">
        <v>-0.49382930000000003</v>
      </c>
      <c r="S3407">
        <v>2.3039700000000001</v>
      </c>
      <c r="T3407">
        <v>-0.1983153</v>
      </c>
      <c r="U3407">
        <v>-2.052689</v>
      </c>
      <c r="V3407">
        <v>0.19538459999999999</v>
      </c>
      <c r="W3407">
        <v>4.154422E-2</v>
      </c>
      <c r="X3407">
        <v>0.97984640000000001</v>
      </c>
      <c r="Y3407">
        <v>0.39454070000000002</v>
      </c>
      <c r="Z3407">
        <v>7.7972909999999996E-3</v>
      </c>
      <c r="AA3407">
        <v>0.91884540000000003</v>
      </c>
      <c r="AB3407">
        <v>46</v>
      </c>
      <c r="AC3407">
        <v>12.3513</v>
      </c>
      <c r="AD3407">
        <v>-1.10192695695899</v>
      </c>
      <c r="AE3407">
        <v>-11.253699999999901</v>
      </c>
      <c r="AF3407">
        <v>6.7367577947222603</v>
      </c>
      <c r="AG3407">
        <v>-1.10192695695899</v>
      </c>
      <c r="AH3407">
        <v>15.211960249340599</v>
      </c>
      <c r="AI3407">
        <v>93.789380595758402</v>
      </c>
      <c r="AJ3407">
        <v>66.113397608003297</v>
      </c>
      <c r="AK3407">
        <v>16.673388474774502</v>
      </c>
      <c r="AL3407">
        <v>87.619006331750398</v>
      </c>
      <c r="AM3407">
        <v>78.722945066449498</v>
      </c>
      <c r="AN3407">
        <v>1.00000001586276</v>
      </c>
    </row>
    <row r="3408" spans="1:40" x14ac:dyDescent="0.25">
      <c r="A3408" t="str">
        <f>"20190312151606429"</f>
        <v>20190312151606429</v>
      </c>
      <c r="B3408" t="str">
        <f>"1552374966421251"</f>
        <v>1552374966421251</v>
      </c>
      <c r="C3408" t="s">
        <v>40</v>
      </c>
      <c r="D3408">
        <v>4.6767289999999999</v>
      </c>
      <c r="E3408">
        <v>0.58229549999999997</v>
      </c>
      <c r="F3408" t="s">
        <v>43</v>
      </c>
      <c r="G3408">
        <v>-194.54560000000001</v>
      </c>
      <c r="H3408" s="1">
        <v>-4.5062780000000002E-6</v>
      </c>
      <c r="I3408">
        <v>197.85929999999999</v>
      </c>
      <c r="J3408">
        <v>-207.3991</v>
      </c>
      <c r="K3408">
        <v>1.1024449999999999</v>
      </c>
      <c r="L3408">
        <v>209.8107</v>
      </c>
      <c r="M3408">
        <v>0.94618599999999997</v>
      </c>
      <c r="N3408">
        <v>0</v>
      </c>
      <c r="O3408">
        <v>-0.32346619999999998</v>
      </c>
      <c r="P3408">
        <v>0.8632879</v>
      </c>
      <c r="Q3408">
        <v>4.0227980000000003E-2</v>
      </c>
      <c r="R3408">
        <v>-0.5031061</v>
      </c>
      <c r="S3408">
        <v>2.281174</v>
      </c>
      <c r="T3408">
        <v>-0.18928639999999999</v>
      </c>
      <c r="U3408">
        <v>-2.077499</v>
      </c>
      <c r="V3408">
        <v>0.19888030000000001</v>
      </c>
      <c r="W3408">
        <v>4.1076370000000001E-2</v>
      </c>
      <c r="X3408">
        <v>0.97916259999999999</v>
      </c>
      <c r="Y3408">
        <v>0.3978158</v>
      </c>
      <c r="Z3408">
        <v>7.7938759999999999E-3</v>
      </c>
      <c r="AA3408">
        <v>0.91743220000000003</v>
      </c>
      <c r="AB3408">
        <v>46</v>
      </c>
      <c r="AC3408">
        <v>12.853499999999899</v>
      </c>
      <c r="AD3408">
        <v>-1.102449506278</v>
      </c>
      <c r="AE3408">
        <v>-11.9514</v>
      </c>
      <c r="AF3408">
        <v>7.1228351773166603</v>
      </c>
      <c r="AG3408">
        <v>-1.102449506278</v>
      </c>
      <c r="AH3408">
        <v>15.9654991783376</v>
      </c>
      <c r="AI3408">
        <v>93.608338531519806</v>
      </c>
      <c r="AJ3408">
        <v>65.956476151081205</v>
      </c>
      <c r="AK3408">
        <v>17.517058539909399</v>
      </c>
      <c r="AL3408">
        <v>87.645835072680896</v>
      </c>
      <c r="AM3408">
        <v>78.518688799310397</v>
      </c>
      <c r="AN3408">
        <v>1.0000000195696099</v>
      </c>
    </row>
    <row r="3409" spans="1:40" x14ac:dyDescent="0.25">
      <c r="A3409" t="str">
        <f>"20190312151606450"</f>
        <v>20190312151606450</v>
      </c>
      <c r="B3409" t="str">
        <f>"1552374966440772"</f>
        <v>1552374966440772</v>
      </c>
      <c r="C3409" t="s">
        <v>40</v>
      </c>
      <c r="D3409">
        <v>4.649235</v>
      </c>
      <c r="E3409">
        <v>0.58244439999999997</v>
      </c>
      <c r="F3409" t="s">
        <v>43</v>
      </c>
      <c r="G3409">
        <v>-193.71190000000001</v>
      </c>
      <c r="H3409" s="1">
        <v>-4.0931090000000003E-6</v>
      </c>
      <c r="I3409">
        <v>197.0797</v>
      </c>
      <c r="J3409">
        <v>-206.97200000000001</v>
      </c>
      <c r="K3409">
        <v>1.103005</v>
      </c>
      <c r="L3409">
        <v>209.6643</v>
      </c>
      <c r="M3409">
        <v>0.94390819999999998</v>
      </c>
      <c r="N3409">
        <v>0</v>
      </c>
      <c r="O3409">
        <v>-0.33005190000000001</v>
      </c>
      <c r="P3409">
        <v>0.85831229999999903</v>
      </c>
      <c r="Q3409">
        <v>4.0880560000000003E-2</v>
      </c>
      <c r="R3409">
        <v>-0.51149670000000003</v>
      </c>
      <c r="S3409">
        <v>2.2590330000000001</v>
      </c>
      <c r="T3409">
        <v>-0.18195620000000001</v>
      </c>
      <c r="U3409">
        <v>-2.1012119999999999</v>
      </c>
      <c r="V3409">
        <v>0.2018366</v>
      </c>
      <c r="W3409">
        <v>4.0689030000000001E-2</v>
      </c>
      <c r="X3409">
        <v>0.97857369999999999</v>
      </c>
      <c r="Y3409">
        <v>0.4010822</v>
      </c>
      <c r="Z3409">
        <v>7.8056799999999997E-3</v>
      </c>
      <c r="AA3409">
        <v>0.91600879999999996</v>
      </c>
      <c r="AB3409">
        <v>46</v>
      </c>
      <c r="AC3409">
        <v>13.2600999999999</v>
      </c>
      <c r="AD3409">
        <v>-1.103009093109</v>
      </c>
      <c r="AE3409">
        <v>-12.584599999999901</v>
      </c>
      <c r="AF3409">
        <v>7.4753592601006096</v>
      </c>
      <c r="AG3409">
        <v>-1.103009093109</v>
      </c>
      <c r="AH3409">
        <v>16.610279281708099</v>
      </c>
      <c r="AI3409">
        <v>93.465333734970301</v>
      </c>
      <c r="AJ3409">
        <v>65.770150405135098</v>
      </c>
      <c r="AK3409">
        <v>18.2482602716915</v>
      </c>
      <c r="AL3409">
        <v>87.668046656523103</v>
      </c>
      <c r="AM3409">
        <v>78.345835118432902</v>
      </c>
      <c r="AN3409">
        <v>1.0000000482967899</v>
      </c>
    </row>
    <row r="3410" spans="1:40" x14ac:dyDescent="0.25">
      <c r="A3410" t="str">
        <f>"20190312151606473"</f>
        <v>20190312151606473</v>
      </c>
      <c r="B3410" t="str">
        <f>"1552374966471028"</f>
        <v>1552374966471028</v>
      </c>
      <c r="C3410" t="s">
        <v>40</v>
      </c>
      <c r="D3410">
        <v>4.6316730000000002</v>
      </c>
      <c r="E3410">
        <v>0.58254329999999999</v>
      </c>
      <c r="F3410" t="s">
        <v>43</v>
      </c>
      <c r="G3410">
        <v>-192.60489999999999</v>
      </c>
      <c r="H3410" s="1">
        <v>-3.4499959999999999E-6</v>
      </c>
      <c r="I3410">
        <v>196.0155</v>
      </c>
      <c r="J3410">
        <v>-206.52260000000001</v>
      </c>
      <c r="K3410">
        <v>1.104193</v>
      </c>
      <c r="L3410">
        <v>209.50640000000001</v>
      </c>
      <c r="M3410">
        <v>0.94214560000000003</v>
      </c>
      <c r="N3410">
        <v>0</v>
      </c>
      <c r="O3410">
        <v>-0.33503250000000001</v>
      </c>
      <c r="P3410">
        <v>0.85387690000000005</v>
      </c>
      <c r="Q3410">
        <v>4.1284840000000003E-2</v>
      </c>
      <c r="R3410">
        <v>-0.51883550000000001</v>
      </c>
      <c r="S3410">
        <v>2.2369690000000002</v>
      </c>
      <c r="T3410">
        <v>-0.1717397</v>
      </c>
      <c r="U3410">
        <v>-2.1251370000000001</v>
      </c>
      <c r="V3410">
        <v>0.2052669</v>
      </c>
      <c r="W3410">
        <v>4.0685209999999999E-2</v>
      </c>
      <c r="X3410">
        <v>0.97785999999999995</v>
      </c>
      <c r="Y3410">
        <v>0.40591319999999997</v>
      </c>
      <c r="Z3410">
        <v>7.5204879999999997E-3</v>
      </c>
      <c r="AA3410">
        <v>0.91388069999999999</v>
      </c>
      <c r="AB3410">
        <v>46</v>
      </c>
      <c r="AC3410">
        <v>13.9177</v>
      </c>
      <c r="AD3410">
        <v>-1.104196449996</v>
      </c>
      <c r="AE3410">
        <v>-13.4909</v>
      </c>
      <c r="AF3410">
        <v>8.0219396565823793</v>
      </c>
      <c r="AG3410">
        <v>-1.104196449996</v>
      </c>
      <c r="AH3410">
        <v>17.576363664893901</v>
      </c>
      <c r="AI3410">
        <v>93.270991344268296</v>
      </c>
      <c r="AJ3410">
        <v>65.467808472864803</v>
      </c>
      <c r="AK3410">
        <v>19.351985048946201</v>
      </c>
      <c r="AL3410">
        <v>87.668265555612805</v>
      </c>
      <c r="AM3410">
        <v>78.144918054574305</v>
      </c>
      <c r="AN3410">
        <v>0.99999998307417604</v>
      </c>
    </row>
    <row r="3411" spans="1:40" x14ac:dyDescent="0.25">
      <c r="A3411" t="str">
        <f>"20190312151606495"</f>
        <v>20190312151606495</v>
      </c>
      <c r="B3411" t="str">
        <f>"1552374966491524"</f>
        <v>1552374966491524</v>
      </c>
      <c r="C3411" t="s">
        <v>40</v>
      </c>
      <c r="D3411">
        <v>4.6626580000000004</v>
      </c>
      <c r="E3411">
        <v>0.58251980000000003</v>
      </c>
      <c r="F3411" t="s">
        <v>43</v>
      </c>
      <c r="G3411">
        <v>-192.2758</v>
      </c>
      <c r="H3411" s="1">
        <v>-3.2357109999999999E-6</v>
      </c>
      <c r="I3411">
        <v>195.72020000000001</v>
      </c>
      <c r="J3411">
        <v>-206.10300000000001</v>
      </c>
      <c r="K3411">
        <v>1.1063379999999901</v>
      </c>
      <c r="L3411">
        <v>209.35480000000001</v>
      </c>
      <c r="M3411">
        <v>0.94113179999999996</v>
      </c>
      <c r="N3411">
        <v>0</v>
      </c>
      <c r="O3411">
        <v>-0.33784619999999999</v>
      </c>
      <c r="P3411">
        <v>0.85061759999999997</v>
      </c>
      <c r="Q3411">
        <v>4.0961740000000003E-2</v>
      </c>
      <c r="R3411">
        <v>-0.52418699999999996</v>
      </c>
      <c r="S3411">
        <v>2.2177120000000001</v>
      </c>
      <c r="T3411">
        <v>-0.17188239999999999</v>
      </c>
      <c r="U3411">
        <v>-2.1460110000000001</v>
      </c>
      <c r="V3411">
        <v>0.208566</v>
      </c>
      <c r="W3411">
        <v>4.0512270000000003E-2</v>
      </c>
      <c r="X3411">
        <v>0.97716890000000001</v>
      </c>
      <c r="Y3411">
        <v>0.41157660000000001</v>
      </c>
      <c r="Z3411">
        <v>7.524078E-3</v>
      </c>
      <c r="AA3411">
        <v>0.91134409999999999</v>
      </c>
      <c r="AB3411">
        <v>46</v>
      </c>
      <c r="AC3411">
        <v>13.8271999999999</v>
      </c>
      <c r="AD3411">
        <v>-1.1063412357109901</v>
      </c>
      <c r="AE3411">
        <v>-13.634600000000001</v>
      </c>
      <c r="AF3411">
        <v>8.1346189626007295</v>
      </c>
      <c r="AG3411">
        <v>-1.1063412357109901</v>
      </c>
      <c r="AH3411">
        <v>17.563759187141599</v>
      </c>
      <c r="AI3411">
        <v>93.271313381527307</v>
      </c>
      <c r="AJ3411">
        <v>65.148883559904505</v>
      </c>
      <c r="AK3411">
        <v>19.3876675590551</v>
      </c>
      <c r="AL3411">
        <v>87.6781825957504</v>
      </c>
      <c r="AM3411">
        <v>77.951631625380301</v>
      </c>
      <c r="AN3411">
        <v>1.00000003975188</v>
      </c>
    </row>
    <row r="3412" spans="1:40" x14ac:dyDescent="0.25">
      <c r="A3412" t="str">
        <f>"20190312151606517"</f>
        <v>20190312151606517</v>
      </c>
      <c r="B3412" t="str">
        <f>"1552374966511044"</f>
        <v>1552374966511044</v>
      </c>
      <c r="C3412" t="s">
        <v>40</v>
      </c>
      <c r="D3412">
        <v>4.6730960000000001</v>
      </c>
      <c r="E3412">
        <v>0.5824821</v>
      </c>
      <c r="F3412" t="s">
        <v>43</v>
      </c>
      <c r="G3412">
        <v>-192.45689999999999</v>
      </c>
      <c r="H3412" s="1">
        <v>-3.395493E-6</v>
      </c>
      <c r="I3412">
        <v>195.9803</v>
      </c>
      <c r="J3412">
        <v>-205.6763</v>
      </c>
      <c r="K3412">
        <v>1.109426</v>
      </c>
      <c r="L3412">
        <v>209.19630000000001</v>
      </c>
      <c r="M3412">
        <v>0.94028080000000003</v>
      </c>
      <c r="N3412">
        <v>0</v>
      </c>
      <c r="O3412">
        <v>-0.34019749999999999</v>
      </c>
      <c r="P3412">
        <v>0.84782579999999996</v>
      </c>
      <c r="Q3412">
        <v>4.0535509999999997E-2</v>
      </c>
      <c r="R3412">
        <v>-0.52872369999999902</v>
      </c>
      <c r="S3412">
        <v>2.2041930000000001</v>
      </c>
      <c r="T3412">
        <v>-0.17870239999999901</v>
      </c>
      <c r="U3412">
        <v>-2.1603240000000001</v>
      </c>
      <c r="V3412">
        <v>0.2113217</v>
      </c>
      <c r="W3412">
        <v>4.0226869999999998E-2</v>
      </c>
      <c r="X3412">
        <v>0.97658840000000002</v>
      </c>
      <c r="Y3412">
        <v>0.41509570000000001</v>
      </c>
      <c r="Z3412">
        <v>7.8579630000000008E-3</v>
      </c>
      <c r="AA3412">
        <v>0.90974379999999999</v>
      </c>
      <c r="AB3412">
        <v>46</v>
      </c>
      <c r="AC3412">
        <v>13.2194</v>
      </c>
      <c r="AD3412">
        <v>-1.1094293954929999</v>
      </c>
      <c r="AE3412">
        <v>-13.215999999999999</v>
      </c>
      <c r="AF3412">
        <v>7.9022540303806998</v>
      </c>
      <c r="AG3412">
        <v>-1.1094293954929999</v>
      </c>
      <c r="AH3412">
        <v>16.8677459264579</v>
      </c>
      <c r="AI3412">
        <v>93.408519582856997</v>
      </c>
      <c r="AJ3412">
        <v>64.8977034770394</v>
      </c>
      <c r="AK3412">
        <v>18.660045685469001</v>
      </c>
      <c r="AL3412">
        <v>87.694548019465799</v>
      </c>
      <c r="AM3412">
        <v>77.790146114367701</v>
      </c>
      <c r="AN3412">
        <v>0.99999998248772304</v>
      </c>
    </row>
    <row r="3413" spans="1:40" x14ac:dyDescent="0.25">
      <c r="A3413" t="str">
        <f>"20190312151606540"</f>
        <v>20190312151606540</v>
      </c>
      <c r="B3413" t="str">
        <f>"1552374966531540"</f>
        <v>1552374966531540</v>
      </c>
      <c r="C3413" t="s">
        <v>40</v>
      </c>
      <c r="D3413">
        <v>4.6875470000000004</v>
      </c>
      <c r="E3413">
        <v>0.58245150000000001</v>
      </c>
      <c r="F3413" t="s">
        <v>43</v>
      </c>
      <c r="G3413">
        <v>-192.7954</v>
      </c>
      <c r="H3413" s="1">
        <v>-3.6811849999999998E-6</v>
      </c>
      <c r="I3413">
        <v>196.43629999999999</v>
      </c>
      <c r="J3413">
        <v>-205.25059999999999</v>
      </c>
      <c r="K3413">
        <v>1.1130580000000001</v>
      </c>
      <c r="L3413">
        <v>209.0343</v>
      </c>
      <c r="M3413">
        <v>0.93872080000000002</v>
      </c>
      <c r="N3413">
        <v>0</v>
      </c>
      <c r="O3413">
        <v>-0.34450350000000002</v>
      </c>
      <c r="P3413">
        <v>0.84376410000000002</v>
      </c>
      <c r="Q3413">
        <v>4.0928480000000003E-2</v>
      </c>
      <c r="R3413">
        <v>-0.5351515</v>
      </c>
      <c r="S3413">
        <v>2.192841</v>
      </c>
      <c r="T3413">
        <v>-0.1888677</v>
      </c>
      <c r="U3413">
        <v>-2.1722410000000001</v>
      </c>
      <c r="V3413">
        <v>0.21418780000000001</v>
      </c>
      <c r="W3413">
        <v>4.0072980000000001E-2</v>
      </c>
      <c r="X3413">
        <v>0.97597009999999995</v>
      </c>
      <c r="Y3413">
        <v>0.41576940000000001</v>
      </c>
      <c r="Z3413">
        <v>8.56495E-3</v>
      </c>
      <c r="AA3413">
        <v>0.90942970000000001</v>
      </c>
      <c r="AB3413">
        <v>45</v>
      </c>
      <c r="AC3413">
        <v>12.4551999999999</v>
      </c>
      <c r="AD3413">
        <v>-1.113061681185</v>
      </c>
      <c r="AE3413">
        <v>-12.598000000000001</v>
      </c>
      <c r="AF3413">
        <v>7.5059688407635399</v>
      </c>
      <c r="AG3413">
        <v>-1.113061681185</v>
      </c>
      <c r="AH3413">
        <v>15.969935043325201</v>
      </c>
      <c r="AI3413">
        <v>93.609297082990196</v>
      </c>
      <c r="AJ3413">
        <v>64.826183467039499</v>
      </c>
      <c r="AK3413">
        <v>17.680986958670101</v>
      </c>
      <c r="AL3413">
        <v>87.703372300383506</v>
      </c>
      <c r="AM3413">
        <v>77.622017668718698</v>
      </c>
      <c r="AN3413">
        <v>0.99999994674446302</v>
      </c>
    </row>
    <row r="3414" spans="1:40" x14ac:dyDescent="0.25">
      <c r="A3414" t="str">
        <f>"20190312151606562"</f>
        <v>20190312151606562</v>
      </c>
      <c r="B3414" t="str">
        <f>"1552374966551060"</f>
        <v>1552374966551060</v>
      </c>
      <c r="C3414" t="s">
        <v>40</v>
      </c>
      <c r="D3414">
        <v>4.7803760000000004</v>
      </c>
      <c r="E3414">
        <v>0.58202540000000003</v>
      </c>
      <c r="F3414" t="s">
        <v>43</v>
      </c>
      <c r="G3414">
        <v>-192.93510000000001</v>
      </c>
      <c r="H3414" s="1">
        <v>-3.80896E-6</v>
      </c>
      <c r="I3414">
        <v>196.6497</v>
      </c>
      <c r="J3414">
        <v>-204.8098</v>
      </c>
      <c r="K3414">
        <v>1.117124</v>
      </c>
      <c r="L3414">
        <v>208.86340000000001</v>
      </c>
      <c r="M3414">
        <v>0.93624309999999999</v>
      </c>
      <c r="N3414">
        <v>0</v>
      </c>
      <c r="O3414">
        <v>-0.35122109999999901</v>
      </c>
      <c r="P3414">
        <v>0.83843539999999905</v>
      </c>
      <c r="Q3414">
        <v>4.2462809999999997E-2</v>
      </c>
      <c r="R3414">
        <v>-0.54334439999999995</v>
      </c>
      <c r="S3414">
        <v>2.1767120000000002</v>
      </c>
      <c r="T3414">
        <v>-0.19672870000000001</v>
      </c>
      <c r="U3414">
        <v>-2.1889340000000002</v>
      </c>
      <c r="V3414">
        <v>0.2166373</v>
      </c>
      <c r="W3414">
        <v>4.0694750000000002E-2</v>
      </c>
      <c r="X3414">
        <v>0.97540360000000004</v>
      </c>
      <c r="Y3414">
        <v>0.41609410000000002</v>
      </c>
      <c r="Z3414">
        <v>9.3702730000000001E-3</v>
      </c>
      <c r="AA3414">
        <v>0.90927329999999995</v>
      </c>
      <c r="AB3414">
        <v>46</v>
      </c>
      <c r="AC3414">
        <v>11.874699999999899</v>
      </c>
      <c r="AD3414">
        <v>-1.1171278089600001</v>
      </c>
      <c r="AE3414">
        <v>-12.213699999999999</v>
      </c>
      <c r="AF3414">
        <v>7.2335744535814097</v>
      </c>
      <c r="AG3414">
        <v>-1.1171278089600001</v>
      </c>
      <c r="AH3414">
        <v>15.342047737558101</v>
      </c>
      <c r="AI3414">
        <v>93.768135462987203</v>
      </c>
      <c r="AJ3414">
        <v>64.756736725037499</v>
      </c>
      <c r="AK3414">
        <v>16.998558841812699</v>
      </c>
      <c r="AL3414">
        <v>87.667718499842593</v>
      </c>
      <c r="AM3414">
        <v>77.477856755380202</v>
      </c>
      <c r="AN3414">
        <v>0.99999998266090595</v>
      </c>
    </row>
    <row r="3415" spans="1:40" x14ac:dyDescent="0.25">
      <c r="A3415" t="str">
        <f>"20190312151606585"</f>
        <v>20190312151606585</v>
      </c>
      <c r="B3415" t="str">
        <f>"1552374966581316"</f>
        <v>1552374966581316</v>
      </c>
      <c r="C3415" t="s">
        <v>40</v>
      </c>
      <c r="D3415">
        <v>4.6923709999999996</v>
      </c>
      <c r="E3415">
        <v>0.58137299999999903</v>
      </c>
      <c r="F3415" t="s">
        <v>43</v>
      </c>
      <c r="G3415">
        <v>-192.99709999999999</v>
      </c>
      <c r="H3415" s="1">
        <v>-3.8643079999999998E-6</v>
      </c>
      <c r="I3415">
        <v>196.78</v>
      </c>
      <c r="J3415">
        <v>-204.3922</v>
      </c>
      <c r="K3415">
        <v>1.121011</v>
      </c>
      <c r="L3415">
        <v>208.69839999999999</v>
      </c>
      <c r="M3415">
        <v>0.93341320000000005</v>
      </c>
      <c r="N3415">
        <v>0</v>
      </c>
      <c r="O3415">
        <v>-0.35870159999999901</v>
      </c>
      <c r="P3415">
        <v>0.83267809999999898</v>
      </c>
      <c r="Q3415">
        <v>4.3684769999999998E-2</v>
      </c>
      <c r="R3415">
        <v>-0.55203230000000003</v>
      </c>
      <c r="S3415">
        <v>2.1579280000000001</v>
      </c>
      <c r="T3415">
        <v>-0.20407410000000001</v>
      </c>
      <c r="U3415">
        <v>-2.2073670000000001</v>
      </c>
      <c r="V3415">
        <v>0.21890999999999999</v>
      </c>
      <c r="W3415">
        <v>4.1235969999999997E-2</v>
      </c>
      <c r="X3415">
        <v>0.97487330000000005</v>
      </c>
      <c r="Y3415">
        <v>0.41657499999999997</v>
      </c>
      <c r="Z3415">
        <v>1.023697E-2</v>
      </c>
      <c r="AA3415">
        <v>0.90904370000000001</v>
      </c>
      <c r="AB3415">
        <v>46</v>
      </c>
      <c r="AC3415">
        <v>11.395099999999999</v>
      </c>
      <c r="AD3415">
        <v>-1.121014864308</v>
      </c>
      <c r="AE3415">
        <v>-11.918399999999901</v>
      </c>
      <c r="AF3415">
        <v>7.0052306558346196</v>
      </c>
      <c r="AG3415">
        <v>-1.121014864308</v>
      </c>
      <c r="AH3415">
        <v>14.843425319729601</v>
      </c>
      <c r="AI3415">
        <v>93.907156931420502</v>
      </c>
      <c r="AJ3415">
        <v>64.735423597835705</v>
      </c>
      <c r="AK3415">
        <v>16.451662715051999</v>
      </c>
      <c r="AL3415">
        <v>87.6366828000086</v>
      </c>
      <c r="AM3415">
        <v>77.344036478441495</v>
      </c>
      <c r="AN3415">
        <v>0.99999997218736503</v>
      </c>
    </row>
    <row r="3416" spans="1:40" x14ac:dyDescent="0.25">
      <c r="A3416" t="str">
        <f>"20190312151606607"</f>
        <v>20190312151606607</v>
      </c>
      <c r="B3416" t="str">
        <f>"1552374966600836"</f>
        <v>1552374966600836</v>
      </c>
      <c r="C3416" t="s">
        <v>40</v>
      </c>
      <c r="D3416">
        <v>4.7127420000000004</v>
      </c>
      <c r="E3416">
        <v>0.580928</v>
      </c>
      <c r="F3416" t="s">
        <v>43</v>
      </c>
      <c r="G3416">
        <v>-193.58109999999999</v>
      </c>
      <c r="H3416" s="1">
        <v>-4.194821E-6</v>
      </c>
      <c r="I3416">
        <v>197.4468</v>
      </c>
      <c r="J3416">
        <v>-203.95670000000001</v>
      </c>
      <c r="K3416">
        <v>1.1253550000000001</v>
      </c>
      <c r="L3416">
        <v>208.52260000000001</v>
      </c>
      <c r="M3416">
        <v>0.93026819999999999</v>
      </c>
      <c r="N3416">
        <v>0</v>
      </c>
      <c r="O3416">
        <v>-0.36679070000000003</v>
      </c>
      <c r="P3416">
        <v>0.82647289999999995</v>
      </c>
      <c r="Q3416">
        <v>4.3720219999999997E-2</v>
      </c>
      <c r="R3416">
        <v>-0.56127660000000001</v>
      </c>
      <c r="S3416">
        <v>2.138779</v>
      </c>
      <c r="T3416">
        <v>-0.2217741</v>
      </c>
      <c r="U3416">
        <v>-2.2259370000000001</v>
      </c>
      <c r="V3416">
        <v>0.22119340000000001</v>
      </c>
      <c r="W3416">
        <v>4.1250269999999999E-2</v>
      </c>
      <c r="X3416">
        <v>0.97435720000000003</v>
      </c>
      <c r="Y3416">
        <v>0.41653180000000001</v>
      </c>
      <c r="Z3416">
        <v>1.175354E-2</v>
      </c>
      <c r="AA3416">
        <v>0.9090452</v>
      </c>
      <c r="AB3416">
        <v>46</v>
      </c>
      <c r="AC3416">
        <v>10.3756</v>
      </c>
      <c r="AD3416">
        <v>-1.12535919482099</v>
      </c>
      <c r="AE3416">
        <v>-11.075799999999999</v>
      </c>
      <c r="AF3416">
        <v>6.4624708379170901</v>
      </c>
      <c r="AG3416">
        <v>-1.12535919482099</v>
      </c>
      <c r="AH3416">
        <v>13.6400426358444</v>
      </c>
      <c r="AI3416">
        <v>94.264032324198993</v>
      </c>
      <c r="AJ3416">
        <v>64.649027993481894</v>
      </c>
      <c r="AK3416">
        <v>15.1354129694551</v>
      </c>
      <c r="AL3416">
        <v>87.6358629072014</v>
      </c>
      <c r="AM3416">
        <v>77.209792885293197</v>
      </c>
      <c r="AN3416">
        <v>1.00000002908523</v>
      </c>
    </row>
    <row r="3417" spans="1:40" x14ac:dyDescent="0.25">
      <c r="A3417" t="str">
        <f>"20190312151606630"</f>
        <v>20190312151606630</v>
      </c>
      <c r="B3417" t="str">
        <f>"1552374966621331"</f>
        <v>1552374966621331</v>
      </c>
      <c r="C3417" t="s">
        <v>40</v>
      </c>
      <c r="D3417">
        <v>4.6901929999999998</v>
      </c>
      <c r="E3417">
        <v>0.58051560000000002</v>
      </c>
      <c r="F3417" t="s">
        <v>43</v>
      </c>
      <c r="G3417">
        <v>-193.761</v>
      </c>
      <c r="H3417" s="1">
        <v>-4.3140589999999901E-6</v>
      </c>
      <c r="I3417">
        <v>197.70339999999999</v>
      </c>
      <c r="J3417">
        <v>-203.53819999999999</v>
      </c>
      <c r="K3417">
        <v>1.130179</v>
      </c>
      <c r="L3417">
        <v>208.34950000000001</v>
      </c>
      <c r="M3417">
        <v>0.92715380000000003</v>
      </c>
      <c r="N3417">
        <v>0</v>
      </c>
      <c r="O3417">
        <v>-0.37458740000000001</v>
      </c>
      <c r="P3417">
        <v>0.82040069999999998</v>
      </c>
      <c r="Q3417">
        <v>4.3046109999999999E-2</v>
      </c>
      <c r="R3417">
        <v>-0.57016619999999996</v>
      </c>
      <c r="S3417">
        <v>2.1167910000000001</v>
      </c>
      <c r="T3417">
        <v>-0.2336434</v>
      </c>
      <c r="U3417">
        <v>-2.2462460000000002</v>
      </c>
      <c r="V3417">
        <v>0.22337789999999999</v>
      </c>
      <c r="W3417">
        <v>4.1359849999999997E-2</v>
      </c>
      <c r="X3417">
        <v>0.97385409999999994</v>
      </c>
      <c r="Y3417">
        <v>0.41771160000000002</v>
      </c>
      <c r="Z3417">
        <v>1.297535E-2</v>
      </c>
      <c r="AA3417">
        <v>0.90848700000000004</v>
      </c>
      <c r="AB3417">
        <v>46</v>
      </c>
      <c r="AC3417">
        <v>9.7771999999999899</v>
      </c>
      <c r="AD3417">
        <v>-1.1301833140590001</v>
      </c>
      <c r="AE3417">
        <v>-10.646100000000001</v>
      </c>
      <c r="AF3417">
        <v>6.1706494622365202</v>
      </c>
      <c r="AG3417">
        <v>-1.1301833140590001</v>
      </c>
      <c r="AH3417">
        <v>12.9740039589164</v>
      </c>
      <c r="AI3417">
        <v>94.498020323643999</v>
      </c>
      <c r="AJ3417">
        <v>64.563471715462597</v>
      </c>
      <c r="AK3417">
        <v>14.411072404063299</v>
      </c>
      <c r="AL3417">
        <v>87.629579160069497</v>
      </c>
      <c r="AM3417">
        <v>77.081244349875007</v>
      </c>
      <c r="AN3417">
        <v>1.0000000657436099</v>
      </c>
    </row>
    <row r="3418" spans="1:40" x14ac:dyDescent="0.25">
      <c r="A3418" t="str">
        <f>"20190312151606651"</f>
        <v>20190312151606651</v>
      </c>
      <c r="B3418" t="str">
        <f>"1552374966640852"</f>
        <v>1552374966640852</v>
      </c>
      <c r="C3418" t="s">
        <v>40</v>
      </c>
      <c r="D3418">
        <v>4.766114</v>
      </c>
      <c r="E3418">
        <v>0.58035319999999901</v>
      </c>
      <c r="F3418" t="s">
        <v>43</v>
      </c>
      <c r="G3418">
        <v>-193.91380000000001</v>
      </c>
      <c r="H3418" s="1">
        <v>-4.4226779999999998E-6</v>
      </c>
      <c r="I3418">
        <v>197.94300000000001</v>
      </c>
      <c r="J3418">
        <v>-203.12729999999999</v>
      </c>
      <c r="K3418">
        <v>1.1352580000000001</v>
      </c>
      <c r="L3418">
        <v>208.17500000000001</v>
      </c>
      <c r="M3418">
        <v>0.92386639999999998</v>
      </c>
      <c r="N3418">
        <v>0</v>
      </c>
      <c r="O3418">
        <v>-0.38261250000000002</v>
      </c>
      <c r="P3418">
        <v>0.81449329999999998</v>
      </c>
      <c r="Q3418">
        <v>4.1874670000000003E-2</v>
      </c>
      <c r="R3418">
        <v>-0.57865979999999995</v>
      </c>
      <c r="S3418">
        <v>2.0951840000000002</v>
      </c>
      <c r="T3418">
        <v>-0.2460349</v>
      </c>
      <c r="U3418">
        <v>-2.2654420000000002</v>
      </c>
      <c r="V3418">
        <v>0.22486339999999999</v>
      </c>
      <c r="W3418">
        <v>4.1304109999999998E-2</v>
      </c>
      <c r="X3418">
        <v>0.9735144</v>
      </c>
      <c r="Y3418">
        <v>0.41833999999999999</v>
      </c>
      <c r="Z3418">
        <v>1.433359E-2</v>
      </c>
      <c r="AA3418">
        <v>0.90817740000000002</v>
      </c>
      <c r="AB3418">
        <v>45</v>
      </c>
      <c r="AC3418">
        <v>9.2134999999999803</v>
      </c>
      <c r="AD3418">
        <v>-1.1352624226779999</v>
      </c>
      <c r="AE3418">
        <v>-10.231999999999999</v>
      </c>
      <c r="AF3418">
        <v>5.8880056719978402</v>
      </c>
      <c r="AG3418">
        <v>-1.1352624226779999</v>
      </c>
      <c r="AH3418">
        <v>12.343508524367699</v>
      </c>
      <c r="AI3418">
        <v>94.7453441264188</v>
      </c>
      <c r="AJ3418">
        <v>64.498282790708799</v>
      </c>
      <c r="AK3418">
        <v>13.722960112634601</v>
      </c>
      <c r="AL3418">
        <v>87.632775242636001</v>
      </c>
      <c r="AM3418">
        <v>76.993859818269897</v>
      </c>
      <c r="AN3418">
        <v>0.99999993258490305</v>
      </c>
    </row>
    <row r="3419" spans="1:40" x14ac:dyDescent="0.25">
      <c r="A3419" t="str">
        <f>"20190312151606675"</f>
        <v>20190312151606675</v>
      </c>
      <c r="B3419" t="str">
        <f>"1552374966671109"</f>
        <v>1552374966671109</v>
      </c>
      <c r="C3419" t="s">
        <v>40</v>
      </c>
      <c r="D3419">
        <v>4.7211439999999998</v>
      </c>
      <c r="E3419">
        <v>0.57188240000000001</v>
      </c>
      <c r="F3419" t="s">
        <v>43</v>
      </c>
      <c r="G3419">
        <v>-193.97380000000001</v>
      </c>
      <c r="H3419" s="1">
        <v>-4.4824329999999999E-6</v>
      </c>
      <c r="I3419">
        <v>198.0872</v>
      </c>
      <c r="J3419">
        <v>-202.69450000000001</v>
      </c>
      <c r="K3419">
        <v>1.1405989999999999</v>
      </c>
      <c r="L3419">
        <v>207.9862</v>
      </c>
      <c r="M3419">
        <v>0.91985280000000003</v>
      </c>
      <c r="N3419">
        <v>0</v>
      </c>
      <c r="O3419">
        <v>-0.39215529999999998</v>
      </c>
      <c r="P3419">
        <v>0.80727939999999998</v>
      </c>
      <c r="Q3419">
        <v>4.1199649999999997E-2</v>
      </c>
      <c r="R3419">
        <v>-0.58873030000000004</v>
      </c>
      <c r="S3419">
        <v>2.0732270000000002</v>
      </c>
      <c r="T3419">
        <v>-0.25713370000000002</v>
      </c>
      <c r="U3419">
        <v>-2.2848359999999999</v>
      </c>
      <c r="V3419">
        <v>0.2267074</v>
      </c>
      <c r="W3419">
        <v>4.1669520000000002E-2</v>
      </c>
      <c r="X3419">
        <v>0.97307109999999997</v>
      </c>
      <c r="Y3419">
        <v>0.41757359999999999</v>
      </c>
      <c r="Z3419">
        <v>1.588096E-2</v>
      </c>
      <c r="AA3419">
        <v>0.90850430000000004</v>
      </c>
      <c r="AB3419">
        <v>45</v>
      </c>
      <c r="AC3419">
        <v>8.7206999999999901</v>
      </c>
      <c r="AD3419">
        <v>-1.140603482433</v>
      </c>
      <c r="AE3419">
        <v>-9.8989999999999991</v>
      </c>
      <c r="AF3419">
        <v>5.6438077837355296</v>
      </c>
      <c r="AG3419">
        <v>-1.140603482433</v>
      </c>
      <c r="AH3419">
        <v>11.815886651627499</v>
      </c>
      <c r="AI3419">
        <v>94.978188420204006</v>
      </c>
      <c r="AJ3419">
        <v>64.468725707487394</v>
      </c>
      <c r="AK3419">
        <v>13.1441515499481</v>
      </c>
      <c r="AL3419">
        <v>87.611820862596005</v>
      </c>
      <c r="AM3419">
        <v>76.885106079762394</v>
      </c>
      <c r="AN3419">
        <v>0.99999997988349998</v>
      </c>
    </row>
    <row r="3420" spans="1:40" x14ac:dyDescent="0.25">
      <c r="A3420" t="str">
        <f>"20190312151606696"</f>
        <v>20190312151606696</v>
      </c>
      <c r="B3420" t="str">
        <f>"1552374966691608"</f>
        <v>1552374966691608</v>
      </c>
      <c r="C3420" t="s">
        <v>40</v>
      </c>
      <c r="D3420">
        <v>4.7663970000000004</v>
      </c>
      <c r="E3420">
        <v>0.57063350000000002</v>
      </c>
      <c r="F3420" t="s">
        <v>50</v>
      </c>
      <c r="G3420">
        <v>-197.06970000000001</v>
      </c>
      <c r="H3420" s="1">
        <v>5.3234300000000001E-6</v>
      </c>
      <c r="I3420">
        <v>201.8835</v>
      </c>
      <c r="J3420">
        <v>-202.27879999999999</v>
      </c>
      <c r="K3420">
        <v>1.145427</v>
      </c>
      <c r="L3420">
        <v>207.80019999999999</v>
      </c>
      <c r="M3420">
        <v>0.91545679999999996</v>
      </c>
      <c r="N3420">
        <v>0</v>
      </c>
      <c r="O3420">
        <v>-0.4023041</v>
      </c>
      <c r="P3420">
        <v>0.79882880000000001</v>
      </c>
      <c r="Q3420">
        <v>4.0430809999999998E-2</v>
      </c>
      <c r="R3420">
        <v>-0.60019840000000002</v>
      </c>
      <c r="S3420">
        <v>2.0866850000000001</v>
      </c>
      <c r="T3420">
        <v>-0.42313610000000001</v>
      </c>
      <c r="U3420">
        <v>-2.2639770000000001</v>
      </c>
      <c r="V3420">
        <v>0.22968820000000001</v>
      </c>
      <c r="W3420">
        <v>4.1681910000000003E-2</v>
      </c>
      <c r="X3420">
        <v>0.97237130000000005</v>
      </c>
      <c r="Y3420">
        <v>0.4003601</v>
      </c>
      <c r="Z3420">
        <v>2.8852050000000001E-2</v>
      </c>
      <c r="AA3420">
        <v>0.91590360000000004</v>
      </c>
      <c r="AB3420">
        <v>45</v>
      </c>
      <c r="AC3420">
        <v>5.2090999999999701</v>
      </c>
      <c r="AD3420">
        <v>-1.14542167657</v>
      </c>
      <c r="AE3420">
        <v>-5.9166999999999899</v>
      </c>
      <c r="AF3420">
        <v>3.2523252557957298</v>
      </c>
      <c r="AG3420">
        <v>-1.14542167657</v>
      </c>
      <c r="AH3420">
        <v>7.0015198848207998</v>
      </c>
      <c r="AI3420">
        <v>98.439410212269493</v>
      </c>
      <c r="AJ3420">
        <v>65.084328806848404</v>
      </c>
      <c r="AK3420">
        <v>7.8045429772783201</v>
      </c>
      <c r="AL3420">
        <v>87.611110393762502</v>
      </c>
      <c r="AM3420">
        <v>76.709522724188602</v>
      </c>
      <c r="AN3420">
        <v>0.99999999795208905</v>
      </c>
    </row>
    <row r="3421" spans="1:40" x14ac:dyDescent="0.25">
      <c r="A3421" t="str">
        <f>"20190312151606729"</f>
        <v>20190312151606729</v>
      </c>
      <c r="B3421" t="str">
        <f>"1552374966720884"</f>
        <v>1552374966720884</v>
      </c>
      <c r="C3421" t="s">
        <v>40</v>
      </c>
      <c r="D3421">
        <v>4.7255929999999999</v>
      </c>
      <c r="E3421">
        <v>0.56966329999999998</v>
      </c>
      <c r="F3421" t="s">
        <v>50</v>
      </c>
      <c r="G3421">
        <v>-196.84909999999999</v>
      </c>
      <c r="H3421" s="1">
        <v>5.3961680000000001E-6</v>
      </c>
      <c r="I3421">
        <v>201.7936</v>
      </c>
      <c r="J3421">
        <v>-201.66820000000001</v>
      </c>
      <c r="K3421">
        <v>1.1516189999999999</v>
      </c>
      <c r="L3421">
        <v>207.5189</v>
      </c>
      <c r="M3421">
        <v>0.90832199999999996</v>
      </c>
      <c r="N3421">
        <v>0</v>
      </c>
      <c r="O3421">
        <v>-0.41815370000000002</v>
      </c>
      <c r="P3421">
        <v>0.78552919999999904</v>
      </c>
      <c r="Q3421">
        <v>3.8377540000000002E-2</v>
      </c>
      <c r="R3421">
        <v>-0.61763330000000005</v>
      </c>
      <c r="S3421">
        <v>2.062897</v>
      </c>
      <c r="T3421">
        <v>-0.43517699999999998</v>
      </c>
      <c r="U3421">
        <v>-2.2820740000000002</v>
      </c>
      <c r="V3421">
        <v>0.23397190000000001</v>
      </c>
      <c r="W3421">
        <v>4.0518930000000002E-2</v>
      </c>
      <c r="X3421">
        <v>0.97139869999999995</v>
      </c>
      <c r="Y3421">
        <v>0.39345750000000002</v>
      </c>
      <c r="Z3421">
        <v>3.2626849999999999E-2</v>
      </c>
      <c r="AA3421">
        <v>0.91876369999999896</v>
      </c>
      <c r="AB3421">
        <v>45</v>
      </c>
      <c r="AC3421">
        <v>4.8191000000000104</v>
      </c>
      <c r="AD3421">
        <v>-1.151613603832</v>
      </c>
      <c r="AE3421">
        <v>-5.7252999999999998</v>
      </c>
      <c r="AF3421">
        <v>3.11175832860209</v>
      </c>
      <c r="AG3421">
        <v>-1.151613603832</v>
      </c>
      <c r="AH3421">
        <v>6.6150318931417704</v>
      </c>
      <c r="AI3421">
        <v>98.952305566514298</v>
      </c>
      <c r="AJ3421">
        <v>64.807371070908104</v>
      </c>
      <c r="AK3421">
        <v>7.4005338142216601</v>
      </c>
      <c r="AL3421">
        <v>87.677800678977107</v>
      </c>
      <c r="AM3421">
        <v>76.457639969557206</v>
      </c>
      <c r="AN3421">
        <v>1.0000000340198201</v>
      </c>
    </row>
    <row r="3422" spans="1:40" x14ac:dyDescent="0.25">
      <c r="A3422" t="str">
        <f>"20190312151606753"</f>
        <v>20190312151606753</v>
      </c>
      <c r="B3422" t="str">
        <f>"1552374966741381"</f>
        <v>1552374966741381</v>
      </c>
      <c r="C3422" t="s">
        <v>40</v>
      </c>
      <c r="D3422">
        <v>4.7199980000000004</v>
      </c>
      <c r="E3422">
        <v>0.56906639999999997</v>
      </c>
      <c r="F3422" t="s">
        <v>50</v>
      </c>
      <c r="G3422">
        <v>-196.51849999999999</v>
      </c>
      <c r="H3422" s="1">
        <v>5.5197419999999997E-6</v>
      </c>
      <c r="I3422">
        <v>201.6037</v>
      </c>
      <c r="J3422">
        <v>-201.23820000000001</v>
      </c>
      <c r="K3422">
        <v>1.152954</v>
      </c>
      <c r="L3422">
        <v>207.31800000000001</v>
      </c>
      <c r="M3422">
        <v>0.90304569999999995</v>
      </c>
      <c r="N3422">
        <v>0</v>
      </c>
      <c r="O3422">
        <v>-0.42940200000000001</v>
      </c>
      <c r="P3422">
        <v>0.77546969999999904</v>
      </c>
      <c r="Q3422">
        <v>3.6596209999999997E-2</v>
      </c>
      <c r="R3422">
        <v>-0.63032330000000003</v>
      </c>
      <c r="S3422">
        <v>2.0183260000000001</v>
      </c>
      <c r="T3422">
        <v>-0.4513527</v>
      </c>
      <c r="U3422">
        <v>-2.3183440000000002</v>
      </c>
      <c r="V3422">
        <v>0.23769109999999999</v>
      </c>
      <c r="W3422">
        <v>3.9389260000000002E-2</v>
      </c>
      <c r="X3422">
        <v>0.97054180000000001</v>
      </c>
      <c r="Y3422">
        <v>0.39922600000000003</v>
      </c>
      <c r="Z3422">
        <v>3.5217819999999997E-2</v>
      </c>
      <c r="AA3422">
        <v>0.91617599999999999</v>
      </c>
      <c r="AB3422">
        <v>45</v>
      </c>
      <c r="AC3422">
        <v>4.7197000000000102</v>
      </c>
      <c r="AD3422">
        <v>-1.1529484802579999</v>
      </c>
      <c r="AE3422">
        <v>-5.7142999999999802</v>
      </c>
      <c r="AF3422">
        <v>3.0597700160113002</v>
      </c>
      <c r="AG3422">
        <v>-1.1529484802579999</v>
      </c>
      <c r="AH3422">
        <v>6.5575532487078201</v>
      </c>
      <c r="AI3422">
        <v>99.0527855220069</v>
      </c>
      <c r="AJ3422">
        <v>64.986130795594207</v>
      </c>
      <c r="AK3422">
        <v>7.3275498878308296</v>
      </c>
      <c r="AL3422">
        <v>87.742577603041298</v>
      </c>
      <c r="AM3422">
        <v>76.238803090191894</v>
      </c>
      <c r="AN3422">
        <v>0.99999997918489802</v>
      </c>
    </row>
    <row r="3423" spans="1:40" x14ac:dyDescent="0.25">
      <c r="A3423" t="str">
        <f>"20190312151606775"</f>
        <v>20190312151606775</v>
      </c>
      <c r="B3423" t="str">
        <f>"1552374966770660"</f>
        <v>1552374966770660</v>
      </c>
      <c r="C3423" t="s">
        <v>40</v>
      </c>
      <c r="D3423">
        <v>4.7257389999999999</v>
      </c>
      <c r="E3423">
        <v>0.56828000000000001</v>
      </c>
      <c r="F3423" t="s">
        <v>50</v>
      </c>
      <c r="G3423">
        <v>-196.15600000000001</v>
      </c>
      <c r="H3423" s="1">
        <v>5.6988420000000003E-6</v>
      </c>
      <c r="I3423">
        <v>201.30269999999999</v>
      </c>
      <c r="J3423">
        <v>-200.83009999999999</v>
      </c>
      <c r="K3423">
        <v>1.154512</v>
      </c>
      <c r="L3423">
        <v>207.12219999999999</v>
      </c>
      <c r="M3423">
        <v>0.89726989999999995</v>
      </c>
      <c r="N3423">
        <v>0</v>
      </c>
      <c r="O3423">
        <v>-0.44133020000000001</v>
      </c>
      <c r="P3423">
        <v>0.76410040000000001</v>
      </c>
      <c r="Q3423">
        <v>3.5765999999999999E-2</v>
      </c>
      <c r="R3423">
        <v>-0.64410590000000001</v>
      </c>
      <c r="S3423">
        <v>1.982529</v>
      </c>
      <c r="T3423">
        <v>-0.44975470000000001</v>
      </c>
      <c r="U3423">
        <v>-2.3464969999999998</v>
      </c>
      <c r="V3423">
        <v>0.24217</v>
      </c>
      <c r="W3423">
        <v>3.8939469999999997E-2</v>
      </c>
      <c r="X3423">
        <v>0.96945210000000004</v>
      </c>
      <c r="Y3423">
        <v>0.40072619999999998</v>
      </c>
      <c r="Z3423">
        <v>3.6913389999999997E-2</v>
      </c>
      <c r="AA3423">
        <v>0.91545399999999999</v>
      </c>
      <c r="AB3423">
        <v>45</v>
      </c>
      <c r="AC3423">
        <v>4.6741000000000099</v>
      </c>
      <c r="AD3423">
        <v>-1.1545063011579999</v>
      </c>
      <c r="AE3423">
        <v>-5.8194999999999997</v>
      </c>
      <c r="AF3423">
        <v>3.0852422855436701</v>
      </c>
      <c r="AG3423">
        <v>-1.1545063011579999</v>
      </c>
      <c r="AH3423">
        <v>6.6046954255229702</v>
      </c>
      <c r="AI3423">
        <v>98.999389914625198</v>
      </c>
      <c r="AJ3423">
        <v>64.961375533331704</v>
      </c>
      <c r="AK3423">
        <v>7.3806237150964602</v>
      </c>
      <c r="AL3423">
        <v>87.768368467543993</v>
      </c>
      <c r="AM3423">
        <v>75.974493984202894</v>
      </c>
      <c r="AN3423">
        <v>0.99999998270914503</v>
      </c>
    </row>
    <row r="3424" spans="1:40" x14ac:dyDescent="0.25">
      <c r="A3424" t="str">
        <f>"20190312151606798"</f>
        <v>20190312151606798</v>
      </c>
      <c r="B3424" t="str">
        <f>"1552374966791155"</f>
        <v>1552374966791155</v>
      </c>
      <c r="C3424" t="s">
        <v>40</v>
      </c>
      <c r="D3424">
        <v>4.7014860000000001</v>
      </c>
      <c r="E3424">
        <v>0.56827609999999995</v>
      </c>
      <c r="F3424" t="s">
        <v>50</v>
      </c>
      <c r="G3424">
        <v>-195.81030000000001</v>
      </c>
      <c r="H3424" s="1">
        <v>5.9012149999999997E-6</v>
      </c>
      <c r="I3424">
        <v>200.99039999999999</v>
      </c>
      <c r="J3424">
        <v>-200.3939</v>
      </c>
      <c r="K3424">
        <v>1.1558469999999901</v>
      </c>
      <c r="L3424">
        <v>206.9068</v>
      </c>
      <c r="M3424">
        <v>0.89117869999999999</v>
      </c>
      <c r="N3424">
        <v>0</v>
      </c>
      <c r="O3424">
        <v>-0.45347379999999998</v>
      </c>
      <c r="P3424">
        <v>0.75274799999999997</v>
      </c>
      <c r="Q3424">
        <v>3.4229080000000002E-2</v>
      </c>
      <c r="R3424">
        <v>-0.65741870000000002</v>
      </c>
      <c r="S3424">
        <v>1.944672</v>
      </c>
      <c r="T3424">
        <v>-0.4472563</v>
      </c>
      <c r="U3424">
        <v>-2.3754430000000002</v>
      </c>
      <c r="V3424">
        <v>0.24600630000000001</v>
      </c>
      <c r="W3424">
        <v>3.8106099999999997E-2</v>
      </c>
      <c r="X3424">
        <v>0.96851889999999996</v>
      </c>
      <c r="Y3424">
        <v>0.40255429999999998</v>
      </c>
      <c r="Z3424">
        <v>3.8540079999999997E-2</v>
      </c>
      <c r="AA3424">
        <v>0.91458439999999996</v>
      </c>
      <c r="AB3424">
        <v>46</v>
      </c>
      <c r="AC3424">
        <v>4.5835999999999899</v>
      </c>
      <c r="AD3424">
        <v>-1.1558410987850001</v>
      </c>
      <c r="AE3424">
        <v>-5.9164000000000003</v>
      </c>
      <c r="AF3424">
        <v>3.1198739375750599</v>
      </c>
      <c r="AG3424">
        <v>-1.1558410987850001</v>
      </c>
      <c r="AH3424">
        <v>6.6106178102669997</v>
      </c>
      <c r="AI3424">
        <v>98.985279240312707</v>
      </c>
      <c r="AJ3424">
        <v>64.735082983085306</v>
      </c>
      <c r="AK3424">
        <v>7.4006655015221297</v>
      </c>
      <c r="AL3424">
        <v>87.816152597675696</v>
      </c>
      <c r="AM3424">
        <v>75.748119714011494</v>
      </c>
      <c r="AN3424">
        <v>1.00000001707705</v>
      </c>
    </row>
    <row r="3425" spans="1:40" x14ac:dyDescent="0.25">
      <c r="A3425" t="str">
        <f>"20190312151606821"</f>
        <v>20190312151606821</v>
      </c>
      <c r="B3425" t="str">
        <f>"1552374966810676"</f>
        <v>1552374966810676</v>
      </c>
      <c r="C3425" t="s">
        <v>40</v>
      </c>
      <c r="D3425">
        <v>4.7366199999999896</v>
      </c>
      <c r="E3425">
        <v>0.56757040000000003</v>
      </c>
      <c r="F3425" t="s">
        <v>50</v>
      </c>
      <c r="G3425">
        <v>-195.50890000000001</v>
      </c>
      <c r="H3425" s="1">
        <v>6.0751130000000002E-6</v>
      </c>
      <c r="I3425">
        <v>200.72540000000001</v>
      </c>
      <c r="J3425">
        <v>-199.99209999999999</v>
      </c>
      <c r="K3425">
        <v>1.1564680000000001</v>
      </c>
      <c r="L3425">
        <v>206.70269999999999</v>
      </c>
      <c r="M3425">
        <v>0.88554669999999902</v>
      </c>
      <c r="N3425">
        <v>0</v>
      </c>
      <c r="O3425">
        <v>-0.46434449999999999</v>
      </c>
      <c r="P3425">
        <v>0.74252969999999996</v>
      </c>
      <c r="Q3425">
        <v>3.2305840000000002E-2</v>
      </c>
      <c r="R3425">
        <v>-0.66903380000000001</v>
      </c>
      <c r="S3425">
        <v>1.9028929999999999</v>
      </c>
      <c r="T3425">
        <v>-0.45024510000000001</v>
      </c>
      <c r="U3425">
        <v>-2.4078979999999999</v>
      </c>
      <c r="V3425">
        <v>0.2491961</v>
      </c>
      <c r="W3425">
        <v>3.6627989999999999E-2</v>
      </c>
      <c r="X3425">
        <v>0.96776010000000001</v>
      </c>
      <c r="Y3425">
        <v>0.40715440000000003</v>
      </c>
      <c r="Z3425">
        <v>4.0221760000000002E-2</v>
      </c>
      <c r="AA3425">
        <v>0.91247330000000004</v>
      </c>
      <c r="AB3425">
        <v>46</v>
      </c>
      <c r="AC3425">
        <v>4.4831999999999796</v>
      </c>
      <c r="AD3425">
        <v>-1.1564619248870001</v>
      </c>
      <c r="AE3425">
        <v>-5.9772999999999801</v>
      </c>
      <c r="AF3425">
        <v>3.1365954081663698</v>
      </c>
      <c r="AG3425">
        <v>-1.1564619248870001</v>
      </c>
      <c r="AH3425">
        <v>6.5884212655715704</v>
      </c>
      <c r="AI3425">
        <v>99.005653513021997</v>
      </c>
      <c r="AJ3425">
        <v>64.541958080781399</v>
      </c>
      <c r="AK3425">
        <v>7.3880261038304003</v>
      </c>
      <c r="AL3425">
        <v>87.900901133460707</v>
      </c>
      <c r="AM3425">
        <v>75.560152907088394</v>
      </c>
      <c r="AN3425">
        <v>0.99999995852932899</v>
      </c>
    </row>
    <row r="3426" spans="1:40" x14ac:dyDescent="0.25">
      <c r="A3426" t="str">
        <f>"20190312151606841"</f>
        <v>20190312151606841</v>
      </c>
      <c r="B3426" t="str">
        <f>"1552374966831172"</f>
        <v>1552374966831172</v>
      </c>
      <c r="C3426" t="s">
        <v>40</v>
      </c>
      <c r="D3426">
        <v>4.7501509999999998</v>
      </c>
      <c r="E3426">
        <v>0.56677919999999904</v>
      </c>
      <c r="F3426" t="s">
        <v>50</v>
      </c>
      <c r="G3426">
        <v>-195.2971</v>
      </c>
      <c r="H3426" s="1">
        <v>6.1804379999999999E-6</v>
      </c>
      <c r="I3426">
        <v>200.58690000000001</v>
      </c>
      <c r="J3426">
        <v>-199.5966</v>
      </c>
      <c r="K3426">
        <v>1.1565399999999999</v>
      </c>
      <c r="L3426">
        <v>206.49600000000001</v>
      </c>
      <c r="M3426">
        <v>0.87992539999999997</v>
      </c>
      <c r="N3426">
        <v>0</v>
      </c>
      <c r="O3426">
        <v>-0.47487770000000001</v>
      </c>
      <c r="P3426">
        <v>0.7322149</v>
      </c>
      <c r="Q3426">
        <v>3.0469030000000001E-2</v>
      </c>
      <c r="R3426">
        <v>-0.680392</v>
      </c>
      <c r="S3426">
        <v>1.8679049999999999</v>
      </c>
      <c r="T3426">
        <v>-0.46009919999999999</v>
      </c>
      <c r="U3426">
        <v>-2.433182</v>
      </c>
      <c r="V3426">
        <v>0.25256859999999998</v>
      </c>
      <c r="W3426">
        <v>3.5094029999999998E-2</v>
      </c>
      <c r="X3426">
        <v>0.96694239999999998</v>
      </c>
      <c r="Y3426">
        <v>0.40915810000000002</v>
      </c>
      <c r="Z3426">
        <v>4.270608E-2</v>
      </c>
      <c r="AA3426">
        <v>0.91146360000000004</v>
      </c>
      <c r="AB3426">
        <v>45</v>
      </c>
      <c r="AC3426">
        <v>4.2994999999999903</v>
      </c>
      <c r="AD3426">
        <v>-1.1565338195620001</v>
      </c>
      <c r="AE3426">
        <v>-5.9090999999999596</v>
      </c>
      <c r="AF3426">
        <v>3.0810127584624101</v>
      </c>
      <c r="AG3426">
        <v>-1.1565338195620001</v>
      </c>
      <c r="AH3426">
        <v>6.42904604719691</v>
      </c>
      <c r="AI3426">
        <v>99.214549100521893</v>
      </c>
      <c r="AJ3426">
        <v>64.394709021912206</v>
      </c>
      <c r="AK3426">
        <v>7.2223848672427504</v>
      </c>
      <c r="AL3426">
        <v>87.9888473252865</v>
      </c>
      <c r="AM3426">
        <v>75.361221236724703</v>
      </c>
      <c r="AN3426">
        <v>1.00000004678267</v>
      </c>
    </row>
    <row r="3427" spans="1:40" x14ac:dyDescent="0.25">
      <c r="A3427" t="str">
        <f>"20190312151606864"</f>
        <v>20190312151606864</v>
      </c>
      <c r="B3427" t="str">
        <f>"1552374966861428"</f>
        <v>1552374966861428</v>
      </c>
      <c r="C3427" t="s">
        <v>40</v>
      </c>
      <c r="D3427">
        <v>4.7037620000000002</v>
      </c>
      <c r="E3427">
        <v>0.56563149999999995</v>
      </c>
      <c r="F3427" t="s">
        <v>50</v>
      </c>
      <c r="G3427">
        <v>-195.00380000000001</v>
      </c>
      <c r="H3427" s="1">
        <v>6.3451959999999997E-6</v>
      </c>
      <c r="I3427">
        <v>200.3415</v>
      </c>
      <c r="J3427">
        <v>-199.19040000000001</v>
      </c>
      <c r="K3427">
        <v>1.156218</v>
      </c>
      <c r="L3427">
        <v>206.2773</v>
      </c>
      <c r="M3427">
        <v>0.87405409999999994</v>
      </c>
      <c r="N3427">
        <v>0</v>
      </c>
      <c r="O3427">
        <v>-0.4855563</v>
      </c>
      <c r="P3427">
        <v>0.72172000000000003</v>
      </c>
      <c r="Q3427">
        <v>2.946988E-2</v>
      </c>
      <c r="R3427">
        <v>-0.6915578</v>
      </c>
      <c r="S3427">
        <v>1.83342</v>
      </c>
      <c r="T3427">
        <v>-0.46167970000000003</v>
      </c>
      <c r="U3427">
        <v>-2.4568180000000002</v>
      </c>
      <c r="V3427">
        <v>0.25571680000000002</v>
      </c>
      <c r="W3427">
        <v>3.458555E-2</v>
      </c>
      <c r="X3427">
        <v>0.96613289999999996</v>
      </c>
      <c r="Y3427">
        <v>0.41052949999999999</v>
      </c>
      <c r="Z3427">
        <v>4.4558199999999999E-2</v>
      </c>
      <c r="AA3427">
        <v>0.91075799999999996</v>
      </c>
      <c r="AB3427">
        <v>45</v>
      </c>
      <c r="AC3427">
        <v>4.1865999999999897</v>
      </c>
      <c r="AD3427">
        <v>-1.156211654804</v>
      </c>
      <c r="AE3427">
        <v>-5.9358000000000004</v>
      </c>
      <c r="AF3427">
        <v>3.0778144746526102</v>
      </c>
      <c r="AG3427">
        <v>-1.156211654804</v>
      </c>
      <c r="AH3427">
        <v>6.3806767237123898</v>
      </c>
      <c r="AI3427">
        <v>99.269502311466795</v>
      </c>
      <c r="AJ3427">
        <v>64.248970124318404</v>
      </c>
      <c r="AK3427">
        <v>7.1779386165953598</v>
      </c>
      <c r="AL3427">
        <v>88.0179987093329</v>
      </c>
      <c r="AM3427">
        <v>75.174864647826894</v>
      </c>
      <c r="AN3427">
        <v>1.00000001126672</v>
      </c>
    </row>
    <row r="3428" spans="1:40" x14ac:dyDescent="0.25">
      <c r="A3428" t="str">
        <f>"20190312151606886"</f>
        <v>20190312151606886</v>
      </c>
      <c r="B3428" t="str">
        <f>"1552374966880964"</f>
        <v>1552374966880964</v>
      </c>
      <c r="C3428" t="s">
        <v>40</v>
      </c>
      <c r="D3428">
        <v>4.6302349999999999</v>
      </c>
      <c r="E3428">
        <v>0.56470100000000001</v>
      </c>
      <c r="F3428" t="s">
        <v>50</v>
      </c>
      <c r="G3428">
        <v>-194.69970000000001</v>
      </c>
      <c r="H3428" s="1">
        <v>6.5135569999999996E-6</v>
      </c>
      <c r="I3428">
        <v>200.0942</v>
      </c>
      <c r="J3428">
        <v>-198.78749999999999</v>
      </c>
      <c r="K3428">
        <v>1.155743</v>
      </c>
      <c r="L3428">
        <v>206.05439999999999</v>
      </c>
      <c r="M3428">
        <v>0.86778719999999998</v>
      </c>
      <c r="N3428">
        <v>0</v>
      </c>
      <c r="O3428">
        <v>-0.49662070000000003</v>
      </c>
      <c r="P3428">
        <v>0.71093629999999997</v>
      </c>
      <c r="Q3428">
        <v>2.818768E-2</v>
      </c>
      <c r="R3428">
        <v>-0.70269139999999997</v>
      </c>
      <c r="S3428">
        <v>1.8003849999999999</v>
      </c>
      <c r="T3428">
        <v>-0.46353729999999999</v>
      </c>
      <c r="U3428">
        <v>-2.4788969999999999</v>
      </c>
      <c r="V3428">
        <v>0.25849139999999998</v>
      </c>
      <c r="W3428">
        <v>3.4048950000000001E-2</v>
      </c>
      <c r="X3428">
        <v>0.96541330000000003</v>
      </c>
      <c r="Y3428">
        <v>0.41082200000000002</v>
      </c>
      <c r="Z3428">
        <v>4.6601429999999999E-2</v>
      </c>
      <c r="AA3428">
        <v>0.91052379999999999</v>
      </c>
      <c r="AB3428">
        <v>45</v>
      </c>
      <c r="AC3428">
        <v>4.0877999999999801</v>
      </c>
      <c r="AD3428">
        <v>-1.155736486443</v>
      </c>
      <c r="AE3428">
        <v>-5.96019999999998</v>
      </c>
      <c r="AF3428">
        <v>3.0642330595863099</v>
      </c>
      <c r="AG3428">
        <v>-1.155736486443</v>
      </c>
      <c r="AH3428">
        <v>6.3460382004379703</v>
      </c>
      <c r="AI3428">
        <v>99.313684775407694</v>
      </c>
      <c r="AJ3428">
        <v>64.226071248894101</v>
      </c>
      <c r="AK3428">
        <v>7.1412500243987598</v>
      </c>
      <c r="AL3428">
        <v>88.048761697689599</v>
      </c>
      <c r="AM3428">
        <v>75.010538754052206</v>
      </c>
      <c r="AN3428">
        <v>0.99999998734347595</v>
      </c>
    </row>
    <row r="3429" spans="1:40" x14ac:dyDescent="0.25">
      <c r="A3429" t="str">
        <f>"20190312151606908"</f>
        <v>20190312151606908</v>
      </c>
      <c r="B3429" t="str">
        <f>"1552374966901448"</f>
        <v>1552374966901448</v>
      </c>
      <c r="C3429" t="s">
        <v>40</v>
      </c>
      <c r="D3429">
        <v>4.6210909999999998</v>
      </c>
      <c r="E3429">
        <v>0.56362539999999905</v>
      </c>
      <c r="F3429" t="s">
        <v>50</v>
      </c>
      <c r="G3429">
        <v>-194.4014</v>
      </c>
      <c r="H3429" s="1">
        <v>6.6827859999999998E-6</v>
      </c>
      <c r="I3429">
        <v>199.8399</v>
      </c>
      <c r="J3429">
        <v>-198.39359999999999</v>
      </c>
      <c r="K3429">
        <v>1.154987</v>
      </c>
      <c r="L3429">
        <v>205.83080000000001</v>
      </c>
      <c r="M3429">
        <v>0.86102289999999904</v>
      </c>
      <c r="N3429">
        <v>0</v>
      </c>
      <c r="O3429">
        <v>-0.50820880000000002</v>
      </c>
      <c r="P3429">
        <v>0.69912629999999998</v>
      </c>
      <c r="Q3429">
        <v>2.6106750000000001E-2</v>
      </c>
      <c r="R3429">
        <v>-0.71452130000000003</v>
      </c>
      <c r="S3429">
        <v>1.765625</v>
      </c>
      <c r="T3429">
        <v>-0.46524169999999998</v>
      </c>
      <c r="U3429">
        <v>-2.501633</v>
      </c>
      <c r="V3429">
        <v>0.26170710000000003</v>
      </c>
      <c r="W3429">
        <v>3.273123E-2</v>
      </c>
      <c r="X3429">
        <v>0.96459220000000001</v>
      </c>
      <c r="Y3429">
        <v>0.41102080000000002</v>
      </c>
      <c r="Z3429">
        <v>4.8746850000000001E-2</v>
      </c>
      <c r="AA3429">
        <v>0.91032170000000001</v>
      </c>
      <c r="AB3429">
        <v>45</v>
      </c>
      <c r="AC3429">
        <v>3.9921999999999902</v>
      </c>
      <c r="AD3429">
        <v>-1.1549803172139901</v>
      </c>
      <c r="AE3429">
        <v>-5.9909000000000097</v>
      </c>
      <c r="AF3429">
        <v>3.0514602105792599</v>
      </c>
      <c r="AG3429">
        <v>-1.1549803172139901</v>
      </c>
      <c r="AH3429">
        <v>6.3205026550940602</v>
      </c>
      <c r="AI3429">
        <v>99.344891709388605</v>
      </c>
      <c r="AJ3429">
        <v>64.229326537686305</v>
      </c>
      <c r="AK3429">
        <v>7.11295597926427</v>
      </c>
      <c r="AL3429">
        <v>88.124303693678797</v>
      </c>
      <c r="AM3429">
        <v>74.820291769031698</v>
      </c>
      <c r="AN3429">
        <v>1.0000000259542801</v>
      </c>
    </row>
    <row r="3430" spans="1:40" x14ac:dyDescent="0.25">
      <c r="A3430" t="str">
        <f>"20190312151606931"</f>
        <v>20190312151606931</v>
      </c>
      <c r="B3430" t="str">
        <f>"1552374966920964"</f>
        <v>1552374966920964</v>
      </c>
      <c r="C3430" t="s">
        <v>40</v>
      </c>
      <c r="D3430">
        <v>4.6170780000000002</v>
      </c>
      <c r="E3430">
        <v>0.562590699999999</v>
      </c>
      <c r="F3430" t="s">
        <v>43</v>
      </c>
      <c r="G3430">
        <v>-194.13130000000001</v>
      </c>
      <c r="H3430" s="1">
        <v>-5.0264300000000003E-6</v>
      </c>
      <c r="I3430">
        <v>199.6037</v>
      </c>
      <c r="J3430">
        <v>-197.9939</v>
      </c>
      <c r="K3430">
        <v>1.1536959999999901</v>
      </c>
      <c r="L3430">
        <v>205.59800000000001</v>
      </c>
      <c r="M3430">
        <v>0.85356520000000002</v>
      </c>
      <c r="N3430">
        <v>0</v>
      </c>
      <c r="O3430">
        <v>-0.52059560000000005</v>
      </c>
      <c r="P3430">
        <v>0.68695069999999903</v>
      </c>
      <c r="Q3430">
        <v>2.391358E-2</v>
      </c>
      <c r="R3430">
        <v>-0.72631089999999998</v>
      </c>
      <c r="S3430">
        <v>1.7281949999999999</v>
      </c>
      <c r="T3430">
        <v>-0.46830559999999899</v>
      </c>
      <c r="U3430">
        <v>-2.524826</v>
      </c>
      <c r="V3430">
        <v>0.26409850000000001</v>
      </c>
      <c r="W3430">
        <v>3.1279059999999997E-2</v>
      </c>
      <c r="X3430">
        <v>0.96398839999999997</v>
      </c>
      <c r="Y3430">
        <v>0.41102450000000001</v>
      </c>
      <c r="Z3430">
        <v>5.1222089999999998E-2</v>
      </c>
      <c r="AA3430">
        <v>0.91018410000000005</v>
      </c>
      <c r="AB3430">
        <v>45</v>
      </c>
      <c r="AC3430">
        <v>3.86259999999998</v>
      </c>
      <c r="AD3430">
        <v>-1.1537010264299901</v>
      </c>
      <c r="AE3430">
        <v>-5.9942999999999804</v>
      </c>
      <c r="AF3430">
        <v>3.0270718123188298</v>
      </c>
      <c r="AG3430">
        <v>-1.1537010264299901</v>
      </c>
      <c r="AH3430">
        <v>6.2551644013075096</v>
      </c>
      <c r="AI3430">
        <v>99.426335969376495</v>
      </c>
      <c r="AJ3430">
        <v>64.176192471584798</v>
      </c>
      <c r="AK3430">
        <v>7.0442367579962504</v>
      </c>
      <c r="AL3430">
        <v>88.207549540223795</v>
      </c>
      <c r="AM3430">
        <v>74.678927293895001</v>
      </c>
      <c r="AN3430">
        <v>1.00000001631564</v>
      </c>
    </row>
    <row r="3431" spans="1:40" x14ac:dyDescent="0.25">
      <c r="A3431" t="str">
        <f>"20190312151606955"</f>
        <v>20190312151606955</v>
      </c>
      <c r="B3431" t="str">
        <f>"1552374966951221"</f>
        <v>1552374966951221</v>
      </c>
      <c r="C3431" t="s">
        <v>40</v>
      </c>
      <c r="D3431">
        <v>4.6967879999999997</v>
      </c>
      <c r="E3431">
        <v>0.56158569999999997</v>
      </c>
      <c r="F3431" t="s">
        <v>43</v>
      </c>
      <c r="G3431">
        <v>-193.86250000000001</v>
      </c>
      <c r="H3431" s="1">
        <v>-4.8982239999999998E-6</v>
      </c>
      <c r="I3431">
        <v>199.36709999999999</v>
      </c>
      <c r="J3431">
        <v>-197.58320000000001</v>
      </c>
      <c r="K3431">
        <v>1.151359</v>
      </c>
      <c r="L3431">
        <v>205.35220000000001</v>
      </c>
      <c r="M3431">
        <v>0.84569589999999994</v>
      </c>
      <c r="N3431">
        <v>0</v>
      </c>
      <c r="O3431">
        <v>-0.53324289999999996</v>
      </c>
      <c r="P3431">
        <v>0.67455859999999901</v>
      </c>
      <c r="Q3431">
        <v>2.2660799999999998E-2</v>
      </c>
      <c r="R3431">
        <v>-0.73787369999999997</v>
      </c>
      <c r="S3431">
        <v>1.6894990000000001</v>
      </c>
      <c r="T3431">
        <v>-0.47179690000000002</v>
      </c>
      <c r="U3431">
        <v>-2.5480499999999999</v>
      </c>
      <c r="V3431">
        <v>0.26612909999999901</v>
      </c>
      <c r="W3431">
        <v>3.045405E-2</v>
      </c>
      <c r="X3431">
        <v>0.96345619999999998</v>
      </c>
      <c r="Y3431">
        <v>0.41096850000000001</v>
      </c>
      <c r="Z3431">
        <v>5.3834269999999997E-2</v>
      </c>
      <c r="AA3431">
        <v>0.9100587</v>
      </c>
      <c r="AB3431">
        <v>45</v>
      </c>
      <c r="AC3431">
        <v>3.7206999999999901</v>
      </c>
      <c r="AD3431">
        <v>-1.151363898224</v>
      </c>
      <c r="AE3431">
        <v>-5.9851000000000099</v>
      </c>
      <c r="AF3431">
        <v>2.9982042033105798</v>
      </c>
      <c r="AG3431">
        <v>-1.151363898224</v>
      </c>
      <c r="AH3431">
        <v>6.1747080102415897</v>
      </c>
      <c r="AI3431">
        <v>99.521945299982406</v>
      </c>
      <c r="AJ3431">
        <v>64.100547467840101</v>
      </c>
      <c r="AK3431">
        <v>6.96002056625011</v>
      </c>
      <c r="AL3431">
        <v>88.254841634200801</v>
      </c>
      <c r="AM3431">
        <v>74.558604396300396</v>
      </c>
      <c r="AN3431">
        <v>0.99999999817332597</v>
      </c>
    </row>
    <row r="3432" spans="1:40" x14ac:dyDescent="0.25">
      <c r="A3432" t="str">
        <f>"20190312151606976"</f>
        <v>20190312151606976</v>
      </c>
      <c r="B3432" t="str">
        <f>"1552374966971462"</f>
        <v>1552374966971462</v>
      </c>
      <c r="C3432" t="s">
        <v>40</v>
      </c>
      <c r="D3432">
        <v>4.636361</v>
      </c>
      <c r="E3432">
        <v>0.54447919999999905</v>
      </c>
      <c r="F3432" t="s">
        <v>43</v>
      </c>
      <c r="G3432">
        <v>-193.55590000000001</v>
      </c>
      <c r="H3432" s="1">
        <v>-4.745133E-6</v>
      </c>
      <c r="I3432">
        <v>199.0771</v>
      </c>
      <c r="J3432">
        <v>-197.1996</v>
      </c>
      <c r="K3432">
        <v>1.14846</v>
      </c>
      <c r="L3432">
        <v>205.11580000000001</v>
      </c>
      <c r="M3432">
        <v>0.83828389999999997</v>
      </c>
      <c r="N3432">
        <v>0</v>
      </c>
      <c r="O3432">
        <v>-0.54478019999999905</v>
      </c>
      <c r="P3432">
        <v>0.66305480000000006</v>
      </c>
      <c r="Q3432">
        <v>2.2230440000000001E-2</v>
      </c>
      <c r="R3432">
        <v>-0.74824119999999905</v>
      </c>
      <c r="S3432">
        <v>1.6503599999999901</v>
      </c>
      <c r="T3432">
        <v>-0.47181990000000001</v>
      </c>
      <c r="U3432">
        <v>-2.5715180000000002</v>
      </c>
      <c r="V3432">
        <v>0.26793850000000002</v>
      </c>
      <c r="W3432">
        <v>3.0277220000000001E-2</v>
      </c>
      <c r="X3432">
        <v>0.96296020000000004</v>
      </c>
      <c r="Y3432">
        <v>0.4121262</v>
      </c>
      <c r="Z3432">
        <v>5.5790289999999999E-2</v>
      </c>
      <c r="AA3432">
        <v>0.90941709999999998</v>
      </c>
      <c r="AB3432">
        <v>45</v>
      </c>
      <c r="AC3432">
        <v>3.6436999999999902</v>
      </c>
      <c r="AD3432">
        <v>-1.1484647451329999</v>
      </c>
      <c r="AE3432">
        <v>-6.0387000000000004</v>
      </c>
      <c r="AF3432">
        <v>2.9983854638984102</v>
      </c>
      <c r="AG3432">
        <v>-1.1484647451329999</v>
      </c>
      <c r="AH3432">
        <v>6.1818703241495596</v>
      </c>
      <c r="AI3432">
        <v>99.489552922331598</v>
      </c>
      <c r="AJ3432">
        <v>64.125276511724493</v>
      </c>
      <c r="AK3432">
        <v>6.9659749759478604</v>
      </c>
      <c r="AL3432">
        <v>88.264978008206199</v>
      </c>
      <c r="AM3432">
        <v>74.451059676826901</v>
      </c>
      <c r="AN3432">
        <v>1.0000000483086</v>
      </c>
    </row>
    <row r="3433" spans="1:40" x14ac:dyDescent="0.25">
      <c r="A3433" t="str">
        <f>"20190312151606999"</f>
        <v>20190312151606999</v>
      </c>
      <c r="B3433" t="str">
        <f>"1552374966990981"</f>
        <v>1552374966990981</v>
      </c>
      <c r="C3433" t="s">
        <v>40</v>
      </c>
      <c r="D3433">
        <v>4.5900589999999903</v>
      </c>
      <c r="E3433">
        <v>0.54349919999999996</v>
      </c>
      <c r="F3433" t="s">
        <v>43</v>
      </c>
      <c r="G3433">
        <v>-192.3775</v>
      </c>
      <c r="H3433" s="1">
        <v>-4.1920540000000001E-6</v>
      </c>
      <c r="I3433">
        <v>198.06610000000001</v>
      </c>
      <c r="J3433">
        <v>-196.80439999999999</v>
      </c>
      <c r="K3433">
        <v>1.144873</v>
      </c>
      <c r="L3433">
        <v>204.86490000000001</v>
      </c>
      <c r="M3433">
        <v>0.83059749999999999</v>
      </c>
      <c r="N3433">
        <v>0</v>
      </c>
      <c r="O3433">
        <v>-0.55638659999999995</v>
      </c>
      <c r="P3433">
        <v>0.6519933</v>
      </c>
      <c r="Q3433">
        <v>2.1678630000000001E-2</v>
      </c>
      <c r="R3433">
        <v>-0.75791500000000001</v>
      </c>
      <c r="S3433">
        <v>1.712677</v>
      </c>
      <c r="T3433">
        <v>-0.4078987</v>
      </c>
      <c r="U3433">
        <v>-2.50386</v>
      </c>
      <c r="V3433">
        <v>0.26879750000000002</v>
      </c>
      <c r="W3433">
        <v>2.9885439999999999E-2</v>
      </c>
      <c r="X3433">
        <v>0.96273299999999995</v>
      </c>
      <c r="Y3433">
        <v>0.37250280000000002</v>
      </c>
      <c r="Z3433">
        <v>5.2933010000000003E-2</v>
      </c>
      <c r="AA3433">
        <v>0.92652029999999996</v>
      </c>
      <c r="AB3433">
        <v>45</v>
      </c>
      <c r="AC3433">
        <v>4.4268999999999803</v>
      </c>
      <c r="AD3433">
        <v>-1.144877192054</v>
      </c>
      <c r="AE3433">
        <v>-6.7988</v>
      </c>
      <c r="AF3433">
        <v>3.1226771171563001</v>
      </c>
      <c r="AG3433">
        <v>-1.144877192054</v>
      </c>
      <c r="AH3433">
        <v>7.3160646447442801</v>
      </c>
      <c r="AI3433">
        <v>98.190117599474306</v>
      </c>
      <c r="AJ3433">
        <v>66.886013291870896</v>
      </c>
      <c r="AK3433">
        <v>8.0365824856697898</v>
      </c>
      <c r="AL3433">
        <v>88.287435483570505</v>
      </c>
      <c r="AM3433">
        <v>74.400131587628096</v>
      </c>
      <c r="AN3433">
        <v>1.0000000324096201</v>
      </c>
    </row>
    <row r="3434" spans="1:40" x14ac:dyDescent="0.25">
      <c r="A3434" t="str">
        <f>"20190312151607022"</f>
        <v>20190312151607022</v>
      </c>
      <c r="B3434" t="str">
        <f>"1552374967011477"</f>
        <v>1552374967011477</v>
      </c>
      <c r="C3434" t="s">
        <v>40</v>
      </c>
      <c r="D3434">
        <v>4.8413729999999999</v>
      </c>
      <c r="E3434">
        <v>0.54502050000000002</v>
      </c>
      <c r="F3434" t="s">
        <v>43</v>
      </c>
      <c r="G3434">
        <v>-192.09</v>
      </c>
      <c r="H3434" s="1">
        <v>-4.0439289999999997E-6</v>
      </c>
      <c r="I3434">
        <v>197.7807</v>
      </c>
      <c r="J3434">
        <v>-196.42590000000001</v>
      </c>
      <c r="K3434">
        <v>1.141006</v>
      </c>
      <c r="L3434">
        <v>204.61699999999999</v>
      </c>
      <c r="M3434">
        <v>0.82316219999999996</v>
      </c>
      <c r="N3434">
        <v>0</v>
      </c>
      <c r="O3434">
        <v>-0.56729149999999995</v>
      </c>
      <c r="P3434">
        <v>0.64215769999999905</v>
      </c>
      <c r="Q3434">
        <v>2.2321069999999998E-2</v>
      </c>
      <c r="R3434">
        <v>-0.76624769999999998</v>
      </c>
      <c r="S3434">
        <v>1.680099</v>
      </c>
      <c r="T3434">
        <v>-0.40800959999999997</v>
      </c>
      <c r="U3434">
        <v>-2.5246580000000001</v>
      </c>
      <c r="V3434">
        <v>0.2686694</v>
      </c>
      <c r="W3434">
        <v>3.061705E-2</v>
      </c>
      <c r="X3434">
        <v>0.96274570000000004</v>
      </c>
      <c r="Y3434">
        <v>0.37212200000000001</v>
      </c>
      <c r="Z3434">
        <v>5.4636120000000003E-2</v>
      </c>
      <c r="AA3434">
        <v>0.92657429999999996</v>
      </c>
      <c r="AB3434">
        <v>45</v>
      </c>
      <c r="AC3434">
        <v>4.3358999999999996</v>
      </c>
      <c r="AD3434">
        <v>-1.1410100439290001</v>
      </c>
      <c r="AE3434">
        <v>-6.83630000000002</v>
      </c>
      <c r="AF3434">
        <v>3.1068700719809401</v>
      </c>
      <c r="AG3434">
        <v>-1.1410100439290001</v>
      </c>
      <c r="AH3434">
        <v>7.3043933123690801</v>
      </c>
      <c r="AI3434">
        <v>98.180004892106794</v>
      </c>
      <c r="AJ3434">
        <v>66.957880800140202</v>
      </c>
      <c r="AK3434">
        <v>8.0192709909504796</v>
      </c>
      <c r="AL3434">
        <v>88.2454980095454</v>
      </c>
      <c r="AM3434">
        <v>74.407399897234797</v>
      </c>
      <c r="AN3434">
        <v>0.99999996655777501</v>
      </c>
    </row>
    <row r="3435" spans="1:40" x14ac:dyDescent="0.25">
      <c r="A3435" t="str">
        <f>"20190312151607044"</f>
        <v>20190312151607044</v>
      </c>
      <c r="B3435" t="str">
        <f>"1552374967040757"</f>
        <v>1552374967040757</v>
      </c>
      <c r="C3435" t="s">
        <v>40</v>
      </c>
      <c r="D3435">
        <v>5.0109969999999997</v>
      </c>
      <c r="E3435">
        <v>0.60044219999999904</v>
      </c>
      <c r="F3435" t="s">
        <v>43</v>
      </c>
      <c r="G3435">
        <v>-191.66399999999999</v>
      </c>
      <c r="H3435" s="1">
        <v>-3.7002350000000001E-6</v>
      </c>
      <c r="I3435">
        <v>197.1824</v>
      </c>
      <c r="J3435">
        <v>-196.0444</v>
      </c>
      <c r="K3435">
        <v>1.1368130000000001</v>
      </c>
      <c r="L3435">
        <v>204.35919999999999</v>
      </c>
      <c r="M3435">
        <v>0.81565679999999996</v>
      </c>
      <c r="N3435">
        <v>0</v>
      </c>
      <c r="O3435">
        <v>-0.57799330000000004</v>
      </c>
      <c r="P3435">
        <v>0.6325963</v>
      </c>
      <c r="Q3435">
        <v>2.2323269999999999E-2</v>
      </c>
      <c r="R3435">
        <v>-0.77415999999999996</v>
      </c>
      <c r="S3435">
        <v>1.6365510000000001</v>
      </c>
      <c r="T3435">
        <v>-0.39214070000000001</v>
      </c>
      <c r="U3435">
        <v>-2.5551300000000001</v>
      </c>
      <c r="V3435">
        <v>0.26817200000000002</v>
      </c>
      <c r="W3435">
        <v>3.071285E-2</v>
      </c>
      <c r="X3435">
        <v>0.96288130000000005</v>
      </c>
      <c r="Y3435">
        <v>0.37616959999999999</v>
      </c>
      <c r="Z3435">
        <v>5.382845E-2</v>
      </c>
      <c r="AA3435">
        <v>0.92498590000000003</v>
      </c>
      <c r="AB3435">
        <v>45</v>
      </c>
      <c r="AC3435">
        <v>4.3803999999999697</v>
      </c>
      <c r="AD3435">
        <v>-1.13681670023499</v>
      </c>
      <c r="AE3435">
        <v>-7.1767999999999796</v>
      </c>
      <c r="AF3435">
        <v>3.2633502318538699</v>
      </c>
      <c r="AG3435">
        <v>-1.13681670023499</v>
      </c>
      <c r="AH3435">
        <v>7.5848131261526897</v>
      </c>
      <c r="AI3435">
        <v>97.839104874044693</v>
      </c>
      <c r="AJ3435">
        <v>66.720307084990594</v>
      </c>
      <c r="AK3435">
        <v>8.3349383383641307</v>
      </c>
      <c r="AL3435">
        <v>88.240006460772307</v>
      </c>
      <c r="AM3435">
        <v>74.4369522789857</v>
      </c>
      <c r="AN3435">
        <v>0.99999994931440495</v>
      </c>
    </row>
    <row r="3436" spans="1:40" x14ac:dyDescent="0.25">
      <c r="A3436" t="str">
        <f>"20190312151607065"</f>
        <v>20190312151607065</v>
      </c>
      <c r="B3436" t="str">
        <f>"1552374967061067"</f>
        <v>1552374967061067</v>
      </c>
      <c r="C3436" t="s">
        <v>40</v>
      </c>
      <c r="D3436">
        <v>4.7705609999999998</v>
      </c>
      <c r="E3436">
        <v>0.60400810000000005</v>
      </c>
      <c r="F3436" t="s">
        <v>43</v>
      </c>
      <c r="G3436">
        <v>-191.3699</v>
      </c>
      <c r="H3436" s="1">
        <v>-2.1761970000000001E-6</v>
      </c>
      <c r="I3436">
        <v>193.81219999999999</v>
      </c>
      <c r="J3436">
        <v>-195.68690000000001</v>
      </c>
      <c r="K3436">
        <v>1.1327700000000001</v>
      </c>
      <c r="L3436">
        <v>204.1097</v>
      </c>
      <c r="M3436">
        <v>0.80863180000000001</v>
      </c>
      <c r="N3436">
        <v>0</v>
      </c>
      <c r="O3436">
        <v>-0.58774569999999904</v>
      </c>
      <c r="P3436">
        <v>0.62457410000000002</v>
      </c>
      <c r="Q3436">
        <v>2.1502259999999999E-2</v>
      </c>
      <c r="R3436">
        <v>-0.78066969999999902</v>
      </c>
      <c r="S3436">
        <v>1.2637480000000001</v>
      </c>
      <c r="T3436">
        <v>-0.30733500000000002</v>
      </c>
      <c r="U3436">
        <v>-2.8513489999999999</v>
      </c>
      <c r="V3436">
        <v>0.26662629999999998</v>
      </c>
      <c r="W3436">
        <v>3.0123750000000001E-2</v>
      </c>
      <c r="X3436">
        <v>0.96332910000000005</v>
      </c>
      <c r="Y3436">
        <v>0.501332</v>
      </c>
      <c r="Z3436">
        <v>3.6393710000000003E-2</v>
      </c>
      <c r="AA3436">
        <v>0.86448930000000002</v>
      </c>
      <c r="AB3436">
        <v>45</v>
      </c>
      <c r="AC3436">
        <v>4.3170000000000002</v>
      </c>
      <c r="AD3436">
        <v>-1.132772176197</v>
      </c>
      <c r="AE3436">
        <v>-10.297499999999999</v>
      </c>
      <c r="AF3436">
        <v>5.7325271281881403</v>
      </c>
      <c r="AG3436">
        <v>-1.132772176197</v>
      </c>
      <c r="AH3436">
        <v>9.4491198199896598</v>
      </c>
      <c r="AI3436">
        <v>95.852057865077001</v>
      </c>
      <c r="AJ3436">
        <v>58.755936842802598</v>
      </c>
      <c r="AK3436">
        <v>11.1099462397934</v>
      </c>
      <c r="AL3436">
        <v>88.273775102327704</v>
      </c>
      <c r="AM3436">
        <v>74.529192959568107</v>
      </c>
      <c r="AN3436">
        <v>0.999999989536281</v>
      </c>
    </row>
    <row r="3437" spans="1:40" x14ac:dyDescent="0.25">
      <c r="A3437" t="str">
        <f>"20190312151607088"</f>
        <v>20190312151607088</v>
      </c>
      <c r="B3437" t="str">
        <f>"1552374967081567"</f>
        <v>1552374967081567</v>
      </c>
      <c r="C3437" t="s">
        <v>40</v>
      </c>
      <c r="D3437">
        <v>5.0494070000000004</v>
      </c>
      <c r="E3437">
        <v>0.60627200000000003</v>
      </c>
      <c r="F3437" t="s">
        <v>43</v>
      </c>
      <c r="G3437">
        <v>-191.28569999999999</v>
      </c>
      <c r="H3437" s="1">
        <v>-2.0769610000000002E-6</v>
      </c>
      <c r="I3437">
        <v>193.63310000000001</v>
      </c>
      <c r="J3437">
        <v>-195.31870000000001</v>
      </c>
      <c r="K3437">
        <v>1.1286290000000001</v>
      </c>
      <c r="L3437">
        <v>203.84440000000001</v>
      </c>
      <c r="M3437">
        <v>0.80134280000000002</v>
      </c>
      <c r="N3437">
        <v>0</v>
      </c>
      <c r="O3437">
        <v>-0.59761070000000005</v>
      </c>
      <c r="P3437">
        <v>0.61596479999999998</v>
      </c>
      <c r="Q3437">
        <v>2.0134900000000001E-2</v>
      </c>
      <c r="R3437">
        <v>-0.78751669999999996</v>
      </c>
      <c r="S3437">
        <v>1.2109829999999999</v>
      </c>
      <c r="T3437">
        <v>-0.31167810000000001</v>
      </c>
      <c r="U3437">
        <v>-2.8825989999999999</v>
      </c>
      <c r="V3437">
        <v>0.26544020000000002</v>
      </c>
      <c r="W3437">
        <v>2.9038939999999999E-2</v>
      </c>
      <c r="X3437">
        <v>0.96368989999999999</v>
      </c>
      <c r="Y3437">
        <v>0.50755159999999999</v>
      </c>
      <c r="Z3437">
        <v>3.7680089999999999E-2</v>
      </c>
      <c r="AA3437">
        <v>0.86079709999999998</v>
      </c>
      <c r="AB3437">
        <v>45</v>
      </c>
      <c r="AC3437">
        <v>4.0330000000000101</v>
      </c>
      <c r="AD3437">
        <v>-1.128631076961</v>
      </c>
      <c r="AE3437">
        <v>-10.2112999999999</v>
      </c>
      <c r="AF3437">
        <v>5.7142539235141703</v>
      </c>
      <c r="AG3437">
        <v>-1.128631076961</v>
      </c>
      <c r="AH3437">
        <v>9.2398725824649297</v>
      </c>
      <c r="AI3437">
        <v>95.930988910664396</v>
      </c>
      <c r="AJ3437">
        <v>58.265932747128602</v>
      </c>
      <c r="AK3437">
        <v>10.922534108459701</v>
      </c>
      <c r="AL3437">
        <v>88.335957356453704</v>
      </c>
      <c r="AM3437">
        <v>74.600233371669106</v>
      </c>
      <c r="AN3437">
        <v>0.999999991587186</v>
      </c>
    </row>
    <row r="3438" spans="1:40" x14ac:dyDescent="0.25">
      <c r="A3438" t="str">
        <f>"20190312151607109"</f>
        <v>20190312151607109</v>
      </c>
      <c r="B3438" t="str">
        <f>"1552374967101084"</f>
        <v>1552374967101084</v>
      </c>
      <c r="C3438" t="s">
        <v>40</v>
      </c>
      <c r="D3438">
        <v>4.9461050000000002</v>
      </c>
      <c r="E3438">
        <v>0.60670440000000003</v>
      </c>
      <c r="F3438" t="s">
        <v>43</v>
      </c>
      <c r="G3438">
        <v>-191.33080000000001</v>
      </c>
      <c r="H3438" s="1">
        <v>-2.193814E-6</v>
      </c>
      <c r="I3438">
        <v>193.8775</v>
      </c>
      <c r="J3438">
        <v>-194.9622</v>
      </c>
      <c r="K3438">
        <v>1.1247659999999999</v>
      </c>
      <c r="L3438">
        <v>203.57900000000001</v>
      </c>
      <c r="M3438">
        <v>0.79413559999999905</v>
      </c>
      <c r="N3438">
        <v>0</v>
      </c>
      <c r="O3438">
        <v>-0.60712529999999998</v>
      </c>
      <c r="P3438">
        <v>0.60748979999999997</v>
      </c>
      <c r="Q3438">
        <v>1.8256660000000001E-2</v>
      </c>
      <c r="R3438">
        <v>-0.7941182</v>
      </c>
      <c r="S3438">
        <v>1.1634519999999999</v>
      </c>
      <c r="T3438">
        <v>-0.32927450000000003</v>
      </c>
      <c r="U3438">
        <v>-2.9078059999999999</v>
      </c>
      <c r="V3438">
        <v>0.26426189999999999</v>
      </c>
      <c r="W3438">
        <v>2.7496989999999999E-2</v>
      </c>
      <c r="X3438">
        <v>0.96405890000000005</v>
      </c>
      <c r="Y3438">
        <v>0.51200179999999995</v>
      </c>
      <c r="Z3438">
        <v>4.0695809999999999E-2</v>
      </c>
      <c r="AA3438">
        <v>0.85801989999999995</v>
      </c>
      <c r="AB3438">
        <v>45</v>
      </c>
      <c r="AC3438">
        <v>3.6313999999999802</v>
      </c>
      <c r="AD3438">
        <v>-1.124768193814</v>
      </c>
      <c r="AE3438">
        <v>-9.70150000000001</v>
      </c>
      <c r="AF3438">
        <v>5.4375416070254703</v>
      </c>
      <c r="AG3438">
        <v>-1.124768193814</v>
      </c>
      <c r="AH3438">
        <v>8.6748576227055096</v>
      </c>
      <c r="AI3438">
        <v>96.269391855659705</v>
      </c>
      <c r="AJ3438">
        <v>57.919846275072601</v>
      </c>
      <c r="AK3438">
        <v>10.2997629580568</v>
      </c>
      <c r="AL3438">
        <v>88.424339924934401</v>
      </c>
      <c r="AM3438">
        <v>74.670962188197194</v>
      </c>
      <c r="AN3438">
        <v>0.99999999945994</v>
      </c>
    </row>
    <row r="3439" spans="1:40" x14ac:dyDescent="0.25">
      <c r="A3439" t="str">
        <f>"20190312151607134"</f>
        <v>20190312151607134</v>
      </c>
      <c r="B3439" t="str">
        <f>"1552374967131340"</f>
        <v>1552374967131340</v>
      </c>
      <c r="C3439" t="s">
        <v>40</v>
      </c>
      <c r="D3439">
        <v>4.8104069999999997</v>
      </c>
      <c r="E3439">
        <v>0.60606000000000004</v>
      </c>
      <c r="F3439" t="s">
        <v>43</v>
      </c>
      <c r="G3439">
        <v>-191.15479999999999</v>
      </c>
      <c r="H3439" s="1">
        <v>-2.0767010000000002E-6</v>
      </c>
      <c r="I3439">
        <v>193.71369999999999</v>
      </c>
      <c r="J3439">
        <v>-194.5915</v>
      </c>
      <c r="K3439">
        <v>1.1210199999999999</v>
      </c>
      <c r="L3439">
        <v>203.2936</v>
      </c>
      <c r="M3439">
        <v>0.78634759999999904</v>
      </c>
      <c r="N3439">
        <v>0</v>
      </c>
      <c r="O3439">
        <v>-0.61715379999999997</v>
      </c>
      <c r="P3439">
        <v>0.59782019999999902</v>
      </c>
      <c r="Q3439">
        <v>1.708206E-2</v>
      </c>
      <c r="R3439">
        <v>-0.80144879999999996</v>
      </c>
      <c r="S3439">
        <v>1.127945</v>
      </c>
      <c r="T3439">
        <v>-0.33321250000000002</v>
      </c>
      <c r="U3439">
        <v>-2.9225919999999999</v>
      </c>
      <c r="V3439">
        <v>0.26370470000000001</v>
      </c>
      <c r="W3439">
        <v>2.6683330000000002E-2</v>
      </c>
      <c r="X3439">
        <v>0.96423429999999999</v>
      </c>
      <c r="Y3439">
        <v>0.5116581</v>
      </c>
      <c r="Z3439">
        <v>4.2475640000000002E-2</v>
      </c>
      <c r="AA3439">
        <v>0.85813859999999997</v>
      </c>
      <c r="AB3439">
        <v>45</v>
      </c>
      <c r="AC3439">
        <v>3.4367000000000001</v>
      </c>
      <c r="AD3439">
        <v>-1.121022076701</v>
      </c>
      <c r="AE3439">
        <v>-9.5799000000000092</v>
      </c>
      <c r="AF3439">
        <v>5.3493690397496696</v>
      </c>
      <c r="AG3439">
        <v>-1.121022076701</v>
      </c>
      <c r="AH3439">
        <v>8.5147677725672306</v>
      </c>
      <c r="AI3439">
        <v>96.361142657219204</v>
      </c>
      <c r="AJ3439">
        <v>57.861070736810603</v>
      </c>
      <c r="AK3439">
        <v>10.1179894169065</v>
      </c>
      <c r="AL3439">
        <v>88.470976291836294</v>
      </c>
      <c r="AM3439">
        <v>74.704420279241106</v>
      </c>
      <c r="AN3439">
        <v>0.99999997709923405</v>
      </c>
    </row>
    <row r="3440" spans="1:40" x14ac:dyDescent="0.25">
      <c r="A3440" t="str">
        <f>"20190312151607155"</f>
        <v>20190312151607155</v>
      </c>
      <c r="B3440" t="str">
        <f>"1552374967150860"</f>
        <v>1552374967150860</v>
      </c>
      <c r="C3440" t="s">
        <v>40</v>
      </c>
      <c r="D3440">
        <v>4.7575510000000003</v>
      </c>
      <c r="E3440">
        <v>0.60503689999999999</v>
      </c>
      <c r="F3440" t="s">
        <v>43</v>
      </c>
      <c r="G3440">
        <v>-190.89500000000001</v>
      </c>
      <c r="H3440" s="1">
        <v>-1.875145E-6</v>
      </c>
      <c r="I3440">
        <v>193.405</v>
      </c>
      <c r="J3440">
        <v>-194.25020000000001</v>
      </c>
      <c r="K3440">
        <v>1.1178629999999901</v>
      </c>
      <c r="L3440">
        <v>203.0214</v>
      </c>
      <c r="M3440">
        <v>0.7787712</v>
      </c>
      <c r="N3440">
        <v>0</v>
      </c>
      <c r="O3440">
        <v>-0.6266699</v>
      </c>
      <c r="P3440">
        <v>0.58842709999999998</v>
      </c>
      <c r="Q3440">
        <v>1.5731209999999999E-2</v>
      </c>
      <c r="R3440">
        <v>-0.80839740000000004</v>
      </c>
      <c r="S3440">
        <v>1.096252</v>
      </c>
      <c r="T3440">
        <v>-0.33245439999999998</v>
      </c>
      <c r="U3440">
        <v>-2.9326020000000002</v>
      </c>
      <c r="V3440">
        <v>0.26318649999999999</v>
      </c>
      <c r="W3440">
        <v>2.5683270000000001E-2</v>
      </c>
      <c r="X3440">
        <v>0.96440300000000001</v>
      </c>
      <c r="Y3440">
        <v>0.51032809999999995</v>
      </c>
      <c r="Z3440">
        <v>4.3699889999999998E-2</v>
      </c>
      <c r="AA3440">
        <v>0.85886879999999999</v>
      </c>
      <c r="AB3440">
        <v>44</v>
      </c>
      <c r="AC3440">
        <v>3.3551999999999902</v>
      </c>
      <c r="AD3440">
        <v>-1.11786487514499</v>
      </c>
      <c r="AE3440">
        <v>-9.6164000000000005</v>
      </c>
      <c r="AF3440">
        <v>5.3243883862571302</v>
      </c>
      <c r="AG3440">
        <v>-1.11786487514499</v>
      </c>
      <c r="AH3440">
        <v>8.5398247607395099</v>
      </c>
      <c r="AI3440">
        <v>96.338380048212997</v>
      </c>
      <c r="AJ3440">
        <v>58.057389937137501</v>
      </c>
      <c r="AK3440">
        <v>10.125578527221601</v>
      </c>
      <c r="AL3440">
        <v>88.528295131957705</v>
      </c>
      <c r="AM3440">
        <v>74.735619361313297</v>
      </c>
      <c r="AN3440">
        <v>0.99999995527456997</v>
      </c>
    </row>
    <row r="3441" spans="1:40" x14ac:dyDescent="0.25">
      <c r="A3441" t="str">
        <f>"20190312151607176"</f>
        <v>20190312151607176</v>
      </c>
      <c r="B3441" t="str">
        <f>"1552374967171100"</f>
        <v>1552374967171100</v>
      </c>
      <c r="C3441" t="s">
        <v>40</v>
      </c>
      <c r="D3441">
        <v>4.8030390000000001</v>
      </c>
      <c r="E3441">
        <v>0.60434500000000002</v>
      </c>
      <c r="F3441" t="s">
        <v>43</v>
      </c>
      <c r="G3441">
        <v>-190.63570000000001</v>
      </c>
      <c r="H3441" s="1">
        <v>-1.6631940000000001E-6</v>
      </c>
      <c r="I3441">
        <v>193.0718</v>
      </c>
      <c r="J3441">
        <v>-193.90809999999999</v>
      </c>
      <c r="K3441">
        <v>1.115</v>
      </c>
      <c r="L3441">
        <v>202.7396</v>
      </c>
      <c r="M3441">
        <v>0.7707138</v>
      </c>
      <c r="N3441">
        <v>0</v>
      </c>
      <c r="O3441">
        <v>-0.63654169999999999</v>
      </c>
      <c r="P3441">
        <v>0.57811179999999995</v>
      </c>
      <c r="Q3441">
        <v>1.4779479999999999E-2</v>
      </c>
      <c r="R3441">
        <v>-0.81582390000000005</v>
      </c>
      <c r="S3441">
        <v>1.0680689999999999</v>
      </c>
      <c r="T3441">
        <v>-0.33032040000000001</v>
      </c>
      <c r="U3441">
        <v>-2.9400330000000001</v>
      </c>
      <c r="V3441">
        <v>0.2631019</v>
      </c>
      <c r="W3441">
        <v>2.5060240000000001E-2</v>
      </c>
      <c r="X3441">
        <v>0.96444260000000004</v>
      </c>
      <c r="Y3441">
        <v>0.50736329999999996</v>
      </c>
      <c r="Z3441">
        <v>4.4879519999999999E-2</v>
      </c>
      <c r="AA3441">
        <v>0.86056279999999996</v>
      </c>
      <c r="AB3441">
        <v>44</v>
      </c>
      <c r="AC3441">
        <v>3.27239999999997</v>
      </c>
      <c r="AD3441">
        <v>-1.1150016631940001</v>
      </c>
      <c r="AE3441">
        <v>-9.6677999999999997</v>
      </c>
      <c r="AF3441">
        <v>5.3069430878114598</v>
      </c>
      <c r="AG3441">
        <v>-1.1150016631940001</v>
      </c>
      <c r="AH3441">
        <v>8.5772180021085802</v>
      </c>
      <c r="AI3441">
        <v>96.308249682712599</v>
      </c>
      <c r="AJ3441">
        <v>58.253866640336099</v>
      </c>
      <c r="AK3441">
        <v>10.147686549253001</v>
      </c>
      <c r="AL3441">
        <v>88.564003793645</v>
      </c>
      <c r="AM3441">
        <v>74.740894581046902</v>
      </c>
      <c r="AN3441">
        <v>1.0000000770536099</v>
      </c>
    </row>
    <row r="3442" spans="1:40" x14ac:dyDescent="0.25">
      <c r="A3442" t="str">
        <f>"20190312151607200"</f>
        <v>20190312151607200</v>
      </c>
      <c r="B3442" t="str">
        <f>"1552374967191601"</f>
        <v>1552374967191601</v>
      </c>
      <c r="C3442" t="s">
        <v>40</v>
      </c>
      <c r="D3442">
        <v>4.8328709999999999</v>
      </c>
      <c r="E3442">
        <v>0.60354790000000003</v>
      </c>
      <c r="F3442" t="s">
        <v>43</v>
      </c>
      <c r="G3442">
        <v>-190.49809999999999</v>
      </c>
      <c r="H3442" s="1">
        <v>-1.6047479999999999E-6</v>
      </c>
      <c r="I3442">
        <v>193.02090000000001</v>
      </c>
      <c r="J3442">
        <v>-193.5651</v>
      </c>
      <c r="K3442">
        <v>1.112422</v>
      </c>
      <c r="L3442">
        <v>202.44800000000001</v>
      </c>
      <c r="M3442">
        <v>0.76210880000000003</v>
      </c>
      <c r="N3442">
        <v>0</v>
      </c>
      <c r="O3442">
        <v>-0.64681330000000004</v>
      </c>
      <c r="P3442">
        <v>0.56656209999999996</v>
      </c>
      <c r="Q3442">
        <v>1.424366E-2</v>
      </c>
      <c r="R3442">
        <v>-0.82389599999999996</v>
      </c>
      <c r="S3442">
        <v>1.0350490000000001</v>
      </c>
      <c r="T3442">
        <v>-0.33844079999999999</v>
      </c>
      <c r="U3442">
        <v>-2.9499659999999999</v>
      </c>
      <c r="V3442">
        <v>0.2637217</v>
      </c>
      <c r="W3442">
        <v>2.4784239999999999E-2</v>
      </c>
      <c r="X3442">
        <v>0.96428040000000004</v>
      </c>
      <c r="Y3442">
        <v>0.50532999999999995</v>
      </c>
      <c r="Z3442">
        <v>4.7461870000000003E-2</v>
      </c>
      <c r="AA3442">
        <v>0.86161989999999999</v>
      </c>
      <c r="AB3442">
        <v>44</v>
      </c>
      <c r="AC3442">
        <v>3.0670000000000002</v>
      </c>
      <c r="AD3442">
        <v>-1.1124236047480001</v>
      </c>
      <c r="AE3442">
        <v>-9.4270999999999603</v>
      </c>
      <c r="AF3442">
        <v>5.1381414425840104</v>
      </c>
      <c r="AG3442">
        <v>-1.1124236047480001</v>
      </c>
      <c r="AH3442">
        <v>8.3334991125112108</v>
      </c>
      <c r="AI3442">
        <v>96.482511417705197</v>
      </c>
      <c r="AJ3442">
        <v>58.343481455191899</v>
      </c>
      <c r="AK3442">
        <v>9.8531817814665796</v>
      </c>
      <c r="AL3442">
        <v>88.579822290778196</v>
      </c>
      <c r="AM3442">
        <v>74.704177459343597</v>
      </c>
      <c r="AN3442">
        <v>1.00000004171371</v>
      </c>
    </row>
    <row r="3443" spans="1:40" x14ac:dyDescent="0.25">
      <c r="A3443" t="str">
        <f>"20190312151607222"</f>
        <v>20190312151607222</v>
      </c>
      <c r="B3443" t="str">
        <f>"1552374967211117"</f>
        <v>1552374967211117</v>
      </c>
      <c r="C3443" t="s">
        <v>40</v>
      </c>
      <c r="D3443">
        <v>4.7780829999999996</v>
      </c>
      <c r="E3443">
        <v>0.60242069999999903</v>
      </c>
      <c r="F3443" t="s">
        <v>43</v>
      </c>
      <c r="G3443">
        <v>-190.3586</v>
      </c>
      <c r="H3443" s="1">
        <v>-1.5343770000000001E-6</v>
      </c>
      <c r="I3443">
        <v>192.9434</v>
      </c>
      <c r="J3443">
        <v>-193.2242</v>
      </c>
      <c r="K3443">
        <v>1.110128</v>
      </c>
      <c r="L3443">
        <v>202.1491</v>
      </c>
      <c r="M3443">
        <v>0.75298259999999995</v>
      </c>
      <c r="N3443">
        <v>0</v>
      </c>
      <c r="O3443">
        <v>-0.65741439999999995</v>
      </c>
      <c r="P3443">
        <v>0.55422309999999997</v>
      </c>
      <c r="Q3443">
        <v>1.399158E-2</v>
      </c>
      <c r="R3443">
        <v>-0.83225079999999996</v>
      </c>
      <c r="S3443">
        <v>0.99871829999999995</v>
      </c>
      <c r="T3443">
        <v>-0.34648590000000001</v>
      </c>
      <c r="U3443">
        <v>-2.9604189999999999</v>
      </c>
      <c r="V3443">
        <v>0.26455849999999997</v>
      </c>
      <c r="W3443">
        <v>2.4740379999999999E-2</v>
      </c>
      <c r="X3443">
        <v>0.96405229999999997</v>
      </c>
      <c r="Y3443">
        <v>0.50370649999999995</v>
      </c>
      <c r="Z3443">
        <v>5.0135720000000002E-2</v>
      </c>
      <c r="AA3443">
        <v>0.86241880000000004</v>
      </c>
      <c r="AB3443">
        <v>44</v>
      </c>
      <c r="AC3443">
        <v>2.8656000000000001</v>
      </c>
      <c r="AD3443">
        <v>-1.1101295343769999</v>
      </c>
      <c r="AE3443">
        <v>-9.2057000000000002</v>
      </c>
      <c r="AF3443">
        <v>4.9838507312034697</v>
      </c>
      <c r="AG3443">
        <v>-1.1101295343769999</v>
      </c>
      <c r="AH3443">
        <v>8.1056274293285799</v>
      </c>
      <c r="AI3443">
        <v>96.654526911738898</v>
      </c>
      <c r="AJ3443">
        <v>58.414178323256998</v>
      </c>
      <c r="AK3443">
        <v>9.5797887094182492</v>
      </c>
      <c r="AL3443">
        <v>88.582336082748</v>
      </c>
      <c r="AM3443">
        <v>74.654467826448496</v>
      </c>
      <c r="AN3443">
        <v>1.00000006173004</v>
      </c>
    </row>
    <row r="3444" spans="1:40" x14ac:dyDescent="0.25">
      <c r="A3444" t="str">
        <f>"20190312151607245"</f>
        <v>20190312151607245</v>
      </c>
      <c r="B3444" t="str">
        <f>"1552374967241372"</f>
        <v>1552374967241372</v>
      </c>
      <c r="C3444" t="s">
        <v>40</v>
      </c>
      <c r="D3444">
        <v>4.8146930000000001</v>
      </c>
      <c r="E3444">
        <v>0.58022069999999903</v>
      </c>
      <c r="F3444" t="s">
        <v>43</v>
      </c>
      <c r="G3444">
        <v>-190.21870000000001</v>
      </c>
      <c r="H3444" s="1">
        <v>-1.467918E-6</v>
      </c>
      <c r="I3444">
        <v>192.87520000000001</v>
      </c>
      <c r="J3444">
        <v>-192.89449999999999</v>
      </c>
      <c r="K3444">
        <v>1.1081460000000001</v>
      </c>
      <c r="L3444">
        <v>201.85079999999999</v>
      </c>
      <c r="M3444">
        <v>0.7435678</v>
      </c>
      <c r="N3444">
        <v>0</v>
      </c>
      <c r="O3444">
        <v>-0.66804770000000002</v>
      </c>
      <c r="P3444">
        <v>0.54139419999999905</v>
      </c>
      <c r="Q3444">
        <v>1.30984E-2</v>
      </c>
      <c r="R3444">
        <v>-0.84066719999999895</v>
      </c>
      <c r="S3444">
        <v>0.96244810000000003</v>
      </c>
      <c r="T3444">
        <v>-0.35549029999999998</v>
      </c>
      <c r="U3444">
        <v>-2.9697110000000002</v>
      </c>
      <c r="V3444">
        <v>0.26556600000000002</v>
      </c>
      <c r="W3444">
        <v>2.3993400000000002E-2</v>
      </c>
      <c r="X3444">
        <v>0.96379409999999999</v>
      </c>
      <c r="Y3444">
        <v>0.50179479999999999</v>
      </c>
      <c r="Z3444">
        <v>5.3059410000000001E-2</v>
      </c>
      <c r="AA3444">
        <v>0.86335779999999995</v>
      </c>
      <c r="AB3444">
        <v>44</v>
      </c>
      <c r="AC3444">
        <v>2.6757999999999802</v>
      </c>
      <c r="AD3444">
        <v>-1.1081474679179999</v>
      </c>
      <c r="AE3444">
        <v>-8.9755999999999805</v>
      </c>
      <c r="AF3444">
        <v>4.8209208167183997</v>
      </c>
      <c r="AG3444">
        <v>-1.1081474679179999</v>
      </c>
      <c r="AH3444">
        <v>7.87874780342226</v>
      </c>
      <c r="AI3444">
        <v>96.841231814567095</v>
      </c>
      <c r="AJ3444">
        <v>58.537985826354998</v>
      </c>
      <c r="AK3444">
        <v>9.3028992943948907</v>
      </c>
      <c r="AL3444">
        <v>88.625147543975203</v>
      </c>
      <c r="AM3444">
        <v>74.594868208929299</v>
      </c>
      <c r="AN3444">
        <v>1.0000000253971799</v>
      </c>
    </row>
    <row r="3445" spans="1:40" x14ac:dyDescent="0.25">
      <c r="A3445" t="str">
        <f>"20190312151607267"</f>
        <v>20190312151607267</v>
      </c>
      <c r="B3445" t="str">
        <f>"1552374967260893"</f>
        <v>1552374967260893</v>
      </c>
      <c r="C3445" t="s">
        <v>40</v>
      </c>
      <c r="D3445">
        <v>4.79352</v>
      </c>
      <c r="E3445">
        <v>0.58211169999999901</v>
      </c>
      <c r="F3445" t="s">
        <v>43</v>
      </c>
      <c r="G3445">
        <v>-190.11709999999999</v>
      </c>
      <c r="H3445" s="1">
        <v>-2.0544370000000001E-6</v>
      </c>
      <c r="I3445">
        <v>194.30549999999999</v>
      </c>
      <c r="J3445">
        <v>-192.5669</v>
      </c>
      <c r="K3445">
        <v>1.1063769999999999</v>
      </c>
      <c r="L3445">
        <v>201.5453</v>
      </c>
      <c r="M3445">
        <v>0.73360439999999905</v>
      </c>
      <c r="N3445">
        <v>0</v>
      </c>
      <c r="O3445">
        <v>-0.6789811</v>
      </c>
      <c r="P3445">
        <v>0.52814759999999905</v>
      </c>
      <c r="Q3445">
        <v>1.253959E-2</v>
      </c>
      <c r="R3445">
        <v>-0.84906039999999905</v>
      </c>
      <c r="S3445">
        <v>1.0638430000000001</v>
      </c>
      <c r="T3445">
        <v>-0.42445339999999998</v>
      </c>
      <c r="U3445">
        <v>-2.8901059999999998</v>
      </c>
      <c r="V3445">
        <v>0.26634469999999999</v>
      </c>
      <c r="W3445">
        <v>2.3547200000000001E-2</v>
      </c>
      <c r="X3445">
        <v>0.96359019999999995</v>
      </c>
      <c r="Y3445">
        <v>0.45476620000000001</v>
      </c>
      <c r="Z3445">
        <v>6.8798739999999997E-2</v>
      </c>
      <c r="AA3445">
        <v>0.88794959999999901</v>
      </c>
      <c r="AB3445">
        <v>44</v>
      </c>
      <c r="AC3445">
        <v>2.44980000000001</v>
      </c>
      <c r="AD3445">
        <v>-1.106379054437</v>
      </c>
      <c r="AE3445">
        <v>-7.2397999999999998</v>
      </c>
      <c r="AF3445">
        <v>3.57435969529404</v>
      </c>
      <c r="AG3445">
        <v>-1.106379054437</v>
      </c>
      <c r="AH3445">
        <v>6.5777565904903401</v>
      </c>
      <c r="AI3445">
        <v>98.406859375715896</v>
      </c>
      <c r="AJ3445">
        <v>61.480297597074802</v>
      </c>
      <c r="AK3445">
        <v>7.56749652178173</v>
      </c>
      <c r="AL3445">
        <v>88.650720140983395</v>
      </c>
      <c r="AM3445">
        <v>74.548738782603806</v>
      </c>
      <c r="AN3445">
        <v>1.0000000216909799</v>
      </c>
    </row>
    <row r="3446" spans="1:40" x14ac:dyDescent="0.25">
      <c r="A3446" t="str">
        <f>"20190312151607289"</f>
        <v>20190312151607289</v>
      </c>
      <c r="B3446" t="str">
        <f>"1552374967281388"</f>
        <v>1552374967281388</v>
      </c>
      <c r="C3446" t="s">
        <v>40</v>
      </c>
      <c r="D3446">
        <v>4.7908229999999996</v>
      </c>
      <c r="E3446">
        <v>0.58171530000000005</v>
      </c>
      <c r="F3446" t="s">
        <v>43</v>
      </c>
      <c r="G3446">
        <v>-189.81739999999999</v>
      </c>
      <c r="H3446" s="1">
        <v>-1.7326970000000001E-6</v>
      </c>
      <c r="I3446">
        <v>193.59620000000001</v>
      </c>
      <c r="J3446">
        <v>-192.2672</v>
      </c>
      <c r="K3446">
        <v>1.1049180000000001</v>
      </c>
      <c r="L3446">
        <v>201.25720000000001</v>
      </c>
      <c r="M3446">
        <v>0.72392449999999997</v>
      </c>
      <c r="N3446">
        <v>0</v>
      </c>
      <c r="O3446">
        <v>-0.68930179999999996</v>
      </c>
      <c r="P3446">
        <v>0.51579439999999999</v>
      </c>
      <c r="Q3446">
        <v>1.2016499999999999E-2</v>
      </c>
      <c r="R3446">
        <v>-0.85662859999999996</v>
      </c>
      <c r="S3446">
        <v>1.0074459999999901</v>
      </c>
      <c r="T3446">
        <v>-0.40539789999999998</v>
      </c>
      <c r="U3446">
        <v>-2.912674</v>
      </c>
      <c r="V3446">
        <v>0.26659280000000002</v>
      </c>
      <c r="W3446">
        <v>2.3109109999999999E-2</v>
      </c>
      <c r="X3446">
        <v>0.9635321</v>
      </c>
      <c r="Y3446">
        <v>0.45961340000000001</v>
      </c>
      <c r="Z3446">
        <v>6.7077739999999997E-2</v>
      </c>
      <c r="AA3446">
        <v>0.88558230000000004</v>
      </c>
      <c r="AB3446">
        <v>44</v>
      </c>
      <c r="AC3446">
        <v>2.44980000000001</v>
      </c>
      <c r="AD3446">
        <v>-1.1049197326969999</v>
      </c>
      <c r="AE3446">
        <v>-7.6609999999999996</v>
      </c>
      <c r="AF3446">
        <v>3.7873967461979601</v>
      </c>
      <c r="AG3446">
        <v>-1.1049197326969999</v>
      </c>
      <c r="AH3446">
        <v>6.9263114698239399</v>
      </c>
      <c r="AI3446">
        <v>97.967715189598295</v>
      </c>
      <c r="AJ3446">
        <v>61.329590696675503</v>
      </c>
      <c r="AK3446">
        <v>7.9711361991769296</v>
      </c>
      <c r="AL3446">
        <v>88.675827559783301</v>
      </c>
      <c r="AM3446">
        <v>74.534146694590206</v>
      </c>
      <c r="AN3446">
        <v>0.99999992985361796</v>
      </c>
    </row>
    <row r="3447" spans="1:40" x14ac:dyDescent="0.25">
      <c r="A3447" t="str">
        <f>"20190312151607311"</f>
        <v>20190312151607311</v>
      </c>
      <c r="B3447" t="str">
        <f>"1552374967300908"</f>
        <v>1552374967300908</v>
      </c>
      <c r="C3447" t="s">
        <v>40</v>
      </c>
      <c r="D3447">
        <v>4.6812319999999996</v>
      </c>
      <c r="E3447">
        <v>0.58183039999999997</v>
      </c>
      <c r="F3447" t="s">
        <v>43</v>
      </c>
      <c r="G3447">
        <v>-189.53710000000001</v>
      </c>
      <c r="H3447" s="1">
        <v>-1.536728E-6</v>
      </c>
      <c r="I3447">
        <v>193.02350000000001</v>
      </c>
      <c r="J3447">
        <v>-191.94800000000001</v>
      </c>
      <c r="K3447">
        <v>1.103512</v>
      </c>
      <c r="L3447">
        <v>200.94149999999999</v>
      </c>
      <c r="M3447">
        <v>0.71301579999999998</v>
      </c>
      <c r="N3447">
        <v>0</v>
      </c>
      <c r="O3447">
        <v>-0.70059209999999905</v>
      </c>
      <c r="P3447">
        <v>0.5023029</v>
      </c>
      <c r="Q3447">
        <v>1.119565E-2</v>
      </c>
      <c r="R3447">
        <v>-0.86461929999999998</v>
      </c>
      <c r="S3447">
        <v>0.96946719999999997</v>
      </c>
      <c r="T3447">
        <v>-0.39236759999999998</v>
      </c>
      <c r="U3447">
        <v>-2.9238740000000001</v>
      </c>
      <c r="V3447">
        <v>0.26647510000000002</v>
      </c>
      <c r="W3447">
        <v>2.234589E-2</v>
      </c>
      <c r="X3447">
        <v>0.96358279999999996</v>
      </c>
      <c r="Y3447">
        <v>0.45705170000000001</v>
      </c>
      <c r="Z3447">
        <v>6.687949E-2</v>
      </c>
      <c r="AA3447">
        <v>0.88692209999999905</v>
      </c>
      <c r="AB3447">
        <v>44</v>
      </c>
      <c r="AC3447">
        <v>2.4108999999999599</v>
      </c>
      <c r="AD3447">
        <v>-1.103513536728</v>
      </c>
      <c r="AE3447">
        <v>-7.91799999999997</v>
      </c>
      <c r="AF3447">
        <v>3.88901516635174</v>
      </c>
      <c r="AG3447">
        <v>-1.103513536728</v>
      </c>
      <c r="AH3447">
        <v>7.1421755492908998</v>
      </c>
      <c r="AI3447">
        <v>97.727512923672094</v>
      </c>
      <c r="AJ3447">
        <v>61.431085614611803</v>
      </c>
      <c r="AK3447">
        <v>8.20687837528647</v>
      </c>
      <c r="AL3447">
        <v>88.719568320267399</v>
      </c>
      <c r="AM3447">
        <v>74.541422662582704</v>
      </c>
      <c r="AN3447">
        <v>1.00000006508786</v>
      </c>
    </row>
    <row r="3448" spans="1:40" x14ac:dyDescent="0.25">
      <c r="A3448" t="str">
        <f>"20190312151607335"</f>
        <v>20190312151607335</v>
      </c>
      <c r="B3448" t="str">
        <f>"1552374967331165"</f>
        <v>1552374967331165</v>
      </c>
      <c r="C3448" t="s">
        <v>40</v>
      </c>
      <c r="D3448">
        <v>4.7262649999999997</v>
      </c>
      <c r="E3448">
        <v>0.58220550000000004</v>
      </c>
      <c r="F3448" t="s">
        <v>43</v>
      </c>
      <c r="G3448">
        <v>-189.2593</v>
      </c>
      <c r="H3448" s="1">
        <v>-1.316851E-6</v>
      </c>
      <c r="I3448">
        <v>192.39609999999999</v>
      </c>
      <c r="J3448">
        <v>-191.63300000000001</v>
      </c>
      <c r="K3448">
        <v>1.1022430000000001</v>
      </c>
      <c r="L3448">
        <v>200.6198</v>
      </c>
      <c r="M3448">
        <v>0.70159700000000003</v>
      </c>
      <c r="N3448">
        <v>0</v>
      </c>
      <c r="O3448">
        <v>-0.71204179999999995</v>
      </c>
      <c r="P3448">
        <v>0.48831730000000001</v>
      </c>
      <c r="Q3448">
        <v>1.070669E-2</v>
      </c>
      <c r="R3448">
        <v>-0.87260099999999996</v>
      </c>
      <c r="S3448">
        <v>0.92428589999999999</v>
      </c>
      <c r="T3448">
        <v>-0.37935590000000002</v>
      </c>
      <c r="U3448">
        <v>-2.9376530000000001</v>
      </c>
      <c r="V3448">
        <v>0.2663277</v>
      </c>
      <c r="W3448">
        <v>2.1848679999999999E-2</v>
      </c>
      <c r="X3448">
        <v>0.96363489999999996</v>
      </c>
      <c r="Y3448">
        <v>0.4562696</v>
      </c>
      <c r="Z3448">
        <v>6.6479440000000001E-2</v>
      </c>
      <c r="AA3448">
        <v>0.8873548</v>
      </c>
      <c r="AB3448">
        <v>44</v>
      </c>
      <c r="AC3448">
        <v>2.3736999999999799</v>
      </c>
      <c r="AD3448">
        <v>-1.1022443168510001</v>
      </c>
      <c r="AE3448">
        <v>-8.2236999999999991</v>
      </c>
      <c r="AF3448">
        <v>4.0145234820425397</v>
      </c>
      <c r="AG3448">
        <v>-1.1022443168510001</v>
      </c>
      <c r="AH3448">
        <v>7.4011176827996303</v>
      </c>
      <c r="AI3448">
        <v>97.458239019900702</v>
      </c>
      <c r="AJ3448">
        <v>61.523655180050397</v>
      </c>
      <c r="AK3448">
        <v>8.4916361366082302</v>
      </c>
      <c r="AL3448">
        <v>88.748063247718605</v>
      </c>
      <c r="AM3448">
        <v>74.550360324302503</v>
      </c>
      <c r="AN3448">
        <v>1.00000001455152</v>
      </c>
    </row>
    <row r="3449" spans="1:40" x14ac:dyDescent="0.25">
      <c r="A3449" t="str">
        <f>"20190312151607356"</f>
        <v>20190312151607356</v>
      </c>
      <c r="B3449" t="str">
        <f>"1552374967351661"</f>
        <v>1552374967351661</v>
      </c>
      <c r="C3449" t="s">
        <v>40</v>
      </c>
      <c r="D3449">
        <v>5.6626609999999999</v>
      </c>
      <c r="E3449">
        <v>0.58222589999999996</v>
      </c>
      <c r="F3449" t="s">
        <v>43</v>
      </c>
      <c r="G3449">
        <v>-189.01050000000001</v>
      </c>
      <c r="H3449" s="1">
        <v>-1.0947070000000001E-6</v>
      </c>
      <c r="I3449">
        <v>191.77539999999999</v>
      </c>
      <c r="J3449">
        <v>-191.3297</v>
      </c>
      <c r="K3449">
        <v>1.101119</v>
      </c>
      <c r="L3449">
        <v>200.2998</v>
      </c>
      <c r="M3449">
        <v>0.68996539999999995</v>
      </c>
      <c r="N3449">
        <v>0</v>
      </c>
      <c r="O3449">
        <v>-0.72333429999999999</v>
      </c>
      <c r="P3449">
        <v>0.47493669999999999</v>
      </c>
      <c r="Q3449">
        <v>1.031837E-2</v>
      </c>
      <c r="R3449">
        <v>-0.8799593</v>
      </c>
      <c r="S3449">
        <v>0.87550349999999999</v>
      </c>
      <c r="T3449">
        <v>-0.36797180000000002</v>
      </c>
      <c r="U3449">
        <v>-2.952591</v>
      </c>
      <c r="V3449">
        <v>0.26534629999999998</v>
      </c>
      <c r="W3449">
        <v>2.1435829999999999E-2</v>
      </c>
      <c r="X3449">
        <v>0.96391490000000002</v>
      </c>
      <c r="Y3449">
        <v>0.45654230000000001</v>
      </c>
      <c r="Z3449">
        <v>6.6163680000000002E-2</v>
      </c>
      <c r="AA3449">
        <v>0.88723809999999903</v>
      </c>
      <c r="AB3449">
        <v>44</v>
      </c>
      <c r="AC3449">
        <v>2.3191999999999902</v>
      </c>
      <c r="AD3449">
        <v>-1.1011200947069999</v>
      </c>
      <c r="AE3449">
        <v>-8.5244000000000106</v>
      </c>
      <c r="AF3449">
        <v>4.14119432308265</v>
      </c>
      <c r="AG3449">
        <v>-1.1011200947069999</v>
      </c>
      <c r="AH3449">
        <v>7.6501649482048304</v>
      </c>
      <c r="AI3449">
        <v>97.214047692944206</v>
      </c>
      <c r="AJ3449">
        <v>61.572389673726697</v>
      </c>
      <c r="AK3449">
        <v>8.7685220886556099</v>
      </c>
      <c r="AL3449">
        <v>88.771723388091502</v>
      </c>
      <c r="AM3449">
        <v>74.608845639786296</v>
      </c>
      <c r="AN3449">
        <v>1.00000004408674</v>
      </c>
    </row>
    <row r="3450" spans="1:40" x14ac:dyDescent="0.25">
      <c r="A3450" t="str">
        <f>"20190312151607378"</f>
        <v>20190312151607378</v>
      </c>
      <c r="B3450" t="str">
        <f>"1552374967371180"</f>
        <v>1552374967371180</v>
      </c>
      <c r="C3450" t="s">
        <v>40</v>
      </c>
      <c r="D3450">
        <v>4.8894989999999998</v>
      </c>
      <c r="E3450">
        <v>0.61322989999999999</v>
      </c>
      <c r="F3450" t="s">
        <v>43</v>
      </c>
      <c r="G3450">
        <v>-188.81819999999999</v>
      </c>
      <c r="H3450" s="1">
        <v>-9.3938610000000004E-7</v>
      </c>
      <c r="I3450">
        <v>191.3338</v>
      </c>
      <c r="J3450">
        <v>-191.03530000000001</v>
      </c>
      <c r="K3450">
        <v>1.100117</v>
      </c>
      <c r="L3450">
        <v>199.9795</v>
      </c>
      <c r="M3450">
        <v>0.67808789999999997</v>
      </c>
      <c r="N3450">
        <v>0</v>
      </c>
      <c r="O3450">
        <v>-0.73449719999999996</v>
      </c>
      <c r="P3450">
        <v>0.46143450000000003</v>
      </c>
      <c r="Q3450">
        <v>1.004439E-2</v>
      </c>
      <c r="R3450">
        <v>-0.8871173</v>
      </c>
      <c r="S3450">
        <v>0.83059689999999997</v>
      </c>
      <c r="T3450">
        <v>-0.36416490000000001</v>
      </c>
      <c r="U3450">
        <v>-2.9652250000000002</v>
      </c>
      <c r="V3450">
        <v>0.26429760000000002</v>
      </c>
      <c r="W3450">
        <v>2.108925E-2</v>
      </c>
      <c r="X3450">
        <v>0.96421060000000003</v>
      </c>
      <c r="Y3450">
        <v>0.45550000000000002</v>
      </c>
      <c r="Z3450">
        <v>6.7188170000000005E-2</v>
      </c>
      <c r="AA3450">
        <v>0.88769669999999901</v>
      </c>
      <c r="AB3450">
        <v>43</v>
      </c>
      <c r="AC3450">
        <v>2.2171000000000101</v>
      </c>
      <c r="AD3450">
        <v>-1.1001179393861</v>
      </c>
      <c r="AE3450">
        <v>-8.6456999999999997</v>
      </c>
      <c r="AF3450">
        <v>4.1722114086365201</v>
      </c>
      <c r="AG3450">
        <v>-1.1001179393861</v>
      </c>
      <c r="AH3450">
        <v>7.7388537024534498</v>
      </c>
      <c r="AI3450">
        <v>97.132283578361594</v>
      </c>
      <c r="AJ3450">
        <v>61.669772243736702</v>
      </c>
      <c r="AK3450">
        <v>8.8604437895002395</v>
      </c>
      <c r="AL3450">
        <v>88.791585431222302</v>
      </c>
      <c r="AM3450">
        <v>74.671287343740502</v>
      </c>
      <c r="AN3450">
        <v>1.0000000294918401</v>
      </c>
    </row>
    <row r="3451" spans="1:40" x14ac:dyDescent="0.25">
      <c r="A3451" t="str">
        <f>"20190312151607400"</f>
        <v>20190312151607400</v>
      </c>
      <c r="B3451" t="str">
        <f>"1552374967390700"</f>
        <v>1552374967390700</v>
      </c>
      <c r="C3451" t="s">
        <v>40</v>
      </c>
      <c r="D3451">
        <v>4.8252119999999996</v>
      </c>
      <c r="E3451">
        <v>0.62413369999999901</v>
      </c>
      <c r="F3451" t="s">
        <v>43</v>
      </c>
      <c r="G3451">
        <v>-188.58940000000001</v>
      </c>
      <c r="H3451" s="1">
        <v>-3.2962299999999999E-6</v>
      </c>
      <c r="I3451">
        <v>186.73310000000001</v>
      </c>
      <c r="J3451">
        <v>-190.74610000000001</v>
      </c>
      <c r="K3451">
        <v>1.099197</v>
      </c>
      <c r="L3451">
        <v>199.65530000000001</v>
      </c>
      <c r="M3451">
        <v>0.66584339999999997</v>
      </c>
      <c r="N3451">
        <v>0</v>
      </c>
      <c r="O3451">
        <v>-0.74563279999999998</v>
      </c>
      <c r="P3451">
        <v>0.447718</v>
      </c>
      <c r="Q3451">
        <v>1.0112299999999999E-2</v>
      </c>
      <c r="R3451">
        <v>-0.89411759999999996</v>
      </c>
      <c r="S3451">
        <v>0.57017519999999999</v>
      </c>
      <c r="T3451">
        <v>-0.25646330000000001</v>
      </c>
      <c r="U3451">
        <v>-3.0880429999999999</v>
      </c>
      <c r="V3451">
        <v>0.26313799999999998</v>
      </c>
      <c r="W3451">
        <v>2.1038709999999999E-2</v>
      </c>
      <c r="X3451">
        <v>0.96452879999999996</v>
      </c>
      <c r="Y3451">
        <v>0.51962240000000004</v>
      </c>
      <c r="Z3451">
        <v>4.5551210000000002E-2</v>
      </c>
      <c r="AA3451">
        <v>0.85318090000000002</v>
      </c>
      <c r="AB3451">
        <v>43</v>
      </c>
      <c r="AC3451">
        <v>2.1566999999999998</v>
      </c>
      <c r="AD3451">
        <v>-1.09920029623</v>
      </c>
      <c r="AE3451">
        <v>-12.9222</v>
      </c>
      <c r="AF3451">
        <v>6.9495282406893599</v>
      </c>
      <c r="AG3451">
        <v>-1.09920029623</v>
      </c>
      <c r="AH3451">
        <v>10.9976116325756</v>
      </c>
      <c r="AI3451">
        <v>94.829623646003498</v>
      </c>
      <c r="AJ3451">
        <v>57.710696177791803</v>
      </c>
      <c r="AK3451">
        <v>13.055713143307599</v>
      </c>
      <c r="AL3451">
        <v>88.794481791244294</v>
      </c>
      <c r="AM3451">
        <v>74.740198810113696</v>
      </c>
      <c r="AN3451">
        <v>1.00000002019595</v>
      </c>
    </row>
    <row r="3452" spans="1:40" x14ac:dyDescent="0.25">
      <c r="A3452" t="str">
        <f>"20190312151607447"</f>
        <v>20190312151607447</v>
      </c>
      <c r="B3452" t="str">
        <f>"1552374967441452"</f>
        <v>1552374967441452</v>
      </c>
      <c r="C3452" t="s">
        <v>40</v>
      </c>
      <c r="D3452">
        <v>4.8760399999999997</v>
      </c>
      <c r="E3452">
        <v>0.63064799999999999</v>
      </c>
      <c r="F3452" t="s">
        <v>43</v>
      </c>
      <c r="G3452">
        <v>-189.00819999999999</v>
      </c>
      <c r="H3452" s="1">
        <v>-3.4965119999999998E-6</v>
      </c>
      <c r="I3452">
        <v>187.37309999999999</v>
      </c>
      <c r="J3452">
        <v>-190.1626</v>
      </c>
      <c r="K3452">
        <v>1.0974900000000001</v>
      </c>
      <c r="L3452">
        <v>198.96889999999999</v>
      </c>
      <c r="M3452">
        <v>0.63930679999999995</v>
      </c>
      <c r="N3452">
        <v>0</v>
      </c>
      <c r="O3452">
        <v>-0.7685438</v>
      </c>
      <c r="P3452">
        <v>0.4173364</v>
      </c>
      <c r="Q3452">
        <v>1.051468E-2</v>
      </c>
      <c r="R3452">
        <v>-0.90869160000000004</v>
      </c>
      <c r="S3452">
        <v>0.44377139999999998</v>
      </c>
      <c r="T3452">
        <v>-0.2806765</v>
      </c>
      <c r="U3452">
        <v>-3.1362000000000001</v>
      </c>
      <c r="V3452">
        <v>0.26173479999999999</v>
      </c>
      <c r="W3452">
        <v>2.0991039999999999E-2</v>
      </c>
      <c r="X3452">
        <v>0.96491150000000003</v>
      </c>
      <c r="Y3452">
        <v>0.52551210000000004</v>
      </c>
      <c r="Z3452">
        <v>5.1865410000000001E-2</v>
      </c>
      <c r="AA3452">
        <v>0.84920379999999995</v>
      </c>
      <c r="AB3452">
        <v>43</v>
      </c>
      <c r="AC3452">
        <v>1.1544000000000001</v>
      </c>
      <c r="AD3452">
        <v>-1.09749349651199</v>
      </c>
      <c r="AE3452">
        <v>-11.595799999999899</v>
      </c>
      <c r="AF3452">
        <v>6.4707197751229302</v>
      </c>
      <c r="AG3452">
        <v>-1.09749349651199</v>
      </c>
      <c r="AH3452">
        <v>9.5680559659643496</v>
      </c>
      <c r="AI3452">
        <v>95.427698002498204</v>
      </c>
      <c r="AJ3452">
        <v>55.93015367081</v>
      </c>
      <c r="AK3452">
        <v>11.6026894016378</v>
      </c>
      <c r="AL3452">
        <v>88.797213619180098</v>
      </c>
      <c r="AM3452">
        <v>74.823551147261</v>
      </c>
      <c r="AN3452">
        <v>0.99999996606178498</v>
      </c>
    </row>
    <row r="3453" spans="1:40" x14ac:dyDescent="0.25">
      <c r="A3453" t="str">
        <f>"20190312151607468"</f>
        <v>20190312151607468</v>
      </c>
      <c r="B3453" t="str">
        <f>"1552374967460972"</f>
        <v>1552374967460972</v>
      </c>
      <c r="C3453" t="s">
        <v>40</v>
      </c>
      <c r="D3453">
        <v>4.8203709999999997</v>
      </c>
      <c r="E3453">
        <v>0.63111700000000004</v>
      </c>
      <c r="F3453" t="s">
        <v>43</v>
      </c>
      <c r="G3453">
        <v>-189.0933</v>
      </c>
      <c r="H3453" s="1">
        <v>-3.447875E-6</v>
      </c>
      <c r="I3453">
        <v>187.29490000000001</v>
      </c>
      <c r="J3453">
        <v>-189.89400000000001</v>
      </c>
      <c r="K3453">
        <v>1.0967629999999999</v>
      </c>
      <c r="L3453">
        <v>198.63720000000001</v>
      </c>
      <c r="M3453">
        <v>0.62622869999999997</v>
      </c>
      <c r="N3453">
        <v>0</v>
      </c>
      <c r="O3453">
        <v>-0.77925489999999997</v>
      </c>
      <c r="P3453">
        <v>0.40228809999999998</v>
      </c>
      <c r="Q3453">
        <v>1.017738E-2</v>
      </c>
      <c r="R3453">
        <v>-0.91545699999999997</v>
      </c>
      <c r="S3453">
        <v>0.290512099999999</v>
      </c>
      <c r="T3453">
        <v>-0.29815900000000001</v>
      </c>
      <c r="U3453">
        <v>-3.171494</v>
      </c>
      <c r="V3453">
        <v>0.26127669999999997</v>
      </c>
      <c r="W3453">
        <v>2.0375580000000001E-2</v>
      </c>
      <c r="X3453">
        <v>0.96504889999999999</v>
      </c>
      <c r="Y3453">
        <v>0.55261300000000002</v>
      </c>
      <c r="Z3453">
        <v>5.5097519999999997E-2</v>
      </c>
      <c r="AA3453">
        <v>0.83161479999999999</v>
      </c>
      <c r="AB3453">
        <v>43</v>
      </c>
      <c r="AC3453">
        <v>0.80070000000000596</v>
      </c>
      <c r="AD3453">
        <v>-1.0967664478750001</v>
      </c>
      <c r="AE3453">
        <v>-11.3422999999999</v>
      </c>
      <c r="AF3453">
        <v>6.4211252525434599</v>
      </c>
      <c r="AG3453">
        <v>-1.0967664478750001</v>
      </c>
      <c r="AH3453">
        <v>9.2566414169723608</v>
      </c>
      <c r="AI3453">
        <v>95.560472477048805</v>
      </c>
      <c r="AJ3453">
        <v>55.251819405197701</v>
      </c>
      <c r="AK3453">
        <v>11.3189732958623</v>
      </c>
      <c r="AL3453">
        <v>88.832484499881005</v>
      </c>
      <c r="AM3453">
        <v>74.850949585448802</v>
      </c>
      <c r="AN3453">
        <v>1.00000002880721</v>
      </c>
    </row>
    <row r="3454" spans="1:40" x14ac:dyDescent="0.25">
      <c r="A3454" t="str">
        <f>"20190312151607491"</f>
        <v>20190312151607491</v>
      </c>
      <c r="B3454" t="str">
        <f>"1552374967481469"</f>
        <v>1552374967481469</v>
      </c>
      <c r="C3454" t="s">
        <v>40</v>
      </c>
      <c r="D3454">
        <v>8.1630050000000001</v>
      </c>
      <c r="E3454">
        <v>0.63154169999999998</v>
      </c>
      <c r="F3454" t="s">
        <v>43</v>
      </c>
      <c r="G3454">
        <v>-189.0284</v>
      </c>
      <c r="H3454" s="1">
        <v>-3.3065949999999999E-6</v>
      </c>
      <c r="I3454">
        <v>186.93879999999999</v>
      </c>
      <c r="J3454">
        <v>-189.62649999999999</v>
      </c>
      <c r="K3454">
        <v>1.0960589999999999</v>
      </c>
      <c r="L3454">
        <v>198.29599999999999</v>
      </c>
      <c r="M3454">
        <v>0.61261869999999996</v>
      </c>
      <c r="N3454">
        <v>0</v>
      </c>
      <c r="O3454">
        <v>-0.79001639999999995</v>
      </c>
      <c r="P3454">
        <v>0.38706220000000002</v>
      </c>
      <c r="Q3454">
        <v>1.0301630000000001E-2</v>
      </c>
      <c r="R3454">
        <v>-0.92199640000000005</v>
      </c>
      <c r="S3454">
        <v>0.2350922</v>
      </c>
      <c r="T3454">
        <v>-0.29786099999999999</v>
      </c>
      <c r="U3454">
        <v>-3.177063</v>
      </c>
      <c r="V3454">
        <v>0.26048179999999999</v>
      </c>
      <c r="W3454">
        <v>2.0220640000000002E-2</v>
      </c>
      <c r="X3454">
        <v>0.96526699999999999</v>
      </c>
      <c r="Y3454">
        <v>0.55270059999999999</v>
      </c>
      <c r="Z3454">
        <v>5.6404599999999902E-2</v>
      </c>
      <c r="AA3454">
        <v>0.83146900000000001</v>
      </c>
      <c r="AB3454">
        <v>43</v>
      </c>
      <c r="AC3454">
        <v>0.59809999999998797</v>
      </c>
      <c r="AD3454">
        <v>-1.0960623065949999</v>
      </c>
      <c r="AE3454">
        <v>-11.357200000000001</v>
      </c>
      <c r="AF3454">
        <v>6.4272841626059298</v>
      </c>
      <c r="AG3454">
        <v>-1.0960623065949999</v>
      </c>
      <c r="AH3454">
        <v>9.2554899116624796</v>
      </c>
      <c r="AI3454">
        <v>95.555667567574801</v>
      </c>
      <c r="AJ3454">
        <v>55.2227507726287</v>
      </c>
      <c r="AK3454">
        <v>11.3214587307338</v>
      </c>
      <c r="AL3454">
        <v>88.841363717433495</v>
      </c>
      <c r="AM3454">
        <v>74.898186607551693</v>
      </c>
      <c r="AN3454">
        <v>1.0000000118511201</v>
      </c>
    </row>
    <row r="3455" spans="1:40" x14ac:dyDescent="0.25">
      <c r="A3455" t="str">
        <f>"20190312151607513"</f>
        <v>20190312151607513</v>
      </c>
      <c r="B3455" t="str">
        <f>"1552374967510749"</f>
        <v>1552374967510749</v>
      </c>
      <c r="C3455" t="s">
        <v>40</v>
      </c>
      <c r="D3455">
        <v>4.934812</v>
      </c>
      <c r="E3455">
        <v>0.63152699999999995</v>
      </c>
      <c r="F3455" t="s">
        <v>43</v>
      </c>
      <c r="G3455">
        <v>-188.94550000000001</v>
      </c>
      <c r="H3455" s="1">
        <v>-3.0070519999999999E-6</v>
      </c>
      <c r="I3455">
        <v>186.2063</v>
      </c>
      <c r="J3455">
        <v>-189.35570000000001</v>
      </c>
      <c r="K3455">
        <v>1.0953759999999999</v>
      </c>
      <c r="L3455">
        <v>197.93870000000001</v>
      </c>
      <c r="M3455">
        <v>0.59819659999999997</v>
      </c>
      <c r="N3455">
        <v>0</v>
      </c>
      <c r="O3455">
        <v>-0.80100879999999997</v>
      </c>
      <c r="P3455">
        <v>0.37124170000000001</v>
      </c>
      <c r="Q3455">
        <v>1.026292E-2</v>
      </c>
      <c r="R3455">
        <v>-0.92847959999999996</v>
      </c>
      <c r="S3455">
        <v>0.17922969999999999</v>
      </c>
      <c r="T3455">
        <v>-0.2884642</v>
      </c>
      <c r="U3455">
        <v>-3.1818080000000002</v>
      </c>
      <c r="V3455">
        <v>0.25943310000000003</v>
      </c>
      <c r="W3455">
        <v>1.989931E-2</v>
      </c>
      <c r="X3455">
        <v>0.96555610000000003</v>
      </c>
      <c r="Y3455">
        <v>0.55223140000000004</v>
      </c>
      <c r="Z3455">
        <v>5.6016450000000002E-2</v>
      </c>
      <c r="AA3455">
        <v>0.83180689999999902</v>
      </c>
      <c r="AB3455">
        <v>43</v>
      </c>
      <c r="AC3455">
        <v>0.41020000000000301</v>
      </c>
      <c r="AD3455">
        <v>-1.095379007052</v>
      </c>
      <c r="AE3455">
        <v>-11.7324</v>
      </c>
      <c r="AF3455">
        <v>6.6337796475305097</v>
      </c>
      <c r="AG3455">
        <v>-1.095379007052</v>
      </c>
      <c r="AH3455">
        <v>9.5625158525390397</v>
      </c>
      <c r="AI3455">
        <v>95.376777607228206</v>
      </c>
      <c r="AJ3455">
        <v>55.249893385453397</v>
      </c>
      <c r="AK3455">
        <v>11.6896790807592</v>
      </c>
      <c r="AL3455">
        <v>88.859778317986795</v>
      </c>
      <c r="AM3455">
        <v>74.960525492207097</v>
      </c>
      <c r="AN3455">
        <v>1.00000004908064</v>
      </c>
    </row>
    <row r="3456" spans="1:40" x14ac:dyDescent="0.25">
      <c r="A3456" t="str">
        <f>"20190312151607535"</f>
        <v>20190312151607535</v>
      </c>
      <c r="B3456" t="str">
        <f>"1552374967531245"</f>
        <v>1552374967531245</v>
      </c>
      <c r="C3456" t="s">
        <v>40</v>
      </c>
      <c r="D3456">
        <v>4.9403119999999996</v>
      </c>
      <c r="E3456">
        <v>0.6312295</v>
      </c>
      <c r="F3456" t="s">
        <v>43</v>
      </c>
      <c r="G3456">
        <v>-188.87110000000001</v>
      </c>
      <c r="H3456" s="1">
        <v>-2.7485520000000002E-6</v>
      </c>
      <c r="I3456">
        <v>185.5729</v>
      </c>
      <c r="J3456">
        <v>-189.10579999999999</v>
      </c>
      <c r="K3456">
        <v>1.0947499999999999</v>
      </c>
      <c r="L3456">
        <v>197.59690000000001</v>
      </c>
      <c r="M3456">
        <v>0.58426389999999995</v>
      </c>
      <c r="N3456">
        <v>0</v>
      </c>
      <c r="O3456">
        <v>-0.81124189999999996</v>
      </c>
      <c r="P3456">
        <v>0.355906099999999</v>
      </c>
      <c r="Q3456">
        <v>1.1084119999999999E-2</v>
      </c>
      <c r="R3456">
        <v>-0.93445610000000001</v>
      </c>
      <c r="S3456">
        <v>0.1247711</v>
      </c>
      <c r="T3456">
        <v>-0.28207100000000002</v>
      </c>
      <c r="U3456">
        <v>-3.1843110000000001</v>
      </c>
      <c r="V3456">
        <v>0.25863269999999999</v>
      </c>
      <c r="W3456">
        <v>2.0432309999999999E-2</v>
      </c>
      <c r="X3456">
        <v>0.96575960000000005</v>
      </c>
      <c r="Y3456">
        <v>0.55206099999999902</v>
      </c>
      <c r="Z3456">
        <v>5.6061239999999998E-2</v>
      </c>
      <c r="AA3456">
        <v>0.83191689999999996</v>
      </c>
      <c r="AB3456">
        <v>43</v>
      </c>
      <c r="AC3456">
        <v>0.23469999999997501</v>
      </c>
      <c r="AD3456">
        <v>-1.0947527485520001</v>
      </c>
      <c r="AE3456">
        <v>-12.023999999999999</v>
      </c>
      <c r="AF3456">
        <v>6.7803907832105397</v>
      </c>
      <c r="AG3456">
        <v>-1.0947527485520001</v>
      </c>
      <c r="AH3456">
        <v>9.8127703270685895</v>
      </c>
      <c r="AI3456">
        <v>95.244158420165107</v>
      </c>
      <c r="AJ3456">
        <v>55.356449777262903</v>
      </c>
      <c r="AK3456">
        <v>11.977589250149901</v>
      </c>
      <c r="AL3456">
        <v>88.829233375146799</v>
      </c>
      <c r="AM3456">
        <v>75.007849614709599</v>
      </c>
      <c r="AN3456">
        <v>0.99999997889669201</v>
      </c>
    </row>
    <row r="3457" spans="1:40" x14ac:dyDescent="0.25">
      <c r="A3457" t="str">
        <f>"20190312151607557"</f>
        <v>20190312151607557</v>
      </c>
      <c r="B3457" t="str">
        <f>"1552374967550769"</f>
        <v>1552374967550769</v>
      </c>
      <c r="C3457" t="s">
        <v>40</v>
      </c>
      <c r="D3457">
        <v>4.9682170000000001</v>
      </c>
      <c r="E3457">
        <v>0.63076690000000002</v>
      </c>
      <c r="F3457" t="s">
        <v>43</v>
      </c>
      <c r="G3457">
        <v>-188.81309999999999</v>
      </c>
      <c r="H3457" s="1">
        <v>-2.5898869999999998E-6</v>
      </c>
      <c r="I3457">
        <v>185.17910000000001</v>
      </c>
      <c r="J3457">
        <v>-188.85570000000001</v>
      </c>
      <c r="K3457">
        <v>1.094133</v>
      </c>
      <c r="L3457">
        <v>197.24279999999999</v>
      </c>
      <c r="M3457">
        <v>0.56972279999999997</v>
      </c>
      <c r="N3457">
        <v>0</v>
      </c>
      <c r="O3457">
        <v>-0.82153279999999995</v>
      </c>
      <c r="P3457">
        <v>0.34002549999999998</v>
      </c>
      <c r="Q3457">
        <v>1.100602E-2</v>
      </c>
      <c r="R3457">
        <v>-0.94035230000000003</v>
      </c>
      <c r="S3457">
        <v>7.5073239999999999E-2</v>
      </c>
      <c r="T3457">
        <v>-0.28080189999999999</v>
      </c>
      <c r="U3457">
        <v>-3.1851500000000001</v>
      </c>
      <c r="V3457">
        <v>0.25774910000000001</v>
      </c>
      <c r="W3457">
        <v>2.0052819999999999E-2</v>
      </c>
      <c r="X3457">
        <v>0.96600379999999997</v>
      </c>
      <c r="Y3457">
        <v>0.5501897</v>
      </c>
      <c r="Z3457">
        <v>5.717042E-2</v>
      </c>
      <c r="AA3457">
        <v>0.83308040000000005</v>
      </c>
      <c r="AB3457">
        <v>43</v>
      </c>
      <c r="AC3457">
        <v>4.2600000000021503E-2</v>
      </c>
      <c r="AD3457">
        <v>-1.094135589887</v>
      </c>
      <c r="AE3457">
        <v>-12.0636999999999</v>
      </c>
      <c r="AF3457">
        <v>6.7838745625745904</v>
      </c>
      <c r="AG3457">
        <v>-1.094135589887</v>
      </c>
      <c r="AH3457">
        <v>9.8564027031785209</v>
      </c>
      <c r="AI3457">
        <v>95.224710376902095</v>
      </c>
      <c r="AJ3457">
        <v>55.461497201457803</v>
      </c>
      <c r="AK3457">
        <v>12.0152719909716</v>
      </c>
      <c r="AL3457">
        <v>88.850981063518503</v>
      </c>
      <c r="AM3457">
        <v>75.060382920033405</v>
      </c>
      <c r="AN3457">
        <v>1.0000000278776</v>
      </c>
    </row>
    <row r="3458" spans="1:40" x14ac:dyDescent="0.25">
      <c r="A3458" t="str">
        <f>"20190312151607580"</f>
        <v>20190312151607580</v>
      </c>
      <c r="B3458" t="str">
        <f>"1552374967571260"</f>
        <v>1552374967571260</v>
      </c>
      <c r="C3458" t="s">
        <v>40</v>
      </c>
      <c r="D3458">
        <v>4.9914529999999999</v>
      </c>
      <c r="E3458">
        <v>0.63054589999999999</v>
      </c>
      <c r="F3458" t="s">
        <v>43</v>
      </c>
      <c r="G3458">
        <v>-188.76050000000001</v>
      </c>
      <c r="H3458" s="1">
        <v>-2.4934390000000001E-6</v>
      </c>
      <c r="I3458">
        <v>184.9325</v>
      </c>
      <c r="J3458">
        <v>-188.61259999999999</v>
      </c>
      <c r="K3458">
        <v>1.093542</v>
      </c>
      <c r="L3458">
        <v>196.88650000000001</v>
      </c>
      <c r="M3458">
        <v>0.55501319999999998</v>
      </c>
      <c r="N3458">
        <v>0</v>
      </c>
      <c r="O3458">
        <v>-0.83155309999999905</v>
      </c>
      <c r="P3458">
        <v>0.324461</v>
      </c>
      <c r="Q3458">
        <v>1.0563090000000001E-2</v>
      </c>
      <c r="R3458">
        <v>-0.94584040000000003</v>
      </c>
      <c r="S3458">
        <v>2.4627690000000001E-2</v>
      </c>
      <c r="T3458">
        <v>-0.28305360000000002</v>
      </c>
      <c r="U3458">
        <v>-3.1846920000000001</v>
      </c>
      <c r="V3458">
        <v>0.25644719999999999</v>
      </c>
      <c r="W3458">
        <v>1.9325309999999998E-2</v>
      </c>
      <c r="X3458">
        <v>0.96636500000000003</v>
      </c>
      <c r="Y3458">
        <v>0.54851819999999996</v>
      </c>
      <c r="Z3458">
        <v>5.8977380000000003E-2</v>
      </c>
      <c r="AA3458">
        <v>0.83405609999999997</v>
      </c>
      <c r="AB3458">
        <v>43</v>
      </c>
      <c r="AC3458">
        <v>-0.14790000000002099</v>
      </c>
      <c r="AD3458">
        <v>-1.093544493439</v>
      </c>
      <c r="AE3458">
        <v>-11.954000000000001</v>
      </c>
      <c r="AF3458">
        <v>6.7031496306368998</v>
      </c>
      <c r="AG3458">
        <v>-1.093544493439</v>
      </c>
      <c r="AH3458">
        <v>9.7788436114700499</v>
      </c>
      <c r="AI3458">
        <v>95.269922115024102</v>
      </c>
      <c r="AJ3458">
        <v>55.5703497413351</v>
      </c>
      <c r="AK3458">
        <v>11.9060420336662</v>
      </c>
      <c r="AL3458">
        <v>88.892672337530101</v>
      </c>
      <c r="AM3458">
        <v>75.137804629347201</v>
      </c>
      <c r="AN3458">
        <v>0.99999997360971704</v>
      </c>
    </row>
    <row r="3459" spans="1:40" x14ac:dyDescent="0.25">
      <c r="A3459" t="str">
        <f>"20190312151607602"</f>
        <v>20190312151607602</v>
      </c>
      <c r="B3459" t="str">
        <f>"1552374967591757"</f>
        <v>1552374967591757</v>
      </c>
      <c r="C3459" t="s">
        <v>40</v>
      </c>
      <c r="D3459">
        <v>5.1900050000000002</v>
      </c>
      <c r="E3459">
        <v>0.62979110000000005</v>
      </c>
      <c r="F3459" t="s">
        <v>43</v>
      </c>
      <c r="G3459">
        <v>-188.7122</v>
      </c>
      <c r="H3459" s="1">
        <v>-2.5092320000000001E-6</v>
      </c>
      <c r="I3459">
        <v>184.9494</v>
      </c>
      <c r="J3459">
        <v>-188.37469999999999</v>
      </c>
      <c r="K3459">
        <v>1.092986</v>
      </c>
      <c r="L3459">
        <v>196.52510000000001</v>
      </c>
      <c r="M3459">
        <v>0.54004509999999994</v>
      </c>
      <c r="N3459">
        <v>0</v>
      </c>
      <c r="O3459">
        <v>-0.84136239999999995</v>
      </c>
      <c r="P3459">
        <v>0.3082395</v>
      </c>
      <c r="Q3459">
        <v>1.0862490000000001E-2</v>
      </c>
      <c r="R3459">
        <v>-0.95124679999999995</v>
      </c>
      <c r="S3459">
        <v>-2.658081E-2</v>
      </c>
      <c r="T3459">
        <v>-0.29169859999999997</v>
      </c>
      <c r="U3459">
        <v>-3.1841889999999999</v>
      </c>
      <c r="V3459">
        <v>0.25566309999999998</v>
      </c>
      <c r="W3459">
        <v>1.930815E-2</v>
      </c>
      <c r="X3459">
        <v>0.96657309999999996</v>
      </c>
      <c r="Y3459">
        <v>0.54695719999999903</v>
      </c>
      <c r="Z3459">
        <v>6.2125519999999997E-2</v>
      </c>
      <c r="AA3459">
        <v>0.83485219999999905</v>
      </c>
      <c r="AB3459">
        <v>43</v>
      </c>
      <c r="AC3459">
        <v>-0.33750000000000502</v>
      </c>
      <c r="AD3459">
        <v>-1.092988509232</v>
      </c>
      <c r="AE3459">
        <v>-11.575699999999999</v>
      </c>
      <c r="AF3459">
        <v>6.4791508872078003</v>
      </c>
      <c r="AG3459">
        <v>-1.092988509232</v>
      </c>
      <c r="AH3459">
        <v>9.4748953544046906</v>
      </c>
      <c r="AI3459">
        <v>95.439392954671504</v>
      </c>
      <c r="AJ3459">
        <v>55.634783579552803</v>
      </c>
      <c r="AK3459">
        <v>11.530293234668299</v>
      </c>
      <c r="AL3459">
        <v>88.893655736412896</v>
      </c>
      <c r="AM3459">
        <v>75.184294214993699</v>
      </c>
      <c r="AN3459">
        <v>0.99999999150082097</v>
      </c>
    </row>
    <row r="3460" spans="1:40" x14ac:dyDescent="0.25">
      <c r="A3460" t="str">
        <f>"20190312151607625"</f>
        <v>20190312151607625</v>
      </c>
      <c r="B3460" t="str">
        <f>"1552374967621036"</f>
        <v>1552374967621036</v>
      </c>
      <c r="C3460" t="s">
        <v>40</v>
      </c>
      <c r="D3460">
        <v>4.9577819999999999</v>
      </c>
      <c r="E3460">
        <v>0.62846820000000003</v>
      </c>
      <c r="F3460" t="s">
        <v>43</v>
      </c>
      <c r="G3460">
        <v>-188.6643</v>
      </c>
      <c r="H3460" s="1">
        <v>-2.2032290000000001E-6</v>
      </c>
      <c r="I3460">
        <v>184.21629999999999</v>
      </c>
      <c r="J3460">
        <v>-188.13550000000001</v>
      </c>
      <c r="K3460">
        <v>1.0924560000000001</v>
      </c>
      <c r="L3460">
        <v>196.14779999999999</v>
      </c>
      <c r="M3460">
        <v>0.52440069999999905</v>
      </c>
      <c r="N3460">
        <v>0</v>
      </c>
      <c r="O3460">
        <v>-0.85121139999999995</v>
      </c>
      <c r="P3460">
        <v>0.29099589999999997</v>
      </c>
      <c r="Q3460">
        <v>1.1352249999999999E-2</v>
      </c>
      <c r="R3460">
        <v>-0.95665719999999999</v>
      </c>
      <c r="S3460">
        <v>-7.4859620000000002E-2</v>
      </c>
      <c r="T3460">
        <v>-0.28248200000000001</v>
      </c>
      <c r="U3460">
        <v>-3.1811980000000002</v>
      </c>
      <c r="V3460">
        <v>0.25525930000000002</v>
      </c>
      <c r="W3460">
        <v>1.9455460000000001E-2</v>
      </c>
      <c r="X3460">
        <v>0.96667689999999995</v>
      </c>
      <c r="Y3460">
        <v>0.54417099999999996</v>
      </c>
      <c r="Z3460">
        <v>6.1583039999999999E-2</v>
      </c>
      <c r="AA3460">
        <v>0.83671109999999904</v>
      </c>
      <c r="AB3460">
        <v>43</v>
      </c>
      <c r="AC3460">
        <v>-0.52879999999998895</v>
      </c>
      <c r="AD3460">
        <v>-1.09245820322899</v>
      </c>
      <c r="AE3460">
        <v>-11.9315</v>
      </c>
      <c r="AF3460">
        <v>6.6528299141903497</v>
      </c>
      <c r="AG3460">
        <v>-1.09245820322899</v>
      </c>
      <c r="AH3460">
        <v>9.7991260952020998</v>
      </c>
      <c r="AI3460">
        <v>95.269844917013003</v>
      </c>
      <c r="AJ3460">
        <v>55.826603823807197</v>
      </c>
      <c r="AK3460">
        <v>11.8943887200065</v>
      </c>
      <c r="AL3460">
        <v>88.885213948964605</v>
      </c>
      <c r="AM3460">
        <v>75.208186366019703</v>
      </c>
      <c r="AN3460">
        <v>1.00000002707695</v>
      </c>
    </row>
    <row r="3461" spans="1:40" x14ac:dyDescent="0.25">
      <c r="A3461" t="str">
        <f>"20190312151607647"</f>
        <v>20190312151607647</v>
      </c>
      <c r="B3461" t="str">
        <f>"1552374967641533"</f>
        <v>1552374967641533</v>
      </c>
      <c r="C3461" t="s">
        <v>40</v>
      </c>
      <c r="D3461">
        <v>4.9975550000000002</v>
      </c>
      <c r="E3461">
        <v>0.62753059999999905</v>
      </c>
      <c r="F3461" t="s">
        <v>43</v>
      </c>
      <c r="G3461">
        <v>-188.60239999999999</v>
      </c>
      <c r="H3461" s="1">
        <v>-2.1087689999999998E-6</v>
      </c>
      <c r="I3461">
        <v>183.97049999999999</v>
      </c>
      <c r="J3461">
        <v>-187.91399999999999</v>
      </c>
      <c r="K3461">
        <v>1.0919920000000001</v>
      </c>
      <c r="L3461">
        <v>195.7851</v>
      </c>
      <c r="M3461">
        <v>0.50936009999999998</v>
      </c>
      <c r="N3461">
        <v>0</v>
      </c>
      <c r="O3461">
        <v>-0.86030529999999905</v>
      </c>
      <c r="P3461">
        <v>0.27514470000000002</v>
      </c>
      <c r="Q3461">
        <v>1.135797E-2</v>
      </c>
      <c r="R3461">
        <v>-0.96133579999999996</v>
      </c>
      <c r="S3461">
        <v>-0.12179570000000001</v>
      </c>
      <c r="T3461">
        <v>-0.28496189999999999</v>
      </c>
      <c r="U3461">
        <v>-3.1763919999999999</v>
      </c>
      <c r="V3461">
        <v>0.25422440000000002</v>
      </c>
      <c r="W3461">
        <v>1.9181810000000001E-2</v>
      </c>
      <c r="X3461">
        <v>0.96695500000000001</v>
      </c>
      <c r="Y3461">
        <v>0.54180280000000003</v>
      </c>
      <c r="Z3461">
        <v>6.3462089999999999E-2</v>
      </c>
      <c r="AA3461">
        <v>0.83810640000000003</v>
      </c>
      <c r="AB3461">
        <v>42</v>
      </c>
      <c r="AC3461">
        <v>-0.68839999999997303</v>
      </c>
      <c r="AD3461">
        <v>-1.0919941087689999</v>
      </c>
      <c r="AE3461">
        <v>-11.8146</v>
      </c>
      <c r="AF3461">
        <v>6.55571699798681</v>
      </c>
      <c r="AG3461">
        <v>-1.0919941087689999</v>
      </c>
      <c r="AH3461">
        <v>9.7327516849597995</v>
      </c>
      <c r="AI3461">
        <v>95.316440058122197</v>
      </c>
      <c r="AJ3461">
        <v>56.036863335760998</v>
      </c>
      <c r="AK3461">
        <v>11.785428793742099</v>
      </c>
      <c r="AL3461">
        <v>88.900895813176902</v>
      </c>
      <c r="AM3461">
        <v>75.269596083333695</v>
      </c>
      <c r="AN3461">
        <v>0.999999979707617</v>
      </c>
    </row>
    <row r="3462" spans="1:40" x14ac:dyDescent="0.25">
      <c r="A3462" t="str">
        <f>"20190312151607668"</f>
        <v>20190312151607668</v>
      </c>
      <c r="B3462" t="str">
        <f>"1552374967661053"</f>
        <v>1552374967661053</v>
      </c>
      <c r="C3462" t="s">
        <v>40</v>
      </c>
      <c r="D3462">
        <v>5.0539809999999896</v>
      </c>
      <c r="E3462">
        <v>0.62665369999999998</v>
      </c>
      <c r="F3462" t="s">
        <v>43</v>
      </c>
      <c r="G3462">
        <v>-188.548</v>
      </c>
      <c r="H3462" s="1">
        <v>-2.0196289999999999E-6</v>
      </c>
      <c r="I3462">
        <v>183.74019999999999</v>
      </c>
      <c r="J3462">
        <v>-187.70339999999999</v>
      </c>
      <c r="K3462">
        <v>1.091583</v>
      </c>
      <c r="L3462">
        <v>195.42699999999999</v>
      </c>
      <c r="M3462">
        <v>0.49452439999999998</v>
      </c>
      <c r="N3462">
        <v>0</v>
      </c>
      <c r="O3462">
        <v>-0.86892599999999998</v>
      </c>
      <c r="P3462">
        <v>0.25973069999999998</v>
      </c>
      <c r="Q3462">
        <v>1.064739E-2</v>
      </c>
      <c r="R3462">
        <v>-0.96562269999999994</v>
      </c>
      <c r="S3462">
        <v>-0.16694639999999999</v>
      </c>
      <c r="T3462">
        <v>-0.28755940000000002</v>
      </c>
      <c r="U3462">
        <v>-3.1718440000000001</v>
      </c>
      <c r="V3462">
        <v>0.2530522</v>
      </c>
      <c r="W3462">
        <v>1.8221620000000001E-2</v>
      </c>
      <c r="X3462">
        <v>0.96728099999999995</v>
      </c>
      <c r="Y3462">
        <v>0.539327</v>
      </c>
      <c r="Z3462">
        <v>6.5326599999999999E-2</v>
      </c>
      <c r="AA3462">
        <v>0.83955869999999999</v>
      </c>
      <c r="AB3462">
        <v>42</v>
      </c>
      <c r="AC3462">
        <v>-0.84460000000001401</v>
      </c>
      <c r="AD3462">
        <v>-1.091585019629</v>
      </c>
      <c r="AE3462">
        <v>-11.6868</v>
      </c>
      <c r="AF3462">
        <v>6.4585957018125004</v>
      </c>
      <c r="AG3462">
        <v>-1.091585019629</v>
      </c>
      <c r="AH3462">
        <v>9.6555029963021806</v>
      </c>
      <c r="AI3462">
        <v>95.368251865983694</v>
      </c>
      <c r="AJ3462">
        <v>56.221313718681998</v>
      </c>
      <c r="AK3462">
        <v>11.6676370532404</v>
      </c>
      <c r="AL3462">
        <v>88.955920283125494</v>
      </c>
      <c r="AM3462">
        <v>75.339311754090005</v>
      </c>
      <c r="AN3462">
        <v>0.99999998816063196</v>
      </c>
    </row>
    <row r="3463" spans="1:40" x14ac:dyDescent="0.25">
      <c r="A3463" t="str">
        <f>"20190312151607692"</f>
        <v>20190312151607692</v>
      </c>
      <c r="B3463" t="str">
        <f>"1552374967681549"</f>
        <v>1552374967681549</v>
      </c>
      <c r="C3463" t="s">
        <v>40</v>
      </c>
      <c r="D3463">
        <v>5.0104230000000003</v>
      </c>
      <c r="E3463">
        <v>0.62581569999999997</v>
      </c>
      <c r="F3463" t="s">
        <v>43</v>
      </c>
      <c r="G3463">
        <v>-188.4906</v>
      </c>
      <c r="H3463" s="1">
        <v>-1.9719780000000002E-6</v>
      </c>
      <c r="I3463">
        <v>183.6054</v>
      </c>
      <c r="J3463">
        <v>-187.48939999999999</v>
      </c>
      <c r="K3463">
        <v>1.091213</v>
      </c>
      <c r="L3463">
        <v>195.0487</v>
      </c>
      <c r="M3463">
        <v>0.47888019999999998</v>
      </c>
      <c r="N3463">
        <v>0</v>
      </c>
      <c r="O3463">
        <v>-0.8776526</v>
      </c>
      <c r="P3463">
        <v>0.24352589999999999</v>
      </c>
      <c r="Q3463">
        <v>9.8653040000000001E-3</v>
      </c>
      <c r="R3463">
        <v>-0.9698445</v>
      </c>
      <c r="S3463">
        <v>-0.21087649999999999</v>
      </c>
      <c r="T3463">
        <v>-0.29241030000000001</v>
      </c>
      <c r="U3463">
        <v>-3.1667329999999998</v>
      </c>
      <c r="V3463">
        <v>0.25186900000000001</v>
      </c>
      <c r="W3463">
        <v>1.719706E-2</v>
      </c>
      <c r="X3463">
        <v>0.96760849999999998</v>
      </c>
      <c r="Y3463">
        <v>0.53590519999999997</v>
      </c>
      <c r="Z3463">
        <v>6.7787420000000001E-2</v>
      </c>
      <c r="AA3463">
        <v>0.84155239999999998</v>
      </c>
      <c r="AB3463">
        <v>42</v>
      </c>
      <c r="AC3463">
        <v>-1.0012000000000101</v>
      </c>
      <c r="AD3463">
        <v>-1.091214971978</v>
      </c>
      <c r="AE3463">
        <v>-11.443299999999899</v>
      </c>
      <c r="AF3463">
        <v>6.3030668228320801</v>
      </c>
      <c r="AG3463">
        <v>-1.091214971978</v>
      </c>
      <c r="AH3463">
        <v>9.48014861157837</v>
      </c>
      <c r="AI3463">
        <v>95.475231901151403</v>
      </c>
      <c r="AJ3463">
        <v>56.381256976905902</v>
      </c>
      <c r="AK3463">
        <v>11.4364600810638</v>
      </c>
      <c r="AL3463">
        <v>89.014632440395502</v>
      </c>
      <c r="AM3463">
        <v>75.409656487129695</v>
      </c>
      <c r="AN3463">
        <v>0.99999997065294599</v>
      </c>
    </row>
    <row r="3464" spans="1:40" x14ac:dyDescent="0.25">
      <c r="A3464" t="str">
        <f>"20190312151607715"</f>
        <v>20190312151607715</v>
      </c>
      <c r="B3464" t="str">
        <f>"1552374967710829"</f>
        <v>1552374967710829</v>
      </c>
      <c r="C3464" t="s">
        <v>40</v>
      </c>
      <c r="D3464">
        <v>4.9710130000000001</v>
      </c>
      <c r="E3464">
        <v>0.60423789999999999</v>
      </c>
      <c r="F3464" t="s">
        <v>43</v>
      </c>
      <c r="G3464">
        <v>-188.43039999999999</v>
      </c>
      <c r="H3464" s="1">
        <v>-1.929251E-6</v>
      </c>
      <c r="I3464">
        <v>183.48089999999999</v>
      </c>
      <c r="J3464">
        <v>-187.2773</v>
      </c>
      <c r="K3464">
        <v>1.090886</v>
      </c>
      <c r="L3464">
        <v>194.65719999999999</v>
      </c>
      <c r="M3464">
        <v>0.46274159999999998</v>
      </c>
      <c r="N3464">
        <v>0</v>
      </c>
      <c r="O3464">
        <v>-0.88627449999999997</v>
      </c>
      <c r="P3464">
        <v>0.22732949999999999</v>
      </c>
      <c r="Q3464">
        <v>9.4319E-3</v>
      </c>
      <c r="R3464">
        <v>-0.97377239999999998</v>
      </c>
      <c r="S3464">
        <v>-0.25714110000000001</v>
      </c>
      <c r="T3464">
        <v>-0.2981724</v>
      </c>
      <c r="U3464">
        <v>-3.1608890000000001</v>
      </c>
      <c r="V3464">
        <v>0.25025389999999997</v>
      </c>
      <c r="W3464">
        <v>1.6563439999999999E-2</v>
      </c>
      <c r="X3464">
        <v>0.96803859999999997</v>
      </c>
      <c r="Y3464">
        <v>0.53279339999999997</v>
      </c>
      <c r="Z3464">
        <v>7.0495039999999995E-2</v>
      </c>
      <c r="AA3464">
        <v>0.84330400000000005</v>
      </c>
      <c r="AB3464">
        <v>42</v>
      </c>
      <c r="AC3464">
        <v>-1.15309999999999</v>
      </c>
      <c r="AD3464">
        <v>-1.0908879292510001</v>
      </c>
      <c r="AE3464">
        <v>-11.1762999999999</v>
      </c>
      <c r="AF3464">
        <v>6.1370502155078102</v>
      </c>
      <c r="AG3464">
        <v>-1.0908879292510001</v>
      </c>
      <c r="AH3464">
        <v>9.2859625097431309</v>
      </c>
      <c r="AI3464">
        <v>95.597518233547007</v>
      </c>
      <c r="AJ3464">
        <v>56.539466175521703</v>
      </c>
      <c r="AK3464">
        <v>11.1840297547084</v>
      </c>
      <c r="AL3464">
        <v>89.050941439274396</v>
      </c>
      <c r="AM3464">
        <v>75.505431571885893</v>
      </c>
      <c r="AN3464">
        <v>1.0000000465498999</v>
      </c>
    </row>
    <row r="3465" spans="1:40" x14ac:dyDescent="0.25">
      <c r="A3465" t="str">
        <f>"20190312151607737"</f>
        <v>20190312151607737</v>
      </c>
      <c r="B3465" t="str">
        <f>"1552374967731325"</f>
        <v>1552374967731325</v>
      </c>
      <c r="C3465" t="s">
        <v>40</v>
      </c>
      <c r="D3465">
        <v>4.989935</v>
      </c>
      <c r="E3465">
        <v>0.60167169999999903</v>
      </c>
      <c r="F3465" t="s">
        <v>43</v>
      </c>
      <c r="G3465">
        <v>-187.78749999999999</v>
      </c>
      <c r="H3465" s="1">
        <v>-2.0284459999999999E-6</v>
      </c>
      <c r="I3465">
        <v>183.44630000000001</v>
      </c>
      <c r="J3465">
        <v>-187.08369999999999</v>
      </c>
      <c r="K3465">
        <v>1.0906290000000001</v>
      </c>
      <c r="L3465">
        <v>194.2843</v>
      </c>
      <c r="M3465">
        <v>0.44741920000000002</v>
      </c>
      <c r="N3465">
        <v>0</v>
      </c>
      <c r="O3465">
        <v>-0.89411350000000001</v>
      </c>
      <c r="P3465">
        <v>0.21282019999999999</v>
      </c>
      <c r="Q3465">
        <v>8.0841219999999991E-3</v>
      </c>
      <c r="R3465">
        <v>-0.97705799999999998</v>
      </c>
      <c r="S3465">
        <v>-0.14184569999999999</v>
      </c>
      <c r="T3465">
        <v>-0.303289799999999</v>
      </c>
      <c r="U3465">
        <v>-3.1168670000000001</v>
      </c>
      <c r="V3465">
        <v>0.24791840000000001</v>
      </c>
      <c r="W3465">
        <v>1.5092100000000001E-2</v>
      </c>
      <c r="X3465">
        <v>0.9686633</v>
      </c>
      <c r="Y3465">
        <v>0.48741319999999999</v>
      </c>
      <c r="Z3465">
        <v>7.527615E-2</v>
      </c>
      <c r="AA3465">
        <v>0.86992060000000004</v>
      </c>
      <c r="AB3465">
        <v>42</v>
      </c>
      <c r="AC3465">
        <v>-0.70380000000000098</v>
      </c>
      <c r="AD3465">
        <v>-1.0906310284459999</v>
      </c>
      <c r="AE3465">
        <v>-10.8379999999999</v>
      </c>
      <c r="AF3465">
        <v>5.4247369688299996</v>
      </c>
      <c r="AG3465">
        <v>-1.0906310284459999</v>
      </c>
      <c r="AH3465">
        <v>9.2836609791136802</v>
      </c>
      <c r="AI3465">
        <v>95.791782309461894</v>
      </c>
      <c r="AJ3465">
        <v>59.7009040160588</v>
      </c>
      <c r="AK3465">
        <v>10.807571808520001</v>
      </c>
      <c r="AL3465">
        <v>89.135253490326804</v>
      </c>
      <c r="AM3465">
        <v>75.643961143997799</v>
      </c>
      <c r="AN3465">
        <v>0.999999946653928</v>
      </c>
    </row>
    <row r="3466" spans="1:40" x14ac:dyDescent="0.25">
      <c r="A3466" t="str">
        <f>"20190312151607770"</f>
        <v>20190312151607770</v>
      </c>
      <c r="B3466" t="str">
        <f>"1552374967761584"</f>
        <v>1552374967761584</v>
      </c>
      <c r="C3466" t="s">
        <v>40</v>
      </c>
      <c r="D3466">
        <v>5.0370549999999996</v>
      </c>
      <c r="E3466">
        <v>0.60002290000000003</v>
      </c>
      <c r="F3466" t="s">
        <v>43</v>
      </c>
      <c r="G3466">
        <v>-187.66200000000001</v>
      </c>
      <c r="H3466" s="1">
        <v>-2.1031740000000002E-6</v>
      </c>
      <c r="I3466">
        <v>183.5686</v>
      </c>
      <c r="J3466">
        <v>-186.80430000000001</v>
      </c>
      <c r="K3466">
        <v>1.090319</v>
      </c>
      <c r="L3466">
        <v>193.71780000000001</v>
      </c>
      <c r="M3466">
        <v>0.42422789999999999</v>
      </c>
      <c r="N3466">
        <v>0</v>
      </c>
      <c r="O3466">
        <v>-0.90535469999999896</v>
      </c>
      <c r="P3466">
        <v>0.1906378</v>
      </c>
      <c r="Q3466">
        <v>7.4171000000000003E-3</v>
      </c>
      <c r="R3466">
        <v>-0.98163250000000002</v>
      </c>
      <c r="S3466">
        <v>-0.16783139999999999</v>
      </c>
      <c r="T3466">
        <v>-0.3164961</v>
      </c>
      <c r="U3466">
        <v>-3.1096339999999998</v>
      </c>
      <c r="V3466">
        <v>0.24484310000000001</v>
      </c>
      <c r="W3466">
        <v>1.426154E-2</v>
      </c>
      <c r="X3466">
        <v>0.96945780000000004</v>
      </c>
      <c r="Y3466">
        <v>0.472161</v>
      </c>
      <c r="Z3466">
        <v>8.0812320000000007E-2</v>
      </c>
      <c r="AA3466">
        <v>0.87780029999999998</v>
      </c>
      <c r="AB3466">
        <v>42</v>
      </c>
      <c r="AC3466">
        <v>-0.85769999999999402</v>
      </c>
      <c r="AD3466">
        <v>-1.0903211031739899</v>
      </c>
      <c r="AE3466">
        <v>-10.1492</v>
      </c>
      <c r="AF3466">
        <v>5.0254331117742304</v>
      </c>
      <c r="AG3466">
        <v>-1.0903211031739899</v>
      </c>
      <c r="AH3466">
        <v>8.7263729164358406</v>
      </c>
      <c r="AI3466">
        <v>96.179591057249596</v>
      </c>
      <c r="AJ3466">
        <v>60.062779213119903</v>
      </c>
      <c r="AK3466">
        <v>10.1288381537888</v>
      </c>
      <c r="AL3466">
        <v>89.182846230802895</v>
      </c>
      <c r="AM3466">
        <v>75.8259664475097</v>
      </c>
      <c r="AN3466">
        <v>0.99999998056080996</v>
      </c>
    </row>
    <row r="3467" spans="1:40" x14ac:dyDescent="0.25">
      <c r="A3467" t="str">
        <f>"20190312151607791"</f>
        <v>20190312151607791</v>
      </c>
      <c r="B3467" t="str">
        <f>"1552374967781101"</f>
        <v>1552374967781101</v>
      </c>
      <c r="C3467" t="s">
        <v>40</v>
      </c>
      <c r="D3467">
        <v>5.0000839999999904</v>
      </c>
      <c r="E3467">
        <v>0.59822980000000003</v>
      </c>
      <c r="F3467" t="s">
        <v>43</v>
      </c>
      <c r="G3467">
        <v>-187.56299999999999</v>
      </c>
      <c r="H3467" s="1">
        <v>-2.0019770000000001E-6</v>
      </c>
      <c r="I3467">
        <v>183.29179999999999</v>
      </c>
      <c r="J3467">
        <v>-186.62809999999999</v>
      </c>
      <c r="K3467">
        <v>1.090158</v>
      </c>
      <c r="L3467">
        <v>193.3408</v>
      </c>
      <c r="M3467">
        <v>0.40885650000000001</v>
      </c>
      <c r="N3467">
        <v>0</v>
      </c>
      <c r="O3467">
        <v>-0.91240379999999999</v>
      </c>
      <c r="P3467">
        <v>0.17700829999999901</v>
      </c>
      <c r="Q3467">
        <v>7.220293E-3</v>
      </c>
      <c r="R3467">
        <v>-0.98418309999999998</v>
      </c>
      <c r="S3467">
        <v>-0.225769</v>
      </c>
      <c r="T3467">
        <v>-0.3244438</v>
      </c>
      <c r="U3467">
        <v>-3.1024319999999999</v>
      </c>
      <c r="V3467">
        <v>0.24187149999999999</v>
      </c>
      <c r="W3467">
        <v>1.4034110000000001E-2</v>
      </c>
      <c r="X3467">
        <v>0.97020680000000004</v>
      </c>
      <c r="Y3467">
        <v>0.47366770000000002</v>
      </c>
      <c r="Z3467">
        <v>8.4004300000000004E-2</v>
      </c>
      <c r="AA3467">
        <v>0.87668819999999903</v>
      </c>
      <c r="AB3467">
        <v>42</v>
      </c>
      <c r="AC3467">
        <v>-0.93489999999999895</v>
      </c>
      <c r="AD3467">
        <v>-1.0901600019769999</v>
      </c>
      <c r="AE3467">
        <v>-10.048999999999999</v>
      </c>
      <c r="AF3467">
        <v>4.9052539388312297</v>
      </c>
      <c r="AG3467">
        <v>-1.0901600019769999</v>
      </c>
      <c r="AH3467">
        <v>8.6867132630575394</v>
      </c>
      <c r="AI3467">
        <v>96.236439728818993</v>
      </c>
      <c r="AJ3467">
        <v>60.547248162960102</v>
      </c>
      <c r="AK3467">
        <v>10.03538501249</v>
      </c>
      <c r="AL3467">
        <v>89.1958783356109</v>
      </c>
      <c r="AM3467">
        <v>76.001569223616301</v>
      </c>
      <c r="AN3467">
        <v>1.00000000676099</v>
      </c>
    </row>
    <row r="3468" spans="1:40" x14ac:dyDescent="0.25">
      <c r="A3468" t="str">
        <f>"20190312151607815"</f>
        <v>20190312151607815</v>
      </c>
      <c r="B3468" t="str">
        <f>"1552374967811357"</f>
        <v>1552374967811357</v>
      </c>
      <c r="C3468" t="s">
        <v>40</v>
      </c>
      <c r="D3468">
        <v>5.031428</v>
      </c>
      <c r="E3468">
        <v>0.59777599999999997</v>
      </c>
      <c r="F3468" t="s">
        <v>43</v>
      </c>
      <c r="G3468">
        <v>-187.83260000000001</v>
      </c>
      <c r="H3468" s="1">
        <v>-4.1867890000000002E-6</v>
      </c>
      <c r="I3468">
        <v>178.49610000000001</v>
      </c>
      <c r="J3468">
        <v>-186.4529</v>
      </c>
      <c r="K3468">
        <v>1.0900299999999901</v>
      </c>
      <c r="L3468">
        <v>192.94759999999999</v>
      </c>
      <c r="M3468">
        <v>0.39288339999999999</v>
      </c>
      <c r="N3468">
        <v>0</v>
      </c>
      <c r="O3468">
        <v>-0.91939859999999896</v>
      </c>
      <c r="P3468">
        <v>0.16199079999999999</v>
      </c>
      <c r="Q3468">
        <v>7.1393330000000003E-3</v>
      </c>
      <c r="R3468">
        <v>-0.98676629999999999</v>
      </c>
      <c r="S3468">
        <v>-0.2511139</v>
      </c>
      <c r="T3468">
        <v>-0.22729289999999999</v>
      </c>
      <c r="U3468">
        <v>-3.0950470000000001</v>
      </c>
      <c r="V3468">
        <v>0.2397233</v>
      </c>
      <c r="W3468">
        <v>1.3895370000000001E-2</v>
      </c>
      <c r="X3468">
        <v>0.97074179999999999</v>
      </c>
      <c r="Y3468">
        <v>0.46580769999999999</v>
      </c>
      <c r="Z3468">
        <v>6.0046559999999999E-2</v>
      </c>
      <c r="AA3468">
        <v>0.88284629999999997</v>
      </c>
      <c r="AB3468">
        <v>42</v>
      </c>
      <c r="AC3468">
        <v>-1.3797000000000099</v>
      </c>
      <c r="AD3468">
        <v>-1.09003418678899</v>
      </c>
      <c r="AE3468">
        <v>-14.4514999999999</v>
      </c>
      <c r="AF3468">
        <v>6.9085114339695703</v>
      </c>
      <c r="AG3468">
        <v>-1.09003418678899</v>
      </c>
      <c r="AH3468">
        <v>12.6753891973897</v>
      </c>
      <c r="AI3468">
        <v>94.318150811272204</v>
      </c>
      <c r="AJ3468">
        <v>61.408137165229199</v>
      </c>
      <c r="AK3468">
        <v>14.476919426002301</v>
      </c>
      <c r="AL3468">
        <v>89.203828315532405</v>
      </c>
      <c r="AM3468">
        <v>76.128423975339302</v>
      </c>
      <c r="AN3468">
        <v>0.99999999206878298</v>
      </c>
    </row>
    <row r="3469" spans="1:40" x14ac:dyDescent="0.25">
      <c r="A3469" t="str">
        <f>"20190312151607837"</f>
        <v>20190312151607837</v>
      </c>
      <c r="B3469" t="str">
        <f>"1552374967830877"</f>
        <v>1552374967830877</v>
      </c>
      <c r="C3469" t="s">
        <v>40</v>
      </c>
      <c r="D3469">
        <v>5.2698169999999998</v>
      </c>
      <c r="E3469">
        <v>0.59644419999999898</v>
      </c>
      <c r="F3469" t="s">
        <v>43</v>
      </c>
      <c r="G3469">
        <v>-187.88759999999999</v>
      </c>
      <c r="H3469" s="1">
        <v>-3.9233269999999999E-6</v>
      </c>
      <c r="I3469">
        <v>177.90469999999999</v>
      </c>
      <c r="J3469">
        <v>-186.2835</v>
      </c>
      <c r="K3469">
        <v>1.089926</v>
      </c>
      <c r="L3469">
        <v>192.54810000000001</v>
      </c>
      <c r="M3469">
        <v>0.37671080000000001</v>
      </c>
      <c r="N3469">
        <v>0</v>
      </c>
      <c r="O3469">
        <v>-0.92614600000000002</v>
      </c>
      <c r="P3469">
        <v>0.1469927</v>
      </c>
      <c r="Q3469">
        <v>8.1266800000000007E-3</v>
      </c>
      <c r="R3469">
        <v>-0.98910439999999999</v>
      </c>
      <c r="S3469">
        <v>-0.29472350000000003</v>
      </c>
      <c r="T3469">
        <v>-0.22392390000000001</v>
      </c>
      <c r="U3469">
        <v>-3.0902400000000001</v>
      </c>
      <c r="V3469">
        <v>0.237483</v>
      </c>
      <c r="W3469">
        <v>1.485037E-2</v>
      </c>
      <c r="X3469">
        <v>0.97127819999999998</v>
      </c>
      <c r="Y3469">
        <v>0.4627772</v>
      </c>
      <c r="Z3469">
        <v>6.0000499999999998E-2</v>
      </c>
      <c r="AA3469">
        <v>0.8844417</v>
      </c>
      <c r="AB3469">
        <v>42</v>
      </c>
      <c r="AC3469">
        <v>-1.6040999999999801</v>
      </c>
      <c r="AD3469">
        <v>-1.0899299233269999</v>
      </c>
      <c r="AE3469">
        <v>-14.6434</v>
      </c>
      <c r="AF3469">
        <v>6.9650283053140596</v>
      </c>
      <c r="AG3469">
        <v>-1.0899299233269999</v>
      </c>
      <c r="AH3469">
        <v>12.889303894813301</v>
      </c>
      <c r="AI3469">
        <v>94.254619808131295</v>
      </c>
      <c r="AJ3469">
        <v>61.614421960913702</v>
      </c>
      <c r="AK3469">
        <v>14.691280455577701</v>
      </c>
      <c r="AL3469">
        <v>89.149105219222506</v>
      </c>
      <c r="AM3469">
        <v>76.260423073766006</v>
      </c>
      <c r="AN3469">
        <v>1.0000000252866801</v>
      </c>
    </row>
    <row r="3470" spans="1:40" x14ac:dyDescent="0.25">
      <c r="A3470" t="str">
        <f>"20190312151607860"</f>
        <v>20190312151607860</v>
      </c>
      <c r="B3470" t="str">
        <f>"1552374967851373"</f>
        <v>1552374967851373</v>
      </c>
      <c r="C3470" t="s">
        <v>40</v>
      </c>
      <c r="D3470">
        <v>4.9975699999999996</v>
      </c>
      <c r="E3470">
        <v>0.59444359999999996</v>
      </c>
      <c r="F3470" t="s">
        <v>43</v>
      </c>
      <c r="G3470">
        <v>-187.85300000000001</v>
      </c>
      <c r="H3470" s="1">
        <v>-3.9354030000000003E-6</v>
      </c>
      <c r="I3470">
        <v>177.9186</v>
      </c>
      <c r="J3470">
        <v>-186.126</v>
      </c>
      <c r="K3470">
        <v>1.08985</v>
      </c>
      <c r="L3470">
        <v>192.1583</v>
      </c>
      <c r="M3470">
        <v>0.36097230000000002</v>
      </c>
      <c r="N3470">
        <v>0</v>
      </c>
      <c r="O3470">
        <v>-0.93239590000000006</v>
      </c>
      <c r="P3470">
        <v>0.13303999999999999</v>
      </c>
      <c r="Q3470">
        <v>8.8673699999999994E-3</v>
      </c>
      <c r="R3470">
        <v>-0.99107109999999998</v>
      </c>
      <c r="S3470">
        <v>-0.33088679999999998</v>
      </c>
      <c r="T3470">
        <v>-0.2297719</v>
      </c>
      <c r="U3470">
        <v>-3.0841059999999998</v>
      </c>
      <c r="V3470">
        <v>0.2347467</v>
      </c>
      <c r="W3470">
        <v>1.5607499999999899E-2</v>
      </c>
      <c r="X3470">
        <v>0.97193130000000005</v>
      </c>
      <c r="Y3470">
        <v>0.4581751</v>
      </c>
      <c r="Z3470">
        <v>6.2427219999999999E-2</v>
      </c>
      <c r="AA3470">
        <v>0.88666699999999998</v>
      </c>
      <c r="AB3470">
        <v>42</v>
      </c>
      <c r="AC3470">
        <v>-1.7270000000000001</v>
      </c>
      <c r="AD3470">
        <v>-1.0898539354029999</v>
      </c>
      <c r="AE3470">
        <v>-14.239699999999999</v>
      </c>
      <c r="AF3470">
        <v>6.7127702213964699</v>
      </c>
      <c r="AG3470">
        <v>-1.0898539354029999</v>
      </c>
      <c r="AH3470">
        <v>12.5831296363184</v>
      </c>
      <c r="AI3470">
        <v>94.369945327581306</v>
      </c>
      <c r="AJ3470">
        <v>61.921246725996603</v>
      </c>
      <c r="AK3470">
        <v>14.3032939244838</v>
      </c>
      <c r="AL3470">
        <v>89.105719838298199</v>
      </c>
      <c r="AM3470">
        <v>76.421622752438495</v>
      </c>
      <c r="AN3470">
        <v>1.0000000295684099</v>
      </c>
    </row>
    <row r="3471" spans="1:40" x14ac:dyDescent="0.25">
      <c r="A3471" t="str">
        <f>"20190312151607881"</f>
        <v>20190312151607881</v>
      </c>
      <c r="B3471" t="str">
        <f>"1552374967870893"</f>
        <v>1552374967870893</v>
      </c>
      <c r="C3471" t="s">
        <v>40</v>
      </c>
      <c r="D3471">
        <v>4.8890690000000001</v>
      </c>
      <c r="E3471">
        <v>0.59223729999999997</v>
      </c>
      <c r="F3471" t="s">
        <v>43</v>
      </c>
      <c r="G3471">
        <v>-187.90899999999999</v>
      </c>
      <c r="H3471" s="1">
        <v>-3.463962E-6</v>
      </c>
      <c r="I3471">
        <v>176.84270000000001</v>
      </c>
      <c r="J3471">
        <v>-185.98079999999999</v>
      </c>
      <c r="K3471">
        <v>1.0897939999999999</v>
      </c>
      <c r="L3471">
        <v>191.78100000000001</v>
      </c>
      <c r="M3471">
        <v>0.3457789</v>
      </c>
      <c r="N3471">
        <v>0</v>
      </c>
      <c r="O3471">
        <v>-0.93813899999999995</v>
      </c>
      <c r="P3471">
        <v>0.1196898</v>
      </c>
      <c r="Q3471">
        <v>9.3801539999999999E-3</v>
      </c>
      <c r="R3471">
        <v>-0.99276710000000001</v>
      </c>
      <c r="S3471">
        <v>-0.35823059999999901</v>
      </c>
      <c r="T3471">
        <v>-0.21896470000000001</v>
      </c>
      <c r="U3471">
        <v>-3.0770719999999998</v>
      </c>
      <c r="V3471">
        <v>0.2320557</v>
      </c>
      <c r="W3471">
        <v>1.615484E-2</v>
      </c>
      <c r="X3471">
        <v>0.97256830000000005</v>
      </c>
      <c r="Y3471">
        <v>0.45174779999999998</v>
      </c>
      <c r="Z3471">
        <v>6.0338309999999999E-2</v>
      </c>
      <c r="AA3471">
        <v>0.89010290000000003</v>
      </c>
      <c r="AB3471">
        <v>42</v>
      </c>
      <c r="AC3471">
        <v>-1.9282000000000299</v>
      </c>
      <c r="AD3471">
        <v>-1.0897974639620001</v>
      </c>
      <c r="AE3471">
        <v>-14.9382999999999</v>
      </c>
      <c r="AF3471">
        <v>6.9391012766574303</v>
      </c>
      <c r="AG3471">
        <v>-1.0897974639620001</v>
      </c>
      <c r="AH3471">
        <v>13.280167214873099</v>
      </c>
      <c r="AI3471">
        <v>94.159898170544693</v>
      </c>
      <c r="AJ3471">
        <v>62.412207370140599</v>
      </c>
      <c r="AK3471">
        <v>15.023369338971801</v>
      </c>
      <c r="AL3471">
        <v>89.074355549292804</v>
      </c>
      <c r="AM3471">
        <v>76.580085808582794</v>
      </c>
      <c r="AN3471">
        <v>0.99999996246140199</v>
      </c>
    </row>
    <row r="3472" spans="1:40" x14ac:dyDescent="0.25">
      <c r="A3472" t="str">
        <f>"20190312151607905"</f>
        <v>20190312151607905</v>
      </c>
      <c r="B3472" t="str">
        <f>"1552374967901149"</f>
        <v>1552374967901149</v>
      </c>
      <c r="C3472" t="s">
        <v>40</v>
      </c>
      <c r="D3472">
        <v>4.8668620000000002</v>
      </c>
      <c r="E3472">
        <v>0.59049339999999995</v>
      </c>
      <c r="F3472" t="s">
        <v>43</v>
      </c>
      <c r="G3472">
        <v>-187.94149999999999</v>
      </c>
      <c r="H3472" s="1">
        <v>-3.1037040000000001E-6</v>
      </c>
      <c r="I3472">
        <v>176.0164</v>
      </c>
      <c r="J3472">
        <v>-185.83070000000001</v>
      </c>
      <c r="K3472">
        <v>1.089745</v>
      </c>
      <c r="L3472">
        <v>191.3698</v>
      </c>
      <c r="M3472">
        <v>0.32925100000000002</v>
      </c>
      <c r="N3472">
        <v>0</v>
      </c>
      <c r="O3472">
        <v>-0.94406869999999998</v>
      </c>
      <c r="P3472">
        <v>0.104921</v>
      </c>
      <c r="Q3472">
        <v>8.9495330000000008E-3</v>
      </c>
      <c r="R3472">
        <v>-0.99444030000000005</v>
      </c>
      <c r="S3472">
        <v>-0.38180540000000002</v>
      </c>
      <c r="T3472">
        <v>-0.2122192</v>
      </c>
      <c r="U3472">
        <v>-3.0698850000000002</v>
      </c>
      <c r="V3472">
        <v>0.22940669999999999</v>
      </c>
      <c r="W3472">
        <v>1.5762459999999999E-2</v>
      </c>
      <c r="X3472">
        <v>0.97320300000000004</v>
      </c>
      <c r="Y3472">
        <v>0.44305319999999998</v>
      </c>
      <c r="Z3472">
        <v>5.9360419999999997E-2</v>
      </c>
      <c r="AA3472">
        <v>0.89452799999999999</v>
      </c>
      <c r="AB3472">
        <v>41</v>
      </c>
      <c r="AC3472">
        <v>-2.1107999999999798</v>
      </c>
      <c r="AD3472">
        <v>-1.089748103704</v>
      </c>
      <c r="AE3472">
        <v>-15.353399999999899</v>
      </c>
      <c r="AF3472">
        <v>7.0143373992975704</v>
      </c>
      <c r="AG3472">
        <v>-1.089748103704</v>
      </c>
      <c r="AH3472">
        <v>13.734039349583499</v>
      </c>
      <c r="AI3472">
        <v>94.042024187197399</v>
      </c>
      <c r="AJ3472">
        <v>62.945396209665702</v>
      </c>
      <c r="AK3472">
        <v>15.4600231868073</v>
      </c>
      <c r="AL3472">
        <v>89.096840151215602</v>
      </c>
      <c r="AM3472">
        <v>76.736177653180704</v>
      </c>
      <c r="AN3472">
        <v>0.99999998417957003</v>
      </c>
    </row>
    <row r="3473" spans="1:40" x14ac:dyDescent="0.25">
      <c r="A3473" t="str">
        <f>"20190312151607926"</f>
        <v>20190312151607926</v>
      </c>
      <c r="B3473" t="str">
        <f>"1552374967921645"</f>
        <v>1552374967921645</v>
      </c>
      <c r="C3473" t="s">
        <v>40</v>
      </c>
      <c r="D3473">
        <v>4.8955690000000001</v>
      </c>
      <c r="E3473">
        <v>0.57312319999999894</v>
      </c>
      <c r="F3473" t="s">
        <v>43</v>
      </c>
      <c r="G3473">
        <v>-187.96809999999999</v>
      </c>
      <c r="H3473" s="1">
        <v>-2.894146E-6</v>
      </c>
      <c r="I3473">
        <v>175.53890000000001</v>
      </c>
      <c r="J3473">
        <v>-185.69649999999999</v>
      </c>
      <c r="K3473">
        <v>1.089717</v>
      </c>
      <c r="L3473">
        <v>190.98159999999999</v>
      </c>
      <c r="M3473">
        <v>0.3136776</v>
      </c>
      <c r="N3473">
        <v>0</v>
      </c>
      <c r="O3473">
        <v>-0.94935879999999995</v>
      </c>
      <c r="P3473">
        <v>9.1488E-2</v>
      </c>
      <c r="Q3473">
        <v>8.5814949999999997E-3</v>
      </c>
      <c r="R3473">
        <v>-0.99576960000000003</v>
      </c>
      <c r="S3473">
        <v>-0.41345209999999999</v>
      </c>
      <c r="T3473">
        <v>-0.2107986</v>
      </c>
      <c r="U3473">
        <v>-3.0622859999999998</v>
      </c>
      <c r="V3473">
        <v>0.2265143</v>
      </c>
      <c r="W3473">
        <v>1.5465420000000001E-2</v>
      </c>
      <c r="X3473">
        <v>0.97388509999999995</v>
      </c>
      <c r="Y3473">
        <v>0.43766440000000001</v>
      </c>
      <c r="Z3473">
        <v>5.9705389999999997E-2</v>
      </c>
      <c r="AA3473">
        <v>0.89715389999999995</v>
      </c>
      <c r="AB3473">
        <v>41</v>
      </c>
      <c r="AC3473">
        <v>-2.2715999999999998</v>
      </c>
      <c r="AD3473">
        <v>-1.089719894146</v>
      </c>
      <c r="AE3473">
        <v>-15.442699999999901</v>
      </c>
      <c r="AF3473">
        <v>6.9677667563580998</v>
      </c>
      <c r="AG3473">
        <v>-1.089719894146</v>
      </c>
      <c r="AH3473">
        <v>13.882710424370799</v>
      </c>
      <c r="AI3473">
        <v>94.012974545184903</v>
      </c>
      <c r="AJ3473">
        <v>63.347812055514403</v>
      </c>
      <c r="AK3473">
        <v>15.5713490663346</v>
      </c>
      <c r="AL3473">
        <v>89.113861421122905</v>
      </c>
      <c r="AM3473">
        <v>76.906466416333004</v>
      </c>
      <c r="AN3473">
        <v>1.0000000476611299</v>
      </c>
    </row>
    <row r="3474" spans="1:40" x14ac:dyDescent="0.25">
      <c r="A3474" t="str">
        <f>"20190312151607949"</f>
        <v>20190312151607949</v>
      </c>
      <c r="B3474" t="str">
        <f>"1552374967941165"</f>
        <v>1552374967941165</v>
      </c>
      <c r="C3474" t="s">
        <v>40</v>
      </c>
      <c r="D3474">
        <v>4.8202299999999996</v>
      </c>
      <c r="E3474">
        <v>0.57121359999999999</v>
      </c>
      <c r="F3474" t="s">
        <v>43</v>
      </c>
      <c r="G3474">
        <v>-187.4151</v>
      </c>
      <c r="H3474" s="1">
        <v>-2.5196489999999999E-6</v>
      </c>
      <c r="I3474">
        <v>174.43729999999999</v>
      </c>
      <c r="J3474">
        <v>-185.56379999999999</v>
      </c>
      <c r="K3474">
        <v>1.0896999999999999</v>
      </c>
      <c r="L3474">
        <v>190.57499999999999</v>
      </c>
      <c r="M3474">
        <v>0.29738429999999999</v>
      </c>
      <c r="N3474">
        <v>0</v>
      </c>
      <c r="O3474">
        <v>-0.95458949999999998</v>
      </c>
      <c r="P3474">
        <v>7.8375710000000001E-2</v>
      </c>
      <c r="Q3474">
        <v>8.6547259999999997E-3</v>
      </c>
      <c r="R3474">
        <v>-0.99688670000000001</v>
      </c>
      <c r="S3474">
        <v>-0.31614690000000001</v>
      </c>
      <c r="T3474">
        <v>-0.2004668</v>
      </c>
      <c r="U3474">
        <v>-3.0435180000000002</v>
      </c>
      <c r="V3474">
        <v>0.22266259999999999</v>
      </c>
      <c r="W3474">
        <v>1.566853E-2</v>
      </c>
      <c r="X3474">
        <v>0.97476969999999996</v>
      </c>
      <c r="Y3474">
        <v>0.39427319999999999</v>
      </c>
      <c r="Z3474">
        <v>5.8422630000000003E-2</v>
      </c>
      <c r="AA3474">
        <v>0.91713440000000002</v>
      </c>
      <c r="AB3474">
        <v>41</v>
      </c>
      <c r="AC3474">
        <v>-1.8512999999999999</v>
      </c>
      <c r="AD3474">
        <v>-1.089702519649</v>
      </c>
      <c r="AE3474">
        <v>-16.137699999999899</v>
      </c>
      <c r="AF3474">
        <v>6.5379621671084198</v>
      </c>
      <c r="AG3474">
        <v>-1.089702519649</v>
      </c>
      <c r="AH3474">
        <v>14.790157436548901</v>
      </c>
      <c r="AI3474">
        <v>93.855173032173298</v>
      </c>
      <c r="AJ3474">
        <v>66.1522620583453</v>
      </c>
      <c r="AK3474">
        <v>16.207441435272099</v>
      </c>
      <c r="AL3474">
        <v>89.102222669615898</v>
      </c>
      <c r="AM3474">
        <v>77.132925436650694</v>
      </c>
      <c r="AN3474">
        <v>1.0000000521546</v>
      </c>
    </row>
    <row r="3475" spans="1:40" x14ac:dyDescent="0.25">
      <c r="A3475" t="str">
        <f>"20190312151607971"</f>
        <v>20190312151607971</v>
      </c>
      <c r="B3475" t="str">
        <f>"1552374967961662"</f>
        <v>1552374967961662</v>
      </c>
      <c r="C3475" t="s">
        <v>40</v>
      </c>
      <c r="D3475">
        <v>4.8592129999999996</v>
      </c>
      <c r="E3475">
        <v>0.57060250000000001</v>
      </c>
      <c r="F3475" t="s">
        <v>43</v>
      </c>
      <c r="G3475">
        <v>-187.46510000000001</v>
      </c>
      <c r="H3475" s="1">
        <v>-2.1656870000000001E-6</v>
      </c>
      <c r="I3475">
        <v>173.63290000000001</v>
      </c>
      <c r="J3475">
        <v>-185.44390000000001</v>
      </c>
      <c r="K3475">
        <v>1.089685</v>
      </c>
      <c r="L3475">
        <v>190.18530000000001</v>
      </c>
      <c r="M3475">
        <v>0.28177809999999998</v>
      </c>
      <c r="N3475">
        <v>0</v>
      </c>
      <c r="O3475">
        <v>-0.95931359999999999</v>
      </c>
      <c r="P3475">
        <v>6.623453E-2</v>
      </c>
      <c r="Q3475">
        <v>8.0610939999999996E-3</v>
      </c>
      <c r="R3475">
        <v>-0.99777170000000004</v>
      </c>
      <c r="S3475">
        <v>-0.34092709999999998</v>
      </c>
      <c r="T3475">
        <v>-0.19539429999999999</v>
      </c>
      <c r="U3475">
        <v>-3.0378880000000001</v>
      </c>
      <c r="V3475">
        <v>0.21860289999999999</v>
      </c>
      <c r="W3475">
        <v>1.5228459999999999E-2</v>
      </c>
      <c r="X3475">
        <v>0.97569510000000004</v>
      </c>
      <c r="Y3475">
        <v>0.38685399999999998</v>
      </c>
      <c r="Z3475">
        <v>5.7585770000000001E-2</v>
      </c>
      <c r="AA3475">
        <v>0.92034119999999997</v>
      </c>
      <c r="AB3475">
        <v>41</v>
      </c>
      <c r="AC3475">
        <v>-2.0211999999999901</v>
      </c>
      <c r="AD3475">
        <v>-1.089687165687</v>
      </c>
      <c r="AE3475">
        <v>-16.552399999999999</v>
      </c>
      <c r="AF3475">
        <v>6.5760389540927804</v>
      </c>
      <c r="AG3475">
        <v>-1.089687165687</v>
      </c>
      <c r="AH3475">
        <v>15.246743790841601</v>
      </c>
      <c r="AI3475">
        <v>93.754722775543499</v>
      </c>
      <c r="AJ3475">
        <v>66.669088409731899</v>
      </c>
      <c r="AK3475">
        <v>16.6401593342244</v>
      </c>
      <c r="AL3475">
        <v>89.127439813047701</v>
      </c>
      <c r="AM3475">
        <v>77.371523984590695</v>
      </c>
      <c r="AN3475">
        <v>1.00000003102319</v>
      </c>
    </row>
    <row r="3476" spans="1:40" x14ac:dyDescent="0.25">
      <c r="A3476" t="str">
        <f>"20190312151607995"</f>
        <v>20190312151607995</v>
      </c>
      <c r="B3476" t="str">
        <f>"1552374967991918"</f>
        <v>1552374967991918</v>
      </c>
      <c r="C3476" t="s">
        <v>40</v>
      </c>
      <c r="D3476">
        <v>4.8686119999999997</v>
      </c>
      <c r="E3476">
        <v>0.56744329999999998</v>
      </c>
      <c r="F3476" t="s">
        <v>43</v>
      </c>
      <c r="G3476">
        <v>-187.59370000000001</v>
      </c>
      <c r="H3476" s="1">
        <v>-1.7398259999999999E-6</v>
      </c>
      <c r="I3476">
        <v>172.6934</v>
      </c>
      <c r="J3476">
        <v>-185.32069999999999</v>
      </c>
      <c r="K3476">
        <v>1.0896889999999999</v>
      </c>
      <c r="L3476">
        <v>189.7569</v>
      </c>
      <c r="M3476">
        <v>0.2646307</v>
      </c>
      <c r="N3476">
        <v>0</v>
      </c>
      <c r="O3476">
        <v>-0.96418590000000004</v>
      </c>
      <c r="P3476">
        <v>5.316104E-2</v>
      </c>
      <c r="Q3476">
        <v>7.54303E-3</v>
      </c>
      <c r="R3476">
        <v>-0.99855740000000004</v>
      </c>
      <c r="S3476">
        <v>-0.37275700000000001</v>
      </c>
      <c r="T3476">
        <v>-0.18894240000000001</v>
      </c>
      <c r="U3476">
        <v>-3.0329440000000001</v>
      </c>
      <c r="V3476">
        <v>0.21396029999999999</v>
      </c>
      <c r="W3476">
        <v>1.489996E-2</v>
      </c>
      <c r="X3476">
        <v>0.97672870000000001</v>
      </c>
      <c r="Y3476">
        <v>0.38011119999999998</v>
      </c>
      <c r="Z3476">
        <v>5.6288600000000001E-2</v>
      </c>
      <c r="AA3476">
        <v>0.92322649999999995</v>
      </c>
      <c r="AB3476">
        <v>41</v>
      </c>
      <c r="AC3476">
        <v>-2.2730000000000201</v>
      </c>
      <c r="AD3476">
        <v>-1.0896907398259901</v>
      </c>
      <c r="AE3476">
        <v>-17.063500000000001</v>
      </c>
      <c r="AF3476">
        <v>6.6814078025605497</v>
      </c>
      <c r="AG3476">
        <v>-1.0896907398259901</v>
      </c>
      <c r="AH3476">
        <v>15.7901139252132</v>
      </c>
      <c r="AI3476">
        <v>93.636565940583097</v>
      </c>
      <c r="AJ3476">
        <v>67.064898911925098</v>
      </c>
      <c r="AK3476">
        <v>17.180114490415701</v>
      </c>
      <c r="AL3476">
        <v>89.146263573725307</v>
      </c>
      <c r="AM3476">
        <v>77.644068976852395</v>
      </c>
      <c r="AN3476">
        <v>0.99999998609388996</v>
      </c>
    </row>
    <row r="3477" spans="1:40" x14ac:dyDescent="0.25">
      <c r="A3477" t="str">
        <f>"20190312151608017"</f>
        <v>20190312151608017</v>
      </c>
      <c r="B3477" t="str">
        <f>"1552374968011437"</f>
        <v>1552374968011437</v>
      </c>
      <c r="C3477" t="s">
        <v>40</v>
      </c>
      <c r="D3477">
        <v>4.8013789999999998</v>
      </c>
      <c r="E3477">
        <v>0.56616929999999999</v>
      </c>
      <c r="F3477" t="s">
        <v>43</v>
      </c>
      <c r="G3477">
        <v>-187.5926</v>
      </c>
      <c r="H3477" s="1">
        <v>-1.439294E-6</v>
      </c>
      <c r="I3477">
        <v>171.9924</v>
      </c>
      <c r="J3477">
        <v>-185.21340000000001</v>
      </c>
      <c r="K3477">
        <v>1.0897030000000001</v>
      </c>
      <c r="L3477">
        <v>189.35640000000001</v>
      </c>
      <c r="M3477">
        <v>0.24859629999999999</v>
      </c>
      <c r="N3477">
        <v>0</v>
      </c>
      <c r="O3477">
        <v>-0.96844509999999995</v>
      </c>
      <c r="P3477">
        <v>4.1324479999999997E-2</v>
      </c>
      <c r="Q3477">
        <v>7.3215509999999999E-3</v>
      </c>
      <c r="R3477">
        <v>-0.99911919999999999</v>
      </c>
      <c r="S3477">
        <v>-0.38703920000000003</v>
      </c>
      <c r="T3477">
        <v>-0.1856391</v>
      </c>
      <c r="U3477">
        <v>-3.0263520000000002</v>
      </c>
      <c r="V3477">
        <v>0.2093159</v>
      </c>
      <c r="W3477">
        <v>1.488041E-2</v>
      </c>
      <c r="X3477">
        <v>0.97773489999999996</v>
      </c>
      <c r="Y3477">
        <v>0.3692782</v>
      </c>
      <c r="Z3477">
        <v>5.5936470000000002E-2</v>
      </c>
      <c r="AA3477">
        <v>0.92763390000000001</v>
      </c>
      <c r="AB3477">
        <v>41</v>
      </c>
      <c r="AC3477">
        <v>-2.3791999999999902</v>
      </c>
      <c r="AD3477">
        <v>-1.0897044392940001</v>
      </c>
      <c r="AE3477">
        <v>-17.364000000000001</v>
      </c>
      <c r="AF3477">
        <v>6.5962903600376803</v>
      </c>
      <c r="AG3477">
        <v>-1.0897044392940001</v>
      </c>
      <c r="AH3477">
        <v>16.164678511213701</v>
      </c>
      <c r="AI3477">
        <v>93.571537717570905</v>
      </c>
      <c r="AJ3477">
        <v>67.801193367387597</v>
      </c>
      <c r="AK3477">
        <v>17.4927223052856</v>
      </c>
      <c r="AL3477">
        <v>89.147383888019604</v>
      </c>
      <c r="AM3477">
        <v>77.916377314935303</v>
      </c>
      <c r="AN3477">
        <v>1.0000000536362901</v>
      </c>
    </row>
    <row r="3478" spans="1:40" x14ac:dyDescent="0.25">
      <c r="A3478" t="str">
        <f>"20190312151608040"</f>
        <v>20190312151608040</v>
      </c>
      <c r="B3478" t="str">
        <f>"1552374968030957"</f>
        <v>1552374968030957</v>
      </c>
      <c r="C3478" t="s">
        <v>40</v>
      </c>
      <c r="D3478">
        <v>4.8028420000000001</v>
      </c>
      <c r="E3478">
        <v>0.56540140000000005</v>
      </c>
      <c r="F3478" t="s">
        <v>43</v>
      </c>
      <c r="G3478">
        <v>-187.6104</v>
      </c>
      <c r="H3478" s="1">
        <v>-1.3703850000000001E-6</v>
      </c>
      <c r="I3478">
        <v>171.8066</v>
      </c>
      <c r="J3478">
        <v>-185.1088</v>
      </c>
      <c r="K3478">
        <v>1.089717</v>
      </c>
      <c r="L3478">
        <v>188.9367</v>
      </c>
      <c r="M3478">
        <v>0.2317795</v>
      </c>
      <c r="N3478">
        <v>0</v>
      </c>
      <c r="O3478">
        <v>-0.97260749999999996</v>
      </c>
      <c r="P3478">
        <v>2.820756E-2</v>
      </c>
      <c r="Q3478">
        <v>6.5193869999999998E-3</v>
      </c>
      <c r="R3478">
        <v>-0.99958100000000005</v>
      </c>
      <c r="S3478">
        <v>-0.4126282</v>
      </c>
      <c r="T3478">
        <v>-0.18758630000000001</v>
      </c>
      <c r="U3478">
        <v>-3.0210880000000002</v>
      </c>
      <c r="V3478">
        <v>0.20516980000000001</v>
      </c>
      <c r="W3478">
        <v>1.4259630000000001E-2</v>
      </c>
      <c r="X3478">
        <v>0.97862249999999995</v>
      </c>
      <c r="Y3478">
        <v>0.36108180000000001</v>
      </c>
      <c r="Z3478">
        <v>5.7073390000000002E-2</v>
      </c>
      <c r="AA3478">
        <v>0.930786</v>
      </c>
      <c r="AB3478">
        <v>41</v>
      </c>
      <c r="AC3478">
        <v>-2.5015999999999901</v>
      </c>
      <c r="AD3478">
        <v>-1.089718370385</v>
      </c>
      <c r="AE3478">
        <v>-17.130099999999999</v>
      </c>
      <c r="AF3478">
        <v>6.3792068913376001</v>
      </c>
      <c r="AG3478">
        <v>-1.089718370385</v>
      </c>
      <c r="AH3478">
        <v>16.020084799290998</v>
      </c>
      <c r="AI3478">
        <v>93.616054628088804</v>
      </c>
      <c r="AJ3478">
        <v>68.287524737630093</v>
      </c>
      <c r="AK3478">
        <v>17.2778726603051</v>
      </c>
      <c r="AL3478">
        <v>89.182955685152095</v>
      </c>
      <c r="AM3478">
        <v>78.159339413784807</v>
      </c>
      <c r="AN3478">
        <v>0.99999999069301304</v>
      </c>
    </row>
    <row r="3479" spans="1:40" x14ac:dyDescent="0.25">
      <c r="A3479" t="str">
        <f>"20190312151608062"</f>
        <v>20190312151608062</v>
      </c>
      <c r="B3479" t="str">
        <f>"1552374968051453"</f>
        <v>1552374968051453</v>
      </c>
      <c r="C3479" t="s">
        <v>40</v>
      </c>
      <c r="D3479">
        <v>4.9645960000000002</v>
      </c>
      <c r="E3479">
        <v>0.55235219999999996</v>
      </c>
      <c r="F3479" t="s">
        <v>43</v>
      </c>
      <c r="G3479">
        <v>-187.6138</v>
      </c>
      <c r="H3479" s="1">
        <v>-1.4446159999999999E-6</v>
      </c>
      <c r="I3479">
        <v>172.0136</v>
      </c>
      <c r="J3479">
        <v>-185.02019999999999</v>
      </c>
      <c r="K3479">
        <v>1.089737</v>
      </c>
      <c r="L3479">
        <v>188.5539</v>
      </c>
      <c r="M3479">
        <v>0.2164172</v>
      </c>
      <c r="N3479">
        <v>0</v>
      </c>
      <c r="O3479">
        <v>-0.97614160000000005</v>
      </c>
      <c r="P3479">
        <v>1.6808989999999999E-2</v>
      </c>
      <c r="Q3479">
        <v>5.7402479999999999E-3</v>
      </c>
      <c r="R3479">
        <v>-0.99984249999999997</v>
      </c>
      <c r="S3479">
        <v>-0.44630429999999999</v>
      </c>
      <c r="T3479">
        <v>-0.19414999999999999</v>
      </c>
      <c r="U3479">
        <v>-3.0151210000000002</v>
      </c>
      <c r="V3479">
        <v>0.2008626</v>
      </c>
      <c r="W3479">
        <v>1.3677949999999999E-2</v>
      </c>
      <c r="X3479">
        <v>0.97952399999999995</v>
      </c>
      <c r="Y3479">
        <v>0.35679300000000003</v>
      </c>
      <c r="Z3479">
        <v>5.9524540000000001E-2</v>
      </c>
      <c r="AA3479">
        <v>0.93228509999999998</v>
      </c>
      <c r="AB3479">
        <v>41</v>
      </c>
      <c r="AC3479">
        <v>-2.5935999999999999</v>
      </c>
      <c r="AD3479">
        <v>-1.0897384446159999</v>
      </c>
      <c r="AE3479">
        <v>-16.540299999999998</v>
      </c>
      <c r="AF3479">
        <v>6.0864918208691003</v>
      </c>
      <c r="AG3479">
        <v>-1.0897384446159999</v>
      </c>
      <c r="AH3479">
        <v>15.521045414616999</v>
      </c>
      <c r="AI3479">
        <v>93.739775932169195</v>
      </c>
      <c r="AJ3479">
        <v>68.587646920194402</v>
      </c>
      <c r="AK3479">
        <v>16.707356563076701</v>
      </c>
      <c r="AL3479">
        <v>89.216286807985796</v>
      </c>
      <c r="AM3479">
        <v>78.411495645240805</v>
      </c>
      <c r="AN3479">
        <v>1.00000006848547</v>
      </c>
    </row>
    <row r="3480" spans="1:40" x14ac:dyDescent="0.25">
      <c r="A3480" t="str">
        <f>"20190312151608083"</f>
        <v>20190312151608083</v>
      </c>
      <c r="B3480" t="str">
        <f>"1552374968070973"</f>
        <v>1552374968070973</v>
      </c>
      <c r="C3480" t="s">
        <v>40</v>
      </c>
      <c r="D3480">
        <v>4.9417809999999998</v>
      </c>
      <c r="E3480">
        <v>0.5521433</v>
      </c>
      <c r="F3480" t="s">
        <v>43</v>
      </c>
      <c r="G3480">
        <v>-186.72829999999999</v>
      </c>
      <c r="H3480" s="1">
        <v>-2.8744700000000002E-6</v>
      </c>
      <c r="I3480">
        <v>174.9804</v>
      </c>
      <c r="J3480">
        <v>-184.93729999999999</v>
      </c>
      <c r="K3480">
        <v>1.0897680000000001</v>
      </c>
      <c r="L3480">
        <v>188.16669999999999</v>
      </c>
      <c r="M3480">
        <v>0.2008489</v>
      </c>
      <c r="N3480">
        <v>0</v>
      </c>
      <c r="O3480">
        <v>-0.97946409999999995</v>
      </c>
      <c r="P3480">
        <v>6.4820640000000001E-3</v>
      </c>
      <c r="Q3480">
        <v>3.9695959999999997E-3</v>
      </c>
      <c r="R3480">
        <v>-0.99997130000000001</v>
      </c>
      <c r="S3480">
        <v>-0.37853999999999999</v>
      </c>
      <c r="T3480">
        <v>-0.24151420000000001</v>
      </c>
      <c r="U3480">
        <v>-3.0082399999999998</v>
      </c>
      <c r="V3480">
        <v>0.19530220000000001</v>
      </c>
      <c r="W3480">
        <v>1.217127E-2</v>
      </c>
      <c r="X3480">
        <v>0.98066759999999997</v>
      </c>
      <c r="Y3480">
        <v>0.32123590000000002</v>
      </c>
      <c r="Z3480">
        <v>7.5155239999999998E-2</v>
      </c>
      <c r="AA3480">
        <v>0.94401230000000003</v>
      </c>
      <c r="AB3480">
        <v>41</v>
      </c>
      <c r="AC3480">
        <v>-1.7909999999999899</v>
      </c>
      <c r="AD3480">
        <v>-1.0897708744700001</v>
      </c>
      <c r="AE3480">
        <v>-13.1862999999999</v>
      </c>
      <c r="AF3480">
        <v>4.3740224864097597</v>
      </c>
      <c r="AG3480">
        <v>-1.0897708744700001</v>
      </c>
      <c r="AH3480">
        <v>12.474076974059001</v>
      </c>
      <c r="AI3480">
        <v>94.712889597119897</v>
      </c>
      <c r="AJ3480">
        <v>70.676834106432693</v>
      </c>
      <c r="AK3480">
        <v>13.2635692641615</v>
      </c>
      <c r="AL3480">
        <v>89.302620389431794</v>
      </c>
      <c r="AM3480">
        <v>78.736777153453303</v>
      </c>
      <c r="AN3480">
        <v>1.0000000154140001</v>
      </c>
    </row>
    <row r="3481" spans="1:40" x14ac:dyDescent="0.25">
      <c r="A3481" t="str">
        <f>"20190312151608106"</f>
        <v>20190312151608106</v>
      </c>
      <c r="B3481" t="str">
        <f>"1552374968101229"</f>
        <v>1552374968101229</v>
      </c>
      <c r="C3481" t="s">
        <v>40</v>
      </c>
      <c r="D3481">
        <v>4.9046699999999896</v>
      </c>
      <c r="E3481">
        <v>0.55043699999999995</v>
      </c>
      <c r="F3481" t="s">
        <v>43</v>
      </c>
      <c r="G3481">
        <v>-186.90280000000001</v>
      </c>
      <c r="H3481" s="1">
        <v>-2.2847980000000001E-6</v>
      </c>
      <c r="I3481">
        <v>173.678</v>
      </c>
      <c r="J3481">
        <v>-184.857</v>
      </c>
      <c r="K3481">
        <v>1.0898019999999999</v>
      </c>
      <c r="L3481">
        <v>187.7578</v>
      </c>
      <c r="M3481">
        <v>0.18437990000000001</v>
      </c>
      <c r="N3481">
        <v>0</v>
      </c>
      <c r="O3481">
        <v>-0.98269799999999996</v>
      </c>
      <c r="P3481">
        <v>-5.2971759999999998E-3</v>
      </c>
      <c r="Q3481">
        <v>4.0541120000000003E-3</v>
      </c>
      <c r="R3481">
        <v>-0.99997809999999998</v>
      </c>
      <c r="S3481">
        <v>-0.40745540000000002</v>
      </c>
      <c r="T3481">
        <v>-0.2259208</v>
      </c>
      <c r="U3481">
        <v>-3.003647</v>
      </c>
      <c r="V3481">
        <v>0.1903957</v>
      </c>
      <c r="W3481">
        <v>1.249168E-2</v>
      </c>
      <c r="X3481">
        <v>0.9816279</v>
      </c>
      <c r="Y3481">
        <v>0.31449519999999997</v>
      </c>
      <c r="Z3481">
        <v>7.0841070000000006E-2</v>
      </c>
      <c r="AA3481">
        <v>0.94661200000000001</v>
      </c>
      <c r="AB3481">
        <v>41</v>
      </c>
      <c r="AC3481">
        <v>-2.0458000000000101</v>
      </c>
      <c r="AD3481">
        <v>-1.0898042847979901</v>
      </c>
      <c r="AE3481">
        <v>-14.079800000000001</v>
      </c>
      <c r="AF3481">
        <v>4.5802734752452103</v>
      </c>
      <c r="AG3481">
        <v>-1.0898042847979901</v>
      </c>
      <c r="AH3481">
        <v>13.3825467084521</v>
      </c>
      <c r="AI3481">
        <v>94.405765868873104</v>
      </c>
      <c r="AJ3481">
        <v>71.106117789611801</v>
      </c>
      <c r="AK3481">
        <v>14.186582918063801</v>
      </c>
      <c r="AL3481">
        <v>89.284260805660494</v>
      </c>
      <c r="AM3481">
        <v>79.023254660972398</v>
      </c>
      <c r="AN3481">
        <v>0.99999994935305903</v>
      </c>
    </row>
    <row r="3482" spans="1:40" x14ac:dyDescent="0.25">
      <c r="A3482" t="str">
        <f>"20190312151608128"</f>
        <v>20190312151608128</v>
      </c>
      <c r="B3482" t="str">
        <f>"1552374968121725"</f>
        <v>1552374968121725</v>
      </c>
      <c r="C3482" t="s">
        <v>40</v>
      </c>
      <c r="D3482">
        <v>4.8948549999999997</v>
      </c>
      <c r="E3482">
        <v>0.54979679999999997</v>
      </c>
      <c r="F3482" t="s">
        <v>43</v>
      </c>
      <c r="G3482">
        <v>-187.0676</v>
      </c>
      <c r="H3482" s="1">
        <v>-1.678272E-6</v>
      </c>
      <c r="I3482">
        <v>172.28700000000001</v>
      </c>
      <c r="J3482">
        <v>-184.785</v>
      </c>
      <c r="K3482">
        <v>1.0898369999999999</v>
      </c>
      <c r="L3482">
        <v>187.3554</v>
      </c>
      <c r="M3482">
        <v>0.16813539999999999</v>
      </c>
      <c r="N3482">
        <v>0</v>
      </c>
      <c r="O3482">
        <v>-0.98560789999999998</v>
      </c>
      <c r="P3482">
        <v>-1.6352559999999999E-2</v>
      </c>
      <c r="Q3482">
        <v>4.7703590000000001E-3</v>
      </c>
      <c r="R3482">
        <v>-0.9998553</v>
      </c>
      <c r="S3482">
        <v>-0.42848209999999998</v>
      </c>
      <c r="T3482">
        <v>-0.21123339999999999</v>
      </c>
      <c r="U3482">
        <v>-2.9986570000000001</v>
      </c>
      <c r="V3482">
        <v>0.18507899999999999</v>
      </c>
      <c r="W3482">
        <v>1.3466250000000001E-2</v>
      </c>
      <c r="X3482">
        <v>0.98263140000000004</v>
      </c>
      <c r="Y3482">
        <v>0.30558089999999999</v>
      </c>
      <c r="Z3482">
        <v>6.6743799999999895E-2</v>
      </c>
      <c r="AA3482">
        <v>0.949824</v>
      </c>
      <c r="AB3482">
        <v>41</v>
      </c>
      <c r="AC3482">
        <v>-2.2826</v>
      </c>
      <c r="AD3482">
        <v>-1.089838678272</v>
      </c>
      <c r="AE3482">
        <v>-15.068399999999899</v>
      </c>
      <c r="AF3482">
        <v>4.7596761278445001</v>
      </c>
      <c r="AG3482">
        <v>-1.089838678272</v>
      </c>
      <c r="AH3482">
        <v>14.396354600382899</v>
      </c>
      <c r="AI3482">
        <v>94.111119889912899</v>
      </c>
      <c r="AJ3482">
        <v>71.705248472052304</v>
      </c>
      <c r="AK3482">
        <v>15.201884454454801</v>
      </c>
      <c r="AL3482">
        <v>89.228417405278094</v>
      </c>
      <c r="AM3482">
        <v>79.333283412297504</v>
      </c>
      <c r="AN3482">
        <v>1.0000000221980101</v>
      </c>
    </row>
    <row r="3483" spans="1:40" x14ac:dyDescent="0.25">
      <c r="A3483" t="str">
        <f>"20190312151608150"</f>
        <v>20190312151608150</v>
      </c>
      <c r="B3483" t="str">
        <f>"1552374968141245"</f>
        <v>1552374968141245</v>
      </c>
      <c r="C3483" t="s">
        <v>40</v>
      </c>
      <c r="D3483">
        <v>5.1377879999999996</v>
      </c>
      <c r="E3483">
        <v>0.54952419999999902</v>
      </c>
      <c r="F3483" t="s">
        <v>43</v>
      </c>
      <c r="G3483">
        <v>-187.2295</v>
      </c>
      <c r="H3483" s="1">
        <v>-1.303288E-6</v>
      </c>
      <c r="I3483">
        <v>171.3117</v>
      </c>
      <c r="J3483">
        <v>-184.72130000000001</v>
      </c>
      <c r="K3483">
        <v>1.08988</v>
      </c>
      <c r="L3483">
        <v>186.96080000000001</v>
      </c>
      <c r="M3483">
        <v>0.15217059999999999</v>
      </c>
      <c r="N3483">
        <v>0</v>
      </c>
      <c r="O3483">
        <v>-0.98819889999999999</v>
      </c>
      <c r="P3483">
        <v>-2.6922109999999999E-2</v>
      </c>
      <c r="Q3483">
        <v>5.1494549999999998E-3</v>
      </c>
      <c r="R3483">
        <v>-0.99962459999999997</v>
      </c>
      <c r="S3483">
        <v>-0.45617679999999999</v>
      </c>
      <c r="T3483">
        <v>-0.2033778</v>
      </c>
      <c r="U3483">
        <v>-2.9939580000000001</v>
      </c>
      <c r="V3483">
        <v>0.1795892</v>
      </c>
      <c r="W3483">
        <v>1.411278E-2</v>
      </c>
      <c r="X3483">
        <v>0.98364039999999997</v>
      </c>
      <c r="Y3483">
        <v>0.29900349999999998</v>
      </c>
      <c r="Z3483">
        <v>6.4662720000000007E-2</v>
      </c>
      <c r="AA3483">
        <v>0.95205870000000004</v>
      </c>
      <c r="AB3483">
        <v>41</v>
      </c>
      <c r="AC3483">
        <v>-2.50819999999998</v>
      </c>
      <c r="AD3483">
        <v>-1.0898813032879999</v>
      </c>
      <c r="AE3483">
        <v>-15.649100000000001</v>
      </c>
      <c r="AF3483">
        <v>4.8378020058656999</v>
      </c>
      <c r="AG3483">
        <v>-1.0898813032879999</v>
      </c>
      <c r="AH3483">
        <v>15.014064518313599</v>
      </c>
      <c r="AI3483">
        <v>93.952427422057895</v>
      </c>
      <c r="AJ3483">
        <v>72.1401245201683</v>
      </c>
      <c r="AK3483">
        <v>15.811840590623801</v>
      </c>
      <c r="AL3483">
        <v>89.191370379398506</v>
      </c>
      <c r="AM3483">
        <v>79.653124829019703</v>
      </c>
      <c r="AN3483">
        <v>0.999999943914062</v>
      </c>
    </row>
    <row r="3484" spans="1:40" x14ac:dyDescent="0.25">
      <c r="A3484" t="str">
        <f>"20190312151608172"</f>
        <v>20190312151608172</v>
      </c>
      <c r="B3484" t="str">
        <f>"1552374968161741"</f>
        <v>1552374968161741</v>
      </c>
      <c r="C3484" t="s">
        <v>40</v>
      </c>
      <c r="D3484">
        <v>4.7644710000000003</v>
      </c>
      <c r="E3484">
        <v>0.54851249999999996</v>
      </c>
      <c r="F3484" t="s">
        <v>43</v>
      </c>
      <c r="G3484">
        <v>-187.37209999999999</v>
      </c>
      <c r="H3484" s="1">
        <v>-1.0332779999999999E-6</v>
      </c>
      <c r="I3484">
        <v>170.62970000000001</v>
      </c>
      <c r="J3484">
        <v>-184.6619</v>
      </c>
      <c r="K3484">
        <v>1.0899299999999901</v>
      </c>
      <c r="L3484">
        <v>186.5489</v>
      </c>
      <c r="M3484">
        <v>0.13546129999999901</v>
      </c>
      <c r="N3484">
        <v>0</v>
      </c>
      <c r="O3484">
        <v>-0.99062819999999996</v>
      </c>
      <c r="P3484">
        <v>-3.8140180000000003E-2</v>
      </c>
      <c r="Q3484">
        <v>4.7889120000000002E-3</v>
      </c>
      <c r="R3484">
        <v>-0.99926130000000002</v>
      </c>
      <c r="S3484">
        <v>-0.4851685</v>
      </c>
      <c r="T3484">
        <v>-0.19948199999999999</v>
      </c>
      <c r="U3484">
        <v>-2.9891049999999999</v>
      </c>
      <c r="V3484">
        <v>0.17400179999999901</v>
      </c>
      <c r="W3484">
        <v>1.4022669999999999E-2</v>
      </c>
      <c r="X3484">
        <v>0.98464549999999995</v>
      </c>
      <c r="Y3484">
        <v>0.29213450000000002</v>
      </c>
      <c r="Z3484">
        <v>6.37958E-2</v>
      </c>
      <c r="AA3484">
        <v>0.95424710000000001</v>
      </c>
      <c r="AB3484">
        <v>40</v>
      </c>
      <c r="AC3484">
        <v>-2.71019999999998</v>
      </c>
      <c r="AD3484">
        <v>-1.0899310332779999</v>
      </c>
      <c r="AE3484">
        <v>-15.919199999999901</v>
      </c>
      <c r="AF3484">
        <v>4.8200188237844399</v>
      </c>
      <c r="AG3484">
        <v>-1.0899310332779999</v>
      </c>
      <c r="AH3484">
        <v>15.3353764011266</v>
      </c>
      <c r="AI3484">
        <v>93.878875730787598</v>
      </c>
      <c r="AJ3484">
        <v>72.551692547506306</v>
      </c>
      <c r="AK3484">
        <v>16.1119303773064</v>
      </c>
      <c r="AL3484">
        <v>89.196533867375507</v>
      </c>
      <c r="AM3484">
        <v>79.978430317714398</v>
      </c>
      <c r="AN3484">
        <v>1.0000000111737</v>
      </c>
    </row>
    <row r="3485" spans="1:40" x14ac:dyDescent="0.25">
      <c r="A3485" t="str">
        <f>"20190312151608195"</f>
        <v>20190312151608195</v>
      </c>
      <c r="B3485" t="str">
        <f>"1552374968191021"</f>
        <v>1552374968191021</v>
      </c>
      <c r="C3485" t="s">
        <v>40</v>
      </c>
      <c r="D3485">
        <v>4.9019389999999996</v>
      </c>
      <c r="E3485">
        <v>0.54698740000000001</v>
      </c>
      <c r="F3485" t="s">
        <v>43</v>
      </c>
      <c r="G3485">
        <v>-187.49029999999999</v>
      </c>
      <c r="H3485" s="1">
        <v>-7.8920039999999997E-7</v>
      </c>
      <c r="I3485">
        <v>170.00489999999999</v>
      </c>
      <c r="J3485">
        <v>-184.61060000000001</v>
      </c>
      <c r="K3485">
        <v>1.0899749999999999</v>
      </c>
      <c r="L3485">
        <v>186.1386</v>
      </c>
      <c r="M3485">
        <v>0.1187787</v>
      </c>
      <c r="N3485">
        <v>0</v>
      </c>
      <c r="O3485">
        <v>-0.99276699999999996</v>
      </c>
      <c r="P3485">
        <v>-4.9246039999999998E-2</v>
      </c>
      <c r="Q3485">
        <v>4.2896430000000001E-3</v>
      </c>
      <c r="R3485">
        <v>-0.99877740000000004</v>
      </c>
      <c r="S3485">
        <v>-0.51010129999999998</v>
      </c>
      <c r="T3485">
        <v>-0.1965691</v>
      </c>
      <c r="U3485">
        <v>-2.9837039999999999</v>
      </c>
      <c r="V3485">
        <v>0.16836119999999999</v>
      </c>
      <c r="W3485">
        <v>1.379524E-2</v>
      </c>
      <c r="X3485">
        <v>0.98562879999999997</v>
      </c>
      <c r="Y3485">
        <v>0.28407739999999998</v>
      </c>
      <c r="Z3485">
        <v>6.3226690000000002E-2</v>
      </c>
      <c r="AA3485">
        <v>0.95671439999999996</v>
      </c>
      <c r="AB3485">
        <v>40</v>
      </c>
      <c r="AC3485">
        <v>-2.8796999999999802</v>
      </c>
      <c r="AD3485">
        <v>-1.0899757892003901</v>
      </c>
      <c r="AE3485">
        <v>-16.133700000000001</v>
      </c>
      <c r="AF3485">
        <v>4.7549078113829104</v>
      </c>
      <c r="AG3485">
        <v>-1.0899757892003901</v>
      </c>
      <c r="AH3485">
        <v>15.6083111774856</v>
      </c>
      <c r="AI3485">
        <v>93.821795294324502</v>
      </c>
      <c r="AJ3485">
        <v>73.057194242022305</v>
      </c>
      <c r="AK3485">
        <v>16.3528766071605</v>
      </c>
      <c r="AL3485">
        <v>89.209565871999899</v>
      </c>
      <c r="AM3485">
        <v>80.306518937570303</v>
      </c>
      <c r="AN3485">
        <v>0.99999996685076797</v>
      </c>
    </row>
    <row r="3486" spans="1:40" x14ac:dyDescent="0.25">
      <c r="A3486" t="str">
        <f>"20190312151608217"</f>
        <v>20190312151608217</v>
      </c>
      <c r="B3486" t="str">
        <f>"1552374968211517"</f>
        <v>1552374968211517</v>
      </c>
      <c r="C3486" t="s">
        <v>40</v>
      </c>
      <c r="D3486">
        <v>4.9270170000000002</v>
      </c>
      <c r="E3486">
        <v>0.54602569999999995</v>
      </c>
      <c r="F3486" t="s">
        <v>43</v>
      </c>
      <c r="G3486">
        <v>-187.5224</v>
      </c>
      <c r="H3486" s="1">
        <v>-7.0993270000000001E-7</v>
      </c>
      <c r="I3486">
        <v>169.797</v>
      </c>
      <c r="J3486">
        <v>-184.56630000000001</v>
      </c>
      <c r="K3486">
        <v>1.0900270000000001</v>
      </c>
      <c r="L3486">
        <v>185.7259</v>
      </c>
      <c r="M3486">
        <v>0.10195700000000001</v>
      </c>
      <c r="N3486">
        <v>0</v>
      </c>
      <c r="O3486">
        <v>-0.99463590000000002</v>
      </c>
      <c r="P3486">
        <v>-6.1090909999999998E-2</v>
      </c>
      <c r="Q3486">
        <v>4.9046489999999996E-3</v>
      </c>
      <c r="R3486">
        <v>-0.99812040000000002</v>
      </c>
      <c r="S3486">
        <v>-0.53068539999999997</v>
      </c>
      <c r="T3486">
        <v>-0.198653</v>
      </c>
      <c r="U3486">
        <v>-2.9783330000000001</v>
      </c>
      <c r="V3486">
        <v>0.16339670000000001</v>
      </c>
      <c r="W3486">
        <v>1.464678E-2</v>
      </c>
      <c r="X3486">
        <v>0.98645170000000004</v>
      </c>
      <c r="Y3486">
        <v>0.27452749999999998</v>
      </c>
      <c r="Z3486">
        <v>6.4247079999999998E-2</v>
      </c>
      <c r="AA3486">
        <v>0.95943049999999996</v>
      </c>
      <c r="AB3486">
        <v>40</v>
      </c>
      <c r="AC3486">
        <v>-2.95609999999999</v>
      </c>
      <c r="AD3486">
        <v>-1.0900277099327</v>
      </c>
      <c r="AE3486">
        <v>-15.928900000000001</v>
      </c>
      <c r="AF3486">
        <v>4.5444283835411401</v>
      </c>
      <c r="AG3486">
        <v>-1.0900277099327</v>
      </c>
      <c r="AH3486">
        <v>15.4743746681311</v>
      </c>
      <c r="AI3486">
        <v>93.866546690846405</v>
      </c>
      <c r="AJ3486">
        <v>73.633834322598503</v>
      </c>
      <c r="AK3486">
        <v>16.1646608721388</v>
      </c>
      <c r="AL3486">
        <v>89.160771300156995</v>
      </c>
      <c r="AM3486">
        <v>80.5948736314228</v>
      </c>
      <c r="AN3486">
        <v>0.99999998308407401</v>
      </c>
    </row>
    <row r="3487" spans="1:40" x14ac:dyDescent="0.25">
      <c r="A3487" t="str">
        <f>"20190312151608239"</f>
        <v>20190312151608239</v>
      </c>
      <c r="B3487" t="str">
        <f>"1552374968231037"</f>
        <v>1552374968231037</v>
      </c>
      <c r="C3487" t="s">
        <v>40</v>
      </c>
      <c r="D3487">
        <v>4.8536549999999998</v>
      </c>
      <c r="E3487">
        <v>0.54485059999999996</v>
      </c>
      <c r="F3487" t="s">
        <v>43</v>
      </c>
      <c r="G3487">
        <v>-187.6377</v>
      </c>
      <c r="H3487" s="1">
        <v>-5.025537E-6</v>
      </c>
      <c r="I3487">
        <v>169.37620000000001</v>
      </c>
      <c r="J3487">
        <v>-184.5301</v>
      </c>
      <c r="K3487">
        <v>1.0900799999999999</v>
      </c>
      <c r="L3487">
        <v>185.32560000000001</v>
      </c>
      <c r="M3487">
        <v>8.5601839999999998E-2</v>
      </c>
      <c r="N3487">
        <v>0</v>
      </c>
      <c r="O3487">
        <v>-0.99617730000000004</v>
      </c>
      <c r="P3487">
        <v>-7.380486E-2</v>
      </c>
      <c r="Q3487">
        <v>6.1428749999999999E-3</v>
      </c>
      <c r="R3487">
        <v>-0.99725399999999997</v>
      </c>
      <c r="S3487">
        <v>-0.55841059999999998</v>
      </c>
      <c r="T3487">
        <v>-0.19817319999999999</v>
      </c>
      <c r="U3487">
        <v>-2.972458</v>
      </c>
      <c r="V3487">
        <v>0.15981479999999901</v>
      </c>
      <c r="W3487">
        <v>1.6051389999999999E-2</v>
      </c>
      <c r="X3487">
        <v>0.98701649999999996</v>
      </c>
      <c r="Y3487">
        <v>0.26770909999999998</v>
      </c>
      <c r="Z3487">
        <v>6.4379800000000001E-2</v>
      </c>
      <c r="AA3487">
        <v>0.96134649999999999</v>
      </c>
      <c r="AB3487">
        <v>40</v>
      </c>
      <c r="AC3487">
        <v>-3.1075999999999899</v>
      </c>
      <c r="AD3487">
        <v>-1.090085025537</v>
      </c>
      <c r="AE3487">
        <v>-15.949399999999899</v>
      </c>
      <c r="AF3487">
        <v>4.4417054061262302</v>
      </c>
      <c r="AG3487">
        <v>-1.090085025537</v>
      </c>
      <c r="AH3487">
        <v>15.5547795867529</v>
      </c>
      <c r="AI3487">
        <v>93.855153951970806</v>
      </c>
      <c r="AJ3487">
        <v>74.063177205285697</v>
      </c>
      <c r="AK3487">
        <v>16.213210671245101</v>
      </c>
      <c r="AL3487">
        <v>89.080283595883898</v>
      </c>
      <c r="AM3487">
        <v>80.802658036756</v>
      </c>
      <c r="AN3487">
        <v>0.99999999434611098</v>
      </c>
    </row>
    <row r="3488" spans="1:40" x14ac:dyDescent="0.25">
      <c r="A3488" t="str">
        <f>"20190312151608263"</f>
        <v>20190312151608263</v>
      </c>
      <c r="B3488" t="str">
        <f>"1552374968251533"</f>
        <v>1552374968251533</v>
      </c>
      <c r="C3488" t="s">
        <v>40</v>
      </c>
      <c r="D3488">
        <v>4.9025889999999999</v>
      </c>
      <c r="E3488">
        <v>0.54428920000000003</v>
      </c>
      <c r="F3488" t="s">
        <v>43</v>
      </c>
      <c r="G3488">
        <v>-187.80260000000001</v>
      </c>
      <c r="H3488" s="1">
        <v>-4.7168850000000003E-6</v>
      </c>
      <c r="I3488">
        <v>168.7851</v>
      </c>
      <c r="J3488">
        <v>-184.5001</v>
      </c>
      <c r="K3488">
        <v>1.0901289999999999</v>
      </c>
      <c r="L3488">
        <v>184.91560000000001</v>
      </c>
      <c r="M3488">
        <v>6.8817600000000007E-2</v>
      </c>
      <c r="N3488">
        <v>0</v>
      </c>
      <c r="O3488">
        <v>-0.99747779999999997</v>
      </c>
      <c r="P3488">
        <v>-9.0028380000000005E-2</v>
      </c>
      <c r="Q3488">
        <v>5.8783169999999897E-3</v>
      </c>
      <c r="R3488">
        <v>-0.99592230000000004</v>
      </c>
      <c r="S3488">
        <v>-0.58683779999999997</v>
      </c>
      <c r="T3488">
        <v>-0.19547390000000001</v>
      </c>
      <c r="U3488">
        <v>-2.9660340000000001</v>
      </c>
      <c r="V3488">
        <v>0.15924849999999999</v>
      </c>
      <c r="W3488">
        <v>1.5802980000000001E-2</v>
      </c>
      <c r="X3488">
        <v>0.98711199999999999</v>
      </c>
      <c r="Y3488">
        <v>0.2607507</v>
      </c>
      <c r="Z3488">
        <v>6.3773769999999994E-2</v>
      </c>
      <c r="AA3488">
        <v>0.96329750000000003</v>
      </c>
      <c r="AB3488">
        <v>40</v>
      </c>
      <c r="AC3488">
        <v>-3.3025000000000002</v>
      </c>
      <c r="AD3488">
        <v>-1.090133716885</v>
      </c>
      <c r="AE3488">
        <v>-16.130500000000001</v>
      </c>
      <c r="AF3488">
        <v>4.3856732790300397</v>
      </c>
      <c r="AG3488">
        <v>-1.090133716885</v>
      </c>
      <c r="AH3488">
        <v>15.7957007060704</v>
      </c>
      <c r="AI3488">
        <v>93.804509614252595</v>
      </c>
      <c r="AJ3488">
        <v>74.482696095695005</v>
      </c>
      <c r="AK3488">
        <v>16.429445590976002</v>
      </c>
      <c r="AL3488">
        <v>89.094518214852499</v>
      </c>
      <c r="AM3488">
        <v>80.835566184216901</v>
      </c>
      <c r="AN3488">
        <v>0.99999995973656397</v>
      </c>
    </row>
    <row r="3489" spans="1:40" x14ac:dyDescent="0.25">
      <c r="A3489" t="str">
        <f>"20190312151608284"</f>
        <v>20190312151608284</v>
      </c>
      <c r="B3489" t="str">
        <f>"1552374968280813"</f>
        <v>1552374968280813</v>
      </c>
      <c r="C3489" t="s">
        <v>40</v>
      </c>
      <c r="D3489">
        <v>4.9146900000000002</v>
      </c>
      <c r="E3489">
        <v>0.52817930000000002</v>
      </c>
      <c r="F3489" t="s">
        <v>43</v>
      </c>
      <c r="G3489">
        <v>-187.9853</v>
      </c>
      <c r="H3489" s="1">
        <v>-4.5874289999999996E-6</v>
      </c>
      <c r="I3489">
        <v>168.57980000000001</v>
      </c>
      <c r="J3489">
        <v>-184.4776</v>
      </c>
      <c r="K3489">
        <v>1.0901780000000001</v>
      </c>
      <c r="L3489">
        <v>184.51339999999999</v>
      </c>
      <c r="M3489">
        <v>5.2327369999999998E-2</v>
      </c>
      <c r="N3489">
        <v>0</v>
      </c>
      <c r="O3489">
        <v>-0.99847929999999996</v>
      </c>
      <c r="P3489">
        <v>-0.10493769999999999</v>
      </c>
      <c r="Q3489">
        <v>5.7142429999999999E-3</v>
      </c>
      <c r="R3489">
        <v>-0.99446270000000003</v>
      </c>
      <c r="S3489">
        <v>-0.63073729999999995</v>
      </c>
      <c r="T3489">
        <v>-0.1972904</v>
      </c>
      <c r="U3489">
        <v>-2.9564210000000002</v>
      </c>
      <c r="V3489">
        <v>0.157716299999999</v>
      </c>
      <c r="W3489">
        <v>1.5701900000000001E-2</v>
      </c>
      <c r="X3489">
        <v>0.9873596</v>
      </c>
      <c r="Y3489">
        <v>0.25910860000000002</v>
      </c>
      <c r="Z3489">
        <v>6.4586770000000002E-2</v>
      </c>
      <c r="AA3489">
        <v>0.9636863</v>
      </c>
      <c r="AB3489">
        <v>40</v>
      </c>
      <c r="AC3489">
        <v>-3.5076999999999998</v>
      </c>
      <c r="AD3489">
        <v>-1.0901825874290001</v>
      </c>
      <c r="AE3489">
        <v>-15.933599999999901</v>
      </c>
      <c r="AF3489">
        <v>4.3175043450774098</v>
      </c>
      <c r="AG3489">
        <v>-1.0901825874290001</v>
      </c>
      <c r="AH3489">
        <v>15.658274293822</v>
      </c>
      <c r="AI3489">
        <v>93.839857945825202</v>
      </c>
      <c r="AJ3489">
        <v>74.584706288537802</v>
      </c>
      <c r="AK3489">
        <v>16.279155251555999</v>
      </c>
      <c r="AL3489">
        <v>89.100310409689399</v>
      </c>
      <c r="AM3489">
        <v>80.924504637087594</v>
      </c>
      <c r="AN3489">
        <v>0.99999998033072901</v>
      </c>
    </row>
    <row r="3490" spans="1:40" x14ac:dyDescent="0.25">
      <c r="A3490" t="str">
        <f>"20190312151608296"</f>
        <v>20190312151608296</v>
      </c>
      <c r="B3490" t="str">
        <f>"1552374968291549"</f>
        <v>1552374968291549</v>
      </c>
      <c r="C3490" t="s">
        <v>40</v>
      </c>
      <c r="D3490">
        <v>4.924169</v>
      </c>
      <c r="E3490">
        <v>0.5273312</v>
      </c>
      <c r="F3490" t="s">
        <v>43</v>
      </c>
      <c r="G3490">
        <v>-187.2723</v>
      </c>
      <c r="H3490" s="1">
        <v>-5.1043530000000004E-6</v>
      </c>
      <c r="I3490">
        <v>169.4058</v>
      </c>
      <c r="J3490">
        <v>-184.4676</v>
      </c>
      <c r="K3490">
        <v>1.0902069999999999</v>
      </c>
      <c r="L3490">
        <v>184.28620000000001</v>
      </c>
      <c r="M3490">
        <v>4.300474E-2</v>
      </c>
      <c r="N3490">
        <v>0</v>
      </c>
      <c r="O3490">
        <v>-0.99892440000000005</v>
      </c>
      <c r="P3490">
        <v>-0.1137888</v>
      </c>
      <c r="Q3490">
        <v>5.4943680000000003E-3</v>
      </c>
      <c r="R3490">
        <v>-0.99348970000000003</v>
      </c>
      <c r="S3490">
        <v>-0.54759219999999997</v>
      </c>
      <c r="T3490">
        <v>-0.21360709999999999</v>
      </c>
      <c r="U3490">
        <v>-2.9601440000000001</v>
      </c>
      <c r="V3490">
        <v>0.15728010000000001</v>
      </c>
      <c r="W3490">
        <v>1.5496889999999999E-2</v>
      </c>
      <c r="X3490">
        <v>0.98743239999999999</v>
      </c>
      <c r="Y3490">
        <v>0.22357469999999999</v>
      </c>
      <c r="Z3490">
        <v>7.0368739999999999E-2</v>
      </c>
      <c r="AA3490">
        <v>0.97214330000000004</v>
      </c>
      <c r="AB3490">
        <v>40</v>
      </c>
      <c r="AC3490">
        <v>-2.8046999999999902</v>
      </c>
      <c r="AD3490">
        <v>-1.090212104353</v>
      </c>
      <c r="AE3490">
        <v>-14.8804</v>
      </c>
      <c r="AF3490">
        <v>3.42437782862683</v>
      </c>
      <c r="AG3490">
        <v>-1.090212104353</v>
      </c>
      <c r="AH3490">
        <v>14.6699527627822</v>
      </c>
      <c r="AI3490">
        <v>94.139305465787302</v>
      </c>
      <c r="AJ3490">
        <v>76.860833507650398</v>
      </c>
      <c r="AK3490">
        <v>15.103722720175</v>
      </c>
      <c r="AL3490">
        <v>89.112058032636995</v>
      </c>
      <c r="AM3490">
        <v>80.949845166457294</v>
      </c>
      <c r="AN3490">
        <v>0.99999996401271996</v>
      </c>
    </row>
    <row r="3491" spans="1:40" x14ac:dyDescent="0.25">
      <c r="A3491" t="str">
        <f>"20190312151608309"</f>
        <v>20190312151608309</v>
      </c>
      <c r="B3491" t="str">
        <f>"1552374968301309"</f>
        <v>1552374968301309</v>
      </c>
      <c r="C3491" t="s">
        <v>40</v>
      </c>
      <c r="D3491">
        <v>4.9347560000000001</v>
      </c>
      <c r="E3491">
        <v>0.52632939999999995</v>
      </c>
      <c r="F3491" t="s">
        <v>43</v>
      </c>
      <c r="G3491">
        <v>-187.3544</v>
      </c>
      <c r="H3491" s="1">
        <v>-5.0101139999999996E-6</v>
      </c>
      <c r="I3491">
        <v>169.2373</v>
      </c>
      <c r="J3491">
        <v>-184.4599</v>
      </c>
      <c r="K3491">
        <v>1.0902430000000001</v>
      </c>
      <c r="L3491">
        <v>184.05289999999999</v>
      </c>
      <c r="M3491">
        <v>3.3427039999999998E-2</v>
      </c>
      <c r="N3491">
        <v>0</v>
      </c>
      <c r="O3491">
        <v>-0.99929120000000005</v>
      </c>
      <c r="P3491">
        <v>-0.123316</v>
      </c>
      <c r="Q3491">
        <v>4.8441059999999999E-3</v>
      </c>
      <c r="R3491">
        <v>-0.99235580000000001</v>
      </c>
      <c r="S3491">
        <v>-0.56701659999999998</v>
      </c>
      <c r="T3491">
        <v>-0.2141382</v>
      </c>
      <c r="U3491">
        <v>-2.955902</v>
      </c>
      <c r="V3491">
        <v>0.15725710000000001</v>
      </c>
      <c r="W3491">
        <v>1.483988E-2</v>
      </c>
      <c r="X3491">
        <v>0.98744620000000005</v>
      </c>
      <c r="Y3491">
        <v>0.22064639999999999</v>
      </c>
      <c r="Z3491">
        <v>7.0662779999999994E-2</v>
      </c>
      <c r="AA3491">
        <v>0.97279079999999996</v>
      </c>
      <c r="AB3491">
        <v>40</v>
      </c>
      <c r="AC3491">
        <v>-2.8944999999999901</v>
      </c>
      <c r="AD3491">
        <v>-1.090248010114</v>
      </c>
      <c r="AE3491">
        <v>-14.8155999999999</v>
      </c>
      <c r="AF3491">
        <v>3.3706164427462602</v>
      </c>
      <c r="AG3491">
        <v>-1.090248010114</v>
      </c>
      <c r="AH3491">
        <v>14.6342156799801</v>
      </c>
      <c r="AI3491">
        <v>94.152339583444302</v>
      </c>
      <c r="AJ3491">
        <v>77.029585697135502</v>
      </c>
      <c r="AK3491">
        <v>15.0568909305953</v>
      </c>
      <c r="AL3491">
        <v>89.149706303231596</v>
      </c>
      <c r="AM3491">
        <v>80.9512710945436</v>
      </c>
      <c r="AN3491">
        <v>1.00000000771663</v>
      </c>
    </row>
    <row r="3492" spans="1:40" x14ac:dyDescent="0.25">
      <c r="A3492" t="str">
        <f>"20190312151608321"</f>
        <v>20190312151608321</v>
      </c>
      <c r="B3492" t="str">
        <f>"1552374968311069"</f>
        <v>1552374968311069</v>
      </c>
      <c r="C3492" t="s">
        <v>40</v>
      </c>
      <c r="D3492">
        <v>4.917605</v>
      </c>
      <c r="E3492">
        <v>0.52589180000000002</v>
      </c>
      <c r="F3492" t="s">
        <v>43</v>
      </c>
      <c r="G3492">
        <v>-187.42930000000001</v>
      </c>
      <c r="H3492" s="1">
        <v>-4.9489409999999998E-6</v>
      </c>
      <c r="I3492">
        <v>169.13589999999999</v>
      </c>
      <c r="J3492">
        <v>-184.45509999999999</v>
      </c>
      <c r="K3492">
        <v>1.0902750000000001</v>
      </c>
      <c r="L3492">
        <v>183.83959999999999</v>
      </c>
      <c r="M3492">
        <v>2.4673069999999998E-2</v>
      </c>
      <c r="N3492">
        <v>0</v>
      </c>
      <c r="O3492">
        <v>-0.99954589999999999</v>
      </c>
      <c r="P3492">
        <v>-0.13191449999999999</v>
      </c>
      <c r="Q3492">
        <v>4.0622000000000002E-3</v>
      </c>
      <c r="R3492">
        <v>-0.99125289999999999</v>
      </c>
      <c r="S3492">
        <v>-0.58746339999999997</v>
      </c>
      <c r="T3492">
        <v>-0.21569250000000001</v>
      </c>
      <c r="U3492">
        <v>-2.9511409999999998</v>
      </c>
      <c r="V3492">
        <v>0.157131299999999</v>
      </c>
      <c r="W3492">
        <v>1.405605E-2</v>
      </c>
      <c r="X3492">
        <v>0.98747770000000001</v>
      </c>
      <c r="Y3492">
        <v>0.2188774</v>
      </c>
      <c r="Z3492">
        <v>7.1280510000000005E-2</v>
      </c>
      <c r="AA3492">
        <v>0.97314529999999999</v>
      </c>
      <c r="AB3492">
        <v>40</v>
      </c>
      <c r="AC3492">
        <v>-2.9742000000000202</v>
      </c>
      <c r="AD3492">
        <v>-1.090279948941</v>
      </c>
      <c r="AE3492">
        <v>-14.7036999999999</v>
      </c>
      <c r="AF3492">
        <v>3.3186047824614602</v>
      </c>
      <c r="AG3492">
        <v>-1.090279948941</v>
      </c>
      <c r="AH3492">
        <v>14.548979544736699</v>
      </c>
      <c r="AI3492">
        <v>94.178720024282697</v>
      </c>
      <c r="AJ3492">
        <v>77.150736149532705</v>
      </c>
      <c r="AK3492">
        <v>14.9624414405673</v>
      </c>
      <c r="AL3492">
        <v>89.194621147227593</v>
      </c>
      <c r="AM3492">
        <v>80.958673784778696</v>
      </c>
      <c r="AN3492">
        <v>1.0000000129892901</v>
      </c>
    </row>
    <row r="3493" spans="1:40" x14ac:dyDescent="0.25">
      <c r="A3493" t="str">
        <f>"20190312151608339"</f>
        <v>20190312151608339</v>
      </c>
      <c r="B3493" t="str">
        <f>"1552374968331569"</f>
        <v>1552374968331569</v>
      </c>
      <c r="C3493" t="s">
        <v>40</v>
      </c>
      <c r="D3493">
        <v>5.1660979999999999</v>
      </c>
      <c r="E3493">
        <v>0.54625819999999903</v>
      </c>
      <c r="F3493" t="s">
        <v>43</v>
      </c>
      <c r="G3493">
        <v>-187.4836</v>
      </c>
      <c r="H3493" s="1">
        <v>-4.9712919999999999E-6</v>
      </c>
      <c r="I3493">
        <v>169.20359999999999</v>
      </c>
      <c r="J3493">
        <v>-184.45099999999999</v>
      </c>
      <c r="K3493">
        <v>1.0903240000000001</v>
      </c>
      <c r="L3493">
        <v>183.51169999999999</v>
      </c>
      <c r="M3493">
        <v>1.1222269999999999E-2</v>
      </c>
      <c r="N3493">
        <v>0</v>
      </c>
      <c r="O3493">
        <v>-0.99978820000000002</v>
      </c>
      <c r="P3493">
        <v>-0.14471909999999999</v>
      </c>
      <c r="Q3493">
        <v>2.806762E-3</v>
      </c>
      <c r="R3493">
        <v>-0.98946889999999998</v>
      </c>
      <c r="S3493">
        <v>-0.60964969999999996</v>
      </c>
      <c r="T3493">
        <v>-0.219475</v>
      </c>
      <c r="U3493">
        <v>-2.9462429999999999</v>
      </c>
      <c r="V3493">
        <v>0.15655239999999901</v>
      </c>
      <c r="W3493">
        <v>1.28159E-2</v>
      </c>
      <c r="X3493">
        <v>0.98758650000000003</v>
      </c>
      <c r="Y3493">
        <v>0.21307409999999999</v>
      </c>
      <c r="Z3493">
        <v>7.2661790000000004E-2</v>
      </c>
      <c r="AA3493">
        <v>0.97433040000000004</v>
      </c>
      <c r="AB3493">
        <v>40</v>
      </c>
      <c r="AC3493">
        <v>-3.0326</v>
      </c>
      <c r="AD3493">
        <v>-1.0903289712919999</v>
      </c>
      <c r="AE3493">
        <v>-14.3080999999999</v>
      </c>
      <c r="AF3493">
        <v>3.1753557040184899</v>
      </c>
      <c r="AG3493">
        <v>-1.0903289712919999</v>
      </c>
      <c r="AH3493">
        <v>14.1942785702302</v>
      </c>
      <c r="AI3493">
        <v>94.286980083275296</v>
      </c>
      <c r="AJ3493">
        <v>77.390164191672397</v>
      </c>
      <c r="AK3493">
        <v>14.5859262730201</v>
      </c>
      <c r="AL3493">
        <v>89.265682915416207</v>
      </c>
      <c r="AM3493">
        <v>80.992412592643504</v>
      </c>
      <c r="AN3493">
        <v>0.99999999811040996</v>
      </c>
    </row>
    <row r="3494" spans="1:40" x14ac:dyDescent="0.25">
      <c r="A3494" t="str">
        <f>"20190312151608362"</f>
        <v>20190312151608362</v>
      </c>
      <c r="B3494" t="str">
        <f>"1552374968351085"</f>
        <v>1552374968351085</v>
      </c>
      <c r="C3494" t="s">
        <v>40</v>
      </c>
      <c r="D3494">
        <v>5.1591110000000002</v>
      </c>
      <c r="E3494">
        <v>0.563689</v>
      </c>
      <c r="F3494" t="s">
        <v>43</v>
      </c>
      <c r="G3494">
        <v>-189.87989999999999</v>
      </c>
      <c r="H3494" s="1">
        <v>-2.0344860000000002E-6</v>
      </c>
      <c r="I3494">
        <v>163.89009999999999</v>
      </c>
      <c r="J3494">
        <v>-184.45240000000001</v>
      </c>
      <c r="K3494">
        <v>1.0903929999999999</v>
      </c>
      <c r="L3494">
        <v>183.10169999999999</v>
      </c>
      <c r="M3494">
        <v>-5.5709319999999998E-3</v>
      </c>
      <c r="N3494">
        <v>0</v>
      </c>
      <c r="O3494">
        <v>-0.99983650000000002</v>
      </c>
      <c r="P3494">
        <v>-0.16137109999999999</v>
      </c>
      <c r="Q3494">
        <v>9.2908719999999995E-4</v>
      </c>
      <c r="R3494">
        <v>-0.98689369999999998</v>
      </c>
      <c r="S3494">
        <v>-0.80636600000000003</v>
      </c>
      <c r="T3494">
        <v>-0.16194939999999999</v>
      </c>
      <c r="U3494">
        <v>-2.9144589999999999</v>
      </c>
      <c r="V3494">
        <v>0.1565175</v>
      </c>
      <c r="W3494">
        <v>1.092156E-2</v>
      </c>
      <c r="X3494">
        <v>0.98761480000000001</v>
      </c>
      <c r="Y3494">
        <v>0.2609033</v>
      </c>
      <c r="Z3494">
        <v>5.3517629999999997E-2</v>
      </c>
      <c r="AA3494">
        <v>0.96388039999999997</v>
      </c>
      <c r="AB3494">
        <v>40</v>
      </c>
      <c r="AC3494">
        <v>-5.4274999999999798</v>
      </c>
      <c r="AD3494">
        <v>-1.0903950344859901</v>
      </c>
      <c r="AE3494">
        <v>-19.211600000000001</v>
      </c>
      <c r="AF3494">
        <v>5.3045485083786099</v>
      </c>
      <c r="AG3494">
        <v>-1.0903950344859901</v>
      </c>
      <c r="AH3494">
        <v>19.184310570603699</v>
      </c>
      <c r="AI3494">
        <v>93.135656804998703</v>
      </c>
      <c r="AJ3494">
        <v>74.543637919406805</v>
      </c>
      <c r="AK3494">
        <v>19.934015357633101</v>
      </c>
      <c r="AL3494">
        <v>89.374228265945405</v>
      </c>
      <c r="AM3494">
        <v>80.994641554129799</v>
      </c>
      <c r="AN3494">
        <v>1.0000000007290599</v>
      </c>
    </row>
    <row r="3495" spans="1:40" x14ac:dyDescent="0.25">
      <c r="A3495" t="str">
        <f>"20190312151608375"</f>
        <v>20190312151608375</v>
      </c>
      <c r="B3495" t="str">
        <f>"1552374968371582"</f>
        <v>1552374968371582</v>
      </c>
      <c r="C3495" t="s">
        <v>40</v>
      </c>
      <c r="D3495">
        <v>5.0945119999999999</v>
      </c>
      <c r="E3495">
        <v>0.57063079999999999</v>
      </c>
      <c r="F3495" t="s">
        <v>43</v>
      </c>
      <c r="G3495">
        <v>-190.38030000000001</v>
      </c>
      <c r="H3495" s="1">
        <v>-3.0990010000000001E-6</v>
      </c>
      <c r="I3495">
        <v>165.93340000000001</v>
      </c>
      <c r="J3495">
        <v>-184.45590000000001</v>
      </c>
      <c r="K3495">
        <v>1.0904339999999999</v>
      </c>
      <c r="L3495">
        <v>182.87</v>
      </c>
      <c r="M3495">
        <v>-1.5047079999999999E-2</v>
      </c>
      <c r="N3495">
        <v>0</v>
      </c>
      <c r="O3495">
        <v>-0.99973909999999999</v>
      </c>
      <c r="P3495">
        <v>-0.17038299999999901</v>
      </c>
      <c r="Q3495">
        <v>1.044681E-4</v>
      </c>
      <c r="R3495">
        <v>-0.98537779999999997</v>
      </c>
      <c r="S3495">
        <v>-0.99356080000000002</v>
      </c>
      <c r="T3495">
        <v>-0.182758</v>
      </c>
      <c r="U3495">
        <v>-2.8775330000000001</v>
      </c>
      <c r="V3495">
        <v>0.156143</v>
      </c>
      <c r="W3495">
        <v>1.010336E-2</v>
      </c>
      <c r="X3495">
        <v>0.98768279999999997</v>
      </c>
      <c r="Y3495">
        <v>0.31152390000000002</v>
      </c>
      <c r="Z3495">
        <v>6.0063680000000001E-2</v>
      </c>
      <c r="AA3495">
        <v>0.94833820000000002</v>
      </c>
      <c r="AB3495">
        <v>40</v>
      </c>
      <c r="AC3495">
        <v>-5.9243999999999897</v>
      </c>
      <c r="AD3495">
        <v>-1.0904370990009999</v>
      </c>
      <c r="AE3495">
        <v>-16.936599999999999</v>
      </c>
      <c r="AF3495">
        <v>5.6479852476646801</v>
      </c>
      <c r="AG3495">
        <v>-1.0904370990009999</v>
      </c>
      <c r="AH3495">
        <v>16.961196936228099</v>
      </c>
      <c r="AI3495">
        <v>93.490554187772602</v>
      </c>
      <c r="AJ3495">
        <v>71.582525439151794</v>
      </c>
      <c r="AK3495">
        <v>17.9100807350003</v>
      </c>
      <c r="AL3495">
        <v>89.421110272205794</v>
      </c>
      <c r="AM3495">
        <v>81.016445294280302</v>
      </c>
      <c r="AN3495">
        <v>1.0000000138740599</v>
      </c>
    </row>
    <row r="3496" spans="1:40" x14ac:dyDescent="0.25">
      <c r="A3496" t="str">
        <f>"20190312151608387"</f>
        <v>20190312151608387</v>
      </c>
      <c r="B3496" t="str">
        <f>"1552374968381341"</f>
        <v>1552374968381341</v>
      </c>
      <c r="C3496" t="s">
        <v>40</v>
      </c>
      <c r="D3496">
        <v>4.9963340000000001</v>
      </c>
      <c r="E3496">
        <v>0.57304449999999996</v>
      </c>
      <c r="F3496" t="s">
        <v>43</v>
      </c>
      <c r="G3496">
        <v>-189.61840000000001</v>
      </c>
      <c r="H3496" s="1">
        <v>-4.5713800000000003E-6</v>
      </c>
      <c r="I3496">
        <v>169.15870000000001</v>
      </c>
      <c r="J3496">
        <v>-184.46199999999999</v>
      </c>
      <c r="K3496">
        <v>1.090484</v>
      </c>
      <c r="L3496">
        <v>182.6439</v>
      </c>
      <c r="M3496">
        <v>-2.4278129999999998E-2</v>
      </c>
      <c r="N3496">
        <v>0</v>
      </c>
      <c r="O3496">
        <v>-0.99955799999999995</v>
      </c>
      <c r="P3496">
        <v>-0.17923529999999999</v>
      </c>
      <c r="Q3496">
        <v>-3.9582190000000001E-4</v>
      </c>
      <c r="R3496">
        <v>-0.98380610000000002</v>
      </c>
      <c r="S3496">
        <v>-1.0762480000000001</v>
      </c>
      <c r="T3496">
        <v>-0.2273259</v>
      </c>
      <c r="U3496">
        <v>-2.8584290000000001</v>
      </c>
      <c r="V3496">
        <v>0.15587779999999901</v>
      </c>
      <c r="W3496">
        <v>9.6036560000000003E-3</v>
      </c>
      <c r="X3496">
        <v>0.98772969999999904</v>
      </c>
      <c r="Y3496">
        <v>0.32856210000000002</v>
      </c>
      <c r="Z3496">
        <v>7.4505340000000003E-2</v>
      </c>
      <c r="AA3496">
        <v>0.94153909999999996</v>
      </c>
      <c r="AB3496">
        <v>40</v>
      </c>
      <c r="AC3496">
        <v>-5.1563999999999899</v>
      </c>
      <c r="AD3496">
        <v>-1.0904885713799899</v>
      </c>
      <c r="AE3496">
        <v>-13.485199999999899</v>
      </c>
      <c r="AF3496">
        <v>4.8000512663539396</v>
      </c>
      <c r="AG3496">
        <v>-1.0904885713799899</v>
      </c>
      <c r="AH3496">
        <v>13.529244486705799</v>
      </c>
      <c r="AI3496">
        <v>94.344017457564206</v>
      </c>
      <c r="AJ3496">
        <v>70.465783929496396</v>
      </c>
      <c r="AK3496">
        <v>14.396878615345599</v>
      </c>
      <c r="AL3496">
        <v>89.449742606427506</v>
      </c>
      <c r="AM3496">
        <v>81.031874058551793</v>
      </c>
      <c r="AN3496">
        <v>1.0000000395017401</v>
      </c>
    </row>
    <row r="3497" spans="1:40" x14ac:dyDescent="0.25">
      <c r="A3497" t="str">
        <f>"20190312151608398"</f>
        <v>20190312151608398</v>
      </c>
      <c r="B3497" t="str">
        <f>"1552374968391102"</f>
        <v>1552374968391102</v>
      </c>
      <c r="C3497" t="s">
        <v>40</v>
      </c>
      <c r="D3497">
        <v>4.9380369999999996</v>
      </c>
      <c r="E3497">
        <v>0.57470540000000003</v>
      </c>
      <c r="F3497" t="s">
        <v>43</v>
      </c>
      <c r="G3497">
        <v>-189.8493</v>
      </c>
      <c r="H3497" s="1">
        <v>-4.4427849999999998E-6</v>
      </c>
      <c r="I3497">
        <v>168.97329999999999</v>
      </c>
      <c r="J3497">
        <v>-184.4691</v>
      </c>
      <c r="K3497">
        <v>1.0905309999999999</v>
      </c>
      <c r="L3497">
        <v>182.44380000000001</v>
      </c>
      <c r="M3497">
        <v>-3.2426450000000002E-2</v>
      </c>
      <c r="N3497">
        <v>0</v>
      </c>
      <c r="O3497">
        <v>-0.99932750000000004</v>
      </c>
      <c r="P3497">
        <v>-0.1866622</v>
      </c>
      <c r="Q3497">
        <v>-7.559299E-4</v>
      </c>
      <c r="R3497">
        <v>-0.98242410000000002</v>
      </c>
      <c r="S3497">
        <v>-1.12117</v>
      </c>
      <c r="T3497">
        <v>-0.2269468</v>
      </c>
      <c r="U3497">
        <v>-2.8450470000000001</v>
      </c>
      <c r="V3497">
        <v>0.15526879999999901</v>
      </c>
      <c r="W3497">
        <v>9.261778E-3</v>
      </c>
      <c r="X3497">
        <v>0.98782890000000001</v>
      </c>
      <c r="Y3497">
        <v>0.33525650000000001</v>
      </c>
      <c r="Z3497">
        <v>7.4386949999999993E-2</v>
      </c>
      <c r="AA3497">
        <v>0.93918559999999995</v>
      </c>
      <c r="AB3497">
        <v>40</v>
      </c>
      <c r="AC3497">
        <v>-5.3802000000000003</v>
      </c>
      <c r="AD3497">
        <v>-1.09053544278499</v>
      </c>
      <c r="AE3497">
        <v>-13.470499999999999</v>
      </c>
      <c r="AF3497">
        <v>4.9127366469744702</v>
      </c>
      <c r="AG3497">
        <v>-1.09053544278499</v>
      </c>
      <c r="AH3497">
        <v>13.561247048390999</v>
      </c>
      <c r="AI3497">
        <v>94.323754092521099</v>
      </c>
      <c r="AJ3497">
        <v>70.086427420231303</v>
      </c>
      <c r="AK3497">
        <v>14.4648425647149</v>
      </c>
      <c r="AL3497">
        <v>89.469331653694297</v>
      </c>
      <c r="AM3497">
        <v>81.067228153692099</v>
      </c>
      <c r="AN3497">
        <v>1.00000005823018</v>
      </c>
    </row>
    <row r="3498" spans="1:40" x14ac:dyDescent="0.25">
      <c r="A3498" t="str">
        <f>"20190312151608409"</f>
        <v>20190312151608409</v>
      </c>
      <c r="B3498" t="str">
        <f>"1552374968400862"</f>
        <v>1552374968400862</v>
      </c>
      <c r="C3498" t="s">
        <v>40</v>
      </c>
      <c r="D3498">
        <v>4.9892059999999896</v>
      </c>
      <c r="E3498">
        <v>0.57578719999999906</v>
      </c>
      <c r="F3498" t="s">
        <v>43</v>
      </c>
      <c r="G3498">
        <v>-189.93799999999999</v>
      </c>
      <c r="H3498" s="1">
        <v>-4.455716E-6</v>
      </c>
      <c r="I3498">
        <v>169.03399999999999</v>
      </c>
      <c r="J3498">
        <v>-184.47810000000001</v>
      </c>
      <c r="K3498">
        <v>1.090581</v>
      </c>
      <c r="L3498">
        <v>182.2312</v>
      </c>
      <c r="M3498">
        <v>-4.1075059999999997E-2</v>
      </c>
      <c r="N3498">
        <v>0</v>
      </c>
      <c r="O3498">
        <v>-0.99900990000000001</v>
      </c>
      <c r="P3498">
        <v>-0.19435240000000001</v>
      </c>
      <c r="Q3498">
        <v>-9.542299E-4</v>
      </c>
      <c r="R3498">
        <v>-0.98093160000000001</v>
      </c>
      <c r="S3498">
        <v>-1.1557459999999999</v>
      </c>
      <c r="T3498">
        <v>-0.23046259999999999</v>
      </c>
      <c r="U3498">
        <v>-2.8339080000000001</v>
      </c>
      <c r="V3498">
        <v>0.15444620000000001</v>
      </c>
      <c r="W3498">
        <v>9.0915560000000006E-3</v>
      </c>
      <c r="X3498">
        <v>0.98795940000000004</v>
      </c>
      <c r="Y3498">
        <v>0.33819539999999998</v>
      </c>
      <c r="Z3498">
        <v>7.5564270000000003E-2</v>
      </c>
      <c r="AA3498">
        <v>0.93803729999999996</v>
      </c>
      <c r="AB3498">
        <v>40</v>
      </c>
      <c r="AC3498">
        <v>-5.45989999999997</v>
      </c>
      <c r="AD3498">
        <v>-1.090585455716</v>
      </c>
      <c r="AE3498">
        <v>-13.197199999999899</v>
      </c>
      <c r="AF3498">
        <v>4.88465373168646</v>
      </c>
      <c r="AG3498">
        <v>-1.090585455716</v>
      </c>
      <c r="AH3498">
        <v>13.3326158532325</v>
      </c>
      <c r="AI3498">
        <v>94.3920304678294</v>
      </c>
      <c r="AJ3498">
        <v>69.878744751116002</v>
      </c>
      <c r="AK3498">
        <v>14.2410626079855</v>
      </c>
      <c r="AL3498">
        <v>89.479085051589706</v>
      </c>
      <c r="AM3498">
        <v>81.114951000268803</v>
      </c>
      <c r="AN3498">
        <v>1.0000000305666501</v>
      </c>
    </row>
    <row r="3499" spans="1:40" x14ac:dyDescent="0.25">
      <c r="A3499" t="str">
        <f>"20190312151608422"</f>
        <v>20190312151608422</v>
      </c>
      <c r="B3499" t="str">
        <f>"1552374968411598"</f>
        <v>1552374968411598</v>
      </c>
      <c r="C3499" t="s">
        <v>40</v>
      </c>
      <c r="D3499">
        <v>4.9474210000000003</v>
      </c>
      <c r="E3499">
        <v>0.57650100000000004</v>
      </c>
      <c r="F3499" t="s">
        <v>43</v>
      </c>
      <c r="G3499">
        <v>-190.10839999999999</v>
      </c>
      <c r="H3499" s="1">
        <v>-4.3980780000000001E-6</v>
      </c>
      <c r="I3499">
        <v>168.83459999999999</v>
      </c>
      <c r="J3499">
        <v>-184.4898</v>
      </c>
      <c r="K3499">
        <v>1.090638</v>
      </c>
      <c r="L3499">
        <v>182.0163</v>
      </c>
      <c r="M3499">
        <v>-4.9782239999999998E-2</v>
      </c>
      <c r="N3499">
        <v>0</v>
      </c>
      <c r="O3499">
        <v>-0.99861440000000001</v>
      </c>
      <c r="P3499">
        <v>-0.201708</v>
      </c>
      <c r="Q3499">
        <v>-1.246968E-3</v>
      </c>
      <c r="R3499">
        <v>-0.97944489999999995</v>
      </c>
      <c r="S3499">
        <v>-1.1864619999999999</v>
      </c>
      <c r="T3499">
        <v>-0.22981670000000001</v>
      </c>
      <c r="U3499">
        <v>-2.823029</v>
      </c>
      <c r="V3499">
        <v>0.15323290000000001</v>
      </c>
      <c r="W3499">
        <v>8.8440859999999993E-3</v>
      </c>
      <c r="X3499">
        <v>0.98815050000000004</v>
      </c>
      <c r="Y3499">
        <v>0.33997060000000001</v>
      </c>
      <c r="Z3499">
        <v>7.5399930000000004E-2</v>
      </c>
      <c r="AA3499">
        <v>0.93740860000000004</v>
      </c>
      <c r="AB3499">
        <v>40</v>
      </c>
      <c r="AC3499">
        <v>-5.6185999999999803</v>
      </c>
      <c r="AD3499">
        <v>-1.090642398078</v>
      </c>
      <c r="AE3499">
        <v>-13.181699999999999</v>
      </c>
      <c r="AF3499">
        <v>4.9267794029532501</v>
      </c>
      <c r="AG3499">
        <v>-1.090642398078</v>
      </c>
      <c r="AH3499">
        <v>13.3676564331822</v>
      </c>
      <c r="AI3499">
        <v>94.377696171219398</v>
      </c>
      <c r="AJ3499">
        <v>69.768146525991298</v>
      </c>
      <c r="AK3499">
        <v>14.288348212492901</v>
      </c>
      <c r="AL3499">
        <v>89.493264579812404</v>
      </c>
      <c r="AM3499">
        <v>81.185327687685401</v>
      </c>
      <c r="AN3499">
        <v>0.999999975074917</v>
      </c>
    </row>
    <row r="3500" spans="1:40" x14ac:dyDescent="0.25">
      <c r="A3500" t="str">
        <f>"20190312151608440"</f>
        <v>20190312151608440</v>
      </c>
      <c r="B3500" t="str">
        <f>"1552374968431118"</f>
        <v>1552374968431118</v>
      </c>
      <c r="C3500" t="s">
        <v>40</v>
      </c>
      <c r="D3500">
        <v>4.9260989999999998</v>
      </c>
      <c r="E3500">
        <v>0.57707369999999902</v>
      </c>
      <c r="F3500" t="s">
        <v>43</v>
      </c>
      <c r="G3500">
        <v>-190.21109999999999</v>
      </c>
      <c r="H3500" s="1">
        <v>-4.3870200000000002E-6</v>
      </c>
      <c r="I3500">
        <v>168.7534</v>
      </c>
      <c r="J3500">
        <v>-184.51050000000001</v>
      </c>
      <c r="K3500">
        <v>1.0907309999999999</v>
      </c>
      <c r="L3500">
        <v>181.6908</v>
      </c>
      <c r="M3500">
        <v>-6.2923439999999997E-2</v>
      </c>
      <c r="N3500">
        <v>0</v>
      </c>
      <c r="O3500">
        <v>-0.99787349999999997</v>
      </c>
      <c r="P3500">
        <v>-0.21261930000000001</v>
      </c>
      <c r="Q3500">
        <v>-1.190064E-3</v>
      </c>
      <c r="R3500">
        <v>-0.97713450000000002</v>
      </c>
      <c r="S3500">
        <v>-1.2133640000000001</v>
      </c>
      <c r="T3500">
        <v>-0.23130229999999999</v>
      </c>
      <c r="U3500">
        <v>-2.8127749999999998</v>
      </c>
      <c r="V3500">
        <v>0.15124580000000001</v>
      </c>
      <c r="W3500">
        <v>8.9780729999999996E-3</v>
      </c>
      <c r="X3500">
        <v>0.98845539999999998</v>
      </c>
      <c r="Y3500">
        <v>0.3363816</v>
      </c>
      <c r="Z3500">
        <v>7.596601E-2</v>
      </c>
      <c r="AA3500">
        <v>0.93865679999999996</v>
      </c>
      <c r="AB3500">
        <v>40</v>
      </c>
      <c r="AC3500">
        <v>-5.7005999999999801</v>
      </c>
      <c r="AD3500">
        <v>-1.0907353870199901</v>
      </c>
      <c r="AE3500">
        <v>-12.937399999999901</v>
      </c>
      <c r="AF3500">
        <v>4.8462703332046999</v>
      </c>
      <c r="AG3500">
        <v>-1.0907353870199901</v>
      </c>
      <c r="AH3500">
        <v>13.1919859250374</v>
      </c>
      <c r="AI3500">
        <v>94.437848567504204</v>
      </c>
      <c r="AJ3500">
        <v>69.828448487224506</v>
      </c>
      <c r="AK3500">
        <v>14.0962595206452</v>
      </c>
      <c r="AL3500">
        <v>89.485587391733404</v>
      </c>
      <c r="AM3500">
        <v>81.300517165468605</v>
      </c>
      <c r="AN3500">
        <v>0.99999998780079602</v>
      </c>
    </row>
    <row r="3501" spans="1:40" x14ac:dyDescent="0.25">
      <c r="A3501" t="str">
        <f>"20190312151608457"</f>
        <v>20190312151608457</v>
      </c>
      <c r="B3501" t="str">
        <f>"1552374968451614"</f>
        <v>1552374968451614</v>
      </c>
      <c r="C3501" t="s">
        <v>40</v>
      </c>
      <c r="D3501">
        <v>4.934571</v>
      </c>
      <c r="E3501">
        <v>0.57690569999999997</v>
      </c>
      <c r="F3501" t="s">
        <v>43</v>
      </c>
      <c r="G3501">
        <v>-190.32740000000001</v>
      </c>
      <c r="H3501" s="1">
        <v>-4.3753140000000002E-6</v>
      </c>
      <c r="I3501">
        <v>168.66319999999999</v>
      </c>
      <c r="J3501">
        <v>-184.5316</v>
      </c>
      <c r="K3501">
        <v>1.090819</v>
      </c>
      <c r="L3501">
        <v>181.41249999999999</v>
      </c>
      <c r="M3501">
        <v>-7.4109700000000001E-2</v>
      </c>
      <c r="N3501">
        <v>0</v>
      </c>
      <c r="O3501">
        <v>-0.9971061</v>
      </c>
      <c r="P3501">
        <v>-0.22290509999999999</v>
      </c>
      <c r="Q3501">
        <v>-9.1310169999999995E-4</v>
      </c>
      <c r="R3501">
        <v>-0.97484000000000004</v>
      </c>
      <c r="S3501">
        <v>-1.249344</v>
      </c>
      <c r="T3501">
        <v>-0.23426720000000001</v>
      </c>
      <c r="U3501">
        <v>-2.7980649999999998</v>
      </c>
      <c r="V3501">
        <v>0.15058679999999999</v>
      </c>
      <c r="W3501">
        <v>9.2713150000000005E-3</v>
      </c>
      <c r="X3501">
        <v>0.98855329999999997</v>
      </c>
      <c r="Y3501">
        <v>0.337698</v>
      </c>
      <c r="Z3501">
        <v>7.7003130000000003E-2</v>
      </c>
      <c r="AA3501">
        <v>0.93809940000000003</v>
      </c>
      <c r="AB3501">
        <v>40</v>
      </c>
      <c r="AC3501">
        <v>-5.7958000000000096</v>
      </c>
      <c r="AD3501">
        <v>-1.090823375314</v>
      </c>
      <c r="AE3501">
        <v>-12.7493</v>
      </c>
      <c r="AF3501">
        <v>4.80572021421494</v>
      </c>
      <c r="AG3501">
        <v>-1.090823375314</v>
      </c>
      <c r="AH3501">
        <v>13.064558637839101</v>
      </c>
      <c r="AI3501">
        <v>94.480625674201093</v>
      </c>
      <c r="AJ3501">
        <v>69.804254573864</v>
      </c>
      <c r="AK3501">
        <v>13.9630775552878</v>
      </c>
      <c r="AL3501">
        <v>89.468785161129404</v>
      </c>
      <c r="AM3501">
        <v>81.338690743678001</v>
      </c>
      <c r="AN3501">
        <v>0.99999998427847903</v>
      </c>
    </row>
    <row r="3502" spans="1:40" x14ac:dyDescent="0.25">
      <c r="A3502" t="str">
        <f>"20190312151608476"</f>
        <v>20190312151608476</v>
      </c>
      <c r="B3502" t="str">
        <f>"1552374968471133"</f>
        <v>1552374968471133</v>
      </c>
      <c r="C3502" t="s">
        <v>40</v>
      </c>
      <c r="D3502">
        <v>4.9068529999999999</v>
      </c>
      <c r="E3502">
        <v>0.57662959999999996</v>
      </c>
      <c r="F3502" t="s">
        <v>43</v>
      </c>
      <c r="G3502">
        <v>-190.4426</v>
      </c>
      <c r="H3502" s="1">
        <v>-4.3412519999999998E-6</v>
      </c>
      <c r="I3502">
        <v>168.52629999999999</v>
      </c>
      <c r="J3502">
        <v>-184.56209999999999</v>
      </c>
      <c r="K3502">
        <v>1.0909359999999999</v>
      </c>
      <c r="L3502">
        <v>181.06819999999999</v>
      </c>
      <c r="M3502">
        <v>-8.7857889999999994E-2</v>
      </c>
      <c r="N3502">
        <v>0</v>
      </c>
      <c r="O3502">
        <v>-0.99598969999999998</v>
      </c>
      <c r="P3502">
        <v>-0.2350652</v>
      </c>
      <c r="Q3502">
        <v>-1.269783E-3</v>
      </c>
      <c r="R3502">
        <v>-0.97197900000000004</v>
      </c>
      <c r="S3502">
        <v>-1.2775570000000001</v>
      </c>
      <c r="T3502">
        <v>-0.23575879999999999</v>
      </c>
      <c r="U3502">
        <v>-2.7850799999999998</v>
      </c>
      <c r="V3502">
        <v>0.14927869999999999</v>
      </c>
      <c r="W3502">
        <v>8.9570919999999998E-3</v>
      </c>
      <c r="X3502">
        <v>0.98875460000000004</v>
      </c>
      <c r="Y3502">
        <v>0.3342059</v>
      </c>
      <c r="Z3502">
        <v>7.7580949999999996E-2</v>
      </c>
      <c r="AA3502">
        <v>0.93930170000000002</v>
      </c>
      <c r="AB3502">
        <v>39</v>
      </c>
      <c r="AC3502">
        <v>-5.8805000000000103</v>
      </c>
      <c r="AD3502">
        <v>-1.090940341252</v>
      </c>
      <c r="AE3502">
        <v>-12.541899999999901</v>
      </c>
      <c r="AF3502">
        <v>4.7263757153519697</v>
      </c>
      <c r="AG3502">
        <v>-1.090940341252</v>
      </c>
      <c r="AH3502">
        <v>12.929909942701499</v>
      </c>
      <c r="AI3502">
        <v>94.530937905978504</v>
      </c>
      <c r="AJ3502">
        <v>69.920712355047499</v>
      </c>
      <c r="AK3502">
        <v>13.809827998827901</v>
      </c>
      <c r="AL3502">
        <v>89.486789573920007</v>
      </c>
      <c r="AM3502">
        <v>81.414524576526105</v>
      </c>
      <c r="AN3502">
        <v>1.00000000939597</v>
      </c>
    </row>
    <row r="3503" spans="1:40" x14ac:dyDescent="0.25">
      <c r="A3503" t="str">
        <f>"20190312151608496"</f>
        <v>20190312151608496</v>
      </c>
      <c r="B3503" t="str">
        <f>"1552374968491630"</f>
        <v>1552374968491630</v>
      </c>
      <c r="C3503" t="s">
        <v>40</v>
      </c>
      <c r="D3503">
        <v>4.8941739999999996</v>
      </c>
      <c r="E3503">
        <v>0.57620090000000002</v>
      </c>
      <c r="F3503" t="s">
        <v>43</v>
      </c>
      <c r="G3503">
        <v>-190.52109999999999</v>
      </c>
      <c r="H3503" s="1">
        <v>-4.3357800000000004E-6</v>
      </c>
      <c r="I3503">
        <v>168.47059999999999</v>
      </c>
      <c r="J3503">
        <v>-184.60040000000001</v>
      </c>
      <c r="K3503">
        <v>1.09107</v>
      </c>
      <c r="L3503">
        <v>180.70060000000001</v>
      </c>
      <c r="M3503">
        <v>-0.1024322</v>
      </c>
      <c r="N3503">
        <v>0</v>
      </c>
      <c r="O3503">
        <v>-0.99459770000000003</v>
      </c>
      <c r="P3503">
        <v>-0.24670980000000001</v>
      </c>
      <c r="Q3503">
        <v>-2.0496939999999999E-3</v>
      </c>
      <c r="R3503">
        <v>-0.96908740000000004</v>
      </c>
      <c r="S3503">
        <v>-1.3099670000000001</v>
      </c>
      <c r="T3503">
        <v>-0.23982419999999999</v>
      </c>
      <c r="U3503">
        <v>-2.7693789999999998</v>
      </c>
      <c r="V3503">
        <v>0.14662610000000001</v>
      </c>
      <c r="W3503">
        <v>8.2790539999999992E-3</v>
      </c>
      <c r="X3503">
        <v>0.98915730000000002</v>
      </c>
      <c r="Y3503">
        <v>0.33140140000000001</v>
      </c>
      <c r="Z3503">
        <v>7.9000189999999998E-2</v>
      </c>
      <c r="AA3503">
        <v>0.94017660000000003</v>
      </c>
      <c r="AB3503">
        <v>39</v>
      </c>
      <c r="AC3503">
        <v>-5.9206999999999796</v>
      </c>
      <c r="AD3503">
        <v>-1.0910743357799999</v>
      </c>
      <c r="AE3503">
        <v>-12.23</v>
      </c>
      <c r="AF3503">
        <v>4.6069205252316996</v>
      </c>
      <c r="AG3503">
        <v>-1.0910743357799999</v>
      </c>
      <c r="AH3503">
        <v>12.6903828238194</v>
      </c>
      <c r="AI3503">
        <v>94.620373732771597</v>
      </c>
      <c r="AJ3503">
        <v>70.047859916601595</v>
      </c>
      <c r="AK3503">
        <v>13.544739796211999</v>
      </c>
      <c r="AL3503">
        <v>89.525639709386098</v>
      </c>
      <c r="AM3503">
        <v>81.568254187539097</v>
      </c>
      <c r="AN3503">
        <v>0.99999996003981595</v>
      </c>
    </row>
    <row r="3504" spans="1:40" x14ac:dyDescent="0.25">
      <c r="A3504" t="str">
        <f>"20190312151608508"</f>
        <v>20190312151608508</v>
      </c>
      <c r="B3504" t="str">
        <f>"1552374968501390"</f>
        <v>1552374968501390</v>
      </c>
      <c r="C3504" t="s">
        <v>40</v>
      </c>
      <c r="D3504">
        <v>4.8965719999999999</v>
      </c>
      <c r="E3504">
        <v>0.57573180000000002</v>
      </c>
      <c r="F3504" t="s">
        <v>43</v>
      </c>
      <c r="G3504">
        <v>-190.6026</v>
      </c>
      <c r="H3504" s="1">
        <v>-4.3082399999999999E-6</v>
      </c>
      <c r="I3504">
        <v>168.3664</v>
      </c>
      <c r="J3504">
        <v>-184.62639999999999</v>
      </c>
      <c r="K3504">
        <v>1.0911500000000001</v>
      </c>
      <c r="L3504">
        <v>180.47710000000001</v>
      </c>
      <c r="M3504">
        <v>-0.1112359</v>
      </c>
      <c r="N3504">
        <v>0</v>
      </c>
      <c r="O3504">
        <v>-0.99365230000000004</v>
      </c>
      <c r="P3504">
        <v>-0.25424370000000002</v>
      </c>
      <c r="Q3504">
        <v>-2.2210609999999999E-3</v>
      </c>
      <c r="R3504">
        <v>-0.96713789999999999</v>
      </c>
      <c r="S3504">
        <v>-1.3401639999999999</v>
      </c>
      <c r="T3504">
        <v>-0.24361530000000001</v>
      </c>
      <c r="U3504">
        <v>-2.7539829999999998</v>
      </c>
      <c r="V3504">
        <v>0.14555419999999999</v>
      </c>
      <c r="W3504">
        <v>8.1450680000000001E-3</v>
      </c>
      <c r="X3504">
        <v>0.9893168</v>
      </c>
      <c r="Y3504">
        <v>0.33340370000000003</v>
      </c>
      <c r="Z3504">
        <v>8.0316769999999996E-2</v>
      </c>
      <c r="AA3504">
        <v>0.93935679999999999</v>
      </c>
      <c r="AB3504">
        <v>39</v>
      </c>
      <c r="AC3504">
        <v>-5.9762000000000004</v>
      </c>
      <c r="AD3504">
        <v>-1.0911543082399999</v>
      </c>
      <c r="AE3504">
        <v>-12.1107</v>
      </c>
      <c r="AF3504">
        <v>4.5619859983422</v>
      </c>
      <c r="AG3504">
        <v>-1.0911543082399999</v>
      </c>
      <c r="AH3504">
        <v>12.618010352934199</v>
      </c>
      <c r="AI3504">
        <v>94.649289872922907</v>
      </c>
      <c r="AJ3504">
        <v>70.122766587378294</v>
      </c>
      <c r="AK3504">
        <v>13.4616685162061</v>
      </c>
      <c r="AL3504">
        <v>89.533316842405199</v>
      </c>
      <c r="AM3504">
        <v>81.630347793305106</v>
      </c>
      <c r="AN3504">
        <v>1.0000000490162999</v>
      </c>
    </row>
    <row r="3505" spans="1:40" x14ac:dyDescent="0.25">
      <c r="A3505" t="str">
        <f>"20190312151608521"</f>
        <v>20190312151608521</v>
      </c>
      <c r="B3505" t="str">
        <f>"1552374968511150"</f>
        <v>1552374968511150</v>
      </c>
      <c r="C3505" t="s">
        <v>40</v>
      </c>
      <c r="D3505">
        <v>4.6876179999999996</v>
      </c>
      <c r="E3505">
        <v>0.57500169999999995</v>
      </c>
      <c r="F3505" t="s">
        <v>43</v>
      </c>
      <c r="G3505">
        <v>-190.65700000000001</v>
      </c>
      <c r="H3505" s="1">
        <v>-4.2877529999999996E-6</v>
      </c>
      <c r="I3505">
        <v>168.29239999999999</v>
      </c>
      <c r="J3505">
        <v>-184.65459999999999</v>
      </c>
      <c r="K3505">
        <v>1.0912409999999999</v>
      </c>
      <c r="L3505">
        <v>180.2533</v>
      </c>
      <c r="M3505">
        <v>-0.12000379999999999</v>
      </c>
      <c r="N3505">
        <v>0</v>
      </c>
      <c r="O3505">
        <v>-0.99263219999999996</v>
      </c>
      <c r="P3505">
        <v>-0.26140279999999999</v>
      </c>
      <c r="Q3505">
        <v>-2.273457E-3</v>
      </c>
      <c r="R3505">
        <v>-0.96522719999999995</v>
      </c>
      <c r="S3505">
        <v>-1.3582609999999999</v>
      </c>
      <c r="T3505">
        <v>-0.245756</v>
      </c>
      <c r="U3505">
        <v>-2.7443080000000002</v>
      </c>
      <c r="V3505">
        <v>0.1441461</v>
      </c>
      <c r="W3505">
        <v>8.1460219999999993E-3</v>
      </c>
      <c r="X3505">
        <v>0.98952289999999998</v>
      </c>
      <c r="Y3505">
        <v>0.33134720000000001</v>
      </c>
      <c r="Z3505">
        <v>8.1065269999999995E-2</v>
      </c>
      <c r="AA3505">
        <v>0.94001990000000002</v>
      </c>
      <c r="AB3505">
        <v>39</v>
      </c>
      <c r="AC3505">
        <v>-6.0024000000000202</v>
      </c>
      <c r="AD3505">
        <v>-1.0912452877529999</v>
      </c>
      <c r="AE3505">
        <v>-11.960900000000001</v>
      </c>
      <c r="AF3505">
        <v>4.4935776557824596</v>
      </c>
      <c r="AG3505">
        <v>-1.0912452877529999</v>
      </c>
      <c r="AH3505">
        <v>12.511658838870501</v>
      </c>
      <c r="AI3505">
        <v>94.692589586291305</v>
      </c>
      <c r="AJ3505">
        <v>70.244186776883296</v>
      </c>
      <c r="AK3505">
        <v>13.338840404131</v>
      </c>
      <c r="AL3505">
        <v>89.533262163480501</v>
      </c>
      <c r="AM3505">
        <v>81.7118883120053</v>
      </c>
      <c r="AN3505">
        <v>1.0000000127220201</v>
      </c>
    </row>
    <row r="3506" spans="1:40" x14ac:dyDescent="0.25">
      <c r="A3506" t="str">
        <f>"20190312151608535"</f>
        <v>20190312151608535</v>
      </c>
      <c r="B3506" t="str">
        <f>"1552374968531646"</f>
        <v>1552374968531646</v>
      </c>
      <c r="C3506" t="s">
        <v>40</v>
      </c>
      <c r="D3506">
        <v>4.8619320000000004</v>
      </c>
      <c r="E3506">
        <v>0.57385489999999995</v>
      </c>
      <c r="F3506" t="s">
        <v>43</v>
      </c>
      <c r="G3506">
        <v>-190.76</v>
      </c>
      <c r="H3506" s="1">
        <v>-4.2194559999999996E-6</v>
      </c>
      <c r="I3506">
        <v>168.09</v>
      </c>
      <c r="J3506">
        <v>-184.68559999999999</v>
      </c>
      <c r="K3506">
        <v>1.0913349999999999</v>
      </c>
      <c r="L3506">
        <v>180.02</v>
      </c>
      <c r="M3506">
        <v>-0.12910099999999999</v>
      </c>
      <c r="N3506">
        <v>0</v>
      </c>
      <c r="O3506">
        <v>-0.99149080000000001</v>
      </c>
      <c r="P3506">
        <v>-0.26952359999999997</v>
      </c>
      <c r="Q3506">
        <v>-1.938609E-3</v>
      </c>
      <c r="R3506">
        <v>-0.96299199999999996</v>
      </c>
      <c r="S3506">
        <v>-1.373154</v>
      </c>
      <c r="T3506">
        <v>-0.24542829999999999</v>
      </c>
      <c r="U3506">
        <v>-2.735611</v>
      </c>
      <c r="V3506">
        <v>0.1434182</v>
      </c>
      <c r="W3506">
        <v>8.5045929999999995E-3</v>
      </c>
      <c r="X3506">
        <v>0.98962559999999999</v>
      </c>
      <c r="Y3506">
        <v>0.32798310000000003</v>
      </c>
      <c r="Z3506">
        <v>8.1002089999999999E-2</v>
      </c>
      <c r="AA3506">
        <v>0.94120440000000005</v>
      </c>
      <c r="AB3506">
        <v>39</v>
      </c>
      <c r="AC3506">
        <v>-6.07439999999999</v>
      </c>
      <c r="AD3506">
        <v>-1.0913392194560001</v>
      </c>
      <c r="AE3506">
        <v>-11.93</v>
      </c>
      <c r="AF3506">
        <v>4.4535660565433703</v>
      </c>
      <c r="AG3506">
        <v>-1.0913392194560001</v>
      </c>
      <c r="AH3506">
        <v>12.531180238098599</v>
      </c>
      <c r="AI3506">
        <v>94.6912627092739</v>
      </c>
      <c r="AJ3506">
        <v>70.434849468701302</v>
      </c>
      <c r="AK3506">
        <v>13.3437532228242</v>
      </c>
      <c r="AL3506">
        <v>89.512716824955106</v>
      </c>
      <c r="AM3506">
        <v>81.754008077013907</v>
      </c>
      <c r="AN3506">
        <v>0.999999968184347</v>
      </c>
    </row>
    <row r="3507" spans="1:40" x14ac:dyDescent="0.25">
      <c r="A3507" t="str">
        <f>"20190312151608547"</f>
        <v>20190312151608547</v>
      </c>
      <c r="B3507" t="str">
        <f>"1552374968541406"</f>
        <v>1552374968541406</v>
      </c>
      <c r="C3507" t="s">
        <v>40</v>
      </c>
      <c r="D3507">
        <v>4.8816949999999997</v>
      </c>
      <c r="E3507">
        <v>0.57346519999999901</v>
      </c>
      <c r="F3507" t="s">
        <v>43</v>
      </c>
      <c r="G3507">
        <v>-190.74619999999999</v>
      </c>
      <c r="H3507" s="1">
        <v>-4.2255709999999997E-6</v>
      </c>
      <c r="I3507">
        <v>168.11070000000001</v>
      </c>
      <c r="J3507">
        <v>-184.7182</v>
      </c>
      <c r="K3507">
        <v>1.091437</v>
      </c>
      <c r="L3507">
        <v>179.7953</v>
      </c>
      <c r="M3507">
        <v>-0.13779340000000001</v>
      </c>
      <c r="N3507">
        <v>0</v>
      </c>
      <c r="O3507">
        <v>-0.9903208</v>
      </c>
      <c r="P3507">
        <v>-0.27732479999999998</v>
      </c>
      <c r="Q3507">
        <v>-2.0208750000000001E-3</v>
      </c>
      <c r="R3507">
        <v>-0.96077420000000002</v>
      </c>
      <c r="S3507">
        <v>-1.3874820000000001</v>
      </c>
      <c r="T3507">
        <v>-0.2498456</v>
      </c>
      <c r="U3507">
        <v>-2.7264560000000002</v>
      </c>
      <c r="V3507">
        <v>0.14275660000000001</v>
      </c>
      <c r="W3507">
        <v>8.444511E-3</v>
      </c>
      <c r="X3507">
        <v>0.98972179999999998</v>
      </c>
      <c r="Y3507">
        <v>0.32484540000000001</v>
      </c>
      <c r="Z3507">
        <v>8.2501759999999993E-2</v>
      </c>
      <c r="AA3507">
        <v>0.9421619</v>
      </c>
      <c r="AB3507">
        <v>39</v>
      </c>
      <c r="AC3507">
        <v>-6.0279999999999898</v>
      </c>
      <c r="AD3507">
        <v>-1.091441225571</v>
      </c>
      <c r="AE3507">
        <v>-11.6845999999999</v>
      </c>
      <c r="AF3507">
        <v>4.3303574699271303</v>
      </c>
      <c r="AG3507">
        <v>-1.091441225571</v>
      </c>
      <c r="AH3507">
        <v>12.318952069744</v>
      </c>
      <c r="AI3507">
        <v>94.777949267549701</v>
      </c>
      <c r="AJ3507">
        <v>70.632407530331193</v>
      </c>
      <c r="AK3507">
        <v>13.1034277905775</v>
      </c>
      <c r="AL3507">
        <v>89.516159408622698</v>
      </c>
      <c r="AM3507">
        <v>81.792314958971602</v>
      </c>
      <c r="AN3507">
        <v>0.99999999900241399</v>
      </c>
    </row>
    <row r="3508" spans="1:40" x14ac:dyDescent="0.25">
      <c r="A3508" t="str">
        <f>"20190312151608563"</f>
        <v>20190312151608563</v>
      </c>
      <c r="B3508" t="str">
        <f>"1552374968560925"</f>
        <v>1552374968560925</v>
      </c>
      <c r="C3508" t="s">
        <v>40</v>
      </c>
      <c r="D3508">
        <v>4.8164210000000001</v>
      </c>
      <c r="E3508">
        <v>0.57264230000000005</v>
      </c>
      <c r="F3508" t="s">
        <v>43</v>
      </c>
      <c r="G3508">
        <v>-190.84200000000001</v>
      </c>
      <c r="H3508" s="1">
        <v>-4.184272E-6</v>
      </c>
      <c r="I3508">
        <v>167.96940000000001</v>
      </c>
      <c r="J3508">
        <v>-184.76390000000001</v>
      </c>
      <c r="K3508">
        <v>1.0915709999999901</v>
      </c>
      <c r="L3508">
        <v>179.50049999999999</v>
      </c>
      <c r="M3508">
        <v>-0.149110299999999</v>
      </c>
      <c r="N3508">
        <v>0</v>
      </c>
      <c r="O3508">
        <v>-0.98868109999999998</v>
      </c>
      <c r="P3508">
        <v>-0.28684759999999998</v>
      </c>
      <c r="Q3508">
        <v>-2.8575279999999998E-3</v>
      </c>
      <c r="R3508">
        <v>-0.95797200000000005</v>
      </c>
      <c r="S3508">
        <v>-1.4064179999999999</v>
      </c>
      <c r="T3508">
        <v>-0.2506642</v>
      </c>
      <c r="U3508">
        <v>-2.715973</v>
      </c>
      <c r="V3508">
        <v>0.14122279999999901</v>
      </c>
      <c r="W3508">
        <v>7.666338E-3</v>
      </c>
      <c r="X3508">
        <v>0.98994819999999994</v>
      </c>
      <c r="Y3508">
        <v>0.32068269999999999</v>
      </c>
      <c r="Z3508">
        <v>8.2782030000000006E-2</v>
      </c>
      <c r="AA3508">
        <v>0.94356229999999996</v>
      </c>
      <c r="AB3508">
        <v>39</v>
      </c>
      <c r="AC3508">
        <v>-6.0781000000000001</v>
      </c>
      <c r="AD3508">
        <v>-1.0915751842719901</v>
      </c>
      <c r="AE3508">
        <v>-11.531099999999901</v>
      </c>
      <c r="AF3508">
        <v>4.2606098461205502</v>
      </c>
      <c r="AG3508">
        <v>-1.0915751842719901</v>
      </c>
      <c r="AH3508">
        <v>12.222869276149</v>
      </c>
      <c r="AI3508">
        <v>94.820321607955904</v>
      </c>
      <c r="AJ3508">
        <v>70.782625444193101</v>
      </c>
      <c r="AK3508">
        <v>12.990106465522301</v>
      </c>
      <c r="AL3508">
        <v>89.560746905434897</v>
      </c>
      <c r="AM3508">
        <v>81.881149589194393</v>
      </c>
      <c r="AN3508">
        <v>1.0000000453307001</v>
      </c>
    </row>
    <row r="3509" spans="1:40" x14ac:dyDescent="0.25">
      <c r="A3509" t="str">
        <f>"20190312151608576"</f>
        <v>20190312151608576</v>
      </c>
      <c r="B3509" t="str">
        <f>"1552374968570802"</f>
        <v>1552374968570802</v>
      </c>
      <c r="C3509" t="s">
        <v>40</v>
      </c>
      <c r="D3509">
        <v>4.937703</v>
      </c>
      <c r="E3509">
        <v>0.57214809999999905</v>
      </c>
      <c r="F3509" t="s">
        <v>43</v>
      </c>
      <c r="G3509">
        <v>-190.85220000000001</v>
      </c>
      <c r="H3509" s="1">
        <v>-4.1846779999999997E-6</v>
      </c>
      <c r="I3509">
        <v>167.96449999999999</v>
      </c>
      <c r="J3509">
        <v>-184.8004</v>
      </c>
      <c r="K3509">
        <v>1.091672</v>
      </c>
      <c r="L3509">
        <v>179.27780000000001</v>
      </c>
      <c r="M3509">
        <v>-0.1576002</v>
      </c>
      <c r="N3509">
        <v>0</v>
      </c>
      <c r="O3509">
        <v>-0.98736409999999997</v>
      </c>
      <c r="P3509">
        <v>-0.29403390000000001</v>
      </c>
      <c r="Q3509">
        <v>-3.2945190000000001E-3</v>
      </c>
      <c r="R3509">
        <v>-0.95578940000000001</v>
      </c>
      <c r="S3509">
        <v>-1.4268799999999999</v>
      </c>
      <c r="T3509">
        <v>-0.25582589999999999</v>
      </c>
      <c r="U3509">
        <v>-2.7036129999999998</v>
      </c>
      <c r="V3509">
        <v>0.14013020000000001</v>
      </c>
      <c r="W3509">
        <v>7.2720049999999998E-3</v>
      </c>
      <c r="X3509">
        <v>0.99010640000000005</v>
      </c>
      <c r="Y3509">
        <v>0.3198413</v>
      </c>
      <c r="Z3509">
        <v>8.4516999999999995E-2</v>
      </c>
      <c r="AA3509">
        <v>0.94369409999999998</v>
      </c>
      <c r="AB3509">
        <v>39</v>
      </c>
      <c r="AC3509">
        <v>-6.0518000000000098</v>
      </c>
      <c r="AD3509">
        <v>-1.0916761846780001</v>
      </c>
      <c r="AE3509">
        <v>-11.3133</v>
      </c>
      <c r="AF3509">
        <v>4.1627896590780198</v>
      </c>
      <c r="AG3509">
        <v>-1.0916761846780001</v>
      </c>
      <c r="AH3509">
        <v>12.0386188880733</v>
      </c>
      <c r="AI3509">
        <v>94.898404225439904</v>
      </c>
      <c r="AJ3509">
        <v>70.925314903988394</v>
      </c>
      <c r="AK3509">
        <v>12.7847142858257</v>
      </c>
      <c r="AL3509">
        <v>89.583341140535893</v>
      </c>
      <c r="AM3509">
        <v>81.944405312243802</v>
      </c>
      <c r="AN3509">
        <v>1.0000000191648599</v>
      </c>
    </row>
    <row r="3510" spans="1:40" x14ac:dyDescent="0.25">
      <c r="A3510" t="str">
        <f>"20190312151608588"</f>
        <v>20190312151608588</v>
      </c>
      <c r="B3510" t="str">
        <f>"1552374968581538"</f>
        <v>1552374968581538</v>
      </c>
      <c r="C3510" t="s">
        <v>40</v>
      </c>
      <c r="D3510">
        <v>5.031148</v>
      </c>
      <c r="E3510">
        <v>0.5718529</v>
      </c>
      <c r="F3510" t="s">
        <v>43</v>
      </c>
      <c r="G3510">
        <v>-190.8732</v>
      </c>
      <c r="H3510" s="1">
        <v>-4.1803849999999996E-6</v>
      </c>
      <c r="I3510">
        <v>167.9436</v>
      </c>
      <c r="J3510">
        <v>-184.83840000000001</v>
      </c>
      <c r="K3510">
        <v>1.0917840000000001</v>
      </c>
      <c r="L3510">
        <v>179.0591</v>
      </c>
      <c r="M3510">
        <v>-0.16586919999999999</v>
      </c>
      <c r="N3510">
        <v>0</v>
      </c>
      <c r="O3510">
        <v>-0.98600940000000004</v>
      </c>
      <c r="P3510">
        <v>-0.30097170000000001</v>
      </c>
      <c r="Q3510">
        <v>-4.305171E-3</v>
      </c>
      <c r="R3510">
        <v>-0.95362340000000001</v>
      </c>
      <c r="S3510">
        <v>-1.4433590000000001</v>
      </c>
      <c r="T3510">
        <v>-0.25946449999999999</v>
      </c>
      <c r="U3510">
        <v>-2.693848</v>
      </c>
      <c r="V3510">
        <v>0.13898379999999999</v>
      </c>
      <c r="W3510">
        <v>6.3064319999999998E-3</v>
      </c>
      <c r="X3510">
        <v>0.99027449999999995</v>
      </c>
      <c r="Y3510">
        <v>0.3177625</v>
      </c>
      <c r="Z3510">
        <v>8.5720459999999998E-2</v>
      </c>
      <c r="AA3510">
        <v>0.94428749999999995</v>
      </c>
      <c r="AB3510">
        <v>39</v>
      </c>
      <c r="AC3510">
        <v>-6.03479999999999</v>
      </c>
      <c r="AD3510">
        <v>-1.091788180385</v>
      </c>
      <c r="AE3510">
        <v>-11.1154999999999</v>
      </c>
      <c r="AF3510">
        <v>4.0768333013168796</v>
      </c>
      <c r="AG3510">
        <v>-1.091788180385</v>
      </c>
      <c r="AH3510">
        <v>11.8741299519146</v>
      </c>
      <c r="AI3510">
        <v>94.970158868874705</v>
      </c>
      <c r="AJ3510">
        <v>71.050735174263707</v>
      </c>
      <c r="AK3510">
        <v>12.601886101394101</v>
      </c>
      <c r="AL3510">
        <v>89.638665640936097</v>
      </c>
      <c r="AM3510">
        <v>82.010792090642795</v>
      </c>
      <c r="AN3510">
        <v>0.99999992654862702</v>
      </c>
    </row>
    <row r="3511" spans="1:40" x14ac:dyDescent="0.25">
      <c r="A3511" t="str">
        <f>"20190312151608601"</f>
        <v>20190312151608601</v>
      </c>
      <c r="B3511" t="str">
        <f>"1552374968591298"</f>
        <v>1552374968591298</v>
      </c>
      <c r="C3511" t="s">
        <v>40</v>
      </c>
      <c r="D3511">
        <v>4.966456</v>
      </c>
      <c r="E3511">
        <v>0.57138239999999996</v>
      </c>
      <c r="F3511" t="s">
        <v>43</v>
      </c>
      <c r="G3511">
        <v>-190.85929999999999</v>
      </c>
      <c r="H3511" s="1">
        <v>-4.2026610000000004E-6</v>
      </c>
      <c r="I3511">
        <v>167.99860000000001</v>
      </c>
      <c r="J3511">
        <v>-184.87569999999999</v>
      </c>
      <c r="K3511">
        <v>1.09189</v>
      </c>
      <c r="L3511">
        <v>178.8561</v>
      </c>
      <c r="M3511">
        <v>-0.17348069999999999</v>
      </c>
      <c r="N3511">
        <v>0</v>
      </c>
      <c r="O3511">
        <v>-0.9846994</v>
      </c>
      <c r="P3511">
        <v>-0.30746000000000001</v>
      </c>
      <c r="Q3511">
        <v>-4.7611980000000003E-3</v>
      </c>
      <c r="R3511">
        <v>-0.9515496</v>
      </c>
      <c r="S3511">
        <v>-1.460861</v>
      </c>
      <c r="T3511">
        <v>-0.2649029</v>
      </c>
      <c r="U3511">
        <v>-2.68364</v>
      </c>
      <c r="V3511">
        <v>0.1380585</v>
      </c>
      <c r="W3511">
        <v>5.8872999999999998E-3</v>
      </c>
      <c r="X3511">
        <v>0.99040660000000003</v>
      </c>
      <c r="Y3511">
        <v>0.31662380000000001</v>
      </c>
      <c r="Z3511">
        <v>8.7508669999999997E-2</v>
      </c>
      <c r="AA3511">
        <v>0.94450599999999996</v>
      </c>
      <c r="AB3511">
        <v>39</v>
      </c>
      <c r="AC3511">
        <v>-5.9835999999999903</v>
      </c>
      <c r="AD3511">
        <v>-1.0918942026609999</v>
      </c>
      <c r="AE3511">
        <v>-10.8574999999999</v>
      </c>
      <c r="AF3511">
        <v>3.9781645569702802</v>
      </c>
      <c r="AG3511">
        <v>-1.0918942026609999</v>
      </c>
      <c r="AH3511">
        <v>11.6407034968634</v>
      </c>
      <c r="AI3511">
        <v>95.072260071511906</v>
      </c>
      <c r="AJ3511">
        <v>71.132339146557001</v>
      </c>
      <c r="AK3511">
        <v>12.3500608943449</v>
      </c>
      <c r="AL3511">
        <v>89.662680615915207</v>
      </c>
      <c r="AM3511">
        <v>82.064346210803606</v>
      </c>
      <c r="AN3511">
        <v>1.0000000215235401</v>
      </c>
    </row>
    <row r="3512" spans="1:40" x14ac:dyDescent="0.25">
      <c r="A3512" t="str">
        <f>"20190312151608619"</f>
        <v>20190312151608619</v>
      </c>
      <c r="B3512" t="str">
        <f>"1552374968610818"</f>
        <v>1552374968610818</v>
      </c>
      <c r="C3512" t="s">
        <v>40</v>
      </c>
      <c r="D3512">
        <v>4.8010440000000001</v>
      </c>
      <c r="E3512">
        <v>0.57086490000000001</v>
      </c>
      <c r="F3512" t="s">
        <v>43</v>
      </c>
      <c r="G3512">
        <v>-190.89080000000001</v>
      </c>
      <c r="H3512" s="1">
        <v>-4.1898519999999998E-6</v>
      </c>
      <c r="I3512">
        <v>167.9538</v>
      </c>
      <c r="J3512">
        <v>-184.93870000000001</v>
      </c>
      <c r="K3512">
        <v>1.0920700000000001</v>
      </c>
      <c r="L3512">
        <v>178.52940000000001</v>
      </c>
      <c r="M3512">
        <v>-0.18562010000000001</v>
      </c>
      <c r="N3512">
        <v>0</v>
      </c>
      <c r="O3512">
        <v>-0.98248440000000004</v>
      </c>
      <c r="P3512">
        <v>-0.318693</v>
      </c>
      <c r="Q3512">
        <v>-4.916045E-3</v>
      </c>
      <c r="R3512">
        <v>-0.9478453</v>
      </c>
      <c r="S3512">
        <v>-1.4756469999999999</v>
      </c>
      <c r="T3512">
        <v>-0.26786769999999999</v>
      </c>
      <c r="U3512">
        <v>-2.6746059999999998</v>
      </c>
      <c r="V3512">
        <v>0.13753889999999999</v>
      </c>
      <c r="W3512">
        <v>5.7514039999999999E-3</v>
      </c>
      <c r="X3512">
        <v>0.99047960000000002</v>
      </c>
      <c r="Y3512">
        <v>0.31022539999999998</v>
      </c>
      <c r="Z3512">
        <v>8.842796E-2</v>
      </c>
      <c r="AA3512">
        <v>0.94654139999999998</v>
      </c>
      <c r="AB3512">
        <v>39</v>
      </c>
      <c r="AC3512">
        <v>-5.9520999999999997</v>
      </c>
      <c r="AD3512">
        <v>-1.0920741898520001</v>
      </c>
      <c r="AE3512">
        <v>-10.5756</v>
      </c>
      <c r="AF3512">
        <v>3.8541138889458302</v>
      </c>
      <c r="AG3512">
        <v>-1.0920741898520001</v>
      </c>
      <c r="AH3512">
        <v>11.4043863678019</v>
      </c>
      <c r="AI3512">
        <v>95.183607401070503</v>
      </c>
      <c r="AJ3512">
        <v>71.327311004594307</v>
      </c>
      <c r="AK3512">
        <v>12.0874665803555</v>
      </c>
      <c r="AL3512">
        <v>89.670466985625197</v>
      </c>
      <c r="AM3512">
        <v>82.0944099571702</v>
      </c>
      <c r="AN3512">
        <v>0.99999993283866795</v>
      </c>
    </row>
    <row r="3513" spans="1:40" x14ac:dyDescent="0.25">
      <c r="A3513" t="str">
        <f>"20190312151608642"</f>
        <v>20190312151608642</v>
      </c>
      <c r="B3513" t="str">
        <f>"1552374968631314"</f>
        <v>1552374968631314</v>
      </c>
      <c r="C3513" t="s">
        <v>40</v>
      </c>
      <c r="D3513">
        <v>4.891966</v>
      </c>
      <c r="E3513">
        <v>0.55287319999999995</v>
      </c>
      <c r="F3513" t="s">
        <v>43</v>
      </c>
      <c r="G3513">
        <v>-191.01060000000001</v>
      </c>
      <c r="H3513" s="1">
        <v>-4.1452510000000001E-6</v>
      </c>
      <c r="I3513">
        <v>167.792</v>
      </c>
      <c r="J3513">
        <v>-185.0187</v>
      </c>
      <c r="K3513">
        <v>1.0922970000000001</v>
      </c>
      <c r="L3513">
        <v>178.14400000000001</v>
      </c>
      <c r="M3513">
        <v>-0.1997362</v>
      </c>
      <c r="N3513">
        <v>0</v>
      </c>
      <c r="O3513">
        <v>-0.97971330000000001</v>
      </c>
      <c r="P3513">
        <v>-0.33179350000000002</v>
      </c>
      <c r="Q3513">
        <v>-5.876633E-3</v>
      </c>
      <c r="R3513">
        <v>-0.94333359999999999</v>
      </c>
      <c r="S3513">
        <v>-1.503204</v>
      </c>
      <c r="T3513">
        <v>-0.27036510000000002</v>
      </c>
      <c r="U3513">
        <v>-2.658264</v>
      </c>
      <c r="V3513">
        <v>0.13696739999999999</v>
      </c>
      <c r="W3513">
        <v>4.8149079999999997E-3</v>
      </c>
      <c r="X3513">
        <v>0.99056390000000005</v>
      </c>
      <c r="Y3513">
        <v>0.30644179999999999</v>
      </c>
      <c r="Z3513">
        <v>8.9189180000000007E-2</v>
      </c>
      <c r="AA3513">
        <v>0.94770180000000004</v>
      </c>
      <c r="AB3513">
        <v>39</v>
      </c>
      <c r="AC3513">
        <v>-5.99190000000001</v>
      </c>
      <c r="AD3513">
        <v>-1.0923011452510001</v>
      </c>
      <c r="AE3513">
        <v>-10.352</v>
      </c>
      <c r="AF3513">
        <v>3.7717285453712099</v>
      </c>
      <c r="AG3513">
        <v>-1.0923011452510001</v>
      </c>
      <c r="AH3513">
        <v>11.2465155421134</v>
      </c>
      <c r="AI3513">
        <v>95.261135040965101</v>
      </c>
      <c r="AJ3513">
        <v>71.460162656179705</v>
      </c>
      <c r="AK3513">
        <v>11.912311692147901</v>
      </c>
      <c r="AL3513">
        <v>89.724125039586994</v>
      </c>
      <c r="AM3513">
        <v>82.127508005277804</v>
      </c>
      <c r="AN3513">
        <v>1.0000000459925</v>
      </c>
    </row>
    <row r="3514" spans="1:40" x14ac:dyDescent="0.25">
      <c r="A3514" t="str">
        <f>"20190312151608654"</f>
        <v>20190312151608654</v>
      </c>
      <c r="B3514" t="str">
        <f>"1552374968650834"</f>
        <v>1552374968650834</v>
      </c>
      <c r="C3514" t="s">
        <v>40</v>
      </c>
      <c r="D3514">
        <v>4.8727780000000003</v>
      </c>
      <c r="E3514">
        <v>0.55310669999999995</v>
      </c>
      <c r="F3514" t="s">
        <v>43</v>
      </c>
      <c r="G3514">
        <v>-189.27690000000001</v>
      </c>
      <c r="H3514" s="1">
        <v>-3.2294509999999998E-7</v>
      </c>
      <c r="I3514">
        <v>170.0317</v>
      </c>
      <c r="J3514">
        <v>-185.06610000000001</v>
      </c>
      <c r="K3514">
        <v>1.0924309999999999</v>
      </c>
      <c r="L3514">
        <v>177.92619999999999</v>
      </c>
      <c r="M3514">
        <v>-0.2076326</v>
      </c>
      <c r="N3514">
        <v>0</v>
      </c>
      <c r="O3514">
        <v>-0.97807109999999997</v>
      </c>
      <c r="P3514">
        <v>-0.3386574</v>
      </c>
      <c r="Q3514">
        <v>-6.3316860000000004E-3</v>
      </c>
      <c r="R3514">
        <v>-0.94088870000000002</v>
      </c>
      <c r="S3514">
        <v>-1.4081269999999999</v>
      </c>
      <c r="T3514">
        <v>-0.3612109</v>
      </c>
      <c r="U3514">
        <v>-2.6826629999999998</v>
      </c>
      <c r="V3514">
        <v>0.13617370000000001</v>
      </c>
      <c r="W3514">
        <v>4.3948199999999998E-3</v>
      </c>
      <c r="X3514">
        <v>0.99067519999999998</v>
      </c>
      <c r="Y3514">
        <v>0.26740330000000001</v>
      </c>
      <c r="Z3514">
        <v>0.11918090000000001</v>
      </c>
      <c r="AA3514">
        <v>0.95618590000000003</v>
      </c>
      <c r="AB3514">
        <v>39</v>
      </c>
      <c r="AC3514">
        <v>-4.2107999999999999</v>
      </c>
      <c r="AD3514">
        <v>-1.0924313229450999</v>
      </c>
      <c r="AE3514">
        <v>-7.8944999999999901</v>
      </c>
      <c r="AF3514">
        <v>2.4432133238193798</v>
      </c>
      <c r="AG3514">
        <v>-1.0924313229450999</v>
      </c>
      <c r="AH3514">
        <v>8.4705486183500405</v>
      </c>
      <c r="AI3514">
        <v>97.063884091199498</v>
      </c>
      <c r="AJ3514">
        <v>73.910520998553295</v>
      </c>
      <c r="AK3514">
        <v>8.8832928262481499</v>
      </c>
      <c r="AL3514">
        <v>89.748194544507598</v>
      </c>
      <c r="AM3514">
        <v>82.173428976369706</v>
      </c>
      <c r="AN3514">
        <v>0.99999997145478003</v>
      </c>
    </row>
    <row r="3515" spans="1:40" x14ac:dyDescent="0.25">
      <c r="A3515" t="str">
        <f>"20190312151608669"</f>
        <v>20190312151608669</v>
      </c>
      <c r="B3515" t="str">
        <f>"1552374968661571"</f>
        <v>1552374968661571</v>
      </c>
      <c r="C3515" t="s">
        <v>40</v>
      </c>
      <c r="D3515">
        <v>4.8246729999999998</v>
      </c>
      <c r="E3515">
        <v>0.57103719999999902</v>
      </c>
      <c r="F3515" t="s">
        <v>43</v>
      </c>
      <c r="G3515">
        <v>-189.5521</v>
      </c>
      <c r="H3515" s="1">
        <v>-4.7617989999999996E-6</v>
      </c>
      <c r="I3515">
        <v>169.53659999999999</v>
      </c>
      <c r="J3515">
        <v>-185.1266</v>
      </c>
      <c r="K3515">
        <v>1.0925990000000001</v>
      </c>
      <c r="L3515">
        <v>177.66290000000001</v>
      </c>
      <c r="M3515">
        <v>-0.21705940000000001</v>
      </c>
      <c r="N3515">
        <v>0</v>
      </c>
      <c r="O3515">
        <v>-0.97602319999999998</v>
      </c>
      <c r="P3515">
        <v>-0.34723369999999998</v>
      </c>
      <c r="Q3515">
        <v>-6.4888999999999997E-3</v>
      </c>
      <c r="R3515">
        <v>-0.93775620000000004</v>
      </c>
      <c r="S3515">
        <v>-1.428696</v>
      </c>
      <c r="T3515">
        <v>-0.34791909999999998</v>
      </c>
      <c r="U3515">
        <v>-2.6719059999999999</v>
      </c>
      <c r="V3515">
        <v>0.13565160000000001</v>
      </c>
      <c r="W3515">
        <v>4.2627369999999999E-3</v>
      </c>
      <c r="X3515">
        <v>0.9907475</v>
      </c>
      <c r="Y3515">
        <v>0.26568509999999901</v>
      </c>
      <c r="Z3515">
        <v>0.1147388</v>
      </c>
      <c r="AA3515">
        <v>0.95720760000000005</v>
      </c>
      <c r="AB3515">
        <v>39</v>
      </c>
      <c r="AC3515">
        <v>-4.4255000000000004</v>
      </c>
      <c r="AD3515">
        <v>-1.0926037617990001</v>
      </c>
      <c r="AE3515">
        <v>-8.1263000000000094</v>
      </c>
      <c r="AF3515">
        <v>2.52069337570759</v>
      </c>
      <c r="AG3515">
        <v>-1.0926037617990001</v>
      </c>
      <c r="AH3515">
        <v>8.7709384640963908</v>
      </c>
      <c r="AI3515">
        <v>96.827224607310498</v>
      </c>
      <c r="AJ3515">
        <v>73.965797548884296</v>
      </c>
      <c r="AK3515">
        <v>9.1911391903070907</v>
      </c>
      <c r="AL3515">
        <v>89.755762437692098</v>
      </c>
      <c r="AM3515">
        <v>82.203628823326198</v>
      </c>
      <c r="AN3515">
        <v>1.0000000681327601</v>
      </c>
    </row>
    <row r="3516" spans="1:40" x14ac:dyDescent="0.25">
      <c r="A3516" t="str">
        <f>"20190312151608689"</f>
        <v>20190312151608689</v>
      </c>
      <c r="B3516" t="str">
        <f>"1552374968681827"</f>
        <v>1552374968681827</v>
      </c>
      <c r="C3516" t="s">
        <v>40</v>
      </c>
      <c r="D3516">
        <v>5.0157439999999998</v>
      </c>
      <c r="E3516">
        <v>0.57971219999999901</v>
      </c>
      <c r="F3516" t="s">
        <v>43</v>
      </c>
      <c r="G3516">
        <v>-192.91679999999999</v>
      </c>
      <c r="H3516" s="1">
        <v>-3.2394490000000001E-6</v>
      </c>
      <c r="I3516">
        <v>164.80279999999999</v>
      </c>
      <c r="J3516">
        <v>-185.20590000000001</v>
      </c>
      <c r="K3516">
        <v>1.09281299999999</v>
      </c>
      <c r="L3516">
        <v>177.3339</v>
      </c>
      <c r="M3516">
        <v>-0.22869429999999999</v>
      </c>
      <c r="N3516">
        <v>0</v>
      </c>
      <c r="O3516">
        <v>-0.9733638</v>
      </c>
      <c r="P3516">
        <v>-0.35766920000000002</v>
      </c>
      <c r="Q3516">
        <v>-6.6012839999999998E-3</v>
      </c>
      <c r="R3516">
        <v>-0.93382529999999997</v>
      </c>
      <c r="S3516">
        <v>-1.5821080000000001</v>
      </c>
      <c r="T3516">
        <v>-0.22189739999999999</v>
      </c>
      <c r="U3516">
        <v>-2.6117710000000001</v>
      </c>
      <c r="V3516">
        <v>0.13486529999999899</v>
      </c>
      <c r="W3516">
        <v>4.1907350000000001E-3</v>
      </c>
      <c r="X3516">
        <v>0.99085509999999999</v>
      </c>
      <c r="Y3516">
        <v>0.30733680000000002</v>
      </c>
      <c r="Z3516">
        <v>7.3174980000000001E-2</v>
      </c>
      <c r="AA3516">
        <v>0.94878320000000005</v>
      </c>
      <c r="AB3516">
        <v>39</v>
      </c>
      <c r="AC3516">
        <v>-7.7108999999999801</v>
      </c>
      <c r="AD3516">
        <v>-1.09281623944899</v>
      </c>
      <c r="AE3516">
        <v>-12.5311</v>
      </c>
      <c r="AF3516">
        <v>4.6148693870472899</v>
      </c>
      <c r="AG3516">
        <v>-1.09281623944899</v>
      </c>
      <c r="AH3516">
        <v>13.885984002278301</v>
      </c>
      <c r="AI3516">
        <v>94.271084197277204</v>
      </c>
      <c r="AJ3516">
        <v>71.616283420275906</v>
      </c>
      <c r="AK3516">
        <v>14.673507368868499</v>
      </c>
      <c r="AL3516">
        <v>89.759887873494407</v>
      </c>
      <c r="AM3516">
        <v>82.249100762972404</v>
      </c>
      <c r="AN3516">
        <v>1.0000000202999699</v>
      </c>
    </row>
    <row r="3517" spans="1:40" x14ac:dyDescent="0.25">
      <c r="A3517" t="str">
        <f>"20190312151608710"</f>
        <v>20190312151608710</v>
      </c>
      <c r="B3517" t="str">
        <f>"1552374968701346"</f>
        <v>1552374968701346</v>
      </c>
      <c r="C3517" t="s">
        <v>40</v>
      </c>
      <c r="D3517">
        <v>4.9577879999999999</v>
      </c>
      <c r="E3517">
        <v>0.58104480000000003</v>
      </c>
      <c r="F3517" t="s">
        <v>43</v>
      </c>
      <c r="G3517">
        <v>-192.84379999999999</v>
      </c>
      <c r="H3517" s="1">
        <v>-3.611507E-6</v>
      </c>
      <c r="I3517">
        <v>165.63099999999901</v>
      </c>
      <c r="J3517">
        <v>-185.29509999999999</v>
      </c>
      <c r="K3517">
        <v>1.0930660000000001</v>
      </c>
      <c r="L3517">
        <v>176.98310000000001</v>
      </c>
      <c r="M3517">
        <v>-0.2409018</v>
      </c>
      <c r="N3517">
        <v>0</v>
      </c>
      <c r="O3517">
        <v>-0.97041560000000004</v>
      </c>
      <c r="P3517">
        <v>-0.36874839999999998</v>
      </c>
      <c r="Q3517">
        <v>-7.3406039999999997E-3</v>
      </c>
      <c r="R3517">
        <v>-0.92950029999999995</v>
      </c>
      <c r="S3517">
        <v>-1.676498</v>
      </c>
      <c r="T3517">
        <v>-0.23987040000000001</v>
      </c>
      <c r="U3517">
        <v>-2.568756</v>
      </c>
      <c r="V3517">
        <v>0.1341716</v>
      </c>
      <c r="W3517">
        <v>3.4921739999999998E-3</v>
      </c>
      <c r="X3517">
        <v>0.99095200000000006</v>
      </c>
      <c r="Y3517">
        <v>0.32695059999999998</v>
      </c>
      <c r="Z3517">
        <v>7.8834559999999998E-2</v>
      </c>
      <c r="AA3517">
        <v>0.94174749999999996</v>
      </c>
      <c r="AB3517">
        <v>39</v>
      </c>
      <c r="AC3517">
        <v>-7.5486999999999904</v>
      </c>
      <c r="AD3517">
        <v>-1.093069611507</v>
      </c>
      <c r="AE3517">
        <v>-11.3521</v>
      </c>
      <c r="AF3517">
        <v>4.5619042503743099</v>
      </c>
      <c r="AG3517">
        <v>-1.093069611507</v>
      </c>
      <c r="AH3517">
        <v>12.754423570641301</v>
      </c>
      <c r="AI3517">
        <v>94.613479885256396</v>
      </c>
      <c r="AJ3517">
        <v>70.319276214014295</v>
      </c>
      <c r="AK3517">
        <v>13.5897421676982</v>
      </c>
      <c r="AL3517">
        <v>89.799912769773101</v>
      </c>
      <c r="AM3517">
        <v>82.289232736143006</v>
      </c>
      <c r="AN3517">
        <v>1.0000000399149001</v>
      </c>
    </row>
    <row r="3518" spans="1:40" x14ac:dyDescent="0.25">
      <c r="A3518" t="str">
        <f>"20190312151608722"</f>
        <v>20190312151608722</v>
      </c>
      <c r="B3518" t="str">
        <f>"1552374968711106"</f>
        <v>1552374968711106</v>
      </c>
      <c r="C3518" t="s">
        <v>40</v>
      </c>
      <c r="D3518">
        <v>4.7322129999999998</v>
      </c>
      <c r="E3518">
        <v>0.5816306</v>
      </c>
      <c r="F3518" t="s">
        <v>43</v>
      </c>
      <c r="G3518">
        <v>-192.1858</v>
      </c>
      <c r="H3518" s="1">
        <v>-3.981196E-6</v>
      </c>
      <c r="I3518">
        <v>166.7834</v>
      </c>
      <c r="J3518">
        <v>-185.3562</v>
      </c>
      <c r="K3518">
        <v>1.093232</v>
      </c>
      <c r="L3518">
        <v>176.75380000000001</v>
      </c>
      <c r="M3518">
        <v>-0.2487598</v>
      </c>
      <c r="N3518">
        <v>0</v>
      </c>
      <c r="O3518">
        <v>-0.96843159999999895</v>
      </c>
      <c r="P3518">
        <v>-0.37580150000000001</v>
      </c>
      <c r="Q3518">
        <v>-7.5315059999999899E-3</v>
      </c>
      <c r="R3518">
        <v>-0.92666959999999998</v>
      </c>
      <c r="S3518">
        <v>-1.7184299999999999</v>
      </c>
      <c r="T3518">
        <v>-0.27259349999999999</v>
      </c>
      <c r="U3518">
        <v>-2.5436399999999999</v>
      </c>
      <c r="V3518">
        <v>0.13366059999999999</v>
      </c>
      <c r="W3518">
        <v>3.331957E-3</v>
      </c>
      <c r="X3518">
        <v>0.99102159999999995</v>
      </c>
      <c r="Y3518">
        <v>0.33375500000000002</v>
      </c>
      <c r="Z3518">
        <v>8.947244E-2</v>
      </c>
      <c r="AA3518">
        <v>0.93840409999999996</v>
      </c>
      <c r="AB3518">
        <v>39</v>
      </c>
      <c r="AC3518">
        <v>-6.8295999999999903</v>
      </c>
      <c r="AD3518">
        <v>-1.093235981196</v>
      </c>
      <c r="AE3518">
        <v>-9.9704000000000104</v>
      </c>
      <c r="AF3518">
        <v>4.1007438387175297</v>
      </c>
      <c r="AG3518">
        <v>-1.093235981196</v>
      </c>
      <c r="AH3518">
        <v>11.2638761599407</v>
      </c>
      <c r="AI3518">
        <v>95.211010855235799</v>
      </c>
      <c r="AJ3518">
        <v>69.995381842525504</v>
      </c>
      <c r="AK3518">
        <v>12.0368671625071</v>
      </c>
      <c r="AL3518">
        <v>89.8090925797827</v>
      </c>
      <c r="AM3518">
        <v>82.318781361798102</v>
      </c>
      <c r="AN3518">
        <v>1.0000000347981799</v>
      </c>
    </row>
    <row r="3519" spans="1:40" x14ac:dyDescent="0.25">
      <c r="A3519" t="str">
        <f>"20190312151608735"</f>
        <v>20190312151608735</v>
      </c>
      <c r="B3519" t="str">
        <f>"1552374968731602"</f>
        <v>1552374968731602</v>
      </c>
      <c r="C3519" t="s">
        <v>40</v>
      </c>
      <c r="D3519">
        <v>4.7679299999999998</v>
      </c>
      <c r="E3519">
        <v>0.58205640000000003</v>
      </c>
      <c r="F3519" t="s">
        <v>43</v>
      </c>
      <c r="G3519">
        <v>-192.69380000000001</v>
      </c>
      <c r="H3519" s="1">
        <v>-3.7922350000000002E-6</v>
      </c>
      <c r="I3519">
        <v>166.0977</v>
      </c>
      <c r="J3519">
        <v>-185.41659999999999</v>
      </c>
      <c r="K3519">
        <v>1.0933999999999999</v>
      </c>
      <c r="L3519">
        <v>176.5324</v>
      </c>
      <c r="M3519">
        <v>-0.25627949999999999</v>
      </c>
      <c r="N3519">
        <v>0</v>
      </c>
      <c r="O3519">
        <v>-0.96646980000000005</v>
      </c>
      <c r="P3519">
        <v>-0.38284560000000001</v>
      </c>
      <c r="Q3519">
        <v>-7.8861299999999999E-3</v>
      </c>
      <c r="R3519">
        <v>-0.92377889999999996</v>
      </c>
      <c r="S3519">
        <v>-1.741455</v>
      </c>
      <c r="T3519">
        <v>-0.25945869999999999</v>
      </c>
      <c r="U3519">
        <v>-2.5290219999999999</v>
      </c>
      <c r="V3519">
        <v>0.13348769999999999</v>
      </c>
      <c r="W3519">
        <v>2.9967420000000002E-3</v>
      </c>
      <c r="X3519">
        <v>0.99104599999999998</v>
      </c>
      <c r="Y3519">
        <v>0.33498349999999999</v>
      </c>
      <c r="Z3519">
        <v>8.5124899999999906E-2</v>
      </c>
      <c r="AA3519">
        <v>0.93837079999999995</v>
      </c>
      <c r="AB3519">
        <v>39</v>
      </c>
      <c r="AC3519">
        <v>-7.2772000000000201</v>
      </c>
      <c r="AD3519">
        <v>-1.0934037922349999</v>
      </c>
      <c r="AE3519">
        <v>-10.4346999999999</v>
      </c>
      <c r="AF3519">
        <v>4.3275861572543297</v>
      </c>
      <c r="AG3519">
        <v>-1.0934037922349999</v>
      </c>
      <c r="AH3519">
        <v>11.863716712239199</v>
      </c>
      <c r="AI3519">
        <v>94.948506055903593</v>
      </c>
      <c r="AJ3519">
        <v>69.959299379128694</v>
      </c>
      <c r="AK3519">
        <v>12.6756186448471</v>
      </c>
      <c r="AL3519">
        <v>89.828299084473599</v>
      </c>
      <c r="AM3519">
        <v>82.328785817442196</v>
      </c>
      <c r="AN3519">
        <v>1.0000000603149499</v>
      </c>
    </row>
    <row r="3520" spans="1:40" x14ac:dyDescent="0.25">
      <c r="A3520" t="str">
        <f>"20190312151608754"</f>
        <v>20190312151608754</v>
      </c>
      <c r="B3520" t="str">
        <f>"1552374968751122"</f>
        <v>1552374968751122</v>
      </c>
      <c r="C3520" t="s">
        <v>40</v>
      </c>
      <c r="D3520">
        <v>4.2844429999999996</v>
      </c>
      <c r="E3520">
        <v>0.58146940000000003</v>
      </c>
      <c r="F3520" t="s">
        <v>43</v>
      </c>
      <c r="G3520">
        <v>-193.4359</v>
      </c>
      <c r="H3520" s="1">
        <v>-3.5136160000000001E-6</v>
      </c>
      <c r="I3520">
        <v>165.09059999999999</v>
      </c>
      <c r="J3520">
        <v>-185.5052</v>
      </c>
      <c r="K3520">
        <v>1.09365</v>
      </c>
      <c r="L3520">
        <v>176.22069999999999</v>
      </c>
      <c r="M3520">
        <v>-0.26670939999999999</v>
      </c>
      <c r="N3520">
        <v>0</v>
      </c>
      <c r="O3520">
        <v>-0.96364439999999996</v>
      </c>
      <c r="P3520">
        <v>-0.39218579999999997</v>
      </c>
      <c r="Q3520">
        <v>-8.6958360000000002E-3</v>
      </c>
      <c r="R3520">
        <v>-0.91984529999999998</v>
      </c>
      <c r="S3520">
        <v>-1.7626949999999999</v>
      </c>
      <c r="T3520">
        <v>-0.24033679999999999</v>
      </c>
      <c r="U3520">
        <v>-2.5149840000000001</v>
      </c>
      <c r="V3520">
        <v>0.1327874</v>
      </c>
      <c r="W3520">
        <v>2.233329E-3</v>
      </c>
      <c r="X3520">
        <v>0.99114199999999997</v>
      </c>
      <c r="Y3520">
        <v>0.3328874</v>
      </c>
      <c r="Z3520">
        <v>7.8770450000000006E-2</v>
      </c>
      <c r="AA3520">
        <v>0.93967080000000003</v>
      </c>
      <c r="AB3520">
        <v>39</v>
      </c>
      <c r="AC3520">
        <v>-7.9306999999999999</v>
      </c>
      <c r="AD3520">
        <v>-1.0936535136159999</v>
      </c>
      <c r="AE3520">
        <v>-11.130100000000001</v>
      </c>
      <c r="AF3520">
        <v>4.6447256277807698</v>
      </c>
      <c r="AG3520">
        <v>-1.0936535136159999</v>
      </c>
      <c r="AH3520">
        <v>12.760575228446699</v>
      </c>
      <c r="AI3520">
        <v>94.604461167730605</v>
      </c>
      <c r="AJ3520">
        <v>69.998984723876106</v>
      </c>
      <c r="AK3520">
        <v>13.6235764146591</v>
      </c>
      <c r="AL3520">
        <v>89.872039564177399</v>
      </c>
      <c r="AM3520">
        <v>82.369285299381701</v>
      </c>
      <c r="AN3520">
        <v>0.99999997276059005</v>
      </c>
    </row>
    <row r="3521" spans="1:40" x14ac:dyDescent="0.25">
      <c r="A3521" t="str">
        <f>"20190312151608765"</f>
        <v>20190312151608765</v>
      </c>
      <c r="B3521" t="str">
        <f>"1552374968760883"</f>
        <v>1552374968760883</v>
      </c>
      <c r="C3521" t="s">
        <v>40</v>
      </c>
      <c r="D3521">
        <v>4.8524129999999897</v>
      </c>
      <c r="E3521">
        <v>0.58162700000000001</v>
      </c>
      <c r="F3521" t="s">
        <v>43</v>
      </c>
      <c r="G3521">
        <v>-193.90369999999999</v>
      </c>
      <c r="H3521" s="1">
        <v>-3.3359830000000001E-6</v>
      </c>
      <c r="I3521">
        <v>164.45150000000001</v>
      </c>
      <c r="J3521">
        <v>-185.5652</v>
      </c>
      <c r="K3521">
        <v>1.0938159999999999</v>
      </c>
      <c r="L3521">
        <v>176.01830000000001</v>
      </c>
      <c r="M3521">
        <v>-0.2733738</v>
      </c>
      <c r="N3521">
        <v>0</v>
      </c>
      <c r="O3521">
        <v>-0.96177570000000001</v>
      </c>
      <c r="P3521">
        <v>-0.39824789999999999</v>
      </c>
      <c r="Q3521">
        <v>-9.1123509999999994E-3</v>
      </c>
      <c r="R3521">
        <v>-0.91723279999999996</v>
      </c>
      <c r="S3521">
        <v>-1.783218</v>
      </c>
      <c r="T3521">
        <v>-0.23221079999999999</v>
      </c>
      <c r="U3521">
        <v>-2.498901</v>
      </c>
      <c r="V3521">
        <v>0.1324514</v>
      </c>
      <c r="W3521">
        <v>1.8427999999999999E-3</v>
      </c>
      <c r="X3521">
        <v>0.99118779999999995</v>
      </c>
      <c r="Y3521">
        <v>0.33445390000000003</v>
      </c>
      <c r="Z3521">
        <v>7.6116489999999995E-2</v>
      </c>
      <c r="AA3521">
        <v>0.93933319999999998</v>
      </c>
      <c r="AB3521">
        <v>39</v>
      </c>
      <c r="AC3521">
        <v>-8.3384999999999803</v>
      </c>
      <c r="AD3521">
        <v>-1.093819335983</v>
      </c>
      <c r="AE3521">
        <v>-11.566800000000001</v>
      </c>
      <c r="AF3521">
        <v>4.8299028418432304</v>
      </c>
      <c r="AG3521">
        <v>-1.093819335983</v>
      </c>
      <c r="AH3521">
        <v>13.3274738166257</v>
      </c>
      <c r="AI3521">
        <v>94.412300043311006</v>
      </c>
      <c r="AJ3521">
        <v>70.0793835681921</v>
      </c>
      <c r="AK3521">
        <v>14.2178043499782</v>
      </c>
      <c r="AL3521">
        <v>89.894415279028294</v>
      </c>
      <c r="AM3521">
        <v>82.388714688286697</v>
      </c>
      <c r="AN3521">
        <v>1.0000000120713199</v>
      </c>
    </row>
    <row r="3522" spans="1:40" x14ac:dyDescent="0.25">
      <c r="A3522" t="str">
        <f>"20190312151608778"</f>
        <v>20190312151608778</v>
      </c>
      <c r="B3522" t="str">
        <f>"1552374968771399"</f>
        <v>1552374968771399</v>
      </c>
      <c r="C3522" t="s">
        <v>40</v>
      </c>
      <c r="D3522">
        <v>4.7865710000000004</v>
      </c>
      <c r="E3522">
        <v>0.58127399999999996</v>
      </c>
      <c r="F3522" t="s">
        <v>43</v>
      </c>
      <c r="G3522">
        <v>-193.7809</v>
      </c>
      <c r="H3522" s="1">
        <v>-3.4098119999999999E-6</v>
      </c>
      <c r="I3522">
        <v>164.67679999999999</v>
      </c>
      <c r="J3522">
        <v>-185.62430000000001</v>
      </c>
      <c r="K3522">
        <v>1.09397099999999</v>
      </c>
      <c r="L3522">
        <v>175.82220000000001</v>
      </c>
      <c r="M3522">
        <v>-0.27978350000000002</v>
      </c>
      <c r="N3522">
        <v>0</v>
      </c>
      <c r="O3522">
        <v>-0.95993119999999998</v>
      </c>
      <c r="P3522">
        <v>-0.40383590000000003</v>
      </c>
      <c r="Q3522">
        <v>-9.198375E-3</v>
      </c>
      <c r="R3522">
        <v>-0.91478530000000002</v>
      </c>
      <c r="S3522">
        <v>-1.801102</v>
      </c>
      <c r="T3522">
        <v>-0.23979230000000001</v>
      </c>
      <c r="U3522">
        <v>-2.4863430000000002</v>
      </c>
      <c r="V3522">
        <v>0.13188169999999999</v>
      </c>
      <c r="W3522">
        <v>1.793209E-3</v>
      </c>
      <c r="X3522">
        <v>0.99126389999999998</v>
      </c>
      <c r="Y3522">
        <v>0.33474159999999997</v>
      </c>
      <c r="Z3522">
        <v>7.8527899999999998E-2</v>
      </c>
      <c r="AA3522">
        <v>0.93903219999999998</v>
      </c>
      <c r="AB3522">
        <v>39</v>
      </c>
      <c r="AC3522">
        <v>-8.1565999999999903</v>
      </c>
      <c r="AD3522">
        <v>-1.0939744098119999</v>
      </c>
      <c r="AE3522">
        <v>-11.1454</v>
      </c>
      <c r="AF3522">
        <v>4.6826930277622996</v>
      </c>
      <c r="AG3522">
        <v>-1.0939744098119999</v>
      </c>
      <c r="AH3522">
        <v>12.901597955078699</v>
      </c>
      <c r="AI3522">
        <v>94.557183917923496</v>
      </c>
      <c r="AJ3522">
        <v>70.051406293437793</v>
      </c>
      <c r="AK3522">
        <v>13.768646403916</v>
      </c>
      <c r="AL3522">
        <v>89.897256643504903</v>
      </c>
      <c r="AM3522">
        <v>82.4216460753821</v>
      </c>
      <c r="AN3522">
        <v>1.0000000589183</v>
      </c>
    </row>
    <row r="3523" spans="1:40" x14ac:dyDescent="0.25">
      <c r="A3523" t="str">
        <f>"20190312151608790"</f>
        <v>20190312151608790</v>
      </c>
      <c r="B3523" t="str">
        <f>"1552374968781159"</f>
        <v>1552374968781159</v>
      </c>
      <c r="C3523" t="s">
        <v>40</v>
      </c>
      <c r="D3523">
        <v>4.7594459999999996</v>
      </c>
      <c r="E3523">
        <v>0.58070339999999998</v>
      </c>
      <c r="F3523" t="s">
        <v>43</v>
      </c>
      <c r="G3523">
        <v>-193.79310000000001</v>
      </c>
      <c r="H3523" s="1">
        <v>-3.4092989999999999E-6</v>
      </c>
      <c r="I3523">
        <v>164.66890000000001</v>
      </c>
      <c r="J3523">
        <v>-185.6951</v>
      </c>
      <c r="K3523">
        <v>1.094157</v>
      </c>
      <c r="L3523">
        <v>175.59350000000001</v>
      </c>
      <c r="M3523">
        <v>-0.2871824</v>
      </c>
      <c r="N3523">
        <v>0</v>
      </c>
      <c r="O3523">
        <v>-0.95774429999999999</v>
      </c>
      <c r="P3523">
        <v>-0.41032550000000001</v>
      </c>
      <c r="Q3523">
        <v>-8.9397699999999997E-3</v>
      </c>
      <c r="R3523">
        <v>-0.91189540000000002</v>
      </c>
      <c r="S3523">
        <v>-1.81369</v>
      </c>
      <c r="T3523">
        <v>-0.24289269999999999</v>
      </c>
      <c r="U3523">
        <v>-2.4763489999999999</v>
      </c>
      <c r="V3523">
        <v>0.13128290000000001</v>
      </c>
      <c r="W3523">
        <v>2.0926619999999999E-3</v>
      </c>
      <c r="X3523">
        <v>0.99134270000000002</v>
      </c>
      <c r="Y3523">
        <v>0.33233849999999998</v>
      </c>
      <c r="Z3523">
        <v>7.9453469999999998E-2</v>
      </c>
      <c r="AA3523">
        <v>0.93980750000000002</v>
      </c>
      <c r="AB3523">
        <v>39</v>
      </c>
      <c r="AC3523">
        <v>-8.0980000000000096</v>
      </c>
      <c r="AD3523">
        <v>-1.094160409299</v>
      </c>
      <c r="AE3523">
        <v>-10.9245999999999</v>
      </c>
      <c r="AF3523">
        <v>4.5893318356828203</v>
      </c>
      <c r="AG3523">
        <v>-1.094160409299</v>
      </c>
      <c r="AH3523">
        <v>12.707918824806599</v>
      </c>
      <c r="AI3523">
        <v>94.629800303386105</v>
      </c>
      <c r="AJ3523">
        <v>70.143345181343904</v>
      </c>
      <c r="AK3523">
        <v>13.555454789757601</v>
      </c>
      <c r="AL3523">
        <v>89.880099207618301</v>
      </c>
      <c r="AM3523">
        <v>82.456250630195697</v>
      </c>
      <c r="AN3523">
        <v>0.99999996395497204</v>
      </c>
    </row>
    <row r="3524" spans="1:40" x14ac:dyDescent="0.25">
      <c r="A3524" t="str">
        <f>"20190312151608810"</f>
        <v>20190312151608810</v>
      </c>
      <c r="B3524" t="str">
        <f>"1552374968801655"</f>
        <v>1552374968801655</v>
      </c>
      <c r="C3524" t="s">
        <v>40</v>
      </c>
      <c r="D3524">
        <v>4.8438689999999998</v>
      </c>
      <c r="E3524">
        <v>0.57930380000000004</v>
      </c>
      <c r="F3524" t="s">
        <v>43</v>
      </c>
      <c r="G3524">
        <v>-193.70570000000001</v>
      </c>
      <c r="H3524" s="1">
        <v>-3.441316E-6</v>
      </c>
      <c r="I3524">
        <v>164.78579999999999</v>
      </c>
      <c r="J3524">
        <v>-185.79660000000001</v>
      </c>
      <c r="K3524">
        <v>1.0944309999999999</v>
      </c>
      <c r="L3524">
        <v>175.27680000000001</v>
      </c>
      <c r="M3524">
        <v>-0.29725479999999999</v>
      </c>
      <c r="N3524">
        <v>0</v>
      </c>
      <c r="O3524">
        <v>-0.95466700000000004</v>
      </c>
      <c r="P3524">
        <v>-0.41936630000000003</v>
      </c>
      <c r="Q3524">
        <v>-8.1772159999999993E-3</v>
      </c>
      <c r="R3524">
        <v>-0.90778029999999998</v>
      </c>
      <c r="S3524">
        <v>-1.827194</v>
      </c>
      <c r="T3524">
        <v>-0.24957489999999999</v>
      </c>
      <c r="U3524">
        <v>-2.465195</v>
      </c>
      <c r="V3524">
        <v>0.13071340000000001</v>
      </c>
      <c r="W3524">
        <v>2.9056680000000001E-3</v>
      </c>
      <c r="X3524">
        <v>0.99141590000000002</v>
      </c>
      <c r="Y3524">
        <v>0.3276559</v>
      </c>
      <c r="Z3524">
        <v>8.1481250000000005E-2</v>
      </c>
      <c r="AA3524">
        <v>0.94127700000000003</v>
      </c>
      <c r="AB3524">
        <v>39</v>
      </c>
      <c r="AC3524">
        <v>-7.9090999999999898</v>
      </c>
      <c r="AD3524">
        <v>-1.0944344413160001</v>
      </c>
      <c r="AE3524">
        <v>-10.491</v>
      </c>
      <c r="AF3524">
        <v>4.4020656582000797</v>
      </c>
      <c r="AG3524">
        <v>-1.0944344413160001</v>
      </c>
      <c r="AH3524">
        <v>12.282747824289199</v>
      </c>
      <c r="AI3524">
        <v>94.794694592129304</v>
      </c>
      <c r="AJ3524">
        <v>70.282614656499007</v>
      </c>
      <c r="AK3524">
        <v>13.0935809815544</v>
      </c>
      <c r="AL3524">
        <v>89.833517246225497</v>
      </c>
      <c r="AM3524">
        <v>82.489148911758704</v>
      </c>
      <c r="AN3524">
        <v>0.99999996130944702</v>
      </c>
    </row>
    <row r="3525" spans="1:40" x14ac:dyDescent="0.25">
      <c r="A3525" t="str">
        <f>"20190312151608831"</f>
        <v>20190312151608831</v>
      </c>
      <c r="B3525" t="str">
        <f>"1552374968821175"</f>
        <v>1552374968821175</v>
      </c>
      <c r="C3525" t="s">
        <v>40</v>
      </c>
      <c r="D3525">
        <v>4.785914</v>
      </c>
      <c r="E3525">
        <v>0.57836989999999999</v>
      </c>
      <c r="F3525" t="s">
        <v>43</v>
      </c>
      <c r="G3525">
        <v>-193.61189999999999</v>
      </c>
      <c r="H3525" s="1">
        <v>-3.4573919999999999E-6</v>
      </c>
      <c r="I3525">
        <v>164.87260000000001</v>
      </c>
      <c r="J3525">
        <v>-185.9151</v>
      </c>
      <c r="K3525">
        <v>1.0947469999999999</v>
      </c>
      <c r="L3525">
        <v>174.92080000000001</v>
      </c>
      <c r="M3525">
        <v>-0.30836570000000002</v>
      </c>
      <c r="N3525">
        <v>0</v>
      </c>
      <c r="O3525">
        <v>-0.95113720000000002</v>
      </c>
      <c r="P3525">
        <v>-0.4296393</v>
      </c>
      <c r="Q3525">
        <v>-7.9105949999999994E-3</v>
      </c>
      <c r="R3525">
        <v>-0.90296609999999999</v>
      </c>
      <c r="S3525">
        <v>-1.841599</v>
      </c>
      <c r="T3525">
        <v>-0.25789309999999999</v>
      </c>
      <c r="U3525">
        <v>-2.45166</v>
      </c>
      <c r="V3525">
        <v>0.13040739999999901</v>
      </c>
      <c r="W3525">
        <v>3.2203779999999999E-3</v>
      </c>
      <c r="X3525">
        <v>0.99145530000000004</v>
      </c>
      <c r="Y3525">
        <v>0.32253080000000001</v>
      </c>
      <c r="Z3525">
        <v>8.4030610000000006E-2</v>
      </c>
      <c r="AA3525">
        <v>0.94282169999999998</v>
      </c>
      <c r="AB3525">
        <v>39</v>
      </c>
      <c r="AC3525">
        <v>-7.6967999999999899</v>
      </c>
      <c r="AD3525">
        <v>-1.0947504573919999</v>
      </c>
      <c r="AE3525">
        <v>-10.0482</v>
      </c>
      <c r="AF3525">
        <v>4.1913627474502499</v>
      </c>
      <c r="AG3525">
        <v>-1.0947504573919999</v>
      </c>
      <c r="AH3525">
        <v>11.843530117759901</v>
      </c>
      <c r="AI3525">
        <v>94.980100562321496</v>
      </c>
      <c r="AJ3525">
        <v>70.511397584392796</v>
      </c>
      <c r="AK3525">
        <v>12.610916140192201</v>
      </c>
      <c r="AL3525">
        <v>89.815485619941995</v>
      </c>
      <c r="AM3525">
        <v>82.506826165542705</v>
      </c>
      <c r="AN3525">
        <v>1.0000000363536501</v>
      </c>
    </row>
    <row r="3526" spans="1:40" x14ac:dyDescent="0.25">
      <c r="A3526" t="str">
        <f>"20190312151608844"</f>
        <v>20190312151608844</v>
      </c>
      <c r="B3526" t="str">
        <f>"1552374968841671"</f>
        <v>1552374968841671</v>
      </c>
      <c r="C3526" t="s">
        <v>40</v>
      </c>
      <c r="D3526">
        <v>4.7752689999999998</v>
      </c>
      <c r="E3526">
        <v>0.57756039999999997</v>
      </c>
      <c r="F3526" t="s">
        <v>43</v>
      </c>
      <c r="G3526">
        <v>-193.5224</v>
      </c>
      <c r="H3526" s="1">
        <v>-3.4848430000000002E-6</v>
      </c>
      <c r="I3526">
        <v>164.9811</v>
      </c>
      <c r="J3526">
        <v>-185.98670000000001</v>
      </c>
      <c r="K3526">
        <v>1.0949409999999999</v>
      </c>
      <c r="L3526">
        <v>174.71340000000001</v>
      </c>
      <c r="M3526">
        <v>-0.3147083</v>
      </c>
      <c r="N3526">
        <v>0</v>
      </c>
      <c r="O3526">
        <v>-0.94905810000000002</v>
      </c>
      <c r="P3526">
        <v>-0.43548199999999998</v>
      </c>
      <c r="Q3526">
        <v>-8.6134430000000001E-3</v>
      </c>
      <c r="R3526">
        <v>-0.90015599999999996</v>
      </c>
      <c r="S3526">
        <v>-1.862671</v>
      </c>
      <c r="T3526">
        <v>-0.26805449999999997</v>
      </c>
      <c r="U3526">
        <v>-2.4337770000000001</v>
      </c>
      <c r="V3526">
        <v>0.1301899</v>
      </c>
      <c r="W3526">
        <v>2.547087E-3</v>
      </c>
      <c r="X3526">
        <v>0.99148579999999997</v>
      </c>
      <c r="Y3526">
        <v>0.32452229999999999</v>
      </c>
      <c r="Z3526">
        <v>8.7302729999999995E-2</v>
      </c>
      <c r="AA3526">
        <v>0.94184049999999997</v>
      </c>
      <c r="AB3526">
        <v>39</v>
      </c>
      <c r="AC3526">
        <v>-7.5356999999999896</v>
      </c>
      <c r="AD3526">
        <v>-1.0949444848430001</v>
      </c>
      <c r="AE3526">
        <v>-9.7323000000000093</v>
      </c>
      <c r="AF3526">
        <v>4.0573800989835398</v>
      </c>
      <c r="AG3526">
        <v>-1.0949444848430001</v>
      </c>
      <c r="AH3526">
        <v>11.5183532776063</v>
      </c>
      <c r="AI3526">
        <v>95.123485395372001</v>
      </c>
      <c r="AJ3526">
        <v>70.595009972342496</v>
      </c>
      <c r="AK3526">
        <v>12.2610643469586</v>
      </c>
      <c r="AL3526">
        <v>89.854062506268804</v>
      </c>
      <c r="AM3526">
        <v>82.519409510455603</v>
      </c>
      <c r="AN3526">
        <v>0.999999994657917</v>
      </c>
    </row>
    <row r="3527" spans="1:40" x14ac:dyDescent="0.25">
      <c r="A3527" t="str">
        <f>"20190312151608859"</f>
        <v>20190312151608859</v>
      </c>
      <c r="B3527" t="str">
        <f>"1552374968851431"</f>
        <v>1552374968851431</v>
      </c>
      <c r="C3527" t="s">
        <v>40</v>
      </c>
      <c r="D3527">
        <v>4.7910370000000002</v>
      </c>
      <c r="E3527">
        <v>0.57756039999999997</v>
      </c>
      <c r="F3527" t="s">
        <v>43</v>
      </c>
      <c r="G3527">
        <v>-193.3965</v>
      </c>
      <c r="H3527" s="1">
        <v>-3.5174820000000001E-6</v>
      </c>
      <c r="I3527">
        <v>165.12099999999899</v>
      </c>
      <c r="J3527">
        <v>-186.0702</v>
      </c>
      <c r="K3527">
        <v>1.0951649999999999</v>
      </c>
      <c r="L3527">
        <v>174.47579999999999</v>
      </c>
      <c r="M3527">
        <v>-0.32189220000000002</v>
      </c>
      <c r="N3527">
        <v>0</v>
      </c>
      <c r="O3527">
        <v>-0.94664630000000005</v>
      </c>
      <c r="P3527">
        <v>-0.44180120000000001</v>
      </c>
      <c r="Q3527">
        <v>-9.3371349999999999E-3</v>
      </c>
      <c r="R3527">
        <v>-0.89706450000000004</v>
      </c>
      <c r="S3527">
        <v>-1.8725890000000001</v>
      </c>
      <c r="T3527">
        <v>-0.2767153</v>
      </c>
      <c r="U3527">
        <v>-2.424194</v>
      </c>
      <c r="V3527">
        <v>0.1296233</v>
      </c>
      <c r="W3527">
        <v>1.8704559999999999E-3</v>
      </c>
      <c r="X3527">
        <v>0.99156149999999998</v>
      </c>
      <c r="Y3527">
        <v>0.32141239999999999</v>
      </c>
      <c r="Z3527">
        <v>8.9990870000000001E-2</v>
      </c>
      <c r="AA3527">
        <v>0.94265350000000003</v>
      </c>
      <c r="AB3527">
        <v>39</v>
      </c>
      <c r="AC3527">
        <v>-7.3262999999999998</v>
      </c>
      <c r="AD3527">
        <v>-1.0951685174819901</v>
      </c>
      <c r="AE3527">
        <v>-9.3548000000000098</v>
      </c>
      <c r="AF3527">
        <v>3.8916013256396198</v>
      </c>
      <c r="AG3527">
        <v>-1.0951685174819901</v>
      </c>
      <c r="AH3527">
        <v>11.1208736140997</v>
      </c>
      <c r="AI3527">
        <v>95.310482317715795</v>
      </c>
      <c r="AJ3527">
        <v>70.713187107066702</v>
      </c>
      <c r="AK3527">
        <v>11.832911091535401</v>
      </c>
      <c r="AL3527">
        <v>89.892830697949904</v>
      </c>
      <c r="AM3527">
        <v>82.552161734376995</v>
      </c>
      <c r="AN3527">
        <v>0.99999995339539205</v>
      </c>
    </row>
    <row r="3528" spans="1:40" x14ac:dyDescent="0.25">
      <c r="A3528" t="str">
        <f>"20190312151608879"</f>
        <v>20190312151608879</v>
      </c>
      <c r="B3528" t="str">
        <f>"1552374968870951"</f>
        <v>1552374968870951</v>
      </c>
      <c r="C3528" t="s">
        <v>40</v>
      </c>
      <c r="D3528">
        <v>4.8710779999999998</v>
      </c>
      <c r="E3528">
        <v>0.57663489999999995</v>
      </c>
      <c r="F3528" t="s">
        <v>43</v>
      </c>
      <c r="G3528">
        <v>-193.48570000000001</v>
      </c>
      <c r="H3528" s="1">
        <v>-3.490775E-6</v>
      </c>
      <c r="I3528">
        <v>165.01429999999999</v>
      </c>
      <c r="J3528">
        <v>-186.18879999999999</v>
      </c>
      <c r="K3528">
        <v>1.09548</v>
      </c>
      <c r="L3528">
        <v>174.1482</v>
      </c>
      <c r="M3528">
        <v>-0.33162209999999998</v>
      </c>
      <c r="N3528">
        <v>0</v>
      </c>
      <c r="O3528">
        <v>-0.94328290000000004</v>
      </c>
      <c r="P3528">
        <v>-0.45049800000000001</v>
      </c>
      <c r="Q3528">
        <v>-9.4302799999999992E-3</v>
      </c>
      <c r="R3528">
        <v>-0.89272819999999997</v>
      </c>
      <c r="S3528">
        <v>-1.8894500000000001</v>
      </c>
      <c r="T3528">
        <v>-0.27904570000000001</v>
      </c>
      <c r="U3528">
        <v>-2.4107820000000002</v>
      </c>
      <c r="V3528">
        <v>0.12904450000000001</v>
      </c>
      <c r="W3528">
        <v>1.837555E-3</v>
      </c>
      <c r="X3528">
        <v>0.99163710000000005</v>
      </c>
      <c r="Y3528">
        <v>0.31825930000000002</v>
      </c>
      <c r="Z3528">
        <v>9.0540250000000003E-2</v>
      </c>
      <c r="AA3528">
        <v>0.94367020000000001</v>
      </c>
      <c r="AB3528">
        <v>39</v>
      </c>
      <c r="AC3528">
        <v>-7.2969000000000204</v>
      </c>
      <c r="AD3528">
        <v>-1.095483490775</v>
      </c>
      <c r="AE3528">
        <v>-9.1339000000000095</v>
      </c>
      <c r="AF3528">
        <v>3.8209577693950698</v>
      </c>
      <c r="AG3528">
        <v>-1.095483490775</v>
      </c>
      <c r="AH3528">
        <v>10.940943242998401</v>
      </c>
      <c r="AI3528">
        <v>95.400021489653994</v>
      </c>
      <c r="AJ3528">
        <v>70.7490228688483</v>
      </c>
      <c r="AK3528">
        <v>11.6406203185471</v>
      </c>
      <c r="AL3528">
        <v>89.894715794504293</v>
      </c>
      <c r="AM3528">
        <v>82.585606276983</v>
      </c>
      <c r="AN3528">
        <v>0.999999998842519</v>
      </c>
    </row>
    <row r="3529" spans="1:40" x14ac:dyDescent="0.25">
      <c r="A3529" t="str">
        <f>"20190312151608900"</f>
        <v>20190312151608900</v>
      </c>
      <c r="B3529" t="str">
        <f>"1552374968891448"</f>
        <v>1552374968891448</v>
      </c>
      <c r="C3529" t="s">
        <v>40</v>
      </c>
      <c r="D3529">
        <v>4.9123970000000003</v>
      </c>
      <c r="E3529">
        <v>0.57562619999999998</v>
      </c>
      <c r="F3529" t="s">
        <v>43</v>
      </c>
      <c r="G3529">
        <v>-193.61179999999999</v>
      </c>
      <c r="H3529" s="1">
        <v>-3.4325429999999999E-6</v>
      </c>
      <c r="I3529">
        <v>164.8201</v>
      </c>
      <c r="J3529">
        <v>-186.32249999999999</v>
      </c>
      <c r="K3529">
        <v>1.0958270000000001</v>
      </c>
      <c r="L3529">
        <v>173.79069999999999</v>
      </c>
      <c r="M3529">
        <v>-0.34200560000000002</v>
      </c>
      <c r="N3529">
        <v>0</v>
      </c>
      <c r="O3529">
        <v>-0.93956890000000004</v>
      </c>
      <c r="P3529">
        <v>-0.45992460000000002</v>
      </c>
      <c r="Q3529">
        <v>-8.5468249999999992E-3</v>
      </c>
      <c r="R3529">
        <v>-0.88791699999999996</v>
      </c>
      <c r="S3529">
        <v>-1.906296</v>
      </c>
      <c r="T3529">
        <v>-0.28132810000000003</v>
      </c>
      <c r="U3529">
        <v>-2.3955229999999998</v>
      </c>
      <c r="V3529">
        <v>0.1286291</v>
      </c>
      <c r="W3529">
        <v>2.7807359999999998E-3</v>
      </c>
      <c r="X3529">
        <v>0.99168880000000004</v>
      </c>
      <c r="Y3529">
        <v>0.31475769999999997</v>
      </c>
      <c r="Z3529">
        <v>9.1077980000000003E-2</v>
      </c>
      <c r="AA3529">
        <v>0.94479219999999997</v>
      </c>
      <c r="AB3529">
        <v>39</v>
      </c>
      <c r="AC3529">
        <v>-7.2892999999999901</v>
      </c>
      <c r="AD3529">
        <v>-1.0958304325429999</v>
      </c>
      <c r="AE3529">
        <v>-8.9705999999999904</v>
      </c>
      <c r="AF3529">
        <v>3.7475793865299298</v>
      </c>
      <c r="AG3529">
        <v>-1.0958304325429999</v>
      </c>
      <c r="AH3529">
        <v>10.825502976630601</v>
      </c>
      <c r="AI3529">
        <v>95.464120948996396</v>
      </c>
      <c r="AJ3529">
        <v>70.905137869044296</v>
      </c>
      <c r="AK3529">
        <v>11.5081149756278</v>
      </c>
      <c r="AL3529">
        <v>89.840675346291704</v>
      </c>
      <c r="AM3529">
        <v>82.609590291456797</v>
      </c>
      <c r="AN3529">
        <v>0.99999992695247297</v>
      </c>
    </row>
    <row r="3530" spans="1:40" x14ac:dyDescent="0.25">
      <c r="A3530" t="str">
        <f>"20190312151608912"</f>
        <v>20190312151608912</v>
      </c>
      <c r="B3530" t="str">
        <f>"1552374968901207"</f>
        <v>1552374968901207</v>
      </c>
      <c r="C3530" t="s">
        <v>40</v>
      </c>
      <c r="D3530">
        <v>4.9179709999999996</v>
      </c>
      <c r="E3530">
        <v>0.57562619999999998</v>
      </c>
      <c r="F3530" t="s">
        <v>43</v>
      </c>
      <c r="G3530">
        <v>-193.6386</v>
      </c>
      <c r="H3530" s="1">
        <v>-3.4045580000000001E-6</v>
      </c>
      <c r="I3530">
        <v>164.7458</v>
      </c>
      <c r="J3530">
        <v>-186.40020000000001</v>
      </c>
      <c r="K3530">
        <v>1.0960259999999999</v>
      </c>
      <c r="L3530">
        <v>173.5874</v>
      </c>
      <c r="M3530">
        <v>-0.34782760000000001</v>
      </c>
      <c r="N3530">
        <v>0</v>
      </c>
      <c r="O3530">
        <v>-0.93742970000000003</v>
      </c>
      <c r="P3530">
        <v>-0.46507680000000001</v>
      </c>
      <c r="Q3530">
        <v>-8.8985690000000003E-3</v>
      </c>
      <c r="R3530">
        <v>-0.88522590000000001</v>
      </c>
      <c r="S3530">
        <v>-1.9243619999999999</v>
      </c>
      <c r="T3530">
        <v>-0.2882403</v>
      </c>
      <c r="U3530">
        <v>-2.3791199999999999</v>
      </c>
      <c r="V3530">
        <v>0.12822839999999999</v>
      </c>
      <c r="W3530">
        <v>2.4693620000000001E-3</v>
      </c>
      <c r="X3530">
        <v>0.9917416</v>
      </c>
      <c r="Y3530">
        <v>0.3162548</v>
      </c>
      <c r="Z3530">
        <v>9.3258179999999996E-2</v>
      </c>
      <c r="AA3530">
        <v>0.94407929999999995</v>
      </c>
      <c r="AB3530">
        <v>39</v>
      </c>
      <c r="AC3530">
        <v>-7.23839999999998</v>
      </c>
      <c r="AD3530">
        <v>-1.0960294045579999</v>
      </c>
      <c r="AE3530">
        <v>-8.8415999999999997</v>
      </c>
      <c r="AF3530">
        <v>3.6767591023322201</v>
      </c>
      <c r="AG3530">
        <v>-1.0960294045579999</v>
      </c>
      <c r="AH3530">
        <v>10.7088730205468</v>
      </c>
      <c r="AI3530">
        <v>95.529072650101995</v>
      </c>
      <c r="AJ3530">
        <v>71.050725003475407</v>
      </c>
      <c r="AK3530">
        <v>11.375403259772099</v>
      </c>
      <c r="AL3530">
        <v>89.858515837040599</v>
      </c>
      <c r="AM3530">
        <v>82.632747191463295</v>
      </c>
      <c r="AN3530">
        <v>1.0000000107428999</v>
      </c>
    </row>
    <row r="3531" spans="1:40" x14ac:dyDescent="0.25">
      <c r="A3531" t="str">
        <f>"20190312151608925"</f>
        <v>20190312151608925</v>
      </c>
      <c r="B3531" t="str">
        <f>"1552374968921702"</f>
        <v>1552374968921702</v>
      </c>
      <c r="C3531" t="s">
        <v>40</v>
      </c>
      <c r="D3531">
        <v>4.9167459999999998</v>
      </c>
      <c r="E3531">
        <v>0.56307240000000003</v>
      </c>
      <c r="F3531" t="s">
        <v>43</v>
      </c>
      <c r="G3531">
        <v>-193.7397</v>
      </c>
      <c r="H3531" s="1">
        <v>-3.3723939999999999E-6</v>
      </c>
      <c r="I3531">
        <v>164.6208</v>
      </c>
      <c r="J3531">
        <v>-186.47989999999999</v>
      </c>
      <c r="K3531">
        <v>1.0962209999999999</v>
      </c>
      <c r="L3531">
        <v>173.38489999999999</v>
      </c>
      <c r="M3531">
        <v>-0.35351169999999998</v>
      </c>
      <c r="N3531">
        <v>0</v>
      </c>
      <c r="O3531">
        <v>-0.93530170000000001</v>
      </c>
      <c r="P3531">
        <v>-0.4701844</v>
      </c>
      <c r="Q3531">
        <v>-9.3532570000000002E-3</v>
      </c>
      <c r="R3531">
        <v>-0.88251900000000005</v>
      </c>
      <c r="S3531">
        <v>-1.938126</v>
      </c>
      <c r="T3531">
        <v>-0.28942639999999997</v>
      </c>
      <c r="U3531">
        <v>-2.3677830000000002</v>
      </c>
      <c r="V3531">
        <v>0.12792480000000001</v>
      </c>
      <c r="W3531">
        <v>2.0511769999999999E-3</v>
      </c>
      <c r="X3531">
        <v>0.99178180000000005</v>
      </c>
      <c r="Y3531">
        <v>0.31598130000000002</v>
      </c>
      <c r="Z3531">
        <v>9.3524609999999994E-2</v>
      </c>
      <c r="AA3531">
        <v>0.94414450000000005</v>
      </c>
      <c r="AB3531">
        <v>39</v>
      </c>
      <c r="AC3531">
        <v>-7.25980000000001</v>
      </c>
      <c r="AD3531">
        <v>-1.0962243723939999</v>
      </c>
      <c r="AE3531">
        <v>-8.7640999999999796</v>
      </c>
      <c r="AF3531">
        <v>3.6583902015434102</v>
      </c>
      <c r="AG3531">
        <v>-1.0962243723939999</v>
      </c>
      <c r="AH3531">
        <v>10.6658310315203</v>
      </c>
      <c r="AI3531">
        <v>95.552797808330894</v>
      </c>
      <c r="AJ3531">
        <v>71.067982932527698</v>
      </c>
      <c r="AK3531">
        <v>11.328966340064801</v>
      </c>
      <c r="AL3531">
        <v>89.8824761383664</v>
      </c>
      <c r="AM3531">
        <v>82.650293972114795</v>
      </c>
      <c r="AN3531">
        <v>1.0000000502966799</v>
      </c>
    </row>
    <row r="3532" spans="1:40" x14ac:dyDescent="0.25">
      <c r="A3532" t="str">
        <f>"20190312151608945"</f>
        <v>20190312151608945</v>
      </c>
      <c r="B3532" t="str">
        <f>"1552374968941223"</f>
        <v>1552374968941223</v>
      </c>
      <c r="C3532" t="s">
        <v>40</v>
      </c>
      <c r="D3532">
        <v>4.9534250000000002</v>
      </c>
      <c r="E3532">
        <v>0.56329890000000005</v>
      </c>
      <c r="F3532" t="s">
        <v>43</v>
      </c>
      <c r="G3532">
        <v>-191.46969999999999</v>
      </c>
      <c r="H3532" s="1">
        <v>-3.8788370000000004E-6</v>
      </c>
      <c r="I3532">
        <v>166.9699</v>
      </c>
      <c r="J3532">
        <v>-186.6037</v>
      </c>
      <c r="K3532">
        <v>1.0965210000000001</v>
      </c>
      <c r="L3532">
        <v>173.0753</v>
      </c>
      <c r="M3532">
        <v>-0.3620736</v>
      </c>
      <c r="N3532">
        <v>0</v>
      </c>
      <c r="O3532">
        <v>-0.9320214</v>
      </c>
      <c r="P3532">
        <v>-0.47722039999999999</v>
      </c>
      <c r="Q3532">
        <v>-1.0882930000000001E-2</v>
      </c>
      <c r="R3532">
        <v>-0.87871679999999996</v>
      </c>
      <c r="S3532">
        <v>-1.867065</v>
      </c>
      <c r="T3532">
        <v>-0.41017759999999998</v>
      </c>
      <c r="U3532">
        <v>-2.400299</v>
      </c>
      <c r="V3532">
        <v>0.12671160000000001</v>
      </c>
      <c r="W3532">
        <v>6.0350099999999999E-4</v>
      </c>
      <c r="X3532">
        <v>0.99193940000000003</v>
      </c>
      <c r="Y3532">
        <v>0.28081289999999998</v>
      </c>
      <c r="Z3532">
        <v>0.1316515</v>
      </c>
      <c r="AA3532">
        <v>0.95069029999999999</v>
      </c>
      <c r="AB3532">
        <v>39</v>
      </c>
      <c r="AC3532">
        <v>-4.8659999999999801</v>
      </c>
      <c r="AD3532">
        <v>-1.0965248788369999</v>
      </c>
      <c r="AE3532">
        <v>-6.1054000000000004</v>
      </c>
      <c r="AF3532">
        <v>2.2799163168160801</v>
      </c>
      <c r="AG3532">
        <v>-1.0965248788369999</v>
      </c>
      <c r="AH3532">
        <v>7.3089287805706098</v>
      </c>
      <c r="AI3532">
        <v>98.150431709976999</v>
      </c>
      <c r="AJ3532">
        <v>72.675432007251501</v>
      </c>
      <c r="AK3532">
        <v>7.7343923575835003</v>
      </c>
      <c r="AL3532">
        <v>89.965421937099606</v>
      </c>
      <c r="AM3532">
        <v>82.720389267144697</v>
      </c>
      <c r="AN3532">
        <v>0.99999998353018804</v>
      </c>
    </row>
    <row r="3533" spans="1:40" x14ac:dyDescent="0.25">
      <c r="A3533" t="str">
        <f>"20190312151608968"</f>
        <v>20190312151608968</v>
      </c>
      <c r="B3533" t="str">
        <f>"1552374968961719"</f>
        <v>1552374968961719</v>
      </c>
      <c r="C3533" t="s">
        <v>40</v>
      </c>
      <c r="D3533">
        <v>4.8912120000000003</v>
      </c>
      <c r="E3533">
        <v>0.56186579999999997</v>
      </c>
      <c r="F3533" t="s">
        <v>43</v>
      </c>
      <c r="G3533">
        <v>-191.77510000000001</v>
      </c>
      <c r="H3533" s="1">
        <v>-3.757783E-6</v>
      </c>
      <c r="I3533">
        <v>166.5419</v>
      </c>
      <c r="J3533">
        <v>-186.75749999999999</v>
      </c>
      <c r="K3533">
        <v>1.0969040000000001</v>
      </c>
      <c r="L3533">
        <v>172.70150000000001</v>
      </c>
      <c r="M3533">
        <v>-0.3721467</v>
      </c>
      <c r="N3533">
        <v>0</v>
      </c>
      <c r="O3533">
        <v>-0.92804620000000004</v>
      </c>
      <c r="P3533">
        <v>-0.48521799999999998</v>
      </c>
      <c r="Q3533">
        <v>-1.238092E-2</v>
      </c>
      <c r="R3533">
        <v>-0.87430569999999896</v>
      </c>
      <c r="S3533">
        <v>-1.887192</v>
      </c>
      <c r="T3533">
        <v>-0.40015279999999998</v>
      </c>
      <c r="U3533">
        <v>-2.384201</v>
      </c>
      <c r="V3533">
        <v>0.12498090000000001</v>
      </c>
      <c r="W3533">
        <v>-7.8594039999999997E-4</v>
      </c>
      <c r="X3533">
        <v>0.99215880000000001</v>
      </c>
      <c r="Y3533">
        <v>0.27877580000000002</v>
      </c>
      <c r="Z3533">
        <v>0.12811529999999999</v>
      </c>
      <c r="AA3533">
        <v>0.95177230000000002</v>
      </c>
      <c r="AB3533">
        <v>38</v>
      </c>
      <c r="AC3533">
        <v>-5.0176000000000096</v>
      </c>
      <c r="AD3533">
        <v>-1.096907757783</v>
      </c>
      <c r="AE3533">
        <v>-6.15960000000001</v>
      </c>
      <c r="AF3533">
        <v>2.3203372492165499</v>
      </c>
      <c r="AG3533">
        <v>-1.096907757783</v>
      </c>
      <c r="AH3533">
        <v>7.4426948130977504</v>
      </c>
      <c r="AI3533">
        <v>98.009015174662196</v>
      </c>
      <c r="AJ3533">
        <v>72.684591187832694</v>
      </c>
      <c r="AK3533">
        <v>7.8727935105716202</v>
      </c>
      <c r="AL3533">
        <v>90.045031074137498</v>
      </c>
      <c r="AM3533">
        <v>82.820344726896806</v>
      </c>
      <c r="AN3533">
        <v>0.99999996374227995</v>
      </c>
    </row>
    <row r="3534" spans="1:40" x14ac:dyDescent="0.25">
      <c r="A3534" t="str">
        <f>"20190312151608992"</f>
        <v>20190312151608992</v>
      </c>
      <c r="B3534" t="str">
        <f>"1552374968981747"</f>
        <v>1552374968981747</v>
      </c>
      <c r="C3534" t="s">
        <v>40</v>
      </c>
      <c r="D3534">
        <v>4.9096950000000001</v>
      </c>
      <c r="E3534">
        <v>0.56041280000000004</v>
      </c>
      <c r="F3534" t="s">
        <v>43</v>
      </c>
      <c r="G3534">
        <v>-191.96530000000001</v>
      </c>
      <c r="H3534" s="1">
        <v>-3.6449020000000001E-6</v>
      </c>
      <c r="I3534">
        <v>166.1961</v>
      </c>
      <c r="J3534">
        <v>-186.91749999999999</v>
      </c>
      <c r="K3534">
        <v>1.097315</v>
      </c>
      <c r="L3534">
        <v>172.32400000000001</v>
      </c>
      <c r="M3534">
        <v>-0.38201570000000001</v>
      </c>
      <c r="N3534">
        <v>0</v>
      </c>
      <c r="O3534">
        <v>-0.92402850000000003</v>
      </c>
      <c r="P3534">
        <v>-0.49300080000000002</v>
      </c>
      <c r="Q3534">
        <v>-1.2823279999999999E-2</v>
      </c>
      <c r="R3534">
        <v>-0.86993449999999894</v>
      </c>
      <c r="S3534">
        <v>-1.8987430000000001</v>
      </c>
      <c r="T3534">
        <v>-0.3999317</v>
      </c>
      <c r="U3534">
        <v>-2.3718720000000002</v>
      </c>
      <c r="V3534">
        <v>0.1232511</v>
      </c>
      <c r="W3534">
        <v>-1.1176420000000001E-3</v>
      </c>
      <c r="X3534">
        <v>0.99237489999999995</v>
      </c>
      <c r="Y3534">
        <v>0.27380280000000001</v>
      </c>
      <c r="Z3534">
        <v>0.12767829999999999</v>
      </c>
      <c r="AA3534">
        <v>0.9532735</v>
      </c>
      <c r="AB3534">
        <v>38</v>
      </c>
      <c r="AC3534">
        <v>-5.04780000000002</v>
      </c>
      <c r="AD3534">
        <v>-1.097318644902</v>
      </c>
      <c r="AE3534">
        <v>-6.1279000000000101</v>
      </c>
      <c r="AF3534">
        <v>2.2800735710964402</v>
      </c>
      <c r="AG3534">
        <v>-1.097318644902</v>
      </c>
      <c r="AH3534">
        <v>7.4492806354477796</v>
      </c>
      <c r="AI3534">
        <v>98.017652210153699</v>
      </c>
      <c r="AJ3534">
        <v>72.981713965716594</v>
      </c>
      <c r="AK3534">
        <v>7.8673137527188599</v>
      </c>
      <c r="AL3534">
        <v>90.064036182140001</v>
      </c>
      <c r="AM3534">
        <v>82.9202254350392</v>
      </c>
      <c r="AN3534">
        <v>1.00000001246243</v>
      </c>
    </row>
    <row r="3535" spans="1:40" x14ac:dyDescent="0.25">
      <c r="A3535" t="str">
        <f>"20190312151609012"</f>
        <v>20190312151609012</v>
      </c>
      <c r="B3535" t="str">
        <f>"1552374969001266"</f>
        <v>1552374969001266</v>
      </c>
      <c r="C3535" t="s">
        <v>40</v>
      </c>
      <c r="D3535">
        <v>4.7909490000000003</v>
      </c>
      <c r="E3535">
        <v>0.55937060000000005</v>
      </c>
      <c r="F3535" t="s">
        <v>43</v>
      </c>
      <c r="G3535">
        <v>-192.28739999999999</v>
      </c>
      <c r="H3535" s="1">
        <v>-3.4891609999999898E-6</v>
      </c>
      <c r="I3535">
        <v>165.68530000000001</v>
      </c>
      <c r="J3535">
        <v>-187.0625</v>
      </c>
      <c r="K3535">
        <v>1.097696</v>
      </c>
      <c r="L3535">
        <v>171.99119999999999</v>
      </c>
      <c r="M3535">
        <v>-0.39041940000000003</v>
      </c>
      <c r="N3535">
        <v>0</v>
      </c>
      <c r="O3535">
        <v>-0.92051039999999995</v>
      </c>
      <c r="P3535">
        <v>-0.49999939999999998</v>
      </c>
      <c r="Q3535">
        <v>-1.2270430000000001E-2</v>
      </c>
      <c r="R3535">
        <v>-0.86593899999999902</v>
      </c>
      <c r="S3535">
        <v>-1.9095</v>
      </c>
      <c r="T3535">
        <v>-0.3902004</v>
      </c>
      <c r="U3535">
        <v>-2.3606720000000001</v>
      </c>
      <c r="V3535">
        <v>0.1222232</v>
      </c>
      <c r="W3535">
        <v>-4.7988639999999998E-4</v>
      </c>
      <c r="X3535">
        <v>0.99250249999999995</v>
      </c>
      <c r="Y3535">
        <v>0.27015420000000001</v>
      </c>
      <c r="Z3535">
        <v>0.12430529999999999</v>
      </c>
      <c r="AA3535">
        <v>0.95475909999999997</v>
      </c>
      <c r="AB3535">
        <v>38</v>
      </c>
      <c r="AC3535">
        <v>-5.2248999999999901</v>
      </c>
      <c r="AD3535">
        <v>-1.0976994891609999</v>
      </c>
      <c r="AE3535">
        <v>-6.3058999999999799</v>
      </c>
      <c r="AF3535">
        <v>2.30646256574492</v>
      </c>
      <c r="AG3535">
        <v>-1.0976994891609999</v>
      </c>
      <c r="AH3535">
        <v>7.7069918413711003</v>
      </c>
      <c r="AI3535">
        <v>97.770007642233693</v>
      </c>
      <c r="AJ3535">
        <v>73.339196481867006</v>
      </c>
      <c r="AK3535">
        <v>8.1192633273375101</v>
      </c>
      <c r="AL3535">
        <v>90.027495467061499</v>
      </c>
      <c r="AM3535">
        <v>82.979571828362694</v>
      </c>
      <c r="AN3535">
        <v>0.999999976707723</v>
      </c>
    </row>
    <row r="3536" spans="1:40" x14ac:dyDescent="0.25">
      <c r="A3536" t="str">
        <f>"20190312151609034"</f>
        <v>20190312151609034</v>
      </c>
      <c r="B3536" t="str">
        <f>"1552374969031523"</f>
        <v>1552374969031523</v>
      </c>
      <c r="C3536" t="s">
        <v>40</v>
      </c>
      <c r="D3536">
        <v>5.6006869999999997</v>
      </c>
      <c r="E3536">
        <v>0.55866380000000004</v>
      </c>
      <c r="F3536" t="s">
        <v>43</v>
      </c>
      <c r="G3536">
        <v>-192.39269999999999</v>
      </c>
      <c r="H3536" s="1">
        <v>-3.417911E-6</v>
      </c>
      <c r="I3536">
        <v>165.4753</v>
      </c>
      <c r="J3536">
        <v>-187.21019999999999</v>
      </c>
      <c r="K3536">
        <v>1.0980970000000001</v>
      </c>
      <c r="L3536">
        <v>171.66</v>
      </c>
      <c r="M3536">
        <v>-0.39847320000000003</v>
      </c>
      <c r="N3536">
        <v>0</v>
      </c>
      <c r="O3536">
        <v>-0.91705349999999997</v>
      </c>
      <c r="P3536">
        <v>-0.50721879999999997</v>
      </c>
      <c r="Q3536">
        <v>-1.1491400000000001E-2</v>
      </c>
      <c r="R3536">
        <v>-0.86174069999999903</v>
      </c>
      <c r="S3536">
        <v>-1.921753</v>
      </c>
      <c r="T3536">
        <v>-0.395762</v>
      </c>
      <c r="U3536">
        <v>-2.3492130000000002</v>
      </c>
      <c r="V3536">
        <v>0.12183380000000001</v>
      </c>
      <c r="W3536">
        <v>3.6937390000000002E-4</v>
      </c>
      <c r="X3536">
        <v>0.99255040000000005</v>
      </c>
      <c r="Y3536">
        <v>0.26684970000000002</v>
      </c>
      <c r="Z3536">
        <v>0.1257075</v>
      </c>
      <c r="AA3536">
        <v>0.95550449999999998</v>
      </c>
      <c r="AB3536">
        <v>38</v>
      </c>
      <c r="AC3536">
        <v>-5.1825000000000001</v>
      </c>
      <c r="AD3536">
        <v>-1.0981004179110001</v>
      </c>
      <c r="AE3536">
        <v>-6.1846999999999897</v>
      </c>
      <c r="AF3536">
        <v>2.2468461186428201</v>
      </c>
      <c r="AG3536">
        <v>-1.0981004179110001</v>
      </c>
      <c r="AH3536">
        <v>7.5969884177697802</v>
      </c>
      <c r="AI3536">
        <v>97.891435145538296</v>
      </c>
      <c r="AJ3536">
        <v>73.524162051423801</v>
      </c>
      <c r="AK3536">
        <v>7.9980231950404299</v>
      </c>
      <c r="AL3536">
        <v>89.978836433010798</v>
      </c>
      <c r="AM3536">
        <v>83.002050972258402</v>
      </c>
      <c r="AN3536">
        <v>0.99999995389983798</v>
      </c>
    </row>
    <row r="3537" spans="1:40" x14ac:dyDescent="0.25">
      <c r="A3537" t="str">
        <f>"20190312151609047"</f>
        <v>20190312151609047</v>
      </c>
      <c r="B3537" t="str">
        <f>"1552374969041284"</f>
        <v>1552374969041284</v>
      </c>
      <c r="C3537" t="s">
        <v>40</v>
      </c>
      <c r="D3537">
        <v>4.8575900000000001</v>
      </c>
      <c r="E3537">
        <v>0.55827119999999997</v>
      </c>
      <c r="F3537" t="s">
        <v>43</v>
      </c>
      <c r="G3537">
        <v>-192.75229999999999</v>
      </c>
      <c r="H3537" s="1">
        <v>-3.275513E-6</v>
      </c>
      <c r="I3537">
        <v>164.9717</v>
      </c>
      <c r="J3537">
        <v>-187.30959999999999</v>
      </c>
      <c r="K3537">
        <v>1.098382</v>
      </c>
      <c r="L3537">
        <v>171.4419</v>
      </c>
      <c r="M3537">
        <v>-0.4035745</v>
      </c>
      <c r="N3537">
        <v>0</v>
      </c>
      <c r="O3537">
        <v>-0.91482059999999998</v>
      </c>
      <c r="P3537">
        <v>-0.51182320000000003</v>
      </c>
      <c r="Q3537">
        <v>-1.1757099999999999E-2</v>
      </c>
      <c r="R3537">
        <v>-0.85901059999999996</v>
      </c>
      <c r="S3537">
        <v>-1.936142</v>
      </c>
      <c r="T3537">
        <v>-0.38362649999999998</v>
      </c>
      <c r="U3537">
        <v>-2.3366090000000002</v>
      </c>
      <c r="V3537">
        <v>0.1216112</v>
      </c>
      <c r="W3537">
        <v>1.514594E-4</v>
      </c>
      <c r="X3537">
        <v>0.99257779999999995</v>
      </c>
      <c r="Y3537">
        <v>0.26783770000000001</v>
      </c>
      <c r="Z3537">
        <v>0.12176629999999999</v>
      </c>
      <c r="AA3537">
        <v>0.95573839999999999</v>
      </c>
      <c r="AB3537">
        <v>38</v>
      </c>
      <c r="AC3537">
        <v>-5.4427000000000003</v>
      </c>
      <c r="AD3537">
        <v>-1.0983852755129999</v>
      </c>
      <c r="AE3537">
        <v>-6.4702000000000002</v>
      </c>
      <c r="AF3537">
        <v>2.32885652775719</v>
      </c>
      <c r="AG3537">
        <v>-1.0983852755129999</v>
      </c>
      <c r="AH3537">
        <v>7.9818377912154901</v>
      </c>
      <c r="AI3537">
        <v>97.525342472621205</v>
      </c>
      <c r="AJ3537">
        <v>73.734367394657895</v>
      </c>
      <c r="AK3537">
        <v>8.3868800793630491</v>
      </c>
      <c r="AL3537">
        <v>89.991322015561593</v>
      </c>
      <c r="AM3537">
        <v>83.014901269441594</v>
      </c>
      <c r="AN3537">
        <v>0.99999999797911399</v>
      </c>
    </row>
    <row r="3538" spans="1:40" x14ac:dyDescent="0.25">
      <c r="A3538" t="str">
        <f>"20190312151609058"</f>
        <v>20190312151609058</v>
      </c>
      <c r="B3538" t="str">
        <f>"1552374969051043"</f>
        <v>1552374969051043</v>
      </c>
      <c r="C3538" t="s">
        <v>40</v>
      </c>
      <c r="D3538">
        <v>4.870565</v>
      </c>
      <c r="E3538">
        <v>0.55781190000000003</v>
      </c>
      <c r="F3538" t="s">
        <v>43</v>
      </c>
      <c r="G3538">
        <v>-192.86179999999999</v>
      </c>
      <c r="H3538" s="1">
        <v>-3.222712E-6</v>
      </c>
      <c r="I3538">
        <v>164.79830000000001</v>
      </c>
      <c r="J3538">
        <v>-187.39259999999999</v>
      </c>
      <c r="K3538">
        <v>1.0986149999999999</v>
      </c>
      <c r="L3538">
        <v>171.26169999999999</v>
      </c>
      <c r="M3538">
        <v>-0.40770689999999998</v>
      </c>
      <c r="N3538">
        <v>0</v>
      </c>
      <c r="O3538">
        <v>-0.91298690000000005</v>
      </c>
      <c r="P3538">
        <v>-0.51556229999999903</v>
      </c>
      <c r="Q3538">
        <v>-1.262051E-2</v>
      </c>
      <c r="R3538">
        <v>-0.8567593</v>
      </c>
      <c r="S3538">
        <v>-1.945541</v>
      </c>
      <c r="T3538">
        <v>-0.38488450000000002</v>
      </c>
      <c r="U3538">
        <v>-2.3279570000000001</v>
      </c>
      <c r="V3538">
        <v>0.121431399999999</v>
      </c>
      <c r="W3538">
        <v>-6.7279649999999998E-4</v>
      </c>
      <c r="X3538">
        <v>0.99259960000000003</v>
      </c>
      <c r="Y3538">
        <v>0.26747579999999999</v>
      </c>
      <c r="Z3538">
        <v>0.1220174</v>
      </c>
      <c r="AA3538">
        <v>0.95580770000000004</v>
      </c>
      <c r="AB3538">
        <v>38</v>
      </c>
      <c r="AC3538">
        <v>-5.4691999999999998</v>
      </c>
      <c r="AD3538">
        <v>-1.0986182227119901</v>
      </c>
      <c r="AE3538">
        <v>-6.4633999999999698</v>
      </c>
      <c r="AF3538">
        <v>2.31935681339003</v>
      </c>
      <c r="AG3538">
        <v>-1.0986182227119901</v>
      </c>
      <c r="AH3538">
        <v>7.9971226411526297</v>
      </c>
      <c r="AI3538">
        <v>97.516176229163506</v>
      </c>
      <c r="AJ3538">
        <v>73.826577085073495</v>
      </c>
      <c r="AK3538">
        <v>8.3988301902544507</v>
      </c>
      <c r="AL3538">
        <v>90.038548402762203</v>
      </c>
      <c r="AM3538">
        <v>83.025278489470594</v>
      </c>
      <c r="AN3538">
        <v>1.0000000017406201</v>
      </c>
    </row>
    <row r="3539" spans="1:40" x14ac:dyDescent="0.25">
      <c r="A3539" t="str">
        <f>"20190312151609080"</f>
        <v>20190312151609080</v>
      </c>
      <c r="B3539" t="str">
        <f>"1552374969071540"</f>
        <v>1552374969071540</v>
      </c>
      <c r="C3539" t="s">
        <v>40</v>
      </c>
      <c r="D3539">
        <v>4.8226279999999999</v>
      </c>
      <c r="E3539">
        <v>0.5570889</v>
      </c>
      <c r="F3539" t="s">
        <v>43</v>
      </c>
      <c r="G3539">
        <v>-192.91730000000001</v>
      </c>
      <c r="H3539" s="1">
        <v>-3.1880569999999999E-6</v>
      </c>
      <c r="I3539">
        <v>164.69380000000001</v>
      </c>
      <c r="J3539">
        <v>-187.5472</v>
      </c>
      <c r="K3539">
        <v>1.099043</v>
      </c>
      <c r="L3539">
        <v>170.93119999999999</v>
      </c>
      <c r="M3539">
        <v>-0.41503449999999997</v>
      </c>
      <c r="N3539">
        <v>0</v>
      </c>
      <c r="O3539">
        <v>-0.90968039999999994</v>
      </c>
      <c r="P3539">
        <v>-0.52186069999999996</v>
      </c>
      <c r="Q3539">
        <v>-1.472321E-2</v>
      </c>
      <c r="R3539">
        <v>-0.85290379999999999</v>
      </c>
      <c r="S3539">
        <v>-1.9523470000000001</v>
      </c>
      <c r="T3539">
        <v>-0.388235</v>
      </c>
      <c r="U3539">
        <v>-2.3209840000000002</v>
      </c>
      <c r="V3539">
        <v>0.120726</v>
      </c>
      <c r="W3539">
        <v>-2.692949E-3</v>
      </c>
      <c r="X3539">
        <v>0.99268219999999996</v>
      </c>
      <c r="Y3539">
        <v>0.26271529999999998</v>
      </c>
      <c r="Z3539">
        <v>0.12268</v>
      </c>
      <c r="AA3539">
        <v>0.95704250000000002</v>
      </c>
      <c r="AB3539">
        <v>38</v>
      </c>
      <c r="AC3539">
        <v>-5.3700999999999999</v>
      </c>
      <c r="AD3539">
        <v>-1.0990461880569999</v>
      </c>
      <c r="AE3539">
        <v>-6.2373999999999796</v>
      </c>
      <c r="AF3539">
        <v>2.2563678241601601</v>
      </c>
      <c r="AG3539">
        <v>-1.0990461880569999</v>
      </c>
      <c r="AH3539">
        <v>7.7652586784141997</v>
      </c>
      <c r="AI3539">
        <v>97.739777935719403</v>
      </c>
      <c r="AJ3539">
        <v>73.797607489863694</v>
      </c>
      <c r="AK3539">
        <v>8.1607806381543497</v>
      </c>
      <c r="AL3539">
        <v>90.154294801007097</v>
      </c>
      <c r="AM3539">
        <v>83.065970685285507</v>
      </c>
      <c r="AN3539">
        <v>0.99999998462357798</v>
      </c>
    </row>
    <row r="3540" spans="1:40" x14ac:dyDescent="0.25">
      <c r="A3540" t="str">
        <f>"20190312151609103"</f>
        <v>20190312151609103</v>
      </c>
      <c r="B3540" t="str">
        <f>"1552374969091059"</f>
        <v>1552374969091059</v>
      </c>
      <c r="C3540" t="s">
        <v>40</v>
      </c>
      <c r="D3540">
        <v>4.7932309999999996</v>
      </c>
      <c r="E3540">
        <v>0.55631629999999999</v>
      </c>
      <c r="F3540" t="s">
        <v>43</v>
      </c>
      <c r="G3540">
        <v>-193.04519999999999</v>
      </c>
      <c r="H3540" s="1">
        <v>-3.114652E-6</v>
      </c>
      <c r="I3540">
        <v>164.4665</v>
      </c>
      <c r="J3540">
        <v>-187.71530000000001</v>
      </c>
      <c r="K3540">
        <v>1.0995269999999999</v>
      </c>
      <c r="L3540">
        <v>170.5787</v>
      </c>
      <c r="M3540">
        <v>-0.42244340000000002</v>
      </c>
      <c r="N3540">
        <v>0</v>
      </c>
      <c r="O3540">
        <v>-0.90626459999999998</v>
      </c>
      <c r="P3540">
        <v>-0.52814810000000001</v>
      </c>
      <c r="Q3540">
        <v>-1.6244990000000001E-2</v>
      </c>
      <c r="R3540">
        <v>-0.84899690000000005</v>
      </c>
      <c r="S3540">
        <v>-1.9638059999999999</v>
      </c>
      <c r="T3540">
        <v>-0.39256380000000002</v>
      </c>
      <c r="U3540">
        <v>-2.3090670000000002</v>
      </c>
      <c r="V3540">
        <v>0.1199387</v>
      </c>
      <c r="W3540">
        <v>-4.1198789999999999E-3</v>
      </c>
      <c r="X3540">
        <v>0.99277280000000001</v>
      </c>
      <c r="Y3540">
        <v>0.2599342</v>
      </c>
      <c r="Z3540">
        <v>0.123708399999999</v>
      </c>
      <c r="AA3540">
        <v>0.95766929999999995</v>
      </c>
      <c r="AB3540">
        <v>38</v>
      </c>
      <c r="AC3540">
        <v>-5.3298999999999799</v>
      </c>
      <c r="AD3540">
        <v>-1.099530114652</v>
      </c>
      <c r="AE3540">
        <v>-6.1121999999999996</v>
      </c>
      <c r="AF3540">
        <v>2.2079081557330298</v>
      </c>
      <c r="AG3540">
        <v>-1.099530114652</v>
      </c>
      <c r="AH3540">
        <v>7.6510852819061901</v>
      </c>
      <c r="AI3540">
        <v>97.861401047241202</v>
      </c>
      <c r="AJ3540">
        <v>73.903208476289294</v>
      </c>
      <c r="AK3540">
        <v>8.0388389017432402</v>
      </c>
      <c r="AL3540">
        <v>90.236052335059199</v>
      </c>
      <c r="AM3540">
        <v>83.111376795701204</v>
      </c>
      <c r="AN3540">
        <v>1.0000000487902501</v>
      </c>
    </row>
    <row r="3541" spans="1:40" x14ac:dyDescent="0.25">
      <c r="A3541" t="str">
        <f>"20190312151609125"</f>
        <v>20190312151609125</v>
      </c>
      <c r="B3541" t="str">
        <f>"1552374969121315"</f>
        <v>1552374969121315</v>
      </c>
      <c r="C3541" t="s">
        <v>40</v>
      </c>
      <c r="D3541">
        <v>4.8763040000000002</v>
      </c>
      <c r="E3541">
        <v>0.55568680000000004</v>
      </c>
      <c r="F3541" t="s">
        <v>43</v>
      </c>
      <c r="G3541">
        <v>-193.1969</v>
      </c>
      <c r="H3541" s="1">
        <v>-3.0309460000000001E-6</v>
      </c>
      <c r="I3541">
        <v>164.20410000000001</v>
      </c>
      <c r="J3541">
        <v>-187.8845</v>
      </c>
      <c r="K3541">
        <v>1.1000319999999999</v>
      </c>
      <c r="L3541">
        <v>170.2304</v>
      </c>
      <c r="M3541">
        <v>-0.42933320000000003</v>
      </c>
      <c r="N3541">
        <v>0</v>
      </c>
      <c r="O3541">
        <v>-0.9030222</v>
      </c>
      <c r="P3541">
        <v>-0.53435310000000003</v>
      </c>
      <c r="Q3541">
        <v>-1.706322E-2</v>
      </c>
      <c r="R3541">
        <v>-0.84508950000000005</v>
      </c>
      <c r="S3541">
        <v>-1.9753719999999999</v>
      </c>
      <c r="T3541">
        <v>-0.3962328</v>
      </c>
      <c r="U3541">
        <v>-2.2971949999999999</v>
      </c>
      <c r="V3541">
        <v>0.119642899999999</v>
      </c>
      <c r="W3541">
        <v>-4.8521420000000003E-3</v>
      </c>
      <c r="X3541">
        <v>0.9928051</v>
      </c>
      <c r="Y3541">
        <v>0.25771339999999998</v>
      </c>
      <c r="Z3541">
        <v>0.1245439</v>
      </c>
      <c r="AA3541">
        <v>0.95816109999999999</v>
      </c>
      <c r="AB3541">
        <v>38</v>
      </c>
      <c r="AC3541">
        <v>-5.3123999999999896</v>
      </c>
      <c r="AD3541">
        <v>-1.1000350309460001</v>
      </c>
      <c r="AE3541">
        <v>-6.0262999999999902</v>
      </c>
      <c r="AF3541">
        <v>2.16949418783617</v>
      </c>
      <c r="AG3541">
        <v>-1.1000350309460001</v>
      </c>
      <c r="AH3541">
        <v>7.5813870766472</v>
      </c>
      <c r="AI3541">
        <v>97.941376052791398</v>
      </c>
      <c r="AJ3541">
        <v>74.030965525711693</v>
      </c>
      <c r="AK3541">
        <v>7.9620482356185498</v>
      </c>
      <c r="AL3541">
        <v>90.278008358336294</v>
      </c>
      <c r="AM3541">
        <v>83.128424710380202</v>
      </c>
      <c r="AN3541">
        <v>0.99999996669420299</v>
      </c>
    </row>
    <row r="3542" spans="1:40" x14ac:dyDescent="0.25">
      <c r="A3542" t="str">
        <f>"20190312151609137"</f>
        <v>20190312151609137</v>
      </c>
      <c r="B3542" t="str">
        <f>"1552374969131075"</f>
        <v>1552374969131075</v>
      </c>
      <c r="C3542" t="s">
        <v>40</v>
      </c>
      <c r="D3542">
        <v>4.8242529999999997</v>
      </c>
      <c r="E3542">
        <v>0.55531980000000003</v>
      </c>
      <c r="F3542" t="s">
        <v>43</v>
      </c>
      <c r="G3542">
        <v>-193.37360000000001</v>
      </c>
      <c r="H3542" s="1">
        <v>-2.942878E-6</v>
      </c>
      <c r="I3542">
        <v>163.91829999999999</v>
      </c>
      <c r="J3542">
        <v>-187.98140000000001</v>
      </c>
      <c r="K3542">
        <v>1.10033</v>
      </c>
      <c r="L3542">
        <v>170.03370000000001</v>
      </c>
      <c r="M3542">
        <v>-0.4330271</v>
      </c>
      <c r="N3542">
        <v>0</v>
      </c>
      <c r="O3542">
        <v>-0.90125719999999998</v>
      </c>
      <c r="P3542">
        <v>-0.53796089999999996</v>
      </c>
      <c r="Q3542">
        <v>-1.6951560000000001E-2</v>
      </c>
      <c r="R3542">
        <v>-0.84279969999999904</v>
      </c>
      <c r="S3542">
        <v>-1.9873050000000001</v>
      </c>
      <c r="T3542">
        <v>-0.39826080000000003</v>
      </c>
      <c r="U3542">
        <v>-2.2852779999999999</v>
      </c>
      <c r="V3542">
        <v>0.119826</v>
      </c>
      <c r="W3542">
        <v>-4.6968460000000002E-3</v>
      </c>
      <c r="X3542">
        <v>0.99278379999999999</v>
      </c>
      <c r="Y3542">
        <v>0.25902449999999999</v>
      </c>
      <c r="Z3542">
        <v>0.12509509999999999</v>
      </c>
      <c r="AA3542">
        <v>0.95773560000000002</v>
      </c>
      <c r="AB3542">
        <v>38</v>
      </c>
      <c r="AC3542">
        <v>-5.3921999999999999</v>
      </c>
      <c r="AD3542">
        <v>-1.100332942878</v>
      </c>
      <c r="AE3542">
        <v>-6.1154000000000197</v>
      </c>
      <c r="AF3542">
        <v>2.1723061637502199</v>
      </c>
      <c r="AG3542">
        <v>-1.100332942878</v>
      </c>
      <c r="AH3542">
        <v>7.7070191079543999</v>
      </c>
      <c r="AI3542">
        <v>97.824353287474594</v>
      </c>
      <c r="AJ3542">
        <v>74.258939218602293</v>
      </c>
      <c r="AK3542">
        <v>8.0825608679813907</v>
      </c>
      <c r="AL3542">
        <v>90.269110441712101</v>
      </c>
      <c r="AM3542">
        <v>83.117863080398493</v>
      </c>
      <c r="AN3542">
        <v>1.0000000020903901</v>
      </c>
    </row>
    <row r="3543" spans="1:40" x14ac:dyDescent="0.25">
      <c r="A3543" t="str">
        <f>"20190312151609157"</f>
        <v>20190312151609157</v>
      </c>
      <c r="B3543" t="str">
        <f>"1552374969151572"</f>
        <v>1552374969151572</v>
      </c>
      <c r="C3543" t="s">
        <v>40</v>
      </c>
      <c r="D3543">
        <v>4.8634510000000004</v>
      </c>
      <c r="E3543">
        <v>0.55464720000000001</v>
      </c>
      <c r="F3543" t="s">
        <v>43</v>
      </c>
      <c r="G3543">
        <v>-193.47739999999999</v>
      </c>
      <c r="H3543" s="1">
        <v>-2.8930289999999998E-6</v>
      </c>
      <c r="I3543">
        <v>163.7544</v>
      </c>
      <c r="J3543">
        <v>-188.12970000000001</v>
      </c>
      <c r="K3543">
        <v>1.1008070000000001</v>
      </c>
      <c r="L3543">
        <v>169.73599999999999</v>
      </c>
      <c r="M3543">
        <v>-0.43830360000000002</v>
      </c>
      <c r="N3543">
        <v>0</v>
      </c>
      <c r="O3543">
        <v>-0.89870399999999995</v>
      </c>
      <c r="P3543">
        <v>-0.54320939999999995</v>
      </c>
      <c r="Q3543">
        <v>-1.666101E-2</v>
      </c>
      <c r="R3543">
        <v>-0.83943250000000003</v>
      </c>
      <c r="S3543">
        <v>-1.9943390000000001</v>
      </c>
      <c r="T3543">
        <v>-0.39927600000000002</v>
      </c>
      <c r="U3543">
        <v>-2.2785489999999999</v>
      </c>
      <c r="V3543">
        <v>0.1202081</v>
      </c>
      <c r="W3543">
        <v>-4.3363009999999999E-3</v>
      </c>
      <c r="X3543">
        <v>0.99273929999999999</v>
      </c>
      <c r="Y3543">
        <v>0.2564282</v>
      </c>
      <c r="Z3543">
        <v>0.125108199999999</v>
      </c>
      <c r="AA3543">
        <v>0.95843230000000001</v>
      </c>
      <c r="AB3543">
        <v>38</v>
      </c>
      <c r="AC3543">
        <v>-5.3476999999999704</v>
      </c>
      <c r="AD3543">
        <v>-1.10080989302899</v>
      </c>
      <c r="AE3543">
        <v>-5.9815999999999798</v>
      </c>
      <c r="AF3543">
        <v>2.1441249835278602</v>
      </c>
      <c r="AG3543">
        <v>-1.10080989302899</v>
      </c>
      <c r="AH3543">
        <v>7.5778194539914798</v>
      </c>
      <c r="AI3543">
        <v>97.957233466234896</v>
      </c>
      <c r="AJ3543">
        <v>74.201272558487503</v>
      </c>
      <c r="AK3543">
        <v>7.9518804092409896</v>
      </c>
      <c r="AL3543">
        <v>90.248452511144095</v>
      </c>
      <c r="AM3543">
        <v>83.095822379816994</v>
      </c>
      <c r="AN3543">
        <v>1.0000000542882199</v>
      </c>
    </row>
    <row r="3544" spans="1:40" x14ac:dyDescent="0.25">
      <c r="A3544" t="str">
        <f>"20190312151609179"</f>
        <v>20190312151609179</v>
      </c>
      <c r="B3544" t="str">
        <f>"1552374969171091"</f>
        <v>1552374969171091</v>
      </c>
      <c r="C3544" t="s">
        <v>40</v>
      </c>
      <c r="D3544">
        <v>5.1539489999999999</v>
      </c>
      <c r="E3544">
        <v>0.55425429999999998</v>
      </c>
      <c r="F3544" t="s">
        <v>43</v>
      </c>
      <c r="G3544">
        <v>-193.6891</v>
      </c>
      <c r="H3544" s="1">
        <v>-2.8006279999999998E-6</v>
      </c>
      <c r="I3544">
        <v>163.43979999999999</v>
      </c>
      <c r="J3544">
        <v>-188.30199999999999</v>
      </c>
      <c r="K3544">
        <v>1.1013839999999999</v>
      </c>
      <c r="L3544">
        <v>169.3948</v>
      </c>
      <c r="M3544">
        <v>-0.44387359999999998</v>
      </c>
      <c r="N3544">
        <v>0</v>
      </c>
      <c r="O3544">
        <v>-0.89596679999999995</v>
      </c>
      <c r="P3544">
        <v>-0.54893199999999998</v>
      </c>
      <c r="Q3544">
        <v>-1.5482630000000001E-2</v>
      </c>
      <c r="R3544">
        <v>-0.83572359999999901</v>
      </c>
      <c r="S3544">
        <v>-2.0037539999999998</v>
      </c>
      <c r="T3544">
        <v>-0.39676129999999998</v>
      </c>
      <c r="U3544">
        <v>-2.2693180000000002</v>
      </c>
      <c r="V3544">
        <v>0.1208458</v>
      </c>
      <c r="W3544">
        <v>-3.0721799999999999E-3</v>
      </c>
      <c r="X3544">
        <v>0.99266650000000001</v>
      </c>
      <c r="Y3544">
        <v>0.25468560000000001</v>
      </c>
      <c r="Z3544">
        <v>0.12404900000000001</v>
      </c>
      <c r="AA3544">
        <v>0.95903450000000001</v>
      </c>
      <c r="AB3544">
        <v>38</v>
      </c>
      <c r="AC3544">
        <v>-5.38709999999997</v>
      </c>
      <c r="AD3544">
        <v>-1.1013868006280001</v>
      </c>
      <c r="AE3544">
        <v>-5.9550000000000098</v>
      </c>
      <c r="AF3544">
        <v>2.14331528426536</v>
      </c>
      <c r="AG3544">
        <v>-1.1013868006280001</v>
      </c>
      <c r="AH3544">
        <v>7.5848366809327903</v>
      </c>
      <c r="AI3544">
        <v>97.954836655780994</v>
      </c>
      <c r="AJ3544">
        <v>74.220824259136506</v>
      </c>
      <c r="AK3544">
        <v>7.9584295416110002</v>
      </c>
      <c r="AL3544">
        <v>90.176023231320798</v>
      </c>
      <c r="AM3544">
        <v>83.059048224064696</v>
      </c>
      <c r="AN3544">
        <v>0.99999996294492</v>
      </c>
    </row>
    <row r="3545" spans="1:40" x14ac:dyDescent="0.25">
      <c r="A3545" t="str">
        <f>"20190312151609191"</f>
        <v>20190312151609191</v>
      </c>
      <c r="B3545" t="str">
        <f>"1552374969181253"</f>
        <v>1552374969181253</v>
      </c>
      <c r="C3545" t="s">
        <v>40</v>
      </c>
      <c r="D3545">
        <v>5.042497</v>
      </c>
      <c r="E3545">
        <v>0.55413100000000004</v>
      </c>
      <c r="F3545" t="s">
        <v>43</v>
      </c>
      <c r="G3545">
        <v>-193.90629999999999</v>
      </c>
      <c r="H3545" s="1">
        <v>-2.7077419999999998E-6</v>
      </c>
      <c r="I3545">
        <v>163.12100000000001</v>
      </c>
      <c r="J3545">
        <v>-188.39850000000001</v>
      </c>
      <c r="K3545">
        <v>1.10171</v>
      </c>
      <c r="L3545">
        <v>169.20529999999999</v>
      </c>
      <c r="M3545">
        <v>-0.44679720000000001</v>
      </c>
      <c r="N3545">
        <v>0</v>
      </c>
      <c r="O3545">
        <v>-0.89451309999999995</v>
      </c>
      <c r="P3545">
        <v>-0.55188340000000002</v>
      </c>
      <c r="Q3545">
        <v>-1.513775E-2</v>
      </c>
      <c r="R3545">
        <v>-0.83378390000000002</v>
      </c>
      <c r="S3545">
        <v>-2.0167540000000002</v>
      </c>
      <c r="T3545">
        <v>-0.39634469999999999</v>
      </c>
      <c r="U3545">
        <v>-2.2576749999999999</v>
      </c>
      <c r="V3545">
        <v>0.12111909999999999</v>
      </c>
      <c r="W3545">
        <v>-2.6750290000000002E-3</v>
      </c>
      <c r="X3545">
        <v>0.99263440000000003</v>
      </c>
      <c r="Y3545">
        <v>0.25707079999999999</v>
      </c>
      <c r="Z3545">
        <v>0.1238586</v>
      </c>
      <c r="AA3545">
        <v>0.95842249999999996</v>
      </c>
      <c r="AB3545">
        <v>38</v>
      </c>
      <c r="AC3545">
        <v>-5.5077999999999703</v>
      </c>
      <c r="AD3545">
        <v>-1.1017127077419999</v>
      </c>
      <c r="AE3545">
        <v>-6.0842999999999803</v>
      </c>
      <c r="AF3545">
        <v>2.16949676286989</v>
      </c>
      <c r="AG3545">
        <v>-1.1017127077419999</v>
      </c>
      <c r="AH3545">
        <v>7.7643020393415103</v>
      </c>
      <c r="AI3545">
        <v>97.781835591647095</v>
      </c>
      <c r="AJ3545">
        <v>74.388604680627395</v>
      </c>
      <c r="AK3545">
        <v>8.1366377117717299</v>
      </c>
      <c r="AL3545">
        <v>90.153268051178102</v>
      </c>
      <c r="AM3545">
        <v>83.043281732151797</v>
      </c>
      <c r="AN3545">
        <v>1.0000000221141601</v>
      </c>
    </row>
    <row r="3546" spans="1:40" x14ac:dyDescent="0.25">
      <c r="A3546" t="str">
        <f>"20190312151609211"</f>
        <v>20190312151609211</v>
      </c>
      <c r="B3546" t="str">
        <f>"1552374969200911"</f>
        <v>1552374969200911</v>
      </c>
      <c r="C3546" t="s">
        <v>40</v>
      </c>
      <c r="D3546">
        <v>4.8354059999999999</v>
      </c>
      <c r="E3546">
        <v>0.55340800000000001</v>
      </c>
      <c r="F3546" t="s">
        <v>43</v>
      </c>
      <c r="G3546">
        <v>-194.02629999999999</v>
      </c>
      <c r="H3546" s="1">
        <v>-2.6565080000000001E-6</v>
      </c>
      <c r="I3546">
        <v>162.9451</v>
      </c>
      <c r="J3546">
        <v>-188.55459999999999</v>
      </c>
      <c r="K3546">
        <v>1.1022350000000001</v>
      </c>
      <c r="L3546">
        <v>168.90199999999999</v>
      </c>
      <c r="M3546">
        <v>-0.45111630000000003</v>
      </c>
      <c r="N3546">
        <v>0</v>
      </c>
      <c r="O3546">
        <v>-0.89234360000000001</v>
      </c>
      <c r="P3546">
        <v>-0.55584650000000002</v>
      </c>
      <c r="Q3546">
        <v>-1.371498E-2</v>
      </c>
      <c r="R3546">
        <v>-0.83117209999999997</v>
      </c>
      <c r="S3546">
        <v>-2.0238339999999999</v>
      </c>
      <c r="T3546">
        <v>-0.39619599999999999</v>
      </c>
      <c r="U3546">
        <v>-2.2512819999999998</v>
      </c>
      <c r="V3546">
        <v>0.1210618</v>
      </c>
      <c r="W3546">
        <v>-1.15587E-3</v>
      </c>
      <c r="X3546">
        <v>0.99264430000000003</v>
      </c>
      <c r="Y3546">
        <v>0.25544050000000001</v>
      </c>
      <c r="Z3546">
        <v>0.123557399999999</v>
      </c>
      <c r="AA3546">
        <v>0.95889709999999995</v>
      </c>
      <c r="AB3546">
        <v>38</v>
      </c>
      <c r="AC3546">
        <v>-5.4716999999999896</v>
      </c>
      <c r="AD3546">
        <v>-1.1022376565080001</v>
      </c>
      <c r="AE3546">
        <v>-5.9569000000000099</v>
      </c>
      <c r="AF3546">
        <v>2.15559064931456</v>
      </c>
      <c r="AG3546">
        <v>-1.1022376565080001</v>
      </c>
      <c r="AH3546">
        <v>7.6428906606670797</v>
      </c>
      <c r="AI3546">
        <v>97.902302499979996</v>
      </c>
      <c r="AJ3546">
        <v>74.249496175202594</v>
      </c>
      <c r="AK3546">
        <v>8.0171863237515399</v>
      </c>
      <c r="AL3546">
        <v>90.066226487353703</v>
      </c>
      <c r="AM3546">
        <v>83.046609314923401</v>
      </c>
      <c r="AN3546">
        <v>1.0000000008885901</v>
      </c>
    </row>
    <row r="3547" spans="1:40" x14ac:dyDescent="0.25">
      <c r="A3547" t="str">
        <f>"20190312151609224"</f>
        <v>20190312151609224</v>
      </c>
      <c r="B3547" t="str">
        <f>"1552374969221407"</f>
        <v>1552374969221407</v>
      </c>
      <c r="C3547" t="s">
        <v>40</v>
      </c>
      <c r="D3547">
        <v>4.9292230000000004</v>
      </c>
      <c r="E3547">
        <v>0.55281819999999904</v>
      </c>
      <c r="F3547" t="s">
        <v>43</v>
      </c>
      <c r="G3547">
        <v>-194.2593</v>
      </c>
      <c r="H3547" s="1">
        <v>-2.5515399999999999E-6</v>
      </c>
      <c r="I3547">
        <v>162.59190000000001</v>
      </c>
      <c r="J3547">
        <v>-188.65280000000001</v>
      </c>
      <c r="K3547">
        <v>1.1025689999999999</v>
      </c>
      <c r="L3547">
        <v>168.71289999999999</v>
      </c>
      <c r="M3547">
        <v>-0.45356350000000001</v>
      </c>
      <c r="N3547">
        <v>0</v>
      </c>
      <c r="O3547">
        <v>-0.89110270000000003</v>
      </c>
      <c r="P3547">
        <v>-0.5579153</v>
      </c>
      <c r="Q3547">
        <v>-1.288219E-2</v>
      </c>
      <c r="R3547">
        <v>-0.82979789999999998</v>
      </c>
      <c r="S3547">
        <v>-2.029938</v>
      </c>
      <c r="T3547">
        <v>-0.39221489999999998</v>
      </c>
      <c r="U3547">
        <v>-2.245377</v>
      </c>
      <c r="V3547">
        <v>0.1208187</v>
      </c>
      <c r="W3547">
        <v>-2.564976E-4</v>
      </c>
      <c r="X3547">
        <v>0.99267450000000002</v>
      </c>
      <c r="Y3547">
        <v>0.25559500000000002</v>
      </c>
      <c r="Z3547">
        <v>0.12223290000000001</v>
      </c>
      <c r="AA3547">
        <v>0.95902569999999998</v>
      </c>
      <c r="AB3547">
        <v>38</v>
      </c>
      <c r="AC3547">
        <v>-5.6064999999999801</v>
      </c>
      <c r="AD3547">
        <v>-1.1025715515400001</v>
      </c>
      <c r="AE3547">
        <v>-6.12099999999998</v>
      </c>
      <c r="AF3547">
        <v>2.1814553674570099</v>
      </c>
      <c r="AG3547">
        <v>-1.1025715515400001</v>
      </c>
      <c r="AH3547">
        <v>7.8595339671389004</v>
      </c>
      <c r="AI3547">
        <v>97.698265202879</v>
      </c>
      <c r="AJ3547">
        <v>74.487723206480297</v>
      </c>
      <c r="AK3547">
        <v>8.2308374863729696</v>
      </c>
      <c r="AL3547">
        <v>90.014696230926603</v>
      </c>
      <c r="AM3547">
        <v>83.060644952221296</v>
      </c>
      <c r="AN3547">
        <v>0.99999994350547705</v>
      </c>
    </row>
    <row r="3548" spans="1:40" x14ac:dyDescent="0.25">
      <c r="A3548" t="str">
        <f>"20190312151609237"</f>
        <v>20190312151609237</v>
      </c>
      <c r="B3548" t="str">
        <f>"1552374969231167"</f>
        <v>1552374969231167</v>
      </c>
      <c r="C3548" t="s">
        <v>40</v>
      </c>
      <c r="D3548">
        <v>4.9679890000000002</v>
      </c>
      <c r="E3548">
        <v>0.55288300000000001</v>
      </c>
      <c r="F3548" t="s">
        <v>43</v>
      </c>
      <c r="G3548">
        <v>-194.38560000000001</v>
      </c>
      <c r="H3548" s="1">
        <v>-2.4866320000000001E-6</v>
      </c>
      <c r="I3548">
        <v>162.3835</v>
      </c>
      <c r="J3548">
        <v>-188.75739999999999</v>
      </c>
      <c r="K3548">
        <v>1.102924</v>
      </c>
      <c r="L3548">
        <v>168.51240000000001</v>
      </c>
      <c r="M3548">
        <v>-0.45604339999999999</v>
      </c>
      <c r="N3548">
        <v>0</v>
      </c>
      <c r="O3548">
        <v>-0.88983679999999998</v>
      </c>
      <c r="P3548">
        <v>-0.55992549999999996</v>
      </c>
      <c r="Q3548">
        <v>-1.2371790000000001E-2</v>
      </c>
      <c r="R3548">
        <v>-0.82845100000000005</v>
      </c>
      <c r="S3548">
        <v>-2.0317690000000002</v>
      </c>
      <c r="T3548">
        <v>-0.39076480000000002</v>
      </c>
      <c r="U3548">
        <v>-2.2432249999999998</v>
      </c>
      <c r="V3548">
        <v>0.1204653</v>
      </c>
      <c r="W3548">
        <v>3.2693540000000001E-4</v>
      </c>
      <c r="X3548">
        <v>0.99271750000000003</v>
      </c>
      <c r="Y3548">
        <v>0.25384119999999999</v>
      </c>
      <c r="Z3548">
        <v>0.121628</v>
      </c>
      <c r="AA3548">
        <v>0.95956830000000004</v>
      </c>
      <c r="AB3548">
        <v>38</v>
      </c>
      <c r="AC3548">
        <v>-5.6282000000000201</v>
      </c>
      <c r="AD3548">
        <v>-1.1029264866320001</v>
      </c>
      <c r="AE3548">
        <v>-6.1289000000000096</v>
      </c>
      <c r="AF3548">
        <v>2.1751585411139902</v>
      </c>
      <c r="AG3548">
        <v>-1.1029264866320001</v>
      </c>
      <c r="AH3548">
        <v>7.8827968485307496</v>
      </c>
      <c r="AI3548">
        <v>97.681415511424007</v>
      </c>
      <c r="AJ3548">
        <v>74.573827339077297</v>
      </c>
      <c r="AK3548">
        <v>8.2514391271524197</v>
      </c>
      <c r="AL3548">
        <v>89.9812679813557</v>
      </c>
      <c r="AM3548">
        <v>83.081042617875895</v>
      </c>
      <c r="AN3548">
        <v>1.00000001509854</v>
      </c>
    </row>
    <row r="3549" spans="1:40" x14ac:dyDescent="0.25">
      <c r="A3549" t="str">
        <f>"20190312151609249"</f>
        <v>20190312151609249</v>
      </c>
      <c r="B3549" t="str">
        <f>"1552374969240927"</f>
        <v>1552374969240927</v>
      </c>
      <c r="C3549" t="s">
        <v>40</v>
      </c>
      <c r="D3549">
        <v>4.8336620000000003</v>
      </c>
      <c r="E3549">
        <v>0.55337939999999997</v>
      </c>
      <c r="F3549" t="s">
        <v>43</v>
      </c>
      <c r="G3549">
        <v>-194.51249999999999</v>
      </c>
      <c r="H3549" s="1">
        <v>-2.4287990000000001E-6</v>
      </c>
      <c r="I3549">
        <v>162.18969999999999</v>
      </c>
      <c r="J3549">
        <v>-188.85319999999999</v>
      </c>
      <c r="K3549">
        <v>1.1032459999999999</v>
      </c>
      <c r="L3549">
        <v>168.3296</v>
      </c>
      <c r="M3549">
        <v>-0.45815260000000002</v>
      </c>
      <c r="N3549">
        <v>0</v>
      </c>
      <c r="O3549">
        <v>-0.88875319999999902</v>
      </c>
      <c r="P3549">
        <v>-0.56163109999999905</v>
      </c>
      <c r="Q3549">
        <v>-1.226585E-2</v>
      </c>
      <c r="R3549">
        <v>-0.82729719999999995</v>
      </c>
      <c r="S3549">
        <v>-2.0374300000000001</v>
      </c>
      <c r="T3549">
        <v>-0.39045809999999997</v>
      </c>
      <c r="U3549">
        <v>-2.2383730000000002</v>
      </c>
      <c r="V3549">
        <v>0.120156399999999</v>
      </c>
      <c r="W3549">
        <v>4.9859679999999997E-4</v>
      </c>
      <c r="X3549">
        <v>0.9927549</v>
      </c>
      <c r="Y3549">
        <v>0.25392589999999998</v>
      </c>
      <c r="Z3549">
        <v>0.12142509999999999</v>
      </c>
      <c r="AA3549">
        <v>0.95957150000000002</v>
      </c>
      <c r="AB3549">
        <v>38</v>
      </c>
      <c r="AC3549">
        <v>-5.6593</v>
      </c>
      <c r="AD3549">
        <v>-1.1032484287990001</v>
      </c>
      <c r="AE3549">
        <v>-6.1399000000000097</v>
      </c>
      <c r="AF3549">
        <v>2.1789113247688801</v>
      </c>
      <c r="AG3549">
        <v>-1.1032484287990001</v>
      </c>
      <c r="AH3549">
        <v>7.9124186546841901</v>
      </c>
      <c r="AI3549">
        <v>97.656290245115997</v>
      </c>
      <c r="AJ3549">
        <v>74.603579932509007</v>
      </c>
      <c r="AK3549">
        <v>8.2807717408371904</v>
      </c>
      <c r="AL3549">
        <v>89.971432507933599</v>
      </c>
      <c r="AM3549">
        <v>83.098870536453603</v>
      </c>
      <c r="AN3549">
        <v>1.00000005026686</v>
      </c>
    </row>
    <row r="3550" spans="1:40" x14ac:dyDescent="0.25">
      <c r="A3550" t="str">
        <f>"20190312151609269"</f>
        <v>20190312151609269</v>
      </c>
      <c r="B3550" t="str">
        <f>"1552374969261423"</f>
        <v>1552374969261423</v>
      </c>
      <c r="C3550" t="s">
        <v>40</v>
      </c>
      <c r="D3550">
        <v>5.0519499999999997</v>
      </c>
      <c r="E3550">
        <v>0.58337490000000003</v>
      </c>
      <c r="F3550" t="s">
        <v>43</v>
      </c>
      <c r="G3550">
        <v>-194.66399999999999</v>
      </c>
      <c r="H3550" s="1">
        <v>-2.3736980000000002E-6</v>
      </c>
      <c r="I3550">
        <v>161.9879</v>
      </c>
      <c r="J3550">
        <v>-189.00399999999999</v>
      </c>
      <c r="K3550">
        <v>1.103729</v>
      </c>
      <c r="L3550">
        <v>168.0438</v>
      </c>
      <c r="M3550">
        <v>-0.4611962</v>
      </c>
      <c r="N3550">
        <v>0</v>
      </c>
      <c r="O3550">
        <v>-0.88717800000000002</v>
      </c>
      <c r="P3550">
        <v>-0.5634903</v>
      </c>
      <c r="Q3550">
        <v>-1.2053309999999999E-2</v>
      </c>
      <c r="R3550">
        <v>-0.82603470000000001</v>
      </c>
      <c r="S3550">
        <v>-2.0451809999999999</v>
      </c>
      <c r="T3550">
        <v>-0.3883065</v>
      </c>
      <c r="U3550">
        <v>-2.232056</v>
      </c>
      <c r="V3550">
        <v>0.1189871</v>
      </c>
      <c r="W3550">
        <v>8.1903140000000004E-4</v>
      </c>
      <c r="X3550">
        <v>0.99289550000000004</v>
      </c>
      <c r="Y3550">
        <v>0.25384780000000001</v>
      </c>
      <c r="Z3550">
        <v>0.1205918</v>
      </c>
      <c r="AA3550">
        <v>0.95969729999999998</v>
      </c>
      <c r="AB3550">
        <v>38</v>
      </c>
      <c r="AC3550">
        <v>-5.6599999999999904</v>
      </c>
      <c r="AD3550">
        <v>-1.1037313736979999</v>
      </c>
      <c r="AE3550">
        <v>-6.0559000000000003</v>
      </c>
      <c r="AF3550">
        <v>2.18988039642386</v>
      </c>
      <c r="AG3550">
        <v>-1.1037313736979999</v>
      </c>
      <c r="AH3550">
        <v>7.8447945566768604</v>
      </c>
      <c r="AI3550">
        <v>97.717427450399995</v>
      </c>
      <c r="AJ3550">
        <v>74.402883681488007</v>
      </c>
      <c r="AK3550">
        <v>8.2191605856312204</v>
      </c>
      <c r="AL3550">
        <v>89.953072953997406</v>
      </c>
      <c r="AM3550">
        <v>83.166349094068906</v>
      </c>
      <c r="AN3550">
        <v>1.0000000373495399</v>
      </c>
    </row>
    <row r="3551" spans="1:40" x14ac:dyDescent="0.25">
      <c r="A3551" t="str">
        <f>"20190312151609283"</f>
        <v>20190312151609283</v>
      </c>
      <c r="B3551" t="str">
        <f>"1552374969271183"</f>
        <v>1552374969271183</v>
      </c>
      <c r="C3551" t="s">
        <v>40</v>
      </c>
      <c r="D3551">
        <v>5.0490810000000002</v>
      </c>
      <c r="E3551">
        <v>0.58293499999999998</v>
      </c>
      <c r="F3551" t="s">
        <v>58</v>
      </c>
      <c r="G3551">
        <v>-199.0616</v>
      </c>
      <c r="H3551" s="1">
        <v>-1.47338299999999E-5</v>
      </c>
      <c r="I3551">
        <v>158.64789999999999</v>
      </c>
      <c r="J3551">
        <v>-189.12209999999999</v>
      </c>
      <c r="K3551">
        <v>1.1040700000000001</v>
      </c>
      <c r="L3551">
        <v>167.8212</v>
      </c>
      <c r="M3551">
        <v>-0.46339180000000002</v>
      </c>
      <c r="N3551">
        <v>0</v>
      </c>
      <c r="O3551">
        <v>-0.88603379999999998</v>
      </c>
      <c r="P3551">
        <v>-0.5649651</v>
      </c>
      <c r="Q3551">
        <v>-1.184345E-2</v>
      </c>
      <c r="R3551">
        <v>-0.82502980000000004</v>
      </c>
      <c r="S3551">
        <v>-2.244675</v>
      </c>
      <c r="T3551">
        <v>-0.24633479999999999</v>
      </c>
      <c r="U3551">
        <v>-2.0969850000000001</v>
      </c>
      <c r="V3551">
        <v>0.11830259999999999</v>
      </c>
      <c r="W3551">
        <v>1.1008420000000001E-3</v>
      </c>
      <c r="X3551">
        <v>0.992977</v>
      </c>
      <c r="Y3551">
        <v>0.32874320000000001</v>
      </c>
      <c r="Z3551">
        <v>7.7135029999999993E-2</v>
      </c>
      <c r="AA3551">
        <v>0.94126410000000005</v>
      </c>
      <c r="AB3551">
        <v>38</v>
      </c>
      <c r="AC3551">
        <v>-9.9395000000000095</v>
      </c>
      <c r="AD3551">
        <v>-1.1040847338299999</v>
      </c>
      <c r="AE3551">
        <v>-9.17330000000001</v>
      </c>
      <c r="AF3551">
        <v>4.5262247353840701</v>
      </c>
      <c r="AG3551">
        <v>-1.1040847338299999</v>
      </c>
      <c r="AH3551">
        <v>12.650791659033599</v>
      </c>
      <c r="AI3551">
        <v>94.697606133390096</v>
      </c>
      <c r="AJ3551">
        <v>70.313708122000804</v>
      </c>
      <c r="AK3551">
        <v>13.4814036010703</v>
      </c>
      <c r="AL3551">
        <v>89.936926387997104</v>
      </c>
      <c r="AM3551">
        <v>83.205845084966995</v>
      </c>
      <c r="AN3551">
        <v>1.0000000197744301</v>
      </c>
    </row>
    <row r="3552" spans="1:40" x14ac:dyDescent="0.25">
      <c r="A3552" t="str">
        <f>"20190312151609303"</f>
        <v>20190312151609303</v>
      </c>
      <c r="B3552" t="str">
        <f>"1552374969291679"</f>
        <v>1552374969291679</v>
      </c>
      <c r="C3552" t="s">
        <v>40</v>
      </c>
      <c r="D3552">
        <v>5.0271160000000004</v>
      </c>
      <c r="E3552">
        <v>0.58213950000000003</v>
      </c>
      <c r="F3552" t="s">
        <v>58</v>
      </c>
      <c r="G3552">
        <v>-198.70140000000001</v>
      </c>
      <c r="H3552" s="1">
        <v>-1.4793900000000001E-5</v>
      </c>
      <c r="I3552">
        <v>158.88669999999999</v>
      </c>
      <c r="J3552">
        <v>-189.27619999999999</v>
      </c>
      <c r="K3552">
        <v>1.1044719999999999</v>
      </c>
      <c r="L3552">
        <v>167.53270000000001</v>
      </c>
      <c r="M3552">
        <v>-0.46607029999999999</v>
      </c>
      <c r="N3552">
        <v>0</v>
      </c>
      <c r="O3552">
        <v>-0.88462859999999999</v>
      </c>
      <c r="P3552">
        <v>-0.56638719999999998</v>
      </c>
      <c r="Q3552">
        <v>-1.0852550000000001E-2</v>
      </c>
      <c r="R3552">
        <v>-0.82406809999999997</v>
      </c>
      <c r="S3552">
        <v>-2.245819</v>
      </c>
      <c r="T3552">
        <v>-0.25884849999999998</v>
      </c>
      <c r="U3552">
        <v>-2.0946660000000001</v>
      </c>
      <c r="V3552">
        <v>0.1170153</v>
      </c>
      <c r="W3552">
        <v>2.1784930000000001E-3</v>
      </c>
      <c r="X3552">
        <v>0.99312769999999995</v>
      </c>
      <c r="Y3552">
        <v>0.32639940000000001</v>
      </c>
      <c r="Z3552">
        <v>8.0920480000000003E-2</v>
      </c>
      <c r="AA3552">
        <v>0.94176190000000004</v>
      </c>
      <c r="AB3552">
        <v>38</v>
      </c>
      <c r="AC3552">
        <v>-9.4252000000000091</v>
      </c>
      <c r="AD3552">
        <v>-1.10448679389999</v>
      </c>
      <c r="AE3552">
        <v>-8.6460000000000097</v>
      </c>
      <c r="AF3552">
        <v>4.27671967991005</v>
      </c>
      <c r="AG3552">
        <v>-1.10448679389999</v>
      </c>
      <c r="AH3552">
        <v>11.953435464364601</v>
      </c>
      <c r="AI3552">
        <v>94.972127730841194</v>
      </c>
      <c r="AJ3552">
        <v>70.313723444398804</v>
      </c>
      <c r="AK3552">
        <v>12.7434234685644</v>
      </c>
      <c r="AL3552">
        <v>89.875181443850494</v>
      </c>
      <c r="AM3552">
        <v>83.280105670460898</v>
      </c>
      <c r="AN3552">
        <v>0.99999997738656499</v>
      </c>
    </row>
    <row r="3553" spans="1:40" x14ac:dyDescent="0.25">
      <c r="A3553" t="str">
        <f>"20190312151609324"</f>
        <v>20190312151609324</v>
      </c>
      <c r="B3553" t="str">
        <f>"1552374969320960"</f>
        <v>1552374969320960</v>
      </c>
      <c r="C3553" t="s">
        <v>40</v>
      </c>
      <c r="D3553">
        <v>5.0547490000000002</v>
      </c>
      <c r="E3553">
        <v>0.58091569999999904</v>
      </c>
      <c r="F3553" t="s">
        <v>58</v>
      </c>
      <c r="G3553">
        <v>-198.17189999999999</v>
      </c>
      <c r="H3553" s="1">
        <v>-1.488131E-5</v>
      </c>
      <c r="I3553">
        <v>159.23400000000001</v>
      </c>
      <c r="J3553">
        <v>-189.45310000000001</v>
      </c>
      <c r="K3553">
        <v>1.104849</v>
      </c>
      <c r="L3553">
        <v>167.20339999999999</v>
      </c>
      <c r="M3553">
        <v>-0.46894059999999999</v>
      </c>
      <c r="N3553">
        <v>0</v>
      </c>
      <c r="O3553">
        <v>-0.88311090000000003</v>
      </c>
      <c r="P3553">
        <v>-0.56820579999999998</v>
      </c>
      <c r="Q3553">
        <v>-9.5207780000000006E-3</v>
      </c>
      <c r="R3553">
        <v>-0.82283130000000004</v>
      </c>
      <c r="S3553">
        <v>-2.2446899999999999</v>
      </c>
      <c r="T3553">
        <v>-0.27869959999999899</v>
      </c>
      <c r="U3553">
        <v>-2.0940249999999998</v>
      </c>
      <c r="V3553">
        <v>0.1159888</v>
      </c>
      <c r="W3553">
        <v>3.5837260000000002E-3</v>
      </c>
      <c r="X3553">
        <v>0.99324409999999996</v>
      </c>
      <c r="Y3553">
        <v>0.32282090000000002</v>
      </c>
      <c r="Z3553">
        <v>8.6944590000000002E-2</v>
      </c>
      <c r="AA3553">
        <v>0.94245809999999997</v>
      </c>
      <c r="AB3553">
        <v>38</v>
      </c>
      <c r="AC3553">
        <v>-8.7187999999999803</v>
      </c>
      <c r="AD3553">
        <v>-1.10486388131</v>
      </c>
      <c r="AE3553">
        <v>-7.9693999999999701</v>
      </c>
      <c r="AF3553">
        <v>3.9285375324304699</v>
      </c>
      <c r="AG3553">
        <v>-1.10486388131</v>
      </c>
      <c r="AH3553">
        <v>11.0311207296864</v>
      </c>
      <c r="AI3553">
        <v>95.390123213033704</v>
      </c>
      <c r="AJ3553">
        <v>70.397547166369804</v>
      </c>
      <c r="AK3553">
        <v>11.761792205818599</v>
      </c>
      <c r="AL3553">
        <v>89.794667194681296</v>
      </c>
      <c r="AM3553">
        <v>83.339296531515799</v>
      </c>
      <c r="AN3553">
        <v>1.00000004350114</v>
      </c>
    </row>
    <row r="3554" spans="1:40" x14ac:dyDescent="0.25">
      <c r="A3554" t="str">
        <f>"20190312151609337"</f>
        <v>20190312151609337</v>
      </c>
      <c r="B3554" t="str">
        <f>"1552374969331695"</f>
        <v>1552374969331695</v>
      </c>
      <c r="C3554" t="s">
        <v>40</v>
      </c>
      <c r="D3554">
        <v>5.093877</v>
      </c>
      <c r="E3554">
        <v>0.58073090000000005</v>
      </c>
      <c r="F3554" t="s">
        <v>58</v>
      </c>
      <c r="G3554">
        <v>-198.19550000000001</v>
      </c>
      <c r="H3554" s="1">
        <v>-1.4830709999999999E-5</v>
      </c>
      <c r="I3554">
        <v>159.03290000000001</v>
      </c>
      <c r="J3554">
        <v>-189.55770000000001</v>
      </c>
      <c r="K3554">
        <v>1.1050329999999999</v>
      </c>
      <c r="L3554">
        <v>167.01</v>
      </c>
      <c r="M3554">
        <v>-0.47056710000000002</v>
      </c>
      <c r="N3554">
        <v>0</v>
      </c>
      <c r="O3554">
        <v>-0.88224550000000002</v>
      </c>
      <c r="P3554">
        <v>-0.56924149999999996</v>
      </c>
      <c r="Q3554">
        <v>-8.820807E-3</v>
      </c>
      <c r="R3554">
        <v>-0.82212289999999999</v>
      </c>
      <c r="S3554">
        <v>-2.2414399999999999</v>
      </c>
      <c r="T3554">
        <v>-0.28327469999999999</v>
      </c>
      <c r="U3554">
        <v>-2.0948180000000001</v>
      </c>
      <c r="V3554">
        <v>0.1154114</v>
      </c>
      <c r="W3554">
        <v>4.3175720000000004E-3</v>
      </c>
      <c r="X3554">
        <v>0.99330839999999998</v>
      </c>
      <c r="Y3554">
        <v>0.32011810000000002</v>
      </c>
      <c r="Z3554">
        <v>8.8296050000000001E-2</v>
      </c>
      <c r="AA3554">
        <v>0.94325409999999998</v>
      </c>
      <c r="AB3554">
        <v>38</v>
      </c>
      <c r="AC3554">
        <v>-8.6377999999999897</v>
      </c>
      <c r="AD3554">
        <v>-1.10504783071</v>
      </c>
      <c r="AE3554">
        <v>-7.9770999999999699</v>
      </c>
      <c r="AF3554">
        <v>3.83344347176926</v>
      </c>
      <c r="AG3554">
        <v>-1.10504783071</v>
      </c>
      <c r="AH3554">
        <v>11.0063683816559</v>
      </c>
      <c r="AI3554">
        <v>95.416276285461606</v>
      </c>
      <c r="AJ3554">
        <v>70.797119348714304</v>
      </c>
      <c r="AK3554">
        <v>11.7071159775635</v>
      </c>
      <c r="AL3554">
        <v>89.752620579327996</v>
      </c>
      <c r="AM3554">
        <v>83.372583452748103</v>
      </c>
      <c r="AN3554">
        <v>1.0000000050942399</v>
      </c>
    </row>
    <row r="3555" spans="1:40" x14ac:dyDescent="0.25">
      <c r="A3555" t="str">
        <f>"20190312151609358"</f>
        <v>20190312151609358</v>
      </c>
      <c r="B3555" t="str">
        <f>"1552374969351215"</f>
        <v>1552374969351215</v>
      </c>
      <c r="C3555" t="s">
        <v>40</v>
      </c>
      <c r="D3555">
        <v>4.9820489999999999</v>
      </c>
      <c r="E3555">
        <v>0.58087230000000001</v>
      </c>
      <c r="F3555" t="s">
        <v>58</v>
      </c>
      <c r="G3555">
        <v>-198.63</v>
      </c>
      <c r="H3555" s="1">
        <v>-1.4706699999999999E-5</v>
      </c>
      <c r="I3555">
        <v>158.5401</v>
      </c>
      <c r="J3555">
        <v>-189.72300000000001</v>
      </c>
      <c r="K3555">
        <v>1.1052690000000001</v>
      </c>
      <c r="L3555">
        <v>166.70580000000001</v>
      </c>
      <c r="M3555">
        <v>-0.47306680000000001</v>
      </c>
      <c r="N3555">
        <v>0</v>
      </c>
      <c r="O3555">
        <v>-0.88090869999999999</v>
      </c>
      <c r="P3555">
        <v>-0.57083830000000002</v>
      </c>
      <c r="Q3555">
        <v>-8.2412790000000007E-3</v>
      </c>
      <c r="R3555">
        <v>-0.82102160000000002</v>
      </c>
      <c r="S3555">
        <v>-2.242416</v>
      </c>
      <c r="T3555">
        <v>-0.27313490000000001</v>
      </c>
      <c r="U3555">
        <v>-2.0935060000000001</v>
      </c>
      <c r="V3555">
        <v>0.11452610000000001</v>
      </c>
      <c r="W3555">
        <v>4.9379309999999996E-3</v>
      </c>
      <c r="X3555">
        <v>0.99340799999999996</v>
      </c>
      <c r="Y3555">
        <v>0.31816040000000001</v>
      </c>
      <c r="Z3555">
        <v>8.5035440000000004E-2</v>
      </c>
      <c r="AA3555">
        <v>0.94421549999999999</v>
      </c>
      <c r="AB3555">
        <v>38</v>
      </c>
      <c r="AC3555">
        <v>-8.907</v>
      </c>
      <c r="AD3555">
        <v>-1.1052837067000001</v>
      </c>
      <c r="AE3555">
        <v>-8.16570000000001</v>
      </c>
      <c r="AF3555">
        <v>3.9506915658167698</v>
      </c>
      <c r="AG3555">
        <v>-1.1052837067000001</v>
      </c>
      <c r="AH3555">
        <v>11.3133709662571</v>
      </c>
      <c r="AI3555">
        <v>95.269769803345</v>
      </c>
      <c r="AJ3555">
        <v>70.7505165881431</v>
      </c>
      <c r="AK3555">
        <v>12.0342003698069</v>
      </c>
      <c r="AL3555">
        <v>89.717076253626999</v>
      </c>
      <c r="AM3555">
        <v>83.423627698428206</v>
      </c>
      <c r="AN3555">
        <v>1.00000003260388</v>
      </c>
    </row>
    <row r="3556" spans="1:40" x14ac:dyDescent="0.25">
      <c r="A3556" t="str">
        <f>"20190312151609369"</f>
        <v>20190312151609369</v>
      </c>
      <c r="B3556" t="str">
        <f>"1552374969360976"</f>
        <v>1552374969360976</v>
      </c>
      <c r="C3556" t="s">
        <v>40</v>
      </c>
      <c r="D3556">
        <v>4.9783119999999998</v>
      </c>
      <c r="E3556">
        <v>0.58105819999999997</v>
      </c>
      <c r="F3556" t="s">
        <v>58</v>
      </c>
      <c r="G3556">
        <v>-198.83080000000001</v>
      </c>
      <c r="H3556" s="1">
        <v>-1.4631219999999999E-5</v>
      </c>
      <c r="I3556">
        <v>158.24010000000001</v>
      </c>
      <c r="J3556">
        <v>-189.82140000000001</v>
      </c>
      <c r="K3556">
        <v>1.1053839999999999</v>
      </c>
      <c r="L3556">
        <v>166.5257</v>
      </c>
      <c r="M3556">
        <v>-0.47453529999999999</v>
      </c>
      <c r="N3556">
        <v>0</v>
      </c>
      <c r="O3556">
        <v>-0.88011870000000003</v>
      </c>
      <c r="P3556">
        <v>-0.57201599999999997</v>
      </c>
      <c r="Q3556">
        <v>-8.36662E-3</v>
      </c>
      <c r="R3556">
        <v>-0.82020009999999999</v>
      </c>
      <c r="S3556">
        <v>-2.2472530000000002</v>
      </c>
      <c r="T3556">
        <v>-0.27271689999999998</v>
      </c>
      <c r="U3556">
        <v>-2.0888209999999998</v>
      </c>
      <c r="V3556">
        <v>0.11429300000000001</v>
      </c>
      <c r="W3556">
        <v>4.8277830000000004E-3</v>
      </c>
      <c r="X3556">
        <v>0.99343530000000002</v>
      </c>
      <c r="Y3556">
        <v>0.31866060000000002</v>
      </c>
      <c r="Z3556">
        <v>8.4859569999999995E-2</v>
      </c>
      <c r="AA3556">
        <v>0.94406270000000003</v>
      </c>
      <c r="AB3556">
        <v>38</v>
      </c>
      <c r="AC3556">
        <v>-9.0093999999999994</v>
      </c>
      <c r="AD3556">
        <v>-1.1053986312199999</v>
      </c>
      <c r="AE3556">
        <v>-8.2855999999999792</v>
      </c>
      <c r="AF3556">
        <v>3.9656035073189302</v>
      </c>
      <c r="AG3556">
        <v>-1.1053986312199999</v>
      </c>
      <c r="AH3556">
        <v>11.475199663793299</v>
      </c>
      <c r="AI3556">
        <v>95.202210609052997</v>
      </c>
      <c r="AJ3556">
        <v>70.935856201488804</v>
      </c>
      <c r="AK3556">
        <v>12.191313490969099</v>
      </c>
      <c r="AL3556">
        <v>89.723387320312497</v>
      </c>
      <c r="AM3556">
        <v>83.437074764106896</v>
      </c>
      <c r="AN3556">
        <v>0.99999994631189104</v>
      </c>
    </row>
    <row r="3557" spans="1:40" x14ac:dyDescent="0.25">
      <c r="A3557" t="str">
        <f>"20190312151609382"</f>
        <v>20190312151609382</v>
      </c>
      <c r="B3557" t="str">
        <f>"1552374969371711"</f>
        <v>1552374969371711</v>
      </c>
      <c r="C3557" t="s">
        <v>40</v>
      </c>
      <c r="D3557">
        <v>5.0464520000000004</v>
      </c>
      <c r="E3557">
        <v>0.58120579999999999</v>
      </c>
      <c r="F3557" t="s">
        <v>58</v>
      </c>
      <c r="G3557">
        <v>-198.99270000000001</v>
      </c>
      <c r="H3557" s="1">
        <v>-1.45790899999999E-5</v>
      </c>
      <c r="I3557">
        <v>158.03290000000001</v>
      </c>
      <c r="J3557">
        <v>-189.9255</v>
      </c>
      <c r="K3557">
        <v>1.1054820000000001</v>
      </c>
      <c r="L3557">
        <v>166.33629999999999</v>
      </c>
      <c r="M3557">
        <v>-0.47608669999999997</v>
      </c>
      <c r="N3557">
        <v>0</v>
      </c>
      <c r="O3557">
        <v>-0.87928059999999997</v>
      </c>
      <c r="P3557">
        <v>-0.5731503</v>
      </c>
      <c r="Q3557">
        <v>-8.7636150000000006E-3</v>
      </c>
      <c r="R3557">
        <v>-0.81940369999999996</v>
      </c>
      <c r="S3557">
        <v>-2.251328</v>
      </c>
      <c r="T3557">
        <v>-0.27134799999999998</v>
      </c>
      <c r="U3557">
        <v>-2.084778</v>
      </c>
      <c r="V3557">
        <v>0.11391270000000001</v>
      </c>
      <c r="W3557">
        <v>4.4444100000000002E-3</v>
      </c>
      <c r="X3557">
        <v>0.99348080000000005</v>
      </c>
      <c r="Y3557">
        <v>0.31878630000000002</v>
      </c>
      <c r="Z3557">
        <v>8.4381590000000006E-2</v>
      </c>
      <c r="AA3557">
        <v>0.94406310000000004</v>
      </c>
      <c r="AB3557">
        <v>38</v>
      </c>
      <c r="AC3557">
        <v>-9.0672000000000104</v>
      </c>
      <c r="AD3557">
        <v>-1.10549657909</v>
      </c>
      <c r="AE3557">
        <v>-8.3033999999999804</v>
      </c>
      <c r="AF3557">
        <v>3.9876511114862399</v>
      </c>
      <c r="AG3557">
        <v>-1.10549657909</v>
      </c>
      <c r="AH3557">
        <v>11.525809586665799</v>
      </c>
      <c r="AI3557">
        <v>95.179319464019201</v>
      </c>
      <c r="AJ3557">
        <v>70.915618601368493</v>
      </c>
      <c r="AK3557">
        <v>12.246132887626</v>
      </c>
      <c r="AL3557">
        <v>89.745353220633206</v>
      </c>
      <c r="AM3557">
        <v>83.4590197386906</v>
      </c>
      <c r="AN3557">
        <v>0.999999977985088</v>
      </c>
    </row>
    <row r="3558" spans="1:40" x14ac:dyDescent="0.25">
      <c r="A3558" t="str">
        <f>"20190312151609395"</f>
        <v>20190312151609395</v>
      </c>
      <c r="B3558" t="str">
        <f>"1552374969391231"</f>
        <v>1552374969391231</v>
      </c>
      <c r="C3558" t="s">
        <v>40</v>
      </c>
      <c r="D3558">
        <v>5.0508629999999997</v>
      </c>
      <c r="E3558">
        <v>0.58124849999999995</v>
      </c>
      <c r="F3558" t="s">
        <v>58</v>
      </c>
      <c r="G3558">
        <v>-199.10390000000001</v>
      </c>
      <c r="H3558" s="1">
        <v>-1.453691E-5</v>
      </c>
      <c r="I3558">
        <v>157.86529999999999</v>
      </c>
      <c r="J3558">
        <v>-190.0256</v>
      </c>
      <c r="K3558">
        <v>1.105566</v>
      </c>
      <c r="L3558">
        <v>166.15450000000001</v>
      </c>
      <c r="M3558">
        <v>-0.47758260000000002</v>
      </c>
      <c r="N3558">
        <v>0</v>
      </c>
      <c r="O3558">
        <v>-0.87846930000000001</v>
      </c>
      <c r="P3558">
        <v>-0.574596</v>
      </c>
      <c r="Q3558">
        <v>-8.9589909999999995E-3</v>
      </c>
      <c r="R3558">
        <v>-0.81838829999999996</v>
      </c>
      <c r="S3558">
        <v>-2.2548520000000001</v>
      </c>
      <c r="T3558">
        <v>-0.27158690000000002</v>
      </c>
      <c r="U3558">
        <v>-2.0810849999999999</v>
      </c>
      <c r="V3558">
        <v>0.1139739</v>
      </c>
      <c r="W3558">
        <v>4.2551079999999996E-3</v>
      </c>
      <c r="X3558">
        <v>0.99347470000000004</v>
      </c>
      <c r="Y3558">
        <v>0.31874130000000001</v>
      </c>
      <c r="Z3558">
        <v>8.4402399999999905E-2</v>
      </c>
      <c r="AA3558">
        <v>0.94407640000000004</v>
      </c>
      <c r="AB3558">
        <v>38</v>
      </c>
      <c r="AC3558">
        <v>-9.0783000000000094</v>
      </c>
      <c r="AD3558">
        <v>-1.10558053691</v>
      </c>
      <c r="AE3558">
        <v>-8.2892000000000206</v>
      </c>
      <c r="AF3558">
        <v>3.98441906139344</v>
      </c>
      <c r="AG3558">
        <v>-1.10558053691</v>
      </c>
      <c r="AH3558">
        <v>11.5254282802643</v>
      </c>
      <c r="AI3558">
        <v>95.180309162920693</v>
      </c>
      <c r="AJ3558">
        <v>70.929383714655103</v>
      </c>
      <c r="AK3558">
        <v>12.2447295039092</v>
      </c>
      <c r="AL3558">
        <v>89.756199551018796</v>
      </c>
      <c r="AM3558">
        <v>83.4554962170576</v>
      </c>
      <c r="AN3558">
        <v>1.0000000676826899</v>
      </c>
    </row>
    <row r="3559" spans="1:40" x14ac:dyDescent="0.25">
      <c r="A3559" t="str">
        <f>"20190312151609413"</f>
        <v>20190312151609413</v>
      </c>
      <c r="B3559" t="str">
        <f>"1552374969411727"</f>
        <v>1552374969411727</v>
      </c>
      <c r="C3559" t="s">
        <v>40</v>
      </c>
      <c r="D3559">
        <v>4.9631530000000001</v>
      </c>
      <c r="E3559">
        <v>0.58118130000000001</v>
      </c>
      <c r="F3559" t="s">
        <v>58</v>
      </c>
      <c r="G3559">
        <v>-199.0213</v>
      </c>
      <c r="H3559" s="1">
        <v>-1.4541590000000001E-5</v>
      </c>
      <c r="I3559">
        <v>157.88390000000001</v>
      </c>
      <c r="J3559">
        <v>-190.1788</v>
      </c>
      <c r="K3559">
        <v>1.1056589999999999</v>
      </c>
      <c r="L3559">
        <v>165.87790000000001</v>
      </c>
      <c r="M3559">
        <v>-0.47989749999999998</v>
      </c>
      <c r="N3559">
        <v>0</v>
      </c>
      <c r="O3559">
        <v>-0.87720730000000002</v>
      </c>
      <c r="P3559">
        <v>-0.57663940000000002</v>
      </c>
      <c r="Q3559">
        <v>-9.8012350000000002E-3</v>
      </c>
      <c r="R3559">
        <v>-0.81694049999999996</v>
      </c>
      <c r="S3559">
        <v>-2.2588200000000001</v>
      </c>
      <c r="T3559">
        <v>-0.27761239999999998</v>
      </c>
      <c r="U3559">
        <v>-2.0767669999999998</v>
      </c>
      <c r="V3559">
        <v>0.11383269999999999</v>
      </c>
      <c r="W3559">
        <v>3.4196949999999999E-3</v>
      </c>
      <c r="X3559">
        <v>0.99349399999999999</v>
      </c>
      <c r="Y3559">
        <v>0.31792039999999999</v>
      </c>
      <c r="Z3559">
        <v>8.6164089999999999E-2</v>
      </c>
      <c r="AA3559">
        <v>0.94419399999999998</v>
      </c>
      <c r="AB3559">
        <v>38</v>
      </c>
      <c r="AC3559">
        <v>-8.8424999999999994</v>
      </c>
      <c r="AD3559">
        <v>-1.1056735415900001</v>
      </c>
      <c r="AE3559">
        <v>-7.9939999999999998</v>
      </c>
      <c r="AF3559">
        <v>3.8873631027675302</v>
      </c>
      <c r="AG3559">
        <v>-1.1056735415900001</v>
      </c>
      <c r="AH3559">
        <v>11.161022275110801</v>
      </c>
      <c r="AI3559">
        <v>95.344661231006697</v>
      </c>
      <c r="AJ3559">
        <v>70.796868791085799</v>
      </c>
      <c r="AK3559">
        <v>11.8702369015471</v>
      </c>
      <c r="AL3559">
        <v>89.804065518175193</v>
      </c>
      <c r="AM3559">
        <v>83.463659745186405</v>
      </c>
      <c r="AN3559">
        <v>0.99999995296958999</v>
      </c>
    </row>
    <row r="3560" spans="1:40" x14ac:dyDescent="0.25">
      <c r="A3560" t="str">
        <f>"20190312151609426"</f>
        <v>20190312151609426</v>
      </c>
      <c r="B3560" t="str">
        <f>"1552374969421488"</f>
        <v>1552374969421488</v>
      </c>
      <c r="C3560" t="s">
        <v>40</v>
      </c>
      <c r="D3560">
        <v>4.9891139999999998</v>
      </c>
      <c r="E3560">
        <v>0.58113110000000001</v>
      </c>
      <c r="F3560" t="s">
        <v>58</v>
      </c>
      <c r="G3560">
        <v>-198.99809999999999</v>
      </c>
      <c r="H3560" s="1">
        <v>-1.452232E-5</v>
      </c>
      <c r="I3560">
        <v>157.8073</v>
      </c>
      <c r="J3560">
        <v>-190.2884</v>
      </c>
      <c r="K3560">
        <v>1.10571</v>
      </c>
      <c r="L3560">
        <v>165.6815</v>
      </c>
      <c r="M3560">
        <v>-0.48157850000000002</v>
      </c>
      <c r="N3560">
        <v>0</v>
      </c>
      <c r="O3560">
        <v>-0.8762858</v>
      </c>
      <c r="P3560">
        <v>-0.57855579999999995</v>
      </c>
      <c r="Q3560">
        <v>-1.051384E-2</v>
      </c>
      <c r="R3560">
        <v>-0.81557550000000001</v>
      </c>
      <c r="S3560">
        <v>-2.263382</v>
      </c>
      <c r="T3560">
        <v>-0.28376190000000001</v>
      </c>
      <c r="U3560">
        <v>-2.071259</v>
      </c>
      <c r="V3560">
        <v>0.1142577</v>
      </c>
      <c r="W3560">
        <v>2.7025349999999998E-3</v>
      </c>
      <c r="X3560">
        <v>0.99344750000000004</v>
      </c>
      <c r="Y3560">
        <v>0.31816620000000001</v>
      </c>
      <c r="Z3560">
        <v>8.8016230000000001E-2</v>
      </c>
      <c r="AA3560">
        <v>0.94394040000000001</v>
      </c>
      <c r="AB3560">
        <v>38</v>
      </c>
      <c r="AC3560">
        <v>-8.7096999999999891</v>
      </c>
      <c r="AD3560">
        <v>-1.1057245223200001</v>
      </c>
      <c r="AE3560">
        <v>-7.8742000000000001</v>
      </c>
      <c r="AF3560">
        <v>3.8067750036404799</v>
      </c>
      <c r="AG3560">
        <v>-1.1057245223200001</v>
      </c>
      <c r="AH3560">
        <v>10.99805703284</v>
      </c>
      <c r="AI3560">
        <v>95.427256745523707</v>
      </c>
      <c r="AJ3560">
        <v>70.907646577431393</v>
      </c>
      <c r="AK3560">
        <v>11.6906552915225</v>
      </c>
      <c r="AL3560">
        <v>89.845155966744002</v>
      </c>
      <c r="AM3560">
        <v>83.439163951553596</v>
      </c>
      <c r="AN3560">
        <v>1.0000000304804799</v>
      </c>
    </row>
    <row r="3561" spans="1:40" x14ac:dyDescent="0.25">
      <c r="A3561" t="str">
        <f>"20190312151609439"</f>
        <v>20190312151609439</v>
      </c>
      <c r="B3561" t="str">
        <f>"1552374969431247"</f>
        <v>1552374969431247</v>
      </c>
      <c r="C3561" t="s">
        <v>40</v>
      </c>
      <c r="D3561">
        <v>4.8510519999999904</v>
      </c>
      <c r="E3561">
        <v>0.58068969999999998</v>
      </c>
      <c r="F3561" t="s">
        <v>58</v>
      </c>
      <c r="G3561">
        <v>-199.06370000000001</v>
      </c>
      <c r="H3561" s="1">
        <v>-1.4492090000000001E-5</v>
      </c>
      <c r="I3561">
        <v>157.68709999999999</v>
      </c>
      <c r="J3561">
        <v>-190.38550000000001</v>
      </c>
      <c r="K3561">
        <v>1.105748</v>
      </c>
      <c r="L3561">
        <v>165.50790000000001</v>
      </c>
      <c r="M3561">
        <v>-0.48308099999999998</v>
      </c>
      <c r="N3561">
        <v>0</v>
      </c>
      <c r="O3561">
        <v>-0.87545849999999903</v>
      </c>
      <c r="P3561">
        <v>-0.58021639999999997</v>
      </c>
      <c r="Q3561">
        <v>-1.129877E-2</v>
      </c>
      <c r="R3561">
        <v>-0.8143842</v>
      </c>
      <c r="S3561">
        <v>-2.267792</v>
      </c>
      <c r="T3561">
        <v>-0.28575</v>
      </c>
      <c r="U3561">
        <v>-2.065979</v>
      </c>
      <c r="V3561">
        <v>0.11457539999999999</v>
      </c>
      <c r="W3561">
        <v>1.913849E-3</v>
      </c>
      <c r="X3561">
        <v>0.99341270000000004</v>
      </c>
      <c r="Y3561">
        <v>0.31861109999999998</v>
      </c>
      <c r="Z3561">
        <v>8.8594320000000004E-2</v>
      </c>
      <c r="AA3561">
        <v>0.94373620000000003</v>
      </c>
      <c r="AB3561">
        <v>38</v>
      </c>
      <c r="AC3561">
        <v>-8.6782000000000004</v>
      </c>
      <c r="AD3561">
        <v>-1.10576249209</v>
      </c>
      <c r="AE3561">
        <v>-7.82080000000001</v>
      </c>
      <c r="AF3561">
        <v>3.78579835415024</v>
      </c>
      <c r="AG3561">
        <v>-1.10576249209</v>
      </c>
      <c r="AH3561">
        <v>10.942159406544601</v>
      </c>
      <c r="AI3561">
        <v>95.455250495993994</v>
      </c>
      <c r="AJ3561">
        <v>70.9152628323627</v>
      </c>
      <c r="AK3561">
        <v>11.6312438004468</v>
      </c>
      <c r="AL3561">
        <v>89.890344461506402</v>
      </c>
      <c r="AM3561">
        <v>83.420852438694496</v>
      </c>
      <c r="AN3561">
        <v>0.99999998881222196</v>
      </c>
    </row>
    <row r="3562" spans="1:40" x14ac:dyDescent="0.25">
      <c r="A3562" t="str">
        <f>"20190312151609450"</f>
        <v>20190312151609450</v>
      </c>
      <c r="B3562" t="str">
        <f>"1552374969441008"</f>
        <v>1552374969441008</v>
      </c>
      <c r="C3562" t="s">
        <v>40</v>
      </c>
      <c r="D3562">
        <v>4.9419950000000004</v>
      </c>
      <c r="E3562">
        <v>0.58047190000000004</v>
      </c>
      <c r="F3562" t="s">
        <v>58</v>
      </c>
      <c r="G3562">
        <v>-199.18549999999999</v>
      </c>
      <c r="H3562" s="1">
        <v>-1.444709E-5</v>
      </c>
      <c r="I3562">
        <v>157.50829999999999</v>
      </c>
      <c r="J3562">
        <v>-190.4855</v>
      </c>
      <c r="K3562">
        <v>1.105777</v>
      </c>
      <c r="L3562">
        <v>165.32990000000001</v>
      </c>
      <c r="M3562">
        <v>-0.48463879999999998</v>
      </c>
      <c r="N3562">
        <v>0</v>
      </c>
      <c r="O3562">
        <v>-0.87459709999999902</v>
      </c>
      <c r="P3562">
        <v>-0.58203240000000001</v>
      </c>
      <c r="Q3562">
        <v>-1.2016590000000001E-2</v>
      </c>
      <c r="R3562">
        <v>-0.8130771</v>
      </c>
      <c r="S3562">
        <v>-2.2693479999999999</v>
      </c>
      <c r="T3562">
        <v>-0.28515699999999999</v>
      </c>
      <c r="U3562">
        <v>-2.0629580000000001</v>
      </c>
      <c r="V3562">
        <v>0.1150222</v>
      </c>
      <c r="W3562">
        <v>1.1895339999999999E-3</v>
      </c>
      <c r="X3562">
        <v>0.99336219999999997</v>
      </c>
      <c r="Y3562">
        <v>0.31794899999999998</v>
      </c>
      <c r="Z3562">
        <v>8.8365009999999994E-2</v>
      </c>
      <c r="AA3562">
        <v>0.94398090000000001</v>
      </c>
      <c r="AB3562">
        <v>38</v>
      </c>
      <c r="AC3562">
        <v>-8.6999999999999797</v>
      </c>
      <c r="AD3562">
        <v>-1.1057914470899901</v>
      </c>
      <c r="AE3562">
        <v>-7.8216000000000099</v>
      </c>
      <c r="AF3562">
        <v>3.7849211347556801</v>
      </c>
      <c r="AG3562">
        <v>-1.1057914470899901</v>
      </c>
      <c r="AH3562">
        <v>10.9603209750618</v>
      </c>
      <c r="AI3562">
        <v>95.447499338964505</v>
      </c>
      <c r="AJ3562">
        <v>70.948701257471001</v>
      </c>
      <c r="AK3562">
        <v>11.6480487034163</v>
      </c>
      <c r="AL3562">
        <v>89.931844705521698</v>
      </c>
      <c r="AM3562">
        <v>83.395089734184296</v>
      </c>
      <c r="AN3562">
        <v>0.99999999093640801</v>
      </c>
    </row>
    <row r="3563" spans="1:40" x14ac:dyDescent="0.25">
      <c r="A3563" t="str">
        <f>"20190312151609469"</f>
        <v>20190312151609469</v>
      </c>
      <c r="B3563" t="str">
        <f>"1552374969461507"</f>
        <v>1552374969461507</v>
      </c>
      <c r="C3563" t="s">
        <v>40</v>
      </c>
      <c r="D3563">
        <v>4.9223160000000004</v>
      </c>
      <c r="E3563">
        <v>0.58037229999999995</v>
      </c>
      <c r="F3563" t="s">
        <v>58</v>
      </c>
      <c r="G3563">
        <v>-199.29339999999999</v>
      </c>
      <c r="H3563" s="1">
        <v>-1.44076399999999E-5</v>
      </c>
      <c r="I3563">
        <v>157.35149999999999</v>
      </c>
      <c r="J3563">
        <v>-190.64089999999999</v>
      </c>
      <c r="K3563">
        <v>1.1058059999999901</v>
      </c>
      <c r="L3563">
        <v>165.0549</v>
      </c>
      <c r="M3563">
        <v>-0.48708649999999998</v>
      </c>
      <c r="N3563">
        <v>0</v>
      </c>
      <c r="O3563">
        <v>-0.87323639999999902</v>
      </c>
      <c r="P3563">
        <v>-0.58509259999999996</v>
      </c>
      <c r="Q3563">
        <v>-1.3499499999999999E-2</v>
      </c>
      <c r="R3563">
        <v>-0.81085410000000002</v>
      </c>
      <c r="S3563">
        <v>-2.2726440000000001</v>
      </c>
      <c r="T3563">
        <v>-0.28532269999999998</v>
      </c>
      <c r="U3563">
        <v>-2.058624</v>
      </c>
      <c r="V3563">
        <v>0.11598169999999999</v>
      </c>
      <c r="W3563">
        <v>-3.0874359999999998E-4</v>
      </c>
      <c r="X3563">
        <v>0.99325129999999995</v>
      </c>
      <c r="Y3563">
        <v>0.31696469999999999</v>
      </c>
      <c r="Z3563">
        <v>8.8316740000000005E-2</v>
      </c>
      <c r="AA3563">
        <v>0.94431639999999994</v>
      </c>
      <c r="AB3563">
        <v>38</v>
      </c>
      <c r="AC3563">
        <v>-8.6524999999999999</v>
      </c>
      <c r="AD3563">
        <v>-1.10582040763999</v>
      </c>
      <c r="AE3563">
        <v>-7.70340000000001</v>
      </c>
      <c r="AF3563">
        <v>3.7694997534394998</v>
      </c>
      <c r="AG3563">
        <v>-1.10582040763999</v>
      </c>
      <c r="AH3563">
        <v>10.8437238111549</v>
      </c>
      <c r="AI3563">
        <v>95.501982204030099</v>
      </c>
      <c r="AJ3563">
        <v>70.831505052406897</v>
      </c>
      <c r="AK3563">
        <v>11.533356547759301</v>
      </c>
      <c r="AL3563">
        <v>90.017689705556805</v>
      </c>
      <c r="AM3563">
        <v>83.339748434969593</v>
      </c>
      <c r="AN3563">
        <v>0.99999999750459501</v>
      </c>
    </row>
    <row r="3564" spans="1:40" x14ac:dyDescent="0.25">
      <c r="A3564" t="str">
        <f>"20190312151609486"</f>
        <v>20190312151609486</v>
      </c>
      <c r="B3564" t="str">
        <f>"1552374969481024"</f>
        <v>1552374969481024</v>
      </c>
      <c r="C3564" t="s">
        <v>40</v>
      </c>
      <c r="D3564">
        <v>4.6318910000000004</v>
      </c>
      <c r="E3564">
        <v>0.58017790000000002</v>
      </c>
      <c r="F3564" t="s">
        <v>58</v>
      </c>
      <c r="G3564">
        <v>-199.31360000000001</v>
      </c>
      <c r="H3564" s="1">
        <v>-1.4384060000000001E-5</v>
      </c>
      <c r="I3564">
        <v>157.2578</v>
      </c>
      <c r="J3564">
        <v>-190.7886</v>
      </c>
      <c r="K3564">
        <v>1.105831</v>
      </c>
      <c r="L3564">
        <v>164.7953</v>
      </c>
      <c r="M3564">
        <v>-0.4894307</v>
      </c>
      <c r="N3564">
        <v>0</v>
      </c>
      <c r="O3564">
        <v>-0.87192519999999996</v>
      </c>
      <c r="P3564">
        <v>-0.58757139999999997</v>
      </c>
      <c r="Q3564">
        <v>-1.386984E-2</v>
      </c>
      <c r="R3564">
        <v>-0.80905369999999999</v>
      </c>
      <c r="S3564">
        <v>-2.2799680000000002</v>
      </c>
      <c r="T3564">
        <v>-0.29071010000000003</v>
      </c>
      <c r="U3564">
        <v>-2.0497890000000001</v>
      </c>
      <c r="V3564">
        <v>0.11635280000000001</v>
      </c>
      <c r="W3564">
        <v>-6.8877089999999999E-4</v>
      </c>
      <c r="X3564">
        <v>0.99320770000000003</v>
      </c>
      <c r="Y3564">
        <v>0.31782670000000002</v>
      </c>
      <c r="Z3564">
        <v>8.9920390000000003E-2</v>
      </c>
      <c r="AA3564">
        <v>0.94387529999999997</v>
      </c>
      <c r="AB3564">
        <v>38</v>
      </c>
      <c r="AC3564">
        <v>-8.5250000000000004</v>
      </c>
      <c r="AD3564">
        <v>-1.10584538406</v>
      </c>
      <c r="AE3564">
        <v>-7.5374999999999899</v>
      </c>
      <c r="AF3564">
        <v>3.70942875120685</v>
      </c>
      <c r="AG3564">
        <v>-1.10584538406</v>
      </c>
      <c r="AH3564">
        <v>10.6450973349995</v>
      </c>
      <c r="AI3564">
        <v>95.602664333552099</v>
      </c>
      <c r="AJ3564">
        <v>70.788414704858297</v>
      </c>
      <c r="AK3564">
        <v>11.3269966427707</v>
      </c>
      <c r="AL3564">
        <v>90.039463669061107</v>
      </c>
      <c r="AM3564">
        <v>83.318339724938895</v>
      </c>
      <c r="AN3564">
        <v>0.999999991906241</v>
      </c>
    </row>
    <row r="3565" spans="1:40" x14ac:dyDescent="0.25">
      <c r="A3565" t="str">
        <f>"20190312151609505"</f>
        <v>20190312151609505</v>
      </c>
      <c r="B3565" t="str">
        <f>"1552374969501519"</f>
        <v>1552374969501519</v>
      </c>
      <c r="C3565" t="s">
        <v>40</v>
      </c>
      <c r="D3565">
        <v>4.9312019999999999</v>
      </c>
      <c r="E3565">
        <v>0.58017399999999997</v>
      </c>
      <c r="F3565" t="s">
        <v>58</v>
      </c>
      <c r="G3565">
        <v>-199.5701</v>
      </c>
      <c r="H3565" s="1">
        <v>-1.430486E-5</v>
      </c>
      <c r="I3565">
        <v>156.94299999999899</v>
      </c>
      <c r="J3565">
        <v>-190.93450000000001</v>
      </c>
      <c r="K3565">
        <v>1.105858</v>
      </c>
      <c r="L3565">
        <v>164.5402</v>
      </c>
      <c r="M3565">
        <v>-0.4917569</v>
      </c>
      <c r="N3565">
        <v>0</v>
      </c>
      <c r="O3565">
        <v>-0.87061549999999999</v>
      </c>
      <c r="P3565">
        <v>-0.59018979999999999</v>
      </c>
      <c r="Q3565">
        <v>-1.5188419999999999E-2</v>
      </c>
      <c r="R3565">
        <v>-0.8071218</v>
      </c>
      <c r="S3565">
        <v>-2.285263</v>
      </c>
      <c r="T3565">
        <v>-0.28777849999999999</v>
      </c>
      <c r="U3565">
        <v>-2.0434269999999999</v>
      </c>
      <c r="V3565">
        <v>0.11691940000000001</v>
      </c>
      <c r="W3565">
        <v>-2.019865E-3</v>
      </c>
      <c r="X3565">
        <v>0.99313929999999995</v>
      </c>
      <c r="Y3565">
        <v>0.31791419999999998</v>
      </c>
      <c r="Z3565">
        <v>8.894473E-2</v>
      </c>
      <c r="AA3565">
        <v>0.94393830000000001</v>
      </c>
      <c r="AB3565">
        <v>38</v>
      </c>
      <c r="AC3565">
        <v>-8.6355999999999806</v>
      </c>
      <c r="AD3565">
        <v>-1.1058723048600001</v>
      </c>
      <c r="AE3565">
        <v>-7.5972000000000097</v>
      </c>
      <c r="AF3565">
        <v>3.7480486459434599</v>
      </c>
      <c r="AG3565">
        <v>-1.1058723048600001</v>
      </c>
      <c r="AH3565">
        <v>10.762470099603799</v>
      </c>
      <c r="AI3565">
        <v>95.542442151055198</v>
      </c>
      <c r="AJ3565">
        <v>70.799240223885207</v>
      </c>
      <c r="AK3565">
        <v>11.4499600371303</v>
      </c>
      <c r="AL3565">
        <v>90.115729824446603</v>
      </c>
      <c r="AM3565">
        <v>83.285640371576704</v>
      </c>
      <c r="AN3565">
        <v>0.99999994757773203</v>
      </c>
    </row>
    <row r="3566" spans="1:40" x14ac:dyDescent="0.25">
      <c r="A3566" t="str">
        <f>"20190312151609526"</f>
        <v>20190312151609526</v>
      </c>
      <c r="B3566" t="str">
        <f>"1552374969521039"</f>
        <v>1552374969521039</v>
      </c>
      <c r="C3566" t="s">
        <v>40</v>
      </c>
      <c r="D3566">
        <v>4.9468529999999999</v>
      </c>
      <c r="E3566">
        <v>0.58004199999999995</v>
      </c>
      <c r="F3566" t="s">
        <v>58</v>
      </c>
      <c r="G3566">
        <v>-199.6378</v>
      </c>
      <c r="H3566" s="1">
        <v>-1.4271869999999999E-5</v>
      </c>
      <c r="I3566">
        <v>156.81190000000001</v>
      </c>
      <c r="J3566">
        <v>-191.11920000000001</v>
      </c>
      <c r="K3566">
        <v>1.10588</v>
      </c>
      <c r="L3566">
        <v>164.21969999999999</v>
      </c>
      <c r="M3566">
        <v>-0.49470340000000002</v>
      </c>
      <c r="N3566">
        <v>0</v>
      </c>
      <c r="O3566">
        <v>-0.86894490000000002</v>
      </c>
      <c r="P3566">
        <v>-0.59336099999999903</v>
      </c>
      <c r="Q3566">
        <v>-1.562119E-2</v>
      </c>
      <c r="R3566">
        <v>-0.80478509999999903</v>
      </c>
      <c r="S3566">
        <v>-2.2921299999999998</v>
      </c>
      <c r="T3566">
        <v>-0.29124679999999997</v>
      </c>
      <c r="U3566">
        <v>-2.035355</v>
      </c>
      <c r="V3566">
        <v>0.1174631</v>
      </c>
      <c r="W3566">
        <v>-2.4669280000000002E-3</v>
      </c>
      <c r="X3566">
        <v>0.99307420000000002</v>
      </c>
      <c r="Y3566">
        <v>0.31789010000000001</v>
      </c>
      <c r="Z3566">
        <v>8.9903300000000005E-2</v>
      </c>
      <c r="AA3566">
        <v>0.94385549999999996</v>
      </c>
      <c r="AB3566">
        <v>38</v>
      </c>
      <c r="AC3566">
        <v>-8.5185999999999904</v>
      </c>
      <c r="AD3566">
        <v>-1.10589427187</v>
      </c>
      <c r="AE3566">
        <v>-7.4077999999999804</v>
      </c>
      <c r="AF3566">
        <v>3.7023801462759902</v>
      </c>
      <c r="AG3566">
        <v>-1.10589427187</v>
      </c>
      <c r="AH3566">
        <v>10.5509804446191</v>
      </c>
      <c r="AI3566">
        <v>95.648298725892005</v>
      </c>
      <c r="AJ3566">
        <v>70.663829209323296</v>
      </c>
      <c r="AK3566">
        <v>11.2362720343906</v>
      </c>
      <c r="AL3566">
        <v>90.141344703844396</v>
      </c>
      <c r="AM3566">
        <v>83.254266112524505</v>
      </c>
      <c r="AN3566">
        <v>1.0000000161505</v>
      </c>
    </row>
    <row r="3567" spans="1:40" x14ac:dyDescent="0.25">
      <c r="A3567" t="str">
        <f>"20190312151609548"</f>
        <v>20190312151609548</v>
      </c>
      <c r="B3567" t="str">
        <f>"1552374969541536"</f>
        <v>1552374969541536</v>
      </c>
      <c r="C3567" t="s">
        <v>40</v>
      </c>
      <c r="D3567">
        <v>4.9178790000000001</v>
      </c>
      <c r="E3567">
        <v>0.5799571</v>
      </c>
      <c r="F3567" t="s">
        <v>58</v>
      </c>
      <c r="G3567">
        <v>-199.81059999999999</v>
      </c>
      <c r="H3567" s="1">
        <v>-1.420834E-5</v>
      </c>
      <c r="I3567">
        <v>156.55940000000001</v>
      </c>
      <c r="J3567">
        <v>-191.3065</v>
      </c>
      <c r="K3567">
        <v>1.1059060000000001</v>
      </c>
      <c r="L3567">
        <v>163.89709999999999</v>
      </c>
      <c r="M3567">
        <v>-0.49768410000000002</v>
      </c>
      <c r="N3567">
        <v>0</v>
      </c>
      <c r="O3567">
        <v>-0.86724129999999999</v>
      </c>
      <c r="P3567">
        <v>-0.59657660000000001</v>
      </c>
      <c r="Q3567">
        <v>-1.5172690000000001E-2</v>
      </c>
      <c r="R3567">
        <v>-0.80241300000000004</v>
      </c>
      <c r="S3567">
        <v>-2.2994690000000002</v>
      </c>
      <c r="T3567">
        <v>-0.29258430000000002</v>
      </c>
      <c r="U3567">
        <v>-2.0266570000000002</v>
      </c>
      <c r="V3567">
        <v>0.11802650000000001</v>
      </c>
      <c r="W3567">
        <v>-2.0330859999999999E-3</v>
      </c>
      <c r="X3567">
        <v>0.99300840000000001</v>
      </c>
      <c r="Y3567">
        <v>0.31811220000000001</v>
      </c>
      <c r="Z3567">
        <v>9.0211520000000003E-2</v>
      </c>
      <c r="AA3567">
        <v>0.94375129999999996</v>
      </c>
      <c r="AB3567">
        <v>38</v>
      </c>
      <c r="AC3567">
        <v>-8.5040999999999904</v>
      </c>
      <c r="AD3567">
        <v>-1.1059202083399999</v>
      </c>
      <c r="AE3567">
        <v>-7.3376999999999803</v>
      </c>
      <c r="AF3567">
        <v>3.6878764880879</v>
      </c>
      <c r="AG3567">
        <v>-1.1059202083399999</v>
      </c>
      <c r="AH3567">
        <v>10.495242840229601</v>
      </c>
      <c r="AI3567">
        <v>95.677382957610803</v>
      </c>
      <c r="AJ3567">
        <v>70.639262635454102</v>
      </c>
      <c r="AK3567">
        <v>11.1791598420452</v>
      </c>
      <c r="AL3567">
        <v>90.116487323323398</v>
      </c>
      <c r="AM3567">
        <v>83.221766228897806</v>
      </c>
      <c r="AN3567">
        <v>1.0000000353057401</v>
      </c>
    </row>
    <row r="3568" spans="1:40" x14ac:dyDescent="0.25">
      <c r="A3568" t="str">
        <f>"20190312151609561"</f>
        <v>20190312151609561</v>
      </c>
      <c r="B3568" t="str">
        <f>"1552374969551295"</f>
        <v>1552374969551295</v>
      </c>
      <c r="C3568" t="s">
        <v>40</v>
      </c>
      <c r="D3568">
        <v>4.8218839999999998</v>
      </c>
      <c r="E3568">
        <v>0.57979840000000005</v>
      </c>
      <c r="F3568" t="s">
        <v>58</v>
      </c>
      <c r="G3568">
        <v>-199.95779999999999</v>
      </c>
      <c r="H3568">
        <v>7.5638969999999896E-3</v>
      </c>
      <c r="I3568">
        <v>156.33160000000001</v>
      </c>
      <c r="J3568">
        <v>-191.41200000000001</v>
      </c>
      <c r="K3568">
        <v>1.10592</v>
      </c>
      <c r="L3568">
        <v>163.7165</v>
      </c>
      <c r="M3568">
        <v>-0.49935420000000003</v>
      </c>
      <c r="N3568">
        <v>0</v>
      </c>
      <c r="O3568">
        <v>-0.86628099999999997</v>
      </c>
      <c r="P3568">
        <v>-0.59820969999999996</v>
      </c>
      <c r="Q3568">
        <v>-1.499259E-2</v>
      </c>
      <c r="R3568">
        <v>-0.80119960000000001</v>
      </c>
      <c r="S3568">
        <v>-2.3073269999999999</v>
      </c>
      <c r="T3568">
        <v>-0.2929312</v>
      </c>
      <c r="U3568">
        <v>-2.0177309999999999</v>
      </c>
      <c r="V3568">
        <v>0.11813559999999999</v>
      </c>
      <c r="W3568">
        <v>-1.8587650000000001E-3</v>
      </c>
      <c r="X3568">
        <v>0.99299570000000004</v>
      </c>
      <c r="Y3568">
        <v>0.31993939999999998</v>
      </c>
      <c r="Z3568">
        <v>9.0299340000000006E-2</v>
      </c>
      <c r="AA3568">
        <v>0.94312499999999999</v>
      </c>
      <c r="AB3568">
        <v>38</v>
      </c>
      <c r="AC3568">
        <v>-8.5457999999999803</v>
      </c>
      <c r="AD3568">
        <v>-1.098356103</v>
      </c>
      <c r="AE3568">
        <v>-7.3848999999999796</v>
      </c>
      <c r="AF3568">
        <v>3.6809495997950599</v>
      </c>
      <c r="AG3568">
        <v>-1.098356103</v>
      </c>
      <c r="AH3568">
        <v>10.5659397479782</v>
      </c>
      <c r="AI3568">
        <v>95.606533039557704</v>
      </c>
      <c r="AJ3568">
        <v>70.792745587123406</v>
      </c>
      <c r="AK3568">
        <v>11.2425468130283</v>
      </c>
      <c r="AL3568">
        <v>90.1064994543826</v>
      </c>
      <c r="AM3568">
        <v>83.215473057021498</v>
      </c>
      <c r="AN3568">
        <v>0.99999996760658705</v>
      </c>
    </row>
    <row r="3569" spans="1:40" x14ac:dyDescent="0.25">
      <c r="A3569" t="str">
        <f>"20190312151609573"</f>
        <v>20190312151609573</v>
      </c>
      <c r="B3569" t="str">
        <f>"1552374969570815"</f>
        <v>1552374969570815</v>
      </c>
      <c r="C3569" t="s">
        <v>40</v>
      </c>
      <c r="D3569">
        <v>4.8743349999999896</v>
      </c>
      <c r="E3569">
        <v>0.57964199999999999</v>
      </c>
      <c r="F3569" t="s">
        <v>58</v>
      </c>
      <c r="G3569">
        <v>-199.95779999999999</v>
      </c>
      <c r="H3569">
        <v>1.763818E-2</v>
      </c>
      <c r="I3569">
        <v>156.26779999999999</v>
      </c>
      <c r="J3569">
        <v>-191.52189999999999</v>
      </c>
      <c r="K3569">
        <v>1.1059300000000001</v>
      </c>
      <c r="L3569">
        <v>163.5292</v>
      </c>
      <c r="M3569">
        <v>-0.501085</v>
      </c>
      <c r="N3569">
        <v>0</v>
      </c>
      <c r="O3569">
        <v>-0.86528090000000002</v>
      </c>
      <c r="P3569">
        <v>-0.60005929999999996</v>
      </c>
      <c r="Q3569">
        <v>-1.4529790000000001E-2</v>
      </c>
      <c r="R3569">
        <v>-0.79982359999999997</v>
      </c>
      <c r="S3569">
        <v>-2.310425</v>
      </c>
      <c r="T3569">
        <v>-0.29422759999999998</v>
      </c>
      <c r="U3569">
        <v>-2.0138240000000001</v>
      </c>
      <c r="V3569">
        <v>0.11844449999999999</v>
      </c>
      <c r="W3569">
        <v>-1.4036389999999999E-3</v>
      </c>
      <c r="X3569">
        <v>0.9929597</v>
      </c>
      <c r="Y3569">
        <v>0.31955090000000003</v>
      </c>
      <c r="Z3569">
        <v>9.0624730000000001E-2</v>
      </c>
      <c r="AA3569">
        <v>0.94322550000000005</v>
      </c>
      <c r="AB3569">
        <v>38</v>
      </c>
      <c r="AC3569">
        <v>-8.4359000000000002</v>
      </c>
      <c r="AD3569">
        <v>-1.08829181999999</v>
      </c>
      <c r="AE3569">
        <v>-7.2614000000000001</v>
      </c>
      <c r="AF3569">
        <v>3.6265469060820701</v>
      </c>
      <c r="AG3569">
        <v>-1.08829181999999</v>
      </c>
      <c r="AH3569">
        <v>10.411785503952</v>
      </c>
      <c r="AI3569">
        <v>95.637326848001194</v>
      </c>
      <c r="AJ3569">
        <v>70.796174051598399</v>
      </c>
      <c r="AK3569">
        <v>11.078876248419601</v>
      </c>
      <c r="AL3569">
        <v>90.080422615636294</v>
      </c>
      <c r="AM3569">
        <v>83.197654636450196</v>
      </c>
      <c r="AN3569">
        <v>1.0000000178033901</v>
      </c>
    </row>
    <row r="3570" spans="1:40" x14ac:dyDescent="0.25">
      <c r="A3570" t="str">
        <f>"20190312151609591"</f>
        <v>20190312151609591</v>
      </c>
      <c r="B3570" t="str">
        <f>"1552374969581551"</f>
        <v>1552374969581551</v>
      </c>
      <c r="C3570" t="s">
        <v>40</v>
      </c>
      <c r="D3570">
        <v>4.9226789999999996</v>
      </c>
      <c r="E3570">
        <v>0.57962209999999903</v>
      </c>
      <c r="F3570" t="s">
        <v>58</v>
      </c>
      <c r="G3570">
        <v>-199.95779999999999</v>
      </c>
      <c r="H3570">
        <v>2.9583269999999998E-2</v>
      </c>
      <c r="I3570">
        <v>156.2054</v>
      </c>
      <c r="J3570">
        <v>-191.67660000000001</v>
      </c>
      <c r="K3570">
        <v>1.105953</v>
      </c>
      <c r="L3570">
        <v>163.26689999999999</v>
      </c>
      <c r="M3570">
        <v>-0.50349520000000003</v>
      </c>
      <c r="N3570">
        <v>0</v>
      </c>
      <c r="O3570">
        <v>-0.86388099999999901</v>
      </c>
      <c r="P3570">
        <v>-0.60301519999999897</v>
      </c>
      <c r="Q3570">
        <v>-1.3588009999999999E-2</v>
      </c>
      <c r="R3570">
        <v>-0.7976145</v>
      </c>
      <c r="S3570">
        <v>-2.3143159999999998</v>
      </c>
      <c r="T3570">
        <v>-0.29528559999999998</v>
      </c>
      <c r="U3570">
        <v>-2.009201</v>
      </c>
      <c r="V3570">
        <v>0.11935080000000001</v>
      </c>
      <c r="W3570">
        <v>-4.7567680000000002E-4</v>
      </c>
      <c r="X3570">
        <v>0.99285199999999996</v>
      </c>
      <c r="Y3570">
        <v>0.31875039999999999</v>
      </c>
      <c r="Z3570">
        <v>9.0834170000000006E-2</v>
      </c>
      <c r="AA3570">
        <v>0.94347619999999999</v>
      </c>
      <c r="AB3570">
        <v>38</v>
      </c>
      <c r="AC3570">
        <v>-8.2811999999999806</v>
      </c>
      <c r="AD3570">
        <v>-1.0763697299999999</v>
      </c>
      <c r="AE3570">
        <v>-7.0614999999999899</v>
      </c>
      <c r="AF3570">
        <v>3.56404154682878</v>
      </c>
      <c r="AG3570">
        <v>-1.0763697299999999</v>
      </c>
      <c r="AH3570">
        <v>10.171385364016301</v>
      </c>
      <c r="AI3570">
        <v>95.703206736753501</v>
      </c>
      <c r="AJ3570">
        <v>70.689598749724993</v>
      </c>
      <c r="AK3570">
        <v>10.831345445811801</v>
      </c>
      <c r="AL3570">
        <v>90.027254274984401</v>
      </c>
      <c r="AM3570">
        <v>83.1453620967592</v>
      </c>
      <c r="AN3570">
        <v>0.99999996681652803</v>
      </c>
    </row>
    <row r="3571" spans="1:40" x14ac:dyDescent="0.25">
      <c r="A3571" t="str">
        <f>"20190312151609604"</f>
        <v>20190312151609604</v>
      </c>
      <c r="B3571" t="str">
        <f>"1552374969601071"</f>
        <v>1552374969601071</v>
      </c>
      <c r="C3571" t="s">
        <v>40</v>
      </c>
      <c r="D3571">
        <v>4.8845619999999998</v>
      </c>
      <c r="E3571">
        <v>0.57959640000000001</v>
      </c>
      <c r="F3571" t="s">
        <v>58</v>
      </c>
      <c r="G3571">
        <v>-199.96780000000001</v>
      </c>
      <c r="H3571">
        <v>5.9985450000000003E-2</v>
      </c>
      <c r="I3571">
        <v>156.12190000000001</v>
      </c>
      <c r="J3571">
        <v>-191.78059999999999</v>
      </c>
      <c r="K3571">
        <v>1.10597099999999</v>
      </c>
      <c r="L3571">
        <v>163.09180000000001</v>
      </c>
      <c r="M3571">
        <v>-0.50509110000000002</v>
      </c>
      <c r="N3571">
        <v>0</v>
      </c>
      <c r="O3571">
        <v>-0.86294879999999996</v>
      </c>
      <c r="P3571">
        <v>-0.6050314</v>
      </c>
      <c r="Q3571">
        <v>-1.3408049999999999E-2</v>
      </c>
      <c r="R3571">
        <v>-0.79608869999999998</v>
      </c>
      <c r="S3571">
        <v>-2.3218380000000001</v>
      </c>
      <c r="T3571">
        <v>-0.29291060000000002</v>
      </c>
      <c r="U3571">
        <v>-2.0008699999999999</v>
      </c>
      <c r="V3571">
        <v>0.1200278</v>
      </c>
      <c r="W3571">
        <v>-3.0438809999999998E-4</v>
      </c>
      <c r="X3571">
        <v>0.9927705</v>
      </c>
      <c r="Y3571">
        <v>0.32051059999999998</v>
      </c>
      <c r="Z3571">
        <v>9.0084600000000001E-2</v>
      </c>
      <c r="AA3571">
        <v>0.9429516</v>
      </c>
      <c r="AB3571">
        <v>38</v>
      </c>
      <c r="AC3571">
        <v>-8.1872000000000096</v>
      </c>
      <c r="AD3571">
        <v>-1.0459855499999899</v>
      </c>
      <c r="AE3571">
        <v>-6.9698999999999902</v>
      </c>
      <c r="AF3571">
        <v>3.5118241062658302</v>
      </c>
      <c r="AG3571">
        <v>-1.0459855499999899</v>
      </c>
      <c r="AH3571">
        <v>10.0558114741096</v>
      </c>
      <c r="AI3571">
        <v>95.608561722237496</v>
      </c>
      <c r="AJ3571">
        <v>70.749098413211499</v>
      </c>
      <c r="AK3571">
        <v>10.702632327002201</v>
      </c>
      <c r="AL3571">
        <v>90.017440153462104</v>
      </c>
      <c r="AM3571">
        <v>83.106292788373807</v>
      </c>
      <c r="AN3571">
        <v>1.0000000155476001</v>
      </c>
    </row>
    <row r="3572" spans="1:40" x14ac:dyDescent="0.25">
      <c r="A3572" t="str">
        <f>"20190312151609616"</f>
        <v>20190312151609616</v>
      </c>
      <c r="B3572" t="str">
        <f>"1552374969610831"</f>
        <v>1552374969610831</v>
      </c>
      <c r="C3572" t="s">
        <v>40</v>
      </c>
      <c r="D3572">
        <v>4.8621889999999999</v>
      </c>
      <c r="E3572">
        <v>0.57949930000000005</v>
      </c>
      <c r="F3572" t="s">
        <v>58</v>
      </c>
      <c r="G3572">
        <v>-199.97819999999999</v>
      </c>
      <c r="H3572">
        <v>7.040565E-2</v>
      </c>
      <c r="I3572">
        <v>156.0635</v>
      </c>
      <c r="J3572">
        <v>-191.89169999999999</v>
      </c>
      <c r="K3572">
        <v>1.1059909999999999</v>
      </c>
      <c r="L3572">
        <v>162.90520000000001</v>
      </c>
      <c r="M3572">
        <v>-0.506779599999999</v>
      </c>
      <c r="N3572">
        <v>0</v>
      </c>
      <c r="O3572">
        <v>-0.86195849999999996</v>
      </c>
      <c r="P3572">
        <v>-0.60699399999999903</v>
      </c>
      <c r="Q3572">
        <v>-1.3059930000000001E-2</v>
      </c>
      <c r="R3572">
        <v>-0.7945989</v>
      </c>
      <c r="S3572">
        <v>-2.3269039999999999</v>
      </c>
      <c r="T3572">
        <v>-0.29394769999999998</v>
      </c>
      <c r="U3572">
        <v>-1.9949950000000001</v>
      </c>
      <c r="V3572">
        <v>0.1205339</v>
      </c>
      <c r="W3572" s="1">
        <v>3.7837889999999998E-5</v>
      </c>
      <c r="X3572">
        <v>0.99270919999999896</v>
      </c>
      <c r="Y3572">
        <v>0.321021</v>
      </c>
      <c r="Z3572">
        <v>9.0346599999999999E-2</v>
      </c>
      <c r="AA3572">
        <v>0.9427529</v>
      </c>
      <c r="AB3572">
        <v>37</v>
      </c>
      <c r="AC3572">
        <v>-8.0864999999999991</v>
      </c>
      <c r="AD3572">
        <v>-1.0355853499999901</v>
      </c>
      <c r="AE3572">
        <v>-6.8417000000000003</v>
      </c>
      <c r="AF3572">
        <v>3.47017846932604</v>
      </c>
      <c r="AG3572">
        <v>-1.0355853499999901</v>
      </c>
      <c r="AH3572">
        <v>9.9017015216857693</v>
      </c>
      <c r="AI3572">
        <v>95.6368757359797</v>
      </c>
      <c r="AJ3572">
        <v>70.686332272883305</v>
      </c>
      <c r="AK3572">
        <v>10.5431621751096</v>
      </c>
      <c r="AL3572">
        <v>89.997832048573201</v>
      </c>
      <c r="AM3572">
        <v>83.077083463125206</v>
      </c>
      <c r="AN3572">
        <v>0.99999998912277699</v>
      </c>
    </row>
    <row r="3573" spans="1:40" x14ac:dyDescent="0.25">
      <c r="A3573" t="str">
        <f>"20190312151609628"</f>
        <v>20190312151609628</v>
      </c>
      <c r="B3573" t="str">
        <f>"1552374969621567"</f>
        <v>1552374969621567</v>
      </c>
      <c r="C3573" t="s">
        <v>40</v>
      </c>
      <c r="D3573">
        <v>5.7766719999999996</v>
      </c>
      <c r="E3573">
        <v>0.57933100000000004</v>
      </c>
      <c r="F3573" t="s">
        <v>58</v>
      </c>
      <c r="G3573">
        <v>-200.02670000000001</v>
      </c>
      <c r="H3573">
        <v>7.998479E-2</v>
      </c>
      <c r="I3573">
        <v>155.96279999999999</v>
      </c>
      <c r="J3573">
        <v>-191.9974</v>
      </c>
      <c r="K3573">
        <v>1.1060160000000001</v>
      </c>
      <c r="L3573">
        <v>162.72839999999999</v>
      </c>
      <c r="M3573">
        <v>-0.50836110000000001</v>
      </c>
      <c r="N3573">
        <v>0</v>
      </c>
      <c r="O3573">
        <v>-0.86102679999999998</v>
      </c>
      <c r="P3573">
        <v>-0.60892409999999997</v>
      </c>
      <c r="Q3573">
        <v>-1.3014339999999999E-2</v>
      </c>
      <c r="R3573">
        <v>-0.79312199999999999</v>
      </c>
      <c r="S3573">
        <v>-2.3314360000000001</v>
      </c>
      <c r="T3573">
        <v>-0.29404570000000002</v>
      </c>
      <c r="U3573">
        <v>-1.989655</v>
      </c>
      <c r="V3573">
        <v>0.1211248</v>
      </c>
      <c r="W3573" s="1">
        <v>7.8639709999999999E-5</v>
      </c>
      <c r="X3573">
        <v>0.99263729999999994</v>
      </c>
      <c r="Y3573">
        <v>0.32143749999999999</v>
      </c>
      <c r="Z3573">
        <v>9.0324570000000007E-2</v>
      </c>
      <c r="AA3573">
        <v>0.94261309999999998</v>
      </c>
      <c r="AB3573">
        <v>37</v>
      </c>
      <c r="AC3573">
        <v>-8.0292999999999992</v>
      </c>
      <c r="AD3573">
        <v>-1.02603121</v>
      </c>
      <c r="AE3573">
        <v>-6.7656000000000001</v>
      </c>
      <c r="AF3573">
        <v>3.4415608970509899</v>
      </c>
      <c r="AG3573">
        <v>-1.02603121</v>
      </c>
      <c r="AH3573">
        <v>9.8144260956506102</v>
      </c>
      <c r="AI3573">
        <v>95.634199074592104</v>
      </c>
      <c r="AJ3573">
        <v>70.676094314371497</v>
      </c>
      <c r="AK3573">
        <v>10.4508392504617</v>
      </c>
      <c r="AL3573">
        <v>89.995494276583898</v>
      </c>
      <c r="AM3573">
        <v>83.042977675511295</v>
      </c>
      <c r="AN3573">
        <v>1.00000001635526</v>
      </c>
    </row>
    <row r="3574" spans="1:40" x14ac:dyDescent="0.25">
      <c r="A3574" t="str">
        <f>"20190312151609647"</f>
        <v>20190312151609647</v>
      </c>
      <c r="B3574" t="str">
        <f>"1552374969641087"</f>
        <v>1552374969641087</v>
      </c>
      <c r="C3574" t="s">
        <v>40</v>
      </c>
      <c r="D3574">
        <v>4.9151629999999997</v>
      </c>
      <c r="E3574">
        <v>0.54965750000000002</v>
      </c>
      <c r="F3574" t="s">
        <v>58</v>
      </c>
      <c r="G3574">
        <v>-200.22190000000001</v>
      </c>
      <c r="H3574">
        <v>7.9984739999999999E-2</v>
      </c>
      <c r="I3574">
        <v>155.73689999999999</v>
      </c>
      <c r="J3574">
        <v>-192.15960000000001</v>
      </c>
      <c r="K3574">
        <v>1.1060680000000001</v>
      </c>
      <c r="L3574">
        <v>162.45869999999999</v>
      </c>
      <c r="M3574">
        <v>-0.51073080000000004</v>
      </c>
      <c r="N3574">
        <v>0</v>
      </c>
      <c r="O3574">
        <v>-0.85962340000000004</v>
      </c>
      <c r="P3574">
        <v>-0.61195369999999905</v>
      </c>
      <c r="Q3574">
        <v>-1.3070379999999999E-2</v>
      </c>
      <c r="R3574">
        <v>-0.79078579999999998</v>
      </c>
      <c r="S3574">
        <v>-2.3350219999999999</v>
      </c>
      <c r="T3574">
        <v>-0.29130289999999998</v>
      </c>
      <c r="U3574">
        <v>-1.9849699999999999</v>
      </c>
      <c r="V3574">
        <v>0.1221878</v>
      </c>
      <c r="W3574" s="1">
        <v>1.7037500000000001E-5</v>
      </c>
      <c r="X3574">
        <v>0.99250700000000003</v>
      </c>
      <c r="Y3574">
        <v>0.32071270000000002</v>
      </c>
      <c r="Z3574">
        <v>8.9382799999999998E-2</v>
      </c>
      <c r="AA3574">
        <v>0.9429497</v>
      </c>
      <c r="AB3574">
        <v>37</v>
      </c>
      <c r="AC3574">
        <v>-8.0622999999999898</v>
      </c>
      <c r="AD3574">
        <v>-1.0260832600000001</v>
      </c>
      <c r="AE3574">
        <v>-6.7218</v>
      </c>
      <c r="AF3574">
        <v>3.46475696572185</v>
      </c>
      <c r="AG3574">
        <v>-1.0260832600000001</v>
      </c>
      <c r="AH3574">
        <v>9.8032057596172706</v>
      </c>
      <c r="AI3574">
        <v>95.636034205444105</v>
      </c>
      <c r="AJ3574">
        <v>70.535012122992597</v>
      </c>
      <c r="AK3574">
        <v>10.447977357046801</v>
      </c>
      <c r="AL3574">
        <v>89.999023823158296</v>
      </c>
      <c r="AM3574">
        <v>82.981616405209394</v>
      </c>
      <c r="AN3574">
        <v>1.00000000190405</v>
      </c>
    </row>
    <row r="3575" spans="1:40" x14ac:dyDescent="0.25">
      <c r="A3575" t="str">
        <f>"20190312151609671"</f>
        <v>20190312151609671</v>
      </c>
      <c r="B3575" t="str">
        <f>"1552374969661583"</f>
        <v>1552374969661583</v>
      </c>
      <c r="C3575" t="s">
        <v>40</v>
      </c>
      <c r="D3575">
        <v>5.0153780000000001</v>
      </c>
      <c r="E3575">
        <v>0.53572580000000003</v>
      </c>
      <c r="F3575" t="s">
        <v>58</v>
      </c>
      <c r="G3575">
        <v>-199.5521</v>
      </c>
      <c r="H3575" s="1">
        <v>-1.38633E-5</v>
      </c>
      <c r="I3575">
        <v>155.18809999999999</v>
      </c>
      <c r="J3575">
        <v>-192.35570000000001</v>
      </c>
      <c r="K3575">
        <v>1.1061479999999999</v>
      </c>
      <c r="L3575">
        <v>162.1344</v>
      </c>
      <c r="M3575">
        <v>-0.51350050000000003</v>
      </c>
      <c r="N3575">
        <v>0</v>
      </c>
      <c r="O3575">
        <v>-0.85797209999999902</v>
      </c>
      <c r="P3575">
        <v>-0.61479430000000002</v>
      </c>
      <c r="Q3575">
        <v>-1.3328400000000001E-2</v>
      </c>
      <c r="R3575">
        <v>-0.78857500000000003</v>
      </c>
      <c r="S3575">
        <v>-2.155716</v>
      </c>
      <c r="T3575">
        <v>-0.32254139999999998</v>
      </c>
      <c r="U3575">
        <v>-2.1201479999999999</v>
      </c>
      <c r="V3575">
        <v>0.1225571</v>
      </c>
      <c r="W3575">
        <v>-2.3275579999999999E-4</v>
      </c>
      <c r="X3575">
        <v>0.99246140000000005</v>
      </c>
      <c r="Y3575">
        <v>0.24771550000000001</v>
      </c>
      <c r="Z3575">
        <v>9.7963350000000005E-2</v>
      </c>
      <c r="AA3575">
        <v>0.96386729999999998</v>
      </c>
      <c r="AB3575">
        <v>37</v>
      </c>
      <c r="AC3575">
        <v>-7.1963999999999801</v>
      </c>
      <c r="AD3575">
        <v>-1.1061618633000001</v>
      </c>
      <c r="AE3575">
        <v>-6.9462999999999999</v>
      </c>
      <c r="AF3575">
        <v>2.5761350585442901</v>
      </c>
      <c r="AG3575">
        <v>-1.1061618633000001</v>
      </c>
      <c r="AH3575">
        <v>9.5393801346079403</v>
      </c>
      <c r="AI3575">
        <v>96.387506262222701</v>
      </c>
      <c r="AJ3575">
        <v>74.887612288514802</v>
      </c>
      <c r="AK3575">
        <v>9.9428285341864893</v>
      </c>
      <c r="AL3575">
        <v>90.013335925601496</v>
      </c>
      <c r="AM3575">
        <v>82.960296380356297</v>
      </c>
      <c r="AN3575">
        <v>0.99999996371281497</v>
      </c>
    </row>
    <row r="3576" spans="1:40" x14ac:dyDescent="0.25">
      <c r="A3576" t="str">
        <f>"20190312151609684"</f>
        <v>20190312151609684</v>
      </c>
      <c r="B3576" t="str">
        <f>"1552374969681103"</f>
        <v>1552374969681103</v>
      </c>
      <c r="C3576" t="s">
        <v>40</v>
      </c>
      <c r="D3576">
        <v>4.899438</v>
      </c>
      <c r="E3576">
        <v>0.53055410000000003</v>
      </c>
      <c r="F3576" t="s">
        <v>41</v>
      </c>
      <c r="G3576">
        <v>-192.89169999999999</v>
      </c>
      <c r="H3576">
        <v>1.0120629999999999</v>
      </c>
      <c r="I3576">
        <v>161.5719</v>
      </c>
      <c r="J3576">
        <v>-192.46979999999999</v>
      </c>
      <c r="K3576">
        <v>1.1062069999999999</v>
      </c>
      <c r="L3576">
        <v>161.9469</v>
      </c>
      <c r="M3576">
        <v>-0.51504470000000002</v>
      </c>
      <c r="N3576">
        <v>0</v>
      </c>
      <c r="O3576">
        <v>-0.85704590000000003</v>
      </c>
      <c r="P3576">
        <v>-0.61626479999999995</v>
      </c>
      <c r="Q3576">
        <v>-1.3178860000000001E-2</v>
      </c>
      <c r="R3576">
        <v>-0.78742900000000005</v>
      </c>
      <c r="S3576">
        <v>-2.076416</v>
      </c>
      <c r="T3576">
        <v>-0.36449930000000003</v>
      </c>
      <c r="U3576">
        <v>-2.1793520000000002</v>
      </c>
      <c r="V3576">
        <v>0.1226217</v>
      </c>
      <c r="W3576" s="1">
        <v>-7.3470759999999999E-5</v>
      </c>
      <c r="X3576">
        <v>0.99245349999999999</v>
      </c>
      <c r="Y3576">
        <v>0.21349870000000001</v>
      </c>
      <c r="Z3576">
        <v>0.1098538</v>
      </c>
      <c r="AA3576">
        <v>0.97074740000000004</v>
      </c>
      <c r="AB3576">
        <v>37</v>
      </c>
      <c r="AC3576">
        <v>-0.421899999999993</v>
      </c>
      <c r="AD3576">
        <v>-9.4144000000000005E-2</v>
      </c>
      <c r="AE3576">
        <v>-0.375</v>
      </c>
      <c r="AF3576">
        <v>0.16390359679533101</v>
      </c>
      <c r="AG3576">
        <v>-9.4144000000000005E-2</v>
      </c>
      <c r="AH3576">
        <v>0.52416328858720895</v>
      </c>
      <c r="AI3576">
        <v>99.727259149077398</v>
      </c>
      <c r="AJ3576">
        <v>72.6357616878161</v>
      </c>
      <c r="AK3576">
        <v>0.55720250796367099</v>
      </c>
      <c r="AL3576">
        <v>90.004209564392795</v>
      </c>
      <c r="AM3576">
        <v>82.956567501658</v>
      </c>
      <c r="AN3576">
        <v>1.00000001818554</v>
      </c>
    </row>
    <row r="3577" spans="1:40" x14ac:dyDescent="0.25">
      <c r="A3577" t="str">
        <f>"20190312151609705"</f>
        <v>20190312151609705</v>
      </c>
      <c r="B3577" t="str">
        <f>"1552374969701599"</f>
        <v>1552374969701599</v>
      </c>
      <c r="C3577" t="s">
        <v>40</v>
      </c>
      <c r="D3577">
        <v>4.8775700000000004</v>
      </c>
      <c r="E3577">
        <v>0.52837500000000004</v>
      </c>
      <c r="F3577" t="s">
        <v>41</v>
      </c>
      <c r="G3577">
        <v>-193.07579999999999</v>
      </c>
      <c r="H3577">
        <v>1.0047170000000001</v>
      </c>
      <c r="I3577">
        <v>161.2955</v>
      </c>
      <c r="J3577">
        <v>-192.65790000000001</v>
      </c>
      <c r="K3577">
        <v>1.106322</v>
      </c>
      <c r="L3577">
        <v>161.63919999999999</v>
      </c>
      <c r="M3577">
        <v>-0.51750350000000001</v>
      </c>
      <c r="N3577">
        <v>0</v>
      </c>
      <c r="O3577">
        <v>-0.85556369999999904</v>
      </c>
      <c r="P3577">
        <v>-0.61861820000000001</v>
      </c>
      <c r="Q3577">
        <v>-1.1799270000000001E-2</v>
      </c>
      <c r="R3577">
        <v>-0.78560319999999995</v>
      </c>
      <c r="S3577">
        <v>-2.0474239999999999</v>
      </c>
      <c r="T3577">
        <v>-0.34297610000000001</v>
      </c>
      <c r="U3577">
        <v>-2.2017669999999998</v>
      </c>
      <c r="V3577">
        <v>0.1227413</v>
      </c>
      <c r="W3577">
        <v>1.3259089999999999E-3</v>
      </c>
      <c r="X3577">
        <v>0.99243780000000004</v>
      </c>
      <c r="Y3577">
        <v>0.1994689</v>
      </c>
      <c r="Z3577">
        <v>0.1029953</v>
      </c>
      <c r="AA3577">
        <v>0.97447629999999996</v>
      </c>
      <c r="AB3577">
        <v>37</v>
      </c>
      <c r="AC3577">
        <v>-0.41789999999997401</v>
      </c>
      <c r="AD3577">
        <v>-0.101604999999999</v>
      </c>
      <c r="AE3577">
        <v>-0.34369999999998402</v>
      </c>
      <c r="AF3577">
        <v>0.17357172972966001</v>
      </c>
      <c r="AG3577">
        <v>-0.101604999999999</v>
      </c>
      <c r="AH3577">
        <v>0.49298956367167202</v>
      </c>
      <c r="AI3577">
        <v>101.00122583855401</v>
      </c>
      <c r="AJ3577">
        <v>70.603856958438399</v>
      </c>
      <c r="AK3577">
        <v>0.53243725571707601</v>
      </c>
      <c r="AL3577">
        <v>89.924030986944501</v>
      </c>
      <c r="AM3577">
        <v>82.949656329721904</v>
      </c>
      <c r="AN3577">
        <v>0.99999998581460303</v>
      </c>
    </row>
    <row r="3578" spans="1:40" x14ac:dyDescent="0.25">
      <c r="A3578" t="str">
        <f>"20190312151609727"</f>
        <v>20190312151609727</v>
      </c>
      <c r="B3578" t="str">
        <f>"1552374969721119"</f>
        <v>1552374969721119</v>
      </c>
      <c r="C3578" t="s">
        <v>40</v>
      </c>
      <c r="D3578">
        <v>4.8099530000000001</v>
      </c>
      <c r="E3578">
        <v>0.52684399999999998</v>
      </c>
      <c r="F3578" t="s">
        <v>41</v>
      </c>
      <c r="G3578">
        <v>-193.24799999999999</v>
      </c>
      <c r="H3578">
        <v>1.016526</v>
      </c>
      <c r="I3578">
        <v>161.00069999999999</v>
      </c>
      <c r="J3578">
        <v>-192.85659999999999</v>
      </c>
      <c r="K3578">
        <v>1.1064529999999999</v>
      </c>
      <c r="L3578">
        <v>161.3159</v>
      </c>
      <c r="M3578">
        <v>-0.51997420000000005</v>
      </c>
      <c r="N3578">
        <v>0</v>
      </c>
      <c r="O3578">
        <v>-0.8540645</v>
      </c>
      <c r="P3578">
        <v>-0.6210791</v>
      </c>
      <c r="Q3578">
        <v>-9.859296E-3</v>
      </c>
      <c r="R3578">
        <v>-0.783686199999999</v>
      </c>
      <c r="S3578">
        <v>-2.039841</v>
      </c>
      <c r="T3578">
        <v>-0.31046570000000001</v>
      </c>
      <c r="U3578">
        <v>-2.2077789999999999</v>
      </c>
      <c r="V3578">
        <v>0.12298539999999999</v>
      </c>
      <c r="W3578">
        <v>3.2876120000000001E-3</v>
      </c>
      <c r="X3578">
        <v>0.99240300000000004</v>
      </c>
      <c r="Y3578">
        <v>0.194269</v>
      </c>
      <c r="Z3578">
        <v>9.3074749999999998E-2</v>
      </c>
      <c r="AA3578">
        <v>0.97652269999999997</v>
      </c>
      <c r="AB3578">
        <v>37</v>
      </c>
      <c r="AC3578">
        <v>-0.39140000000000402</v>
      </c>
      <c r="AD3578">
        <v>-8.9927000000000007E-2</v>
      </c>
      <c r="AE3578">
        <v>-0.31520000000000398</v>
      </c>
      <c r="AF3578">
        <v>0.16511485247852201</v>
      </c>
      <c r="AG3578">
        <v>-8.9927000000000007E-2</v>
      </c>
      <c r="AH3578">
        <v>0.45809750626064699</v>
      </c>
      <c r="AI3578">
        <v>100.46324395003499</v>
      </c>
      <c r="AJ3578">
        <v>70.179009664672407</v>
      </c>
      <c r="AK3578">
        <v>0.49517987144090198</v>
      </c>
      <c r="AL3578">
        <v>89.8116333619393</v>
      </c>
      <c r="AM3578">
        <v>82.935531371501497</v>
      </c>
      <c r="AN3578">
        <v>0.99999996570741001</v>
      </c>
    </row>
    <row r="3579" spans="1:40" x14ac:dyDescent="0.25">
      <c r="A3579" t="str">
        <f>"20190312151609740"</f>
        <v>20190312151609740</v>
      </c>
      <c r="B3579" t="str">
        <f>"1552374969731856"</f>
        <v>1552374969731856</v>
      </c>
      <c r="C3579" t="s">
        <v>40</v>
      </c>
      <c r="D3579">
        <v>4.853199</v>
      </c>
      <c r="E3579">
        <v>0.52606200000000003</v>
      </c>
      <c r="F3579" t="s">
        <v>41</v>
      </c>
      <c r="G3579">
        <v>-193.41460000000001</v>
      </c>
      <c r="H3579">
        <v>1.0202530000000001</v>
      </c>
      <c r="I3579">
        <v>160.71109999999999</v>
      </c>
      <c r="J3579">
        <v>-192.96700000000001</v>
      </c>
      <c r="K3579">
        <v>1.106517</v>
      </c>
      <c r="L3579">
        <v>161.13720000000001</v>
      </c>
      <c r="M3579">
        <v>-0.52129409999999998</v>
      </c>
      <c r="N3579">
        <v>0</v>
      </c>
      <c r="O3579">
        <v>-0.85325969999999995</v>
      </c>
      <c r="P3579">
        <v>-0.62223319999999904</v>
      </c>
      <c r="Q3579">
        <v>-9.11614E-3</v>
      </c>
      <c r="R3579">
        <v>-0.78277929999999996</v>
      </c>
      <c r="S3579">
        <v>-2.0373079999999999</v>
      </c>
      <c r="T3579">
        <v>-0.31484600000000001</v>
      </c>
      <c r="U3579">
        <v>-2.2095030000000002</v>
      </c>
      <c r="V3579">
        <v>0.12291340000000001</v>
      </c>
      <c r="W3579">
        <v>4.0443470000000002E-3</v>
      </c>
      <c r="X3579">
        <v>0.99240919999999999</v>
      </c>
      <c r="Y3579">
        <v>0.1916775</v>
      </c>
      <c r="Z3579">
        <v>9.4247330000000004E-2</v>
      </c>
      <c r="AA3579">
        <v>0.97692230000000002</v>
      </c>
      <c r="AB3579">
        <v>37</v>
      </c>
      <c r="AC3579">
        <v>-0.447599999999994</v>
      </c>
      <c r="AD3579">
        <v>-8.6263999999999896E-2</v>
      </c>
      <c r="AE3579">
        <v>-0.42610000000001902</v>
      </c>
      <c r="AF3579">
        <v>0.15675721264002301</v>
      </c>
      <c r="AG3579">
        <v>-8.6263999999999896E-2</v>
      </c>
      <c r="AH3579">
        <v>0.58555542135812999</v>
      </c>
      <c r="AI3579">
        <v>98.099308893735596</v>
      </c>
      <c r="AJ3579">
        <v>75.012954455431597</v>
      </c>
      <c r="AK3579">
        <v>0.61228216770747701</v>
      </c>
      <c r="AL3579">
        <v>89.768275363672402</v>
      </c>
      <c r="AM3579">
        <v>82.939669072505595</v>
      </c>
      <c r="AN3579">
        <v>1.0000000404434199</v>
      </c>
    </row>
    <row r="3580" spans="1:40" x14ac:dyDescent="0.25">
      <c r="A3580" t="str">
        <f>"20190312151609760"</f>
        <v>20190312151609760</v>
      </c>
      <c r="B3580" t="str">
        <f>"1552374969751379"</f>
        <v>1552374969751379</v>
      </c>
      <c r="C3580" t="s">
        <v>40</v>
      </c>
      <c r="D3580">
        <v>4.7807919999999999</v>
      </c>
      <c r="E3580">
        <v>0.52553609999999995</v>
      </c>
      <c r="F3580" t="s">
        <v>41</v>
      </c>
      <c r="G3580">
        <v>-193.60599999999999</v>
      </c>
      <c r="H3580">
        <v>1.0070349999999999</v>
      </c>
      <c r="I3580">
        <v>160.44329999999999</v>
      </c>
      <c r="J3580">
        <v>-193.13939999999999</v>
      </c>
      <c r="K3580">
        <v>1.1066229999999999</v>
      </c>
      <c r="L3580">
        <v>160.85919999999999</v>
      </c>
      <c r="M3580">
        <v>-0.52329639999999999</v>
      </c>
      <c r="N3580">
        <v>0</v>
      </c>
      <c r="O3580">
        <v>-0.85203329999999999</v>
      </c>
      <c r="P3580">
        <v>-0.62396229999999997</v>
      </c>
      <c r="Q3580">
        <v>-7.135593E-3</v>
      </c>
      <c r="R3580">
        <v>-0.78142210000000001</v>
      </c>
      <c r="S3580">
        <v>-2.0357820000000002</v>
      </c>
      <c r="T3580">
        <v>-0.31691809999999998</v>
      </c>
      <c r="U3580">
        <v>-2.2105260000000002</v>
      </c>
      <c r="V3580">
        <v>0.1227795</v>
      </c>
      <c r="W3580">
        <v>6.0441770000000004E-3</v>
      </c>
      <c r="X3580">
        <v>0.99241550000000001</v>
      </c>
      <c r="Y3580">
        <v>0.1887452</v>
      </c>
      <c r="Z3580">
        <v>9.4679849999999996E-2</v>
      </c>
      <c r="AA3580">
        <v>0.97745130000000002</v>
      </c>
      <c r="AB3580">
        <v>37</v>
      </c>
      <c r="AC3580">
        <v>-0.46659999999999902</v>
      </c>
      <c r="AD3580">
        <v>-9.9587999999999802E-2</v>
      </c>
      <c r="AE3580">
        <v>-0.415899999999993</v>
      </c>
      <c r="AF3580">
        <v>0.17548306866482499</v>
      </c>
      <c r="AG3580">
        <v>-9.9587999999999802E-2</v>
      </c>
      <c r="AH3580">
        <v>0.583771397420908</v>
      </c>
      <c r="AI3580">
        <v>99.278582538882205</v>
      </c>
      <c r="AJ3580">
        <v>73.269097202144394</v>
      </c>
      <c r="AK3580">
        <v>0.61765777059694105</v>
      </c>
      <c r="AL3580">
        <v>89.653692034852796</v>
      </c>
      <c r="AM3580">
        <v>82.947327311485196</v>
      </c>
      <c r="AN3580">
        <v>0.99999993116805097</v>
      </c>
    </row>
    <row r="3581" spans="1:40" x14ac:dyDescent="0.25">
      <c r="A3581" t="str">
        <f>"20190312151609782"</f>
        <v>20190312151609782</v>
      </c>
      <c r="B3581" t="str">
        <f>"1552374969771876"</f>
        <v>1552374969771876</v>
      </c>
      <c r="C3581" t="s">
        <v>40</v>
      </c>
      <c r="D3581">
        <v>4.8009680000000001</v>
      </c>
      <c r="E3581">
        <v>0.52537979999999995</v>
      </c>
      <c r="F3581" t="s">
        <v>41</v>
      </c>
      <c r="G3581">
        <v>-193.78649999999999</v>
      </c>
      <c r="H3581">
        <v>1.012507</v>
      </c>
      <c r="I3581">
        <v>160.1575</v>
      </c>
      <c r="J3581">
        <v>-193.33359999999999</v>
      </c>
      <c r="K3581">
        <v>1.1067199999999999</v>
      </c>
      <c r="L3581">
        <v>160.54759999999999</v>
      </c>
      <c r="M3581">
        <v>-0.525482</v>
      </c>
      <c r="N3581">
        <v>0</v>
      </c>
      <c r="O3581">
        <v>-0.85068729999999904</v>
      </c>
      <c r="P3581">
        <v>-0.62645759999999995</v>
      </c>
      <c r="Q3581">
        <v>-4.96278E-3</v>
      </c>
      <c r="R3581">
        <v>-0.77943999999999902</v>
      </c>
      <c r="S3581">
        <v>-2.0375369999999999</v>
      </c>
      <c r="T3581">
        <v>-0.29635119999999998</v>
      </c>
      <c r="U3581">
        <v>-2.2094879999999999</v>
      </c>
      <c r="V3581">
        <v>0.1234098</v>
      </c>
      <c r="W3581">
        <v>8.2270799999999995E-3</v>
      </c>
      <c r="X3581">
        <v>0.99232169999999997</v>
      </c>
      <c r="Y3581">
        <v>0.18732299999999999</v>
      </c>
      <c r="Z3581">
        <v>8.8425180000000006E-2</v>
      </c>
      <c r="AA3581">
        <v>0.97831029999999997</v>
      </c>
      <c r="AB3581">
        <v>37</v>
      </c>
      <c r="AC3581">
        <v>-0.45289999999999903</v>
      </c>
      <c r="AD3581">
        <v>-9.4213000000000102E-2</v>
      </c>
      <c r="AE3581">
        <v>-0.39009999999998901</v>
      </c>
      <c r="AF3581">
        <v>0.175933165345387</v>
      </c>
      <c r="AG3581">
        <v>-9.4213000000000102E-2</v>
      </c>
      <c r="AH3581">
        <v>0.55608634335666696</v>
      </c>
      <c r="AI3581">
        <v>99.175738734699394</v>
      </c>
      <c r="AJ3581">
        <v>72.443804427422194</v>
      </c>
      <c r="AK3581">
        <v>0.59081349790372595</v>
      </c>
      <c r="AL3581">
        <v>89.528617725292506</v>
      </c>
      <c r="AM3581">
        <v>82.910825918786898</v>
      </c>
      <c r="AN3581">
        <v>1.0000000099361199</v>
      </c>
    </row>
    <row r="3582" spans="1:40" x14ac:dyDescent="0.25">
      <c r="A3582" t="str">
        <f>"20190312151609795"</f>
        <v>20190312151609795</v>
      </c>
      <c r="B3582" t="str">
        <f>"1552374969791392"</f>
        <v>1552374969791392</v>
      </c>
      <c r="C3582" t="s">
        <v>40</v>
      </c>
      <c r="D3582">
        <v>4.7788490000000001</v>
      </c>
      <c r="E3582">
        <v>0.52509150000000004</v>
      </c>
      <c r="F3582" t="s">
        <v>41</v>
      </c>
      <c r="G3582">
        <v>-193.9605</v>
      </c>
      <c r="H3582">
        <v>1.0161960000000001</v>
      </c>
      <c r="I3582">
        <v>159.8716</v>
      </c>
      <c r="J3582">
        <v>-193.4453</v>
      </c>
      <c r="K3582">
        <v>1.1067640000000001</v>
      </c>
      <c r="L3582">
        <v>160.3691</v>
      </c>
      <c r="M3582">
        <v>-0.52671809999999997</v>
      </c>
      <c r="N3582">
        <v>0</v>
      </c>
      <c r="O3582">
        <v>-0.84992250000000003</v>
      </c>
      <c r="P3582">
        <v>-0.62801229999999997</v>
      </c>
      <c r="Q3582">
        <v>-4.1552150000000003E-3</v>
      </c>
      <c r="R3582">
        <v>-0.77819249999999995</v>
      </c>
      <c r="S3582">
        <v>-2.043777</v>
      </c>
      <c r="T3582">
        <v>-0.29517080000000001</v>
      </c>
      <c r="U3582">
        <v>-2.2044069999999998</v>
      </c>
      <c r="V3582">
        <v>0.12395059999999999</v>
      </c>
      <c r="W3582">
        <v>9.0367199999999998E-3</v>
      </c>
      <c r="X3582">
        <v>0.9922472</v>
      </c>
      <c r="Y3582">
        <v>0.18853549999999999</v>
      </c>
      <c r="Z3582">
        <v>8.8030170000000005E-2</v>
      </c>
      <c r="AA3582">
        <v>0.97811300000000001</v>
      </c>
      <c r="AB3582">
        <v>37</v>
      </c>
      <c r="AC3582">
        <v>-0.515199999999993</v>
      </c>
      <c r="AD3582">
        <v>-9.0567999999999899E-2</v>
      </c>
      <c r="AE3582">
        <v>-0.497500000000002</v>
      </c>
      <c r="AF3582">
        <v>0.173087481475837</v>
      </c>
      <c r="AG3582">
        <v>-9.0567999999999899E-2</v>
      </c>
      <c r="AH3582">
        <v>0.68334337854610205</v>
      </c>
      <c r="AI3582">
        <v>97.321205389805499</v>
      </c>
      <c r="AJ3582">
        <v>75.786208820071394</v>
      </c>
      <c r="AK3582">
        <v>0.71071795521883996</v>
      </c>
      <c r="AL3582">
        <v>89.482227015253997</v>
      </c>
      <c r="AM3582">
        <v>82.879549160461195</v>
      </c>
      <c r="AN3582">
        <v>0.99999995972827804</v>
      </c>
    </row>
    <row r="3583" spans="1:40" x14ac:dyDescent="0.25">
      <c r="A3583" t="str">
        <f>"20190312151609807"</f>
        <v>20190312151609807</v>
      </c>
      <c r="B3583" t="str">
        <f>"1552374969801151"</f>
        <v>1552374969801151</v>
      </c>
      <c r="C3583" t="s">
        <v>40</v>
      </c>
      <c r="D3583">
        <v>4.9219920000000004</v>
      </c>
      <c r="E3583">
        <v>0.52519320000000003</v>
      </c>
      <c r="F3583" t="s">
        <v>41</v>
      </c>
      <c r="G3583">
        <v>-194.1583</v>
      </c>
      <c r="H3583">
        <v>1.0017739999999999</v>
      </c>
      <c r="I3583">
        <v>159.60230000000001</v>
      </c>
      <c r="J3583">
        <v>-193.57130000000001</v>
      </c>
      <c r="K3583">
        <v>1.1068020000000001</v>
      </c>
      <c r="L3583">
        <v>160.1686</v>
      </c>
      <c r="M3583">
        <v>-0.5280975</v>
      </c>
      <c r="N3583">
        <v>0</v>
      </c>
      <c r="O3583">
        <v>-0.84906599999999999</v>
      </c>
      <c r="P3583">
        <v>-0.62975530000000002</v>
      </c>
      <c r="Q3583">
        <v>-3.7793950000000001E-3</v>
      </c>
      <c r="R3583">
        <v>-0.77678480000000005</v>
      </c>
      <c r="S3583">
        <v>-2.0466160000000002</v>
      </c>
      <c r="T3583">
        <v>-0.30147420000000003</v>
      </c>
      <c r="U3583">
        <v>-2.2018279999999999</v>
      </c>
      <c r="V3583">
        <v>0.12456449999999999</v>
      </c>
      <c r="W3583">
        <v>9.4119770000000002E-3</v>
      </c>
      <c r="X3583">
        <v>0.99216689999999996</v>
      </c>
      <c r="Y3583">
        <v>0.1880599</v>
      </c>
      <c r="Z3583">
        <v>8.9808379999999993E-2</v>
      </c>
      <c r="AA3583">
        <v>0.97804290000000005</v>
      </c>
      <c r="AB3583">
        <v>37</v>
      </c>
      <c r="AC3583">
        <v>-0.58699999999998898</v>
      </c>
      <c r="AD3583">
        <v>-0.105028</v>
      </c>
      <c r="AE3583">
        <v>-0.56629999999998304</v>
      </c>
      <c r="AF3583">
        <v>0.196108350593206</v>
      </c>
      <c r="AG3583">
        <v>-0.105028</v>
      </c>
      <c r="AH3583">
        <v>0.77799824811224205</v>
      </c>
      <c r="AI3583">
        <v>97.457790077769602</v>
      </c>
      <c r="AJ3583">
        <v>75.852300843041704</v>
      </c>
      <c r="AK3583">
        <v>0.80917899133758098</v>
      </c>
      <c r="AL3583">
        <v>89.460725494343905</v>
      </c>
      <c r="AM3583">
        <v>82.844074676814202</v>
      </c>
      <c r="AN3583">
        <v>1.0000000287134501</v>
      </c>
    </row>
    <row r="3584" spans="1:40" x14ac:dyDescent="0.25">
      <c r="A3584" t="str">
        <f>"20190312151609828"</f>
        <v>20190312151609828</v>
      </c>
      <c r="B3584" t="str">
        <f>"1552374969821648"</f>
        <v>1552374969821648</v>
      </c>
      <c r="C3584" t="s">
        <v>40</v>
      </c>
      <c r="D3584">
        <v>4.8719700000000001</v>
      </c>
      <c r="E3584">
        <v>0.52449979999999996</v>
      </c>
      <c r="F3584" t="s">
        <v>41</v>
      </c>
      <c r="G3584">
        <v>-194.1234</v>
      </c>
      <c r="H3584">
        <v>1.0249999999999999</v>
      </c>
      <c r="I3584">
        <v>159.5778</v>
      </c>
      <c r="J3584">
        <v>-193.74209999999999</v>
      </c>
      <c r="K3584">
        <v>1.1068439999999999</v>
      </c>
      <c r="L3584">
        <v>159.89789999999999</v>
      </c>
      <c r="M3584">
        <v>-0.5299739</v>
      </c>
      <c r="N3584">
        <v>0</v>
      </c>
      <c r="O3584">
        <v>-0.84789629999999905</v>
      </c>
      <c r="P3584">
        <v>-0.63304510000000003</v>
      </c>
      <c r="Q3584">
        <v>-2.2308150000000001E-3</v>
      </c>
      <c r="R3584">
        <v>-0.77411200000000002</v>
      </c>
      <c r="S3584">
        <v>-2.051971</v>
      </c>
      <c r="T3584">
        <v>-0.30417660000000002</v>
      </c>
      <c r="U3584">
        <v>-2.1970519999999998</v>
      </c>
      <c r="V3584">
        <v>0.12658620000000001</v>
      </c>
      <c r="W3584">
        <v>1.0943970000000001E-2</v>
      </c>
      <c r="X3584">
        <v>0.99189530000000004</v>
      </c>
      <c r="Y3584">
        <v>0.18816869999999999</v>
      </c>
      <c r="Z3584">
        <v>9.0505479999999999E-2</v>
      </c>
      <c r="AA3584">
        <v>0.97795770000000004</v>
      </c>
      <c r="AB3584">
        <v>37</v>
      </c>
      <c r="AC3584">
        <v>-0.38130000000001002</v>
      </c>
      <c r="AD3584">
        <v>-8.1844000000000194E-2</v>
      </c>
      <c r="AE3584">
        <v>-0.320099999999996</v>
      </c>
      <c r="AF3584">
        <v>0.149629686340183</v>
      </c>
      <c r="AG3584">
        <v>-8.1844000000000194E-2</v>
      </c>
      <c r="AH3584">
        <v>0.46107693331871202</v>
      </c>
      <c r="AI3584">
        <v>99.583331574833196</v>
      </c>
      <c r="AJ3584">
        <v>72.020604079414696</v>
      </c>
      <c r="AK3584">
        <v>0.49160901314850802</v>
      </c>
      <c r="AL3584">
        <v>89.3729442287908</v>
      </c>
      <c r="AM3584">
        <v>82.727196484220002</v>
      </c>
      <c r="AN3584">
        <v>1.0000000613359401</v>
      </c>
    </row>
    <row r="3585" spans="1:40" x14ac:dyDescent="0.25">
      <c r="A3585" t="str">
        <f>"20190312151609850"</f>
        <v>20190312151609850</v>
      </c>
      <c r="B3585" t="str">
        <f>"1552374969841167"</f>
        <v>1552374969841167</v>
      </c>
      <c r="C3585" t="s">
        <v>40</v>
      </c>
      <c r="D3585">
        <v>4.8442119999999997</v>
      </c>
      <c r="E3585">
        <v>0.52382529999999905</v>
      </c>
      <c r="F3585" t="s">
        <v>41</v>
      </c>
      <c r="G3585">
        <v>-194.30279999999999</v>
      </c>
      <c r="H3585">
        <v>1.021579</v>
      </c>
      <c r="I3585">
        <v>159.3005</v>
      </c>
      <c r="J3585">
        <v>-193.9468</v>
      </c>
      <c r="K3585">
        <v>1.106867</v>
      </c>
      <c r="L3585">
        <v>159.5753</v>
      </c>
      <c r="M3585">
        <v>-0.53226209999999996</v>
      </c>
      <c r="N3585">
        <v>0</v>
      </c>
      <c r="O3585">
        <v>-0.84646180000000004</v>
      </c>
      <c r="P3585">
        <v>-0.6375229</v>
      </c>
      <c r="Q3585">
        <v>-7.4427480000000001E-4</v>
      </c>
      <c r="R3585">
        <v>-0.77043119999999998</v>
      </c>
      <c r="S3585">
        <v>-2.0571440000000001</v>
      </c>
      <c r="T3585">
        <v>-0.31289329999999999</v>
      </c>
      <c r="U3585">
        <v>-2.1922299999999999</v>
      </c>
      <c r="V3585">
        <v>0.1296667</v>
      </c>
      <c r="W3585">
        <v>1.2396320000000001E-2</v>
      </c>
      <c r="X3585">
        <v>0.99148020000000003</v>
      </c>
      <c r="Y3585">
        <v>0.18763299999999999</v>
      </c>
      <c r="Z3585">
        <v>9.2935019999999993E-2</v>
      </c>
      <c r="AA3585">
        <v>0.97783279999999995</v>
      </c>
      <c r="AB3585">
        <v>37</v>
      </c>
      <c r="AC3585">
        <v>-0.35599999999999399</v>
      </c>
      <c r="AD3585">
        <v>-8.5288000000000003E-2</v>
      </c>
      <c r="AE3585">
        <v>-0.27479999999999899</v>
      </c>
      <c r="AF3585">
        <v>0.14970600613843699</v>
      </c>
      <c r="AG3585">
        <v>-8.5288000000000003E-2</v>
      </c>
      <c r="AH3585">
        <v>0.40747993017301698</v>
      </c>
      <c r="AI3585">
        <v>101.115115414445</v>
      </c>
      <c r="AJ3585">
        <v>69.826930592445905</v>
      </c>
      <c r="AK3585">
        <v>0.44240911463455201</v>
      </c>
      <c r="AL3585">
        <v>89.289725029187295</v>
      </c>
      <c r="AM3585">
        <v>82.549092035446904</v>
      </c>
      <c r="AN3585">
        <v>1.0000000544152301</v>
      </c>
    </row>
    <row r="3586" spans="1:40" x14ac:dyDescent="0.25">
      <c r="A3586" t="str">
        <f>"20190312151609863"</f>
        <v>20190312151609863</v>
      </c>
      <c r="B3586" t="str">
        <f>"1552374969850927"</f>
        <v>1552374969850927</v>
      </c>
      <c r="C3586" t="s">
        <v>40</v>
      </c>
      <c r="D3586">
        <v>4.9063189999999999</v>
      </c>
      <c r="E3586">
        <v>0.52353139999999998</v>
      </c>
      <c r="F3586" t="s">
        <v>41</v>
      </c>
      <c r="G3586">
        <v>-194.47790000000001</v>
      </c>
      <c r="H3586">
        <v>1.0274270000000001</v>
      </c>
      <c r="I3586">
        <v>159.0137</v>
      </c>
      <c r="J3586">
        <v>-194.05879999999999</v>
      </c>
      <c r="K3586">
        <v>1.10686</v>
      </c>
      <c r="L3586">
        <v>159.3999</v>
      </c>
      <c r="M3586">
        <v>-0.53355680000000005</v>
      </c>
      <c r="N3586">
        <v>0</v>
      </c>
      <c r="O3586">
        <v>-0.84564629999999996</v>
      </c>
      <c r="P3586">
        <v>-0.63982609999999995</v>
      </c>
      <c r="Q3586">
        <v>1.054393E-3</v>
      </c>
      <c r="R3586">
        <v>-0.76851899999999995</v>
      </c>
      <c r="S3586">
        <v>-2.0653380000000001</v>
      </c>
      <c r="T3586">
        <v>-0.30896259999999998</v>
      </c>
      <c r="U3586">
        <v>-2.184555</v>
      </c>
      <c r="V3586">
        <v>0.1311301</v>
      </c>
      <c r="W3586">
        <v>1.4172860000000001E-2</v>
      </c>
      <c r="X3586">
        <v>0.99126389999999998</v>
      </c>
      <c r="Y3586">
        <v>0.18986700000000001</v>
      </c>
      <c r="Z3586">
        <v>9.1769139999999999E-2</v>
      </c>
      <c r="AA3586">
        <v>0.97751160000000004</v>
      </c>
      <c r="AB3586">
        <v>37</v>
      </c>
      <c r="AC3586">
        <v>-0.41910000000001402</v>
      </c>
      <c r="AD3586">
        <v>-7.9432999999999795E-2</v>
      </c>
      <c r="AE3586">
        <v>-0.38620000000000199</v>
      </c>
      <c r="AF3586">
        <v>0.14553824292954901</v>
      </c>
      <c r="AG3586">
        <v>-7.9432999999999795E-2</v>
      </c>
      <c r="AH3586">
        <v>0.539771328210915</v>
      </c>
      <c r="AI3586">
        <v>98.086811302165898</v>
      </c>
      <c r="AJ3586">
        <v>74.910215439235301</v>
      </c>
      <c r="AK3586">
        <v>0.564662791763896</v>
      </c>
      <c r="AL3586">
        <v>89.187927787575504</v>
      </c>
      <c r="AM3586">
        <v>82.464337732196299</v>
      </c>
      <c r="AN3586">
        <v>1.0000000462648899</v>
      </c>
    </row>
    <row r="3587" spans="1:40" x14ac:dyDescent="0.25">
      <c r="A3587" t="str">
        <f>"20190312151609883"</f>
        <v>20190312151609883</v>
      </c>
      <c r="B3587" t="str">
        <f>"1552374969871424"</f>
        <v>1552374969871424</v>
      </c>
      <c r="C3587" t="s">
        <v>40</v>
      </c>
      <c r="D3587">
        <v>4.8433719999999996</v>
      </c>
      <c r="E3587">
        <v>0.5230842</v>
      </c>
      <c r="F3587" t="s">
        <v>41</v>
      </c>
      <c r="G3587">
        <v>-194.6754</v>
      </c>
      <c r="H3587">
        <v>1.0164299999999999</v>
      </c>
      <c r="I3587">
        <v>158.75049999999999</v>
      </c>
      <c r="J3587">
        <v>-194.2302</v>
      </c>
      <c r="K3587">
        <v>1.1068229999999999</v>
      </c>
      <c r="L3587">
        <v>159.13239999999999</v>
      </c>
      <c r="M3587">
        <v>-0.5355915</v>
      </c>
      <c r="N3587">
        <v>0</v>
      </c>
      <c r="O3587">
        <v>-0.84435910000000003</v>
      </c>
      <c r="P3587">
        <v>-0.64362350000000002</v>
      </c>
      <c r="Q3587">
        <v>4.7267480000000002E-3</v>
      </c>
      <c r="R3587">
        <v>-0.76532829999999996</v>
      </c>
      <c r="S3587">
        <v>-2.0704500000000001</v>
      </c>
      <c r="T3587">
        <v>-0.30360520000000002</v>
      </c>
      <c r="U3587">
        <v>-2.1803279999999998</v>
      </c>
      <c r="V3587">
        <v>0.13368569999999999</v>
      </c>
      <c r="W3587">
        <v>1.7803989999999999E-2</v>
      </c>
      <c r="X3587">
        <v>0.99086390000000002</v>
      </c>
      <c r="Y3587">
        <v>0.1897769</v>
      </c>
      <c r="Z3587">
        <v>9.0066220000000002E-2</v>
      </c>
      <c r="AA3587">
        <v>0.97768750000000004</v>
      </c>
      <c r="AB3587">
        <v>37</v>
      </c>
      <c r="AC3587">
        <v>-0.44519999999999899</v>
      </c>
      <c r="AD3587">
        <v>-9.0392999999999904E-2</v>
      </c>
      <c r="AE3587">
        <v>-0.38190000000000102</v>
      </c>
      <c r="AF3587">
        <v>0.16740758983474299</v>
      </c>
      <c r="AG3587">
        <v>-9.0392999999999904E-2</v>
      </c>
      <c r="AH3587">
        <v>0.54794873126849097</v>
      </c>
      <c r="AI3587">
        <v>98.965505535935506</v>
      </c>
      <c r="AJ3587">
        <v>73.011203160254496</v>
      </c>
      <c r="AK3587">
        <v>0.58003793641625401</v>
      </c>
      <c r="AL3587">
        <v>88.979852674495504</v>
      </c>
      <c r="AM3587">
        <v>82.316148021730896</v>
      </c>
      <c r="AN3587">
        <v>1.0000000583838</v>
      </c>
    </row>
    <row r="3588" spans="1:40" x14ac:dyDescent="0.25">
      <c r="A3588" t="str">
        <f>"20190312151609897"</f>
        <v>20190312151609897</v>
      </c>
      <c r="B3588" t="str">
        <f>"1552374969890943"</f>
        <v>1552374969890943</v>
      </c>
      <c r="C3588" t="s">
        <v>40</v>
      </c>
      <c r="D3588">
        <v>5.2956370000000001</v>
      </c>
      <c r="E3588">
        <v>0.52263779999999904</v>
      </c>
      <c r="F3588" t="s">
        <v>41</v>
      </c>
      <c r="G3588">
        <v>-194.86689999999999</v>
      </c>
      <c r="H3588">
        <v>1.0172589999999999</v>
      </c>
      <c r="I3588">
        <v>158.4674</v>
      </c>
      <c r="J3588">
        <v>-194.36449999999999</v>
      </c>
      <c r="K3588">
        <v>1.106776</v>
      </c>
      <c r="L3588">
        <v>158.9238</v>
      </c>
      <c r="M3588">
        <v>-0.53723959999999904</v>
      </c>
      <c r="N3588">
        <v>0</v>
      </c>
      <c r="O3588">
        <v>-0.84331139999999905</v>
      </c>
      <c r="P3588">
        <v>-0.64615339999999999</v>
      </c>
      <c r="Q3588">
        <v>6.0896090000000002E-3</v>
      </c>
      <c r="R3588">
        <v>-0.76318339999999996</v>
      </c>
      <c r="S3588">
        <v>-2.0798190000000001</v>
      </c>
      <c r="T3588">
        <v>-0.292566099999999</v>
      </c>
      <c r="U3588">
        <v>-2.1726230000000002</v>
      </c>
      <c r="V3588">
        <v>0.135048</v>
      </c>
      <c r="W3588">
        <v>1.9136520000000001E-2</v>
      </c>
      <c r="X3588">
        <v>0.99065420000000004</v>
      </c>
      <c r="Y3588">
        <v>0.19202839999999999</v>
      </c>
      <c r="Z3588">
        <v>8.6766499999999996E-2</v>
      </c>
      <c r="AA3588">
        <v>0.97754629999999998</v>
      </c>
      <c r="AB3588">
        <v>37</v>
      </c>
      <c r="AC3588">
        <v>-0.50239999999999396</v>
      </c>
      <c r="AD3588">
        <v>-8.9516999999999999E-2</v>
      </c>
      <c r="AE3588">
        <v>-0.45640000000000203</v>
      </c>
      <c r="AF3588">
        <v>0.17544962032419001</v>
      </c>
      <c r="AG3588">
        <v>-8.9516999999999999E-2</v>
      </c>
      <c r="AH3588">
        <v>0.64366622616210201</v>
      </c>
      <c r="AI3588">
        <v>97.642203922007795</v>
      </c>
      <c r="AJ3588">
        <v>74.752811716521805</v>
      </c>
      <c r="AK3588">
        <v>0.67312857112342595</v>
      </c>
      <c r="AL3588">
        <v>88.903491189853199</v>
      </c>
      <c r="AM3588">
        <v>82.237173866189394</v>
      </c>
      <c r="AN3588">
        <v>0.99999995633967398</v>
      </c>
    </row>
    <row r="3589" spans="1:40" x14ac:dyDescent="0.25">
      <c r="A3589" t="str">
        <f>"20190312151609919"</f>
        <v>20190312151609919</v>
      </c>
      <c r="B3589" t="str">
        <f>"1552374969911440"</f>
        <v>1552374969911440</v>
      </c>
      <c r="C3589" t="s">
        <v>40</v>
      </c>
      <c r="D3589">
        <v>4.850549</v>
      </c>
      <c r="E3589">
        <v>0.52233200000000002</v>
      </c>
      <c r="F3589" t="s">
        <v>58</v>
      </c>
      <c r="G3589">
        <v>-201.66249999999999</v>
      </c>
      <c r="H3589">
        <v>7.9984739999999999E-2</v>
      </c>
      <c r="I3589">
        <v>151.3349</v>
      </c>
      <c r="J3589">
        <v>-194.55430000000001</v>
      </c>
      <c r="K3589">
        <v>1.106695</v>
      </c>
      <c r="L3589">
        <v>158.631</v>
      </c>
      <c r="M3589">
        <v>-0.53966119999999995</v>
      </c>
      <c r="N3589">
        <v>0</v>
      </c>
      <c r="O3589">
        <v>-0.84176399999999996</v>
      </c>
      <c r="P3589">
        <v>-0.65031619999999901</v>
      </c>
      <c r="Q3589">
        <v>9.7279810000000001E-3</v>
      </c>
      <c r="R3589">
        <v>-0.75960159999999999</v>
      </c>
      <c r="S3589">
        <v>-2.084946</v>
      </c>
      <c r="T3589">
        <v>-0.29334199999999999</v>
      </c>
      <c r="U3589">
        <v>-2.1680450000000002</v>
      </c>
      <c r="V3589">
        <v>0.13766789999999901</v>
      </c>
      <c r="W3589">
        <v>2.272012E-2</v>
      </c>
      <c r="X3589">
        <v>0.99021780000000004</v>
      </c>
      <c r="Y3589">
        <v>0.19143070000000001</v>
      </c>
      <c r="Z3589">
        <v>8.6844630000000006E-2</v>
      </c>
      <c r="AA3589">
        <v>0.97765650000000004</v>
      </c>
      <c r="AB3589">
        <v>37</v>
      </c>
      <c r="AC3589">
        <v>-7.1081999999999796</v>
      </c>
      <c r="AD3589">
        <v>-1.02671026</v>
      </c>
      <c r="AE3589">
        <v>-7.2960999999999903</v>
      </c>
      <c r="AF3589">
        <v>2.0256293955860398</v>
      </c>
      <c r="AG3589">
        <v>-1.02671026</v>
      </c>
      <c r="AH3589">
        <v>9.8782507770630694</v>
      </c>
      <c r="AI3589">
        <v>95.813695396261593</v>
      </c>
      <c r="AJ3589">
        <v>78.4116009216972</v>
      </c>
      <c r="AK3589">
        <v>10.1359334459535</v>
      </c>
      <c r="AL3589">
        <v>88.698120956586706</v>
      </c>
      <c r="AM3589">
        <v>82.085023500938107</v>
      </c>
      <c r="AN3589">
        <v>0.99999997299003096</v>
      </c>
    </row>
    <row r="3590" spans="1:40" x14ac:dyDescent="0.25">
      <c r="A3590" t="str">
        <f>"20190312151609938"</f>
        <v>20190312151609938</v>
      </c>
      <c r="B3590" t="str">
        <f>"1552374969931936"</f>
        <v>1552374969931936</v>
      </c>
      <c r="C3590" t="s">
        <v>40</v>
      </c>
      <c r="D3590">
        <v>4.6627219999999996</v>
      </c>
      <c r="E3590">
        <v>0.52219769999999999</v>
      </c>
      <c r="F3590" t="s">
        <v>58</v>
      </c>
      <c r="G3590">
        <v>-202.32409999999999</v>
      </c>
      <c r="H3590">
        <v>7.9984929999999996E-2</v>
      </c>
      <c r="I3590">
        <v>150.62860000000001</v>
      </c>
      <c r="J3590">
        <v>-194.74019999999999</v>
      </c>
      <c r="K3590">
        <v>1.1066100000000001</v>
      </c>
      <c r="L3590">
        <v>158.346</v>
      </c>
      <c r="M3590">
        <v>-0.54213719999999999</v>
      </c>
      <c r="N3590">
        <v>0</v>
      </c>
      <c r="O3590">
        <v>-0.84017140000000001</v>
      </c>
      <c r="P3590">
        <v>-0.65465090000000004</v>
      </c>
      <c r="Q3590">
        <v>1.4127539999999999E-2</v>
      </c>
      <c r="R3590">
        <v>-0.75579969999999996</v>
      </c>
      <c r="S3590">
        <v>-2.0958860000000001</v>
      </c>
      <c r="T3590">
        <v>-0.27695180000000003</v>
      </c>
      <c r="U3590">
        <v>-2.15863</v>
      </c>
      <c r="V3590">
        <v>0.14049320000000001</v>
      </c>
      <c r="W3590">
        <v>2.705989E-2</v>
      </c>
      <c r="X3590">
        <v>0.98971180000000003</v>
      </c>
      <c r="Y3590">
        <v>0.19356200000000001</v>
      </c>
      <c r="Z3590">
        <v>8.1935469999999996E-2</v>
      </c>
      <c r="AA3590">
        <v>0.97766070000000005</v>
      </c>
      <c r="AB3590">
        <v>37</v>
      </c>
      <c r="AC3590">
        <v>-7.5838999999999999</v>
      </c>
      <c r="AD3590">
        <v>-1.0266250699999999</v>
      </c>
      <c r="AE3590">
        <v>-7.7173999999999898</v>
      </c>
      <c r="AF3590">
        <v>2.1685815860586501</v>
      </c>
      <c r="AG3590">
        <v>-1.0266250699999999</v>
      </c>
      <c r="AH3590">
        <v>10.5019648062664</v>
      </c>
      <c r="AI3590">
        <v>95.468589300775406</v>
      </c>
      <c r="AJ3590">
        <v>78.332808592143294</v>
      </c>
      <c r="AK3590">
        <v>10.772556331799899</v>
      </c>
      <c r="AL3590">
        <v>88.449393252769994</v>
      </c>
      <c r="AM3590">
        <v>81.920635190781098</v>
      </c>
      <c r="AN3590">
        <v>1.0000000119761401</v>
      </c>
    </row>
    <row r="3591" spans="1:40" x14ac:dyDescent="0.25">
      <c r="A3591" t="str">
        <f>"20190312151609953"</f>
        <v>20190312151609953</v>
      </c>
      <c r="B3591" t="str">
        <f>"1552374969941696"</f>
        <v>1552374969941696</v>
      </c>
      <c r="C3591" t="s">
        <v>40</v>
      </c>
      <c r="D3591">
        <v>4.7183659999999996</v>
      </c>
      <c r="E3591">
        <v>0.52209779999999995</v>
      </c>
      <c r="F3591" t="s">
        <v>58</v>
      </c>
      <c r="G3591">
        <v>-202.88249999999999</v>
      </c>
      <c r="H3591">
        <v>7.9985059999999997E-2</v>
      </c>
      <c r="I3591">
        <v>150.05330000000001</v>
      </c>
      <c r="J3591">
        <v>-194.86959999999999</v>
      </c>
      <c r="K3591">
        <v>1.1065449999999999</v>
      </c>
      <c r="L3591">
        <v>158.14879999999999</v>
      </c>
      <c r="M3591">
        <v>-0.54390890000000003</v>
      </c>
      <c r="N3591">
        <v>0</v>
      </c>
      <c r="O3591">
        <v>-0.83902529999999997</v>
      </c>
      <c r="P3591">
        <v>-0.65764579999999995</v>
      </c>
      <c r="Q3591">
        <v>1.5711650000000001E-2</v>
      </c>
      <c r="R3591">
        <v>-0.75316349999999999</v>
      </c>
      <c r="S3591">
        <v>-2.108765</v>
      </c>
      <c r="T3591">
        <v>-0.26588319999999999</v>
      </c>
      <c r="U3591">
        <v>-2.1477050000000002</v>
      </c>
      <c r="V3591">
        <v>0.14236770000000001</v>
      </c>
      <c r="W3591">
        <v>2.8601870000000001E-2</v>
      </c>
      <c r="X3591">
        <v>0.98940050000000002</v>
      </c>
      <c r="Y3591">
        <v>0.19718089999999999</v>
      </c>
      <c r="Z3591">
        <v>7.8655680000000006E-2</v>
      </c>
      <c r="AA3591">
        <v>0.97720669999999998</v>
      </c>
      <c r="AB3591">
        <v>37</v>
      </c>
      <c r="AC3591">
        <v>-8.0129000000000001</v>
      </c>
      <c r="AD3591">
        <v>-1.0265599400000001</v>
      </c>
      <c r="AE3591">
        <v>-8.0954999999999799</v>
      </c>
      <c r="AF3591">
        <v>2.3013505371596499</v>
      </c>
      <c r="AG3591">
        <v>-1.0265599400000001</v>
      </c>
      <c r="AH3591">
        <v>11.061881625667001</v>
      </c>
      <c r="AI3591">
        <v>95.191421825212998</v>
      </c>
      <c r="AJ3591">
        <v>78.247637532956404</v>
      </c>
      <c r="AK3591">
        <v>11.3452749947089</v>
      </c>
      <c r="AL3591">
        <v>88.361010026012906</v>
      </c>
      <c r="AM3591">
        <v>81.811748884018897</v>
      </c>
      <c r="AN3591">
        <v>0.99999998918551802</v>
      </c>
    </row>
    <row r="3592" spans="1:40" x14ac:dyDescent="0.25">
      <c r="A3592" t="str">
        <f>"20190312151609971"</f>
        <v>20190312151609971</v>
      </c>
      <c r="B3592" t="str">
        <f>"1552374969961216"</f>
        <v>1552374969961216</v>
      </c>
      <c r="C3592" t="s">
        <v>40</v>
      </c>
      <c r="D3592">
        <v>4.6561659999999998</v>
      </c>
      <c r="E3592">
        <v>0.52214249999999995</v>
      </c>
      <c r="F3592" t="s">
        <v>58</v>
      </c>
      <c r="G3592">
        <v>-203.1009</v>
      </c>
      <c r="H3592">
        <v>7.9985020000000004E-2</v>
      </c>
      <c r="I3592">
        <v>149.82839999999999</v>
      </c>
      <c r="J3592">
        <v>-195.0461</v>
      </c>
      <c r="K3592">
        <v>1.106454</v>
      </c>
      <c r="L3592">
        <v>157.88149999999999</v>
      </c>
      <c r="M3592">
        <v>-0.5464213</v>
      </c>
      <c r="N3592">
        <v>0</v>
      </c>
      <c r="O3592">
        <v>-0.83739110000000005</v>
      </c>
      <c r="P3592">
        <v>-0.6634873</v>
      </c>
      <c r="Q3592">
        <v>1.7149290000000001E-2</v>
      </c>
      <c r="R3592">
        <v>-0.74799099999999996</v>
      </c>
      <c r="S3592">
        <v>-2.1171419999999999</v>
      </c>
      <c r="T3592">
        <v>-0.26403700000000002</v>
      </c>
      <c r="U3592">
        <v>-2.1400600000000001</v>
      </c>
      <c r="V3592">
        <v>0.14713770000000001</v>
      </c>
      <c r="W3592">
        <v>2.995741E-2</v>
      </c>
      <c r="X3592">
        <v>0.98866220000000005</v>
      </c>
      <c r="Y3592">
        <v>0.1979611</v>
      </c>
      <c r="Z3592">
        <v>7.8000410000000006E-2</v>
      </c>
      <c r="AA3592">
        <v>0.97710149999999996</v>
      </c>
      <c r="AB3592">
        <v>37</v>
      </c>
      <c r="AC3592">
        <v>-8.0548000000000002</v>
      </c>
      <c r="AD3592">
        <v>-1.02646898</v>
      </c>
      <c r="AE3592">
        <v>-8.0531000000000006</v>
      </c>
      <c r="AF3592">
        <v>2.3259761089865099</v>
      </c>
      <c r="AG3592">
        <v>-1.02646898</v>
      </c>
      <c r="AH3592">
        <v>11.056227985999501</v>
      </c>
      <c r="AI3592">
        <v>95.191188744121803</v>
      </c>
      <c r="AJ3592">
        <v>78.119534118948494</v>
      </c>
      <c r="AK3592">
        <v>11.3447776842421</v>
      </c>
      <c r="AL3592">
        <v>88.283309913402604</v>
      </c>
      <c r="AM3592">
        <v>81.535084101696398</v>
      </c>
      <c r="AN3592">
        <v>0.99999994744201703</v>
      </c>
    </row>
    <row r="3593" spans="1:40" x14ac:dyDescent="0.25">
      <c r="A3593" t="str">
        <f>"20190312151609998"</f>
        <v>20190312151609998</v>
      </c>
      <c r="B3593" t="str">
        <f>"1552374969991472"</f>
        <v>1552374969991472</v>
      </c>
      <c r="C3593" t="s">
        <v>40</v>
      </c>
      <c r="D3593">
        <v>5.2251789999999998</v>
      </c>
      <c r="E3593">
        <v>0.5572009</v>
      </c>
      <c r="F3593" t="s">
        <v>58</v>
      </c>
      <c r="G3593">
        <v>-203.9838</v>
      </c>
      <c r="H3593" s="1">
        <v>-1.0490769999999999E-5</v>
      </c>
      <c r="I3593">
        <v>148.99379999999999</v>
      </c>
      <c r="J3593">
        <v>-195.27930000000001</v>
      </c>
      <c r="K3593">
        <v>1.1063130000000001</v>
      </c>
      <c r="L3593">
        <v>157.5316</v>
      </c>
      <c r="M3593">
        <v>-0.5498923</v>
      </c>
      <c r="N3593">
        <v>0</v>
      </c>
      <c r="O3593">
        <v>-0.83511610000000003</v>
      </c>
      <c r="P3593">
        <v>-0.67146240000000001</v>
      </c>
      <c r="Q3593">
        <v>1.951516E-2</v>
      </c>
      <c r="R3593">
        <v>-0.74078199999999905</v>
      </c>
      <c r="S3593">
        <v>-2.134979</v>
      </c>
      <c r="T3593">
        <v>-0.26430490000000001</v>
      </c>
      <c r="U3593">
        <v>-2.1230319999999998</v>
      </c>
      <c r="V3593">
        <v>0.1536872</v>
      </c>
      <c r="W3593">
        <v>3.2203179999999998E-2</v>
      </c>
      <c r="X3593">
        <v>0.98759470000000005</v>
      </c>
      <c r="Y3593">
        <v>0.20188980000000001</v>
      </c>
      <c r="Z3593">
        <v>7.7994649999999999E-2</v>
      </c>
      <c r="AA3593">
        <v>0.97629779999999999</v>
      </c>
      <c r="AB3593">
        <v>37</v>
      </c>
      <c r="AC3593">
        <v>-8.7044999999999906</v>
      </c>
      <c r="AD3593">
        <v>-1.1063234907699999</v>
      </c>
      <c r="AE3593">
        <v>-8.5378000000000007</v>
      </c>
      <c r="AF3593">
        <v>2.5536302350895901</v>
      </c>
      <c r="AG3593">
        <v>-1.1063234907699999</v>
      </c>
      <c r="AH3593">
        <v>11.820461947251999</v>
      </c>
      <c r="AI3593">
        <v>95.227066475881998</v>
      </c>
      <c r="AJ3593">
        <v>77.809465955684402</v>
      </c>
      <c r="AK3593">
        <v>12.1436526502624</v>
      </c>
      <c r="AL3593">
        <v>88.154574725187501</v>
      </c>
      <c r="AM3593">
        <v>81.154709872680797</v>
      </c>
      <c r="AN3593">
        <v>1.00000004585702</v>
      </c>
    </row>
    <row r="3594" spans="1:40" x14ac:dyDescent="0.25">
      <c r="A3594" t="str">
        <f>"20190312151610019"</f>
        <v>20190312151610019</v>
      </c>
      <c r="B3594" t="str">
        <f>"1552374970011968"</f>
        <v>1552374970011968</v>
      </c>
      <c r="C3594" t="s">
        <v>40</v>
      </c>
      <c r="D3594">
        <v>4.939902</v>
      </c>
      <c r="E3594">
        <v>0.60037450000000003</v>
      </c>
      <c r="F3594" t="s">
        <v>58</v>
      </c>
      <c r="G3594">
        <v>-201.84960000000001</v>
      </c>
      <c r="H3594">
        <v>7.9984780000000005E-2</v>
      </c>
      <c r="I3594">
        <v>152.23410000000001</v>
      </c>
      <c r="J3594">
        <v>-195.4778</v>
      </c>
      <c r="K3594">
        <v>1.106179</v>
      </c>
      <c r="L3594">
        <v>157.2363</v>
      </c>
      <c r="M3594">
        <v>-0.55297799999999997</v>
      </c>
      <c r="N3594">
        <v>0</v>
      </c>
      <c r="O3594">
        <v>-0.83307589999999998</v>
      </c>
      <c r="P3594">
        <v>-0.67931919999999901</v>
      </c>
      <c r="Q3594">
        <v>2.196998E-2</v>
      </c>
      <c r="R3594">
        <v>-0.733514</v>
      </c>
      <c r="S3594">
        <v>-2.3702700000000001</v>
      </c>
      <c r="T3594">
        <v>-0.37025089999999999</v>
      </c>
      <c r="U3594">
        <v>-1.911087</v>
      </c>
      <c r="V3594">
        <v>0.16062879999999999</v>
      </c>
      <c r="W3594">
        <v>3.4531230000000003E-2</v>
      </c>
      <c r="X3594">
        <v>0.98641069999999997</v>
      </c>
      <c r="Y3594">
        <v>0.29582259999999999</v>
      </c>
      <c r="Z3594">
        <v>0.1108383</v>
      </c>
      <c r="AA3594">
        <v>0.94879069999999999</v>
      </c>
      <c r="AB3594">
        <v>37</v>
      </c>
      <c r="AC3594">
        <v>-6.3718000000000004</v>
      </c>
      <c r="AD3594">
        <v>-1.02619422</v>
      </c>
      <c r="AE3594">
        <v>-5.0021999999999798</v>
      </c>
      <c r="AF3594">
        <v>2.50218641234913</v>
      </c>
      <c r="AG3594">
        <v>-1.02619422</v>
      </c>
      <c r="AH3594">
        <v>7.5699662276515802</v>
      </c>
      <c r="AI3594">
        <v>97.334336171505697</v>
      </c>
      <c r="AJ3594">
        <v>71.709146569431695</v>
      </c>
      <c r="AK3594">
        <v>8.03855709111353</v>
      </c>
      <c r="AL3594">
        <v>88.021112939321796</v>
      </c>
      <c r="AM3594">
        <v>80.751040234610997</v>
      </c>
      <c r="AN3594">
        <v>1.0000000431546201</v>
      </c>
    </row>
    <row r="3595" spans="1:40" x14ac:dyDescent="0.25">
      <c r="A3595" t="str">
        <f>"20190312151610040"</f>
        <v>20190312151610040</v>
      </c>
      <c r="B3595" t="str">
        <f>"1552374970031488"</f>
        <v>1552374970031488</v>
      </c>
      <c r="C3595" t="s">
        <v>40</v>
      </c>
      <c r="D3595">
        <v>4.9851239999999999</v>
      </c>
      <c r="E3595">
        <v>0.60016759999999902</v>
      </c>
      <c r="F3595" t="s">
        <v>58</v>
      </c>
      <c r="G3595">
        <v>-205.91460000000001</v>
      </c>
      <c r="H3595">
        <v>7.9984810000000003E-2</v>
      </c>
      <c r="I3595">
        <v>150.70160000000001</v>
      </c>
      <c r="J3595">
        <v>-195.66820000000001</v>
      </c>
      <c r="K3595">
        <v>1.1060430000000001</v>
      </c>
      <c r="L3595">
        <v>156.9555</v>
      </c>
      <c r="M3595">
        <v>-0.55603760000000002</v>
      </c>
      <c r="N3595">
        <v>0</v>
      </c>
      <c r="O3595">
        <v>-0.83103689999999997</v>
      </c>
      <c r="P3595">
        <v>-0.68630709999999995</v>
      </c>
      <c r="Q3595">
        <v>2.4734570000000001E-2</v>
      </c>
      <c r="R3595">
        <v>-0.72689150000000002</v>
      </c>
      <c r="S3595">
        <v>-2.6398769999999998</v>
      </c>
      <c r="T3595">
        <v>-0.25956489999999999</v>
      </c>
      <c r="U3595">
        <v>-1.652863</v>
      </c>
      <c r="V3595">
        <v>0.16652610000000001</v>
      </c>
      <c r="W3595">
        <v>3.717645E-2</v>
      </c>
      <c r="X3595">
        <v>0.98533590000000004</v>
      </c>
      <c r="Y3595">
        <v>0.40624569999999999</v>
      </c>
      <c r="Z3595">
        <v>7.8891290000000003E-2</v>
      </c>
      <c r="AA3595">
        <v>0.91035189999999999</v>
      </c>
      <c r="AB3595">
        <v>37</v>
      </c>
      <c r="AC3595">
        <v>-10.2463999999999</v>
      </c>
      <c r="AD3595">
        <v>-1.0260581900000001</v>
      </c>
      <c r="AE3595">
        <v>-6.2538999999999803</v>
      </c>
      <c r="AF3595">
        <v>5.00169402698622</v>
      </c>
      <c r="AG3595">
        <v>-1.0260581900000001</v>
      </c>
      <c r="AH3595">
        <v>10.8166675392445</v>
      </c>
      <c r="AI3595">
        <v>94.921011251367204</v>
      </c>
      <c r="AJ3595">
        <v>65.183886601468998</v>
      </c>
      <c r="AK3595">
        <v>11.9611887036114</v>
      </c>
      <c r="AL3595">
        <v>87.869455216000901</v>
      </c>
      <c r="AM3595">
        <v>80.407405354850994</v>
      </c>
      <c r="AN3595">
        <v>0.99999993312230895</v>
      </c>
    </row>
    <row r="3596" spans="1:40" x14ac:dyDescent="0.25">
      <c r="A3596" t="str">
        <f>"20190312151610052"</f>
        <v>20190312151610052</v>
      </c>
      <c r="B3596" t="str">
        <f>"1552374970041248"</f>
        <v>1552374970041248</v>
      </c>
      <c r="C3596" t="s">
        <v>40</v>
      </c>
      <c r="D3596">
        <v>5.0892739999999996</v>
      </c>
      <c r="E3596">
        <v>0.60016759999999902</v>
      </c>
      <c r="F3596" t="s">
        <v>58</v>
      </c>
      <c r="G3596">
        <v>-206.1771</v>
      </c>
      <c r="H3596">
        <v>7.9984849999999996E-2</v>
      </c>
      <c r="I3596">
        <v>150.51150000000001</v>
      </c>
      <c r="J3596">
        <v>-195.78989999999999</v>
      </c>
      <c r="K3596">
        <v>1.10595</v>
      </c>
      <c r="L3596">
        <v>156.77699999999999</v>
      </c>
      <c r="M3596">
        <v>-0.55803499999999995</v>
      </c>
      <c r="N3596">
        <v>0</v>
      </c>
      <c r="O3596">
        <v>-0.82969709999999997</v>
      </c>
      <c r="P3596">
        <v>-0.68987969999999998</v>
      </c>
      <c r="Q3596">
        <v>2.6314790000000001E-2</v>
      </c>
      <c r="R3596">
        <v>-0.72344609999999998</v>
      </c>
      <c r="S3596">
        <v>-2.6557770000000001</v>
      </c>
      <c r="T3596">
        <v>-0.25930239999999999</v>
      </c>
      <c r="U3596">
        <v>-1.6285099999999999</v>
      </c>
      <c r="V3596">
        <v>0.16906479999999999</v>
      </c>
      <c r="W3596">
        <v>3.869123E-2</v>
      </c>
      <c r="X3596">
        <v>0.98484519999999998</v>
      </c>
      <c r="Y3596">
        <v>0.41253780000000001</v>
      </c>
      <c r="Z3596">
        <v>7.8886600000000001E-2</v>
      </c>
      <c r="AA3596">
        <v>0.9075183</v>
      </c>
      <c r="AB3596">
        <v>37</v>
      </c>
      <c r="AC3596">
        <v>-10.3872</v>
      </c>
      <c r="AD3596">
        <v>-1.02596515</v>
      </c>
      <c r="AE3596">
        <v>-6.2655000000000003</v>
      </c>
      <c r="AF3596">
        <v>5.0859914238180002</v>
      </c>
      <c r="AG3596">
        <v>-1.02596515</v>
      </c>
      <c r="AH3596">
        <v>10.9178876831467</v>
      </c>
      <c r="AI3596">
        <v>94.868811247120405</v>
      </c>
      <c r="AJ3596">
        <v>65.022001734870003</v>
      </c>
      <c r="AK3596">
        <v>12.088018229386099</v>
      </c>
      <c r="AL3596">
        <v>87.782602321397604</v>
      </c>
      <c r="AM3596">
        <v>80.259186119333606</v>
      </c>
      <c r="AN3596">
        <v>0.99999999292049602</v>
      </c>
    </row>
    <row r="3597" spans="1:40" x14ac:dyDescent="0.25">
      <c r="A3597" t="str">
        <f>"20190312151610071"</f>
        <v>20190312151610071</v>
      </c>
      <c r="B3597" t="str">
        <f>"1552374970061747"</f>
        <v>1552374970061747</v>
      </c>
      <c r="C3597" t="s">
        <v>40</v>
      </c>
      <c r="D3597">
        <v>4.9514279999999999</v>
      </c>
      <c r="E3597">
        <v>0.59609509999999999</v>
      </c>
      <c r="F3597" t="s">
        <v>58</v>
      </c>
      <c r="G3597">
        <v>-206.53450000000001</v>
      </c>
      <c r="H3597">
        <v>7.9984920000000001E-2</v>
      </c>
      <c r="I3597">
        <v>150.2621</v>
      </c>
      <c r="J3597">
        <v>-195.97139999999999</v>
      </c>
      <c r="K3597">
        <v>1.105804</v>
      </c>
      <c r="L3597">
        <v>156.51329999999999</v>
      </c>
      <c r="M3597">
        <v>-0.56111880000000003</v>
      </c>
      <c r="N3597">
        <v>0</v>
      </c>
      <c r="O3597">
        <v>-0.82761439999999997</v>
      </c>
      <c r="P3597">
        <v>-0.69625439999999905</v>
      </c>
      <c r="Q3597">
        <v>2.9314489999999999E-2</v>
      </c>
      <c r="R3597">
        <v>-0.71719650000000001</v>
      </c>
      <c r="S3597">
        <v>-2.6642760000000001</v>
      </c>
      <c r="T3597">
        <v>-0.25440299999999999</v>
      </c>
      <c r="U3597">
        <v>-1.6154630000000001</v>
      </c>
      <c r="V3597">
        <v>0.17422260000000001</v>
      </c>
      <c r="W3597">
        <v>4.1571860000000002E-2</v>
      </c>
      <c r="X3597">
        <v>0.98382840000000005</v>
      </c>
      <c r="Y3597">
        <v>0.41380349999999999</v>
      </c>
      <c r="Z3597">
        <v>7.7310719999999999E-2</v>
      </c>
      <c r="AA3597">
        <v>0.90707760000000004</v>
      </c>
      <c r="AB3597">
        <v>37</v>
      </c>
      <c r="AC3597">
        <v>-10.5631</v>
      </c>
      <c r="AD3597">
        <v>-1.02581908</v>
      </c>
      <c r="AE3597">
        <v>-6.2511999999999803</v>
      </c>
      <c r="AF3597">
        <v>5.1987196383596403</v>
      </c>
      <c r="AG3597">
        <v>-1.02581908</v>
      </c>
      <c r="AH3597">
        <v>11.0248416955226</v>
      </c>
      <c r="AI3597">
        <v>94.810609075052895</v>
      </c>
      <c r="AJ3597">
        <v>64.7539677739571</v>
      </c>
      <c r="AK3597">
        <v>12.232175811134001</v>
      </c>
      <c r="AL3597">
        <v>87.617421334309299</v>
      </c>
      <c r="AM3597">
        <v>79.957807669820397</v>
      </c>
      <c r="AN3597">
        <v>1.00000002727058</v>
      </c>
    </row>
    <row r="3598" spans="1:40" x14ac:dyDescent="0.25">
      <c r="A3598" t="str">
        <f>"20190312151610084"</f>
        <v>20190312151610084</v>
      </c>
      <c r="B3598" t="str">
        <f>"1552374970081264"</f>
        <v>1552374970081264</v>
      </c>
      <c r="C3598" t="s">
        <v>40</v>
      </c>
      <c r="D3598">
        <v>4.7750949999999897</v>
      </c>
      <c r="E3598">
        <v>0.59552289999999997</v>
      </c>
      <c r="F3598" t="s">
        <v>59</v>
      </c>
      <c r="G3598">
        <v>-256.67180000000002</v>
      </c>
      <c r="H3598">
        <v>3.8687670000000001</v>
      </c>
      <c r="I3598">
        <v>119.2859</v>
      </c>
      <c r="J3598">
        <v>-196.0847</v>
      </c>
      <c r="K3598">
        <v>1.1057110000000001</v>
      </c>
      <c r="L3598">
        <v>156.35</v>
      </c>
      <c r="M3598">
        <v>-0.56311449999999996</v>
      </c>
      <c r="N3598">
        <v>0</v>
      </c>
      <c r="O3598">
        <v>-0.82625759999999904</v>
      </c>
      <c r="P3598">
        <v>-0.70009180000000004</v>
      </c>
      <c r="Q3598">
        <v>3.0987170000000001E-2</v>
      </c>
      <c r="R3598">
        <v>-0.71338029999999997</v>
      </c>
      <c r="S3598">
        <v>-2.6374970000000002</v>
      </c>
      <c r="T3598">
        <v>0.1200547</v>
      </c>
      <c r="U3598">
        <v>-1.617569</v>
      </c>
      <c r="V3598">
        <v>0.17719309999999999</v>
      </c>
      <c r="W3598">
        <v>4.3168779999999997E-2</v>
      </c>
      <c r="X3598">
        <v>0.98322889999999996</v>
      </c>
      <c r="Y3598">
        <v>0.4093117</v>
      </c>
      <c r="Z3598">
        <v>-3.6719920000000003E-2</v>
      </c>
      <c r="AA3598">
        <v>0.9116554</v>
      </c>
      <c r="AB3598">
        <v>37</v>
      </c>
      <c r="AC3598">
        <v>-60.5871</v>
      </c>
      <c r="AD3598">
        <v>2.7630560000000002</v>
      </c>
      <c r="AE3598">
        <v>-37.064100000000003</v>
      </c>
      <c r="AF3598">
        <v>29.148032447129498</v>
      </c>
      <c r="AG3598">
        <v>2.7630560000000002</v>
      </c>
      <c r="AH3598">
        <v>64.650615119314494</v>
      </c>
      <c r="AI3598">
        <v>87.768799925991999</v>
      </c>
      <c r="AJ3598">
        <v>65.731544544345297</v>
      </c>
      <c r="AK3598">
        <v>70.971433050938103</v>
      </c>
      <c r="AL3598">
        <v>87.525842252972893</v>
      </c>
      <c r="AM3598">
        <v>79.784066296038304</v>
      </c>
      <c r="AN3598">
        <v>1.0000000040247501</v>
      </c>
    </row>
    <row r="3599" spans="1:40" x14ac:dyDescent="0.25">
      <c r="A3599" t="str">
        <f>"20190312151610101"</f>
        <v>20190312151610101</v>
      </c>
      <c r="B3599" t="str">
        <f>"1552374970091023"</f>
        <v>1552374970091023</v>
      </c>
      <c r="C3599" t="s">
        <v>40</v>
      </c>
      <c r="D3599">
        <v>4.7464879999999896</v>
      </c>
      <c r="E3599">
        <v>0.60149869999999905</v>
      </c>
      <c r="F3599" t="s">
        <v>60</v>
      </c>
      <c r="G3599">
        <v>-259.25740000000002</v>
      </c>
      <c r="H3599">
        <v>4.0735380000000001</v>
      </c>
      <c r="I3599">
        <v>117.95269999999999</v>
      </c>
      <c r="J3599">
        <v>-196.2431</v>
      </c>
      <c r="K3599">
        <v>1.1055729999999999</v>
      </c>
      <c r="L3599">
        <v>156.12289999999999</v>
      </c>
      <c r="M3599">
        <v>-0.56596789999999997</v>
      </c>
      <c r="N3599">
        <v>0</v>
      </c>
      <c r="O3599">
        <v>-0.82430559999999997</v>
      </c>
      <c r="P3599">
        <v>-0.70467230000000003</v>
      </c>
      <c r="Q3599">
        <v>3.3463630000000001E-2</v>
      </c>
      <c r="R3599">
        <v>-0.70874349999999997</v>
      </c>
      <c r="S3599">
        <v>-2.6428069999999999</v>
      </c>
      <c r="T3599">
        <v>0.1241579</v>
      </c>
      <c r="U3599">
        <v>-1.606339</v>
      </c>
      <c r="V3599">
        <v>0.180232</v>
      </c>
      <c r="W3599">
        <v>4.5546799999999998E-2</v>
      </c>
      <c r="X3599">
        <v>0.98256900000000003</v>
      </c>
      <c r="Y3599">
        <v>0.40975129999999998</v>
      </c>
      <c r="Z3599">
        <v>-3.7941580000000003E-2</v>
      </c>
      <c r="AA3599">
        <v>0.91140790000000005</v>
      </c>
      <c r="AB3599">
        <v>37</v>
      </c>
      <c r="AC3599">
        <v>-63.014299999999999</v>
      </c>
      <c r="AD3599">
        <v>2.967965</v>
      </c>
      <c r="AE3599">
        <v>-38.170200000000001</v>
      </c>
      <c r="AF3599">
        <v>30.293811843964399</v>
      </c>
      <c r="AG3599">
        <v>2.967965</v>
      </c>
      <c r="AH3599">
        <v>67.025937511809303</v>
      </c>
      <c r="AI3599">
        <v>87.689321321817403</v>
      </c>
      <c r="AJ3599">
        <v>65.678388715840995</v>
      </c>
      <c r="AK3599">
        <v>73.613858420923094</v>
      </c>
      <c r="AL3599">
        <v>87.389457360195294</v>
      </c>
      <c r="AM3599">
        <v>79.605819424199197</v>
      </c>
      <c r="AN3599">
        <v>0.999999962287619</v>
      </c>
    </row>
    <row r="3600" spans="1:40" x14ac:dyDescent="0.25">
      <c r="A3600" t="str">
        <f>"20190312151610119"</f>
        <v>20190312151610119</v>
      </c>
      <c r="B3600" t="str">
        <f>"1552374970111520"</f>
        <v>1552374970111520</v>
      </c>
      <c r="C3600" t="s">
        <v>40</v>
      </c>
      <c r="D3600">
        <v>4.8106059999999999</v>
      </c>
      <c r="E3600">
        <v>0.59660009999999997</v>
      </c>
      <c r="F3600" t="s">
        <v>43</v>
      </c>
      <c r="G3600">
        <v>-224.4836</v>
      </c>
      <c r="H3600" s="1">
        <v>-2.4128E-6</v>
      </c>
      <c r="I3600">
        <v>139.85669999999999</v>
      </c>
      <c r="J3600">
        <v>-196.4128</v>
      </c>
      <c r="K3600">
        <v>1.105421</v>
      </c>
      <c r="L3600">
        <v>155.8817</v>
      </c>
      <c r="M3600">
        <v>-0.56913069999999999</v>
      </c>
      <c r="N3600">
        <v>0</v>
      </c>
      <c r="O3600">
        <v>-0.82212489999999905</v>
      </c>
      <c r="P3600">
        <v>-0.7116441</v>
      </c>
      <c r="Q3600">
        <v>3.8777449999999998E-2</v>
      </c>
      <c r="R3600">
        <v>-0.70146929999999996</v>
      </c>
      <c r="S3600">
        <v>-2.6988530000000002</v>
      </c>
      <c r="T3600">
        <v>-0.105656399999999</v>
      </c>
      <c r="U3600">
        <v>-1.5545040000000001</v>
      </c>
      <c r="V3600">
        <v>0.18640139999999999</v>
      </c>
      <c r="W3600">
        <v>5.0707820000000001E-2</v>
      </c>
      <c r="X3600">
        <v>0.98116420000000004</v>
      </c>
      <c r="Y3600">
        <v>0.42785430000000002</v>
      </c>
      <c r="Z3600">
        <v>3.2217759999999998E-2</v>
      </c>
      <c r="AA3600">
        <v>0.90327329999999995</v>
      </c>
      <c r="AB3600">
        <v>37</v>
      </c>
      <c r="AC3600">
        <v>-28.070799999999899</v>
      </c>
      <c r="AD3600">
        <v>-1.1054234128</v>
      </c>
      <c r="AE3600">
        <v>-16.024999999999999</v>
      </c>
      <c r="AF3600">
        <v>13.942479282553199</v>
      </c>
      <c r="AG3600">
        <v>-1.1054234128</v>
      </c>
      <c r="AH3600">
        <v>29.119376164046798</v>
      </c>
      <c r="AI3600">
        <v>91.961005806204497</v>
      </c>
      <c r="AJ3600">
        <v>64.414705237860801</v>
      </c>
      <c r="AK3600">
        <v>32.304067199800798</v>
      </c>
      <c r="AL3600">
        <v>87.093409336463793</v>
      </c>
      <c r="AM3600">
        <v>79.243148752294104</v>
      </c>
      <c r="AN3600">
        <v>0.99999997614637504</v>
      </c>
    </row>
    <row r="3601" spans="1:40" x14ac:dyDescent="0.25">
      <c r="A3601" t="str">
        <f>"20190312151610141"</f>
        <v>20190312151610141</v>
      </c>
      <c r="B3601" t="str">
        <f>"1552374970131040"</f>
        <v>1552374970131040</v>
      </c>
      <c r="C3601" t="s">
        <v>40</v>
      </c>
      <c r="D3601">
        <v>4.7968260000000003</v>
      </c>
      <c r="E3601">
        <v>0.59666540000000001</v>
      </c>
      <c r="F3601" t="s">
        <v>60</v>
      </c>
      <c r="G3601">
        <v>-259.7158</v>
      </c>
      <c r="H3601">
        <v>7.1568009999999997</v>
      </c>
      <c r="I3601">
        <v>118.99209999999999</v>
      </c>
      <c r="J3601">
        <v>-196.6326</v>
      </c>
      <c r="K3601">
        <v>1.105208</v>
      </c>
      <c r="L3601">
        <v>155.57259999999999</v>
      </c>
      <c r="M3601">
        <v>-0.57338859999999903</v>
      </c>
      <c r="N3601">
        <v>0</v>
      </c>
      <c r="O3601">
        <v>-0.81916109999999998</v>
      </c>
      <c r="P3601">
        <v>-0.71903850000000002</v>
      </c>
      <c r="Q3601">
        <v>4.2991359999999999E-2</v>
      </c>
      <c r="R3601">
        <v>-0.69363969999999997</v>
      </c>
      <c r="S3601">
        <v>-2.6687319999999999</v>
      </c>
      <c r="T3601">
        <v>0.25511430000000002</v>
      </c>
      <c r="U3601">
        <v>-1.555191</v>
      </c>
      <c r="V3601">
        <v>0.1919285</v>
      </c>
      <c r="W3601">
        <v>5.474863E-2</v>
      </c>
      <c r="X3601">
        <v>0.97988059999999999</v>
      </c>
      <c r="Y3601">
        <v>0.41600749999999997</v>
      </c>
      <c r="Z3601">
        <v>-7.7784190000000003E-2</v>
      </c>
      <c r="AA3601">
        <v>0.90602839999999996</v>
      </c>
      <c r="AB3601">
        <v>37</v>
      </c>
      <c r="AC3601">
        <v>-63.083199999999998</v>
      </c>
      <c r="AD3601">
        <v>6.0515930000000004</v>
      </c>
      <c r="AE3601">
        <v>-36.580500000000001</v>
      </c>
      <c r="AF3601">
        <v>30.493536611715999</v>
      </c>
      <c r="AG3601">
        <v>6.0515930000000004</v>
      </c>
      <c r="AH3601">
        <v>65.690741444711406</v>
      </c>
      <c r="AI3601">
        <v>85.223535715864699</v>
      </c>
      <c r="AJ3601">
        <v>65.099347240978801</v>
      </c>
      <c r="AK3601">
        <v>72.675656615428295</v>
      </c>
      <c r="AL3601">
        <v>86.861565293803096</v>
      </c>
      <c r="AM3601">
        <v>78.9178176947011</v>
      </c>
      <c r="AN3601">
        <v>0.99999997592774303</v>
      </c>
    </row>
    <row r="3602" spans="1:40" x14ac:dyDescent="0.25">
      <c r="A3602" t="str">
        <f>"20190312151610162"</f>
        <v>20190312151610162</v>
      </c>
      <c r="B3602" t="str">
        <f>"1552374970151536"</f>
        <v>1552374970151536</v>
      </c>
      <c r="C3602" t="s">
        <v>40</v>
      </c>
      <c r="D3602">
        <v>4.6681999999999997</v>
      </c>
      <c r="E3602">
        <v>0.59663279999999996</v>
      </c>
      <c r="F3602" t="s">
        <v>60</v>
      </c>
      <c r="G3602">
        <v>-261.00540000000001</v>
      </c>
      <c r="H3602">
        <v>7.778314</v>
      </c>
      <c r="I3602">
        <v>118.9923</v>
      </c>
      <c r="J3602">
        <v>-196.82589999999999</v>
      </c>
      <c r="K3602">
        <v>1.1050120000000001</v>
      </c>
      <c r="L3602">
        <v>155.3039</v>
      </c>
      <c r="M3602">
        <v>-0.57727269999999997</v>
      </c>
      <c r="N3602">
        <v>0</v>
      </c>
      <c r="O3602">
        <v>-0.81642819999999905</v>
      </c>
      <c r="P3602">
        <v>-0.72520169999999995</v>
      </c>
      <c r="Q3602">
        <v>4.7818859999999998E-2</v>
      </c>
      <c r="R3602">
        <v>-0.68687399999999998</v>
      </c>
      <c r="S3602">
        <v>-2.6841740000000001</v>
      </c>
      <c r="T3602">
        <v>0.27825050000000001</v>
      </c>
      <c r="U3602">
        <v>-1.525299</v>
      </c>
      <c r="V3602">
        <v>0.1962913</v>
      </c>
      <c r="W3602">
        <v>5.9424480000000002E-2</v>
      </c>
      <c r="X3602">
        <v>0.97874329999999998</v>
      </c>
      <c r="Y3602">
        <v>0.42095070000000001</v>
      </c>
      <c r="Z3602">
        <v>-8.4819119999999998E-2</v>
      </c>
      <c r="AA3602">
        <v>0.90310919999999895</v>
      </c>
      <c r="AB3602">
        <v>37</v>
      </c>
      <c r="AC3602">
        <v>-64.179500000000004</v>
      </c>
      <c r="AD3602">
        <v>6.6733019999999996</v>
      </c>
      <c r="AE3602">
        <v>-36.311599999999999</v>
      </c>
      <c r="AF3602">
        <v>31.184027300081301</v>
      </c>
      <c r="AG3602">
        <v>6.6733019999999996</v>
      </c>
      <c r="AH3602">
        <v>66.159756442992204</v>
      </c>
      <c r="AI3602">
        <v>84.786808005418294</v>
      </c>
      <c r="AJ3602">
        <v>64.763419021610304</v>
      </c>
      <c r="AK3602">
        <v>73.444468075080195</v>
      </c>
      <c r="AL3602">
        <v>86.593221028366301</v>
      </c>
      <c r="AM3602">
        <v>78.659526336189899</v>
      </c>
      <c r="AN3602">
        <v>0.99999999528692496</v>
      </c>
    </row>
    <row r="3603" spans="1:40" x14ac:dyDescent="0.25">
      <c r="A3603" t="str">
        <f>"20190312151610185"</f>
        <v>20190312151610185</v>
      </c>
      <c r="B3603" t="str">
        <f>"1552374970181792"</f>
        <v>1552374970181792</v>
      </c>
      <c r="C3603" t="s">
        <v>40</v>
      </c>
      <c r="D3603">
        <v>4.8068479999999996</v>
      </c>
      <c r="E3603">
        <v>0.59375749999999905</v>
      </c>
      <c r="F3603" t="s">
        <v>43</v>
      </c>
      <c r="G3603">
        <v>-243.31139999999999</v>
      </c>
      <c r="H3603">
        <v>1.6783139999999998E-2</v>
      </c>
      <c r="I3603">
        <v>129.61619999999999</v>
      </c>
      <c r="J3603">
        <v>-197.05070000000001</v>
      </c>
      <c r="K3603">
        <v>1.10477</v>
      </c>
      <c r="L3603">
        <v>154.99510000000001</v>
      </c>
      <c r="M3603">
        <v>-0.5819588</v>
      </c>
      <c r="N3603">
        <v>0</v>
      </c>
      <c r="O3603">
        <v>-0.81309409999999904</v>
      </c>
      <c r="P3603">
        <v>-0.73168049999999996</v>
      </c>
      <c r="Q3603">
        <v>4.9939270000000001E-2</v>
      </c>
      <c r="R3603">
        <v>-0.67981579999999997</v>
      </c>
      <c r="S3603">
        <v>-2.7182620000000002</v>
      </c>
      <c r="T3603">
        <v>-6.3634629999999998E-2</v>
      </c>
      <c r="U3603">
        <v>-1.5020899999999999</v>
      </c>
      <c r="V3603">
        <v>0.20009199999999999</v>
      </c>
      <c r="W3603">
        <v>6.138308E-2</v>
      </c>
      <c r="X3603">
        <v>0.97785239999999995</v>
      </c>
      <c r="Y3603">
        <v>0.43004439999999999</v>
      </c>
      <c r="Z3603">
        <v>1.9354010000000001E-2</v>
      </c>
      <c r="AA3603">
        <v>0.90260030000000002</v>
      </c>
      <c r="AB3603">
        <v>37</v>
      </c>
      <c r="AC3603">
        <v>-46.2606999999999</v>
      </c>
      <c r="AD3603">
        <v>-1.08798686</v>
      </c>
      <c r="AE3603">
        <v>-25.378900000000002</v>
      </c>
      <c r="AF3603">
        <v>22.8374253880101</v>
      </c>
      <c r="AG3603">
        <v>-1.08798686</v>
      </c>
      <c r="AH3603">
        <v>47.541844826370699</v>
      </c>
      <c r="AI3603">
        <v>91.181744779549106</v>
      </c>
      <c r="AJ3603">
        <v>64.342012351203905</v>
      </c>
      <c r="AK3603">
        <v>52.753755536977401</v>
      </c>
      <c r="AL3603">
        <v>86.480796240150198</v>
      </c>
      <c r="AM3603">
        <v>78.435553584716502</v>
      </c>
      <c r="AN3603">
        <v>1.0000000035800201</v>
      </c>
    </row>
    <row r="3604" spans="1:40" x14ac:dyDescent="0.25">
      <c r="A3604" t="str">
        <f>"20190312151610197"</f>
        <v>20190312151610197</v>
      </c>
      <c r="B3604" t="str">
        <f>"1552374970191552"</f>
        <v>1552374970191552</v>
      </c>
      <c r="C3604" t="s">
        <v>40</v>
      </c>
      <c r="D3604">
        <v>4.9893710000000002</v>
      </c>
      <c r="E3604">
        <v>0.59207980000000004</v>
      </c>
      <c r="F3604" t="s">
        <v>60</v>
      </c>
      <c r="G3604">
        <v>-265.21260000000001</v>
      </c>
      <c r="H3604">
        <v>0.31867220000000002</v>
      </c>
      <c r="I3604">
        <v>117.52889999999999</v>
      </c>
      <c r="J3604">
        <v>-197.17259999999999</v>
      </c>
      <c r="K3604">
        <v>1.1046290000000001</v>
      </c>
      <c r="L3604">
        <v>154.82919999999999</v>
      </c>
      <c r="M3604">
        <v>-0.58457840000000005</v>
      </c>
      <c r="N3604">
        <v>0</v>
      </c>
      <c r="O3604">
        <v>-0.81121269999999901</v>
      </c>
      <c r="P3604">
        <v>-0.73520869999999905</v>
      </c>
      <c r="Q3604">
        <v>4.9717110000000002E-2</v>
      </c>
      <c r="R3604">
        <v>-0.67601529999999999</v>
      </c>
      <c r="S3604">
        <v>-2.7154690000000001</v>
      </c>
      <c r="T3604">
        <v>-3.1316999999999998E-2</v>
      </c>
      <c r="U3604">
        <v>-1.492599</v>
      </c>
      <c r="V3604">
        <v>0.20203599999999999</v>
      </c>
      <c r="W3604">
        <v>6.1073240000000001E-2</v>
      </c>
      <c r="X3604">
        <v>0.97747200000000001</v>
      </c>
      <c r="Y3604">
        <v>0.42930610000000002</v>
      </c>
      <c r="Z3604">
        <v>9.5319859999999992E-3</v>
      </c>
      <c r="AA3604">
        <v>0.90310869999999999</v>
      </c>
      <c r="AB3604">
        <v>37</v>
      </c>
      <c r="AC3604">
        <v>-68.040000000000006</v>
      </c>
      <c r="AD3604">
        <v>-0.78595680000000001</v>
      </c>
      <c r="AE3604">
        <v>-37.300299999999901</v>
      </c>
      <c r="AF3604">
        <v>33.389910342436103</v>
      </c>
      <c r="AG3604">
        <v>-0.78595680000000001</v>
      </c>
      <c r="AH3604">
        <v>70.033082192214295</v>
      </c>
      <c r="AI3604">
        <v>90.580397547267197</v>
      </c>
      <c r="AJ3604">
        <v>64.509435850811201</v>
      </c>
      <c r="AK3604">
        <v>77.589538225902899</v>
      </c>
      <c r="AL3604">
        <v>86.498582116153301</v>
      </c>
      <c r="AM3604">
        <v>78.321850048642403</v>
      </c>
      <c r="AN3604">
        <v>0.999999998362048</v>
      </c>
    </row>
    <row r="3605" spans="1:40" x14ac:dyDescent="0.25">
      <c r="A3605" t="str">
        <f>"20190312151610217"</f>
        <v>20190312151610217</v>
      </c>
      <c r="B3605" t="str">
        <f>"1552374970211072"</f>
        <v>1552374970211072</v>
      </c>
      <c r="C3605" t="s">
        <v>40</v>
      </c>
      <c r="D3605">
        <v>4.8444750000000001</v>
      </c>
      <c r="E3605">
        <v>0.59001990000000004</v>
      </c>
      <c r="F3605" t="s">
        <v>60</v>
      </c>
      <c r="G3605">
        <v>-265.14019999999999</v>
      </c>
      <c r="H3605">
        <v>1.342306</v>
      </c>
      <c r="I3605">
        <v>117.5292</v>
      </c>
      <c r="J3605">
        <v>-197.37180000000001</v>
      </c>
      <c r="K3605">
        <v>1.1043959999999999</v>
      </c>
      <c r="L3605">
        <v>154.56110000000001</v>
      </c>
      <c r="M3605">
        <v>-0.58898689999999998</v>
      </c>
      <c r="N3605">
        <v>0</v>
      </c>
      <c r="O3605">
        <v>-0.8080174</v>
      </c>
      <c r="P3605">
        <v>-0.74112330000000004</v>
      </c>
      <c r="Q3605">
        <v>4.9780989999999997E-2</v>
      </c>
      <c r="R3605">
        <v>-0.66952129999999999</v>
      </c>
      <c r="S3605">
        <v>-2.7115629999999999</v>
      </c>
      <c r="T3605">
        <v>9.4821450000000009E-3</v>
      </c>
      <c r="U3605">
        <v>-1.488083</v>
      </c>
      <c r="V3605">
        <v>0.2053458</v>
      </c>
      <c r="W3605">
        <v>6.098568E-2</v>
      </c>
      <c r="X3605">
        <v>0.97678750000000003</v>
      </c>
      <c r="Y3605">
        <v>0.42503279999999899</v>
      </c>
      <c r="Z3605">
        <v>-2.8801830000000001E-3</v>
      </c>
      <c r="AA3605">
        <v>0.90517340000000002</v>
      </c>
      <c r="AB3605">
        <v>37</v>
      </c>
      <c r="AC3605">
        <v>-67.7683999999999</v>
      </c>
      <c r="AD3605">
        <v>0.23791000000000001</v>
      </c>
      <c r="AE3605">
        <v>-37.0319</v>
      </c>
      <c r="AF3605">
        <v>32.949762956671997</v>
      </c>
      <c r="AG3605">
        <v>0.23791000000000001</v>
      </c>
      <c r="AH3605">
        <v>69.843522080035697</v>
      </c>
      <c r="AI3605">
        <v>89.823488803888296</v>
      </c>
      <c r="AJ3605">
        <v>64.743679198189795</v>
      </c>
      <c r="AK3605">
        <v>77.226038721492202</v>
      </c>
      <c r="AL3605">
        <v>86.503608258402195</v>
      </c>
      <c r="AM3605">
        <v>78.127838001600693</v>
      </c>
      <c r="AN3605">
        <v>0.99999998544947599</v>
      </c>
    </row>
    <row r="3606" spans="1:40" x14ac:dyDescent="0.25">
      <c r="A3606" t="str">
        <f>"20190312151610230"</f>
        <v>20190312151610230</v>
      </c>
      <c r="B3606" t="str">
        <f>"1552374970221808"</f>
        <v>1552374970221808</v>
      </c>
      <c r="C3606" t="s">
        <v>40</v>
      </c>
      <c r="D3606">
        <v>4.6697660000000001</v>
      </c>
      <c r="E3606">
        <v>0.58888989999999997</v>
      </c>
      <c r="F3606" t="s">
        <v>60</v>
      </c>
      <c r="G3606">
        <v>-265.36790000000002</v>
      </c>
      <c r="H3606">
        <v>2.7732770000000002</v>
      </c>
      <c r="I3606">
        <v>117.52970000000001</v>
      </c>
      <c r="J3606">
        <v>-197.49340000000001</v>
      </c>
      <c r="K3606">
        <v>1.1042459999999901</v>
      </c>
      <c r="L3606">
        <v>154.399</v>
      </c>
      <c r="M3606">
        <v>-0.59174659999999901</v>
      </c>
      <c r="N3606">
        <v>0</v>
      </c>
      <c r="O3606">
        <v>-0.8059982</v>
      </c>
      <c r="P3606">
        <v>-0.74438479999999996</v>
      </c>
      <c r="Q3606">
        <v>5.0254750000000001E-2</v>
      </c>
      <c r="R3606">
        <v>-0.66585749999999999</v>
      </c>
      <c r="S3606">
        <v>-2.7100979999999999</v>
      </c>
      <c r="T3606">
        <v>6.6516039999999998E-2</v>
      </c>
      <c r="U3606">
        <v>-1.4759519999999999</v>
      </c>
      <c r="V3606">
        <v>0.20682680000000001</v>
      </c>
      <c r="W3606">
        <v>6.1372139999999999E-2</v>
      </c>
      <c r="X3606">
        <v>0.97645079999999995</v>
      </c>
      <c r="Y3606">
        <v>0.4246394</v>
      </c>
      <c r="Z3606">
        <v>-2.0214090000000001E-2</v>
      </c>
      <c r="AA3606">
        <v>0.90513690000000002</v>
      </c>
      <c r="AB3606">
        <v>37</v>
      </c>
      <c r="AC3606">
        <v>-67.874499999999998</v>
      </c>
      <c r="AD3606">
        <v>1.6690309999999999</v>
      </c>
      <c r="AE3606">
        <v>-36.869300000000003</v>
      </c>
      <c r="AF3606">
        <v>32.877427955778899</v>
      </c>
      <c r="AG3606">
        <v>1.6690309999999999</v>
      </c>
      <c r="AH3606">
        <v>69.855567668228204</v>
      </c>
      <c r="AI3606">
        <v>88.761574657958306</v>
      </c>
      <c r="AJ3606">
        <v>64.796042939630098</v>
      </c>
      <c r="AK3606">
        <v>77.223773980017299</v>
      </c>
      <c r="AL3606">
        <v>86.481424279501297</v>
      </c>
      <c r="AM3606">
        <v>78.040664910387704</v>
      </c>
      <c r="AN3606">
        <v>1.00000001479352</v>
      </c>
    </row>
    <row r="3607" spans="1:40" x14ac:dyDescent="0.25">
      <c r="A3607" t="str">
        <f>"20190312151610252"</f>
        <v>20190312151610252</v>
      </c>
      <c r="B3607" t="str">
        <f>"1552374970241328"</f>
        <v>1552374970241328</v>
      </c>
      <c r="C3607" t="s">
        <v>40</v>
      </c>
      <c r="D3607">
        <v>4.7795269999999999</v>
      </c>
      <c r="E3607">
        <v>0.58667729999999996</v>
      </c>
      <c r="F3607" t="s">
        <v>60</v>
      </c>
      <c r="G3607">
        <v>-263.9119</v>
      </c>
      <c r="H3607">
        <v>3.246464</v>
      </c>
      <c r="I3607">
        <v>118.3887</v>
      </c>
      <c r="J3607">
        <v>-197.70959999999999</v>
      </c>
      <c r="K3607">
        <v>1.1039920000000001</v>
      </c>
      <c r="L3607">
        <v>154.1138</v>
      </c>
      <c r="M3607">
        <v>-0.59678489999999995</v>
      </c>
      <c r="N3607">
        <v>0</v>
      </c>
      <c r="O3607">
        <v>-0.8022745</v>
      </c>
      <c r="P3607">
        <v>-0.75094099999999997</v>
      </c>
      <c r="Q3607">
        <v>5.2055209999999998E-2</v>
      </c>
      <c r="R3607">
        <v>-0.65831450000000002</v>
      </c>
      <c r="S3607">
        <v>-2.709991</v>
      </c>
      <c r="T3607">
        <v>8.7406280000000003E-2</v>
      </c>
      <c r="U3607">
        <v>-1.469284</v>
      </c>
      <c r="V3607">
        <v>0.2105262</v>
      </c>
      <c r="W3607">
        <v>6.2996919999999998E-2</v>
      </c>
      <c r="X3607">
        <v>0.97555630000000004</v>
      </c>
      <c r="Y3607">
        <v>0.420512</v>
      </c>
      <c r="Z3607">
        <v>-2.6473409999999999E-2</v>
      </c>
      <c r="AA3607">
        <v>0.90690059999999995</v>
      </c>
      <c r="AB3607">
        <v>37</v>
      </c>
      <c r="AC3607">
        <v>-66.202299999999994</v>
      </c>
      <c r="AD3607">
        <v>2.1424720000000002</v>
      </c>
      <c r="AE3607">
        <v>-35.725099999999998</v>
      </c>
      <c r="AF3607">
        <v>31.769681591154502</v>
      </c>
      <c r="AG3607">
        <v>2.1424720000000002</v>
      </c>
      <c r="AH3607">
        <v>68.121548807632806</v>
      </c>
      <c r="AI3607">
        <v>88.367318596605699</v>
      </c>
      <c r="AJ3607">
        <v>64.997180186969899</v>
      </c>
      <c r="AK3607">
        <v>75.196065499631203</v>
      </c>
      <c r="AL3607">
        <v>86.388150642172604</v>
      </c>
      <c r="AM3607">
        <v>77.822251038042793</v>
      </c>
      <c r="AN3607">
        <v>0.999999993642808</v>
      </c>
    </row>
    <row r="3608" spans="1:40" x14ac:dyDescent="0.25">
      <c r="A3608" t="str">
        <f>"20190312151610277"</f>
        <v>20190312151610277</v>
      </c>
      <c r="B3608" t="str">
        <f>"1552374970271584"</f>
        <v>1552374970271584</v>
      </c>
      <c r="C3608" t="s">
        <v>40</v>
      </c>
      <c r="D3608">
        <v>4.5859500000000004</v>
      </c>
      <c r="E3608">
        <v>0.58423040000000004</v>
      </c>
      <c r="F3608" t="s">
        <v>60</v>
      </c>
      <c r="G3608">
        <v>-264.274</v>
      </c>
      <c r="H3608">
        <v>4.0864760000000002</v>
      </c>
      <c r="I3608">
        <v>118.389</v>
      </c>
      <c r="J3608">
        <v>-197.9615</v>
      </c>
      <c r="K3608">
        <v>1.1036709999999901</v>
      </c>
      <c r="L3608">
        <v>153.78739999999999</v>
      </c>
      <c r="M3608">
        <v>-0.60290580000000005</v>
      </c>
      <c r="N3608">
        <v>0</v>
      </c>
      <c r="O3608">
        <v>-0.79768430000000001</v>
      </c>
      <c r="P3608">
        <v>-0.75869240000000004</v>
      </c>
      <c r="Q3608">
        <v>5.5052110000000001E-2</v>
      </c>
      <c r="R3608">
        <v>-0.6491188</v>
      </c>
      <c r="S3608">
        <v>-2.7110289999999999</v>
      </c>
      <c r="T3608">
        <v>0.1214705</v>
      </c>
      <c r="U3608">
        <v>-1.4550019999999999</v>
      </c>
      <c r="V3608">
        <v>0.21487229999999999</v>
      </c>
      <c r="W3608">
        <v>6.5773020000000001E-2</v>
      </c>
      <c r="X3608">
        <v>0.97442479999999998</v>
      </c>
      <c r="Y3608">
        <v>0.41706939999999998</v>
      </c>
      <c r="Z3608">
        <v>-3.6675619999999999E-2</v>
      </c>
      <c r="AA3608">
        <v>0.90813440000000001</v>
      </c>
      <c r="AB3608">
        <v>37</v>
      </c>
      <c r="AC3608">
        <v>-66.3125</v>
      </c>
      <c r="AD3608">
        <v>2.9828049999999999</v>
      </c>
      <c r="AE3608">
        <v>-35.398399999999903</v>
      </c>
      <c r="AF3608">
        <v>31.508151296346799</v>
      </c>
      <c r="AG3608">
        <v>2.9828049999999999</v>
      </c>
      <c r="AH3608">
        <v>68.116653394072401</v>
      </c>
      <c r="AI3608">
        <v>87.724048995803301</v>
      </c>
      <c r="AJ3608">
        <v>65.176549084105702</v>
      </c>
      <c r="AK3608">
        <v>75.110180357856294</v>
      </c>
      <c r="AL3608">
        <v>86.228760873256405</v>
      </c>
      <c r="AM3608">
        <v>77.564606777764197</v>
      </c>
      <c r="AN3608">
        <v>0.99999994316112295</v>
      </c>
    </row>
    <row r="3609" spans="1:40" x14ac:dyDescent="0.25">
      <c r="A3609" t="str">
        <f>"20190312151610297"</f>
        <v>20190312151610297</v>
      </c>
      <c r="B3609" t="str">
        <f>"1552374970291104"</f>
        <v>1552374970291104</v>
      </c>
      <c r="C3609" t="s">
        <v>40</v>
      </c>
      <c r="D3609">
        <v>4.7456889999999996</v>
      </c>
      <c r="E3609">
        <v>0.5831575</v>
      </c>
      <c r="F3609" t="s">
        <v>60</v>
      </c>
      <c r="G3609">
        <v>-266.4479</v>
      </c>
      <c r="H3609">
        <v>5.1310070000000003</v>
      </c>
      <c r="I3609">
        <v>117.5305</v>
      </c>
      <c r="J3609">
        <v>-198.17310000000001</v>
      </c>
      <c r="K3609">
        <v>1.1034189999999999</v>
      </c>
      <c r="L3609">
        <v>153.5171</v>
      </c>
      <c r="M3609">
        <v>-0.60817089999999996</v>
      </c>
      <c r="N3609">
        <v>0</v>
      </c>
      <c r="O3609">
        <v>-0.79367710000000002</v>
      </c>
      <c r="P3609">
        <v>-0.76559109999999997</v>
      </c>
      <c r="Q3609">
        <v>5.6846920000000002E-2</v>
      </c>
      <c r="R3609">
        <v>-0.64081100000000002</v>
      </c>
      <c r="S3609">
        <v>-2.7135310000000001</v>
      </c>
      <c r="T3609">
        <v>0.15956890000000001</v>
      </c>
      <c r="U3609">
        <v>-1.4365540000000001</v>
      </c>
      <c r="V3609">
        <v>0.2190124</v>
      </c>
      <c r="W3609">
        <v>6.7366869999999995E-2</v>
      </c>
      <c r="X3609">
        <v>0.97339370000000003</v>
      </c>
      <c r="Y3609">
        <v>0.41569129999999899</v>
      </c>
      <c r="Z3609">
        <v>-4.8086959999999998E-2</v>
      </c>
      <c r="AA3609">
        <v>0.90823370000000003</v>
      </c>
      <c r="AB3609">
        <v>36</v>
      </c>
      <c r="AC3609">
        <v>-68.274799999999999</v>
      </c>
      <c r="AD3609">
        <v>4.0275879999999997</v>
      </c>
      <c r="AE3609">
        <v>-35.986600000000003</v>
      </c>
      <c r="AF3609">
        <v>32.217711455018602</v>
      </c>
      <c r="AG3609">
        <v>4.0275879999999997</v>
      </c>
      <c r="AH3609">
        <v>69.901301007725806</v>
      </c>
      <c r="AI3609">
        <v>87.004578875091397</v>
      </c>
      <c r="AJ3609">
        <v>65.254887459213506</v>
      </c>
      <c r="AK3609">
        <v>77.073953311538901</v>
      </c>
      <c r="AL3609">
        <v>86.137237220016701</v>
      </c>
      <c r="AM3609">
        <v>77.3196827584472</v>
      </c>
      <c r="AN3609">
        <v>1.0000000108635201</v>
      </c>
    </row>
    <row r="3610" spans="1:40" x14ac:dyDescent="0.25">
      <c r="A3610" t="str">
        <f>"20190312151610320"</f>
        <v>20190312151610320</v>
      </c>
      <c r="B3610" t="str">
        <f>"1552374970311600"</f>
        <v>1552374970311600</v>
      </c>
      <c r="C3610" t="s">
        <v>40</v>
      </c>
      <c r="D3610">
        <v>4.774705</v>
      </c>
      <c r="E3610">
        <v>0.58203559999999999</v>
      </c>
      <c r="F3610" t="s">
        <v>60</v>
      </c>
      <c r="G3610">
        <v>-266.84089999999998</v>
      </c>
      <c r="H3610">
        <v>5.528734</v>
      </c>
      <c r="I3610">
        <v>117.8652</v>
      </c>
      <c r="J3610">
        <v>-198.3954</v>
      </c>
      <c r="K3610">
        <v>1.103326</v>
      </c>
      <c r="L3610">
        <v>153.23699999999999</v>
      </c>
      <c r="M3610">
        <v>-0.61401159999999999</v>
      </c>
      <c r="N3610">
        <v>0</v>
      </c>
      <c r="O3610">
        <v>-0.78916549999999996</v>
      </c>
      <c r="P3610">
        <v>-0.77254909999999999</v>
      </c>
      <c r="Q3610">
        <v>5.6223229999999999E-2</v>
      </c>
      <c r="R3610">
        <v>-0.63246089999999999</v>
      </c>
      <c r="S3610">
        <v>-2.7224270000000002</v>
      </c>
      <c r="T3610">
        <v>0.17544749999999901</v>
      </c>
      <c r="U3610">
        <v>-1.413467</v>
      </c>
      <c r="V3610">
        <v>0.22246379999999999</v>
      </c>
      <c r="W3610">
        <v>6.6642750000000001E-2</v>
      </c>
      <c r="X3610">
        <v>0.97266050000000004</v>
      </c>
      <c r="Y3610">
        <v>0.41599530000000001</v>
      </c>
      <c r="Z3610">
        <v>-5.273158E-2</v>
      </c>
      <c r="AA3610">
        <v>0.90783659999999999</v>
      </c>
      <c r="AB3610">
        <v>36</v>
      </c>
      <c r="AC3610">
        <v>-68.445499999999896</v>
      </c>
      <c r="AD3610">
        <v>4.425408</v>
      </c>
      <c r="AE3610">
        <v>-35.371799999999901</v>
      </c>
      <c r="AF3610">
        <v>32.1932701509201</v>
      </c>
      <c r="AG3610">
        <v>4.425408</v>
      </c>
      <c r="AH3610">
        <v>69.717778089351597</v>
      </c>
      <c r="AI3610">
        <v>86.701767896618506</v>
      </c>
      <c r="AJ3610">
        <v>65.214132683759303</v>
      </c>
      <c r="AK3610">
        <v>76.919174857070999</v>
      </c>
      <c r="AL3610">
        <v>86.178819355707006</v>
      </c>
      <c r="AM3610">
        <v>77.117082906421302</v>
      </c>
      <c r="AN3610">
        <v>0.99999992334912302</v>
      </c>
    </row>
    <row r="3611" spans="1:40" x14ac:dyDescent="0.25">
      <c r="A3611" t="str">
        <f>"20190312151610342"</f>
        <v>20190312151610342</v>
      </c>
      <c r="B3611" t="str">
        <f>"1552374970331122"</f>
        <v>1552374970331122</v>
      </c>
      <c r="C3611" t="s">
        <v>40</v>
      </c>
      <c r="D3611">
        <v>4.7646249999999997</v>
      </c>
      <c r="E3611">
        <v>0.5811868</v>
      </c>
      <c r="F3611" t="s">
        <v>60</v>
      </c>
      <c r="G3611">
        <v>-266.84480000000002</v>
      </c>
      <c r="H3611">
        <v>5.575469</v>
      </c>
      <c r="I3611">
        <v>118.3895</v>
      </c>
      <c r="J3611">
        <v>-198.61799999999999</v>
      </c>
      <c r="K3611">
        <v>1.1031439999999999</v>
      </c>
      <c r="L3611">
        <v>152.95959999999999</v>
      </c>
      <c r="M3611">
        <v>-0.62123409999999901</v>
      </c>
      <c r="N3611">
        <v>0</v>
      </c>
      <c r="O3611">
        <v>-0.78348830000000003</v>
      </c>
      <c r="P3611">
        <v>-0.78077439999999998</v>
      </c>
      <c r="Q3611">
        <v>5.6693220000000003E-2</v>
      </c>
      <c r="R3611">
        <v>-0.62223600000000001</v>
      </c>
      <c r="S3611">
        <v>-2.7317200000000001</v>
      </c>
      <c r="T3611">
        <v>0.17847679999999999</v>
      </c>
      <c r="U3611">
        <v>-1.390717</v>
      </c>
      <c r="V3611">
        <v>0.2264176</v>
      </c>
      <c r="W3611">
        <v>6.6935350000000005E-2</v>
      </c>
      <c r="X3611">
        <v>0.97172769999999997</v>
      </c>
      <c r="Y3611">
        <v>0.41484490000000002</v>
      </c>
      <c r="Z3611">
        <v>-5.3415230000000001E-2</v>
      </c>
      <c r="AA3611">
        <v>0.90832290000000004</v>
      </c>
      <c r="AB3611">
        <v>36</v>
      </c>
      <c r="AC3611">
        <v>-68.226799999999997</v>
      </c>
      <c r="AD3611">
        <v>4.4723249999999997</v>
      </c>
      <c r="AE3611">
        <v>-34.570099999999996</v>
      </c>
      <c r="AF3611">
        <v>31.873223569811699</v>
      </c>
      <c r="AG3611">
        <v>4.4723249999999997</v>
      </c>
      <c r="AH3611">
        <v>69.240786547388794</v>
      </c>
      <c r="AI3611">
        <v>86.642134873843105</v>
      </c>
      <c r="AJ3611">
        <v>65.282230963809695</v>
      </c>
      <c r="AK3611">
        <v>76.355684748012607</v>
      </c>
      <c r="AL3611">
        <v>86.162017374163597</v>
      </c>
      <c r="AM3611">
        <v>76.883809299243694</v>
      </c>
      <c r="AN3611">
        <v>0.99999999680833596</v>
      </c>
    </row>
    <row r="3612" spans="1:40" x14ac:dyDescent="0.25">
      <c r="A3612" t="str">
        <f>"20190312151610363"</f>
        <v>20190312151610363</v>
      </c>
      <c r="B3612" t="str">
        <f>"1552374970351616"</f>
        <v>1552374970351616</v>
      </c>
      <c r="C3612" t="s">
        <v>40</v>
      </c>
      <c r="D3612">
        <v>4.6995719999999999</v>
      </c>
      <c r="E3612">
        <v>0.5802813</v>
      </c>
      <c r="F3612" t="s">
        <v>60</v>
      </c>
      <c r="G3612">
        <v>-268.40649999999999</v>
      </c>
      <c r="H3612">
        <v>5.7247490000000001</v>
      </c>
      <c r="I3612">
        <v>118.3895</v>
      </c>
      <c r="J3612">
        <v>-198.8373</v>
      </c>
      <c r="K3612">
        <v>1.1023320000000001</v>
      </c>
      <c r="L3612">
        <v>152.69049999999999</v>
      </c>
      <c r="M3612">
        <v>-0.62939909999999999</v>
      </c>
      <c r="N3612">
        <v>0</v>
      </c>
      <c r="O3612">
        <v>-0.77694779999999997</v>
      </c>
      <c r="P3612">
        <v>-0.78956850000000001</v>
      </c>
      <c r="Q3612">
        <v>5.7992589999999997E-2</v>
      </c>
      <c r="R3612">
        <v>-0.61091649999999997</v>
      </c>
      <c r="S3612">
        <v>-2.7453460000000001</v>
      </c>
      <c r="T3612">
        <v>0.1818053</v>
      </c>
      <c r="U3612">
        <v>-1.3599239999999999</v>
      </c>
      <c r="V3612">
        <v>0.2304407</v>
      </c>
      <c r="W3612">
        <v>6.7176570000000005E-2</v>
      </c>
      <c r="X3612">
        <v>0.97076479999999998</v>
      </c>
      <c r="Y3612">
        <v>0.41524470000000002</v>
      </c>
      <c r="Z3612">
        <v>-5.4164499999999997E-2</v>
      </c>
      <c r="AA3612">
        <v>0.90809580000000001</v>
      </c>
      <c r="AB3612">
        <v>36</v>
      </c>
      <c r="AC3612">
        <v>-69.569199999999995</v>
      </c>
      <c r="AD3612">
        <v>4.6224169999999898</v>
      </c>
      <c r="AE3612">
        <v>-34.300999999999902</v>
      </c>
      <c r="AF3612">
        <v>32.3511177708424</v>
      </c>
      <c r="AG3612">
        <v>4.6224169999999898</v>
      </c>
      <c r="AH3612">
        <v>70.194946135083896</v>
      </c>
      <c r="AI3612">
        <v>86.5774887365598</v>
      </c>
      <c r="AJ3612">
        <v>65.256190545843495</v>
      </c>
      <c r="AK3612">
        <v>77.429271098545996</v>
      </c>
      <c r="AL3612">
        <v>86.148165136624698</v>
      </c>
      <c r="AM3612">
        <v>76.646259281705099</v>
      </c>
      <c r="AN3612">
        <v>0.99999995234624595</v>
      </c>
    </row>
    <row r="3613" spans="1:40" x14ac:dyDescent="0.25">
      <c r="A3613" t="str">
        <f>"20190312151610376"</f>
        <v>20190312151610376</v>
      </c>
      <c r="B3613" t="str">
        <f>"1552374970371136"</f>
        <v>1552374970371136</v>
      </c>
      <c r="C3613" t="s">
        <v>40</v>
      </c>
      <c r="D3613">
        <v>4.6714029999999998</v>
      </c>
      <c r="E3613">
        <v>0.57927220000000001</v>
      </c>
      <c r="F3613" t="s">
        <v>60</v>
      </c>
      <c r="G3613">
        <v>-270.23320000000001</v>
      </c>
      <c r="H3613">
        <v>6.0058129999999998</v>
      </c>
      <c r="I3613">
        <v>118.3896</v>
      </c>
      <c r="J3613">
        <v>-198.96629999999999</v>
      </c>
      <c r="K3613">
        <v>1.1015950000000001</v>
      </c>
      <c r="L3613">
        <v>152.5343</v>
      </c>
      <c r="M3613">
        <v>-0.63425489999999995</v>
      </c>
      <c r="N3613">
        <v>0</v>
      </c>
      <c r="O3613">
        <v>-0.77299619999999902</v>
      </c>
      <c r="P3613">
        <v>-0.79420059999999904</v>
      </c>
      <c r="Q3613">
        <v>5.8806629999999999E-2</v>
      </c>
      <c r="R3613">
        <v>-0.60480400000000001</v>
      </c>
      <c r="S3613">
        <v>-2.759735</v>
      </c>
      <c r="T3613">
        <v>0.18953909999999999</v>
      </c>
      <c r="U3613">
        <v>-1.3258669999999999</v>
      </c>
      <c r="V3613">
        <v>0.23200499999999999</v>
      </c>
      <c r="W3613">
        <v>6.6935350000000005E-2</v>
      </c>
      <c r="X3613">
        <v>0.97040890000000002</v>
      </c>
      <c r="Y3613">
        <v>0.42034589999999999</v>
      </c>
      <c r="Z3613">
        <v>-5.6435909999999999E-2</v>
      </c>
      <c r="AA3613">
        <v>0.90560719999999995</v>
      </c>
      <c r="AB3613">
        <v>36</v>
      </c>
      <c r="AC3613">
        <v>-71.266900000000007</v>
      </c>
      <c r="AD3613">
        <v>4.9042180000000002</v>
      </c>
      <c r="AE3613">
        <v>-34.1447</v>
      </c>
      <c r="AF3613">
        <v>33.3076221469654</v>
      </c>
      <c r="AG3613">
        <v>4.9042180000000002</v>
      </c>
      <c r="AH3613">
        <v>71.327467684601302</v>
      </c>
      <c r="AI3613">
        <v>86.435155779129701</v>
      </c>
      <c r="AJ3613">
        <v>64.968945614991696</v>
      </c>
      <c r="AK3613">
        <v>78.873675542441802</v>
      </c>
      <c r="AL3613">
        <v>86.162017567670802</v>
      </c>
      <c r="AM3613">
        <v>76.554138470629894</v>
      </c>
      <c r="AN3613">
        <v>1.0000000471519099</v>
      </c>
    </row>
    <row r="3614" spans="1:40" x14ac:dyDescent="0.25">
      <c r="A3614" t="str">
        <f>"20190312151610398"</f>
        <v>20190312151610398</v>
      </c>
      <c r="B3614" t="str">
        <f>"1552374970391632"</f>
        <v>1552374970391632</v>
      </c>
      <c r="C3614" t="s">
        <v>40</v>
      </c>
      <c r="D3614">
        <v>4.6075330000000001</v>
      </c>
      <c r="E3614">
        <v>0.57849669999999997</v>
      </c>
      <c r="F3614" t="s">
        <v>60</v>
      </c>
      <c r="G3614">
        <v>-270.9667</v>
      </c>
      <c r="H3614">
        <v>6.2123119999999998</v>
      </c>
      <c r="I3614">
        <v>118.3897</v>
      </c>
      <c r="J3614">
        <v>-199.19649999999999</v>
      </c>
      <c r="K3614">
        <v>1.10019</v>
      </c>
      <c r="L3614">
        <v>152.26179999999999</v>
      </c>
      <c r="M3614">
        <v>-0.64205069999999997</v>
      </c>
      <c r="N3614">
        <v>0</v>
      </c>
      <c r="O3614">
        <v>-0.76655469999999903</v>
      </c>
      <c r="P3614">
        <v>-0.8017571</v>
      </c>
      <c r="Q3614">
        <v>6.2055279999999997E-2</v>
      </c>
      <c r="R3614">
        <v>-0.59442010000000001</v>
      </c>
      <c r="S3614">
        <v>-2.7644959999999998</v>
      </c>
      <c r="T3614">
        <v>0.19622890000000001</v>
      </c>
      <c r="U3614">
        <v>-1.311005</v>
      </c>
      <c r="V3614">
        <v>0.23504559999999999</v>
      </c>
      <c r="W3614">
        <v>6.7658990000000002E-2</v>
      </c>
      <c r="X3614">
        <v>0.96962669999999995</v>
      </c>
      <c r="Y3614">
        <v>0.41562789999999999</v>
      </c>
      <c r="Z3614">
        <v>-5.8047349999999998E-2</v>
      </c>
      <c r="AA3614">
        <v>0.90768059999999995</v>
      </c>
      <c r="AB3614">
        <v>36</v>
      </c>
      <c r="AC3614">
        <v>-71.770200000000003</v>
      </c>
      <c r="AD3614">
        <v>5.1121219999999896</v>
      </c>
      <c r="AE3614">
        <v>-33.872099999999897</v>
      </c>
      <c r="AF3614">
        <v>33.1334377584067</v>
      </c>
      <c r="AG3614">
        <v>5.1121219999999896</v>
      </c>
      <c r="AH3614">
        <v>71.753132409378907</v>
      </c>
      <c r="AI3614">
        <v>86.299106683133303</v>
      </c>
      <c r="AJ3614">
        <v>65.213927964982901</v>
      </c>
      <c r="AK3614">
        <v>79.198929914431005</v>
      </c>
      <c r="AL3614">
        <v>86.1204618741845</v>
      </c>
      <c r="AM3614">
        <v>76.373865641115501</v>
      </c>
      <c r="AN3614">
        <v>1.0000000551800301</v>
      </c>
    </row>
    <row r="3615" spans="1:40" x14ac:dyDescent="0.25">
      <c r="A3615" t="str">
        <f>"20190312151610411"</f>
        <v>20190312151610411</v>
      </c>
      <c r="B3615" t="str">
        <f>"1552374970401392"</f>
        <v>1552374970401392</v>
      </c>
      <c r="C3615" t="s">
        <v>40</v>
      </c>
      <c r="D3615">
        <v>4.6740069999999996</v>
      </c>
      <c r="E3615">
        <v>0.5782233</v>
      </c>
      <c r="F3615" t="s">
        <v>60</v>
      </c>
      <c r="G3615">
        <v>-272.67779999999999</v>
      </c>
      <c r="H3615">
        <v>6.7175130000000003</v>
      </c>
      <c r="I3615">
        <v>118.38979999999999</v>
      </c>
      <c r="J3615">
        <v>-199.3449</v>
      </c>
      <c r="K3615">
        <v>1.099469</v>
      </c>
      <c r="L3615">
        <v>152.08940000000001</v>
      </c>
      <c r="M3615">
        <v>-0.6465573</v>
      </c>
      <c r="N3615">
        <v>0</v>
      </c>
      <c r="O3615">
        <v>-0.76277139999999999</v>
      </c>
      <c r="P3615">
        <v>-0.80563149999999994</v>
      </c>
      <c r="Q3615">
        <v>6.4557139999999999E-2</v>
      </c>
      <c r="R3615">
        <v>-0.58888929999999995</v>
      </c>
      <c r="S3615">
        <v>-2.7765049999999998</v>
      </c>
      <c r="T3615">
        <v>0.21225169999999999</v>
      </c>
      <c r="U3615">
        <v>-1.2798609999999999</v>
      </c>
      <c r="V3615">
        <v>0.23613419999999999</v>
      </c>
      <c r="W3615">
        <v>6.8520520000000001E-2</v>
      </c>
      <c r="X3615">
        <v>0.96930159999999999</v>
      </c>
      <c r="Y3615">
        <v>0.41982609999999898</v>
      </c>
      <c r="Z3615">
        <v>-6.2733520000000001E-2</v>
      </c>
      <c r="AA3615">
        <v>0.90543390000000001</v>
      </c>
      <c r="AB3615">
        <v>36</v>
      </c>
      <c r="AC3615">
        <v>-73.332899999999995</v>
      </c>
      <c r="AD3615">
        <v>5.6180440000000003</v>
      </c>
      <c r="AE3615">
        <v>-33.699599999999997</v>
      </c>
      <c r="AF3615">
        <v>33.985280567854502</v>
      </c>
      <c r="AG3615">
        <v>5.6180440000000003</v>
      </c>
      <c r="AH3615">
        <v>72.771622338661899</v>
      </c>
      <c r="AI3615">
        <v>85.9987356053268</v>
      </c>
      <c r="AJ3615">
        <v>64.966822354843401</v>
      </c>
      <c r="AK3615">
        <v>80.512550148797004</v>
      </c>
      <c r="AL3615">
        <v>86.070984826604203</v>
      </c>
      <c r="AM3615">
        <v>76.308707635000999</v>
      </c>
      <c r="AN3615">
        <v>1.0000000069166299</v>
      </c>
    </row>
    <row r="3616" spans="1:40" x14ac:dyDescent="0.25">
      <c r="A3616" t="str">
        <f>"20190312151610431"</f>
        <v>20190312151610431</v>
      </c>
      <c r="B3616" t="str">
        <f>"1552374970421889"</f>
        <v>1552374970421889</v>
      </c>
      <c r="C3616" t="s">
        <v>40</v>
      </c>
      <c r="D3616">
        <v>4.6555160000000004</v>
      </c>
      <c r="E3616">
        <v>0.57749349999999999</v>
      </c>
      <c r="F3616" t="s">
        <v>60</v>
      </c>
      <c r="G3616">
        <v>-275.52980000000002</v>
      </c>
      <c r="H3616">
        <v>7.2403979999999999</v>
      </c>
      <c r="I3616">
        <v>117.5312</v>
      </c>
      <c r="J3616">
        <v>-199.55019999999999</v>
      </c>
      <c r="K3616">
        <v>1.0989469999999999</v>
      </c>
      <c r="L3616">
        <v>151.85570000000001</v>
      </c>
      <c r="M3616">
        <v>-0.65244769999999996</v>
      </c>
      <c r="N3616">
        <v>0</v>
      </c>
      <c r="O3616">
        <v>-0.75775749999999997</v>
      </c>
      <c r="P3616">
        <v>-0.81109169999999997</v>
      </c>
      <c r="Q3616">
        <v>6.8590250000000005E-2</v>
      </c>
      <c r="R3616">
        <v>-0.58088359999999895</v>
      </c>
      <c r="S3616">
        <v>-2.78302</v>
      </c>
      <c r="T3616">
        <v>0.22432679999999999</v>
      </c>
      <c r="U3616">
        <v>-1.262405</v>
      </c>
      <c r="V3616">
        <v>0.2383324</v>
      </c>
      <c r="W3616">
        <v>7.0440379999999997E-2</v>
      </c>
      <c r="X3616">
        <v>0.96862570000000003</v>
      </c>
      <c r="Y3616">
        <v>0.4180605</v>
      </c>
      <c r="Z3616">
        <v>-6.5997029999999998E-2</v>
      </c>
      <c r="AA3616">
        <v>0.90601860000000001</v>
      </c>
      <c r="AB3616">
        <v>36</v>
      </c>
      <c r="AC3616">
        <v>-75.979600000000005</v>
      </c>
      <c r="AD3616">
        <v>6.141451</v>
      </c>
      <c r="AE3616">
        <v>-34.3245</v>
      </c>
      <c r="AF3616">
        <v>34.991336103670697</v>
      </c>
      <c r="AG3616">
        <v>6.141451</v>
      </c>
      <c r="AH3616">
        <v>75.178800470534597</v>
      </c>
      <c r="AI3616">
        <v>85.764294541088006</v>
      </c>
      <c r="AJ3616">
        <v>65.040775470054001</v>
      </c>
      <c r="AK3616">
        <v>83.150243913616407</v>
      </c>
      <c r="AL3616">
        <v>85.960718279403295</v>
      </c>
      <c r="AM3616">
        <v>76.176845043935998</v>
      </c>
      <c r="AN3616">
        <v>0.99999996336239605</v>
      </c>
    </row>
    <row r="3617" spans="1:40" x14ac:dyDescent="0.25">
      <c r="A3617" t="str">
        <f>"20190312151610453"</f>
        <v>20190312151610453</v>
      </c>
      <c r="B3617" t="str">
        <f>"1552374970441549"</f>
        <v>1552374970441549</v>
      </c>
      <c r="C3617" t="s">
        <v>40</v>
      </c>
      <c r="D3617">
        <v>5.1571089999999904</v>
      </c>
      <c r="E3617">
        <v>0.57694319999999999</v>
      </c>
      <c r="F3617" t="s">
        <v>60</v>
      </c>
      <c r="G3617">
        <v>-276.82380000000001</v>
      </c>
      <c r="H3617">
        <v>7.6878159999999998</v>
      </c>
      <c r="I3617">
        <v>117.5313</v>
      </c>
      <c r="J3617">
        <v>-199.79150000000001</v>
      </c>
      <c r="K3617">
        <v>1.0989070000000001</v>
      </c>
      <c r="L3617">
        <v>151.5866</v>
      </c>
      <c r="M3617">
        <v>-0.65944219999999998</v>
      </c>
      <c r="N3617">
        <v>0</v>
      </c>
      <c r="O3617">
        <v>-0.75169719999999995</v>
      </c>
      <c r="P3617">
        <v>-0.81700130000000004</v>
      </c>
      <c r="Q3617">
        <v>7.1992899999999999E-2</v>
      </c>
      <c r="R3617">
        <v>-0.57212399999999997</v>
      </c>
      <c r="S3617">
        <v>-2.7908019999999998</v>
      </c>
      <c r="T3617">
        <v>0.2379627</v>
      </c>
      <c r="U3617">
        <v>-1.239655</v>
      </c>
      <c r="V3617">
        <v>0.23986089999999999</v>
      </c>
      <c r="W3617">
        <v>7.1706049999999993E-2</v>
      </c>
      <c r="X3617">
        <v>0.9681554</v>
      </c>
      <c r="Y3617">
        <v>0.41645589999999999</v>
      </c>
      <c r="Z3617">
        <v>-6.9643529999999995E-2</v>
      </c>
      <c r="AA3617">
        <v>0.90648459999999997</v>
      </c>
      <c r="AB3617">
        <v>36</v>
      </c>
      <c r="AC3617">
        <v>-77.032299999999907</v>
      </c>
      <c r="AD3617">
        <v>6.5889090000000001</v>
      </c>
      <c r="AE3617">
        <v>-34.055300000000003</v>
      </c>
      <c r="AF3617">
        <v>35.2333812298724</v>
      </c>
      <c r="AG3617">
        <v>6.5889090000000001</v>
      </c>
      <c r="AH3617">
        <v>75.936228025866797</v>
      </c>
      <c r="AI3617">
        <v>85.499571227855398</v>
      </c>
      <c r="AJ3617">
        <v>65.109338475828196</v>
      </c>
      <c r="AK3617">
        <v>83.970921166176595</v>
      </c>
      <c r="AL3617">
        <v>85.888016787264306</v>
      </c>
      <c r="AM3617">
        <v>76.085130574471094</v>
      </c>
      <c r="AN3617">
        <v>0.99999994375228396</v>
      </c>
    </row>
    <row r="3618" spans="1:40" x14ac:dyDescent="0.25">
      <c r="A3618" t="str">
        <f>"20190312151610464"</f>
        <v>20190312151610464</v>
      </c>
      <c r="B3618" t="str">
        <f>"1552374970462034"</f>
        <v>1552374970462034</v>
      </c>
      <c r="C3618" t="s">
        <v>40</v>
      </c>
      <c r="D3618">
        <v>4.8055339999999998</v>
      </c>
      <c r="E3618">
        <v>0.57623369999999996</v>
      </c>
      <c r="F3618" t="s">
        <v>60</v>
      </c>
      <c r="G3618">
        <v>-277.42630000000003</v>
      </c>
      <c r="H3618">
        <v>7.9449729999999903</v>
      </c>
      <c r="I3618">
        <v>117.964</v>
      </c>
      <c r="J3618">
        <v>-199.92869999999999</v>
      </c>
      <c r="K3618">
        <v>1.0992329999999999</v>
      </c>
      <c r="L3618">
        <v>151.43680000000001</v>
      </c>
      <c r="M3618">
        <v>-0.66385749999999999</v>
      </c>
      <c r="N3618">
        <v>0</v>
      </c>
      <c r="O3618">
        <v>-0.74780849999999999</v>
      </c>
      <c r="P3618">
        <v>-0.82087500000000002</v>
      </c>
      <c r="Q3618">
        <v>7.326394E-2</v>
      </c>
      <c r="R3618">
        <v>-0.56638920000000004</v>
      </c>
      <c r="S3618">
        <v>-2.8007810000000002</v>
      </c>
      <c r="T3618">
        <v>0.24698110000000001</v>
      </c>
      <c r="U3618">
        <v>-1.212982</v>
      </c>
      <c r="V3618">
        <v>0.24095349999999999</v>
      </c>
      <c r="W3618">
        <v>7.2058949999999997E-2</v>
      </c>
      <c r="X3618">
        <v>0.96785790000000005</v>
      </c>
      <c r="Y3618">
        <v>0.41933209999999999</v>
      </c>
      <c r="Z3618">
        <v>-7.216185E-2</v>
      </c>
      <c r="AA3618">
        <v>0.90496030000000005</v>
      </c>
      <c r="AB3618">
        <v>36</v>
      </c>
      <c r="AC3618">
        <v>-77.497600000000006</v>
      </c>
      <c r="AD3618">
        <v>6.8457399999999904</v>
      </c>
      <c r="AE3618">
        <v>-33.472799999999999</v>
      </c>
      <c r="AF3618">
        <v>35.500090242046497</v>
      </c>
      <c r="AG3618">
        <v>6.8457399999999904</v>
      </c>
      <c r="AH3618">
        <v>75.981827776885595</v>
      </c>
      <c r="AI3618">
        <v>85.333452818372805</v>
      </c>
      <c r="AJ3618">
        <v>64.957164252194204</v>
      </c>
      <c r="AK3618">
        <v>84.144867435021496</v>
      </c>
      <c r="AL3618">
        <v>85.867744888227406</v>
      </c>
      <c r="AM3618">
        <v>76.020098125201798</v>
      </c>
      <c r="AN3618">
        <v>0.99999999801488104</v>
      </c>
    </row>
    <row r="3619" spans="1:40" x14ac:dyDescent="0.25">
      <c r="A3619" t="str">
        <f>"20190312151610487"</f>
        <v>20190312151610487</v>
      </c>
      <c r="B3619" t="str">
        <f>"1552374970481554"</f>
        <v>1552374970481554</v>
      </c>
      <c r="C3619" t="s">
        <v>40</v>
      </c>
      <c r="D3619">
        <v>4.672123</v>
      </c>
      <c r="E3619">
        <v>0.57561689999999999</v>
      </c>
      <c r="F3619" t="s">
        <v>60</v>
      </c>
      <c r="G3619">
        <v>-277.42630000000003</v>
      </c>
      <c r="H3619">
        <v>7.9744409999999997</v>
      </c>
      <c r="I3619">
        <v>118.343</v>
      </c>
      <c r="J3619">
        <v>-200.17240000000001</v>
      </c>
      <c r="K3619">
        <v>1.100031</v>
      </c>
      <c r="L3619">
        <v>151.17339999999999</v>
      </c>
      <c r="M3619">
        <v>-0.67225190000000001</v>
      </c>
      <c r="N3619">
        <v>0</v>
      </c>
      <c r="O3619">
        <v>-0.7402801</v>
      </c>
      <c r="P3619">
        <v>-0.82878009999999902</v>
      </c>
      <c r="Q3619">
        <v>7.5395459999999997E-2</v>
      </c>
      <c r="R3619">
        <v>-0.55447190000000002</v>
      </c>
      <c r="S3619">
        <v>-2.8057400000000001</v>
      </c>
      <c r="T3619">
        <v>0.24891150000000001</v>
      </c>
      <c r="U3619">
        <v>-1.198135</v>
      </c>
      <c r="V3619">
        <v>0.2440669</v>
      </c>
      <c r="W3619">
        <v>7.2874099999999997E-2</v>
      </c>
      <c r="X3619">
        <v>0.9670164</v>
      </c>
      <c r="Y3619">
        <v>0.41370249999999997</v>
      </c>
      <c r="Z3619">
        <v>-7.2114800000000007E-2</v>
      </c>
      <c r="AA3619">
        <v>0.90755149999999996</v>
      </c>
      <c r="AB3619">
        <v>36</v>
      </c>
      <c r="AC3619">
        <v>-77.253900000000002</v>
      </c>
      <c r="AD3619">
        <v>6.8744100000000001</v>
      </c>
      <c r="AE3619">
        <v>-32.830399999999997</v>
      </c>
      <c r="AF3619">
        <v>34.886345405481002</v>
      </c>
      <c r="AG3619">
        <v>6.8744100000000001</v>
      </c>
      <c r="AH3619">
        <v>75.732229226062799</v>
      </c>
      <c r="AI3619">
        <v>85.286877744049903</v>
      </c>
      <c r="AJ3619">
        <v>65.266655780902994</v>
      </c>
      <c r="AK3619">
        <v>83.664121056445396</v>
      </c>
      <c r="AL3619">
        <v>85.820917131349702</v>
      </c>
      <c r="AM3619">
        <v>75.834856546195297</v>
      </c>
      <c r="AN3619">
        <v>1.00000000199768</v>
      </c>
    </row>
    <row r="3620" spans="1:40" x14ac:dyDescent="0.25">
      <c r="A3620" t="str">
        <f>"20190312151610502"</f>
        <v>20190312151610502</v>
      </c>
      <c r="B3620" t="str">
        <f>"1552374970491315"</f>
        <v>1552374970491315</v>
      </c>
      <c r="C3620" t="s">
        <v>40</v>
      </c>
      <c r="D3620">
        <v>4.6808139999999998</v>
      </c>
      <c r="E3620">
        <v>0.57526940000000004</v>
      </c>
      <c r="F3620" t="s">
        <v>60</v>
      </c>
      <c r="G3620">
        <v>-278.29719999999998</v>
      </c>
      <c r="H3620">
        <v>8.117991</v>
      </c>
      <c r="I3620">
        <v>118.99250000000001</v>
      </c>
      <c r="J3620">
        <v>-200.33420000000001</v>
      </c>
      <c r="K3620">
        <v>1.10057</v>
      </c>
      <c r="L3620">
        <v>151.0009</v>
      </c>
      <c r="M3620">
        <v>-0.67830290000000004</v>
      </c>
      <c r="N3620">
        <v>0</v>
      </c>
      <c r="O3620">
        <v>-0.73474139999999999</v>
      </c>
      <c r="P3620">
        <v>-0.83409730000000004</v>
      </c>
      <c r="Q3620">
        <v>7.7073669999999997E-2</v>
      </c>
      <c r="R3620">
        <v>-0.54620709999999995</v>
      </c>
      <c r="S3620">
        <v>-2.8197019999999999</v>
      </c>
      <c r="T3620">
        <v>0.25329400000000002</v>
      </c>
      <c r="U3620">
        <v>-1.161484</v>
      </c>
      <c r="V3620">
        <v>0.24582870000000001</v>
      </c>
      <c r="W3620">
        <v>7.3916979999999993E-2</v>
      </c>
      <c r="X3620">
        <v>0.96649090000000004</v>
      </c>
      <c r="Y3620">
        <v>0.41779159999999999</v>
      </c>
      <c r="Z3620">
        <v>-7.3193339999999996E-2</v>
      </c>
      <c r="AA3620">
        <v>0.9055898</v>
      </c>
      <c r="AB3620">
        <v>36</v>
      </c>
      <c r="AC3620">
        <v>-77.962999999999894</v>
      </c>
      <c r="AD3620">
        <v>7.0174209999999997</v>
      </c>
      <c r="AE3620">
        <v>-32.008399999999902</v>
      </c>
      <c r="AF3620">
        <v>35.327396484531398</v>
      </c>
      <c r="AG3620">
        <v>7.0174209999999997</v>
      </c>
      <c r="AH3620">
        <v>75.876666770684494</v>
      </c>
      <c r="AI3620">
        <v>85.207386035219201</v>
      </c>
      <c r="AJ3620">
        <v>65.033796903102697</v>
      </c>
      <c r="AK3620">
        <v>83.991295382890897</v>
      </c>
      <c r="AL3620">
        <v>85.761003178541102</v>
      </c>
      <c r="AM3620">
        <v>75.729325166027294</v>
      </c>
      <c r="AN3620">
        <v>1.0000000647294001</v>
      </c>
    </row>
    <row r="3621" spans="1:40" x14ac:dyDescent="0.25">
      <c r="A3621" t="str">
        <f>"20190312151610522"</f>
        <v>20190312151610522</v>
      </c>
      <c r="B3621" t="str">
        <f>"1552374970511810"</f>
        <v>1552374970511810</v>
      </c>
      <c r="C3621" t="s">
        <v>40</v>
      </c>
      <c r="D3621">
        <v>4.7499120000000001</v>
      </c>
      <c r="E3621">
        <v>0.57460500000000003</v>
      </c>
      <c r="F3621" t="s">
        <v>57</v>
      </c>
      <c r="G3621">
        <v>-321.45479999999998</v>
      </c>
      <c r="H3621">
        <v>12.14198</v>
      </c>
      <c r="I3621">
        <v>102.38</v>
      </c>
      <c r="J3621">
        <v>-200.5532</v>
      </c>
      <c r="K3621">
        <v>1.101091</v>
      </c>
      <c r="L3621">
        <v>150.77070000000001</v>
      </c>
      <c r="M3621">
        <v>-0.68657579999999996</v>
      </c>
      <c r="N3621">
        <v>0</v>
      </c>
      <c r="O3621">
        <v>-0.72701579999999999</v>
      </c>
      <c r="P3621">
        <v>-0.8419778</v>
      </c>
      <c r="Q3621">
        <v>7.9452709999999996E-2</v>
      </c>
      <c r="R3621">
        <v>-0.53363000000000005</v>
      </c>
      <c r="S3621">
        <v>-2.8291629999999999</v>
      </c>
      <c r="T3621">
        <v>0.25790790000000002</v>
      </c>
      <c r="U3621">
        <v>-1.13569599999999</v>
      </c>
      <c r="V3621">
        <v>0.24959129999999999</v>
      </c>
      <c r="W3621">
        <v>7.5375830000000005E-2</v>
      </c>
      <c r="X3621">
        <v>0.96541319999999997</v>
      </c>
      <c r="Y3621">
        <v>0.41557440000000001</v>
      </c>
      <c r="Z3621">
        <v>-7.3971780000000001E-2</v>
      </c>
      <c r="AA3621">
        <v>0.90654619999999997</v>
      </c>
      <c r="AB3621">
        <v>36</v>
      </c>
      <c r="AC3621">
        <v>-120.90159999999899</v>
      </c>
      <c r="AD3621">
        <v>11.040889</v>
      </c>
      <c r="AE3621">
        <v>-48.390700000000002</v>
      </c>
      <c r="AF3621">
        <v>54.284973080260599</v>
      </c>
      <c r="AG3621">
        <v>11.040889</v>
      </c>
      <c r="AH3621">
        <v>117.349050685015</v>
      </c>
      <c r="AI3621">
        <v>85.119248601148001</v>
      </c>
      <c r="AJ3621">
        <v>65.175019524622698</v>
      </c>
      <c r="AK3621">
        <v>129.76732727813001</v>
      </c>
      <c r="AL3621">
        <v>85.677183051982297</v>
      </c>
      <c r="AM3621">
        <v>75.504535417373901</v>
      </c>
      <c r="AN3621">
        <v>0.99999998975905902</v>
      </c>
    </row>
    <row r="3622" spans="1:40" x14ac:dyDescent="0.25">
      <c r="A3622" t="str">
        <f>"20190312151610544"</f>
        <v>20190312151610544</v>
      </c>
      <c r="B3622" t="str">
        <f>"1552374970531330"</f>
        <v>1552374970531330</v>
      </c>
      <c r="C3622" t="s">
        <v>40</v>
      </c>
      <c r="D3622">
        <v>4.6430910000000001</v>
      </c>
      <c r="E3622">
        <v>0.57423250000000003</v>
      </c>
      <c r="F3622" t="s">
        <v>57</v>
      </c>
      <c r="G3622">
        <v>-321.45490000000001</v>
      </c>
      <c r="H3622">
        <v>12.37861</v>
      </c>
      <c r="I3622">
        <v>104.07940000000001</v>
      </c>
      <c r="J3622">
        <v>-200.79929999999999</v>
      </c>
      <c r="K3622">
        <v>1.1013740000000001</v>
      </c>
      <c r="L3622">
        <v>150.51730000000001</v>
      </c>
      <c r="M3622">
        <v>-0.69535599999999997</v>
      </c>
      <c r="N3622">
        <v>0</v>
      </c>
      <c r="O3622">
        <v>-0.71862000000000004</v>
      </c>
      <c r="P3622">
        <v>-0.84966140000000001</v>
      </c>
      <c r="Q3622">
        <v>8.1941520000000004E-2</v>
      </c>
      <c r="R3622">
        <v>-0.52092349999999998</v>
      </c>
      <c r="S3622">
        <v>-2.8423310000000002</v>
      </c>
      <c r="T3622">
        <v>0.26512829999999998</v>
      </c>
      <c r="U3622">
        <v>-1.0976870000000001</v>
      </c>
      <c r="V3622">
        <v>0.25269190000000002</v>
      </c>
      <c r="W3622">
        <v>7.6726610000000001E-2</v>
      </c>
      <c r="X3622">
        <v>0.96449980000000002</v>
      </c>
      <c r="Y3622">
        <v>0.41631790000000002</v>
      </c>
      <c r="Z3622">
        <v>-7.5539239999999994E-2</v>
      </c>
      <c r="AA3622">
        <v>0.90607579999999999</v>
      </c>
      <c r="AB3622">
        <v>36</v>
      </c>
      <c r="AC3622">
        <v>-120.65560000000001</v>
      </c>
      <c r="AD3622">
        <v>11.277236</v>
      </c>
      <c r="AE3622">
        <v>-46.437899999999999</v>
      </c>
      <c r="AF3622">
        <v>54.005513147056803</v>
      </c>
      <c r="AG3622">
        <v>11.277236</v>
      </c>
      <c r="AH3622">
        <v>116.38805190636999</v>
      </c>
      <c r="AI3622">
        <v>84.977046009096497</v>
      </c>
      <c r="AJ3622">
        <v>65.108109662814599</v>
      </c>
      <c r="AK3622">
        <v>128.80198029780601</v>
      </c>
      <c r="AL3622">
        <v>85.599564379650204</v>
      </c>
      <c r="AM3622">
        <v>75.318892282859693</v>
      </c>
      <c r="AN3622">
        <v>1.0000000166038701</v>
      </c>
    </row>
    <row r="3623" spans="1:40" x14ac:dyDescent="0.25">
      <c r="A3623" t="str">
        <f>"20190312151610565"</f>
        <v>20190312151610565</v>
      </c>
      <c r="B3623" t="str">
        <f>"1552374970561586"</f>
        <v>1552374970561586</v>
      </c>
      <c r="C3623" t="s">
        <v>40</v>
      </c>
      <c r="D3623">
        <v>4.5269779999999997</v>
      </c>
      <c r="E3623">
        <v>0.57350809999999997</v>
      </c>
      <c r="F3623" t="s">
        <v>57</v>
      </c>
      <c r="G3623">
        <v>-320.47219999999999</v>
      </c>
      <c r="H3623">
        <v>12.590579999999999</v>
      </c>
      <c r="I3623">
        <v>106.2124</v>
      </c>
      <c r="J3623">
        <v>-201.04900000000001</v>
      </c>
      <c r="K3623">
        <v>1.1016360000000001</v>
      </c>
      <c r="L3623">
        <v>150.26650000000001</v>
      </c>
      <c r="M3623">
        <v>-0.70357159999999996</v>
      </c>
      <c r="N3623">
        <v>0</v>
      </c>
      <c r="O3623">
        <v>-0.71057519999999996</v>
      </c>
      <c r="P3623">
        <v>-0.85636000000000001</v>
      </c>
      <c r="Q3623">
        <v>8.3946779999999999E-2</v>
      </c>
      <c r="R3623">
        <v>-0.50950989999999996</v>
      </c>
      <c r="S3623">
        <v>-2.8560940000000001</v>
      </c>
      <c r="T3623">
        <v>0.27419969999999999</v>
      </c>
      <c r="U3623">
        <v>-1.0573729999999999</v>
      </c>
      <c r="V3623">
        <v>0.25487650000000001</v>
      </c>
      <c r="W3623">
        <v>7.7609449999999996E-2</v>
      </c>
      <c r="X3623">
        <v>0.96385410000000005</v>
      </c>
      <c r="Y3623">
        <v>0.41830479999999998</v>
      </c>
      <c r="Z3623">
        <v>-7.7659149999999996E-2</v>
      </c>
      <c r="AA3623">
        <v>0.90498069999999997</v>
      </c>
      <c r="AB3623">
        <v>36</v>
      </c>
      <c r="AC3623">
        <v>-119.423199999999</v>
      </c>
      <c r="AD3623">
        <v>11.488944</v>
      </c>
      <c r="AE3623">
        <v>-44.054099999999998</v>
      </c>
      <c r="AF3623">
        <v>53.4305581694666</v>
      </c>
      <c r="AG3623">
        <v>11.488944</v>
      </c>
      <c r="AH3623">
        <v>114.398599011466</v>
      </c>
      <c r="AI3623">
        <v>84.800772194435396</v>
      </c>
      <c r="AJ3623">
        <v>64.964788822375596</v>
      </c>
      <c r="AK3623">
        <v>126.782726884707</v>
      </c>
      <c r="AL3623">
        <v>85.5488299765167</v>
      </c>
      <c r="AM3623">
        <v>75.188039510697493</v>
      </c>
      <c r="AN3623">
        <v>0.99999999153418095</v>
      </c>
    </row>
    <row r="3624" spans="1:40" x14ac:dyDescent="0.25">
      <c r="A3624" t="str">
        <f>"20190312151610587"</f>
        <v>20190312151610587</v>
      </c>
      <c r="B3624" t="str">
        <f>"1552374970581726"</f>
        <v>1552374970581726</v>
      </c>
      <c r="C3624" t="s">
        <v>40</v>
      </c>
      <c r="D3624">
        <v>4.5508610000000003</v>
      </c>
      <c r="E3624">
        <v>0.57268109999999905</v>
      </c>
      <c r="F3624" t="s">
        <v>57</v>
      </c>
      <c r="G3624">
        <v>-320.47219999999999</v>
      </c>
      <c r="H3624">
        <v>12.678800000000001</v>
      </c>
      <c r="I3624">
        <v>107.611</v>
      </c>
      <c r="J3624">
        <v>-201.2988</v>
      </c>
      <c r="K3624">
        <v>1.1020890000000001</v>
      </c>
      <c r="L3624">
        <v>150.02199999999999</v>
      </c>
      <c r="M3624">
        <v>-0.71133919999999995</v>
      </c>
      <c r="N3624">
        <v>0</v>
      </c>
      <c r="O3624">
        <v>-0.70279539999999996</v>
      </c>
      <c r="P3624">
        <v>-0.86242160000000001</v>
      </c>
      <c r="Q3624">
        <v>8.5008070000000005E-2</v>
      </c>
      <c r="R3624">
        <v>-0.4990019</v>
      </c>
      <c r="S3624">
        <v>-2.8667449999999999</v>
      </c>
      <c r="T3624">
        <v>0.27790900000000002</v>
      </c>
      <c r="U3624">
        <v>-1.023941</v>
      </c>
      <c r="V3624">
        <v>0.25642110000000001</v>
      </c>
      <c r="W3624">
        <v>7.7743019999999996E-2</v>
      </c>
      <c r="X3624">
        <v>0.9634336</v>
      </c>
      <c r="Y3624">
        <v>0.41866730000000002</v>
      </c>
      <c r="Z3624">
        <v>-7.8203090000000003E-2</v>
      </c>
      <c r="AA3624">
        <v>0.90476630000000002</v>
      </c>
      <c r="AB3624">
        <v>36</v>
      </c>
      <c r="AC3624">
        <v>-119.1734</v>
      </c>
      <c r="AD3624">
        <v>11.576711</v>
      </c>
      <c r="AE3624">
        <v>-42.411000000000001</v>
      </c>
      <c r="AF3624">
        <v>53.142813923018402</v>
      </c>
      <c r="AG3624">
        <v>11.576711</v>
      </c>
      <c r="AH3624">
        <v>113.631524595995</v>
      </c>
      <c r="AI3624">
        <v>84.727356901466806</v>
      </c>
      <c r="AJ3624">
        <v>64.935604443300804</v>
      </c>
      <c r="AK3624">
        <v>125.977388015644</v>
      </c>
      <c r="AL3624">
        <v>85.541153956900104</v>
      </c>
      <c r="AM3624">
        <v>75.096043515582906</v>
      </c>
      <c r="AN3624">
        <v>1.00000002964644</v>
      </c>
    </row>
    <row r="3625" spans="1:40" x14ac:dyDescent="0.25">
      <c r="A3625" t="str">
        <f>"20190312151610609"</f>
        <v>20190312151610609</v>
      </c>
      <c r="B3625" t="str">
        <f>"1552374970601245"</f>
        <v>1552374970601245</v>
      </c>
      <c r="C3625" t="s">
        <v>40</v>
      </c>
      <c r="D3625">
        <v>4.3396150000000002</v>
      </c>
      <c r="E3625">
        <v>0.57183149999999905</v>
      </c>
      <c r="F3625" t="s">
        <v>57</v>
      </c>
      <c r="G3625">
        <v>-322.17570000000001</v>
      </c>
      <c r="H3625">
        <v>12.964829999999999</v>
      </c>
      <c r="I3625">
        <v>108.21299999999999</v>
      </c>
      <c r="J3625">
        <v>-201.55879999999999</v>
      </c>
      <c r="K3625">
        <v>1.1028180000000001</v>
      </c>
      <c r="L3625">
        <v>149.774</v>
      </c>
      <c r="M3625">
        <v>-0.71921630000000003</v>
      </c>
      <c r="N3625">
        <v>0</v>
      </c>
      <c r="O3625">
        <v>-0.69472780000000001</v>
      </c>
      <c r="P3625">
        <v>-0.86804840000000005</v>
      </c>
      <c r="Q3625">
        <v>8.5398390000000005E-2</v>
      </c>
      <c r="R3625">
        <v>-0.48908020000000002</v>
      </c>
      <c r="S3625">
        <v>-2.8753359999999999</v>
      </c>
      <c r="T3625">
        <v>0.28218259999999901</v>
      </c>
      <c r="U3625">
        <v>-0.99452209999999996</v>
      </c>
      <c r="V3625">
        <v>0.25691829999999999</v>
      </c>
      <c r="W3625">
        <v>7.7478720000000001E-2</v>
      </c>
      <c r="X3625">
        <v>0.96332240000000002</v>
      </c>
      <c r="Y3625">
        <v>0.4174426</v>
      </c>
      <c r="Z3625">
        <v>-7.8810859999999996E-2</v>
      </c>
      <c r="AA3625">
        <v>0.90527930000000001</v>
      </c>
      <c r="AB3625">
        <v>36</v>
      </c>
      <c r="AC3625">
        <v>-120.6169</v>
      </c>
      <c r="AD3625">
        <v>11.862012</v>
      </c>
      <c r="AE3625">
        <v>-41.561</v>
      </c>
      <c r="AF3625">
        <v>53.444712690575898</v>
      </c>
      <c r="AG3625">
        <v>11.862012</v>
      </c>
      <c r="AH3625">
        <v>114.63685721753799</v>
      </c>
      <c r="AI3625">
        <v>84.642274675123602</v>
      </c>
      <c r="AJ3625">
        <v>65.004652246356699</v>
      </c>
      <c r="AK3625">
        <v>127.038000913036</v>
      </c>
      <c r="AL3625">
        <v>85.556342938535096</v>
      </c>
      <c r="AM3625">
        <v>75.066787783454203</v>
      </c>
      <c r="AN3625">
        <v>1.00000000563474</v>
      </c>
    </row>
    <row r="3626" spans="1:40" x14ac:dyDescent="0.25">
      <c r="A3626" t="str">
        <f>"20190312151610631"</f>
        <v>20190312151610631</v>
      </c>
      <c r="B3626" t="str">
        <f>"1552374970621745"</f>
        <v>1552374970621745</v>
      </c>
      <c r="C3626" t="s">
        <v>40</v>
      </c>
      <c r="D3626">
        <v>5.2235259999999997</v>
      </c>
      <c r="E3626">
        <v>0.57102790000000003</v>
      </c>
      <c r="F3626" t="s">
        <v>57</v>
      </c>
      <c r="G3626">
        <v>-323.02569999999997</v>
      </c>
      <c r="H3626">
        <v>13.06217</v>
      </c>
      <c r="I3626">
        <v>109.01560000000001</v>
      </c>
      <c r="J3626">
        <v>-201.81710000000001</v>
      </c>
      <c r="K3626">
        <v>1.1037349999999999</v>
      </c>
      <c r="L3626">
        <v>149.53399999999999</v>
      </c>
      <c r="M3626">
        <v>-0.72695180000000004</v>
      </c>
      <c r="N3626">
        <v>0</v>
      </c>
      <c r="O3626">
        <v>-0.68662460000000003</v>
      </c>
      <c r="P3626">
        <v>-0.87367459999999997</v>
      </c>
      <c r="Q3626">
        <v>8.6136679999999993E-2</v>
      </c>
      <c r="R3626">
        <v>-0.4788251</v>
      </c>
      <c r="S3626">
        <v>-2.883041</v>
      </c>
      <c r="T3626">
        <v>0.28385759999999899</v>
      </c>
      <c r="U3626">
        <v>-0.96740720000000002</v>
      </c>
      <c r="V3626">
        <v>0.25771749999999999</v>
      </c>
      <c r="W3626">
        <v>7.7782500000000004E-2</v>
      </c>
      <c r="X3626">
        <v>0.96308439999999995</v>
      </c>
      <c r="Y3626">
        <v>0.41563450000000002</v>
      </c>
      <c r="Z3626">
        <v>-7.8648560000000006E-2</v>
      </c>
      <c r="AA3626">
        <v>0.90612490000000001</v>
      </c>
      <c r="AB3626">
        <v>36</v>
      </c>
      <c r="AC3626">
        <v>-121.208599999999</v>
      </c>
      <c r="AD3626">
        <v>11.958435</v>
      </c>
      <c r="AE3626">
        <v>-40.5183999999999</v>
      </c>
      <c r="AF3626">
        <v>53.305530792993999</v>
      </c>
      <c r="AG3626">
        <v>11.958435</v>
      </c>
      <c r="AH3626">
        <v>114.932546753677</v>
      </c>
      <c r="AI3626">
        <v>84.607855437432505</v>
      </c>
      <c r="AJ3626">
        <v>65.118205351273801</v>
      </c>
      <c r="AK3626">
        <v>127.255546378372</v>
      </c>
      <c r="AL3626">
        <v>85.538884891170298</v>
      </c>
      <c r="AM3626">
        <v>75.018884355849295</v>
      </c>
      <c r="AN3626">
        <v>0.99999999431792996</v>
      </c>
    </row>
    <row r="3627" spans="1:40" x14ac:dyDescent="0.25">
      <c r="A3627" t="str">
        <f>"20190312151610654"</f>
        <v>20190312151610654</v>
      </c>
      <c r="B3627" t="str">
        <f>"1552374970651022"</f>
        <v>1552374970651022</v>
      </c>
      <c r="C3627" t="s">
        <v>40</v>
      </c>
      <c r="D3627">
        <v>4.4770349999999999</v>
      </c>
      <c r="E3627">
        <v>0.58039209999999997</v>
      </c>
      <c r="F3627" t="s">
        <v>57</v>
      </c>
      <c r="G3627">
        <v>-323.93090000000001</v>
      </c>
      <c r="H3627">
        <v>13.195650000000001</v>
      </c>
      <c r="I3627">
        <v>109.8703</v>
      </c>
      <c r="J3627">
        <v>-202.0942</v>
      </c>
      <c r="K3627">
        <v>1.104784</v>
      </c>
      <c r="L3627">
        <v>149.2835</v>
      </c>
      <c r="M3627">
        <v>-0.73485800000000001</v>
      </c>
      <c r="N3627">
        <v>0</v>
      </c>
      <c r="O3627">
        <v>-0.67815209999999904</v>
      </c>
      <c r="P3627">
        <v>-0.87952419999999998</v>
      </c>
      <c r="Q3627">
        <v>8.623749E-2</v>
      </c>
      <c r="R3627">
        <v>-0.46797490000000003</v>
      </c>
      <c r="S3627">
        <v>-2.8909150000000001</v>
      </c>
      <c r="T3627">
        <v>0.2862633</v>
      </c>
      <c r="U3627">
        <v>-0.93899540000000004</v>
      </c>
      <c r="V3627">
        <v>0.25867960000000001</v>
      </c>
      <c r="W3627">
        <v>7.7500120000000006E-2</v>
      </c>
      <c r="X3627">
        <v>0.96284919999999996</v>
      </c>
      <c r="Y3627">
        <v>0.41384569999999998</v>
      </c>
      <c r="Z3627">
        <v>-7.8645660000000006E-2</v>
      </c>
      <c r="AA3627">
        <v>0.90694359999999996</v>
      </c>
      <c r="AB3627">
        <v>36</v>
      </c>
      <c r="AC3627">
        <v>-121.83669999999999</v>
      </c>
      <c r="AD3627">
        <v>12.090866</v>
      </c>
      <c r="AE3627">
        <v>-39.413200000000003</v>
      </c>
      <c r="AF3627">
        <v>53.1890210446876</v>
      </c>
      <c r="AG3627">
        <v>12.090866</v>
      </c>
      <c r="AH3627">
        <v>115.238863860319</v>
      </c>
      <c r="AI3627">
        <v>84.558279386679501</v>
      </c>
      <c r="AJ3627">
        <v>65.224099883818496</v>
      </c>
      <c r="AK3627">
        <v>127.49610481947801</v>
      </c>
      <c r="AL3627">
        <v>85.555113054703497</v>
      </c>
      <c r="AM3627">
        <v>74.9619789927048</v>
      </c>
      <c r="AN3627">
        <v>0.99999999299840703</v>
      </c>
    </row>
    <row r="3628" spans="1:40" x14ac:dyDescent="0.25">
      <c r="A3628" t="str">
        <f>"20190312151610679"</f>
        <v>20190312151610679</v>
      </c>
      <c r="B3628" t="str">
        <f>"1552374970671517"</f>
        <v>1552374970671517</v>
      </c>
      <c r="C3628" t="s">
        <v>40</v>
      </c>
      <c r="D3628">
        <v>4.7203989999999996</v>
      </c>
      <c r="E3628">
        <v>0.59876719999999894</v>
      </c>
      <c r="F3628" t="s">
        <v>43</v>
      </c>
      <c r="G3628">
        <v>-216.02070000000001</v>
      </c>
      <c r="H3628" s="1">
        <v>-3.418012E-6</v>
      </c>
      <c r="I3628">
        <v>145.46619999999999</v>
      </c>
      <c r="J3628">
        <v>-202.40049999999999</v>
      </c>
      <c r="K3628">
        <v>1.1060749999999999</v>
      </c>
      <c r="L3628">
        <v>149.01509999999999</v>
      </c>
      <c r="M3628">
        <v>-0.74310869999999996</v>
      </c>
      <c r="N3628">
        <v>0</v>
      </c>
      <c r="O3628">
        <v>-0.66909410000000002</v>
      </c>
      <c r="P3628">
        <v>-0.88560899999999998</v>
      </c>
      <c r="Q3628">
        <v>8.5037740000000001E-2</v>
      </c>
      <c r="R3628">
        <v>-0.45658019999999999</v>
      </c>
      <c r="S3628">
        <v>-2.997131</v>
      </c>
      <c r="T3628">
        <v>-0.237761</v>
      </c>
      <c r="U3628">
        <v>-0.82153319999999996</v>
      </c>
      <c r="V3628">
        <v>0.25945990000000002</v>
      </c>
      <c r="W3628">
        <v>7.6274919999999996E-2</v>
      </c>
      <c r="X3628">
        <v>0.96273710000000001</v>
      </c>
      <c r="Y3628">
        <v>0.44603140000000002</v>
      </c>
      <c r="Z3628">
        <v>6.4461669999999999E-2</v>
      </c>
      <c r="AA3628">
        <v>0.89269299999999996</v>
      </c>
      <c r="AB3628">
        <v>36</v>
      </c>
      <c r="AC3628">
        <v>-13.620200000000001</v>
      </c>
      <c r="AD3628">
        <v>-1.106078418012</v>
      </c>
      <c r="AE3628">
        <v>-3.5489000000000002</v>
      </c>
      <c r="AF3628">
        <v>6.4365596040783704</v>
      </c>
      <c r="AG3628">
        <v>-1.106078418012</v>
      </c>
      <c r="AH3628">
        <v>12.419778635252801</v>
      </c>
      <c r="AI3628">
        <v>94.520978779779</v>
      </c>
      <c r="AJ3628">
        <v>62.604517002612198</v>
      </c>
      <c r="AK3628">
        <v>14.032234688471</v>
      </c>
      <c r="AL3628">
        <v>85.625520359601197</v>
      </c>
      <c r="AM3628">
        <v>74.917004672378297</v>
      </c>
      <c r="AN3628">
        <v>1.0000000134227101</v>
      </c>
    </row>
    <row r="3629" spans="1:40" x14ac:dyDescent="0.25">
      <c r="A3629" t="str">
        <f>"20190312151610697"</f>
        <v>20190312151610697</v>
      </c>
      <c r="B3629" t="str">
        <f>"1552374970691885"</f>
        <v>1552374970691885</v>
      </c>
      <c r="C3629" t="s">
        <v>40</v>
      </c>
      <c r="D3629">
        <v>4.5897920000000001</v>
      </c>
      <c r="E3629">
        <v>0.59987869999999999</v>
      </c>
      <c r="F3629" t="s">
        <v>41</v>
      </c>
      <c r="G3629">
        <v>-203.24260000000001</v>
      </c>
      <c r="H3629">
        <v>1.2105170000000001</v>
      </c>
      <c r="I3629">
        <v>148.827</v>
      </c>
      <c r="J3629">
        <v>-202.6354</v>
      </c>
      <c r="K3629">
        <v>1.1071390000000001</v>
      </c>
      <c r="L3629">
        <v>148.8141</v>
      </c>
      <c r="M3629">
        <v>-0.74933000000000005</v>
      </c>
      <c r="N3629">
        <v>0</v>
      </c>
      <c r="O3629">
        <v>-0.66211160000000002</v>
      </c>
      <c r="P3629">
        <v>-0.89021329999999999</v>
      </c>
      <c r="Q3629">
        <v>8.3385479999999998E-2</v>
      </c>
      <c r="R3629">
        <v>-0.4478473</v>
      </c>
      <c r="S3629">
        <v>-3.00563</v>
      </c>
      <c r="T3629">
        <v>0.37274489999999999</v>
      </c>
      <c r="U3629">
        <v>-0.67131039999999997</v>
      </c>
      <c r="V3629">
        <v>0.25998510000000002</v>
      </c>
      <c r="W3629">
        <v>7.4896069999999995E-2</v>
      </c>
      <c r="X3629">
        <v>0.96270359999999999</v>
      </c>
      <c r="Y3629">
        <v>0.47554750000000001</v>
      </c>
      <c r="Z3629">
        <v>-0.1026521</v>
      </c>
      <c r="AA3629">
        <v>0.87368020000000002</v>
      </c>
      <c r="AB3629">
        <v>36</v>
      </c>
      <c r="AC3629">
        <v>-0.60720000000000596</v>
      </c>
      <c r="AD3629">
        <v>0.103378</v>
      </c>
      <c r="AE3629">
        <v>1.29000000000019E-2</v>
      </c>
      <c r="AF3629">
        <v>0.40013066491453297</v>
      </c>
      <c r="AG3629">
        <v>0.103378</v>
      </c>
      <c r="AH3629">
        <v>0.43390547556868703</v>
      </c>
      <c r="AI3629">
        <v>80.065588235683506</v>
      </c>
      <c r="AJ3629">
        <v>47.318961053837697</v>
      </c>
      <c r="AK3629">
        <v>0.59922076200465102</v>
      </c>
      <c r="AL3629">
        <v>85.704749015048193</v>
      </c>
      <c r="AM3629">
        <v>74.887366882671103</v>
      </c>
      <c r="AN3629">
        <v>0.99999994748820598</v>
      </c>
    </row>
    <row r="3630" spans="1:40" x14ac:dyDescent="0.25">
      <c r="A3630" t="str">
        <f>"20190312151610722"</f>
        <v>20190312151610722</v>
      </c>
      <c r="B3630" t="str">
        <f>"1552374970711404"</f>
        <v>1552374970711404</v>
      </c>
      <c r="C3630" t="s">
        <v>40</v>
      </c>
      <c r="D3630">
        <v>4.4997129999999999</v>
      </c>
      <c r="E3630">
        <v>0.60531820000000003</v>
      </c>
      <c r="F3630" t="s">
        <v>41</v>
      </c>
      <c r="G3630">
        <v>-203.41149999999999</v>
      </c>
      <c r="H3630">
        <v>1.217441</v>
      </c>
      <c r="I3630">
        <v>148.65010000000001</v>
      </c>
      <c r="J3630">
        <v>-202.9315</v>
      </c>
      <c r="K3630">
        <v>1.1085020000000001</v>
      </c>
      <c r="L3630">
        <v>148.56710000000001</v>
      </c>
      <c r="M3630">
        <v>-0.75720269999999901</v>
      </c>
      <c r="N3630">
        <v>0</v>
      </c>
      <c r="O3630">
        <v>-0.65308149999999998</v>
      </c>
      <c r="P3630">
        <v>-0.89504050000000002</v>
      </c>
      <c r="Q3630">
        <v>8.2552109999999998E-2</v>
      </c>
      <c r="R3630">
        <v>-0.43827820000000001</v>
      </c>
      <c r="S3630">
        <v>-3.0099640000000001</v>
      </c>
      <c r="T3630">
        <v>0.42782039999999999</v>
      </c>
      <c r="U3630">
        <v>-0.63597109999999901</v>
      </c>
      <c r="V3630">
        <v>0.25881769999999998</v>
      </c>
      <c r="W3630">
        <v>7.4855169999999999E-2</v>
      </c>
      <c r="X3630">
        <v>0.96302129999999997</v>
      </c>
      <c r="Y3630">
        <v>0.4728501</v>
      </c>
      <c r="Z3630">
        <v>-0.1166498</v>
      </c>
      <c r="AA3630">
        <v>0.87338749999999998</v>
      </c>
      <c r="AB3630">
        <v>36</v>
      </c>
      <c r="AC3630">
        <v>-0.47999999999998899</v>
      </c>
      <c r="AD3630">
        <v>0.10893899999999899</v>
      </c>
      <c r="AE3630">
        <v>8.2999999999998395E-2</v>
      </c>
      <c r="AF3630">
        <v>0.35842498217553198</v>
      </c>
      <c r="AG3630">
        <v>0.10893899999999899</v>
      </c>
      <c r="AH3630">
        <v>0.29454036285052598</v>
      </c>
      <c r="AI3630">
        <v>76.785091408856502</v>
      </c>
      <c r="AJ3630">
        <v>39.4120976791827</v>
      </c>
      <c r="AK3630">
        <v>0.476539818815438</v>
      </c>
      <c r="AL3630">
        <v>85.707099068591802</v>
      </c>
      <c r="AM3630">
        <v>74.956881550130404</v>
      </c>
      <c r="AN3630">
        <v>0.99999996128135304</v>
      </c>
    </row>
    <row r="3631" spans="1:40" x14ac:dyDescent="0.25">
      <c r="A3631" t="str">
        <f>"20190312151610744"</f>
        <v>20190312151610744</v>
      </c>
      <c r="B3631" t="str">
        <f>"1552374970741660"</f>
        <v>1552374970741660</v>
      </c>
      <c r="C3631" t="s">
        <v>40</v>
      </c>
      <c r="D3631">
        <v>4.5455199999999998</v>
      </c>
      <c r="E3631">
        <v>0.60443840000000004</v>
      </c>
      <c r="F3631" t="s">
        <v>43</v>
      </c>
      <c r="G3631">
        <v>-233.13720000000001</v>
      </c>
      <c r="H3631" s="1">
        <v>-3.8539849999999997E-6</v>
      </c>
      <c r="I3631">
        <v>143.25559999999999</v>
      </c>
      <c r="J3631">
        <v>-203.20910000000001</v>
      </c>
      <c r="K3631">
        <v>1.1096790000000001</v>
      </c>
      <c r="L3631">
        <v>148.34129999999999</v>
      </c>
      <c r="M3631">
        <v>-0.7646347</v>
      </c>
      <c r="N3631">
        <v>0</v>
      </c>
      <c r="O3631">
        <v>-0.64434969999999903</v>
      </c>
      <c r="P3631">
        <v>-0.89979120000000001</v>
      </c>
      <c r="Q3631">
        <v>8.1908770000000006E-2</v>
      </c>
      <c r="R3631">
        <v>-0.428564</v>
      </c>
      <c r="S3631">
        <v>-3.0957180000000002</v>
      </c>
      <c r="T3631">
        <v>-0.1136085</v>
      </c>
      <c r="U3631">
        <v>-0.54435730000000004</v>
      </c>
      <c r="V3631">
        <v>0.25821719999999998</v>
      </c>
      <c r="W3631">
        <v>7.5126199999999893E-2</v>
      </c>
      <c r="X3631">
        <v>0.96316139999999995</v>
      </c>
      <c r="Y3631">
        <v>0.50155430000000001</v>
      </c>
      <c r="Z3631">
        <v>3.0712440000000001E-2</v>
      </c>
      <c r="AA3631">
        <v>0.86458089999999999</v>
      </c>
      <c r="AB3631">
        <v>36</v>
      </c>
      <c r="AC3631">
        <v>-29.928100000000001</v>
      </c>
      <c r="AD3631">
        <v>-1.1096828539849899</v>
      </c>
      <c r="AE3631">
        <v>-5.0857000000000001</v>
      </c>
      <c r="AF3631">
        <v>15.376047398362701</v>
      </c>
      <c r="AG3631">
        <v>-1.1096828539849899</v>
      </c>
      <c r="AH3631">
        <v>26.128046537755701</v>
      </c>
      <c r="AI3631">
        <v>92.096268163750693</v>
      </c>
      <c r="AJ3631">
        <v>59.5236903552426</v>
      </c>
      <c r="AK3631">
        <v>30.336925445935599</v>
      </c>
      <c r="AL3631">
        <v>85.691526404514207</v>
      </c>
      <c r="AM3631">
        <v>74.992292077765399</v>
      </c>
      <c r="AN3631">
        <v>0.99999997537611895</v>
      </c>
    </row>
    <row r="3632" spans="1:40" x14ac:dyDescent="0.25">
      <c r="A3632" t="str">
        <f>"20190312151610766"</f>
        <v>20190312151610766</v>
      </c>
      <c r="B3632" t="str">
        <f>"1552374970761180"</f>
        <v>1552374970761180</v>
      </c>
      <c r="C3632" t="s">
        <v>40</v>
      </c>
      <c r="D3632">
        <v>4.496346</v>
      </c>
      <c r="E3632">
        <v>0.59892040000000002</v>
      </c>
      <c r="F3632" t="s">
        <v>43</v>
      </c>
      <c r="G3632">
        <v>-227.63149999999999</v>
      </c>
      <c r="H3632" s="1">
        <v>-2.2365710000000002E-6</v>
      </c>
      <c r="I3632">
        <v>144.2697</v>
      </c>
      <c r="J3632">
        <v>-203.47819999999999</v>
      </c>
      <c r="K3632">
        <v>1.1106609999999999</v>
      </c>
      <c r="L3632">
        <v>148.1277</v>
      </c>
      <c r="M3632">
        <v>-0.77184719999999996</v>
      </c>
      <c r="N3632">
        <v>0</v>
      </c>
      <c r="O3632">
        <v>-0.6356752</v>
      </c>
      <c r="P3632">
        <v>-0.90461709999999995</v>
      </c>
      <c r="Q3632">
        <v>8.1235760000000004E-2</v>
      </c>
      <c r="R3632">
        <v>-0.41841240000000002</v>
      </c>
      <c r="S3632">
        <v>-3.1007229999999999</v>
      </c>
      <c r="T3632">
        <v>-0.1408877</v>
      </c>
      <c r="U3632">
        <v>-0.51693729999999904</v>
      </c>
      <c r="V3632">
        <v>0.25819160000000002</v>
      </c>
      <c r="W3632">
        <v>7.5430990000000003E-2</v>
      </c>
      <c r="X3632">
        <v>0.96314449999999996</v>
      </c>
      <c r="Y3632">
        <v>0.49910769999999999</v>
      </c>
      <c r="Z3632">
        <v>3.7722430000000001E-2</v>
      </c>
      <c r="AA3632">
        <v>0.86571849999999995</v>
      </c>
      <c r="AB3632">
        <v>36</v>
      </c>
      <c r="AC3632">
        <v>-24.153300000000002</v>
      </c>
      <c r="AD3632">
        <v>-1.1106632365710001</v>
      </c>
      <c r="AE3632">
        <v>-3.8580000000000001</v>
      </c>
      <c r="AF3632">
        <v>12.351445221681001</v>
      </c>
      <c r="AG3632">
        <v>-1.1106632365710001</v>
      </c>
      <c r="AH3632">
        <v>21.0534636060815</v>
      </c>
      <c r="AI3632">
        <v>92.605271232738801</v>
      </c>
      <c r="AJ3632">
        <v>59.601110507017403</v>
      </c>
      <c r="AK3632">
        <v>24.434404058659901</v>
      </c>
      <c r="AL3632">
        <v>85.674013777695905</v>
      </c>
      <c r="AM3632">
        <v>74.993461410997696</v>
      </c>
      <c r="AN3632">
        <v>1.0000000322215901</v>
      </c>
    </row>
    <row r="3633" spans="1:40" x14ac:dyDescent="0.25">
      <c r="A3633" t="str">
        <f>"20190312151610787"</f>
        <v>20190312151610787</v>
      </c>
      <c r="B3633" t="str">
        <f>"1552374970781346"</f>
        <v>1552374970781346</v>
      </c>
      <c r="C3633" t="s">
        <v>40</v>
      </c>
      <c r="D3633">
        <v>4.5804819999999999</v>
      </c>
      <c r="E3633">
        <v>0.5951476</v>
      </c>
      <c r="F3633" t="s">
        <v>41</v>
      </c>
      <c r="G3633">
        <v>-204.20949999999999</v>
      </c>
      <c r="H3633">
        <v>1.208666</v>
      </c>
      <c r="I3633">
        <v>147.9967</v>
      </c>
      <c r="J3633">
        <v>-203.7602</v>
      </c>
      <c r="K3633">
        <v>1.1114980000000001</v>
      </c>
      <c r="L3633">
        <v>147.90950000000001</v>
      </c>
      <c r="M3633">
        <v>-0.77935519999999903</v>
      </c>
      <c r="N3633">
        <v>0</v>
      </c>
      <c r="O3633">
        <v>-0.62642719999999996</v>
      </c>
      <c r="P3633">
        <v>-0.90954299999999999</v>
      </c>
      <c r="Q3633">
        <v>8.0548869999999995E-2</v>
      </c>
      <c r="R3633">
        <v>-0.40772950000000002</v>
      </c>
      <c r="S3633">
        <v>-3.028702</v>
      </c>
      <c r="T3633">
        <v>0.40590670000000001</v>
      </c>
      <c r="U3633">
        <v>-0.54302980000000001</v>
      </c>
      <c r="V3633">
        <v>0.25805800000000001</v>
      </c>
      <c r="W3633">
        <v>7.5867470000000006E-2</v>
      </c>
      <c r="X3633">
        <v>0.96314599999999995</v>
      </c>
      <c r="Y3633">
        <v>0.47051969999999999</v>
      </c>
      <c r="Z3633">
        <v>-0.1078234</v>
      </c>
      <c r="AA3633">
        <v>0.87577700000000003</v>
      </c>
      <c r="AB3633">
        <v>36</v>
      </c>
      <c r="AC3633">
        <v>-0.44929999999999298</v>
      </c>
      <c r="AD3633">
        <v>9.7168000000000102E-2</v>
      </c>
      <c r="AE3633">
        <v>8.7199999999995698E-2</v>
      </c>
      <c r="AF3633">
        <v>0.33437617703600397</v>
      </c>
      <c r="AG3633">
        <v>9.7168000000000102E-2</v>
      </c>
      <c r="AH3633">
        <v>0.28282100613717198</v>
      </c>
      <c r="AI3633">
        <v>77.490261101331797</v>
      </c>
      <c r="AJ3633">
        <v>40.225104405333497</v>
      </c>
      <c r="AK3633">
        <v>0.44859421474831301</v>
      </c>
      <c r="AL3633">
        <v>85.648933355360498</v>
      </c>
      <c r="AM3633">
        <v>75.000898761254803</v>
      </c>
      <c r="AN3633">
        <v>1.0000000108421001</v>
      </c>
    </row>
    <row r="3634" spans="1:40" x14ac:dyDescent="0.25">
      <c r="A3634" t="str">
        <f>"20190312151610810"</f>
        <v>20190312151610810</v>
      </c>
      <c r="B3634" t="str">
        <f>"1552374970801845"</f>
        <v>1552374970801845</v>
      </c>
      <c r="C3634" t="s">
        <v>40</v>
      </c>
      <c r="D3634">
        <v>4.5594999999999999</v>
      </c>
      <c r="E3634">
        <v>0.59389569999999903</v>
      </c>
      <c r="F3634" t="s">
        <v>57</v>
      </c>
      <c r="G3634">
        <v>-367.17680000000001</v>
      </c>
      <c r="H3634">
        <v>22.83821</v>
      </c>
      <c r="I3634">
        <v>119.0073</v>
      </c>
      <c r="J3634">
        <v>-204.05430000000001</v>
      </c>
      <c r="K3634">
        <v>1.112344</v>
      </c>
      <c r="L3634">
        <v>147.68790000000001</v>
      </c>
      <c r="M3634">
        <v>-0.78737829999999998</v>
      </c>
      <c r="N3634">
        <v>0</v>
      </c>
      <c r="O3634">
        <v>-0.61630319999999905</v>
      </c>
      <c r="P3634">
        <v>-0.91515760000000002</v>
      </c>
      <c r="Q3634">
        <v>7.8070290000000001E-2</v>
      </c>
      <c r="R3634">
        <v>-0.39546429999999999</v>
      </c>
      <c r="S3634">
        <v>-3.0230869999999999</v>
      </c>
      <c r="T3634">
        <v>0.40192840000000002</v>
      </c>
      <c r="U3634">
        <v>-0.53466800000000003</v>
      </c>
      <c r="V3634">
        <v>0.2583356</v>
      </c>
      <c r="W3634">
        <v>7.4479999999999894E-2</v>
      </c>
      <c r="X3634">
        <v>0.96317989999999998</v>
      </c>
      <c r="Y3634">
        <v>0.46146740000000003</v>
      </c>
      <c r="Z3634">
        <v>-0.105405</v>
      </c>
      <c r="AA3634">
        <v>0.88087329999999997</v>
      </c>
      <c r="AB3634">
        <v>36</v>
      </c>
      <c r="AC3634">
        <v>-163.1225</v>
      </c>
      <c r="AD3634">
        <v>21.725866</v>
      </c>
      <c r="AE3634">
        <v>-28.680599999999998</v>
      </c>
      <c r="AF3634">
        <v>76.639721353880702</v>
      </c>
      <c r="AG3634">
        <v>21.725866</v>
      </c>
      <c r="AH3634">
        <v>143.65817740716801</v>
      </c>
      <c r="AI3634">
        <v>82.399777452563697</v>
      </c>
      <c r="AJ3634">
        <v>61.920673956087697</v>
      </c>
      <c r="AK3634">
        <v>164.26604055190401</v>
      </c>
      <c r="AL3634">
        <v>85.728655221282096</v>
      </c>
      <c r="AM3634">
        <v>74.985996640145601</v>
      </c>
      <c r="AN3634">
        <v>1.00000003619568</v>
      </c>
    </row>
    <row r="3635" spans="1:40" x14ac:dyDescent="0.25">
      <c r="A3635" t="str">
        <f>"20190312151610833"</f>
        <v>20190312151610833</v>
      </c>
      <c r="B3635" t="str">
        <f>"1552374970821361"</f>
        <v>1552374970821361</v>
      </c>
      <c r="C3635" t="s">
        <v>40</v>
      </c>
      <c r="D3635">
        <v>4.485735</v>
      </c>
      <c r="E3635">
        <v>0.59237830000000002</v>
      </c>
      <c r="F3635" t="s">
        <v>61</v>
      </c>
      <c r="G3635">
        <v>-371.35239999999999</v>
      </c>
      <c r="H3635">
        <v>22.659140000000001</v>
      </c>
      <c r="I3635">
        <v>119.9038</v>
      </c>
      <c r="J3635">
        <v>-204.3372</v>
      </c>
      <c r="K3635">
        <v>1.112649</v>
      </c>
      <c r="L3635">
        <v>147.47929999999999</v>
      </c>
      <c r="M3635">
        <v>-0.79496679999999997</v>
      </c>
      <c r="N3635">
        <v>0</v>
      </c>
      <c r="O3635">
        <v>-0.60647799999999996</v>
      </c>
      <c r="P3635">
        <v>-0.92050019999999999</v>
      </c>
      <c r="Q3635">
        <v>7.5526399999999994E-2</v>
      </c>
      <c r="R3635">
        <v>-0.38337359999999998</v>
      </c>
      <c r="S3635">
        <v>-3.0275880000000002</v>
      </c>
      <c r="T3635">
        <v>0.38993169999999999</v>
      </c>
      <c r="U3635">
        <v>-0.50280760000000002</v>
      </c>
      <c r="V3635">
        <v>0.25887569999999999</v>
      </c>
      <c r="W3635">
        <v>7.2661030000000001E-2</v>
      </c>
      <c r="X3635">
        <v>0.96317370000000002</v>
      </c>
      <c r="Y3635">
        <v>0.46027750000000001</v>
      </c>
      <c r="Z3635">
        <v>-0.101244</v>
      </c>
      <c r="AA3635">
        <v>0.88198319999999997</v>
      </c>
      <c r="AB3635">
        <v>36</v>
      </c>
      <c r="AC3635">
        <v>-167.01519999999999</v>
      </c>
      <c r="AD3635">
        <v>21.546491</v>
      </c>
      <c r="AE3635">
        <v>-27.575499999999899</v>
      </c>
      <c r="AF3635">
        <v>78.112308874802594</v>
      </c>
      <c r="AG3635">
        <v>21.546491</v>
      </c>
      <c r="AH3635">
        <v>147.12762177319999</v>
      </c>
      <c r="AI3635">
        <v>82.629819477934902</v>
      </c>
      <c r="AJ3635">
        <v>62.035482580822901</v>
      </c>
      <c r="AK3635">
        <v>167.965237953582</v>
      </c>
      <c r="AL3635">
        <v>85.833157229686194</v>
      </c>
      <c r="AM3635">
        <v>74.955936100390403</v>
      </c>
      <c r="AN3635">
        <v>0.99999991485141604</v>
      </c>
    </row>
    <row r="3636" spans="1:40" x14ac:dyDescent="0.25">
      <c r="A3636" t="str">
        <f>"20190312151610855"</f>
        <v>20190312151610855</v>
      </c>
      <c r="B3636" t="str">
        <f>"1552374970851618"</f>
        <v>1552374970851618</v>
      </c>
      <c r="C3636" t="s">
        <v>40</v>
      </c>
      <c r="D3636">
        <v>4.5922479999999997</v>
      </c>
      <c r="E3636">
        <v>0.59078149999999996</v>
      </c>
      <c r="F3636" t="s">
        <v>61</v>
      </c>
      <c r="G3636">
        <v>-382.61680000000001</v>
      </c>
      <c r="H3636">
        <v>23.195550000000001</v>
      </c>
      <c r="I3636">
        <v>119.61239999999999</v>
      </c>
      <c r="J3636">
        <v>-204.6396</v>
      </c>
      <c r="K3636">
        <v>1.112868</v>
      </c>
      <c r="L3636">
        <v>147.26150000000001</v>
      </c>
      <c r="M3636">
        <v>-0.8029714</v>
      </c>
      <c r="N3636">
        <v>0</v>
      </c>
      <c r="O3636">
        <v>-0.59582469999999998</v>
      </c>
      <c r="P3636">
        <v>-0.92577920000000002</v>
      </c>
      <c r="Q3636">
        <v>7.4940950000000006E-2</v>
      </c>
      <c r="R3636">
        <v>-0.37056250000000002</v>
      </c>
      <c r="S3636">
        <v>-3.0309599999999999</v>
      </c>
      <c r="T3636">
        <v>0.37543490000000002</v>
      </c>
      <c r="U3636">
        <v>-0.47377010000000003</v>
      </c>
      <c r="V3636">
        <v>0.25928459999999998</v>
      </c>
      <c r="W3636">
        <v>7.3123270000000004E-2</v>
      </c>
      <c r="X3636">
        <v>0.96302880000000002</v>
      </c>
      <c r="Y3636">
        <v>0.45752340000000002</v>
      </c>
      <c r="Z3636">
        <v>-9.6335279999999995E-2</v>
      </c>
      <c r="AA3636">
        <v>0.88396369999999902</v>
      </c>
      <c r="AB3636">
        <v>35</v>
      </c>
      <c r="AC3636">
        <v>-177.97720000000001</v>
      </c>
      <c r="AD3636">
        <v>22.082681999999998</v>
      </c>
      <c r="AE3636">
        <v>-27.649100000000001</v>
      </c>
      <c r="AF3636">
        <v>82.609621350465304</v>
      </c>
      <c r="AG3636">
        <v>22.082681999999998</v>
      </c>
      <c r="AH3636">
        <v>157.042272956208</v>
      </c>
      <c r="AI3636">
        <v>82.906112865894002</v>
      </c>
      <c r="AJ3636">
        <v>62.254090728258703</v>
      </c>
      <c r="AK3636">
        <v>178.81350586360199</v>
      </c>
      <c r="AL3636">
        <v>85.806602513478893</v>
      </c>
      <c r="AM3636">
        <v>74.931089383005698</v>
      </c>
      <c r="AN3636">
        <v>0.99999999302104603</v>
      </c>
    </row>
    <row r="3637" spans="1:40" x14ac:dyDescent="0.25">
      <c r="A3637" t="str">
        <f>"20190312151610877"</f>
        <v>20190312151610877</v>
      </c>
      <c r="B3637" t="str">
        <f>"1552374970871138"</f>
        <v>1552374970871138</v>
      </c>
      <c r="C3637" t="s">
        <v>40</v>
      </c>
      <c r="D3637">
        <v>4.4482549999999996</v>
      </c>
      <c r="E3637">
        <v>0.58046239999999905</v>
      </c>
      <c r="F3637" t="s">
        <v>41</v>
      </c>
      <c r="G3637">
        <v>-205.46799999999999</v>
      </c>
      <c r="H3637">
        <v>1.2139519999999999</v>
      </c>
      <c r="I3637">
        <v>147.1405</v>
      </c>
      <c r="J3637">
        <v>-204.93469999999999</v>
      </c>
      <c r="K3637">
        <v>1.1128070000000001</v>
      </c>
      <c r="L3637">
        <v>147.0547</v>
      </c>
      <c r="M3637">
        <v>-0.81058660000000005</v>
      </c>
      <c r="N3637">
        <v>0</v>
      </c>
      <c r="O3637">
        <v>-0.58540119999999995</v>
      </c>
      <c r="P3637">
        <v>-0.93067949999999999</v>
      </c>
      <c r="Q3637">
        <v>7.3638990000000001E-2</v>
      </c>
      <c r="R3637">
        <v>-0.35834739999999998</v>
      </c>
      <c r="S3637">
        <v>-3.0331269999999999</v>
      </c>
      <c r="T3637">
        <v>0.37012309999999998</v>
      </c>
      <c r="U3637">
        <v>-0.44328309999999999</v>
      </c>
      <c r="V3637">
        <v>0.25944339999999999</v>
      </c>
      <c r="W3637">
        <v>7.2962550000000001E-2</v>
      </c>
      <c r="X3637">
        <v>0.96299820000000003</v>
      </c>
      <c r="Y3637">
        <v>0.45512789999999997</v>
      </c>
      <c r="Z3637">
        <v>-9.389132E-2</v>
      </c>
      <c r="AA3637">
        <v>0.88546199999999997</v>
      </c>
      <c r="AB3637">
        <v>36</v>
      </c>
      <c r="AC3637">
        <v>-0.533299999999997</v>
      </c>
      <c r="AD3637">
        <v>0.101145</v>
      </c>
      <c r="AE3637">
        <v>8.5800000000006094E-2</v>
      </c>
      <c r="AF3637">
        <v>0.36885820742828002</v>
      </c>
      <c r="AG3637">
        <v>0.101145</v>
      </c>
      <c r="AH3637">
        <v>0.369163175182327</v>
      </c>
      <c r="AI3637">
        <v>79.031138734399406</v>
      </c>
      <c r="AJ3637">
        <v>45.023675959276503</v>
      </c>
      <c r="AK3637">
        <v>0.53157138572622697</v>
      </c>
      <c r="AL3637">
        <v>85.815835668455605</v>
      </c>
      <c r="AM3637">
        <v>74.921823169172598</v>
      </c>
      <c r="AN3637">
        <v>0.99999997235464999</v>
      </c>
    </row>
    <row r="3638" spans="1:40" x14ac:dyDescent="0.25">
      <c r="A3638" t="str">
        <f>"20190312151610899"</f>
        <v>20190312151610899</v>
      </c>
      <c r="B3638" t="str">
        <f>"1552374970891637"</f>
        <v>1552374970891637</v>
      </c>
      <c r="C3638" t="s">
        <v>40</v>
      </c>
      <c r="D3638">
        <v>4.5460399999999996</v>
      </c>
      <c r="E3638">
        <v>0.57925629999999995</v>
      </c>
      <c r="F3638" t="s">
        <v>43</v>
      </c>
      <c r="G3638">
        <v>-211.70959999999999</v>
      </c>
      <c r="H3638" s="1">
        <v>-5.1999549999999996E-6</v>
      </c>
      <c r="I3638">
        <v>146.07220000000001</v>
      </c>
      <c r="J3638">
        <v>-205.22659999999999</v>
      </c>
      <c r="K3638">
        <v>1.1125020000000001</v>
      </c>
      <c r="L3638">
        <v>146.85589999999999</v>
      </c>
      <c r="M3638">
        <v>-0.81789799999999901</v>
      </c>
      <c r="N3638">
        <v>0</v>
      </c>
      <c r="O3638">
        <v>-0.57511840000000003</v>
      </c>
      <c r="P3638">
        <v>-0.93534280000000003</v>
      </c>
      <c r="Q3638">
        <v>7.1398110000000001E-2</v>
      </c>
      <c r="R3638">
        <v>-0.34646280000000002</v>
      </c>
      <c r="S3638">
        <v>-3.0910340000000001</v>
      </c>
      <c r="T3638">
        <v>-0.50772189999999995</v>
      </c>
      <c r="U3638">
        <v>-0.44827270000000002</v>
      </c>
      <c r="V3638">
        <v>0.25948159999999998</v>
      </c>
      <c r="W3638">
        <v>7.1833980000000006E-2</v>
      </c>
      <c r="X3638">
        <v>0.96307279999999995</v>
      </c>
      <c r="Y3638">
        <v>0.4395461</v>
      </c>
      <c r="Z3638">
        <v>0.12341779999999999</v>
      </c>
      <c r="AA3638">
        <v>0.88970070000000001</v>
      </c>
      <c r="AB3638">
        <v>35</v>
      </c>
      <c r="AC3638">
        <v>-6.4829999999999997</v>
      </c>
      <c r="AD3638">
        <v>-1.112507199955</v>
      </c>
      <c r="AE3638">
        <v>-0.78369999999998097</v>
      </c>
      <c r="AF3638">
        <v>3.0008451821431699</v>
      </c>
      <c r="AG3638">
        <v>-1.112507199955</v>
      </c>
      <c r="AH3638">
        <v>5.59167235822534</v>
      </c>
      <c r="AI3638">
        <v>99.943371559824996</v>
      </c>
      <c r="AJ3638">
        <v>61.779178464938099</v>
      </c>
      <c r="AK3638">
        <v>6.44279006633655</v>
      </c>
      <c r="AL3638">
        <v>85.880668300382993</v>
      </c>
      <c r="AM3638">
        <v>74.920819123025296</v>
      </c>
      <c r="AN3638">
        <v>1.0000000197605099</v>
      </c>
    </row>
    <row r="3639" spans="1:40" x14ac:dyDescent="0.25">
      <c r="A3639" t="str">
        <f>"20190312151610923"</f>
        <v>20190312151610923</v>
      </c>
      <c r="B3639" t="str">
        <f>"1552374970911153"</f>
        <v>1552374970911153</v>
      </c>
      <c r="C3639" t="s">
        <v>40</v>
      </c>
      <c r="D3639">
        <v>4.6340969999999997</v>
      </c>
      <c r="E3639">
        <v>0.57963690000000001</v>
      </c>
      <c r="F3639" t="s">
        <v>43</v>
      </c>
      <c r="G3639">
        <v>-212.2456</v>
      </c>
      <c r="H3639" s="1">
        <v>-4.9635970000000003E-6</v>
      </c>
      <c r="I3639">
        <v>145.90010000000001</v>
      </c>
      <c r="J3639">
        <v>-205.54079999999999</v>
      </c>
      <c r="K3639">
        <v>1.1120239999999999</v>
      </c>
      <c r="L3639">
        <v>146.64840000000001</v>
      </c>
      <c r="M3639">
        <v>-0.82549919999999999</v>
      </c>
      <c r="N3639">
        <v>0</v>
      </c>
      <c r="O3639">
        <v>-0.5641273</v>
      </c>
      <c r="P3639">
        <v>-0.94006250000000002</v>
      </c>
      <c r="Q3639">
        <v>6.7774150000000005E-2</v>
      </c>
      <c r="R3639">
        <v>-0.33419959999999999</v>
      </c>
      <c r="S3639">
        <v>-3.0889739999999999</v>
      </c>
      <c r="T3639">
        <v>-0.48959970000000003</v>
      </c>
      <c r="U3639">
        <v>-0.42062379999999999</v>
      </c>
      <c r="V3639">
        <v>0.25909270000000001</v>
      </c>
      <c r="W3639">
        <v>6.9401050000000006E-2</v>
      </c>
      <c r="X3639">
        <v>0.96335579999999998</v>
      </c>
      <c r="Y3639">
        <v>0.43628450000000002</v>
      </c>
      <c r="Z3639">
        <v>0.117615</v>
      </c>
      <c r="AA3639">
        <v>0.89208889999999996</v>
      </c>
      <c r="AB3639">
        <v>35</v>
      </c>
      <c r="AC3639">
        <v>-6.7047999999999996</v>
      </c>
      <c r="AD3639">
        <v>-1.112028963597</v>
      </c>
      <c r="AE3639">
        <v>-0.74829999999999997</v>
      </c>
      <c r="AF3639">
        <v>3.0814116751011</v>
      </c>
      <c r="AG3639">
        <v>-1.112028963597</v>
      </c>
      <c r="AH3639">
        <v>5.8002796996146797</v>
      </c>
      <c r="AI3639">
        <v>99.609655558138002</v>
      </c>
      <c r="AJ3639">
        <v>62.0204248089386</v>
      </c>
      <c r="AK3639">
        <v>6.6614526134387697</v>
      </c>
      <c r="AL3639">
        <v>86.020413615255805</v>
      </c>
      <c r="AM3639">
        <v>74.946614723598003</v>
      </c>
      <c r="AN3639">
        <v>0.99999996516401501</v>
      </c>
    </row>
    <row r="3640" spans="1:40" x14ac:dyDescent="0.25">
      <c r="A3640" t="str">
        <f>"20190312151610946"</f>
        <v>20190312151610946</v>
      </c>
      <c r="B3640" t="str">
        <f>"1552374970941410"</f>
        <v>1552374970941410</v>
      </c>
      <c r="C3640" t="s">
        <v>40</v>
      </c>
      <c r="D3640">
        <v>4.4410350000000003</v>
      </c>
      <c r="E3640">
        <v>0.57559069999999901</v>
      </c>
      <c r="F3640" t="s">
        <v>43</v>
      </c>
      <c r="G3640">
        <v>-212.43389999999999</v>
      </c>
      <c r="H3640" s="1">
        <v>-4.8743540000000003E-6</v>
      </c>
      <c r="I3640">
        <v>145.8047</v>
      </c>
      <c r="J3640">
        <v>-205.84719999999999</v>
      </c>
      <c r="K3640">
        <v>1.1115159999999999</v>
      </c>
      <c r="L3640">
        <v>146.45240000000001</v>
      </c>
      <c r="M3640">
        <v>-0.83268399999999998</v>
      </c>
      <c r="N3640">
        <v>0</v>
      </c>
      <c r="O3640">
        <v>-0.55344190000000004</v>
      </c>
      <c r="P3640">
        <v>-0.94407050000000003</v>
      </c>
      <c r="Q3640">
        <v>6.6553699999999993E-2</v>
      </c>
      <c r="R3640">
        <v>-0.32295829999999998</v>
      </c>
      <c r="S3640">
        <v>-3.0926969999999998</v>
      </c>
      <c r="T3640">
        <v>-0.49892760000000003</v>
      </c>
      <c r="U3640">
        <v>-0.37853999999999999</v>
      </c>
      <c r="V3640">
        <v>0.25809399999999999</v>
      </c>
      <c r="W3640">
        <v>6.9396299999999994E-2</v>
      </c>
      <c r="X3640">
        <v>0.96362420000000004</v>
      </c>
      <c r="Y3640">
        <v>0.43649399999999999</v>
      </c>
      <c r="Z3640">
        <v>0.118481</v>
      </c>
      <c r="AA3640">
        <v>0.89187179999999999</v>
      </c>
      <c r="AB3640">
        <v>35</v>
      </c>
      <c r="AC3640">
        <v>-6.5867000000000004</v>
      </c>
      <c r="AD3640">
        <v>-1.1115208743539999</v>
      </c>
      <c r="AE3640">
        <v>-0.64770000000001404</v>
      </c>
      <c r="AF3640">
        <v>3.0213379222072101</v>
      </c>
      <c r="AG3640">
        <v>-1.1115208743539999</v>
      </c>
      <c r="AH3640">
        <v>5.68378688845279</v>
      </c>
      <c r="AI3640">
        <v>99.797165303328995</v>
      </c>
      <c r="AJ3640">
        <v>62.006170856447099</v>
      </c>
      <c r="AK3640">
        <v>6.5321814799988402</v>
      </c>
      <c r="AL3640">
        <v>86.020686483344207</v>
      </c>
      <c r="AM3640">
        <v>75.006009636326297</v>
      </c>
      <c r="AN3640">
        <v>0.99999997905766402</v>
      </c>
    </row>
    <row r="3641" spans="1:40" x14ac:dyDescent="0.25">
      <c r="A3641" t="str">
        <f>"20190312151610969"</f>
        <v>20190312151610969</v>
      </c>
      <c r="B3641" t="str">
        <f>"1552374970960930"</f>
        <v>1552374970960930</v>
      </c>
      <c r="C3641" t="s">
        <v>40</v>
      </c>
      <c r="D3641">
        <v>4.5393319999999999</v>
      </c>
      <c r="E3641">
        <v>0.57094309999999904</v>
      </c>
      <c r="F3641" t="s">
        <v>43</v>
      </c>
      <c r="G3641">
        <v>-217.75409999999999</v>
      </c>
      <c r="H3641" s="1">
        <v>-2.4677760000000001E-6</v>
      </c>
      <c r="I3641">
        <v>144.9743</v>
      </c>
      <c r="J3641">
        <v>-206.1628</v>
      </c>
      <c r="K3641">
        <v>1.111008</v>
      </c>
      <c r="L3641">
        <v>146.2569</v>
      </c>
      <c r="M3641">
        <v>-0.83994829999999998</v>
      </c>
      <c r="N3641">
        <v>0</v>
      </c>
      <c r="O3641">
        <v>-0.54232720000000001</v>
      </c>
      <c r="P3641">
        <v>-0.94808840000000005</v>
      </c>
      <c r="Q3641">
        <v>6.5133769999999994E-2</v>
      </c>
      <c r="R3641">
        <v>-0.31126589999999998</v>
      </c>
      <c r="S3641">
        <v>-3.0676420000000002</v>
      </c>
      <c r="T3641">
        <v>-0.28636719999999999</v>
      </c>
      <c r="U3641">
        <v>-0.38081359999999997</v>
      </c>
      <c r="V3641">
        <v>0.25708540000000002</v>
      </c>
      <c r="W3641">
        <v>6.9272619999999993E-2</v>
      </c>
      <c r="X3641">
        <v>0.9639027</v>
      </c>
      <c r="Y3641">
        <v>0.43090200000000001</v>
      </c>
      <c r="Z3641">
        <v>6.7725489999999999E-2</v>
      </c>
      <c r="AA3641">
        <v>0.89985369999999998</v>
      </c>
      <c r="AB3641">
        <v>35</v>
      </c>
      <c r="AC3641">
        <v>-11.591299999999899</v>
      </c>
      <c r="AD3641">
        <v>-1.111010467776</v>
      </c>
      <c r="AE3641">
        <v>-1.2826</v>
      </c>
      <c r="AF3641">
        <v>5.1630593533709099</v>
      </c>
      <c r="AG3641">
        <v>-1.111010467776</v>
      </c>
      <c r="AH3641">
        <v>10.3397598641308</v>
      </c>
      <c r="AI3641">
        <v>95.491075039047104</v>
      </c>
      <c r="AJ3641">
        <v>63.4651927343754</v>
      </c>
      <c r="AK3641">
        <v>11.610433247464499</v>
      </c>
      <c r="AL3641">
        <v>86.027790030994197</v>
      </c>
      <c r="AM3641">
        <v>75.066103327852105</v>
      </c>
      <c r="AN3641">
        <v>1.00000000692105</v>
      </c>
    </row>
    <row r="3642" spans="1:40" x14ac:dyDescent="0.25">
      <c r="A3642" t="str">
        <f>"20190312151610991"</f>
        <v>20190312151610991</v>
      </c>
      <c r="B3642" t="str">
        <f>"1552374970981427"</f>
        <v>1552374970981427</v>
      </c>
      <c r="C3642" t="s">
        <v>40</v>
      </c>
      <c r="D3642">
        <v>4.4575279999999999</v>
      </c>
      <c r="E3642">
        <v>0.57010050000000001</v>
      </c>
      <c r="F3642" t="s">
        <v>62</v>
      </c>
      <c r="G3642">
        <v>-440.75</v>
      </c>
      <c r="H3642">
        <v>17.574000000000002</v>
      </c>
      <c r="I3642">
        <v>115.49850000000001</v>
      </c>
      <c r="J3642">
        <v>-206.4675</v>
      </c>
      <c r="K3642">
        <v>1.1105160000000001</v>
      </c>
      <c r="L3642">
        <v>146.07399999999899</v>
      </c>
      <c r="M3642">
        <v>-0.84688739999999996</v>
      </c>
      <c r="N3642">
        <v>0</v>
      </c>
      <c r="O3642">
        <v>-0.53140159999999903</v>
      </c>
      <c r="P3642">
        <v>-0.95188870000000003</v>
      </c>
      <c r="Q3642">
        <v>6.2802199999999905E-2</v>
      </c>
      <c r="R3642">
        <v>-0.29994029999999999</v>
      </c>
      <c r="S3642">
        <v>-3.019714</v>
      </c>
      <c r="T3642">
        <v>0.21191940000000001</v>
      </c>
      <c r="U3642">
        <v>-0.39593509999999998</v>
      </c>
      <c r="V3642">
        <v>0.25594420000000001</v>
      </c>
      <c r="W3642">
        <v>6.8183240000000006E-2</v>
      </c>
      <c r="X3642">
        <v>0.96428400000000003</v>
      </c>
      <c r="Y3642">
        <v>0.41473189999999999</v>
      </c>
      <c r="Z3642">
        <v>-4.9718659999999998E-2</v>
      </c>
      <c r="AA3642">
        <v>0.90858430000000001</v>
      </c>
      <c r="AB3642">
        <v>35</v>
      </c>
      <c r="AC3642">
        <v>-234.2825</v>
      </c>
      <c r="AD3642">
        <v>16.463484000000001</v>
      </c>
      <c r="AE3642">
        <v>-30.575499999999899</v>
      </c>
      <c r="AF3642">
        <v>98.146976552654294</v>
      </c>
      <c r="AG3642">
        <v>16.463484000000001</v>
      </c>
      <c r="AH3642">
        <v>213.66364252174699</v>
      </c>
      <c r="AI3642">
        <v>85.994722982562394</v>
      </c>
      <c r="AJ3642">
        <v>65.3281864808324</v>
      </c>
      <c r="AK3642">
        <v>235.703261427386</v>
      </c>
      <c r="AL3642">
        <v>86.0903548610532</v>
      </c>
      <c r="AM3642">
        <v>75.135071337885705</v>
      </c>
      <c r="AN3642">
        <v>1.00000001019326</v>
      </c>
    </row>
    <row r="3643" spans="1:40" x14ac:dyDescent="0.25">
      <c r="A3643" t="str">
        <f>"20190312151611013"</f>
        <v>20190312151611013</v>
      </c>
      <c r="B3643" t="str">
        <f>"1552374971000946"</f>
        <v>1552374971000946</v>
      </c>
      <c r="C3643" t="s">
        <v>40</v>
      </c>
      <c r="D3643">
        <v>4.4318589999999896</v>
      </c>
      <c r="E3643">
        <v>0.57008959999999997</v>
      </c>
      <c r="F3643" t="s">
        <v>62</v>
      </c>
      <c r="G3643">
        <v>-439.84660000000002</v>
      </c>
      <c r="H3643">
        <v>19.514340000000001</v>
      </c>
      <c r="I3643">
        <v>117.67359999999999</v>
      </c>
      <c r="J3643">
        <v>-206.76820000000001</v>
      </c>
      <c r="K3643">
        <v>1.1099779999999999</v>
      </c>
      <c r="L3643">
        <v>145.899</v>
      </c>
      <c r="M3643">
        <v>-0.85363880000000003</v>
      </c>
      <c r="N3643">
        <v>0</v>
      </c>
      <c r="O3643">
        <v>-0.52046599999999998</v>
      </c>
      <c r="P3643">
        <v>-0.95541019999999999</v>
      </c>
      <c r="Q3643">
        <v>6.1623289999999997E-2</v>
      </c>
      <c r="R3643">
        <v>-0.28878009999999998</v>
      </c>
      <c r="S3643">
        <v>-3.020111</v>
      </c>
      <c r="T3643">
        <v>0.23816029999999999</v>
      </c>
      <c r="U3643">
        <v>-0.36752319999999999</v>
      </c>
      <c r="V3643">
        <v>0.25469429999999998</v>
      </c>
      <c r="W3643">
        <v>6.8132330000000005E-2</v>
      </c>
      <c r="X3643">
        <v>0.96461850000000005</v>
      </c>
      <c r="Y3643">
        <v>0.41093970000000002</v>
      </c>
      <c r="Z3643">
        <v>-5.5029939999999999E-2</v>
      </c>
      <c r="AA3643">
        <v>0.91000009999999998</v>
      </c>
      <c r="AB3643">
        <v>35</v>
      </c>
      <c r="AC3643">
        <v>-233.07839999999999</v>
      </c>
      <c r="AD3643">
        <v>18.404361999999999</v>
      </c>
      <c r="AE3643">
        <v>-28.2254</v>
      </c>
      <c r="AF3643">
        <v>96.641457994036401</v>
      </c>
      <c r="AG3643">
        <v>18.404361999999999</v>
      </c>
      <c r="AH3643">
        <v>212.394431917867</v>
      </c>
      <c r="AI3643">
        <v>85.490353592541595</v>
      </c>
      <c r="AJ3643">
        <v>65.534019811693597</v>
      </c>
      <c r="AK3643">
        <v>234.07196896158601</v>
      </c>
      <c r="AL3643">
        <v>86.093278648774202</v>
      </c>
      <c r="AM3643">
        <v>75.209378058792794</v>
      </c>
      <c r="AN3643">
        <v>1.00000002569298</v>
      </c>
    </row>
    <row r="3644" spans="1:40" x14ac:dyDescent="0.25">
      <c r="A3644" t="str">
        <f>"20190312151611034"</f>
        <v>20190312151611034</v>
      </c>
      <c r="B3644" t="str">
        <f>"1552374971031202"</f>
        <v>1552374971031202</v>
      </c>
      <c r="C3644" t="s">
        <v>40</v>
      </c>
      <c r="D3644">
        <v>4.105334</v>
      </c>
      <c r="E3644">
        <v>0.56730059999999904</v>
      </c>
      <c r="F3644" t="s">
        <v>43</v>
      </c>
      <c r="G3644">
        <v>-219.1011</v>
      </c>
      <c r="H3644" s="1">
        <v>-1.7403070000000001E-6</v>
      </c>
      <c r="I3644">
        <v>144.63329999999999</v>
      </c>
      <c r="J3644">
        <v>-207.0624</v>
      </c>
      <c r="K3644">
        <v>1.109386</v>
      </c>
      <c r="L3644">
        <v>145.73320000000001</v>
      </c>
      <c r="M3644">
        <v>-0.86008510000000005</v>
      </c>
      <c r="N3644">
        <v>0</v>
      </c>
      <c r="O3644">
        <v>-0.50972709999999999</v>
      </c>
      <c r="P3644">
        <v>-0.95868920000000002</v>
      </c>
      <c r="Q3644">
        <v>6.0661630000000001E-2</v>
      </c>
      <c r="R3644">
        <v>-0.2779123</v>
      </c>
      <c r="S3644">
        <v>-3.0627749999999998</v>
      </c>
      <c r="T3644">
        <v>-0.27565499999999998</v>
      </c>
      <c r="U3644">
        <v>-0.31431579999999998</v>
      </c>
      <c r="V3644">
        <v>0.2534285</v>
      </c>
      <c r="W3644">
        <v>6.8120929999999996E-2</v>
      </c>
      <c r="X3644">
        <v>0.96495260000000005</v>
      </c>
      <c r="Y3644">
        <v>0.41584769999999999</v>
      </c>
      <c r="Z3644">
        <v>6.2291619999999999E-2</v>
      </c>
      <c r="AA3644">
        <v>0.90729839999999995</v>
      </c>
      <c r="AB3644">
        <v>35</v>
      </c>
      <c r="AC3644">
        <v>-12.0387</v>
      </c>
      <c r="AD3644">
        <v>-1.109387740307</v>
      </c>
      <c r="AE3644">
        <v>-1.0999000000000101</v>
      </c>
      <c r="AF3644">
        <v>5.1482088547182201</v>
      </c>
      <c r="AG3644">
        <v>-1.109387740307</v>
      </c>
      <c r="AH3644">
        <v>10.8261392047692</v>
      </c>
      <c r="AI3644">
        <v>95.287231021376002</v>
      </c>
      <c r="AJ3644">
        <v>64.567273554410704</v>
      </c>
      <c r="AK3644">
        <v>12.0391065138234</v>
      </c>
      <c r="AL3644">
        <v>86.0939332137321</v>
      </c>
      <c r="AM3644">
        <v>75.2845614681586</v>
      </c>
      <c r="AN3644">
        <v>0.99999999298153697</v>
      </c>
    </row>
    <row r="3645" spans="1:40" x14ac:dyDescent="0.25">
      <c r="A3645" t="str">
        <f>"20190312151611056"</f>
        <v>20190312151611056</v>
      </c>
      <c r="B3645" t="str">
        <f>"1552374971051697"</f>
        <v>1552374971051697</v>
      </c>
      <c r="C3645" t="s">
        <v>40</v>
      </c>
      <c r="D3645">
        <v>4.5476140000000003</v>
      </c>
      <c r="E3645">
        <v>0.56635419999999903</v>
      </c>
      <c r="F3645" t="s">
        <v>62</v>
      </c>
      <c r="G3645">
        <v>-457.63749999999999</v>
      </c>
      <c r="H3645">
        <v>17.122669999999999</v>
      </c>
      <c r="I3645">
        <v>119.395</v>
      </c>
      <c r="J3645">
        <v>-207.3819</v>
      </c>
      <c r="K3645">
        <v>1.1086830000000001</v>
      </c>
      <c r="L3645">
        <v>145.55879999999999</v>
      </c>
      <c r="M3645">
        <v>-0.86686810000000003</v>
      </c>
      <c r="N3645">
        <v>0</v>
      </c>
      <c r="O3645">
        <v>-0.49809249999999999</v>
      </c>
      <c r="P3645">
        <v>-0.96196060000000005</v>
      </c>
      <c r="Q3645">
        <v>5.9177750000000001E-2</v>
      </c>
      <c r="R3645">
        <v>-0.266702299999999</v>
      </c>
      <c r="S3645">
        <v>-3.0248719999999998</v>
      </c>
      <c r="T3645">
        <v>0.19330800000000001</v>
      </c>
      <c r="U3645">
        <v>-0.31794739999999999</v>
      </c>
      <c r="V3645">
        <v>0.25153920000000002</v>
      </c>
      <c r="W3645">
        <v>6.7521479999999995E-2</v>
      </c>
      <c r="X3645">
        <v>0.96548900000000004</v>
      </c>
      <c r="Y3645">
        <v>0.40311130000000001</v>
      </c>
      <c r="Z3645">
        <v>-4.3217789999999999E-2</v>
      </c>
      <c r="AA3645">
        <v>0.91412990000000005</v>
      </c>
      <c r="AB3645">
        <v>35</v>
      </c>
      <c r="AC3645">
        <v>-250.25559999999999</v>
      </c>
      <c r="AD3645">
        <v>16.013987</v>
      </c>
      <c r="AE3645">
        <v>-26.163799999999899</v>
      </c>
      <c r="AF3645">
        <v>101.58104079204401</v>
      </c>
      <c r="AG3645">
        <v>16.013987</v>
      </c>
      <c r="AH3645">
        <v>229.09366172990701</v>
      </c>
      <c r="AI3645">
        <v>86.343688769077701</v>
      </c>
      <c r="AJ3645">
        <v>66.087311318937495</v>
      </c>
      <c r="AK3645">
        <v>251.11563366873099</v>
      </c>
      <c r="AL3645">
        <v>86.128358710279599</v>
      </c>
      <c r="AM3645">
        <v>75.397324026970594</v>
      </c>
      <c r="AN3645">
        <v>1.0000000642595099</v>
      </c>
    </row>
    <row r="3646" spans="1:40" x14ac:dyDescent="0.25">
      <c r="A3646" t="str">
        <f>"20190312151611079"</f>
        <v>20190312151611079</v>
      </c>
      <c r="B3646" t="str">
        <f>"1552374971071218"</f>
        <v>1552374971071218</v>
      </c>
      <c r="C3646" t="s">
        <v>40</v>
      </c>
      <c r="D3646">
        <v>4.4878720000000003</v>
      </c>
      <c r="E3646">
        <v>0.56298400000000004</v>
      </c>
      <c r="F3646" t="s">
        <v>46</v>
      </c>
      <c r="G3646">
        <v>0</v>
      </c>
      <c r="H3646">
        <v>0</v>
      </c>
      <c r="I3646">
        <v>0</v>
      </c>
      <c r="J3646">
        <v>-207.68440000000001</v>
      </c>
      <c r="K3646">
        <v>1.1079939999999999</v>
      </c>
      <c r="L3646">
        <v>145.39879999999999</v>
      </c>
      <c r="M3646">
        <v>-0.87306870000000003</v>
      </c>
      <c r="N3646">
        <v>0</v>
      </c>
      <c r="O3646">
        <v>-0.48713669999999998</v>
      </c>
      <c r="P3646">
        <v>-0.96465330000000005</v>
      </c>
      <c r="Q3646">
        <v>5.878009E-2</v>
      </c>
      <c r="R3646">
        <v>-0.25688329999999998</v>
      </c>
      <c r="S3646">
        <v>-3.0267179999999998</v>
      </c>
      <c r="T3646">
        <v>0.1878127</v>
      </c>
      <c r="U3646">
        <v>-0.2898712</v>
      </c>
      <c r="V3646">
        <v>0.24909200000000001</v>
      </c>
      <c r="W3646">
        <v>6.7847850000000001E-2</v>
      </c>
      <c r="X3646">
        <v>0.96610030000000002</v>
      </c>
      <c r="Y3646">
        <v>0.4001653</v>
      </c>
      <c r="Z3646">
        <v>-4.1319300000000003E-2</v>
      </c>
      <c r="AA3646">
        <v>0.91551110000000002</v>
      </c>
      <c r="AB3646">
        <v>35</v>
      </c>
      <c r="AC3646">
        <v>-3.0267179999999998</v>
      </c>
      <c r="AD3646">
        <v>0.1878127</v>
      </c>
      <c r="AE3646">
        <v>-0.2898712</v>
      </c>
      <c r="AF3646">
        <v>1.21697888981143</v>
      </c>
      <c r="AG3646">
        <v>0.1878127</v>
      </c>
      <c r="AH3646">
        <v>2.7737815398030201</v>
      </c>
      <c r="AI3646">
        <v>86.451937630766295</v>
      </c>
      <c r="AJ3646">
        <v>66.310843915327695</v>
      </c>
      <c r="AK3646">
        <v>3.03482705587649</v>
      </c>
      <c r="AL3646">
        <v>86.109615748846096</v>
      </c>
      <c r="AM3646">
        <v>75.542173200301406</v>
      </c>
      <c r="AN3646">
        <v>0.99999997243685501</v>
      </c>
    </row>
    <row r="3647" spans="1:40" x14ac:dyDescent="0.25">
      <c r="A3647" t="str">
        <f>"20190312151611100"</f>
        <v>20190312151611100</v>
      </c>
      <c r="B3647" t="str">
        <f>"1552374971091717"</f>
        <v>1552374971091717</v>
      </c>
      <c r="C3647" t="s">
        <v>40</v>
      </c>
      <c r="D3647">
        <v>4.3976850000000001</v>
      </c>
      <c r="E3647">
        <v>0.55100099999999996</v>
      </c>
      <c r="F3647" t="s">
        <v>43</v>
      </c>
      <c r="G3647">
        <v>-216.95009999999999</v>
      </c>
      <c r="H3647" s="1">
        <v>-2.7479290000000001E-6</v>
      </c>
      <c r="I3647">
        <v>144.59889999999999</v>
      </c>
      <c r="J3647">
        <v>-207.9948</v>
      </c>
      <c r="K3647">
        <v>1.107307</v>
      </c>
      <c r="L3647">
        <v>145.2396</v>
      </c>
      <c r="M3647">
        <v>-0.87920529999999997</v>
      </c>
      <c r="N3647">
        <v>0</v>
      </c>
      <c r="O3647">
        <v>-0.47597129999999999</v>
      </c>
      <c r="P3647">
        <v>-0.9673136</v>
      </c>
      <c r="Q3647">
        <v>5.8390739999999997E-2</v>
      </c>
      <c r="R3647">
        <v>-0.24676899999999999</v>
      </c>
      <c r="S3647">
        <v>-3.0618439999999998</v>
      </c>
      <c r="T3647">
        <v>-0.36613620000000002</v>
      </c>
      <c r="U3647">
        <v>-0.26431270000000001</v>
      </c>
      <c r="V3647">
        <v>0.2467569</v>
      </c>
      <c r="W3647">
        <v>6.8057649999999997E-2</v>
      </c>
      <c r="X3647">
        <v>0.9666846</v>
      </c>
      <c r="Y3647">
        <v>0.39281519999999998</v>
      </c>
      <c r="Z3647">
        <v>7.7875910000000007E-2</v>
      </c>
      <c r="AA3647">
        <v>0.91631410000000002</v>
      </c>
      <c r="AB3647">
        <v>35</v>
      </c>
      <c r="AC3647">
        <v>-8.9552999999999905</v>
      </c>
      <c r="AD3647">
        <v>-1.1073097479289999</v>
      </c>
      <c r="AE3647">
        <v>-0.64070000000000904</v>
      </c>
      <c r="AF3647">
        <v>3.6445526966574899</v>
      </c>
      <c r="AG3647">
        <v>-1.1073097479289999</v>
      </c>
      <c r="AH3647">
        <v>8.0577726104473193</v>
      </c>
      <c r="AI3647">
        <v>97.136825264911096</v>
      </c>
      <c r="AJ3647">
        <v>65.662629734950698</v>
      </c>
      <c r="AK3647">
        <v>8.9127211713509205</v>
      </c>
      <c r="AL3647">
        <v>86.097567209971601</v>
      </c>
      <c r="AM3647">
        <v>75.680406617812096</v>
      </c>
      <c r="AN3647">
        <v>0.99999996364914501</v>
      </c>
    </row>
    <row r="3648" spans="1:40" x14ac:dyDescent="0.25">
      <c r="A3648" t="str">
        <f>"20190312151611125"</f>
        <v>20190312151611125</v>
      </c>
      <c r="B3648" t="str">
        <f>"1552374971120993"</f>
        <v>1552374971120993</v>
      </c>
      <c r="C3648" t="s">
        <v>40</v>
      </c>
      <c r="D3648">
        <v>4.525366</v>
      </c>
      <c r="E3648">
        <v>0.55409699999999995</v>
      </c>
      <c r="F3648" t="s">
        <v>43</v>
      </c>
      <c r="G3648">
        <v>-224.37299999999999</v>
      </c>
      <c r="H3648" s="1">
        <v>-3.4155760000000001E-6</v>
      </c>
      <c r="I3648">
        <v>143.44710000000001</v>
      </c>
      <c r="J3648">
        <v>-208.3458</v>
      </c>
      <c r="K3648">
        <v>1.1065719999999999</v>
      </c>
      <c r="L3648">
        <v>145.06540000000001</v>
      </c>
      <c r="M3648">
        <v>-0.88587689999999997</v>
      </c>
      <c r="N3648">
        <v>0</v>
      </c>
      <c r="O3648">
        <v>-0.46344170000000001</v>
      </c>
      <c r="P3648">
        <v>-0.97005830000000004</v>
      </c>
      <c r="Q3648">
        <v>5.7570650000000001E-2</v>
      </c>
      <c r="R3648">
        <v>-0.23595089999999999</v>
      </c>
      <c r="S3648">
        <v>-3.029175</v>
      </c>
      <c r="T3648">
        <v>-0.20479919999999999</v>
      </c>
      <c r="U3648">
        <v>-0.33151249999999999</v>
      </c>
      <c r="V3648">
        <v>0.24365809999999999</v>
      </c>
      <c r="W3648">
        <v>6.7798849999999994E-2</v>
      </c>
      <c r="X3648">
        <v>0.96748849999999997</v>
      </c>
      <c r="Y3648">
        <v>0.36261949999999998</v>
      </c>
      <c r="Z3648">
        <v>4.2281609999999997E-2</v>
      </c>
      <c r="AA3648">
        <v>0.93097759999999996</v>
      </c>
      <c r="AB3648">
        <v>35</v>
      </c>
      <c r="AC3648">
        <v>-16.027199999999901</v>
      </c>
      <c r="AD3648">
        <v>-1.1065754155759999</v>
      </c>
      <c r="AE3648">
        <v>-1.6183000000000001</v>
      </c>
      <c r="AF3648">
        <v>5.96723027717427</v>
      </c>
      <c r="AG3648">
        <v>-1.1065754155759999</v>
      </c>
      <c r="AH3648">
        <v>14.881209824810799</v>
      </c>
      <c r="AI3648">
        <v>93.948205121958097</v>
      </c>
      <c r="AJ3648">
        <v>68.149661959808299</v>
      </c>
      <c r="AK3648">
        <v>16.071177684949799</v>
      </c>
      <c r="AL3648">
        <v>86.112429734411805</v>
      </c>
      <c r="AM3648">
        <v>75.864253978642907</v>
      </c>
      <c r="AN3648">
        <v>0.99999997569458998</v>
      </c>
    </row>
    <row r="3649" spans="1:40" x14ac:dyDescent="0.25">
      <c r="A3649" t="str">
        <f>"20190312151611148"</f>
        <v>20190312151611148</v>
      </c>
      <c r="B3649" t="str">
        <f>"1552374971141490"</f>
        <v>1552374971141490</v>
      </c>
      <c r="C3649" t="s">
        <v>40</v>
      </c>
      <c r="D3649">
        <v>4.5028370000000004</v>
      </c>
      <c r="E3649">
        <v>0.55307320000000004</v>
      </c>
      <c r="F3649" t="s">
        <v>43</v>
      </c>
      <c r="G3649">
        <v>-220.62960000000001</v>
      </c>
      <c r="H3649" s="1">
        <v>-4.8338780000000002E-6</v>
      </c>
      <c r="I3649">
        <v>143.9691</v>
      </c>
      <c r="J3649">
        <v>-208.66550000000001</v>
      </c>
      <c r="K3649">
        <v>1.1059570000000001</v>
      </c>
      <c r="L3649">
        <v>144.9119</v>
      </c>
      <c r="M3649">
        <v>-0.89171909999999899</v>
      </c>
      <c r="N3649">
        <v>0</v>
      </c>
      <c r="O3649">
        <v>-0.45210879999999998</v>
      </c>
      <c r="P3649">
        <v>-0.97226539999999995</v>
      </c>
      <c r="Q3649">
        <v>5.7779110000000002E-2</v>
      </c>
      <c r="R3649">
        <v>-0.2266311</v>
      </c>
      <c r="S3649">
        <v>-3.0428160000000002</v>
      </c>
      <c r="T3649">
        <v>-0.27411020000000003</v>
      </c>
      <c r="U3649">
        <v>-0.27156069999999999</v>
      </c>
      <c r="V3649">
        <v>0.24045830000000001</v>
      </c>
      <c r="W3649">
        <v>6.8430619999999998E-2</v>
      </c>
      <c r="X3649">
        <v>0.96824429999999995</v>
      </c>
      <c r="Y3649">
        <v>0.36797340000000001</v>
      </c>
      <c r="Z3649">
        <v>5.572034E-2</v>
      </c>
      <c r="AA3649">
        <v>0.92816529999999997</v>
      </c>
      <c r="AB3649">
        <v>35</v>
      </c>
      <c r="AC3649">
        <v>-11.9641</v>
      </c>
      <c r="AD3649">
        <v>-1.105961833878</v>
      </c>
      <c r="AE3649">
        <v>-0.94280000000000497</v>
      </c>
      <c r="AF3649">
        <v>4.5308772079632504</v>
      </c>
      <c r="AG3649">
        <v>-1.105961833878</v>
      </c>
      <c r="AH3649">
        <v>11.0038276355181</v>
      </c>
      <c r="AI3649">
        <v>95.309643750783806</v>
      </c>
      <c r="AJ3649">
        <v>67.620357533261995</v>
      </c>
      <c r="AK3649">
        <v>11.951410899296601</v>
      </c>
      <c r="AL3649">
        <v>86.076147746275296</v>
      </c>
      <c r="AM3649">
        <v>76.053056260877597</v>
      </c>
      <c r="AN3649">
        <v>0.99999998413748203</v>
      </c>
    </row>
    <row r="3650" spans="1:40" x14ac:dyDescent="0.25">
      <c r="A3650" t="str">
        <f>"20190312151611168"</f>
        <v>20190312151611168</v>
      </c>
      <c r="B3650" t="str">
        <f>"1552374971161010"</f>
        <v>1552374971161010</v>
      </c>
      <c r="C3650" t="s">
        <v>40</v>
      </c>
      <c r="D3650">
        <v>4.5209130000000002</v>
      </c>
      <c r="E3650">
        <v>0.55565369999999903</v>
      </c>
      <c r="F3650" t="s">
        <v>43</v>
      </c>
      <c r="G3650">
        <v>-221.31379999999999</v>
      </c>
      <c r="H3650" s="1">
        <v>-4.5823329999999996E-6</v>
      </c>
      <c r="I3650">
        <v>143.86359999999999</v>
      </c>
      <c r="J3650">
        <v>-208.97139999999999</v>
      </c>
      <c r="K3650">
        <v>1.105426</v>
      </c>
      <c r="L3650">
        <v>144.7696</v>
      </c>
      <c r="M3650">
        <v>-0.8971344</v>
      </c>
      <c r="N3650">
        <v>0</v>
      </c>
      <c r="O3650">
        <v>-0.44127729999999998</v>
      </c>
      <c r="P3650">
        <v>-0.97408660000000002</v>
      </c>
      <c r="Q3650">
        <v>5.7269929999999997E-2</v>
      </c>
      <c r="R3650">
        <v>-0.21880520000000001</v>
      </c>
      <c r="S3650">
        <v>-3.0426030000000002</v>
      </c>
      <c r="T3650">
        <v>-0.266044</v>
      </c>
      <c r="U3650">
        <v>-0.25216670000000002</v>
      </c>
      <c r="V3650">
        <v>0.23636270000000001</v>
      </c>
      <c r="W3650">
        <v>6.8316440000000006E-2</v>
      </c>
      <c r="X3650">
        <v>0.96926029999999996</v>
      </c>
      <c r="Y3650">
        <v>0.36281839999999999</v>
      </c>
      <c r="Z3650">
        <v>5.304416E-2</v>
      </c>
      <c r="AA3650">
        <v>0.93034890000000003</v>
      </c>
      <c r="AB3650">
        <v>35</v>
      </c>
      <c r="AC3650">
        <v>-12.3423999999999</v>
      </c>
      <c r="AD3650">
        <v>-1.105430582333</v>
      </c>
      <c r="AE3650">
        <v>-0.90600000000000602</v>
      </c>
      <c r="AF3650">
        <v>4.5979151206975502</v>
      </c>
      <c r="AG3650">
        <v>-1.105430582333</v>
      </c>
      <c r="AH3650">
        <v>11.384192456110901</v>
      </c>
      <c r="AI3650">
        <v>95.144811507031804</v>
      </c>
      <c r="AJ3650">
        <v>68.006910831166095</v>
      </c>
      <c r="AK3650">
        <v>12.327312687981401</v>
      </c>
      <c r="AL3650">
        <v>86.082705168856606</v>
      </c>
      <c r="AM3650">
        <v>76.295396375993505</v>
      </c>
      <c r="AN3650">
        <v>0.99999999554082597</v>
      </c>
    </row>
    <row r="3651" spans="1:40" x14ac:dyDescent="0.25">
      <c r="A3651" t="str">
        <f>"20190312151611191"</f>
        <v>20190312151611191</v>
      </c>
      <c r="B3651" t="str">
        <f>"1552374971181506"</f>
        <v>1552374971181506</v>
      </c>
      <c r="C3651" t="s">
        <v>40</v>
      </c>
      <c r="D3651">
        <v>4.3435940000000004</v>
      </c>
      <c r="E3651">
        <v>0.55576990000000004</v>
      </c>
      <c r="F3651" t="s">
        <v>46</v>
      </c>
      <c r="G3651">
        <v>0</v>
      </c>
      <c r="H3651">
        <v>0</v>
      </c>
      <c r="I3651">
        <v>0</v>
      </c>
      <c r="J3651">
        <v>-209.28399999999999</v>
      </c>
      <c r="K3651">
        <v>1.104932</v>
      </c>
      <c r="L3651">
        <v>144.6284</v>
      </c>
      <c r="M3651">
        <v>-0.9025069</v>
      </c>
      <c r="N3651">
        <v>0</v>
      </c>
      <c r="O3651">
        <v>-0.43019600000000002</v>
      </c>
      <c r="P3651">
        <v>-0.9758985</v>
      </c>
      <c r="Q3651">
        <v>5.4852980000000003E-2</v>
      </c>
      <c r="R3651">
        <v>-0.2112193</v>
      </c>
      <c r="S3651">
        <v>-3.0240330000000002</v>
      </c>
      <c r="T3651">
        <v>0.1049539</v>
      </c>
      <c r="U3651">
        <v>-0.22085569999999999</v>
      </c>
      <c r="V3651">
        <v>0.23178940000000001</v>
      </c>
      <c r="W3651">
        <v>6.6269259999999997E-2</v>
      </c>
      <c r="X3651">
        <v>0.97050610000000004</v>
      </c>
      <c r="Y3651">
        <v>0.36293189999999997</v>
      </c>
      <c r="Z3651">
        <v>-2.0757999999999999E-2</v>
      </c>
      <c r="AA3651">
        <v>0.93158439999999998</v>
      </c>
      <c r="AB3651">
        <v>35</v>
      </c>
      <c r="AC3651">
        <v>-3.0240330000000002</v>
      </c>
      <c r="AD3651">
        <v>0.1049539</v>
      </c>
      <c r="AE3651">
        <v>-0.22085569999999999</v>
      </c>
      <c r="AF3651">
        <v>1.1005119056483901</v>
      </c>
      <c r="AG3651">
        <v>0.1049539</v>
      </c>
      <c r="AH3651">
        <v>2.8214243317313699</v>
      </c>
      <c r="AI3651">
        <v>88.015158687303895</v>
      </c>
      <c r="AJ3651">
        <v>68.691459375405401</v>
      </c>
      <c r="AK3651">
        <v>3.0302767258593502</v>
      </c>
      <c r="AL3651">
        <v>86.2002665199295</v>
      </c>
      <c r="AM3651">
        <v>76.567477142665595</v>
      </c>
      <c r="AN3651">
        <v>1.00000001545525</v>
      </c>
    </row>
    <row r="3652" spans="1:40" x14ac:dyDescent="0.25">
      <c r="A3652" t="str">
        <f>"20190312151611212"</f>
        <v>20190312151611212</v>
      </c>
      <c r="B3652" t="str">
        <f>"1552374971201026"</f>
        <v>1552374971201026</v>
      </c>
      <c r="C3652" t="s">
        <v>40</v>
      </c>
      <c r="D3652">
        <v>4.3173529999999998</v>
      </c>
      <c r="E3652">
        <v>0.55438149999999997</v>
      </c>
      <c r="F3652" t="s">
        <v>46</v>
      </c>
      <c r="G3652">
        <v>0</v>
      </c>
      <c r="H3652">
        <v>0</v>
      </c>
      <c r="I3652">
        <v>0</v>
      </c>
      <c r="J3652">
        <v>-209.59</v>
      </c>
      <c r="K3652">
        <v>1.1044560000000001</v>
      </c>
      <c r="L3652">
        <v>144.49440000000001</v>
      </c>
      <c r="M3652">
        <v>-0.90758130000000004</v>
      </c>
      <c r="N3652">
        <v>0</v>
      </c>
      <c r="O3652">
        <v>-0.41939880000000002</v>
      </c>
      <c r="P3652">
        <v>-0.9779042</v>
      </c>
      <c r="Q3652">
        <v>5.333566E-2</v>
      </c>
      <c r="R3652">
        <v>-0.20213529999999999</v>
      </c>
      <c r="S3652">
        <v>-3.0259860000000001</v>
      </c>
      <c r="T3652">
        <v>9.9067210000000003E-2</v>
      </c>
      <c r="U3652">
        <v>-0.1965179</v>
      </c>
      <c r="V3652">
        <v>0.22908800000000001</v>
      </c>
      <c r="W3652">
        <v>6.4969840000000001E-2</v>
      </c>
      <c r="X3652">
        <v>0.97123510000000002</v>
      </c>
      <c r="Y3652">
        <v>0.35936980000000002</v>
      </c>
      <c r="Z3652">
        <v>-1.9212340000000001E-2</v>
      </c>
      <c r="AA3652">
        <v>0.93299750000000004</v>
      </c>
      <c r="AB3652">
        <v>35</v>
      </c>
      <c r="AC3652">
        <v>-3.0259860000000001</v>
      </c>
      <c r="AD3652">
        <v>9.9067210000000003E-2</v>
      </c>
      <c r="AE3652">
        <v>-0.1965179</v>
      </c>
      <c r="AF3652">
        <v>1.0897944236249899</v>
      </c>
      <c r="AG3652">
        <v>9.9067210000000003E-2</v>
      </c>
      <c r="AH3652">
        <v>2.82629818453163</v>
      </c>
      <c r="AI3652">
        <v>88.1268168465093</v>
      </c>
      <c r="AJ3652">
        <v>68.913822388802103</v>
      </c>
      <c r="AK3652">
        <v>3.03074704087097</v>
      </c>
      <c r="AL3652">
        <v>86.274878579742406</v>
      </c>
      <c r="AM3652">
        <v>76.728064204791494</v>
      </c>
      <c r="AN3652">
        <v>1.00000000566281</v>
      </c>
    </row>
    <row r="3653" spans="1:40" x14ac:dyDescent="0.25">
      <c r="A3653" t="str">
        <f>"20190312151611236"</f>
        <v>20190312151611236</v>
      </c>
      <c r="B3653" t="str">
        <f>"1552374971231282"</f>
        <v>1552374971231282</v>
      </c>
      <c r="C3653" t="s">
        <v>40</v>
      </c>
      <c r="D3653">
        <v>4.6894179999999999</v>
      </c>
      <c r="E3653">
        <v>0.55334969999999895</v>
      </c>
      <c r="F3653" t="s">
        <v>46</v>
      </c>
      <c r="G3653">
        <v>0</v>
      </c>
      <c r="H3653">
        <v>0</v>
      </c>
      <c r="I3653">
        <v>0</v>
      </c>
      <c r="J3653">
        <v>-209.92250000000001</v>
      </c>
      <c r="K3653">
        <v>1.103925</v>
      </c>
      <c r="L3653">
        <v>144.3535</v>
      </c>
      <c r="M3653">
        <v>-0.91283419999999904</v>
      </c>
      <c r="N3653">
        <v>0</v>
      </c>
      <c r="O3653">
        <v>-0.40785660000000001</v>
      </c>
      <c r="P3653">
        <v>-0.97948550000000001</v>
      </c>
      <c r="Q3653">
        <v>5.2269999999999997E-2</v>
      </c>
      <c r="R3653">
        <v>-0.1946184</v>
      </c>
      <c r="S3653">
        <v>-3.0252840000000001</v>
      </c>
      <c r="T3653">
        <v>9.9228259999999999E-2</v>
      </c>
      <c r="U3653">
        <v>-0.1794586</v>
      </c>
      <c r="V3653">
        <v>0.22409589999999999</v>
      </c>
      <c r="W3653">
        <v>6.4118540000000002E-2</v>
      </c>
      <c r="X3653">
        <v>0.97245559999999998</v>
      </c>
      <c r="Y3653">
        <v>0.35276010000000002</v>
      </c>
      <c r="Z3653">
        <v>-1.8799400000000001E-2</v>
      </c>
      <c r="AA3653">
        <v>0.93552489999999999</v>
      </c>
      <c r="AB3653">
        <v>35</v>
      </c>
      <c r="AC3653">
        <v>-3.0252840000000001</v>
      </c>
      <c r="AD3653">
        <v>9.9228259999999999E-2</v>
      </c>
      <c r="AE3653">
        <v>-0.1794586</v>
      </c>
      <c r="AF3653">
        <v>1.0691269132536101</v>
      </c>
      <c r="AG3653">
        <v>9.9228259999999999E-2</v>
      </c>
      <c r="AH3653">
        <v>2.83228802200854</v>
      </c>
      <c r="AI3653">
        <v>88.122677102581306</v>
      </c>
      <c r="AJ3653">
        <v>69.319572842604202</v>
      </c>
      <c r="AK3653">
        <v>3.02898234459016</v>
      </c>
      <c r="AL3653">
        <v>86.323756473349206</v>
      </c>
      <c r="AM3653">
        <v>77.023113462058106</v>
      </c>
      <c r="AN3653">
        <v>1.00000002676995</v>
      </c>
    </row>
    <row r="3654" spans="1:40" x14ac:dyDescent="0.25">
      <c r="A3654" t="str">
        <f>"20190312151611258"</f>
        <v>20190312151611258</v>
      </c>
      <c r="B3654" t="str">
        <f>"1552374971251778"</f>
        <v>1552374971251778</v>
      </c>
      <c r="C3654" t="s">
        <v>40</v>
      </c>
      <c r="D3654">
        <v>4.472143</v>
      </c>
      <c r="E3654">
        <v>0.5526858</v>
      </c>
      <c r="F3654" t="s">
        <v>48</v>
      </c>
      <c r="G3654">
        <v>-460.69749999999999</v>
      </c>
      <c r="H3654">
        <v>9.0543630000000004</v>
      </c>
      <c r="I3654">
        <v>130.73259999999999</v>
      </c>
      <c r="J3654">
        <v>-210.26429999999999</v>
      </c>
      <c r="K3654">
        <v>1.103369</v>
      </c>
      <c r="L3654">
        <v>144.21340000000001</v>
      </c>
      <c r="M3654">
        <v>-0.9179292</v>
      </c>
      <c r="N3654">
        <v>0</v>
      </c>
      <c r="O3654">
        <v>-0.39627449999999997</v>
      </c>
      <c r="P3654">
        <v>-0.98106919999999997</v>
      </c>
      <c r="Q3654">
        <v>5.065335E-2</v>
      </c>
      <c r="R3654">
        <v>-0.18691559999999999</v>
      </c>
      <c r="S3654">
        <v>-3.0250699999999999</v>
      </c>
      <c r="T3654">
        <v>9.5905539999999997E-2</v>
      </c>
      <c r="U3654">
        <v>-0.1643066</v>
      </c>
      <c r="V3654">
        <v>0.21930939999999999</v>
      </c>
      <c r="W3654">
        <v>6.2606209999999995E-2</v>
      </c>
      <c r="X3654">
        <v>0.97364459999999997</v>
      </c>
      <c r="Y3654">
        <v>0.34561059999999999</v>
      </c>
      <c r="Z3654">
        <v>-1.7724839999999999E-2</v>
      </c>
      <c r="AA3654">
        <v>0.93821060000000001</v>
      </c>
      <c r="AB3654">
        <v>35</v>
      </c>
      <c r="AC3654">
        <v>-250.4332</v>
      </c>
      <c r="AD3654">
        <v>7.9509939999999997</v>
      </c>
      <c r="AE3654">
        <v>-13.4808</v>
      </c>
      <c r="AF3654">
        <v>86.794818539678403</v>
      </c>
      <c r="AG3654">
        <v>7.9509939999999997</v>
      </c>
      <c r="AH3654">
        <v>235.02964251002399</v>
      </c>
      <c r="AI3654">
        <v>88.182332678146196</v>
      </c>
      <c r="AJ3654">
        <v>69.731161213002196</v>
      </c>
      <c r="AK3654">
        <v>250.670085349875</v>
      </c>
      <c r="AL3654">
        <v>86.410580899753199</v>
      </c>
      <c r="AM3654">
        <v>77.306210106810695</v>
      </c>
      <c r="AN3654">
        <v>0.99999997878404101</v>
      </c>
    </row>
    <row r="3655" spans="1:40" x14ac:dyDescent="0.25">
      <c r="A3655" t="str">
        <f>"20190312151611280"</f>
        <v>20190312151611280</v>
      </c>
      <c r="B3655" t="str">
        <f>"1552374971271298"</f>
        <v>1552374971271298</v>
      </c>
      <c r="C3655" t="s">
        <v>40</v>
      </c>
      <c r="D3655">
        <v>4.2582199999999997</v>
      </c>
      <c r="E3655">
        <v>0.55206619999999995</v>
      </c>
      <c r="F3655" t="s">
        <v>46</v>
      </c>
      <c r="G3655">
        <v>0</v>
      </c>
      <c r="H3655">
        <v>0</v>
      </c>
      <c r="I3655">
        <v>0</v>
      </c>
      <c r="J3655">
        <v>-210.5712</v>
      </c>
      <c r="K3655">
        <v>1.102886</v>
      </c>
      <c r="L3655">
        <v>144.0915</v>
      </c>
      <c r="M3655">
        <v>-0.92226039999999998</v>
      </c>
      <c r="N3655">
        <v>0</v>
      </c>
      <c r="O3655">
        <v>-0.38610470000000002</v>
      </c>
      <c r="P3655">
        <v>-0.98229469999999997</v>
      </c>
      <c r="Q3655">
        <v>4.9471859999999999E-2</v>
      </c>
      <c r="R3655">
        <v>-0.18069299999999999</v>
      </c>
      <c r="S3655">
        <v>-3.0252530000000002</v>
      </c>
      <c r="T3655">
        <v>9.350348E-2</v>
      </c>
      <c r="U3655">
        <v>-0.14593510000000001</v>
      </c>
      <c r="V3655">
        <v>0.2146256</v>
      </c>
      <c r="W3655">
        <v>6.146828E-2</v>
      </c>
      <c r="X3655">
        <v>0.97476019999999997</v>
      </c>
      <c r="Y3655">
        <v>0.34094289999999999</v>
      </c>
      <c r="Z3655">
        <v>-1.692227E-2</v>
      </c>
      <c r="AA3655">
        <v>0.93993170000000004</v>
      </c>
      <c r="AB3655">
        <v>35</v>
      </c>
      <c r="AC3655">
        <v>-3.0252530000000002</v>
      </c>
      <c r="AD3655">
        <v>9.350348E-2</v>
      </c>
      <c r="AE3655">
        <v>-0.14593510000000001</v>
      </c>
      <c r="AF3655">
        <v>1.03267554568005</v>
      </c>
      <c r="AG3655">
        <v>9.350348E-2</v>
      </c>
      <c r="AH3655">
        <v>2.84421749329631</v>
      </c>
      <c r="AI3655">
        <v>88.230055982124497</v>
      </c>
      <c r="AJ3655">
        <v>70.045105259747004</v>
      </c>
      <c r="AK3655">
        <v>3.0273313053893598</v>
      </c>
      <c r="AL3655">
        <v>86.475905294744905</v>
      </c>
      <c r="AM3655">
        <v>77.582582189222293</v>
      </c>
      <c r="AN3655">
        <v>0.99999997256277795</v>
      </c>
    </row>
    <row r="3656" spans="1:40" x14ac:dyDescent="0.25">
      <c r="A3656" t="str">
        <f>"20190312151611302"</f>
        <v>20190312151611302</v>
      </c>
      <c r="B3656" t="str">
        <f>"1552374971291794"</f>
        <v>1552374971291794</v>
      </c>
      <c r="C3656" t="s">
        <v>40</v>
      </c>
      <c r="D3656">
        <v>4.3973990000000001</v>
      </c>
      <c r="E3656">
        <v>0.55135519999999905</v>
      </c>
      <c r="F3656" t="s">
        <v>46</v>
      </c>
      <c r="G3656">
        <v>0</v>
      </c>
      <c r="H3656">
        <v>0</v>
      </c>
      <c r="I3656">
        <v>0</v>
      </c>
      <c r="J3656">
        <v>-210.90479999999999</v>
      </c>
      <c r="K3656">
        <v>1.102414</v>
      </c>
      <c r="L3656">
        <v>143.9633</v>
      </c>
      <c r="M3656">
        <v>-0.92672370000000004</v>
      </c>
      <c r="N3656">
        <v>0</v>
      </c>
      <c r="O3656">
        <v>-0.37528430000000002</v>
      </c>
      <c r="P3656">
        <v>-0.98354909999999995</v>
      </c>
      <c r="Q3656">
        <v>4.9417709999999997E-2</v>
      </c>
      <c r="R3656">
        <v>-0.17375019999999999</v>
      </c>
      <c r="S3656">
        <v>-3.0250699999999999</v>
      </c>
      <c r="T3656">
        <v>9.4383120000000001E-2</v>
      </c>
      <c r="U3656">
        <v>-0.13182070000000001</v>
      </c>
      <c r="V3656">
        <v>0.21002480000000001</v>
      </c>
      <c r="W3656">
        <v>6.1400219999999998E-2</v>
      </c>
      <c r="X3656">
        <v>0.97576609999999997</v>
      </c>
      <c r="Y3656">
        <v>0.33430520000000002</v>
      </c>
      <c r="Z3656">
        <v>-1.6668229999999999E-2</v>
      </c>
      <c r="AA3656">
        <v>0.94231750000000003</v>
      </c>
      <c r="AB3656">
        <v>35</v>
      </c>
      <c r="AC3656">
        <v>-3.0250699999999999</v>
      </c>
      <c r="AD3656">
        <v>9.4383120000000001E-2</v>
      </c>
      <c r="AE3656">
        <v>-0.13182070000000001</v>
      </c>
      <c r="AF3656">
        <v>1.0122910971725101</v>
      </c>
      <c r="AG3656">
        <v>9.4383120000000001E-2</v>
      </c>
      <c r="AH3656">
        <v>2.8505966957956201</v>
      </c>
      <c r="AI3656">
        <v>88.212893307722496</v>
      </c>
      <c r="AJ3656">
        <v>70.449260406830703</v>
      </c>
      <c r="AK3656">
        <v>3.0264736841473701</v>
      </c>
      <c r="AL3656">
        <v>86.479812120272797</v>
      </c>
      <c r="AM3656">
        <v>77.852926278715401</v>
      </c>
      <c r="AN3656">
        <v>0.99999994277014703</v>
      </c>
    </row>
    <row r="3657" spans="1:40" x14ac:dyDescent="0.25">
      <c r="A3657" t="str">
        <f>"20190312151611325"</f>
        <v>20190312151611325</v>
      </c>
      <c r="B3657" t="str">
        <f>"1552374971321074"</f>
        <v>1552374971321074</v>
      </c>
      <c r="C3657" t="s">
        <v>40</v>
      </c>
      <c r="D3657">
        <v>4.487768</v>
      </c>
      <c r="E3657">
        <v>0.55042269999999904</v>
      </c>
      <c r="F3657" t="s">
        <v>46</v>
      </c>
      <c r="G3657">
        <v>0</v>
      </c>
      <c r="H3657">
        <v>0</v>
      </c>
      <c r="I3657">
        <v>0</v>
      </c>
      <c r="J3657">
        <v>-211.23939999999999</v>
      </c>
      <c r="K3657">
        <v>1.102023</v>
      </c>
      <c r="L3657">
        <v>143.839</v>
      </c>
      <c r="M3657">
        <v>-0.93096789999999996</v>
      </c>
      <c r="N3657">
        <v>0</v>
      </c>
      <c r="O3657">
        <v>-0.3646472</v>
      </c>
      <c r="P3657">
        <v>-0.9846298</v>
      </c>
      <c r="Q3657">
        <v>5.1156689999999998E-2</v>
      </c>
      <c r="R3657">
        <v>-0.16699530000000001</v>
      </c>
      <c r="S3657">
        <v>-3.024826</v>
      </c>
      <c r="T3657">
        <v>9.6551300000000007E-2</v>
      </c>
      <c r="U3657">
        <v>-0.1160431</v>
      </c>
      <c r="V3657">
        <v>0.20549529999999999</v>
      </c>
      <c r="W3657">
        <v>6.310209E-2</v>
      </c>
      <c r="X3657">
        <v>0.97662159999999998</v>
      </c>
      <c r="Y3657">
        <v>0.32840000000000003</v>
      </c>
      <c r="Z3657">
        <v>-1.6644269999999999E-2</v>
      </c>
      <c r="AA3657">
        <v>0.94439209999999996</v>
      </c>
      <c r="AB3657">
        <v>34</v>
      </c>
      <c r="AC3657">
        <v>-3.024826</v>
      </c>
      <c r="AD3657">
        <v>9.6551300000000007E-2</v>
      </c>
      <c r="AE3657">
        <v>-0.1160431</v>
      </c>
      <c r="AF3657">
        <v>0.994115353219856</v>
      </c>
      <c r="AG3657">
        <v>9.6551300000000007E-2</v>
      </c>
      <c r="AH3657">
        <v>2.8558986505673101</v>
      </c>
      <c r="AI3657">
        <v>88.171246777484598</v>
      </c>
      <c r="AJ3657">
        <v>70.807403869921004</v>
      </c>
      <c r="AK3657">
        <v>3.0255155909945799</v>
      </c>
      <c r="AL3657">
        <v>86.382112749553301</v>
      </c>
      <c r="AM3657">
        <v>78.117479339260896</v>
      </c>
      <c r="AN3657">
        <v>0.99999997083550796</v>
      </c>
    </row>
    <row r="3658" spans="1:40" x14ac:dyDescent="0.25">
      <c r="A3658" t="str">
        <f>"20190312151611349"</f>
        <v>20190312151611349</v>
      </c>
      <c r="B3658" t="str">
        <f>"1552374971341569"</f>
        <v>1552374971341569</v>
      </c>
      <c r="C3658" t="s">
        <v>40</v>
      </c>
      <c r="D3658">
        <v>4.6080880000000004</v>
      </c>
      <c r="E3658">
        <v>0.55016390000000004</v>
      </c>
      <c r="F3658" t="s">
        <v>46</v>
      </c>
      <c r="G3658">
        <v>0</v>
      </c>
      <c r="H3658">
        <v>0</v>
      </c>
      <c r="I3658">
        <v>0</v>
      </c>
      <c r="J3658">
        <v>-211.57570000000001</v>
      </c>
      <c r="K3658">
        <v>1.1017060000000001</v>
      </c>
      <c r="L3658">
        <v>143.7183</v>
      </c>
      <c r="M3658">
        <v>-0.93502439999999998</v>
      </c>
      <c r="N3658">
        <v>0</v>
      </c>
      <c r="O3658">
        <v>-0.35413359999999999</v>
      </c>
      <c r="P3658">
        <v>-0.98559529999999995</v>
      </c>
      <c r="Q3658">
        <v>5.3024059999999998E-2</v>
      </c>
      <c r="R3658">
        <v>-0.1605925</v>
      </c>
      <c r="S3658">
        <v>-3.0238489999999998</v>
      </c>
      <c r="T3658">
        <v>0.1065209</v>
      </c>
      <c r="U3658">
        <v>-0.10289</v>
      </c>
      <c r="V3658">
        <v>0.2007873</v>
      </c>
      <c r="W3658">
        <v>6.4932699999999996E-2</v>
      </c>
      <c r="X3658">
        <v>0.97748049999999997</v>
      </c>
      <c r="Y3658">
        <v>0.32177309999999998</v>
      </c>
      <c r="Z3658">
        <v>-1.7906080000000001E-2</v>
      </c>
      <c r="AA3658">
        <v>0.94664749999999998</v>
      </c>
      <c r="AB3658">
        <v>34</v>
      </c>
      <c r="AC3658">
        <v>-3.0238489999999998</v>
      </c>
      <c r="AD3658">
        <v>0.1065209</v>
      </c>
      <c r="AE3658">
        <v>-0.10289</v>
      </c>
      <c r="AF3658">
        <v>0.97359048309326601</v>
      </c>
      <c r="AG3658">
        <v>0.1065209</v>
      </c>
      <c r="AH3658">
        <v>2.8607200871432998</v>
      </c>
      <c r="AI3658">
        <v>87.981148910303205</v>
      </c>
      <c r="AJ3658">
        <v>71.204991103984</v>
      </c>
      <c r="AK3658">
        <v>3.0237302372883401</v>
      </c>
      <c r="AL3658">
        <v>86.2770108836405</v>
      </c>
      <c r="AM3658">
        <v>78.392161287669595</v>
      </c>
      <c r="AN3658">
        <v>0.99999996162541405</v>
      </c>
    </row>
    <row r="3659" spans="1:40" x14ac:dyDescent="0.25">
      <c r="A3659" t="str">
        <f>"20190312151611369"</f>
        <v>20190312151611369</v>
      </c>
      <c r="B3659" t="str">
        <f>"1552374971362066"</f>
        <v>1552374971362066</v>
      </c>
      <c r="C3659" t="s">
        <v>40</v>
      </c>
      <c r="D3659">
        <v>4.5165009999999999</v>
      </c>
      <c r="E3659">
        <v>0.5416666</v>
      </c>
      <c r="F3659" t="s">
        <v>46</v>
      </c>
      <c r="G3659">
        <v>0</v>
      </c>
      <c r="H3659">
        <v>0</v>
      </c>
      <c r="I3659">
        <v>0</v>
      </c>
      <c r="J3659">
        <v>-211.88200000000001</v>
      </c>
      <c r="K3659">
        <v>1.1014759999999999</v>
      </c>
      <c r="L3659">
        <v>143.61199999999999</v>
      </c>
      <c r="M3659">
        <v>-0.93854950000000004</v>
      </c>
      <c r="N3659">
        <v>0</v>
      </c>
      <c r="O3659">
        <v>-0.34469820000000001</v>
      </c>
      <c r="P3659">
        <v>-0.98630200000000001</v>
      </c>
      <c r="Q3659">
        <v>5.4800679999999997E-2</v>
      </c>
      <c r="R3659">
        <v>-0.1555801</v>
      </c>
      <c r="S3659">
        <v>-3.0239410000000002</v>
      </c>
      <c r="T3659">
        <v>0.1119469</v>
      </c>
      <c r="U3659">
        <v>-8.5174559999999996E-2</v>
      </c>
      <c r="V3659">
        <v>0.1958666</v>
      </c>
      <c r="W3659">
        <v>6.6698899999999894E-2</v>
      </c>
      <c r="X3659">
        <v>0.9783596</v>
      </c>
      <c r="Y3659">
        <v>0.31774039999999998</v>
      </c>
      <c r="Z3659">
        <v>-1.8416930000000001E-2</v>
      </c>
      <c r="AA3659">
        <v>0.94799889999999998</v>
      </c>
      <c r="AB3659">
        <v>34</v>
      </c>
      <c r="AC3659">
        <v>-3.0239410000000002</v>
      </c>
      <c r="AD3659">
        <v>0.1119469</v>
      </c>
      <c r="AE3659">
        <v>-8.5174559999999996E-2</v>
      </c>
      <c r="AF3659">
        <v>0.96123838921122196</v>
      </c>
      <c r="AG3659">
        <v>0.1119469</v>
      </c>
      <c r="AH3659">
        <v>2.86399752274896</v>
      </c>
      <c r="AI3659">
        <v>87.877807211418698</v>
      </c>
      <c r="AJ3659">
        <v>71.446794198403595</v>
      </c>
      <c r="AK3659">
        <v>3.0230767703823198</v>
      </c>
      <c r="AL3659">
        <v>86.175595269408802</v>
      </c>
      <c r="AM3659">
        <v>78.679105382150993</v>
      </c>
      <c r="AN3659">
        <v>0.99999998758446496</v>
      </c>
    </row>
    <row r="3660" spans="1:40" x14ac:dyDescent="0.25">
      <c r="A3660" t="str">
        <f>"20190312151611392"</f>
        <v>20190312151611392</v>
      </c>
      <c r="B3660" t="str">
        <f>"1552374971381586"</f>
        <v>1552374971381586</v>
      </c>
      <c r="C3660" t="s">
        <v>40</v>
      </c>
      <c r="D3660">
        <v>4.4908219999999996</v>
      </c>
      <c r="E3660">
        <v>0.54100429999999999</v>
      </c>
      <c r="F3660" t="s">
        <v>46</v>
      </c>
      <c r="G3660">
        <v>0</v>
      </c>
      <c r="H3660">
        <v>0</v>
      </c>
      <c r="I3660">
        <v>0</v>
      </c>
      <c r="J3660">
        <v>-212.2045</v>
      </c>
      <c r="K3660">
        <v>1.1012949999999999</v>
      </c>
      <c r="L3660">
        <v>143.50370000000001</v>
      </c>
      <c r="M3660">
        <v>-0.94210159999999998</v>
      </c>
      <c r="N3660">
        <v>0</v>
      </c>
      <c r="O3660">
        <v>-0.3348835</v>
      </c>
      <c r="P3660">
        <v>-0.98702140000000005</v>
      </c>
      <c r="Q3660">
        <v>5.6275369999999998E-2</v>
      </c>
      <c r="R3660">
        <v>-0.15040590000000001</v>
      </c>
      <c r="S3660">
        <v>-3.0114899999999998</v>
      </c>
      <c r="T3660">
        <v>0.15162059999999999</v>
      </c>
      <c r="U3660">
        <v>-0.1379089</v>
      </c>
      <c r="V3660">
        <v>0.19073660000000001</v>
      </c>
      <c r="W3660">
        <v>6.8167069999999996E-2</v>
      </c>
      <c r="X3660">
        <v>0.97927160000000002</v>
      </c>
      <c r="Y3660">
        <v>0.2907035</v>
      </c>
      <c r="Z3660">
        <v>-2.387046E-2</v>
      </c>
      <c r="AA3660">
        <v>0.95651540000000002</v>
      </c>
      <c r="AB3660">
        <v>34</v>
      </c>
      <c r="AC3660">
        <v>-3.0114899999999998</v>
      </c>
      <c r="AD3660">
        <v>0.15162059999999999</v>
      </c>
      <c r="AE3660">
        <v>-0.1379089</v>
      </c>
      <c r="AF3660">
        <v>0.87648776229630998</v>
      </c>
      <c r="AG3660">
        <v>0.15162059999999999</v>
      </c>
      <c r="AH3660">
        <v>2.87646594666526</v>
      </c>
      <c r="AI3660">
        <v>87.113483423170393</v>
      </c>
      <c r="AJ3660">
        <v>73.053500200114399</v>
      </c>
      <c r="AK3660">
        <v>3.0108596689524401</v>
      </c>
      <c r="AL3660">
        <v>86.091283584802895</v>
      </c>
      <c r="AM3660">
        <v>78.978268657256294</v>
      </c>
      <c r="AN3660">
        <v>1.00000003328925</v>
      </c>
    </row>
    <row r="3661" spans="1:40" x14ac:dyDescent="0.25">
      <c r="A3661" t="str">
        <f>"20190312151611414"</f>
        <v>20190312151611414</v>
      </c>
      <c r="B3661" t="str">
        <f>"1552374971411842"</f>
        <v>1552374971411842</v>
      </c>
      <c r="C3661" t="s">
        <v>40</v>
      </c>
      <c r="D3661">
        <v>4.5922269999999896</v>
      </c>
      <c r="E3661">
        <v>0.53184160000000003</v>
      </c>
      <c r="F3661" t="s">
        <v>46</v>
      </c>
      <c r="G3661">
        <v>0</v>
      </c>
      <c r="H3661">
        <v>0</v>
      </c>
      <c r="I3661">
        <v>0</v>
      </c>
      <c r="J3661">
        <v>-212.54689999999999</v>
      </c>
      <c r="K3661">
        <v>1.101146</v>
      </c>
      <c r="L3661">
        <v>143.39269999999999</v>
      </c>
      <c r="M3661">
        <v>-0.9457004</v>
      </c>
      <c r="N3661">
        <v>0</v>
      </c>
      <c r="O3661">
        <v>-0.32459700000000002</v>
      </c>
      <c r="P3661">
        <v>-0.98779229999999996</v>
      </c>
      <c r="Q3661">
        <v>5.6999729999999998E-2</v>
      </c>
      <c r="R3661">
        <v>-0.14497479999999999</v>
      </c>
      <c r="S3661">
        <v>-3.011917</v>
      </c>
      <c r="T3661">
        <v>0.14396909999999999</v>
      </c>
      <c r="U3661">
        <v>-0.12689210000000001</v>
      </c>
      <c r="V3661">
        <v>0.18539610000000001</v>
      </c>
      <c r="W3661">
        <v>6.8889199999999998E-2</v>
      </c>
      <c r="X3661">
        <v>0.98024619999999996</v>
      </c>
      <c r="Y3661">
        <v>0.28386240000000001</v>
      </c>
      <c r="Z3661">
        <v>-2.2037359999999999E-2</v>
      </c>
      <c r="AA3661">
        <v>0.95861180000000001</v>
      </c>
      <c r="AB3661">
        <v>34</v>
      </c>
      <c r="AC3661">
        <v>-3.011917</v>
      </c>
      <c r="AD3661">
        <v>0.14396909999999999</v>
      </c>
      <c r="AE3661">
        <v>-0.12689210000000001</v>
      </c>
      <c r="AF3661">
        <v>0.85582869258651695</v>
      </c>
      <c r="AG3661">
        <v>0.14396909999999999</v>
      </c>
      <c r="AH3661">
        <v>2.88339904572147</v>
      </c>
      <c r="AI3661">
        <v>87.259549977467302</v>
      </c>
      <c r="AJ3661">
        <v>73.468456547774693</v>
      </c>
      <c r="AK3661">
        <v>3.0111725141008798</v>
      </c>
      <c r="AL3661">
        <v>86.049811053825593</v>
      </c>
      <c r="AM3661">
        <v>79.290030565597306</v>
      </c>
      <c r="AN3661">
        <v>1.0000000241931399</v>
      </c>
    </row>
    <row r="3662" spans="1:40" x14ac:dyDescent="0.25">
      <c r="A3662" t="str">
        <f>"20190312151611438"</f>
        <v>20190312151611438</v>
      </c>
      <c r="B3662" t="str">
        <f>"1552374971431362"</f>
        <v>1552374971431362</v>
      </c>
      <c r="C3662" t="s">
        <v>40</v>
      </c>
      <c r="D3662">
        <v>4.5806339999999999</v>
      </c>
      <c r="E3662">
        <v>0.51889030000000003</v>
      </c>
      <c r="F3662" t="s">
        <v>46</v>
      </c>
      <c r="G3662">
        <v>0</v>
      </c>
      <c r="H3662">
        <v>0</v>
      </c>
      <c r="I3662">
        <v>0</v>
      </c>
      <c r="J3662">
        <v>-212.89189999999999</v>
      </c>
      <c r="K3662">
        <v>1.1010439999999999</v>
      </c>
      <c r="L3662">
        <v>143.2852</v>
      </c>
      <c r="M3662">
        <v>-0.94915430000000001</v>
      </c>
      <c r="N3662">
        <v>0</v>
      </c>
      <c r="O3662">
        <v>-0.31436779999999998</v>
      </c>
      <c r="P3662">
        <v>-0.98846020000000001</v>
      </c>
      <c r="Q3662">
        <v>5.7967449999999997E-2</v>
      </c>
      <c r="R3662">
        <v>-0.13995109999999999</v>
      </c>
      <c r="S3662">
        <v>-3.0035099999999999</v>
      </c>
      <c r="T3662">
        <v>0.1189518</v>
      </c>
      <c r="U3662">
        <v>-0.1819153</v>
      </c>
      <c r="V3662">
        <v>0.1797464</v>
      </c>
      <c r="W3662">
        <v>6.9870059999999998E-2</v>
      </c>
      <c r="X3662">
        <v>0.98122849999999995</v>
      </c>
      <c r="Y3662">
        <v>0.25600869999999998</v>
      </c>
      <c r="Z3662">
        <v>-1.730746E-2</v>
      </c>
      <c r="AA3662">
        <v>0.96651949999999998</v>
      </c>
      <c r="AB3662">
        <v>34</v>
      </c>
      <c r="AC3662">
        <v>-3.0035099999999999</v>
      </c>
      <c r="AD3662">
        <v>0.1189518</v>
      </c>
      <c r="AE3662">
        <v>-0.1819153</v>
      </c>
      <c r="AF3662">
        <v>0.77044477076011497</v>
      </c>
      <c r="AG3662">
        <v>0.1189518</v>
      </c>
      <c r="AH3662">
        <v>2.90385045920815</v>
      </c>
      <c r="AI3662">
        <v>87.732638229861294</v>
      </c>
      <c r="AJ3662">
        <v>75.140731805834093</v>
      </c>
      <c r="AK3662">
        <v>3.00667293947284</v>
      </c>
      <c r="AL3662">
        <v>85.993475994412904</v>
      </c>
      <c r="AM3662">
        <v>79.619361674071996</v>
      </c>
      <c r="AN3662">
        <v>0.99999998140480595</v>
      </c>
    </row>
    <row r="3663" spans="1:40" x14ac:dyDescent="0.25">
      <c r="A3663" t="str">
        <f>"20190312151611458"</f>
        <v>20190312151611458</v>
      </c>
      <c r="B3663" t="str">
        <f>"1552374971451858"</f>
        <v>1552374971451858</v>
      </c>
      <c r="C3663" t="s">
        <v>40</v>
      </c>
      <c r="D3663">
        <v>4.57979</v>
      </c>
      <c r="E3663">
        <v>0.51837290000000003</v>
      </c>
      <c r="F3663" t="s">
        <v>43</v>
      </c>
      <c r="G3663">
        <v>-224.79929999999999</v>
      </c>
      <c r="H3663" s="1">
        <v>-2.9203519999999898E-6</v>
      </c>
      <c r="I3663">
        <v>142.27330000000001</v>
      </c>
      <c r="J3663">
        <v>-213.19890000000001</v>
      </c>
      <c r="K3663">
        <v>1.1009739999999999</v>
      </c>
      <c r="L3663">
        <v>143.1927</v>
      </c>
      <c r="M3663">
        <v>-0.95209560000000004</v>
      </c>
      <c r="N3663">
        <v>0</v>
      </c>
      <c r="O3663">
        <v>-0.3053553</v>
      </c>
      <c r="P3663">
        <v>-0.98889780000000005</v>
      </c>
      <c r="Q3663">
        <v>5.966511E-2</v>
      </c>
      <c r="R3663">
        <v>-0.13609489999999999</v>
      </c>
      <c r="S3663">
        <v>-3.0151059999999998</v>
      </c>
      <c r="T3663">
        <v>-0.27880070000000001</v>
      </c>
      <c r="U3663">
        <v>-0.2562103</v>
      </c>
      <c r="V3663">
        <v>0.174235</v>
      </c>
      <c r="W3663">
        <v>7.1597610000000006E-2</v>
      </c>
      <c r="X3663">
        <v>0.98209769999999996</v>
      </c>
      <c r="Y3663">
        <v>0.2214893</v>
      </c>
      <c r="Z3663">
        <v>3.78941E-2</v>
      </c>
      <c r="AA3663">
        <v>0.97442629999999997</v>
      </c>
      <c r="AB3663">
        <v>34</v>
      </c>
      <c r="AC3663">
        <v>-11.600399999999899</v>
      </c>
      <c r="AD3663">
        <v>-1.1009769203519999</v>
      </c>
      <c r="AE3663">
        <v>-0.919399999999996</v>
      </c>
      <c r="AF3663">
        <v>2.6435860449762001</v>
      </c>
      <c r="AG3663">
        <v>-1.1009769203519999</v>
      </c>
      <c r="AH3663">
        <v>11.226481911347999</v>
      </c>
      <c r="AI3663">
        <v>95.452860860619893</v>
      </c>
      <c r="AJ3663">
        <v>76.749514246102095</v>
      </c>
      <c r="AK3663">
        <v>11.585965366000501</v>
      </c>
      <c r="AL3663">
        <v>85.894246071653598</v>
      </c>
      <c r="AM3663">
        <v>79.939770620626902</v>
      </c>
      <c r="AN3663">
        <v>0.99999997266399998</v>
      </c>
    </row>
    <row r="3664" spans="1:40" x14ac:dyDescent="0.25">
      <c r="A3664" t="str">
        <f>"20190312151611482"</f>
        <v>20190312151611482</v>
      </c>
      <c r="B3664" t="str">
        <f>"1552374971471378"</f>
        <v>1552374971471378</v>
      </c>
      <c r="C3664" t="s">
        <v>40</v>
      </c>
      <c r="D3664">
        <v>4.5098079999999996</v>
      </c>
      <c r="E3664">
        <v>0.51835399999999998</v>
      </c>
      <c r="F3664" t="s">
        <v>43</v>
      </c>
      <c r="G3664">
        <v>-225.339</v>
      </c>
      <c r="H3664" s="1">
        <v>-2.666984E-6</v>
      </c>
      <c r="I3664">
        <v>142.19110000000001</v>
      </c>
      <c r="J3664">
        <v>-213.53659999999999</v>
      </c>
      <c r="K3664">
        <v>1.1009329999999999</v>
      </c>
      <c r="L3664">
        <v>143.09450000000001</v>
      </c>
      <c r="M3664">
        <v>-0.95518769999999997</v>
      </c>
      <c r="N3664">
        <v>0</v>
      </c>
      <c r="O3664">
        <v>-0.29555239999999999</v>
      </c>
      <c r="P3664">
        <v>-0.98953429999999998</v>
      </c>
      <c r="Q3664">
        <v>5.9963710000000003E-2</v>
      </c>
      <c r="R3664">
        <v>-0.1312497</v>
      </c>
      <c r="S3664">
        <v>-3.0159609999999999</v>
      </c>
      <c r="T3664">
        <v>-0.27351730000000002</v>
      </c>
      <c r="U3664">
        <v>-0.2487946</v>
      </c>
      <c r="V3664">
        <v>0.16890339999999901</v>
      </c>
      <c r="W3664">
        <v>7.1917700000000001E-2</v>
      </c>
      <c r="X3664">
        <v>0.98300529999999997</v>
      </c>
      <c r="Y3664">
        <v>0.21401410000000001</v>
      </c>
      <c r="Z3664">
        <v>3.5989140000000003E-2</v>
      </c>
      <c r="AA3664">
        <v>0.97616740000000002</v>
      </c>
      <c r="AB3664">
        <v>34</v>
      </c>
      <c r="AC3664">
        <v>-11.8024</v>
      </c>
      <c r="AD3664">
        <v>-1.100935666984</v>
      </c>
      <c r="AE3664">
        <v>-0.90340000000000398</v>
      </c>
      <c r="AF3664">
        <v>2.60314058782749</v>
      </c>
      <c r="AG3664">
        <v>-1.100935666984</v>
      </c>
      <c r="AH3664">
        <v>11.4430509002154</v>
      </c>
      <c r="AI3664">
        <v>95.359412985977798</v>
      </c>
      <c r="AJ3664">
        <v>77.184083073747402</v>
      </c>
      <c r="AK3664">
        <v>11.786934044430399</v>
      </c>
      <c r="AL3664">
        <v>85.875858841025206</v>
      </c>
      <c r="AM3664">
        <v>80.250441781205197</v>
      </c>
      <c r="AN3664">
        <v>0.99999996696646898</v>
      </c>
    </row>
    <row r="3665" spans="1:40" x14ac:dyDescent="0.25">
      <c r="A3665" t="str">
        <f>"20190312151611503"</f>
        <v>20190312151611503</v>
      </c>
      <c r="B3665" t="str">
        <f>"1552374971491879"</f>
        <v>1552374971491879</v>
      </c>
      <c r="C3665" t="s">
        <v>40</v>
      </c>
      <c r="D3665">
        <v>4.5439379999999998</v>
      </c>
      <c r="E3665">
        <v>0.51852189999999998</v>
      </c>
      <c r="F3665" t="s">
        <v>43</v>
      </c>
      <c r="G3665">
        <v>-225.82640000000001</v>
      </c>
      <c r="H3665" s="1">
        <v>-2.444038E-6</v>
      </c>
      <c r="I3665">
        <v>142.13910000000001</v>
      </c>
      <c r="J3665">
        <v>-213.8612</v>
      </c>
      <c r="K3665">
        <v>1.10092099999999</v>
      </c>
      <c r="L3665">
        <v>143.0035</v>
      </c>
      <c r="M3665">
        <v>-0.95802069999999995</v>
      </c>
      <c r="N3665">
        <v>0</v>
      </c>
      <c r="O3665">
        <v>-0.28624719999999998</v>
      </c>
      <c r="P3665">
        <v>-0.99007889999999998</v>
      </c>
      <c r="Q3665">
        <v>5.8317510000000003E-2</v>
      </c>
      <c r="R3665">
        <v>-0.1278398</v>
      </c>
      <c r="S3665">
        <v>-3.0169980000000001</v>
      </c>
      <c r="T3665">
        <v>-0.27026719999999999</v>
      </c>
      <c r="U3665">
        <v>-0.2345276</v>
      </c>
      <c r="V3665">
        <v>0.1626706</v>
      </c>
      <c r="W3665">
        <v>7.0332420000000007E-2</v>
      </c>
      <c r="X3665">
        <v>0.98417060000000001</v>
      </c>
      <c r="Y3665">
        <v>0.20922840000000001</v>
      </c>
      <c r="Z3665">
        <v>3.4550909999999997E-2</v>
      </c>
      <c r="AA3665">
        <v>0.97725620000000002</v>
      </c>
      <c r="AB3665">
        <v>34</v>
      </c>
      <c r="AC3665">
        <v>-11.965199999999999</v>
      </c>
      <c r="AD3665">
        <v>-1.10092344403799</v>
      </c>
      <c r="AE3665">
        <v>-0.86439999999998895</v>
      </c>
      <c r="AF3665">
        <v>2.5755370181074402</v>
      </c>
      <c r="AG3665">
        <v>-1.10092344403799</v>
      </c>
      <c r="AH3665">
        <v>11.6140443177345</v>
      </c>
      <c r="AI3665">
        <v>95.287330862617694</v>
      </c>
      <c r="AJ3665">
        <v>77.496401065826404</v>
      </c>
      <c r="AK3665">
        <v>11.9470267755444</v>
      </c>
      <c r="AL3665">
        <v>85.966919749259702</v>
      </c>
      <c r="AM3665">
        <v>80.614607910697899</v>
      </c>
      <c r="AN3665">
        <v>1.0000000716558799</v>
      </c>
    </row>
    <row r="3666" spans="1:40" x14ac:dyDescent="0.25">
      <c r="A3666" t="str">
        <f>"20190312151611527"</f>
        <v>20190312151611527</v>
      </c>
      <c r="B3666" t="str">
        <f>"1552374971521156"</f>
        <v>1552374971521156</v>
      </c>
      <c r="C3666" t="s">
        <v>40</v>
      </c>
      <c r="D3666">
        <v>5.1087109999999996</v>
      </c>
      <c r="E3666">
        <v>0.51859279999999996</v>
      </c>
      <c r="F3666" t="s">
        <v>43</v>
      </c>
      <c r="G3666">
        <v>-225.60470000000001</v>
      </c>
      <c r="H3666" s="1">
        <v>-2.5388589999999999E-6</v>
      </c>
      <c r="I3666">
        <v>142.13810000000001</v>
      </c>
      <c r="J3666">
        <v>-214.21950000000001</v>
      </c>
      <c r="K3666">
        <v>1.100956</v>
      </c>
      <c r="L3666">
        <v>142.9068</v>
      </c>
      <c r="M3666">
        <v>-0.96098969999999995</v>
      </c>
      <c r="N3666">
        <v>0</v>
      </c>
      <c r="O3666">
        <v>-0.27612639999999999</v>
      </c>
      <c r="P3666">
        <v>-0.99058489999999999</v>
      </c>
      <c r="Q3666">
        <v>5.7507559999999999E-2</v>
      </c>
      <c r="R3666">
        <v>-0.1242364</v>
      </c>
      <c r="S3666">
        <v>-3.018005</v>
      </c>
      <c r="T3666">
        <v>-0.2829295</v>
      </c>
      <c r="U3666">
        <v>-0.22239690000000001</v>
      </c>
      <c r="V3666">
        <v>0.1558147</v>
      </c>
      <c r="W3666">
        <v>6.9598939999999998E-2</v>
      </c>
      <c r="X3666">
        <v>0.98533130000000002</v>
      </c>
      <c r="Y3666">
        <v>0.20272780000000001</v>
      </c>
      <c r="Z3666">
        <v>3.4945660000000003E-2</v>
      </c>
      <c r="AA3666">
        <v>0.97861140000000002</v>
      </c>
      <c r="AB3666">
        <v>34</v>
      </c>
      <c r="AC3666">
        <v>-11.3851999999999</v>
      </c>
      <c r="AD3666">
        <v>-1.100958538859</v>
      </c>
      <c r="AE3666">
        <v>-0.76869999999999505</v>
      </c>
      <c r="AF3666">
        <v>2.3831618625695499</v>
      </c>
      <c r="AG3666">
        <v>-1.100958538859</v>
      </c>
      <c r="AH3666">
        <v>11.0518520068219</v>
      </c>
      <c r="AI3666">
        <v>95.561886444061201</v>
      </c>
      <c r="AJ3666">
        <v>77.831370069636094</v>
      </c>
      <c r="AK3666">
        <v>11.359357505959</v>
      </c>
      <c r="AL3666">
        <v>86.009048017252098</v>
      </c>
      <c r="AM3666">
        <v>81.013980400425098</v>
      </c>
      <c r="AN3666">
        <v>1.00000000197245</v>
      </c>
    </row>
    <row r="3667" spans="1:40" x14ac:dyDescent="0.25">
      <c r="A3667" t="str">
        <f>"20190312151611550"</f>
        <v>20190312151611550</v>
      </c>
      <c r="B3667" t="str">
        <f>"1552374971541650"</f>
        <v>1552374971541650</v>
      </c>
      <c r="C3667" t="s">
        <v>40</v>
      </c>
      <c r="D3667">
        <v>4.5808099999999996</v>
      </c>
      <c r="E3667">
        <v>0.51949659999999998</v>
      </c>
      <c r="F3667" t="s">
        <v>43</v>
      </c>
      <c r="G3667">
        <v>-225.79</v>
      </c>
      <c r="H3667" s="1">
        <v>-2.4493450000000002E-6</v>
      </c>
      <c r="I3667">
        <v>142.10040000000001</v>
      </c>
      <c r="J3667">
        <v>-214.55600000000001</v>
      </c>
      <c r="K3667">
        <v>1.1010230000000001</v>
      </c>
      <c r="L3667">
        <v>142.81950000000001</v>
      </c>
      <c r="M3667">
        <v>-0.96362510000000001</v>
      </c>
      <c r="N3667">
        <v>0</v>
      </c>
      <c r="O3667">
        <v>-0.26679370000000002</v>
      </c>
      <c r="P3667">
        <v>-0.99095279999999997</v>
      </c>
      <c r="Q3667">
        <v>5.738004E-2</v>
      </c>
      <c r="R3667">
        <v>-0.1213274</v>
      </c>
      <c r="S3667">
        <v>-3.0188139999999999</v>
      </c>
      <c r="T3667">
        <v>-0.28724670000000002</v>
      </c>
      <c r="U3667">
        <v>-0.2103882</v>
      </c>
      <c r="V3667">
        <v>0.14910290000000001</v>
      </c>
      <c r="W3667">
        <v>6.9559449999999995E-2</v>
      </c>
      <c r="X3667">
        <v>0.98637209999999997</v>
      </c>
      <c r="Y3667">
        <v>0.19712440000000001</v>
      </c>
      <c r="Z3667">
        <v>3.43551E-2</v>
      </c>
      <c r="AA3667">
        <v>0.97977630000000004</v>
      </c>
      <c r="AB3667">
        <v>34</v>
      </c>
      <c r="AC3667">
        <v>-11.234</v>
      </c>
      <c r="AD3667">
        <v>-1.10102544934499</v>
      </c>
      <c r="AE3667">
        <v>-0.71909999999999696</v>
      </c>
      <c r="AF3667">
        <v>2.2826661758203</v>
      </c>
      <c r="AG3667">
        <v>-1.10102544934499</v>
      </c>
      <c r="AH3667">
        <v>10.914171258775299</v>
      </c>
      <c r="AI3667">
        <v>95.639323004039099</v>
      </c>
      <c r="AJ3667">
        <v>78.187037925013897</v>
      </c>
      <c r="AK3667">
        <v>11.204550690510301</v>
      </c>
      <c r="AL3667">
        <v>86.011316339406207</v>
      </c>
      <c r="AM3667">
        <v>81.404080572895893</v>
      </c>
      <c r="AN3667">
        <v>1.00000005576555</v>
      </c>
    </row>
    <row r="3668" spans="1:40" x14ac:dyDescent="0.25">
      <c r="A3668" t="str">
        <f>"20190312151611571"</f>
        <v>20190312151611571</v>
      </c>
      <c r="B3668" t="str">
        <f>"1552374971561172"</f>
        <v>1552374971561172</v>
      </c>
      <c r="C3668" t="s">
        <v>40</v>
      </c>
      <c r="D3668">
        <v>4.5452300000000001</v>
      </c>
      <c r="E3668">
        <v>0.5187039</v>
      </c>
      <c r="F3668" t="s">
        <v>48</v>
      </c>
      <c r="G3668">
        <v>-460.84300000000002</v>
      </c>
      <c r="H3668">
        <v>6.4060230000000002</v>
      </c>
      <c r="I3668">
        <v>125.89700000000001</v>
      </c>
      <c r="J3668">
        <v>-214.87520000000001</v>
      </c>
      <c r="K3668">
        <v>1.101127</v>
      </c>
      <c r="L3668">
        <v>142.7397</v>
      </c>
      <c r="M3668">
        <v>-0.96598539999999999</v>
      </c>
      <c r="N3668">
        <v>0</v>
      </c>
      <c r="O3668">
        <v>-0.25812429999999997</v>
      </c>
      <c r="P3668">
        <v>-0.9911875</v>
      </c>
      <c r="Q3668">
        <v>5.6604849999999998E-2</v>
      </c>
      <c r="R3668">
        <v>-0.1197632</v>
      </c>
      <c r="S3668">
        <v>-2.9984440000000001</v>
      </c>
      <c r="T3668">
        <v>6.4586519999999994E-2</v>
      </c>
      <c r="U3668">
        <v>-0.20602419999999999</v>
      </c>
      <c r="V3668">
        <v>0.1417417</v>
      </c>
      <c r="W3668">
        <v>6.8901560000000001E-2</v>
      </c>
      <c r="X3668">
        <v>0.98750280000000001</v>
      </c>
      <c r="Y3668">
        <v>0.1912211</v>
      </c>
      <c r="Z3668">
        <v>-7.5501630000000004E-3</v>
      </c>
      <c r="AA3668">
        <v>0.981518</v>
      </c>
      <c r="AB3668">
        <v>34</v>
      </c>
      <c r="AC3668">
        <v>-245.96780000000001</v>
      </c>
      <c r="AD3668">
        <v>5.3048960000000003</v>
      </c>
      <c r="AE3668">
        <v>-16.842699999999901</v>
      </c>
      <c r="AF3668">
        <v>47.204372245264103</v>
      </c>
      <c r="AG3668">
        <v>5.3048960000000003</v>
      </c>
      <c r="AH3668">
        <v>241.866363187508</v>
      </c>
      <c r="AI3668">
        <v>88.766783264741093</v>
      </c>
      <c r="AJ3668">
        <v>78.956564332073995</v>
      </c>
      <c r="AK3668">
        <v>246.486779203656</v>
      </c>
      <c r="AL3668">
        <v>86.049100926385606</v>
      </c>
      <c r="AM3668">
        <v>81.831812070513095</v>
      </c>
      <c r="AN3668">
        <v>0.99999995724858004</v>
      </c>
    </row>
    <row r="3669" spans="1:40" x14ac:dyDescent="0.25">
      <c r="A3669" t="str">
        <f>"20190312151611593"</f>
        <v>20190312151611593</v>
      </c>
      <c r="B3669" t="str">
        <f>"1552374971591426"</f>
        <v>1552374971591426</v>
      </c>
      <c r="C3669" t="s">
        <v>40</v>
      </c>
      <c r="D3669">
        <v>4.5443259999999999</v>
      </c>
      <c r="E3669">
        <v>0.51799949999999995</v>
      </c>
      <c r="F3669" t="s">
        <v>46</v>
      </c>
      <c r="G3669">
        <v>0</v>
      </c>
      <c r="H3669">
        <v>0</v>
      </c>
      <c r="I3669">
        <v>0</v>
      </c>
      <c r="J3669">
        <v>-215.20490000000001</v>
      </c>
      <c r="K3669">
        <v>1.1012690000000001</v>
      </c>
      <c r="L3669">
        <v>142.66030000000001</v>
      </c>
      <c r="M3669">
        <v>-0.96828230000000004</v>
      </c>
      <c r="N3669">
        <v>0</v>
      </c>
      <c r="O3669">
        <v>-0.24937980000000001</v>
      </c>
      <c r="P3669">
        <v>-0.99142649999999999</v>
      </c>
      <c r="Q3669">
        <v>5.6240190000000002E-2</v>
      </c>
      <c r="R3669">
        <v>-0.1179434</v>
      </c>
      <c r="S3669">
        <v>-2.99675</v>
      </c>
      <c r="T3669">
        <v>8.3312750000000005E-2</v>
      </c>
      <c r="U3669">
        <v>-0.20820620000000001</v>
      </c>
      <c r="V3669">
        <v>0.13457189999999999</v>
      </c>
      <c r="W3669">
        <v>6.8653259999999994E-2</v>
      </c>
      <c r="X3669">
        <v>0.98852269999999998</v>
      </c>
      <c r="Y3669">
        <v>0.18152650000000001</v>
      </c>
      <c r="Z3669">
        <v>-9.3734549999999993E-3</v>
      </c>
      <c r="AA3669">
        <v>0.98334140000000003</v>
      </c>
      <c r="AB3669">
        <v>34</v>
      </c>
      <c r="AC3669">
        <v>-2.99675</v>
      </c>
      <c r="AD3669">
        <v>8.3312750000000005E-2</v>
      </c>
      <c r="AE3669">
        <v>-0.20820620000000001</v>
      </c>
      <c r="AF3669">
        <v>0.54537229956299604</v>
      </c>
      <c r="AG3669">
        <v>8.3312750000000005E-2</v>
      </c>
      <c r="AH3669">
        <v>2.9517051700357202</v>
      </c>
      <c r="AI3669">
        <v>88.410134600282902</v>
      </c>
      <c r="AJ3669">
        <v>79.531792068894205</v>
      </c>
      <c r="AK3669">
        <v>3.00282123514851</v>
      </c>
      <c r="AL3669">
        <v>86.063361395368801</v>
      </c>
      <c r="AM3669">
        <v>82.247731420350405</v>
      </c>
      <c r="AN3669">
        <v>0.99999999739676304</v>
      </c>
    </row>
    <row r="3670" spans="1:40" x14ac:dyDescent="0.25">
      <c r="A3670" t="str">
        <f>"20190312151611615"</f>
        <v>20190312151611615</v>
      </c>
      <c r="B3670" t="str">
        <f>"1552374971610946"</f>
        <v>1552374971610946</v>
      </c>
      <c r="C3670" t="s">
        <v>40</v>
      </c>
      <c r="D3670">
        <v>4.584308</v>
      </c>
      <c r="E3670">
        <v>0.51785539999999997</v>
      </c>
      <c r="F3670" t="s">
        <v>46</v>
      </c>
      <c r="G3670">
        <v>0</v>
      </c>
      <c r="H3670">
        <v>0</v>
      </c>
      <c r="I3670">
        <v>0</v>
      </c>
      <c r="J3670">
        <v>-215.53530000000001</v>
      </c>
      <c r="K3670">
        <v>1.101434</v>
      </c>
      <c r="L3670">
        <v>142.5838</v>
      </c>
      <c r="M3670">
        <v>-0.9704353</v>
      </c>
      <c r="N3670">
        <v>0</v>
      </c>
      <c r="O3670">
        <v>-0.24087230000000001</v>
      </c>
      <c r="P3670">
        <v>-0.99170409999999998</v>
      </c>
      <c r="Q3670">
        <v>5.5944140000000003E-2</v>
      </c>
      <c r="R3670">
        <v>-0.1157295</v>
      </c>
      <c r="S3670">
        <v>-2.9959560000000001</v>
      </c>
      <c r="T3670">
        <v>9.1316579999999994E-2</v>
      </c>
      <c r="U3670">
        <v>-0.2085571</v>
      </c>
      <c r="V3670">
        <v>0.1280493</v>
      </c>
      <c r="W3670">
        <v>6.8463910000000003E-2</v>
      </c>
      <c r="X3670">
        <v>0.98940189999999995</v>
      </c>
      <c r="Y3670">
        <v>0.17273079999999999</v>
      </c>
      <c r="Z3670">
        <v>-9.8906089999999999E-3</v>
      </c>
      <c r="AA3670">
        <v>0.9849194</v>
      </c>
      <c r="AB3670">
        <v>34</v>
      </c>
      <c r="AC3670">
        <v>-2.9959560000000001</v>
      </c>
      <c r="AD3670">
        <v>9.1316579999999994E-2</v>
      </c>
      <c r="AE3670">
        <v>-0.2085571</v>
      </c>
      <c r="AF3670">
        <v>0.51883320202363203</v>
      </c>
      <c r="AG3670">
        <v>9.1316579999999994E-2</v>
      </c>
      <c r="AH3670">
        <v>2.9552336948092699</v>
      </c>
      <c r="AI3670">
        <v>88.256771168101693</v>
      </c>
      <c r="AJ3670">
        <v>80.042392500724503</v>
      </c>
      <c r="AK3670">
        <v>3.0018215803476802</v>
      </c>
      <c r="AL3670">
        <v>86.074236046451006</v>
      </c>
      <c r="AM3670">
        <v>82.625717956106001</v>
      </c>
      <c r="AN3670">
        <v>1.0000000249632901</v>
      </c>
    </row>
    <row r="3671" spans="1:40" x14ac:dyDescent="0.25">
      <c r="A3671" t="str">
        <f>"20190312151611638"</f>
        <v>20190312151611638</v>
      </c>
      <c r="B3671" t="str">
        <f>"1552374971631442"</f>
        <v>1552374971631442</v>
      </c>
      <c r="C3671" t="s">
        <v>40</v>
      </c>
      <c r="D3671">
        <v>4.603243</v>
      </c>
      <c r="E3671">
        <v>0.51785349999999997</v>
      </c>
      <c r="F3671" t="s">
        <v>48</v>
      </c>
      <c r="G3671">
        <v>-460.84300000000002</v>
      </c>
      <c r="H3671">
        <v>8.6858269999999997</v>
      </c>
      <c r="I3671">
        <v>125.9457</v>
      </c>
      <c r="J3671">
        <v>-215.88249999999999</v>
      </c>
      <c r="K3671">
        <v>1.1016170000000001</v>
      </c>
      <c r="L3671">
        <v>142.50649999999999</v>
      </c>
      <c r="M3671">
        <v>-0.97255729999999996</v>
      </c>
      <c r="N3671">
        <v>0</v>
      </c>
      <c r="O3671">
        <v>-0.23216490000000001</v>
      </c>
      <c r="P3671">
        <v>-0.99201099999999998</v>
      </c>
      <c r="Q3671">
        <v>5.512711E-2</v>
      </c>
      <c r="R3671">
        <v>-0.11347019999999999</v>
      </c>
      <c r="S3671">
        <v>-2.9961700000000002</v>
      </c>
      <c r="T3671">
        <v>9.2635510000000004E-2</v>
      </c>
      <c r="U3671">
        <v>-0.2032166</v>
      </c>
      <c r="V3671">
        <v>0.121377</v>
      </c>
      <c r="W3671">
        <v>6.7753179999999996E-2</v>
      </c>
      <c r="X3671">
        <v>0.99029140000000004</v>
      </c>
      <c r="Y3671">
        <v>0.1656521</v>
      </c>
      <c r="Z3671">
        <v>-9.6625170000000007E-3</v>
      </c>
      <c r="AA3671">
        <v>0.98613689999999998</v>
      </c>
      <c r="AB3671">
        <v>34</v>
      </c>
      <c r="AC3671">
        <v>-244.9605</v>
      </c>
      <c r="AD3671">
        <v>7.5842099999999997</v>
      </c>
      <c r="AE3671">
        <v>-16.560799999999901</v>
      </c>
      <c r="AF3671">
        <v>40.730761585601897</v>
      </c>
      <c r="AG3671">
        <v>7.5842099999999997</v>
      </c>
      <c r="AH3671">
        <v>241.88020937315</v>
      </c>
      <c r="AI3671">
        <v>88.228983663659804</v>
      </c>
      <c r="AJ3671">
        <v>80.441506226357205</v>
      </c>
      <c r="AK3671">
        <v>245.402833861115</v>
      </c>
      <c r="AL3671">
        <v>86.115052414997194</v>
      </c>
      <c r="AM3671">
        <v>83.0122831312637</v>
      </c>
      <c r="AN3671">
        <v>0.99999996322153495</v>
      </c>
    </row>
    <row r="3672" spans="1:40" x14ac:dyDescent="0.25">
      <c r="A3672" t="str">
        <f>"20190312151611659"</f>
        <v>20190312151611659</v>
      </c>
      <c r="B3672" t="str">
        <f>"1552374971650962"</f>
        <v>1552374971650962</v>
      </c>
      <c r="C3672" t="s">
        <v>40</v>
      </c>
      <c r="D3672">
        <v>4.6079270000000001</v>
      </c>
      <c r="E3672">
        <v>0.51785320000000001</v>
      </c>
      <c r="F3672" t="s">
        <v>46</v>
      </c>
      <c r="G3672">
        <v>0</v>
      </c>
      <c r="H3672">
        <v>0</v>
      </c>
      <c r="I3672">
        <v>0</v>
      </c>
      <c r="J3672">
        <v>-216.19839999999999</v>
      </c>
      <c r="K3672">
        <v>1.101793</v>
      </c>
      <c r="L3672">
        <v>142.43879999999999</v>
      </c>
      <c r="M3672">
        <v>-0.97436540000000005</v>
      </c>
      <c r="N3672">
        <v>0</v>
      </c>
      <c r="O3672">
        <v>-0.22446240000000001</v>
      </c>
      <c r="P3672">
        <v>-0.99214970000000002</v>
      </c>
      <c r="Q3672">
        <v>5.4170780000000002E-2</v>
      </c>
      <c r="R3672">
        <v>-0.1127155</v>
      </c>
      <c r="S3672">
        <v>-2.996613</v>
      </c>
      <c r="T3672">
        <v>9.1144920000000004E-2</v>
      </c>
      <c r="U3672">
        <v>-0.19654849999999999</v>
      </c>
      <c r="V3672">
        <v>0.1142406</v>
      </c>
      <c r="W3672">
        <v>6.6917749999999998E-2</v>
      </c>
      <c r="X3672">
        <v>0.99119679999999999</v>
      </c>
      <c r="Y3672">
        <v>0.16005259999999999</v>
      </c>
      <c r="Z3672">
        <v>-9.1934619999999995E-3</v>
      </c>
      <c r="AA3672">
        <v>0.98706570000000005</v>
      </c>
      <c r="AB3672">
        <v>34</v>
      </c>
      <c r="AC3672">
        <v>-2.996613</v>
      </c>
      <c r="AD3672">
        <v>9.1144920000000004E-2</v>
      </c>
      <c r="AE3672">
        <v>-0.19654849999999999</v>
      </c>
      <c r="AF3672">
        <v>0.480729080099777</v>
      </c>
      <c r="AG3672">
        <v>9.1144920000000004E-2</v>
      </c>
      <c r="AH3672">
        <v>2.9615246871610901</v>
      </c>
      <c r="AI3672">
        <v>88.259962571894107</v>
      </c>
      <c r="AJ3672">
        <v>80.779890648704594</v>
      </c>
      <c r="AK3672">
        <v>3.00167225352136</v>
      </c>
      <c r="AL3672">
        <v>86.163028051032597</v>
      </c>
      <c r="AM3672">
        <v>83.425372153637696</v>
      </c>
      <c r="AN3672">
        <v>0.99999999814183105</v>
      </c>
    </row>
    <row r="3673" spans="1:40" x14ac:dyDescent="0.25">
      <c r="A3673" t="str">
        <f>"20190312151611682"</f>
        <v>20190312151611682</v>
      </c>
      <c r="B3673" t="str">
        <f>"1552374971671459"</f>
        <v>1552374971671459</v>
      </c>
      <c r="C3673" t="s">
        <v>40</v>
      </c>
      <c r="D3673">
        <v>4.5814209999999997</v>
      </c>
      <c r="E3673">
        <v>0.51935329999999902</v>
      </c>
      <c r="F3673" t="s">
        <v>46</v>
      </c>
      <c r="G3673">
        <v>0</v>
      </c>
      <c r="H3673">
        <v>0</v>
      </c>
      <c r="I3673">
        <v>0</v>
      </c>
      <c r="J3673">
        <v>-216.52950000000001</v>
      </c>
      <c r="K3673">
        <v>1.101998</v>
      </c>
      <c r="L3673">
        <v>142.37029999999999</v>
      </c>
      <c r="M3673">
        <v>-0.97613349999999999</v>
      </c>
      <c r="N3673">
        <v>0</v>
      </c>
      <c r="O3673">
        <v>-0.21665019999999999</v>
      </c>
      <c r="P3673">
        <v>-0.99225200000000002</v>
      </c>
      <c r="Q3673">
        <v>5.4198110000000001E-2</v>
      </c>
      <c r="R3673">
        <v>-0.11179699999999999</v>
      </c>
      <c r="S3673">
        <v>-2.9967649999999999</v>
      </c>
      <c r="T3673">
        <v>8.9469549999999995E-2</v>
      </c>
      <c r="U3673">
        <v>-0.19432070000000001</v>
      </c>
      <c r="V3673">
        <v>0.1071686</v>
      </c>
      <c r="W3673">
        <v>6.7063330000000004E-2</v>
      </c>
      <c r="X3673">
        <v>0.99197650000000004</v>
      </c>
      <c r="Y3673">
        <v>0.152888</v>
      </c>
      <c r="Z3673">
        <v>-8.6899179999999996E-3</v>
      </c>
      <c r="AA3673">
        <v>0.98820529999999995</v>
      </c>
      <c r="AB3673">
        <v>34</v>
      </c>
      <c r="AC3673">
        <v>-2.9967649999999999</v>
      </c>
      <c r="AD3673">
        <v>8.9469549999999995E-2</v>
      </c>
      <c r="AE3673">
        <v>-0.19432070000000001</v>
      </c>
      <c r="AF3673">
        <v>0.45921114899540699</v>
      </c>
      <c r="AG3673">
        <v>8.9469549999999995E-2</v>
      </c>
      <c r="AH3673">
        <v>2.9650460046710898</v>
      </c>
      <c r="AI3673">
        <v>88.291988786167494</v>
      </c>
      <c r="AJ3673">
        <v>81.196267712610094</v>
      </c>
      <c r="AK3673">
        <v>3.0017290833043</v>
      </c>
      <c r="AL3673">
        <v>86.154668112029</v>
      </c>
      <c r="AM3673">
        <v>83.833941421275796</v>
      </c>
      <c r="AN3673">
        <v>0.99999998780444899</v>
      </c>
    </row>
    <row r="3674" spans="1:40" x14ac:dyDescent="0.25">
      <c r="A3674" t="str">
        <f>"20190312151611704"</f>
        <v>20190312151611704</v>
      </c>
      <c r="B3674" t="str">
        <f>"1552374971701081"</f>
        <v>1552374971701081</v>
      </c>
      <c r="C3674" t="s">
        <v>40</v>
      </c>
      <c r="D3674">
        <v>4.5811719999999996</v>
      </c>
      <c r="E3674">
        <v>0.51931349999999998</v>
      </c>
      <c r="F3674" t="s">
        <v>41</v>
      </c>
      <c r="G3674">
        <v>-217.42140000000001</v>
      </c>
      <c r="H3674">
        <v>0.99416090000000001</v>
      </c>
      <c r="I3674">
        <v>142.32149999999999</v>
      </c>
      <c r="J3674">
        <v>-216.87430000000001</v>
      </c>
      <c r="K3674">
        <v>1.1022379999999901</v>
      </c>
      <c r="L3674">
        <v>142.30179999999999</v>
      </c>
      <c r="M3674">
        <v>-0.97783830000000005</v>
      </c>
      <c r="N3674">
        <v>0</v>
      </c>
      <c r="O3674">
        <v>-0.20882819999999999</v>
      </c>
      <c r="P3674">
        <v>-0.99232770000000003</v>
      </c>
      <c r="Q3674">
        <v>5.4357419999999997E-2</v>
      </c>
      <c r="R3674">
        <v>-0.1110454</v>
      </c>
      <c r="S3674">
        <v>-3.0247039999999998</v>
      </c>
      <c r="T3674">
        <v>-0.36555219999999999</v>
      </c>
      <c r="U3674">
        <v>-0.1659851</v>
      </c>
      <c r="V3674">
        <v>9.9924009999999994E-2</v>
      </c>
      <c r="W3674">
        <v>6.7344029999999999E-2</v>
      </c>
      <c r="X3674">
        <v>0.99271350000000003</v>
      </c>
      <c r="Y3674">
        <v>0.15235599999999999</v>
      </c>
      <c r="Z3674">
        <v>3.4120659999999997E-2</v>
      </c>
      <c r="AA3674">
        <v>0.98773650000000002</v>
      </c>
      <c r="AB3674">
        <v>34</v>
      </c>
      <c r="AC3674">
        <v>-0.54710000000000003</v>
      </c>
      <c r="AD3674">
        <v>-0.108077099999999</v>
      </c>
      <c r="AE3674">
        <v>1.97000000000002E-2</v>
      </c>
      <c r="AF3674">
        <v>0.12851934535264001</v>
      </c>
      <c r="AG3674">
        <v>-0.108077099999999</v>
      </c>
      <c r="AH3674">
        <v>0.511004898757769</v>
      </c>
      <c r="AI3674">
        <v>101.591260275228</v>
      </c>
      <c r="AJ3674">
        <v>75.882726835437794</v>
      </c>
      <c r="AK3674">
        <v>0.53788836037668597</v>
      </c>
      <c r="AL3674">
        <v>86.138549022769496</v>
      </c>
      <c r="AM3674">
        <v>84.252113117506198</v>
      </c>
      <c r="AN3674">
        <v>1.00000005961668</v>
      </c>
    </row>
    <row r="3675" spans="1:40" x14ac:dyDescent="0.25">
      <c r="A3675" t="str">
        <f>"20190312151611728"</f>
        <v>20190312151611728</v>
      </c>
      <c r="B3675" t="str">
        <f>"1552374971721577"</f>
        <v>1552374971721577</v>
      </c>
      <c r="C3675" t="s">
        <v>40</v>
      </c>
      <c r="D3675">
        <v>4.5955110000000001</v>
      </c>
      <c r="E3675">
        <v>0.51925339999999998</v>
      </c>
      <c r="F3675" t="s">
        <v>41</v>
      </c>
      <c r="G3675">
        <v>-217.7227</v>
      </c>
      <c r="H3675">
        <v>1.0025500000000001</v>
      </c>
      <c r="I3675">
        <v>142.25579999999999</v>
      </c>
      <c r="J3675">
        <v>-217.22139999999999</v>
      </c>
      <c r="K3675">
        <v>1.1025160000000001</v>
      </c>
      <c r="L3675">
        <v>142.23519999999999</v>
      </c>
      <c r="M3675">
        <v>-0.97941940000000005</v>
      </c>
      <c r="N3675">
        <v>0</v>
      </c>
      <c r="O3675">
        <v>-0.20128889999999999</v>
      </c>
      <c r="P3675">
        <v>-0.99201839999999997</v>
      </c>
      <c r="Q3675">
        <v>5.57717E-2</v>
      </c>
      <c r="R3675">
        <v>-0.1130874</v>
      </c>
      <c r="S3675">
        <v>-3.0242460000000002</v>
      </c>
      <c r="T3675">
        <v>-0.35521589999999997</v>
      </c>
      <c r="U3675">
        <v>-0.1643066</v>
      </c>
      <c r="V3675">
        <v>9.0178919999999996E-2</v>
      </c>
      <c r="W3675">
        <v>6.8927249999999995E-2</v>
      </c>
      <c r="X3675">
        <v>0.99353749999999996</v>
      </c>
      <c r="Y3675">
        <v>0.14551910000000001</v>
      </c>
      <c r="Z3675">
        <v>3.190345E-2</v>
      </c>
      <c r="AA3675">
        <v>0.98884090000000002</v>
      </c>
      <c r="AB3675">
        <v>34</v>
      </c>
      <c r="AC3675">
        <v>-0.50130000000001396</v>
      </c>
      <c r="AD3675">
        <v>-9.9965999999999999E-2</v>
      </c>
      <c r="AE3675">
        <v>2.06000000000017E-2</v>
      </c>
      <c r="AF3675">
        <v>0.116471733386599</v>
      </c>
      <c r="AG3675">
        <v>-9.9965999999999999E-2</v>
      </c>
      <c r="AH3675">
        <v>0.46829917992085401</v>
      </c>
      <c r="AI3675">
        <v>101.70357702826701</v>
      </c>
      <c r="AJ3675">
        <v>76.033221104661294</v>
      </c>
      <c r="AK3675">
        <v>0.49281131049177701</v>
      </c>
      <c r="AL3675">
        <v>86.047625594545494</v>
      </c>
      <c r="AM3675">
        <v>84.813731370314997</v>
      </c>
      <c r="AN3675">
        <v>0.99999998365558895</v>
      </c>
    </row>
    <row r="3676" spans="1:40" x14ac:dyDescent="0.25">
      <c r="A3676" t="str">
        <f>"20190312151611762"</f>
        <v>20190312151611762</v>
      </c>
      <c r="B3676" t="str">
        <f>"1552374971751833"</f>
        <v>1552374971751833</v>
      </c>
      <c r="C3676" t="s">
        <v>40</v>
      </c>
      <c r="D3676">
        <v>4.5665639999999996</v>
      </c>
      <c r="E3676">
        <v>0.51694169999999995</v>
      </c>
      <c r="F3676" t="s">
        <v>41</v>
      </c>
      <c r="G3676">
        <v>-218.02430000000001</v>
      </c>
      <c r="H3676">
        <v>1.01214</v>
      </c>
      <c r="I3676">
        <v>142.18969999999999</v>
      </c>
      <c r="J3676">
        <v>-217.72919999999999</v>
      </c>
      <c r="K3676">
        <v>1.102989</v>
      </c>
      <c r="L3676">
        <v>142.14240000000001</v>
      </c>
      <c r="M3676">
        <v>-0.98148760000000002</v>
      </c>
      <c r="N3676">
        <v>0</v>
      </c>
      <c r="O3676">
        <v>-0.1909595</v>
      </c>
      <c r="P3676">
        <v>-0.99216459999999995</v>
      </c>
      <c r="Q3676">
        <v>5.6396599999999998E-2</v>
      </c>
      <c r="R3676">
        <v>-0.1114845</v>
      </c>
      <c r="S3676">
        <v>-3.0236510000000001</v>
      </c>
      <c r="T3676">
        <v>-0.34021709999999999</v>
      </c>
      <c r="U3676">
        <v>-0.171783399999999</v>
      </c>
      <c r="V3676">
        <v>8.122414E-2</v>
      </c>
      <c r="W3676">
        <v>6.9695960000000001E-2</v>
      </c>
      <c r="X3676">
        <v>0.99425609999999998</v>
      </c>
      <c r="Y3676">
        <v>0.13297400000000001</v>
      </c>
      <c r="Z3676">
        <v>2.8727140000000002E-2</v>
      </c>
      <c r="AA3676">
        <v>0.99070309999999995</v>
      </c>
      <c r="AB3676">
        <v>34</v>
      </c>
      <c r="AC3676">
        <v>-0.29510000000001901</v>
      </c>
      <c r="AD3676">
        <v>-9.0848999999999902E-2</v>
      </c>
      <c r="AE3676">
        <v>4.7299999999978498E-2</v>
      </c>
      <c r="AF3676">
        <v>9.4093167538695094E-2</v>
      </c>
      <c r="AG3676">
        <v>-9.0848999999999902E-2</v>
      </c>
      <c r="AH3676">
        <v>0.256896986940509</v>
      </c>
      <c r="AI3676">
        <v>108.36961342572501</v>
      </c>
      <c r="AJ3676">
        <v>69.883829746932605</v>
      </c>
      <c r="AK3676">
        <v>0.28827612956604198</v>
      </c>
      <c r="AL3676">
        <v>86.0034758016903</v>
      </c>
      <c r="AM3676">
        <v>85.329685360958607</v>
      </c>
      <c r="AN3676">
        <v>1.0000000400731299</v>
      </c>
    </row>
    <row r="3677" spans="1:40" x14ac:dyDescent="0.25">
      <c r="A3677" t="str">
        <f>"20190312151611783"</f>
        <v>20190312151611783</v>
      </c>
      <c r="B3677" t="str">
        <f>"1552374971771353"</f>
        <v>1552374971771353</v>
      </c>
      <c r="C3677" t="s">
        <v>40</v>
      </c>
      <c r="D3677">
        <v>4.589359</v>
      </c>
      <c r="E3677">
        <v>0.51800570000000001</v>
      </c>
      <c r="F3677" t="s">
        <v>46</v>
      </c>
      <c r="G3677">
        <v>0</v>
      </c>
      <c r="H3677">
        <v>0</v>
      </c>
      <c r="I3677">
        <v>0</v>
      </c>
      <c r="J3677">
        <v>-218.0444</v>
      </c>
      <c r="K3677">
        <v>1.1032900000000001</v>
      </c>
      <c r="L3677">
        <v>142.08709999999999</v>
      </c>
      <c r="M3677">
        <v>-0.98263860000000003</v>
      </c>
      <c r="N3677">
        <v>0</v>
      </c>
      <c r="O3677">
        <v>-0.18495120000000001</v>
      </c>
      <c r="P3677">
        <v>-0.99230499999999999</v>
      </c>
      <c r="Q3677">
        <v>5.4866890000000001E-2</v>
      </c>
      <c r="R3677">
        <v>-0.1109981</v>
      </c>
      <c r="S3677">
        <v>-2.996429</v>
      </c>
      <c r="T3677">
        <v>8.8360549999999996E-2</v>
      </c>
      <c r="U3677">
        <v>-0.19799800000000001</v>
      </c>
      <c r="V3677">
        <v>7.5559230000000005E-2</v>
      </c>
      <c r="W3677">
        <v>6.8255070000000001E-2</v>
      </c>
      <c r="X3677">
        <v>0.99480250000000003</v>
      </c>
      <c r="Y3677">
        <v>0.11964130000000001</v>
      </c>
      <c r="Z3677">
        <v>-7.1771469999999896E-3</v>
      </c>
      <c r="AA3677">
        <v>0.99279119999999998</v>
      </c>
      <c r="AB3677">
        <v>34</v>
      </c>
      <c r="AC3677">
        <v>-2.996429</v>
      </c>
      <c r="AD3677">
        <v>8.8360549999999996E-2</v>
      </c>
      <c r="AE3677">
        <v>-0.19799800000000001</v>
      </c>
      <c r="AF3677">
        <v>0.35936009359145299</v>
      </c>
      <c r="AG3677">
        <v>8.8360549999999996E-2</v>
      </c>
      <c r="AH3677">
        <v>2.9787674238829398</v>
      </c>
      <c r="AI3677">
        <v>88.313131118356907</v>
      </c>
      <c r="AJ3677">
        <v>83.121050397644197</v>
      </c>
      <c r="AK3677">
        <v>3.00166664192554</v>
      </c>
      <c r="AL3677">
        <v>86.086229588162993</v>
      </c>
      <c r="AM3677">
        <v>85.656496072129798</v>
      </c>
      <c r="AN3677">
        <v>0.99999998291257297</v>
      </c>
    </row>
    <row r="3678" spans="1:40" x14ac:dyDescent="0.25">
      <c r="A3678" t="str">
        <f>"20190312151611805"</f>
        <v>20190312151611805</v>
      </c>
      <c r="B3678" t="str">
        <f>"1552374971801609"</f>
        <v>1552374971801609</v>
      </c>
      <c r="C3678" t="s">
        <v>40</v>
      </c>
      <c r="D3678">
        <v>4.6370740000000001</v>
      </c>
      <c r="E3678">
        <v>0.51822409999999997</v>
      </c>
      <c r="F3678" t="s">
        <v>41</v>
      </c>
      <c r="G3678">
        <v>-218.9111</v>
      </c>
      <c r="H3678">
        <v>0.98960899999999996</v>
      </c>
      <c r="I3678">
        <v>142.0368</v>
      </c>
      <c r="J3678">
        <v>-218.37629999999999</v>
      </c>
      <c r="K3678">
        <v>1.103593</v>
      </c>
      <c r="L3678">
        <v>142.0307</v>
      </c>
      <c r="M3678">
        <v>-0.98375199999999996</v>
      </c>
      <c r="N3678">
        <v>0</v>
      </c>
      <c r="O3678">
        <v>-0.17894060000000001</v>
      </c>
      <c r="P3678">
        <v>-0.99235660000000003</v>
      </c>
      <c r="Q3678">
        <v>5.3687110000000003E-2</v>
      </c>
      <c r="R3678">
        <v>-0.11111509999999999</v>
      </c>
      <c r="S3678">
        <v>-3.025528</v>
      </c>
      <c r="T3678">
        <v>-0.39676250000000002</v>
      </c>
      <c r="U3678">
        <v>-0.17596439999999999</v>
      </c>
      <c r="V3678">
        <v>6.9293030000000005E-2</v>
      </c>
      <c r="W3678">
        <v>6.716656E-2</v>
      </c>
      <c r="X3678">
        <v>0.99533269999999996</v>
      </c>
      <c r="Y3678">
        <v>0.1190097</v>
      </c>
      <c r="Z3678">
        <v>3.0987009999999999E-2</v>
      </c>
      <c r="AA3678">
        <v>0.99240949999999994</v>
      </c>
      <c r="AB3678">
        <v>34</v>
      </c>
      <c r="AC3678">
        <v>-0.53480000000001804</v>
      </c>
      <c r="AD3678">
        <v>-0.113984</v>
      </c>
      <c r="AE3678">
        <v>6.1000000000035401E-3</v>
      </c>
      <c r="AF3678">
        <v>9.7290181359156305E-2</v>
      </c>
      <c r="AG3678">
        <v>-0.113984</v>
      </c>
      <c r="AH3678">
        <v>0.50226195274679597</v>
      </c>
      <c r="AI3678">
        <v>102.560348069434</v>
      </c>
      <c r="AJ3678">
        <v>79.037340058565107</v>
      </c>
      <c r="AK3678">
        <v>0.52414196628577903</v>
      </c>
      <c r="AL3678">
        <v>86.148740254557893</v>
      </c>
      <c r="AM3678">
        <v>86.017610303108896</v>
      </c>
      <c r="AN3678">
        <v>1.0000000272390499</v>
      </c>
    </row>
    <row r="3679" spans="1:40" x14ac:dyDescent="0.25">
      <c r="A3679" t="str">
        <f>"20190312151611827"</f>
        <v>20190312151611827</v>
      </c>
      <c r="B3679" t="str">
        <f>"1552374971821129"</f>
        <v>1552374971821129</v>
      </c>
      <c r="C3679" t="s">
        <v>40</v>
      </c>
      <c r="D3679">
        <v>5.6430759999999998</v>
      </c>
      <c r="E3679">
        <v>0.51831190000000005</v>
      </c>
      <c r="F3679" t="s">
        <v>41</v>
      </c>
      <c r="G3679">
        <v>-219.21360000000001</v>
      </c>
      <c r="H3679">
        <v>0.99843289999999996</v>
      </c>
      <c r="I3679">
        <v>141.98249999999999</v>
      </c>
      <c r="J3679">
        <v>-218.71879999999999</v>
      </c>
      <c r="K3679">
        <v>1.1039099999999999</v>
      </c>
      <c r="L3679">
        <v>141.9744</v>
      </c>
      <c r="M3679">
        <v>-0.98479720000000004</v>
      </c>
      <c r="N3679">
        <v>0</v>
      </c>
      <c r="O3679">
        <v>-0.17310130000000001</v>
      </c>
      <c r="P3679">
        <v>-0.99241159999999995</v>
      </c>
      <c r="Q3679">
        <v>5.3819319999999997E-2</v>
      </c>
      <c r="R3679">
        <v>-0.1105583</v>
      </c>
      <c r="S3679">
        <v>-3.0240629999999999</v>
      </c>
      <c r="T3679">
        <v>-0.37967869999999998</v>
      </c>
      <c r="U3679">
        <v>-0.17478940000000001</v>
      </c>
      <c r="V3679">
        <v>6.3887100000000002E-2</v>
      </c>
      <c r="W3679">
        <v>6.7370200000000005E-2</v>
      </c>
      <c r="X3679">
        <v>0.99568049999999997</v>
      </c>
      <c r="Y3679">
        <v>0.1137702</v>
      </c>
      <c r="Z3679">
        <v>2.863158E-2</v>
      </c>
      <c r="AA3679">
        <v>0.99309440000000004</v>
      </c>
      <c r="AB3679">
        <v>34</v>
      </c>
      <c r="AC3679">
        <v>-0.494800000000026</v>
      </c>
      <c r="AD3679">
        <v>-0.1054771</v>
      </c>
      <c r="AE3679">
        <v>8.0999999999846698E-3</v>
      </c>
      <c r="AF3679">
        <v>8.9568170349836704E-2</v>
      </c>
      <c r="AG3679">
        <v>-0.1054771</v>
      </c>
      <c r="AH3679">
        <v>0.464810425545717</v>
      </c>
      <c r="AI3679">
        <v>102.561750061117</v>
      </c>
      <c r="AJ3679">
        <v>79.092893496335705</v>
      </c>
      <c r="AK3679">
        <v>0.48497072845710798</v>
      </c>
      <c r="AL3679">
        <v>86.137045877946605</v>
      </c>
      <c r="AM3679">
        <v>86.328691651877406</v>
      </c>
      <c r="AN3679">
        <v>0.99999998173734905</v>
      </c>
    </row>
    <row r="3680" spans="1:40" x14ac:dyDescent="0.25">
      <c r="A3680" t="str">
        <f>"20190312151611849"</f>
        <v>20190312151611849</v>
      </c>
      <c r="B3680" t="str">
        <f>"1552374971841625"</f>
        <v>1552374971841625</v>
      </c>
      <c r="C3680" t="s">
        <v>40</v>
      </c>
      <c r="D3680">
        <v>4.6091800000000003</v>
      </c>
      <c r="E3680">
        <v>0.51679220000000003</v>
      </c>
      <c r="F3680" t="s">
        <v>41</v>
      </c>
      <c r="G3680">
        <v>-219.51490000000001</v>
      </c>
      <c r="H3680">
        <v>1.0051909999999999</v>
      </c>
      <c r="I3680">
        <v>141.929</v>
      </c>
      <c r="J3680">
        <v>-219.04310000000001</v>
      </c>
      <c r="K3680">
        <v>1.1042130000000001</v>
      </c>
      <c r="L3680">
        <v>141.92269999999999</v>
      </c>
      <c r="M3680">
        <v>-0.98569669999999998</v>
      </c>
      <c r="N3680">
        <v>0</v>
      </c>
      <c r="O3680">
        <v>-0.1679081</v>
      </c>
      <c r="P3680">
        <v>-0.99246880000000004</v>
      </c>
      <c r="Q3680">
        <v>5.3030300000000002E-2</v>
      </c>
      <c r="R3680">
        <v>-0.11042440000000001</v>
      </c>
      <c r="S3680">
        <v>-3.0240779999999998</v>
      </c>
      <c r="T3680">
        <v>-0.37502750000000001</v>
      </c>
      <c r="U3680">
        <v>-0.17237849999999999</v>
      </c>
      <c r="V3680">
        <v>5.871295E-2</v>
      </c>
      <c r="W3680">
        <v>6.6644179999999997E-2</v>
      </c>
      <c r="X3680">
        <v>0.99604789999999999</v>
      </c>
      <c r="Y3680">
        <v>0.1094484</v>
      </c>
      <c r="Z3680">
        <v>2.738523E-2</v>
      </c>
      <c r="AA3680">
        <v>0.99361520000000003</v>
      </c>
      <c r="AB3680">
        <v>34</v>
      </c>
      <c r="AC3680">
        <v>-0.471800000000001</v>
      </c>
      <c r="AD3680">
        <v>-9.9021999999999902E-2</v>
      </c>
      <c r="AE3680">
        <v>6.3000000000101803E-3</v>
      </c>
      <c r="AF3680">
        <v>8.1833709083418804E-2</v>
      </c>
      <c r="AG3680">
        <v>-9.9021999999999902E-2</v>
      </c>
      <c r="AH3680">
        <v>0.44446699739064499</v>
      </c>
      <c r="AI3680">
        <v>102.35852049834</v>
      </c>
      <c r="AJ3680">
        <v>79.567735092178197</v>
      </c>
      <c r="AK3680">
        <v>0.46265864759648201</v>
      </c>
      <c r="AL3680">
        <v>86.178737679555198</v>
      </c>
      <c r="AM3680">
        <v>86.626551666965199</v>
      </c>
      <c r="AN3680">
        <v>1.0000000381599901</v>
      </c>
    </row>
    <row r="3681" spans="1:40" x14ac:dyDescent="0.25">
      <c r="A3681" t="str">
        <f>"20190312151611871"</f>
        <v>20190312151611871</v>
      </c>
      <c r="B3681" t="str">
        <f>"1552374971861145"</f>
        <v>1552374971861145</v>
      </c>
      <c r="C3681" t="s">
        <v>40</v>
      </c>
      <c r="D3681">
        <v>4.6286290000000001</v>
      </c>
      <c r="E3681">
        <v>0.51731709999999997</v>
      </c>
      <c r="F3681" t="s">
        <v>46</v>
      </c>
      <c r="G3681">
        <v>0</v>
      </c>
      <c r="H3681">
        <v>0</v>
      </c>
      <c r="I3681">
        <v>0</v>
      </c>
      <c r="J3681">
        <v>-219.37620000000001</v>
      </c>
      <c r="K3681">
        <v>1.104519</v>
      </c>
      <c r="L3681">
        <v>141.87110000000001</v>
      </c>
      <c r="M3681">
        <v>-0.98654010000000003</v>
      </c>
      <c r="N3681">
        <v>0</v>
      </c>
      <c r="O3681">
        <v>-0.16288420000000001</v>
      </c>
      <c r="P3681">
        <v>-0.99249449999999995</v>
      </c>
      <c r="Q3681">
        <v>5.3213919999999998E-2</v>
      </c>
      <c r="R3681">
        <v>-0.1101039</v>
      </c>
      <c r="S3681">
        <v>-3.0001069999999999</v>
      </c>
      <c r="T3681">
        <v>1.8922810000000002E-2</v>
      </c>
      <c r="U3681">
        <v>-0.19454959999999999</v>
      </c>
      <c r="V3681">
        <v>5.3904809999999997E-2</v>
      </c>
      <c r="W3681">
        <v>6.6880170000000003E-2</v>
      </c>
      <c r="X3681">
        <v>0.99630379999999996</v>
      </c>
      <c r="Y3681">
        <v>9.870727E-2</v>
      </c>
      <c r="Z3681">
        <v>-1.3325520000000001E-3</v>
      </c>
      <c r="AA3681">
        <v>0.99511559999999999</v>
      </c>
      <c r="AB3681">
        <v>34</v>
      </c>
      <c r="AC3681">
        <v>-3.0001069999999999</v>
      </c>
      <c r="AD3681">
        <v>1.8922810000000002E-2</v>
      </c>
      <c r="AE3681">
        <v>-0.19454959999999999</v>
      </c>
      <c r="AF3681">
        <v>0.29675806222524298</v>
      </c>
      <c r="AG3681">
        <v>1.8922810000000002E-2</v>
      </c>
      <c r="AH3681">
        <v>2.9916066098154199</v>
      </c>
      <c r="AI3681">
        <v>89.639361778857605</v>
      </c>
      <c r="AJ3681">
        <v>84.334969878672197</v>
      </c>
      <c r="AK3681">
        <v>3.0063488699958398</v>
      </c>
      <c r="AL3681">
        <v>86.165185967366696</v>
      </c>
      <c r="AM3681">
        <v>86.903043340518394</v>
      </c>
      <c r="AN3681">
        <v>0.99999997378740202</v>
      </c>
    </row>
    <row r="3682" spans="1:40" x14ac:dyDescent="0.25">
      <c r="A3682" t="str">
        <f>"20190312151611894"</f>
        <v>20190312151611894</v>
      </c>
      <c r="B3682" t="str">
        <f>"1552374971891401"</f>
        <v>1552374971891401</v>
      </c>
      <c r="C3682" t="s">
        <v>40</v>
      </c>
      <c r="D3682">
        <v>4.6483860000000004</v>
      </c>
      <c r="E3682">
        <v>0.51779809999999904</v>
      </c>
      <c r="F3682" t="s">
        <v>46</v>
      </c>
      <c r="G3682">
        <v>0</v>
      </c>
      <c r="H3682">
        <v>0</v>
      </c>
      <c r="I3682">
        <v>0</v>
      </c>
      <c r="J3682">
        <v>-219.71180000000001</v>
      </c>
      <c r="K3682">
        <v>1.104824</v>
      </c>
      <c r="L3682">
        <v>141.82069999999999</v>
      </c>
      <c r="M3682">
        <v>-0.98731519999999995</v>
      </c>
      <c r="N3682">
        <v>0</v>
      </c>
      <c r="O3682">
        <v>-0.15812329999999999</v>
      </c>
      <c r="P3682">
        <v>-0.99244949999999998</v>
      </c>
      <c r="Q3682">
        <v>5.3975919999999997E-2</v>
      </c>
      <c r="R3682">
        <v>-0.1101395</v>
      </c>
      <c r="S3682">
        <v>-2.999298</v>
      </c>
      <c r="T3682">
        <v>4.291213E-2</v>
      </c>
      <c r="U3682">
        <v>-0.19010930000000001</v>
      </c>
      <c r="V3682">
        <v>4.9011310000000002E-2</v>
      </c>
      <c r="W3682">
        <v>6.7690379999999994E-2</v>
      </c>
      <c r="X3682">
        <v>0.99650190000000005</v>
      </c>
      <c r="Y3682">
        <v>9.5335500000000004E-2</v>
      </c>
      <c r="Z3682">
        <v>-2.9314860000000001E-3</v>
      </c>
      <c r="AA3682">
        <v>0.99544089999999996</v>
      </c>
      <c r="AB3682">
        <v>34</v>
      </c>
      <c r="AC3682">
        <v>-2.999298</v>
      </c>
      <c r="AD3682">
        <v>4.291213E-2</v>
      </c>
      <c r="AE3682">
        <v>-0.19010930000000001</v>
      </c>
      <c r="AF3682">
        <v>0.28653215696370599</v>
      </c>
      <c r="AG3682">
        <v>4.291213E-2</v>
      </c>
      <c r="AH3682">
        <v>2.99101113103674</v>
      </c>
      <c r="AI3682">
        <v>89.181777470785605</v>
      </c>
      <c r="AJ3682">
        <v>84.527891640319098</v>
      </c>
      <c r="AK3682">
        <v>3.0050107676780602</v>
      </c>
      <c r="AL3682">
        <v>86.118659270619403</v>
      </c>
      <c r="AM3682">
        <v>87.184270103523005</v>
      </c>
      <c r="AN3682">
        <v>1.00000006637803</v>
      </c>
    </row>
    <row r="3683" spans="1:40" x14ac:dyDescent="0.25">
      <c r="A3683" t="str">
        <f>"20190312151611917"</f>
        <v>20190312151611917</v>
      </c>
      <c r="B3683" t="str">
        <f>"1552374971911897"</f>
        <v>1552374971911897</v>
      </c>
      <c r="C3683" t="s">
        <v>40</v>
      </c>
      <c r="D3683">
        <v>4.6360429999999999</v>
      </c>
      <c r="E3683">
        <v>0.51770890000000003</v>
      </c>
      <c r="F3683" t="s">
        <v>46</v>
      </c>
      <c r="G3683">
        <v>0</v>
      </c>
      <c r="H3683">
        <v>0</v>
      </c>
      <c r="I3683">
        <v>0</v>
      </c>
      <c r="J3683">
        <v>-220.05789999999999</v>
      </c>
      <c r="K3683">
        <v>1.1051150000000001</v>
      </c>
      <c r="L3683">
        <v>141.77019999999999</v>
      </c>
      <c r="M3683">
        <v>-0.98804700000000001</v>
      </c>
      <c r="N3683">
        <v>0</v>
      </c>
      <c r="O3683">
        <v>-0.15348870000000001</v>
      </c>
      <c r="P3683">
        <v>-0.99238440000000006</v>
      </c>
      <c r="Q3683">
        <v>5.4127670000000003E-2</v>
      </c>
      <c r="R3683">
        <v>-0.11065</v>
      </c>
      <c r="S3683">
        <v>-3.0001980000000001</v>
      </c>
      <c r="T3683">
        <v>3.6085369999999999E-2</v>
      </c>
      <c r="U3683">
        <v>-0.18617249999999999</v>
      </c>
      <c r="V3683">
        <v>4.3770940000000001E-2</v>
      </c>
      <c r="W3683">
        <v>6.7889240000000003E-2</v>
      </c>
      <c r="X3683">
        <v>0.99673219999999996</v>
      </c>
      <c r="Y3683">
        <v>9.199193E-2</v>
      </c>
      <c r="Z3683">
        <v>-2.389445E-3</v>
      </c>
      <c r="AA3683">
        <v>0.99575689999999994</v>
      </c>
      <c r="AB3683">
        <v>34</v>
      </c>
      <c r="AC3683">
        <v>-3.0001980000000001</v>
      </c>
      <c r="AD3683">
        <v>3.6085369999999999E-2</v>
      </c>
      <c r="AE3683">
        <v>-0.18617249999999999</v>
      </c>
      <c r="AF3683">
        <v>0.27653771890346601</v>
      </c>
      <c r="AG3683">
        <v>3.6085369999999999E-2</v>
      </c>
      <c r="AH3683">
        <v>2.9927865583731399</v>
      </c>
      <c r="AI3683">
        <v>89.312122592438101</v>
      </c>
      <c r="AJ3683">
        <v>84.720779426422794</v>
      </c>
      <c r="AK3683">
        <v>3.0057522598982298</v>
      </c>
      <c r="AL3683">
        <v>86.107238752464994</v>
      </c>
      <c r="AM3683">
        <v>87.485503274741902</v>
      </c>
      <c r="AN3683">
        <v>0.999999961306549</v>
      </c>
    </row>
    <row r="3684" spans="1:40" x14ac:dyDescent="0.25">
      <c r="A3684" t="str">
        <f>"20190312151611941"</f>
        <v>20190312151611941</v>
      </c>
      <c r="B3684" t="str">
        <f>"1552374971931417"</f>
        <v>1552374971931417</v>
      </c>
      <c r="C3684" t="s">
        <v>40</v>
      </c>
      <c r="D3684">
        <v>4.6216249999999999</v>
      </c>
      <c r="E3684">
        <v>0.51762829999999904</v>
      </c>
      <c r="F3684" t="s">
        <v>46</v>
      </c>
      <c r="G3684">
        <v>0</v>
      </c>
      <c r="H3684">
        <v>0</v>
      </c>
      <c r="I3684">
        <v>0</v>
      </c>
      <c r="J3684">
        <v>-220.4126</v>
      </c>
      <c r="K3684">
        <v>1.105372</v>
      </c>
      <c r="L3684">
        <v>141.72</v>
      </c>
      <c r="M3684">
        <v>-0.9887416</v>
      </c>
      <c r="N3684">
        <v>0</v>
      </c>
      <c r="O3684">
        <v>-0.14895369999999999</v>
      </c>
      <c r="P3684">
        <v>-0.99244290000000002</v>
      </c>
      <c r="Q3684">
        <v>5.3458579999999999E-2</v>
      </c>
      <c r="R3684">
        <v>-0.1104517</v>
      </c>
      <c r="S3684">
        <v>-2.9994809999999998</v>
      </c>
      <c r="T3684">
        <v>4.5448059999999998E-2</v>
      </c>
      <c r="U3684">
        <v>-0.1887665</v>
      </c>
      <c r="V3684">
        <v>3.9349929999999998E-2</v>
      </c>
      <c r="W3684">
        <v>6.7251259999999993E-2</v>
      </c>
      <c r="X3684">
        <v>0.99695979999999995</v>
      </c>
      <c r="Y3684">
        <v>8.6540010000000001E-2</v>
      </c>
      <c r="Z3684">
        <v>-2.9007949999999998E-3</v>
      </c>
      <c r="AA3684">
        <v>0.99624409999999997</v>
      </c>
      <c r="AB3684">
        <v>34</v>
      </c>
      <c r="AC3684">
        <v>-2.9994809999999998</v>
      </c>
      <c r="AD3684">
        <v>4.5448059999999998E-2</v>
      </c>
      <c r="AE3684">
        <v>-0.1887665</v>
      </c>
      <c r="AF3684">
        <v>0.26010940899274299</v>
      </c>
      <c r="AG3684">
        <v>4.5448059999999998E-2</v>
      </c>
      <c r="AH3684">
        <v>2.9934482658803399</v>
      </c>
      <c r="AI3684">
        <v>89.133437833474005</v>
      </c>
      <c r="AJ3684">
        <v>85.033877037147903</v>
      </c>
      <c r="AK3684">
        <v>3.0050715384673099</v>
      </c>
      <c r="AL3684">
        <v>86.143876183336999</v>
      </c>
      <c r="AM3684">
        <v>87.739713056580499</v>
      </c>
      <c r="AN3684">
        <v>0.99999999588931598</v>
      </c>
    </row>
    <row r="3685" spans="1:40" x14ac:dyDescent="0.25">
      <c r="A3685" t="str">
        <f>"20190312151611964"</f>
        <v>20190312151611964</v>
      </c>
      <c r="B3685" t="str">
        <f>"1552374971951913"</f>
        <v>1552374971951913</v>
      </c>
      <c r="C3685" t="s">
        <v>40</v>
      </c>
      <c r="D3685">
        <v>4.6092309999999896</v>
      </c>
      <c r="E3685">
        <v>0.51780689999999996</v>
      </c>
      <c r="F3685" t="s">
        <v>46</v>
      </c>
      <c r="G3685">
        <v>0</v>
      </c>
      <c r="H3685">
        <v>0</v>
      </c>
      <c r="I3685">
        <v>0</v>
      </c>
      <c r="J3685">
        <v>-220.7501</v>
      </c>
      <c r="K3685">
        <v>1.105583</v>
      </c>
      <c r="L3685">
        <v>141.67349999999999</v>
      </c>
      <c r="M3685">
        <v>-0.98935629999999997</v>
      </c>
      <c r="N3685">
        <v>0</v>
      </c>
      <c r="O3685">
        <v>-0.144817</v>
      </c>
      <c r="P3685">
        <v>-0.99238870000000001</v>
      </c>
      <c r="Q3685">
        <v>5.3345259999999999E-2</v>
      </c>
      <c r="R3685">
        <v>-0.1109898</v>
      </c>
      <c r="S3685">
        <v>-2.9992679999999998</v>
      </c>
      <c r="T3685">
        <v>4.7218919999999998E-2</v>
      </c>
      <c r="U3685">
        <v>-0.1889496</v>
      </c>
      <c r="V3685">
        <v>3.4600739999999998E-2</v>
      </c>
      <c r="W3685">
        <v>6.7169899999999894E-2</v>
      </c>
      <c r="X3685">
        <v>0.99714139999999996</v>
      </c>
      <c r="Y3685">
        <v>8.2306149999999995E-2</v>
      </c>
      <c r="Z3685">
        <v>-2.9163409999999998E-3</v>
      </c>
      <c r="AA3685">
        <v>0.99660280000000001</v>
      </c>
      <c r="AB3685">
        <v>34</v>
      </c>
      <c r="AC3685">
        <v>-2.9992679999999998</v>
      </c>
      <c r="AD3685">
        <v>4.7218919999999998E-2</v>
      </c>
      <c r="AE3685">
        <v>-0.1889496</v>
      </c>
      <c r="AF3685">
        <v>0.247370456817675</v>
      </c>
      <c r="AG3685">
        <v>4.7218919999999998E-2</v>
      </c>
      <c r="AH3685">
        <v>2.9942713207449501</v>
      </c>
      <c r="AI3685">
        <v>89.0996015334172</v>
      </c>
      <c r="AJ3685">
        <v>85.277258461462907</v>
      </c>
      <c r="AK3685">
        <v>3.00484317586589</v>
      </c>
      <c r="AL3685">
        <v>86.148548306528298</v>
      </c>
      <c r="AM3685">
        <v>88.012637671927905</v>
      </c>
      <c r="AN3685">
        <v>0.99999998913425803</v>
      </c>
    </row>
    <row r="3686" spans="1:40" x14ac:dyDescent="0.25">
      <c r="A3686" t="str">
        <f>"20190312151611988"</f>
        <v>20190312151611988</v>
      </c>
      <c r="B3686" t="str">
        <f>"1552374971982169"</f>
        <v>1552374971982169</v>
      </c>
      <c r="C3686" t="s">
        <v>40</v>
      </c>
      <c r="D3686">
        <v>4.625623</v>
      </c>
      <c r="E3686">
        <v>0.51819959999999998</v>
      </c>
      <c r="F3686" t="s">
        <v>41</v>
      </c>
      <c r="G3686">
        <v>-221.61269999999999</v>
      </c>
      <c r="H3686">
        <v>1.0237810000000001</v>
      </c>
      <c r="I3686">
        <v>141.62180000000001</v>
      </c>
      <c r="J3686">
        <v>-221.1097</v>
      </c>
      <c r="K3686">
        <v>1.1057870000000001</v>
      </c>
      <c r="L3686">
        <v>141.62540000000001</v>
      </c>
      <c r="M3686">
        <v>-0.98996740000000005</v>
      </c>
      <c r="N3686">
        <v>0</v>
      </c>
      <c r="O3686">
        <v>-0.14058399999999999</v>
      </c>
      <c r="P3686">
        <v>-0.99250859999999996</v>
      </c>
      <c r="Q3686">
        <v>5.4014329999999999E-2</v>
      </c>
      <c r="R3686">
        <v>-0.109586</v>
      </c>
      <c r="S3686">
        <v>-3.0180820000000002</v>
      </c>
      <c r="T3686">
        <v>-0.28617199999999998</v>
      </c>
      <c r="U3686">
        <v>-0.18156430000000001</v>
      </c>
      <c r="V3686">
        <v>3.171235E-2</v>
      </c>
      <c r="W3686">
        <v>6.7846420000000005E-2</v>
      </c>
      <c r="X3686">
        <v>0.99719170000000001</v>
      </c>
      <c r="Y3686">
        <v>7.991036E-2</v>
      </c>
      <c r="Z3686">
        <v>1.7019070000000001E-2</v>
      </c>
      <c r="AA3686">
        <v>0.99665680000000001</v>
      </c>
      <c r="AB3686">
        <v>34</v>
      </c>
      <c r="AC3686">
        <v>-0.50299999999998501</v>
      </c>
      <c r="AD3686">
        <v>-8.2005999999999996E-2</v>
      </c>
      <c r="AE3686">
        <v>-3.6000000000058199E-3</v>
      </c>
      <c r="AF3686">
        <v>6.5417888725401996E-2</v>
      </c>
      <c r="AG3686">
        <v>-8.2005999999999996E-2</v>
      </c>
      <c r="AH3686">
        <v>0.48560305180648</v>
      </c>
      <c r="AI3686">
        <v>99.501121452039499</v>
      </c>
      <c r="AJ3686">
        <v>82.327604505926104</v>
      </c>
      <c r="AK3686">
        <v>0.49680459752809902</v>
      </c>
      <c r="AL3686">
        <v>86.109698166236697</v>
      </c>
      <c r="AM3686">
        <v>88.178513066175697</v>
      </c>
      <c r="AN3686">
        <v>1.00000004819911</v>
      </c>
    </row>
    <row r="3687" spans="1:40" x14ac:dyDescent="0.25">
      <c r="A3687" t="str">
        <f>"20190312151612007"</f>
        <v>20190312151612007</v>
      </c>
      <c r="B3687" t="str">
        <f>"1552374972001689"</f>
        <v>1552374972001689</v>
      </c>
      <c r="C3687" t="s">
        <v>40</v>
      </c>
      <c r="D3687">
        <v>4.6151070000000001</v>
      </c>
      <c r="E3687">
        <v>0.51753879999999997</v>
      </c>
      <c r="F3687" t="s">
        <v>46</v>
      </c>
      <c r="G3687">
        <v>0</v>
      </c>
      <c r="H3687">
        <v>0</v>
      </c>
      <c r="I3687">
        <v>0</v>
      </c>
      <c r="J3687">
        <v>-221.4068</v>
      </c>
      <c r="K3687">
        <v>1.105944</v>
      </c>
      <c r="L3687">
        <v>141.58680000000001</v>
      </c>
      <c r="M3687">
        <v>-0.99044080000000001</v>
      </c>
      <c r="N3687">
        <v>0</v>
      </c>
      <c r="O3687">
        <v>-0.13721169999999999</v>
      </c>
      <c r="P3687">
        <v>-0.99260280000000001</v>
      </c>
      <c r="Q3687">
        <v>5.4509059999999998E-2</v>
      </c>
      <c r="R3687">
        <v>-0.10848289999999999</v>
      </c>
      <c r="S3687">
        <v>-3.0016479999999999</v>
      </c>
      <c r="T3687">
        <v>1.8270970000000001E-2</v>
      </c>
      <c r="U3687">
        <v>-0.1813507</v>
      </c>
      <c r="V3687">
        <v>2.9397570000000001E-2</v>
      </c>
      <c r="W3687">
        <v>6.8345939999999994E-2</v>
      </c>
      <c r="X3687">
        <v>0.99722840000000001</v>
      </c>
      <c r="Y3687">
        <v>7.7235170000000006E-2</v>
      </c>
      <c r="Z3687">
        <v>-1.066523E-3</v>
      </c>
      <c r="AA3687">
        <v>0.99701229999999996</v>
      </c>
      <c r="AB3687">
        <v>34</v>
      </c>
      <c r="AC3687">
        <v>-3.0016479999999999</v>
      </c>
      <c r="AD3687">
        <v>1.8270970000000001E-2</v>
      </c>
      <c r="AE3687">
        <v>-0.1813507</v>
      </c>
      <c r="AF3687">
        <v>0.23225874283176801</v>
      </c>
      <c r="AG3687">
        <v>1.8270970000000001E-2</v>
      </c>
      <c r="AH3687">
        <v>2.99802719283077</v>
      </c>
      <c r="AI3687">
        <v>89.6518679790683</v>
      </c>
      <c r="AJ3687">
        <v>85.570113955189996</v>
      </c>
      <c r="AK3687">
        <v>3.0070658457904198</v>
      </c>
      <c r="AL3687">
        <v>86.081010738832703</v>
      </c>
      <c r="AM3687">
        <v>88.311450991884499</v>
      </c>
      <c r="AN3687">
        <v>0.99999993320147196</v>
      </c>
    </row>
    <row r="3688" spans="1:40" x14ac:dyDescent="0.25">
      <c r="A3688" t="str">
        <f>"20190312151612029"</f>
        <v>20190312151612029</v>
      </c>
      <c r="B3688" t="str">
        <f>"1552374972021209"</f>
        <v>1552374972021209</v>
      </c>
      <c r="C3688" t="s">
        <v>40</v>
      </c>
      <c r="D3688">
        <v>4.5880299999999998</v>
      </c>
      <c r="E3688">
        <v>0.5175303</v>
      </c>
      <c r="F3688" t="s">
        <v>46</v>
      </c>
      <c r="G3688">
        <v>0</v>
      </c>
      <c r="H3688">
        <v>0</v>
      </c>
      <c r="I3688">
        <v>0</v>
      </c>
      <c r="J3688">
        <v>-221.73060000000001</v>
      </c>
      <c r="K3688">
        <v>1.106104</v>
      </c>
      <c r="L3688">
        <v>141.54570000000001</v>
      </c>
      <c r="M3688">
        <v>-0.99092820000000004</v>
      </c>
      <c r="N3688">
        <v>0</v>
      </c>
      <c r="O3688">
        <v>-0.1336503</v>
      </c>
      <c r="P3688">
        <v>-0.99270700000000001</v>
      </c>
      <c r="Q3688">
        <v>5.417421E-2</v>
      </c>
      <c r="R3688">
        <v>-0.107694</v>
      </c>
      <c r="S3688">
        <v>-2.9998779999999998</v>
      </c>
      <c r="T3688">
        <v>4.2996880000000001E-2</v>
      </c>
      <c r="U3688">
        <v>-0.18397520000000001</v>
      </c>
      <c r="V3688">
        <v>2.657462E-2</v>
      </c>
      <c r="W3688">
        <v>6.8019590000000005E-2</v>
      </c>
      <c r="X3688">
        <v>0.99733000000000005</v>
      </c>
      <c r="Y3688">
        <v>7.2728669999999995E-2</v>
      </c>
      <c r="Z3688">
        <v>-2.4283099999999999E-3</v>
      </c>
      <c r="AA3688">
        <v>0.99734880000000004</v>
      </c>
      <c r="AB3688">
        <v>33</v>
      </c>
      <c r="AC3688">
        <v>-2.9998779999999998</v>
      </c>
      <c r="AD3688">
        <v>4.2996880000000001E-2</v>
      </c>
      <c r="AE3688">
        <v>-0.18397520000000001</v>
      </c>
      <c r="AF3688">
        <v>0.21860538656558401</v>
      </c>
      <c r="AG3688">
        <v>4.2996880000000001E-2</v>
      </c>
      <c r="AH3688">
        <v>2.99693681038949</v>
      </c>
      <c r="AI3688">
        <v>89.180214853257297</v>
      </c>
      <c r="AJ3688">
        <v>85.828066000392198</v>
      </c>
      <c r="AK3688">
        <v>3.00520669708304</v>
      </c>
      <c r="AL3688">
        <v>86.099753102182007</v>
      </c>
      <c r="AM3688">
        <v>88.473671331087303</v>
      </c>
      <c r="AN3688">
        <v>1.0000000019759501</v>
      </c>
    </row>
    <row r="3689" spans="1:40" x14ac:dyDescent="0.25">
      <c r="A3689" t="str">
        <f>"20190312151612052"</f>
        <v>20190312151612052</v>
      </c>
      <c r="B3689" t="str">
        <f>"1552374972041705"</f>
        <v>1552374972041705</v>
      </c>
      <c r="C3689" t="s">
        <v>40</v>
      </c>
      <c r="D3689">
        <v>4.6003790000000002</v>
      </c>
      <c r="E3689">
        <v>0.53326049999999903</v>
      </c>
      <c r="F3689" t="s">
        <v>46</v>
      </c>
      <c r="G3689">
        <v>0</v>
      </c>
      <c r="H3689">
        <v>0</v>
      </c>
      <c r="I3689">
        <v>0</v>
      </c>
      <c r="J3689">
        <v>-222.066</v>
      </c>
      <c r="K3689">
        <v>1.106263</v>
      </c>
      <c r="L3689">
        <v>141.5042</v>
      </c>
      <c r="M3689">
        <v>-0.9914039</v>
      </c>
      <c r="N3689">
        <v>0</v>
      </c>
      <c r="O3689">
        <v>-0.130078</v>
      </c>
      <c r="P3689">
        <v>-0.99285449999999997</v>
      </c>
      <c r="Q3689">
        <v>5.312857E-2</v>
      </c>
      <c r="R3689">
        <v>-0.10685269999999999</v>
      </c>
      <c r="S3689">
        <v>-2.9996339999999999</v>
      </c>
      <c r="T3689">
        <v>4.8574920000000001E-2</v>
      </c>
      <c r="U3689">
        <v>-0.18188480000000001</v>
      </c>
      <c r="V3689">
        <v>2.3794329999999999E-2</v>
      </c>
      <c r="W3689">
        <v>6.6981959999999993E-2</v>
      </c>
      <c r="X3689">
        <v>0.99747039999999998</v>
      </c>
      <c r="Y3689">
        <v>6.9816219999999998E-2</v>
      </c>
      <c r="Z3689">
        <v>-2.6627450000000002E-3</v>
      </c>
      <c r="AA3689">
        <v>0.99755629999999995</v>
      </c>
      <c r="AB3689">
        <v>33</v>
      </c>
      <c r="AC3689">
        <v>-2.9996339999999999</v>
      </c>
      <c r="AD3689">
        <v>4.8574920000000001E-2</v>
      </c>
      <c r="AE3689">
        <v>-0.18188480000000001</v>
      </c>
      <c r="AF3689">
        <v>0.20983105021557799</v>
      </c>
      <c r="AG3689">
        <v>4.8574920000000001E-2</v>
      </c>
      <c r="AH3689">
        <v>2.9970218464132299</v>
      </c>
      <c r="AI3689">
        <v>89.073713878487496</v>
      </c>
      <c r="AJ3689">
        <v>85.995075199192399</v>
      </c>
      <c r="AK3689">
        <v>3.0047509947357902</v>
      </c>
      <c r="AL3689">
        <v>86.159340730924498</v>
      </c>
      <c r="AM3689">
        <v>88.633487091338395</v>
      </c>
      <c r="AN3689">
        <v>0.99999997599087498</v>
      </c>
    </row>
    <row r="3690" spans="1:40" x14ac:dyDescent="0.25">
      <c r="A3690" t="str">
        <f>"20190312151612073"</f>
        <v>20190312151612073</v>
      </c>
      <c r="B3690" t="str">
        <f>"1552374972071962"</f>
        <v>1552374972071962</v>
      </c>
      <c r="C3690" t="s">
        <v>40</v>
      </c>
      <c r="D3690">
        <v>4.4532860000000003</v>
      </c>
      <c r="E3690">
        <v>0.54948019999999997</v>
      </c>
      <c r="F3690" t="s">
        <v>41</v>
      </c>
      <c r="G3690">
        <v>-222.8192</v>
      </c>
      <c r="H3690">
        <v>1.0455080000000001</v>
      </c>
      <c r="I3690">
        <v>141.4924</v>
      </c>
      <c r="J3690">
        <v>-222.38589999999999</v>
      </c>
      <c r="K3690">
        <v>1.106406</v>
      </c>
      <c r="L3690">
        <v>141.4657</v>
      </c>
      <c r="M3690">
        <v>-0.99183030000000005</v>
      </c>
      <c r="N3690">
        <v>0</v>
      </c>
      <c r="O3690">
        <v>-0.12678729999999999</v>
      </c>
      <c r="P3690">
        <v>-0.99294780000000005</v>
      </c>
      <c r="Q3690">
        <v>5.2768570000000001E-2</v>
      </c>
      <c r="R3690">
        <v>-0.1061618</v>
      </c>
      <c r="S3690">
        <v>-3.0294340000000002</v>
      </c>
      <c r="T3690">
        <v>-0.24426020000000001</v>
      </c>
      <c r="U3690">
        <v>-4.8522950000000002E-2</v>
      </c>
      <c r="V3690">
        <v>2.115206E-2</v>
      </c>
      <c r="W3690">
        <v>6.6628960000000001E-2</v>
      </c>
      <c r="X3690">
        <v>0.99755360000000004</v>
      </c>
      <c r="Y3690">
        <v>0.1101311</v>
      </c>
      <c r="Z3690">
        <v>1.4615629999999999E-2</v>
      </c>
      <c r="AA3690">
        <v>0.99380959999999996</v>
      </c>
      <c r="AB3690">
        <v>33</v>
      </c>
      <c r="AC3690">
        <v>-0.43330000000000202</v>
      </c>
      <c r="AD3690">
        <v>-6.0898000000000098E-2</v>
      </c>
      <c r="AE3690">
        <v>2.6700000000005199E-2</v>
      </c>
      <c r="AF3690">
        <v>7.9855450831245206E-2</v>
      </c>
      <c r="AG3690">
        <v>-6.0898000000000098E-2</v>
      </c>
      <c r="AH3690">
        <v>0.41818785299689998</v>
      </c>
      <c r="AI3690">
        <v>98.140313432761801</v>
      </c>
      <c r="AJ3690">
        <v>79.189179711411398</v>
      </c>
      <c r="AK3690">
        <v>0.43007736493056498</v>
      </c>
      <c r="AL3690">
        <v>86.1796115424129</v>
      </c>
      <c r="AM3690">
        <v>88.785286138737902</v>
      </c>
      <c r="AN3690">
        <v>1.00000000641294</v>
      </c>
    </row>
    <row r="3691" spans="1:40" x14ac:dyDescent="0.25">
      <c r="A3691" t="str">
        <f>"20190312151612095"</f>
        <v>20190312151612095</v>
      </c>
      <c r="B3691" t="str">
        <f>"1552374972091482"</f>
        <v>1552374972091482</v>
      </c>
      <c r="C3691" t="s">
        <v>40</v>
      </c>
      <c r="D3691">
        <v>4.493709</v>
      </c>
      <c r="E3691">
        <v>0.55164040000000003</v>
      </c>
      <c r="F3691" t="s">
        <v>46</v>
      </c>
      <c r="G3691">
        <v>0</v>
      </c>
      <c r="H3691">
        <v>0</v>
      </c>
      <c r="I3691">
        <v>0</v>
      </c>
      <c r="J3691">
        <v>-222.7064</v>
      </c>
      <c r="K3691">
        <v>1.10654599999999</v>
      </c>
      <c r="L3691">
        <v>141.4281</v>
      </c>
      <c r="M3691">
        <v>-0.99223209999999995</v>
      </c>
      <c r="N3691">
        <v>0</v>
      </c>
      <c r="O3691">
        <v>-0.1236059</v>
      </c>
      <c r="P3691">
        <v>-0.99304420000000004</v>
      </c>
      <c r="Q3691">
        <v>5.2520829999999998E-2</v>
      </c>
      <c r="R3691">
        <v>-0.1053806</v>
      </c>
      <c r="S3691">
        <v>-3.0247039999999998</v>
      </c>
      <c r="T3691">
        <v>8.8353039999999994E-2</v>
      </c>
      <c r="U3691">
        <v>7.5439450000000005E-2</v>
      </c>
      <c r="V3691">
        <v>1.871364E-2</v>
      </c>
      <c r="W3691">
        <v>6.6385369999999999E-2</v>
      </c>
      <c r="X3691">
        <v>0.99761860000000002</v>
      </c>
      <c r="Y3691">
        <v>0.148206</v>
      </c>
      <c r="Z3691">
        <v>-5.7678410000000001E-3</v>
      </c>
      <c r="AA3691">
        <v>0.98893969999999998</v>
      </c>
      <c r="AB3691">
        <v>33</v>
      </c>
      <c r="AC3691">
        <v>-3.0247039999999998</v>
      </c>
      <c r="AD3691">
        <v>8.8353039999999994E-2</v>
      </c>
      <c r="AE3691">
        <v>7.5439450000000005E-2</v>
      </c>
      <c r="AF3691">
        <v>0.44838657039235302</v>
      </c>
      <c r="AG3691">
        <v>8.8353039999999994E-2</v>
      </c>
      <c r="AH3691">
        <v>2.9896291257249499</v>
      </c>
      <c r="AI3691">
        <v>88.325933221675697</v>
      </c>
      <c r="AJ3691">
        <v>81.470317717000299</v>
      </c>
      <c r="AK3691">
        <v>3.02435763188952</v>
      </c>
      <c r="AL3691">
        <v>86.1935993353665</v>
      </c>
      <c r="AM3691">
        <v>88.925353981427307</v>
      </c>
      <c r="AN3691">
        <v>1.00000004436902</v>
      </c>
    </row>
    <row r="3692" spans="1:40" x14ac:dyDescent="0.25">
      <c r="A3692" t="str">
        <f>"20190312151612117"</f>
        <v>20190312151612117</v>
      </c>
      <c r="B3692" t="str">
        <f>"1552374972111978"</f>
        <v>1552374972111978</v>
      </c>
      <c r="C3692" t="s">
        <v>40</v>
      </c>
      <c r="D3692">
        <v>4.6259489999999897</v>
      </c>
      <c r="E3692">
        <v>0.55220590000000003</v>
      </c>
      <c r="F3692" t="s">
        <v>63</v>
      </c>
      <c r="G3692">
        <v>-511.06189999999998</v>
      </c>
      <c r="H3692">
        <v>9.8179230000000004</v>
      </c>
      <c r="I3692">
        <v>150.4571</v>
      </c>
      <c r="J3692">
        <v>-223.05269999999999</v>
      </c>
      <c r="K3692">
        <v>1.1066739999999999</v>
      </c>
      <c r="L3692">
        <v>141.38849999999999</v>
      </c>
      <c r="M3692">
        <v>-0.99264220000000003</v>
      </c>
      <c r="N3692">
        <v>0</v>
      </c>
      <c r="O3692">
        <v>-0.12027110000000001</v>
      </c>
      <c r="P3692">
        <v>-0.99305810000000005</v>
      </c>
      <c r="Q3692">
        <v>5.3757190000000003E-2</v>
      </c>
      <c r="R3692">
        <v>-0.1046233</v>
      </c>
      <c r="S3692">
        <v>-3.0262150000000001</v>
      </c>
      <c r="T3692">
        <v>9.1423989999999997E-2</v>
      </c>
      <c r="U3692">
        <v>9.4757079999999994E-2</v>
      </c>
      <c r="V3692">
        <v>1.6100949999999999E-2</v>
      </c>
      <c r="W3692">
        <v>6.7624719999999999E-2</v>
      </c>
      <c r="X3692">
        <v>0.99758089999999999</v>
      </c>
      <c r="Y3692">
        <v>0.15116979999999999</v>
      </c>
      <c r="Z3692">
        <v>-5.9095930000000003E-3</v>
      </c>
      <c r="AA3692">
        <v>0.98849019999999999</v>
      </c>
      <c r="AB3692">
        <v>33</v>
      </c>
      <c r="AC3692">
        <v>-288.00920000000002</v>
      </c>
      <c r="AD3692">
        <v>8.7112490000000005</v>
      </c>
      <c r="AE3692">
        <v>9.0686</v>
      </c>
      <c r="AF3692">
        <v>43.605490092240203</v>
      </c>
      <c r="AG3692">
        <v>8.7112490000000005</v>
      </c>
      <c r="AH3692">
        <v>284.56727872031399</v>
      </c>
      <c r="AI3692">
        <v>88.266811659035298</v>
      </c>
      <c r="AJ3692">
        <v>81.2880825738293</v>
      </c>
      <c r="AK3692">
        <v>288.02059083268603</v>
      </c>
      <c r="AL3692">
        <v>86.122429684650697</v>
      </c>
      <c r="AM3692">
        <v>89.075326734234693</v>
      </c>
      <c r="AN3692">
        <v>0.99999999769539505</v>
      </c>
    </row>
    <row r="3693" spans="1:40" x14ac:dyDescent="0.25">
      <c r="A3693" t="str">
        <f>"20190312151612139"</f>
        <v>20190312151612139</v>
      </c>
      <c r="B3693" t="str">
        <f>"1552374972131505"</f>
        <v>1552374972131505</v>
      </c>
      <c r="C3693" t="s">
        <v>40</v>
      </c>
      <c r="D3693">
        <v>4.3566719999999997</v>
      </c>
      <c r="E3693">
        <v>0.55278559999999999</v>
      </c>
      <c r="F3693" t="s">
        <v>63</v>
      </c>
      <c r="G3693">
        <v>-511.06209999999999</v>
      </c>
      <c r="H3693">
        <v>10.40765</v>
      </c>
      <c r="I3693">
        <v>151.04230000000001</v>
      </c>
      <c r="J3693">
        <v>-223.36699999999999</v>
      </c>
      <c r="K3693">
        <v>1.1067819999999999</v>
      </c>
      <c r="L3693">
        <v>141.3535</v>
      </c>
      <c r="M3693">
        <v>-0.99299459999999995</v>
      </c>
      <c r="N3693">
        <v>0</v>
      </c>
      <c r="O3693">
        <v>-0.1173275</v>
      </c>
      <c r="P3693">
        <v>-0.99306930000000004</v>
      </c>
      <c r="Q3693">
        <v>5.5516410000000002E-2</v>
      </c>
      <c r="R3693">
        <v>-0.1035934</v>
      </c>
      <c r="S3693">
        <v>-3.026367</v>
      </c>
      <c r="T3693">
        <v>9.7733860000000006E-2</v>
      </c>
      <c r="U3693">
        <v>0.1014404</v>
      </c>
      <c r="V3693">
        <v>1.416122E-2</v>
      </c>
      <c r="W3693">
        <v>6.9382490000000005E-2</v>
      </c>
      <c r="X3693">
        <v>0.99748959999999998</v>
      </c>
      <c r="Y3693">
        <v>0.15040249999999999</v>
      </c>
      <c r="Z3693">
        <v>-6.2098530000000004E-3</v>
      </c>
      <c r="AA3693">
        <v>0.98860530000000002</v>
      </c>
      <c r="AB3693">
        <v>33</v>
      </c>
      <c r="AC3693">
        <v>-287.69510000000002</v>
      </c>
      <c r="AD3693">
        <v>9.3008679999999995</v>
      </c>
      <c r="AE3693">
        <v>9.6888000000000094</v>
      </c>
      <c r="AF3693">
        <v>43.334483877529699</v>
      </c>
      <c r="AG3693">
        <v>9.3008679999999995</v>
      </c>
      <c r="AH3693">
        <v>284.27403008245199</v>
      </c>
      <c r="AI3693">
        <v>88.147452785049396</v>
      </c>
      <c r="AJ3693">
        <v>81.332607290535407</v>
      </c>
      <c r="AK3693">
        <v>287.70837286704801</v>
      </c>
      <c r="AL3693">
        <v>86.021479677904694</v>
      </c>
      <c r="AM3693">
        <v>89.186634493196195</v>
      </c>
      <c r="AN3693">
        <v>0.99999998608932406</v>
      </c>
    </row>
    <row r="3694" spans="1:40" x14ac:dyDescent="0.25">
      <c r="A3694" t="str">
        <f>"20190312151612163"</f>
        <v>20190312151612163</v>
      </c>
      <c r="B3694" t="str">
        <f>"1552374972151993"</f>
        <v>1552374972151993</v>
      </c>
      <c r="C3694" t="s">
        <v>40</v>
      </c>
      <c r="D3694">
        <v>4.6087910000000001</v>
      </c>
      <c r="E3694">
        <v>0.55331439999999998</v>
      </c>
      <c r="F3694" t="s">
        <v>63</v>
      </c>
      <c r="G3694">
        <v>-511.06240000000003</v>
      </c>
      <c r="H3694">
        <v>11.31686</v>
      </c>
      <c r="I3694">
        <v>151.71209999999999</v>
      </c>
      <c r="J3694">
        <v>-223.72309999999999</v>
      </c>
      <c r="K3694">
        <v>1.1068910000000001</v>
      </c>
      <c r="L3694">
        <v>141.31489999999999</v>
      </c>
      <c r="M3694">
        <v>-0.99337249999999999</v>
      </c>
      <c r="N3694">
        <v>0</v>
      </c>
      <c r="O3694">
        <v>-0.1140868</v>
      </c>
      <c r="P3694">
        <v>-0.99315169999999997</v>
      </c>
      <c r="Q3694">
        <v>5.6598969999999998E-2</v>
      </c>
      <c r="R3694">
        <v>-0.1022093</v>
      </c>
      <c r="S3694">
        <v>-3.0262910000000001</v>
      </c>
      <c r="T3694">
        <v>0.107401</v>
      </c>
      <c r="U3694">
        <v>0.108963</v>
      </c>
      <c r="V3694">
        <v>1.227813E-2</v>
      </c>
      <c r="W3694">
        <v>7.0462750000000005E-2</v>
      </c>
      <c r="X3694">
        <v>0.99743879999999996</v>
      </c>
      <c r="Y3694">
        <v>0.1496055</v>
      </c>
      <c r="Z3694">
        <v>-6.695126E-3</v>
      </c>
      <c r="AA3694">
        <v>0.98872309999999997</v>
      </c>
      <c r="AB3694">
        <v>33</v>
      </c>
      <c r="AC3694">
        <v>-287.33929999999998</v>
      </c>
      <c r="AD3694">
        <v>10.209968999999999</v>
      </c>
      <c r="AE3694">
        <v>10.3971999999999</v>
      </c>
      <c r="AF3694">
        <v>43.059828266614602</v>
      </c>
      <c r="AG3694">
        <v>10.209968999999999</v>
      </c>
      <c r="AH3694">
        <v>283.91853235891199</v>
      </c>
      <c r="AI3694">
        <v>87.963744501575306</v>
      </c>
      <c r="AJ3694">
        <v>81.3760923341477</v>
      </c>
      <c r="AK3694">
        <v>287.34669877026499</v>
      </c>
      <c r="AL3694">
        <v>85.959433348958001</v>
      </c>
      <c r="AM3694">
        <v>89.294744198780705</v>
      </c>
      <c r="AN3694">
        <v>0.99999995567964794</v>
      </c>
    </row>
    <row r="3695" spans="1:40" x14ac:dyDescent="0.25">
      <c r="A3695" t="str">
        <f>"20190312151612187"</f>
        <v>20190312151612187</v>
      </c>
      <c r="B3695" t="str">
        <f>"1552374972181273"</f>
        <v>1552374972181273</v>
      </c>
      <c r="C3695" t="s">
        <v>40</v>
      </c>
      <c r="D3695">
        <v>4.5763769999999999</v>
      </c>
      <c r="E3695">
        <v>0.55344769999999999</v>
      </c>
      <c r="F3695" t="s">
        <v>63</v>
      </c>
      <c r="G3695">
        <v>-511.06270000000001</v>
      </c>
      <c r="H3695">
        <v>12.195589999999999</v>
      </c>
      <c r="I3695">
        <v>152.44380000000001</v>
      </c>
      <c r="J3695">
        <v>-224.06530000000001</v>
      </c>
      <c r="K3695">
        <v>1.1069880000000001</v>
      </c>
      <c r="L3695">
        <v>141.27879999999999</v>
      </c>
      <c r="M3695">
        <v>-0.99371609999999999</v>
      </c>
      <c r="N3695">
        <v>0</v>
      </c>
      <c r="O3695">
        <v>-0.1110559</v>
      </c>
      <c r="P3695">
        <v>-0.99327489999999996</v>
      </c>
      <c r="Q3695">
        <v>5.655752E-2</v>
      </c>
      <c r="R3695">
        <v>-0.1010253</v>
      </c>
      <c r="S3695">
        <v>-3.0260929999999999</v>
      </c>
      <c r="T3695">
        <v>0.11677999999999999</v>
      </c>
      <c r="U3695">
        <v>0.1172028</v>
      </c>
      <c r="V3695">
        <v>1.040639E-2</v>
      </c>
      <c r="W3695">
        <v>7.041994E-2</v>
      </c>
      <c r="X3695">
        <v>0.99746319999999999</v>
      </c>
      <c r="Y3695">
        <v>0.14925239999999901</v>
      </c>
      <c r="Z3695">
        <v>-7.1563909999999998E-3</v>
      </c>
      <c r="AA3695">
        <v>0.98877320000000002</v>
      </c>
      <c r="AB3695">
        <v>33</v>
      </c>
      <c r="AC3695">
        <v>-286.99740000000003</v>
      </c>
      <c r="AD3695">
        <v>11.088602</v>
      </c>
      <c r="AE3695">
        <v>11.164999999999999</v>
      </c>
      <c r="AF3695">
        <v>42.907827179928702</v>
      </c>
      <c r="AG3695">
        <v>11.088602</v>
      </c>
      <c r="AH3695">
        <v>283.55901984084699</v>
      </c>
      <c r="AI3695">
        <v>87.785765338454397</v>
      </c>
      <c r="AJ3695">
        <v>81.395346504680006</v>
      </c>
      <c r="AK3695">
        <v>287.00131787279099</v>
      </c>
      <c r="AL3695">
        <v>85.961892663523003</v>
      </c>
      <c r="AM3695">
        <v>89.402263065123293</v>
      </c>
      <c r="AN3695">
        <v>1.00000004812833</v>
      </c>
    </row>
    <row r="3696" spans="1:40" x14ac:dyDescent="0.25">
      <c r="A3696" t="str">
        <f>"20190312151612208"</f>
        <v>20190312151612208</v>
      </c>
      <c r="B3696" t="str">
        <f>"1552374972201363"</f>
        <v>1552374972201363</v>
      </c>
      <c r="C3696" t="s">
        <v>40</v>
      </c>
      <c r="D3696">
        <v>4.4338240000000004</v>
      </c>
      <c r="E3696">
        <v>0.55342539999999996</v>
      </c>
      <c r="F3696" t="s">
        <v>63</v>
      </c>
      <c r="G3696">
        <v>-511.06270000000001</v>
      </c>
      <c r="H3696">
        <v>12.34381</v>
      </c>
      <c r="I3696">
        <v>152.82769999999999</v>
      </c>
      <c r="J3696">
        <v>-224.38489999999999</v>
      </c>
      <c r="K3696">
        <v>1.1070719999999901</v>
      </c>
      <c r="L3696">
        <v>141.24600000000001</v>
      </c>
      <c r="M3696">
        <v>-0.9940213</v>
      </c>
      <c r="N3696">
        <v>0</v>
      </c>
      <c r="O3696">
        <v>-0.1082924</v>
      </c>
      <c r="P3696">
        <v>-0.99342719999999995</v>
      </c>
      <c r="Q3696">
        <v>5.6419190000000001E-2</v>
      </c>
      <c r="R3696">
        <v>-9.9596240000000003E-2</v>
      </c>
      <c r="S3696">
        <v>-3.0259399999999999</v>
      </c>
      <c r="T3696">
        <v>0.1184751</v>
      </c>
      <c r="U3696">
        <v>0.1217651</v>
      </c>
      <c r="V3696">
        <v>9.0525559999999998E-3</v>
      </c>
      <c r="W3696">
        <v>7.0278670000000001E-2</v>
      </c>
      <c r="X3696">
        <v>0.99748630000000005</v>
      </c>
      <c r="Y3696">
        <v>0.1479907</v>
      </c>
      <c r="Z3696">
        <v>-7.1279919999999997E-3</v>
      </c>
      <c r="AA3696">
        <v>0.98896309999999998</v>
      </c>
      <c r="AB3696">
        <v>33</v>
      </c>
      <c r="AC3696">
        <v>-286.67779999999999</v>
      </c>
      <c r="AD3696">
        <v>11.236738000000001</v>
      </c>
      <c r="AE3696">
        <v>11.5816999999999</v>
      </c>
      <c r="AF3696">
        <v>42.4964375616604</v>
      </c>
      <c r="AG3696">
        <v>11.236738000000001</v>
      </c>
      <c r="AH3696">
        <v>283.302666502845</v>
      </c>
      <c r="AI3696">
        <v>87.753751749742705</v>
      </c>
      <c r="AJ3696">
        <v>81.469029163938103</v>
      </c>
      <c r="AK3696">
        <v>286.692539724938</v>
      </c>
      <c r="AL3696">
        <v>85.9700066644955</v>
      </c>
      <c r="AM3696">
        <v>89.480033947735393</v>
      </c>
      <c r="AN3696">
        <v>0.99999997945739605</v>
      </c>
    </row>
    <row r="3697" spans="1:40" x14ac:dyDescent="0.25">
      <c r="A3697" t="str">
        <f>"20190312151612229"</f>
        <v>20190312151612229</v>
      </c>
      <c r="B3697" t="str">
        <f>"1552374972221859"</f>
        <v>1552374972221859</v>
      </c>
      <c r="C3697" t="s">
        <v>40</v>
      </c>
      <c r="D3697">
        <v>4.4433020000000001</v>
      </c>
      <c r="E3697">
        <v>0.55350149999999998</v>
      </c>
      <c r="F3697" t="s">
        <v>63</v>
      </c>
      <c r="G3697">
        <v>-511.06270000000001</v>
      </c>
      <c r="H3697">
        <v>12.1065</v>
      </c>
      <c r="I3697">
        <v>153.17830000000001</v>
      </c>
      <c r="J3697">
        <v>-224.7054</v>
      </c>
      <c r="K3697">
        <v>1.107154</v>
      </c>
      <c r="L3697">
        <v>141.2139</v>
      </c>
      <c r="M3697">
        <v>-0.99431259999999999</v>
      </c>
      <c r="N3697">
        <v>0</v>
      </c>
      <c r="O3697">
        <v>-0.1055866</v>
      </c>
      <c r="P3697">
        <v>-0.99359330000000001</v>
      </c>
      <c r="Q3697">
        <v>5.6808539999999998E-2</v>
      </c>
      <c r="R3697">
        <v>-9.7700040000000002E-2</v>
      </c>
      <c r="S3697">
        <v>-3.0258940000000001</v>
      </c>
      <c r="T3697">
        <v>0.1160997</v>
      </c>
      <c r="U3697">
        <v>0.125946</v>
      </c>
      <c r="V3697">
        <v>8.2275200000000003E-3</v>
      </c>
      <c r="W3697">
        <v>7.0662039999999995E-2</v>
      </c>
      <c r="X3697">
        <v>0.99746639999999998</v>
      </c>
      <c r="Y3697">
        <v>0.14667450000000001</v>
      </c>
      <c r="Z3697">
        <v>-6.8565299999999996E-3</v>
      </c>
      <c r="AA3697">
        <v>0.98916110000000002</v>
      </c>
      <c r="AB3697">
        <v>33</v>
      </c>
      <c r="AC3697">
        <v>-286.35730000000001</v>
      </c>
      <c r="AD3697">
        <v>10.999345999999999</v>
      </c>
      <c r="AE3697">
        <v>11.964399999999999</v>
      </c>
      <c r="AF3697">
        <v>42.073964321899503</v>
      </c>
      <c r="AG3697">
        <v>10.999345999999999</v>
      </c>
      <c r="AH3697">
        <v>283.07595087999903</v>
      </c>
      <c r="AI3697">
        <v>87.798959823555094</v>
      </c>
      <c r="AJ3697">
        <v>81.545941326707805</v>
      </c>
      <c r="AK3697">
        <v>286.396923958348</v>
      </c>
      <c r="AL3697">
        <v>85.947986590485002</v>
      </c>
      <c r="AM3697">
        <v>89.527411167474</v>
      </c>
      <c r="AN3697">
        <v>1.0000000175556301</v>
      </c>
    </row>
    <row r="3698" spans="1:40" x14ac:dyDescent="0.25">
      <c r="A3698" t="str">
        <f>"20190312151612275"</f>
        <v>20190312151612275</v>
      </c>
      <c r="B3698" t="str">
        <f>"1552374972271635"</f>
        <v>1552374972271635</v>
      </c>
      <c r="C3698" t="s">
        <v>40</v>
      </c>
      <c r="D3698">
        <v>4.7272239999999996</v>
      </c>
      <c r="E3698">
        <v>0.55337209999999903</v>
      </c>
      <c r="F3698" t="s">
        <v>63</v>
      </c>
      <c r="G3698">
        <v>-511.92919999999998</v>
      </c>
      <c r="H3698">
        <v>12.05585</v>
      </c>
      <c r="I3698">
        <v>153.7619</v>
      </c>
      <c r="J3698">
        <v>-225.3623</v>
      </c>
      <c r="K3698">
        <v>1.107315</v>
      </c>
      <c r="L3698">
        <v>141.1507</v>
      </c>
      <c r="M3698">
        <v>-0.99486459999999999</v>
      </c>
      <c r="N3698">
        <v>0</v>
      </c>
      <c r="O3698">
        <v>-0.1002556</v>
      </c>
      <c r="P3698">
        <v>-0.99414210000000003</v>
      </c>
      <c r="Q3698">
        <v>5.6444540000000001E-2</v>
      </c>
      <c r="R3698">
        <v>-9.2172760000000006E-2</v>
      </c>
      <c r="S3698">
        <v>-3.025757</v>
      </c>
      <c r="T3698">
        <v>0.11533939999999999</v>
      </c>
      <c r="U3698">
        <v>0.1321869</v>
      </c>
      <c r="V3698">
        <v>8.4011280000000008E-3</v>
      </c>
      <c r="W3698">
        <v>7.0275809999999994E-2</v>
      </c>
      <c r="X3698">
        <v>0.99749219999999905</v>
      </c>
      <c r="Y3698">
        <v>0.14341870000000001</v>
      </c>
      <c r="Z3698">
        <v>-6.5472990000000003E-3</v>
      </c>
      <c r="AA3698">
        <v>0.98964039999999998</v>
      </c>
      <c r="AB3698">
        <v>33</v>
      </c>
      <c r="AC3698">
        <v>-286.56689999999998</v>
      </c>
      <c r="AD3698">
        <v>10.948535</v>
      </c>
      <c r="AE3698">
        <v>12.611199999999901</v>
      </c>
      <c r="AF3698">
        <v>41.2203092143845</v>
      </c>
      <c r="AG3698">
        <v>10.948535</v>
      </c>
      <c r="AH3698">
        <v>283.44540691587798</v>
      </c>
      <c r="AI3698">
        <v>87.810961794652499</v>
      </c>
      <c r="AJ3698">
        <v>81.725713287652894</v>
      </c>
      <c r="AK3698">
        <v>286.63615091625002</v>
      </c>
      <c r="AL3698">
        <v>85.970170933703002</v>
      </c>
      <c r="AM3698">
        <v>89.517452069653004</v>
      </c>
      <c r="AN3698">
        <v>0.999999978741833</v>
      </c>
    </row>
    <row r="3699" spans="1:40" x14ac:dyDescent="0.25">
      <c r="A3699" t="str">
        <f>"20190312151612296"</f>
        <v>20190312151612296</v>
      </c>
      <c r="B3699" t="str">
        <f>"1552374972291918"</f>
        <v>1552374972291918</v>
      </c>
      <c r="C3699" t="s">
        <v>40</v>
      </c>
      <c r="D3699">
        <v>4.4908289999999997</v>
      </c>
      <c r="E3699">
        <v>0.55333969999999999</v>
      </c>
      <c r="F3699" t="s">
        <v>63</v>
      </c>
      <c r="G3699">
        <v>-511.92910000000001</v>
      </c>
      <c r="H3699">
        <v>11.811109999999999</v>
      </c>
      <c r="I3699">
        <v>155.1808</v>
      </c>
      <c r="J3699">
        <v>-225.69309999999999</v>
      </c>
      <c r="K3699">
        <v>1.1073930000000001</v>
      </c>
      <c r="L3699">
        <v>141.12010000000001</v>
      </c>
      <c r="M3699">
        <v>-0.99512060000000002</v>
      </c>
      <c r="N3699">
        <v>0</v>
      </c>
      <c r="O3699">
        <v>-9.7683049999999993E-2</v>
      </c>
      <c r="P3699">
        <v>-0.99440399999999995</v>
      </c>
      <c r="Q3699">
        <v>5.5992449999999999E-2</v>
      </c>
      <c r="R3699">
        <v>-8.9585449999999997E-2</v>
      </c>
      <c r="S3699">
        <v>-3.024994</v>
      </c>
      <c r="T3699">
        <v>0.1129894</v>
      </c>
      <c r="U3699">
        <v>0.14810179999999901</v>
      </c>
      <c r="V3699">
        <v>8.4043490000000002E-3</v>
      </c>
      <c r="W3699">
        <v>6.9814409999999993E-2</v>
      </c>
      <c r="X3699">
        <v>0.99752459999999998</v>
      </c>
      <c r="Y3699">
        <v>0.14607290000000001</v>
      </c>
      <c r="Z3699">
        <v>-6.3688319999999996E-3</v>
      </c>
      <c r="AA3699">
        <v>0.9892533</v>
      </c>
      <c r="AB3699">
        <v>33</v>
      </c>
      <c r="AC3699">
        <v>-286.23599999999999</v>
      </c>
      <c r="AD3699">
        <v>10.703716999999999</v>
      </c>
      <c r="AE3699">
        <v>14.060699999999899</v>
      </c>
      <c r="AF3699">
        <v>41.898099176441498</v>
      </c>
      <c r="AG3699">
        <v>10.703716999999999</v>
      </c>
      <c r="AH3699">
        <v>283.09828634907097</v>
      </c>
      <c r="AI3699">
        <v>87.858033512184605</v>
      </c>
      <c r="AJ3699">
        <v>81.581425690909498</v>
      </c>
      <c r="AK3699">
        <v>286.38201760235501</v>
      </c>
      <c r="AL3699">
        <v>85.996672409534298</v>
      </c>
      <c r="AM3699">
        <v>89.517282747715498</v>
      </c>
      <c r="AN3699">
        <v>1.0000000062654599</v>
      </c>
    </row>
    <row r="3700" spans="1:40" x14ac:dyDescent="0.25">
      <c r="A3700" t="str">
        <f>"20190312151612319"</f>
        <v>20190312151612319</v>
      </c>
      <c r="B3700" t="str">
        <f>"1552374972311438"</f>
        <v>1552374972311438</v>
      </c>
      <c r="C3700" t="s">
        <v>40</v>
      </c>
      <c r="D3700">
        <v>4.537344</v>
      </c>
      <c r="E3700">
        <v>0.55315990000000004</v>
      </c>
      <c r="F3700" t="s">
        <v>63</v>
      </c>
      <c r="G3700">
        <v>-511.92910000000001</v>
      </c>
      <c r="H3700">
        <v>11.67869</v>
      </c>
      <c r="I3700">
        <v>155.85059999999999</v>
      </c>
      <c r="J3700">
        <v>-226.02080000000001</v>
      </c>
      <c r="K3700">
        <v>1.1074660000000001</v>
      </c>
      <c r="L3700">
        <v>141.09049999999999</v>
      </c>
      <c r="M3700">
        <v>-0.99536190000000002</v>
      </c>
      <c r="N3700">
        <v>0</v>
      </c>
      <c r="O3700">
        <v>-9.5194150000000005E-2</v>
      </c>
      <c r="P3700">
        <v>-0.9946315</v>
      </c>
      <c r="Q3700">
        <v>5.541828E-2</v>
      </c>
      <c r="R3700">
        <v>-8.7390880000000004E-2</v>
      </c>
      <c r="S3700">
        <v>-3.0246119999999999</v>
      </c>
      <c r="T3700">
        <v>0.1117057</v>
      </c>
      <c r="U3700">
        <v>0.15565489999999901</v>
      </c>
      <c r="V3700">
        <v>8.0988069999999995E-3</v>
      </c>
      <c r="W3700">
        <v>6.9233610000000001E-2</v>
      </c>
      <c r="X3700">
        <v>0.9975676</v>
      </c>
      <c r="Y3700">
        <v>0.1460747</v>
      </c>
      <c r="Z3700">
        <v>-6.2054349999999996E-3</v>
      </c>
      <c r="AA3700">
        <v>0.98925410000000003</v>
      </c>
      <c r="AB3700">
        <v>33</v>
      </c>
      <c r="AC3700">
        <v>-285.9083</v>
      </c>
      <c r="AD3700">
        <v>10.571224000000001</v>
      </c>
      <c r="AE3700">
        <v>14.7600999999999</v>
      </c>
      <c r="AF3700">
        <v>41.855410528072497</v>
      </c>
      <c r="AG3700">
        <v>10.571224000000001</v>
      </c>
      <c r="AH3700">
        <v>282.81883934580299</v>
      </c>
      <c r="AI3700">
        <v>87.882433215665898</v>
      </c>
      <c r="AJ3700">
        <v>81.581689543273995</v>
      </c>
      <c r="AK3700">
        <v>286.09460333295198</v>
      </c>
      <c r="AL3700">
        <v>86.030030490953195</v>
      </c>
      <c r="AM3700">
        <v>89.534851306550706</v>
      </c>
      <c r="AN3700">
        <v>0.99999999999910705</v>
      </c>
    </row>
    <row r="3701" spans="1:40" x14ac:dyDescent="0.25">
      <c r="A3701" t="str">
        <f>"20190312151612341"</f>
        <v>20190312151612341</v>
      </c>
      <c r="B3701" t="str">
        <f>"1552374972331937"</f>
        <v>1552374972331937</v>
      </c>
      <c r="C3701" t="s">
        <v>40</v>
      </c>
      <c r="D3701">
        <v>4.4741619999999998</v>
      </c>
      <c r="E3701">
        <v>0.55292839999999999</v>
      </c>
      <c r="F3701" t="s">
        <v>63</v>
      </c>
      <c r="G3701">
        <v>-511.92899999999997</v>
      </c>
      <c r="H3701">
        <v>11.65605</v>
      </c>
      <c r="I3701">
        <v>156.30420000000001</v>
      </c>
      <c r="J3701">
        <v>-226.34649999999999</v>
      </c>
      <c r="K3701">
        <v>1.107523</v>
      </c>
      <c r="L3701">
        <v>141.06190000000001</v>
      </c>
      <c r="M3701">
        <v>-0.99559010000000003</v>
      </c>
      <c r="N3701">
        <v>0</v>
      </c>
      <c r="O3701">
        <v>-9.2779249999999994E-2</v>
      </c>
      <c r="P3701">
        <v>-0.99481620000000004</v>
      </c>
      <c r="Q3701">
        <v>5.4681849999999997E-2</v>
      </c>
      <c r="R3701">
        <v>-8.5738980000000006E-2</v>
      </c>
      <c r="S3701">
        <v>-3.024124</v>
      </c>
      <c r="T3701">
        <v>0.11157549999999999</v>
      </c>
      <c r="U3701">
        <v>0.16091920000000001</v>
      </c>
      <c r="V3701">
        <v>7.324138E-3</v>
      </c>
      <c r="W3701">
        <v>6.8494360000000004E-2</v>
      </c>
      <c r="X3701">
        <v>0.99762459999999997</v>
      </c>
      <c r="Y3701">
        <v>0.145402799999999</v>
      </c>
      <c r="Z3701">
        <v>-6.0977879999999998E-3</v>
      </c>
      <c r="AA3701">
        <v>0.9893537</v>
      </c>
      <c r="AB3701">
        <v>33</v>
      </c>
      <c r="AC3701">
        <v>-285.58249999999998</v>
      </c>
      <c r="AD3701">
        <v>10.548527</v>
      </c>
      <c r="AE3701">
        <v>15.2423</v>
      </c>
      <c r="AF3701">
        <v>41.6186013844111</v>
      </c>
      <c r="AG3701">
        <v>10.548527</v>
      </c>
      <c r="AH3701">
        <v>282.55175545098001</v>
      </c>
      <c r="AI3701">
        <v>87.884766886910498</v>
      </c>
      <c r="AJ3701">
        <v>81.620840963355803</v>
      </c>
      <c r="AK3701">
        <v>285.79516075590698</v>
      </c>
      <c r="AL3701">
        <v>86.072487113658497</v>
      </c>
      <c r="AM3701">
        <v>89.579366169581405</v>
      </c>
      <c r="AN3701">
        <v>0.99999998143720603</v>
      </c>
    </row>
    <row r="3702" spans="1:40" x14ac:dyDescent="0.25">
      <c r="A3702" t="str">
        <f>"20190312151612498"</f>
        <v>20190312151612498</v>
      </c>
      <c r="B3702" t="str">
        <f>"1552374972491377"</f>
        <v>1552374972491377</v>
      </c>
      <c r="C3702" t="s">
        <v>40</v>
      </c>
      <c r="D3702">
        <v>4.506227</v>
      </c>
      <c r="E3702">
        <v>0.54210199999999997</v>
      </c>
      <c r="F3702" t="s">
        <v>63</v>
      </c>
      <c r="G3702">
        <v>-511.92899999999997</v>
      </c>
      <c r="H3702">
        <v>11.49286</v>
      </c>
      <c r="I3702">
        <v>156.5557</v>
      </c>
      <c r="J3702">
        <v>-228.66569999999999</v>
      </c>
      <c r="K3702">
        <v>1.1079190000000001</v>
      </c>
      <c r="L3702">
        <v>140.8784</v>
      </c>
      <c r="M3702">
        <v>-0.99691240000000003</v>
      </c>
      <c r="N3702">
        <v>0</v>
      </c>
      <c r="O3702">
        <v>-7.7299270000000003E-2</v>
      </c>
      <c r="P3702">
        <v>-0.99523130000000004</v>
      </c>
      <c r="Q3702">
        <v>4.995807E-2</v>
      </c>
      <c r="R3702">
        <v>-8.3780800000000002E-2</v>
      </c>
      <c r="S3702">
        <v>-3.0237270000000001</v>
      </c>
      <c r="T3702">
        <v>0.1099596</v>
      </c>
      <c r="U3702">
        <v>0.1640472</v>
      </c>
      <c r="V3702">
        <v>-6.299308E-3</v>
      </c>
      <c r="W3702">
        <v>6.37683E-2</v>
      </c>
      <c r="X3702">
        <v>0.99794479999999997</v>
      </c>
      <c r="Y3702">
        <v>0.13106719999999999</v>
      </c>
      <c r="Z3702">
        <v>-5.188308E-3</v>
      </c>
      <c r="AA3702">
        <v>0.99135989999999996</v>
      </c>
      <c r="AB3702">
        <v>33</v>
      </c>
      <c r="AC3702">
        <v>-283.26330000000002</v>
      </c>
      <c r="AD3702">
        <v>10.384941</v>
      </c>
      <c r="AE3702">
        <v>15.677300000000001</v>
      </c>
      <c r="AF3702">
        <v>37.478295374954101</v>
      </c>
      <c r="AG3702">
        <v>10.384941</v>
      </c>
      <c r="AH3702">
        <v>280.82733308008898</v>
      </c>
      <c r="AI3702">
        <v>87.900773039174496</v>
      </c>
      <c r="AJ3702">
        <v>82.398410570374097</v>
      </c>
      <c r="AK3702">
        <v>283.50742605558099</v>
      </c>
      <c r="AL3702">
        <v>86.343864619267293</v>
      </c>
      <c r="AM3702">
        <v>90.3616622569821</v>
      </c>
      <c r="AN3702">
        <v>0.99999995060660296</v>
      </c>
    </row>
    <row r="3703" spans="1:40" x14ac:dyDescent="0.25">
      <c r="A3703" t="str">
        <f>"20190312151612519"</f>
        <v>20190312151612519</v>
      </c>
      <c r="B3703" t="str">
        <f>"1552374972511873"</f>
        <v>1552374972511873</v>
      </c>
      <c r="C3703" t="s">
        <v>40</v>
      </c>
      <c r="D3703">
        <v>4.5688040000000001</v>
      </c>
      <c r="E3703">
        <v>0.50796940000000002</v>
      </c>
      <c r="F3703" t="s">
        <v>63</v>
      </c>
      <c r="G3703">
        <v>-550.93320000000006</v>
      </c>
      <c r="H3703">
        <v>10.92015</v>
      </c>
      <c r="I3703">
        <v>149.8432</v>
      </c>
      <c r="J3703">
        <v>-228.97640000000001</v>
      </c>
      <c r="K3703">
        <v>1.1079639999999999</v>
      </c>
      <c r="L3703">
        <v>140.8562</v>
      </c>
      <c r="M3703">
        <v>-0.99705549999999998</v>
      </c>
      <c r="N3703">
        <v>0</v>
      </c>
      <c r="O3703">
        <v>-7.5435290000000002E-2</v>
      </c>
      <c r="P3703">
        <v>-0.99521020000000004</v>
      </c>
      <c r="Q3703">
        <v>5.0373920000000003E-2</v>
      </c>
      <c r="R3703">
        <v>-8.3780770000000004E-2</v>
      </c>
      <c r="S3703">
        <v>-3.016861</v>
      </c>
      <c r="T3703">
        <v>9.1856119999999999E-2</v>
      </c>
      <c r="U3703">
        <v>8.3923339999999999E-2</v>
      </c>
      <c r="V3703">
        <v>-8.1734879999999996E-3</v>
      </c>
      <c r="W3703">
        <v>6.4168030000000001E-2</v>
      </c>
      <c r="X3703">
        <v>0.99790559999999995</v>
      </c>
      <c r="Y3703">
        <v>0.1030587</v>
      </c>
      <c r="Z3703">
        <v>-3.8633069999999999E-3</v>
      </c>
      <c r="AA3703">
        <v>0.99466779999999999</v>
      </c>
      <c r="AB3703">
        <v>33</v>
      </c>
      <c r="AC3703">
        <v>-321.95679999999999</v>
      </c>
      <c r="AD3703">
        <v>9.8121860000000005</v>
      </c>
      <c r="AE3703">
        <v>8.9869999999999894</v>
      </c>
      <c r="AF3703">
        <v>33.219767265195301</v>
      </c>
      <c r="AG3703">
        <v>9.8121860000000005</v>
      </c>
      <c r="AH3703">
        <v>320.06421863461401</v>
      </c>
      <c r="AI3703">
        <v>88.253413877809905</v>
      </c>
      <c r="AJ3703">
        <v>84.074434036232404</v>
      </c>
      <c r="AK3703">
        <v>321.93312346112901</v>
      </c>
      <c r="AL3703">
        <v>86.320914823611105</v>
      </c>
      <c r="AM3703">
        <v>90.469278751775605</v>
      </c>
      <c r="AN3703">
        <v>0.99999996424576199</v>
      </c>
    </row>
    <row r="3704" spans="1:40" x14ac:dyDescent="0.25">
      <c r="A3704" t="str">
        <f>"20190312151612542"</f>
        <v>20190312151612542</v>
      </c>
      <c r="B3704" t="str">
        <f>"1552374972531397"</f>
        <v>1552374972531397</v>
      </c>
      <c r="C3704" t="s">
        <v>40</v>
      </c>
      <c r="D3704">
        <v>4.4637229999999999</v>
      </c>
      <c r="E3704">
        <v>0.50992020000000005</v>
      </c>
      <c r="F3704" t="s">
        <v>43</v>
      </c>
      <c r="G3704">
        <v>-247.62739999999999</v>
      </c>
      <c r="H3704" s="1">
        <v>-1.025448E-6</v>
      </c>
      <c r="I3704">
        <v>139.71129999999999</v>
      </c>
      <c r="J3704">
        <v>-229.3038</v>
      </c>
      <c r="K3704">
        <v>1.1080049999999999</v>
      </c>
      <c r="L3704">
        <v>140.83349999999999</v>
      </c>
      <c r="M3704">
        <v>-0.99719939999999996</v>
      </c>
      <c r="N3704">
        <v>0</v>
      </c>
      <c r="O3704">
        <v>-7.351452E-2</v>
      </c>
      <c r="P3704">
        <v>-0.99517580000000005</v>
      </c>
      <c r="Q3704">
        <v>5.1622849999999998E-2</v>
      </c>
      <c r="R3704">
        <v>-8.3426520000000004E-2</v>
      </c>
      <c r="S3704">
        <v>-3.0079349999999998</v>
      </c>
      <c r="T3704">
        <v>-0.17868719999999999</v>
      </c>
      <c r="U3704">
        <v>-0.18464659999999999</v>
      </c>
      <c r="V3704">
        <v>-9.7482049999999994E-3</v>
      </c>
      <c r="W3704">
        <v>6.5386650000000004E-2</v>
      </c>
      <c r="X3704">
        <v>0.99781240000000004</v>
      </c>
      <c r="Y3704">
        <v>1.2127890000000001E-2</v>
      </c>
      <c r="Z3704">
        <v>4.7137919999999996E-3</v>
      </c>
      <c r="AA3704">
        <v>0.99991540000000001</v>
      </c>
      <c r="AB3704">
        <v>33</v>
      </c>
      <c r="AC3704">
        <v>-18.323599999999999</v>
      </c>
      <c r="AD3704">
        <v>-1.108006025448</v>
      </c>
      <c r="AE3704">
        <v>-1.1221999999999901</v>
      </c>
      <c r="AF3704">
        <v>0.227187436129134</v>
      </c>
      <c r="AG3704">
        <v>-1.108006025448</v>
      </c>
      <c r="AH3704">
        <v>18.2898888101364</v>
      </c>
      <c r="AI3704">
        <v>93.466489029916204</v>
      </c>
      <c r="AJ3704">
        <v>89.2883383833518</v>
      </c>
      <c r="AK3704">
        <v>18.324828080249901</v>
      </c>
      <c r="AL3704">
        <v>86.250946266604998</v>
      </c>
      <c r="AM3704">
        <v>90.559737717982003</v>
      </c>
      <c r="AN3704">
        <v>1.00000001354635</v>
      </c>
    </row>
    <row r="3705" spans="1:40" x14ac:dyDescent="0.25">
      <c r="A3705" t="str">
        <f>"20190312151612566"</f>
        <v>20190312151612566</v>
      </c>
      <c r="B3705" t="str">
        <f>"1552374972561649"</f>
        <v>1552374972561649</v>
      </c>
      <c r="C3705" t="s">
        <v>40</v>
      </c>
      <c r="D3705">
        <v>4.4747309999999896</v>
      </c>
      <c r="E3705">
        <v>0.51033819999999996</v>
      </c>
      <c r="F3705" t="s">
        <v>43</v>
      </c>
      <c r="G3705">
        <v>-247.0882</v>
      </c>
      <c r="H3705" s="1">
        <v>-1.2904350000000001E-6</v>
      </c>
      <c r="I3705">
        <v>139.83779999999999</v>
      </c>
      <c r="J3705">
        <v>-229.64410000000001</v>
      </c>
      <c r="K3705">
        <v>1.1080449999999999</v>
      </c>
      <c r="L3705">
        <v>140.81049999999999</v>
      </c>
      <c r="M3705">
        <v>-0.99734199999999995</v>
      </c>
      <c r="N3705">
        <v>0</v>
      </c>
      <c r="O3705">
        <v>-7.1564989999999995E-2</v>
      </c>
      <c r="P3705">
        <v>-0.9951198</v>
      </c>
      <c r="Q3705">
        <v>5.2438070000000003E-2</v>
      </c>
      <c r="R3705">
        <v>-8.35891E-2</v>
      </c>
      <c r="S3705">
        <v>-3.010132</v>
      </c>
      <c r="T3705">
        <v>-0.1875387</v>
      </c>
      <c r="U3705">
        <v>-0.1685181</v>
      </c>
      <c r="V3705">
        <v>-1.187009E-2</v>
      </c>
      <c r="W3705">
        <v>6.6159369999999995E-2</v>
      </c>
      <c r="X3705">
        <v>0.99773849999999997</v>
      </c>
      <c r="Y3705">
        <v>1.5539030000000001E-2</v>
      </c>
      <c r="Z3705">
        <v>4.9294320000000001E-3</v>
      </c>
      <c r="AA3705">
        <v>0.99986710000000001</v>
      </c>
      <c r="AB3705">
        <v>33</v>
      </c>
      <c r="AC3705">
        <v>-17.444099999999899</v>
      </c>
      <c r="AD3705">
        <v>-1.1080462904349999</v>
      </c>
      <c r="AE3705">
        <v>-0.97270000000000301</v>
      </c>
      <c r="AF3705">
        <v>0.27718345003351302</v>
      </c>
      <c r="AG3705">
        <v>-1.1080462904349999</v>
      </c>
      <c r="AH3705">
        <v>17.3989983163913</v>
      </c>
      <c r="AI3705">
        <v>93.643470346154203</v>
      </c>
      <c r="AJ3705">
        <v>89.087298119082902</v>
      </c>
      <c r="AK3705">
        <v>17.436448596560801</v>
      </c>
      <c r="AL3705">
        <v>86.206576685993795</v>
      </c>
      <c r="AM3705">
        <v>90.6816154484398</v>
      </c>
      <c r="AN3705">
        <v>1.0000000378288201</v>
      </c>
    </row>
    <row r="3706" spans="1:40" x14ac:dyDescent="0.25">
      <c r="A3706" t="str">
        <f>"20190312151612588"</f>
        <v>20190312151612588</v>
      </c>
      <c r="B3706" t="str">
        <f>"1552374972581169"</f>
        <v>1552374972581169</v>
      </c>
      <c r="C3706" t="s">
        <v>40</v>
      </c>
      <c r="D3706">
        <v>4.4787650000000001</v>
      </c>
      <c r="E3706">
        <v>0.51033989999999996</v>
      </c>
      <c r="F3706" t="s">
        <v>43</v>
      </c>
      <c r="G3706">
        <v>-247.77770000000001</v>
      </c>
      <c r="H3706" s="1">
        <v>-9.8743690000000009E-7</v>
      </c>
      <c r="I3706">
        <v>139.8108</v>
      </c>
      <c r="J3706">
        <v>-229.9855</v>
      </c>
      <c r="K3706">
        <v>1.1080840000000001</v>
      </c>
      <c r="L3706">
        <v>140.78799999999899</v>
      </c>
      <c r="M3706">
        <v>-0.99747779999999997</v>
      </c>
      <c r="N3706">
        <v>0</v>
      </c>
      <c r="O3706">
        <v>-6.9659310000000002E-2</v>
      </c>
      <c r="P3706">
        <v>-0.99504649999999994</v>
      </c>
      <c r="Q3706">
        <v>5.305634E-2</v>
      </c>
      <c r="R3706">
        <v>-8.4070619999999999E-2</v>
      </c>
      <c r="S3706">
        <v>-3.0104679999999999</v>
      </c>
      <c r="T3706">
        <v>-0.1839539</v>
      </c>
      <c r="U3706">
        <v>-0.16595460000000001</v>
      </c>
      <c r="V3706">
        <v>-1.426877E-2</v>
      </c>
      <c r="W3706">
        <v>6.6723149999999995E-2</v>
      </c>
      <c r="X3706">
        <v>0.99766949999999999</v>
      </c>
      <c r="Y3706">
        <v>1.449542E-2</v>
      </c>
      <c r="Z3706">
        <v>4.6872279999999999E-3</v>
      </c>
      <c r="AA3706">
        <v>0.99988390000000005</v>
      </c>
      <c r="AB3706">
        <v>33</v>
      </c>
      <c r="AC3706">
        <v>-17.792200000000001</v>
      </c>
      <c r="AD3706">
        <v>-1.1080849874368901</v>
      </c>
      <c r="AE3706">
        <v>-0.97719999999998197</v>
      </c>
      <c r="AF3706">
        <v>0.26366204347189498</v>
      </c>
      <c r="AG3706">
        <v>-1.1080849874368901</v>
      </c>
      <c r="AH3706">
        <v>17.748415413813401</v>
      </c>
      <c r="AI3706">
        <v>93.572111471204295</v>
      </c>
      <c r="AJ3706">
        <v>89.148903672823906</v>
      </c>
      <c r="AK3706">
        <v>17.784926755931298</v>
      </c>
      <c r="AL3706">
        <v>86.174202807126306</v>
      </c>
      <c r="AM3706">
        <v>90.819394162129498</v>
      </c>
      <c r="AN3706">
        <v>1.00000000388674</v>
      </c>
    </row>
    <row r="3707" spans="1:40" x14ac:dyDescent="0.25">
      <c r="A3707" t="str">
        <f>"20190312151612609"</f>
        <v>20190312151612609</v>
      </c>
      <c r="B3707" t="str">
        <f>"1552374972601666"</f>
        <v>1552374972601666</v>
      </c>
      <c r="C3707" t="s">
        <v>40</v>
      </c>
      <c r="D3707">
        <v>4.7148389999999996</v>
      </c>
      <c r="E3707">
        <v>0.50986500000000001</v>
      </c>
      <c r="F3707" t="s">
        <v>43</v>
      </c>
      <c r="G3707">
        <v>-248.91569999999999</v>
      </c>
      <c r="H3707" s="1">
        <v>-4.7883270000000001E-7</v>
      </c>
      <c r="I3707">
        <v>139.73410000000001</v>
      </c>
      <c r="J3707">
        <v>-230.2938</v>
      </c>
      <c r="K3707">
        <v>1.1081289999999999</v>
      </c>
      <c r="L3707">
        <v>140.76830000000001</v>
      </c>
      <c r="M3707">
        <v>-0.99759379999999998</v>
      </c>
      <c r="N3707">
        <v>0</v>
      </c>
      <c r="O3707">
        <v>-6.7989880000000003E-2</v>
      </c>
      <c r="P3707">
        <v>-0.99497100000000005</v>
      </c>
      <c r="Q3707">
        <v>5.3306970000000002E-2</v>
      </c>
      <c r="R3707">
        <v>-8.4800050000000002E-2</v>
      </c>
      <c r="S3707">
        <v>-3.0101619999999998</v>
      </c>
      <c r="T3707">
        <v>-0.1762011</v>
      </c>
      <c r="U3707">
        <v>-0.16758729999999999</v>
      </c>
      <c r="V3707">
        <v>-1.6679969999999999E-2</v>
      </c>
      <c r="W3707">
        <v>6.6916329999999996E-2</v>
      </c>
      <c r="X3707">
        <v>0.99761920000000004</v>
      </c>
      <c r="Y3707">
        <v>1.2295159999999999E-2</v>
      </c>
      <c r="Z3707">
        <v>4.3287959999999898E-3</v>
      </c>
      <c r="AA3707">
        <v>0.99991509999999995</v>
      </c>
      <c r="AB3707">
        <v>33</v>
      </c>
      <c r="AC3707">
        <v>-18.621899999999901</v>
      </c>
      <c r="AD3707">
        <v>-1.1081294788326901</v>
      </c>
      <c r="AE3707">
        <v>-1.03419999999999</v>
      </c>
      <c r="AF3707">
        <v>0.233586204651828</v>
      </c>
      <c r="AG3707">
        <v>-1.1081294788326901</v>
      </c>
      <c r="AH3707">
        <v>18.583519810161999</v>
      </c>
      <c r="AI3707">
        <v>93.412219753969097</v>
      </c>
      <c r="AJ3707">
        <v>89.279856612294097</v>
      </c>
      <c r="AK3707">
        <v>18.617994574914501</v>
      </c>
      <c r="AL3707">
        <v>86.163109763937101</v>
      </c>
      <c r="AM3707">
        <v>90.957883372221801</v>
      </c>
      <c r="AN3707">
        <v>1.0000000424142499</v>
      </c>
    </row>
    <row r="3708" spans="1:40" x14ac:dyDescent="0.25">
      <c r="A3708" t="str">
        <f>"20190312151612631"</f>
        <v>20190312151612631</v>
      </c>
      <c r="B3708" t="str">
        <f>"1552374972621185"</f>
        <v>1552374972621185</v>
      </c>
      <c r="C3708" t="s">
        <v>40</v>
      </c>
      <c r="D3708">
        <v>4.4500039999999998</v>
      </c>
      <c r="E3708">
        <v>0.50978020000000002</v>
      </c>
      <c r="F3708" t="s">
        <v>43</v>
      </c>
      <c r="G3708">
        <v>-250.89259999999999</v>
      </c>
      <c r="H3708" s="1">
        <v>-3.8960420000000004E-6</v>
      </c>
      <c r="I3708">
        <v>139.57839999999999</v>
      </c>
      <c r="J3708">
        <v>-230.61009999999999</v>
      </c>
      <c r="K3708">
        <v>1.108176</v>
      </c>
      <c r="L3708">
        <v>140.7484</v>
      </c>
      <c r="M3708">
        <v>-0.99770610000000004</v>
      </c>
      <c r="N3708">
        <v>0</v>
      </c>
      <c r="O3708">
        <v>-6.6336850000000003E-2</v>
      </c>
      <c r="P3708">
        <v>-0.99495560000000005</v>
      </c>
      <c r="Q3708">
        <v>5.326844E-2</v>
      </c>
      <c r="R3708">
        <v>-8.5006419999999999E-2</v>
      </c>
      <c r="S3708">
        <v>-3.0090180000000002</v>
      </c>
      <c r="T3708">
        <v>-0.16187299999999999</v>
      </c>
      <c r="U3708">
        <v>-0.1737976</v>
      </c>
      <c r="V3708">
        <v>-1.8551000000000002E-2</v>
      </c>
      <c r="W3708">
        <v>6.6810700000000001E-2</v>
      </c>
      <c r="X3708">
        <v>0.99759319999999896</v>
      </c>
      <c r="Y3708">
        <v>8.5889439999999994E-3</v>
      </c>
      <c r="Z3708">
        <v>3.790435E-3</v>
      </c>
      <c r="AA3708">
        <v>0.99995599999999996</v>
      </c>
      <c r="AB3708">
        <v>33</v>
      </c>
      <c r="AC3708">
        <v>-20.282499999999999</v>
      </c>
      <c r="AD3708">
        <v>-1.108179896042</v>
      </c>
      <c r="AE3708">
        <v>-1.1700000000000099</v>
      </c>
      <c r="AF3708">
        <v>0.177648671435924</v>
      </c>
      <c r="AG3708">
        <v>-1.108179896042</v>
      </c>
      <c r="AH3708">
        <v>20.255170702257502</v>
      </c>
      <c r="AI3708">
        <v>93.131464988530695</v>
      </c>
      <c r="AJ3708">
        <v>89.497498279026999</v>
      </c>
      <c r="AK3708">
        <v>20.2862407042321</v>
      </c>
      <c r="AL3708">
        <v>86.169175332136405</v>
      </c>
      <c r="AM3708">
        <v>91.0653355637846</v>
      </c>
      <c r="AN3708">
        <v>1.0000000009608601</v>
      </c>
    </row>
    <row r="3709" spans="1:40" x14ac:dyDescent="0.25">
      <c r="A3709" t="str">
        <f>"20190312151612653"</f>
        <v>20190312151612653</v>
      </c>
      <c r="B3709" t="str">
        <f>"1552374972651442"</f>
        <v>1552374972651442</v>
      </c>
      <c r="C3709" t="s">
        <v>40</v>
      </c>
      <c r="D3709">
        <v>4.4684559999999998</v>
      </c>
      <c r="E3709">
        <v>0.51018009999999903</v>
      </c>
      <c r="F3709" t="s">
        <v>43</v>
      </c>
      <c r="G3709">
        <v>-250.7501</v>
      </c>
      <c r="H3709" s="1">
        <v>-3.957869E-6</v>
      </c>
      <c r="I3709">
        <v>139.5746</v>
      </c>
      <c r="J3709">
        <v>-230.93010000000001</v>
      </c>
      <c r="K3709">
        <v>1.1082289999999999</v>
      </c>
      <c r="L3709">
        <v>140.72890000000001</v>
      </c>
      <c r="M3709">
        <v>-0.99781240000000004</v>
      </c>
      <c r="N3709">
        <v>0</v>
      </c>
      <c r="O3709">
        <v>-6.473487E-2</v>
      </c>
      <c r="P3709">
        <v>-0.99496340000000005</v>
      </c>
      <c r="Q3709">
        <v>5.3127279999999999E-2</v>
      </c>
      <c r="R3709">
        <v>-8.5001930000000003E-2</v>
      </c>
      <c r="S3709">
        <v>-3.0090789999999998</v>
      </c>
      <c r="T3709">
        <v>-0.16557179999999999</v>
      </c>
      <c r="U3709">
        <v>-0.17536930000000001</v>
      </c>
      <c r="V3709">
        <v>-2.0160540000000001E-2</v>
      </c>
      <c r="W3709">
        <v>6.6588999999999995E-2</v>
      </c>
      <c r="X3709">
        <v>0.99757680000000004</v>
      </c>
      <c r="Y3709">
        <v>6.4646209999999898E-3</v>
      </c>
      <c r="Z3709">
        <v>3.7306230000000002E-3</v>
      </c>
      <c r="AA3709">
        <v>0.99997219999999998</v>
      </c>
      <c r="AB3709">
        <v>33</v>
      </c>
      <c r="AC3709">
        <v>-19.82</v>
      </c>
      <c r="AD3709">
        <v>-1.108232957869</v>
      </c>
      <c r="AE3709">
        <v>-1.1543000000000001</v>
      </c>
      <c r="AF3709">
        <v>0.13087428169965401</v>
      </c>
      <c r="AG3709">
        <v>-1.108232957869</v>
      </c>
      <c r="AH3709">
        <v>19.791481829408198</v>
      </c>
      <c r="AI3709">
        <v>93.204886203521298</v>
      </c>
      <c r="AJ3709">
        <v>89.621128182374804</v>
      </c>
      <c r="AK3709">
        <v>19.822917579668101</v>
      </c>
      <c r="AL3709">
        <v>86.181906180387799</v>
      </c>
      <c r="AM3709">
        <v>91.157762123528201</v>
      </c>
      <c r="AN3709">
        <v>1.0000000070961601</v>
      </c>
    </row>
    <row r="3710" spans="1:40" x14ac:dyDescent="0.25">
      <c r="A3710" t="str">
        <f>"20190312151612676"</f>
        <v>20190312151612676</v>
      </c>
      <c r="B3710" t="str">
        <f>"1552374972671938"</f>
        <v>1552374972671938</v>
      </c>
      <c r="C3710" t="s">
        <v>40</v>
      </c>
      <c r="D3710">
        <v>4.5159229999999999</v>
      </c>
      <c r="E3710">
        <v>0.51025600000000004</v>
      </c>
      <c r="F3710" t="s">
        <v>43</v>
      </c>
      <c r="G3710">
        <v>-251.30189999999999</v>
      </c>
      <c r="H3710" s="1">
        <v>-3.7236339999999999E-6</v>
      </c>
      <c r="I3710">
        <v>139.56059999999999</v>
      </c>
      <c r="J3710">
        <v>-231.26669999999999</v>
      </c>
      <c r="K3710">
        <v>1.108287</v>
      </c>
      <c r="L3710">
        <v>140.7088</v>
      </c>
      <c r="M3710">
        <v>-0.99791589999999997</v>
      </c>
      <c r="N3710">
        <v>0</v>
      </c>
      <c r="O3710">
        <v>-6.3138169999999993E-2</v>
      </c>
      <c r="P3710">
        <v>-0.99501680000000003</v>
      </c>
      <c r="Q3710">
        <v>5.233761E-2</v>
      </c>
      <c r="R3710">
        <v>-8.4866739999999996E-2</v>
      </c>
      <c r="S3710">
        <v>-3.0091860000000001</v>
      </c>
      <c r="T3710">
        <v>-0.16370129999999999</v>
      </c>
      <c r="U3710">
        <v>-0.17256160000000001</v>
      </c>
      <c r="V3710">
        <v>-2.1634489999999999E-2</v>
      </c>
      <c r="W3710">
        <v>6.570782E-2</v>
      </c>
      <c r="X3710">
        <v>0.99760439999999995</v>
      </c>
      <c r="Y3710">
        <v>5.8021239999999996E-3</v>
      </c>
      <c r="Z3710">
        <v>3.5840170000000001E-3</v>
      </c>
      <c r="AA3710">
        <v>0.9999768</v>
      </c>
      <c r="AB3710">
        <v>33</v>
      </c>
      <c r="AC3710">
        <v>-20.0352</v>
      </c>
      <c r="AD3710">
        <v>-1.1082907236340001</v>
      </c>
      <c r="AE3710">
        <v>-1.1482000000000001</v>
      </c>
      <c r="AF3710">
        <v>0.118826982350384</v>
      </c>
      <c r="AG3710">
        <v>-1.1082907236340001</v>
      </c>
      <c r="AH3710">
        <v>20.006700356705199</v>
      </c>
      <c r="AI3710">
        <v>93.170659215942706</v>
      </c>
      <c r="AJ3710">
        <v>89.659703778987193</v>
      </c>
      <c r="AK3710">
        <v>20.037726601159498</v>
      </c>
      <c r="AL3710">
        <v>86.232505074559697</v>
      </c>
      <c r="AM3710">
        <v>91.242346866688706</v>
      </c>
      <c r="AN3710">
        <v>1.00000005383303</v>
      </c>
    </row>
    <row r="3711" spans="1:40" x14ac:dyDescent="0.25">
      <c r="A3711" t="str">
        <f>"20190312151612699"</f>
        <v>20190312151612699</v>
      </c>
      <c r="B3711" t="str">
        <f>"1552374972691460"</f>
        <v>1552374972691460</v>
      </c>
      <c r="C3711" t="s">
        <v>40</v>
      </c>
      <c r="D3711">
        <v>4.5304149999999996</v>
      </c>
      <c r="E3711">
        <v>0.51010639999999996</v>
      </c>
      <c r="F3711" t="s">
        <v>43</v>
      </c>
      <c r="G3711">
        <v>-251.30510000000001</v>
      </c>
      <c r="H3711" s="1">
        <v>-3.7212649999999999E-6</v>
      </c>
      <c r="I3711">
        <v>139.56610000000001</v>
      </c>
      <c r="J3711">
        <v>-231.59530000000001</v>
      </c>
      <c r="K3711">
        <v>1.108341</v>
      </c>
      <c r="L3711">
        <v>140.68960000000001</v>
      </c>
      <c r="M3711">
        <v>-0.99801019999999896</v>
      </c>
      <c r="N3711">
        <v>0</v>
      </c>
      <c r="O3711">
        <v>-6.1648950000000001E-2</v>
      </c>
      <c r="P3711">
        <v>-0.99504669999999895</v>
      </c>
      <c r="Q3711">
        <v>5.2224409999999999E-2</v>
      </c>
      <c r="R3711">
        <v>-8.4585270000000004E-2</v>
      </c>
      <c r="S3711">
        <v>-3.009125</v>
      </c>
      <c r="T3711">
        <v>-0.16642979999999999</v>
      </c>
      <c r="U3711">
        <v>-0.17158509999999999</v>
      </c>
      <c r="V3711">
        <v>-2.285303E-2</v>
      </c>
      <c r="W3711">
        <v>6.5507019999999999E-2</v>
      </c>
      <c r="X3711">
        <v>0.99759039999999999</v>
      </c>
      <c r="Y3711">
        <v>4.6327440000000003E-3</v>
      </c>
      <c r="Z3711">
        <v>3.5294369999999999E-3</v>
      </c>
      <c r="AA3711">
        <v>0.99998299999999996</v>
      </c>
      <c r="AB3711">
        <v>33</v>
      </c>
      <c r="AC3711">
        <v>-19.709800000000001</v>
      </c>
      <c r="AD3711">
        <v>-1.1083447212649999</v>
      </c>
      <c r="AE3711">
        <v>-1.1234999999999999</v>
      </c>
      <c r="AF3711">
        <v>9.35374046573276E-2</v>
      </c>
      <c r="AG3711">
        <v>-1.1083447212649999</v>
      </c>
      <c r="AH3711">
        <v>19.6795434431613</v>
      </c>
      <c r="AI3711">
        <v>93.223435806048201</v>
      </c>
      <c r="AJ3711">
        <v>89.7276736540298</v>
      </c>
      <c r="AK3711">
        <v>19.710951458478601</v>
      </c>
      <c r="AL3711">
        <v>86.244034774130895</v>
      </c>
      <c r="AM3711">
        <v>91.312315346331005</v>
      </c>
      <c r="AN3711">
        <v>1.00000001841081</v>
      </c>
    </row>
    <row r="3712" spans="1:40" x14ac:dyDescent="0.25">
      <c r="A3712" t="str">
        <f>"20190312151612713"</f>
        <v>20190312151612713</v>
      </c>
      <c r="B3712" t="str">
        <f>"1552374972701218"</f>
        <v>1552374972701218</v>
      </c>
      <c r="C3712" t="s">
        <v>40</v>
      </c>
      <c r="D3712">
        <v>4.5502229999999999</v>
      </c>
      <c r="E3712">
        <v>0.50957540000000001</v>
      </c>
      <c r="F3712" t="s">
        <v>43</v>
      </c>
      <c r="G3712">
        <v>-251.3947</v>
      </c>
      <c r="H3712" s="1">
        <v>-3.6842269999999999E-6</v>
      </c>
      <c r="I3712">
        <v>139.55840000000001</v>
      </c>
      <c r="J3712">
        <v>-231.80789999999999</v>
      </c>
      <c r="K3712">
        <v>1.1083730000000001</v>
      </c>
      <c r="L3712">
        <v>140.6773</v>
      </c>
      <c r="M3712">
        <v>-0.99806810000000001</v>
      </c>
      <c r="N3712">
        <v>0</v>
      </c>
      <c r="O3712">
        <v>-6.0717939999999998E-2</v>
      </c>
      <c r="P3712">
        <v>-0.99508660000000004</v>
      </c>
      <c r="Q3712">
        <v>5.2005889999999999E-2</v>
      </c>
      <c r="R3712">
        <v>-8.4251480000000004E-2</v>
      </c>
      <c r="S3712">
        <v>-3.0091549999999998</v>
      </c>
      <c r="T3712">
        <v>-0.16844979999999901</v>
      </c>
      <c r="U3712">
        <v>-0.17190549999999999</v>
      </c>
      <c r="V3712">
        <v>-2.3456149999999999E-2</v>
      </c>
      <c r="W3712">
        <v>6.5231059999999993E-2</v>
      </c>
      <c r="X3712">
        <v>0.99759450000000005</v>
      </c>
      <c r="Y3712">
        <v>3.5949039999999999E-3</v>
      </c>
      <c r="Z3712">
        <v>3.4912329999999998E-3</v>
      </c>
      <c r="AA3712">
        <v>0.99998739999999997</v>
      </c>
      <c r="AB3712">
        <v>33</v>
      </c>
      <c r="AC3712">
        <v>-19.5868</v>
      </c>
      <c r="AD3712">
        <v>-1.108376684227</v>
      </c>
      <c r="AE3712">
        <v>-1.11889999999999</v>
      </c>
      <c r="AF3712">
        <v>7.2307250614206994E-2</v>
      </c>
      <c r="AG3712">
        <v>-1.108376684227</v>
      </c>
      <c r="AH3712">
        <v>19.556179555148201</v>
      </c>
      <c r="AI3712">
        <v>93.243834313504607</v>
      </c>
      <c r="AJ3712">
        <v>89.788154869520099</v>
      </c>
      <c r="AK3712">
        <v>19.587697312492502</v>
      </c>
      <c r="AL3712">
        <v>86.259880067167799</v>
      </c>
      <c r="AM3712">
        <v>91.346930858587697</v>
      </c>
      <c r="AN3712">
        <v>1.0000000342958899</v>
      </c>
    </row>
    <row r="3713" spans="1:40" x14ac:dyDescent="0.25">
      <c r="A3713" t="str">
        <f>"20190312151612732"</f>
        <v>20190312151612732</v>
      </c>
      <c r="B3713" t="str">
        <f>"1552374972721713"</f>
        <v>1552374972721713</v>
      </c>
      <c r="C3713" t="s">
        <v>40</v>
      </c>
      <c r="D3713">
        <v>4.5317980000000002</v>
      </c>
      <c r="E3713">
        <v>0.47673070000000001</v>
      </c>
      <c r="F3713" t="s">
        <v>43</v>
      </c>
      <c r="G3713">
        <v>-251.3708</v>
      </c>
      <c r="H3713" s="1">
        <v>-3.697761E-6</v>
      </c>
      <c r="I3713">
        <v>139.53989999999999</v>
      </c>
      <c r="J3713">
        <v>-232.08090000000001</v>
      </c>
      <c r="K3713">
        <v>1.108412</v>
      </c>
      <c r="L3713">
        <v>140.6619</v>
      </c>
      <c r="M3713">
        <v>-0.99813779999999996</v>
      </c>
      <c r="N3713">
        <v>0</v>
      </c>
      <c r="O3713">
        <v>-5.9578359999999997E-2</v>
      </c>
      <c r="P3713">
        <v>-0.99505140000000003</v>
      </c>
      <c r="Q3713">
        <v>5.1509920000000001E-2</v>
      </c>
      <c r="R3713">
        <v>-8.4971340000000006E-2</v>
      </c>
      <c r="S3713">
        <v>-3.0089109999999999</v>
      </c>
      <c r="T3713">
        <v>-0.17047679999999901</v>
      </c>
      <c r="U3713">
        <v>-0.17494199999999999</v>
      </c>
      <c r="V3713">
        <v>-2.5326029999999999E-2</v>
      </c>
      <c r="W3713">
        <v>6.4662440000000002E-2</v>
      </c>
      <c r="X3713">
        <v>0.99758579999999997</v>
      </c>
      <c r="Y3713">
        <v>1.4454750000000001E-3</v>
      </c>
      <c r="Z3713">
        <v>3.4082209999999999E-3</v>
      </c>
      <c r="AA3713">
        <v>0.99999309999999997</v>
      </c>
      <c r="AB3713">
        <v>33</v>
      </c>
      <c r="AC3713">
        <v>-19.2898999999999</v>
      </c>
      <c r="AD3713">
        <v>-1.108415697761</v>
      </c>
      <c r="AE3713">
        <v>-1.1220000000000101</v>
      </c>
      <c r="AF3713">
        <v>2.9256238518190699E-2</v>
      </c>
      <c r="AG3713">
        <v>-1.108415697761</v>
      </c>
      <c r="AH3713">
        <v>19.259106282866401</v>
      </c>
      <c r="AI3713">
        <v>93.2938957426624</v>
      </c>
      <c r="AJ3713">
        <v>89.912962851052797</v>
      </c>
      <c r="AK3713">
        <v>19.290998317901501</v>
      </c>
      <c r="AL3713">
        <v>86.292528519916004</v>
      </c>
      <c r="AM3713">
        <v>91.454273912452507</v>
      </c>
      <c r="AN3713">
        <v>1.0000000336519701</v>
      </c>
    </row>
    <row r="3714" spans="1:40" x14ac:dyDescent="0.25">
      <c r="A3714" t="str">
        <f>"20190312151612754"</f>
        <v>20190312151612754</v>
      </c>
      <c r="B3714" t="str">
        <f>"1552374972751970"</f>
        <v>1552374972751970</v>
      </c>
      <c r="C3714" t="s">
        <v>40</v>
      </c>
      <c r="D3714">
        <v>4.5332530000000002</v>
      </c>
      <c r="E3714">
        <v>0.47329769999999999</v>
      </c>
      <c r="F3714" t="s">
        <v>43</v>
      </c>
      <c r="G3714">
        <v>-243.5369</v>
      </c>
      <c r="H3714" s="1">
        <v>-2.8663820000000001E-6</v>
      </c>
      <c r="I3714">
        <v>138.9881</v>
      </c>
      <c r="J3714">
        <v>-232.4032</v>
      </c>
      <c r="K3714">
        <v>1.1084609999999999</v>
      </c>
      <c r="L3714">
        <v>140.64400000000001</v>
      </c>
      <c r="M3714">
        <v>-0.99821400000000005</v>
      </c>
      <c r="N3714">
        <v>0</v>
      </c>
      <c r="O3714">
        <v>-5.8304050000000003E-2</v>
      </c>
      <c r="P3714">
        <v>-0.99487760000000003</v>
      </c>
      <c r="Q3714">
        <v>5.092518E-2</v>
      </c>
      <c r="R3714">
        <v>-8.7321330000000003E-2</v>
      </c>
      <c r="S3714">
        <v>-2.9925540000000002</v>
      </c>
      <c r="T3714">
        <v>-0.28954229999999997</v>
      </c>
      <c r="U3714">
        <v>-0.43721009999999999</v>
      </c>
      <c r="V3714">
        <v>-2.896895E-2</v>
      </c>
      <c r="W3714">
        <v>6.3999089999999995E-2</v>
      </c>
      <c r="X3714">
        <v>0.99752940000000001</v>
      </c>
      <c r="Y3714">
        <v>-8.649337E-2</v>
      </c>
      <c r="Z3714">
        <v>1.4380300000000001E-3</v>
      </c>
      <c r="AA3714">
        <v>0.99625140000000001</v>
      </c>
      <c r="AB3714">
        <v>33</v>
      </c>
      <c r="AC3714">
        <v>-11.133699999999999</v>
      </c>
      <c r="AD3714">
        <v>-1.1084638663819999</v>
      </c>
      <c r="AE3714">
        <v>-1.6558999999999999</v>
      </c>
      <c r="AF3714">
        <v>-0.994246066049295</v>
      </c>
      <c r="AG3714">
        <v>-1.1084638663819999</v>
      </c>
      <c r="AH3714">
        <v>11.1036327492267</v>
      </c>
      <c r="AI3714">
        <v>95.678319748437602</v>
      </c>
      <c r="AJ3714">
        <v>95.116756333893306</v>
      </c>
      <c r="AK3714">
        <v>11.2030298407452</v>
      </c>
      <c r="AL3714">
        <v>86.3306144182217</v>
      </c>
      <c r="AM3714">
        <v>91.663441903703102</v>
      </c>
      <c r="AN3714">
        <v>0.99999999372464499</v>
      </c>
    </row>
    <row r="3715" spans="1:40" x14ac:dyDescent="0.25">
      <c r="A3715" t="str">
        <f>"20190312151612790"</f>
        <v>20190312151612790</v>
      </c>
      <c r="B3715" t="str">
        <f>"1552374972781249"</f>
        <v>1552374972781249</v>
      </c>
      <c r="C3715" t="s">
        <v>40</v>
      </c>
      <c r="D3715">
        <v>4.5292669999999999</v>
      </c>
      <c r="E3715">
        <v>0.47207100000000002</v>
      </c>
      <c r="F3715" t="s">
        <v>43</v>
      </c>
      <c r="G3715">
        <v>-243.09309999999999</v>
      </c>
      <c r="H3715" s="1">
        <v>-3.0619700000000001E-6</v>
      </c>
      <c r="I3715">
        <v>138.9588</v>
      </c>
      <c r="J3715">
        <v>-232.91720000000001</v>
      </c>
      <c r="K3715">
        <v>1.1085510000000001</v>
      </c>
      <c r="L3715">
        <v>140.61619999999999</v>
      </c>
      <c r="M3715">
        <v>-0.99832330000000002</v>
      </c>
      <c r="N3715">
        <v>0</v>
      </c>
      <c r="O3715">
        <v>-5.6434959999999999E-2</v>
      </c>
      <c r="P3715">
        <v>-0.99463520000000005</v>
      </c>
      <c r="Q3715">
        <v>5.186238E-2</v>
      </c>
      <c r="R3715">
        <v>-8.9506539999999996E-2</v>
      </c>
      <c r="S3715">
        <v>-2.98996</v>
      </c>
      <c r="T3715">
        <v>-0.31003700000000001</v>
      </c>
      <c r="U3715">
        <v>-0.47134399999999999</v>
      </c>
      <c r="V3715">
        <v>-3.3047670000000001E-2</v>
      </c>
      <c r="W3715">
        <v>6.4796160000000005E-2</v>
      </c>
      <c r="X3715">
        <v>0.99735119999999999</v>
      </c>
      <c r="Y3715">
        <v>-9.9494869999999999E-2</v>
      </c>
      <c r="Z3715">
        <v>6.7916190000000005E-4</v>
      </c>
      <c r="AA3715">
        <v>0.99503790000000003</v>
      </c>
      <c r="AB3715">
        <v>33</v>
      </c>
      <c r="AC3715">
        <v>-10.175899999999899</v>
      </c>
      <c r="AD3715">
        <v>-1.1085540619700001</v>
      </c>
      <c r="AE3715">
        <v>-1.65739999999999</v>
      </c>
      <c r="AF3715">
        <v>-1.0680858459704701</v>
      </c>
      <c r="AG3715">
        <v>-1.1085540619700001</v>
      </c>
      <c r="AH3715">
        <v>10.136039570704</v>
      </c>
      <c r="AI3715">
        <v>96.2073964033046</v>
      </c>
      <c r="AJ3715">
        <v>96.015347519142196</v>
      </c>
      <c r="AK3715">
        <v>10.2522679277099</v>
      </c>
      <c r="AL3715">
        <v>86.284850901148602</v>
      </c>
      <c r="AM3715">
        <v>91.897826441442405</v>
      </c>
      <c r="AN3715">
        <v>1.0000000534922999</v>
      </c>
    </row>
    <row r="3716" spans="1:40" x14ac:dyDescent="0.25">
      <c r="A3716" t="str">
        <f>"20190312151612810"</f>
        <v>20190312151612810</v>
      </c>
      <c r="B3716" t="str">
        <f>"1552374972801745"</f>
        <v>1552374972801745</v>
      </c>
      <c r="C3716" t="s">
        <v>40</v>
      </c>
      <c r="D3716">
        <v>4.7298939999999998</v>
      </c>
      <c r="E3716">
        <v>0.47187269999999998</v>
      </c>
      <c r="F3716" t="s">
        <v>43</v>
      </c>
      <c r="G3716">
        <v>-243.58580000000001</v>
      </c>
      <c r="H3716" s="1">
        <v>-2.8657259999999998E-6</v>
      </c>
      <c r="I3716">
        <v>138.87360000000001</v>
      </c>
      <c r="J3716">
        <v>-233.22139999999999</v>
      </c>
      <c r="K3716">
        <v>1.108614</v>
      </c>
      <c r="L3716">
        <v>140.6001</v>
      </c>
      <c r="M3716">
        <v>-0.99838199999999999</v>
      </c>
      <c r="N3716">
        <v>0</v>
      </c>
      <c r="O3716">
        <v>-5.5404910000000002E-2</v>
      </c>
      <c r="P3716">
        <v>-0.99443199999999998</v>
      </c>
      <c r="Q3716">
        <v>5.222392E-2</v>
      </c>
      <c r="R3716">
        <v>-9.1529490000000005E-2</v>
      </c>
      <c r="S3716">
        <v>-2.988464</v>
      </c>
      <c r="T3716">
        <v>-0.31052790000000002</v>
      </c>
      <c r="U3716">
        <v>-0.48814390000000002</v>
      </c>
      <c r="V3716">
        <v>-3.6118110000000002E-2</v>
      </c>
      <c r="W3716">
        <v>6.5077839999999998E-2</v>
      </c>
      <c r="X3716">
        <v>0.99722639999999996</v>
      </c>
      <c r="Y3716">
        <v>-0.1060089</v>
      </c>
      <c r="Z3716">
        <v>2.3902020000000001E-4</v>
      </c>
      <c r="AA3716">
        <v>0.99436519999999995</v>
      </c>
      <c r="AB3716">
        <v>33</v>
      </c>
      <c r="AC3716">
        <v>-10.3644</v>
      </c>
      <c r="AD3716">
        <v>-1.108616865726</v>
      </c>
      <c r="AE3716">
        <v>-1.7264999999999799</v>
      </c>
      <c r="AF3716">
        <v>-1.1369055038253599</v>
      </c>
      <c r="AG3716">
        <v>-1.108616865726</v>
      </c>
      <c r="AH3716">
        <v>10.3291537883612</v>
      </c>
      <c r="AI3716">
        <v>96.089545472706206</v>
      </c>
      <c r="AJ3716">
        <v>96.281127193987601</v>
      </c>
      <c r="AK3716">
        <v>10.450502545964801</v>
      </c>
      <c r="AL3716">
        <v>86.268677745238307</v>
      </c>
      <c r="AM3716">
        <v>92.0742642823067</v>
      </c>
      <c r="AN3716">
        <v>1.0000000679929899</v>
      </c>
    </row>
    <row r="3717" spans="1:40" x14ac:dyDescent="0.25">
      <c r="A3717" t="str">
        <f>"20190312151612832"</f>
        <v>20190312151612832</v>
      </c>
      <c r="B3717" t="str">
        <f>"1552374972821266"</f>
        <v>1552374972821266</v>
      </c>
      <c r="C3717" t="s">
        <v>40</v>
      </c>
      <c r="D3717">
        <v>4.5599020000000001</v>
      </c>
      <c r="E3717">
        <v>0.47094170000000002</v>
      </c>
      <c r="F3717" t="s">
        <v>43</v>
      </c>
      <c r="G3717">
        <v>-243.642</v>
      </c>
      <c r="H3717" s="1">
        <v>-2.8425319999999999E-6</v>
      </c>
      <c r="I3717">
        <v>138.8683</v>
      </c>
      <c r="J3717">
        <v>-233.54169999999999</v>
      </c>
      <c r="K3717">
        <v>1.108671</v>
      </c>
      <c r="L3717">
        <v>140.58349999999999</v>
      </c>
      <c r="M3717">
        <v>-0.99843930000000003</v>
      </c>
      <c r="N3717">
        <v>0</v>
      </c>
      <c r="O3717">
        <v>-5.4385929999999999E-2</v>
      </c>
      <c r="P3717">
        <v>-0.99419299999999999</v>
      </c>
      <c r="Q3717">
        <v>5.2808870000000001E-2</v>
      </c>
      <c r="R3717">
        <v>-9.3764529999999999E-2</v>
      </c>
      <c r="S3717">
        <v>-2.9878079999999998</v>
      </c>
      <c r="T3717">
        <v>-0.31786500000000001</v>
      </c>
      <c r="U3717">
        <v>-0.49652099999999999</v>
      </c>
      <c r="V3717">
        <v>-3.9390050000000003E-2</v>
      </c>
      <c r="W3717">
        <v>6.5576969999999998E-2</v>
      </c>
      <c r="X3717">
        <v>0.99706980000000001</v>
      </c>
      <c r="Y3717">
        <v>-0.1097335</v>
      </c>
      <c r="Z3717" s="1">
        <v>-5.8730129999999997E-5</v>
      </c>
      <c r="AA3717">
        <v>0.99396099999999998</v>
      </c>
      <c r="AB3717">
        <v>33</v>
      </c>
      <c r="AC3717">
        <v>-10.100300000000001</v>
      </c>
      <c r="AD3717">
        <v>-1.108673842532</v>
      </c>
      <c r="AE3717">
        <v>-1.7151999999999801</v>
      </c>
      <c r="AF3717">
        <v>-1.14983692243394</v>
      </c>
      <c r="AG3717">
        <v>-1.108673842532</v>
      </c>
      <c r="AH3717">
        <v>10.0608175640449</v>
      </c>
      <c r="AI3717">
        <v>96.248112558111004</v>
      </c>
      <c r="AJ3717">
        <v>96.5199659046107</v>
      </c>
      <c r="AK3717">
        <v>10.1868215206855</v>
      </c>
      <c r="AL3717">
        <v>86.240018419274904</v>
      </c>
      <c r="AM3717">
        <v>92.2623397130087</v>
      </c>
      <c r="AN3717">
        <v>1.00000005055271</v>
      </c>
    </row>
    <row r="3718" spans="1:40" x14ac:dyDescent="0.25">
      <c r="A3718" t="str">
        <f>"20190312151612855"</f>
        <v>20190312151612855</v>
      </c>
      <c r="B3718" t="str">
        <f>"1552374972851522"</f>
        <v>1552374972851522</v>
      </c>
      <c r="C3718" t="s">
        <v>40</v>
      </c>
      <c r="D3718">
        <v>4.5854119999999998</v>
      </c>
      <c r="E3718">
        <v>0.47115000000000001</v>
      </c>
      <c r="F3718" t="s">
        <v>57</v>
      </c>
      <c r="G3718">
        <v>-358.6628</v>
      </c>
      <c r="H3718">
        <v>2.6058759999999999</v>
      </c>
      <c r="I3718">
        <v>119.00060000000001</v>
      </c>
      <c r="J3718">
        <v>-233.88079999999999</v>
      </c>
      <c r="K3718">
        <v>1.1087260000000001</v>
      </c>
      <c r="L3718">
        <v>140.56610000000001</v>
      </c>
      <c r="M3718">
        <v>-0.99849460000000001</v>
      </c>
      <c r="N3718">
        <v>0</v>
      </c>
      <c r="O3718">
        <v>-5.3384109999999999E-2</v>
      </c>
      <c r="P3718">
        <v>-0.99387119999999995</v>
      </c>
      <c r="Q3718">
        <v>5.3995630000000003E-2</v>
      </c>
      <c r="R3718">
        <v>-9.6463380000000001E-2</v>
      </c>
      <c r="S3718">
        <v>-2.9673609999999999</v>
      </c>
      <c r="T3718">
        <v>3.5508039999999998E-2</v>
      </c>
      <c r="U3718">
        <v>-0.51185609999999904</v>
      </c>
      <c r="V3718">
        <v>-4.3110280000000001E-2</v>
      </c>
      <c r="W3718">
        <v>6.6671300000000003E-2</v>
      </c>
      <c r="X3718">
        <v>0.99684320000000004</v>
      </c>
      <c r="Y3718">
        <v>-0.1171268</v>
      </c>
      <c r="Z3718" s="1">
        <v>6.2418640000000002E-5</v>
      </c>
      <c r="AA3718">
        <v>0.99311700000000003</v>
      </c>
      <c r="AB3718">
        <v>33</v>
      </c>
      <c r="AC3718">
        <v>-124.782</v>
      </c>
      <c r="AD3718">
        <v>1.49714999999999</v>
      </c>
      <c r="AE3718">
        <v>-21.5655</v>
      </c>
      <c r="AF3718">
        <v>-14.8707606356738</v>
      </c>
      <c r="AG3718">
        <v>1.49714999999999</v>
      </c>
      <c r="AH3718">
        <v>125.737809810252</v>
      </c>
      <c r="AI3718">
        <v>89.322537042708305</v>
      </c>
      <c r="AJ3718">
        <v>96.7449264911764</v>
      </c>
      <c r="AK3718">
        <v>126.622974992238</v>
      </c>
      <c r="AL3718">
        <v>86.177180062602304</v>
      </c>
      <c r="AM3718">
        <v>92.476316166416098</v>
      </c>
      <c r="AN3718">
        <v>0.99999996193580298</v>
      </c>
    </row>
    <row r="3719" spans="1:40" x14ac:dyDescent="0.25">
      <c r="A3719" t="str">
        <f>"20190312151612876"</f>
        <v>20190312151612876</v>
      </c>
      <c r="B3719" t="str">
        <f>"1552374972872018"</f>
        <v>1552374972872018</v>
      </c>
      <c r="C3719" t="s">
        <v>40</v>
      </c>
      <c r="D3719">
        <v>4.7225910000000004</v>
      </c>
      <c r="E3719">
        <v>0.4710992</v>
      </c>
      <c r="F3719" t="s">
        <v>57</v>
      </c>
      <c r="G3719">
        <v>-357.25810000000001</v>
      </c>
      <c r="H3719">
        <v>2.8430439999999999</v>
      </c>
      <c r="I3719">
        <v>119.00069999999999</v>
      </c>
      <c r="J3719">
        <v>-234.20009999999999</v>
      </c>
      <c r="K3719">
        <v>1.1087739999999999</v>
      </c>
      <c r="L3719">
        <v>140.55000000000001</v>
      </c>
      <c r="M3719">
        <v>-0.9985425</v>
      </c>
      <c r="N3719">
        <v>0</v>
      </c>
      <c r="O3719">
        <v>-5.2497500000000002E-2</v>
      </c>
      <c r="P3719">
        <v>-0.99353880000000006</v>
      </c>
      <c r="Q3719">
        <v>5.493141E-2</v>
      </c>
      <c r="R3719">
        <v>-9.9315020000000004E-2</v>
      </c>
      <c r="S3719">
        <v>-2.9659119999999999</v>
      </c>
      <c r="T3719">
        <v>4.1692140000000003E-2</v>
      </c>
      <c r="U3719">
        <v>-0.51841740000000003</v>
      </c>
      <c r="V3719">
        <v>-4.6868559999999997E-2</v>
      </c>
      <c r="W3719">
        <v>6.7525290000000002E-2</v>
      </c>
      <c r="X3719">
        <v>0.9966161</v>
      </c>
      <c r="Y3719">
        <v>-0.12021999999999999</v>
      </c>
      <c r="Z3719">
        <v>1.0722639999999999E-4</v>
      </c>
      <c r="AA3719">
        <v>0.99274720000000005</v>
      </c>
      <c r="AB3719">
        <v>33</v>
      </c>
      <c r="AC3719">
        <v>-123.05800000000001</v>
      </c>
      <c r="AD3719">
        <v>1.73427</v>
      </c>
      <c r="AE3719">
        <v>-21.549299999999999</v>
      </c>
      <c r="AF3719">
        <v>-15.055934488765899</v>
      </c>
      <c r="AG3719">
        <v>1.73427</v>
      </c>
      <c r="AH3719">
        <v>123.99576155922399</v>
      </c>
      <c r="AI3719">
        <v>89.204525154937201</v>
      </c>
      <c r="AJ3719">
        <v>96.923133028171605</v>
      </c>
      <c r="AK3719">
        <v>124.918524408571</v>
      </c>
      <c r="AL3719">
        <v>86.128139621176501</v>
      </c>
      <c r="AM3719">
        <v>92.692504810572103</v>
      </c>
      <c r="AN3719">
        <v>0.99999998874263296</v>
      </c>
    </row>
    <row r="3720" spans="1:40" x14ac:dyDescent="0.25">
      <c r="A3720" t="str">
        <f>"20190312151612898"</f>
        <v>20190312151612898</v>
      </c>
      <c r="B3720" t="str">
        <f>"1552374972891537"</f>
        <v>1552374972891537</v>
      </c>
      <c r="C3720" t="s">
        <v>40</v>
      </c>
      <c r="D3720">
        <v>4.6440149999999996</v>
      </c>
      <c r="E3720">
        <v>0.47163369999999999</v>
      </c>
      <c r="F3720" t="s">
        <v>57</v>
      </c>
      <c r="G3720">
        <v>-355.3306</v>
      </c>
      <c r="H3720">
        <v>2.918066</v>
      </c>
      <c r="I3720">
        <v>119.00069999999999</v>
      </c>
      <c r="J3720">
        <v>-234.51740000000001</v>
      </c>
      <c r="K3720">
        <v>1.108811</v>
      </c>
      <c r="L3720">
        <v>140.5342</v>
      </c>
      <c r="M3720">
        <v>-0.99858729999999996</v>
      </c>
      <c r="N3720">
        <v>0</v>
      </c>
      <c r="O3720">
        <v>-5.1655760000000002E-2</v>
      </c>
      <c r="P3720">
        <v>-0.99333249999999995</v>
      </c>
      <c r="Q3720">
        <v>5.5014140000000003E-2</v>
      </c>
      <c r="R3720">
        <v>-0.1013114</v>
      </c>
      <c r="S3720">
        <v>-2.96434</v>
      </c>
      <c r="T3720">
        <v>4.4277909999999997E-2</v>
      </c>
      <c r="U3720">
        <v>-0.52735900000000002</v>
      </c>
      <c r="V3720">
        <v>-4.9721109999999999E-2</v>
      </c>
      <c r="W3720">
        <v>6.7534330000000004E-2</v>
      </c>
      <c r="X3720">
        <v>0.99647719999999995</v>
      </c>
      <c r="Y3720">
        <v>-0.12404809999999999</v>
      </c>
      <c r="Z3720">
        <v>1.5472160000000001E-4</v>
      </c>
      <c r="AA3720">
        <v>0.99227619999999905</v>
      </c>
      <c r="AB3720">
        <v>33</v>
      </c>
      <c r="AC3720">
        <v>-120.81319999999999</v>
      </c>
      <c r="AD3720">
        <v>1.8092549999999901</v>
      </c>
      <c r="AE3720">
        <v>-21.5335</v>
      </c>
      <c r="AF3720">
        <v>-15.260248560009</v>
      </c>
      <c r="AG3720">
        <v>1.8092549999999901</v>
      </c>
      <c r="AH3720">
        <v>121.73783740896801</v>
      </c>
      <c r="AI3720">
        <v>89.155149727738305</v>
      </c>
      <c r="AJ3720">
        <v>97.144950782492003</v>
      </c>
      <c r="AK3720">
        <v>122.703910478764</v>
      </c>
      <c r="AL3720">
        <v>86.127620302199603</v>
      </c>
      <c r="AM3720">
        <v>92.856511974991804</v>
      </c>
      <c r="AN3720">
        <v>0.99999994231400802</v>
      </c>
    </row>
    <row r="3721" spans="1:40" x14ac:dyDescent="0.25">
      <c r="A3721" t="str">
        <f>"20190312151612920"</f>
        <v>20190312151612920</v>
      </c>
      <c r="B3721" t="str">
        <f>"1552374972911058"</f>
        <v>1552374972911058</v>
      </c>
      <c r="C3721" t="s">
        <v>40</v>
      </c>
      <c r="D3721">
        <v>4.7739330000000004</v>
      </c>
      <c r="E3721">
        <v>0.47194029999999998</v>
      </c>
      <c r="F3721" t="s">
        <v>57</v>
      </c>
      <c r="G3721">
        <v>-355.08730000000003</v>
      </c>
      <c r="H3721">
        <v>2.7616779999999999</v>
      </c>
      <c r="I3721">
        <v>119.00069999999999</v>
      </c>
      <c r="J3721">
        <v>-234.8355</v>
      </c>
      <c r="K3721">
        <v>1.1088389999999999</v>
      </c>
      <c r="L3721">
        <v>140.51859999999999</v>
      </c>
      <c r="M3721">
        <v>-0.99862989999999996</v>
      </c>
      <c r="N3721">
        <v>0</v>
      </c>
      <c r="O3721">
        <v>-5.084433E-2</v>
      </c>
      <c r="P3721">
        <v>-0.99324619999999997</v>
      </c>
      <c r="Q3721">
        <v>5.4235819999999997E-2</v>
      </c>
      <c r="R3721">
        <v>-0.1025713</v>
      </c>
      <c r="S3721">
        <v>-2.9638819999999999</v>
      </c>
      <c r="T3721">
        <v>4.0631529999999999E-2</v>
      </c>
      <c r="U3721">
        <v>-0.52934269999999894</v>
      </c>
      <c r="V3721">
        <v>-5.1801340000000001E-2</v>
      </c>
      <c r="W3721">
        <v>6.6688910000000004E-2</v>
      </c>
      <c r="X3721">
        <v>0.99642830000000004</v>
      </c>
      <c r="Y3721">
        <v>-0.12552530000000001</v>
      </c>
      <c r="Z3721">
        <v>1.630449E-4</v>
      </c>
      <c r="AA3721">
        <v>0.99209040000000004</v>
      </c>
      <c r="AB3721">
        <v>33</v>
      </c>
      <c r="AC3721">
        <v>-120.2518</v>
      </c>
      <c r="AD3721">
        <v>1.6528389999999999</v>
      </c>
      <c r="AE3721">
        <v>-21.517900000000001</v>
      </c>
      <c r="AF3721">
        <v>-15.372659655527499</v>
      </c>
      <c r="AG3721">
        <v>1.6528389999999999</v>
      </c>
      <c r="AH3721">
        <v>121.168207485129</v>
      </c>
      <c r="AI3721">
        <v>89.224698541748495</v>
      </c>
      <c r="AJ3721">
        <v>97.2305095906855</v>
      </c>
      <c r="AK3721">
        <v>122.150665355551</v>
      </c>
      <c r="AL3721">
        <v>86.176169259739694</v>
      </c>
      <c r="AM3721">
        <v>92.9759578908821</v>
      </c>
      <c r="AN3721">
        <v>1.0000000732918299</v>
      </c>
    </row>
    <row r="3722" spans="1:40" x14ac:dyDescent="0.25">
      <c r="A3722" t="str">
        <f>"20190312151612943"</f>
        <v>20190312151612943</v>
      </c>
      <c r="B3722" t="str">
        <f>"1552374972941314"</f>
        <v>1552374972941314</v>
      </c>
      <c r="C3722" t="s">
        <v>40</v>
      </c>
      <c r="D3722">
        <v>4.8552629999999999</v>
      </c>
      <c r="E3722">
        <v>0.49330259999999998</v>
      </c>
      <c r="F3722" t="s">
        <v>57</v>
      </c>
      <c r="G3722">
        <v>-354.99459999999999</v>
      </c>
      <c r="H3722">
        <v>2.6781039999999998</v>
      </c>
      <c r="I3722">
        <v>119.00069999999999</v>
      </c>
      <c r="J3722">
        <v>-235.17070000000001</v>
      </c>
      <c r="K3722">
        <v>1.108865</v>
      </c>
      <c r="L3722">
        <v>140.5025</v>
      </c>
      <c r="M3722">
        <v>-0.99867269999999997</v>
      </c>
      <c r="N3722">
        <v>0</v>
      </c>
      <c r="O3722">
        <v>-5.0013639999999998E-2</v>
      </c>
      <c r="P3722">
        <v>-0.99320920000000001</v>
      </c>
      <c r="Q3722">
        <v>5.3455500000000003E-2</v>
      </c>
      <c r="R3722">
        <v>-0.103335999999999</v>
      </c>
      <c r="S3722">
        <v>-2.9635009999999999</v>
      </c>
      <c r="T3722">
        <v>3.8703319999999999E-2</v>
      </c>
      <c r="U3722">
        <v>-0.53070069999999903</v>
      </c>
      <c r="V3722">
        <v>-5.340263E-2</v>
      </c>
      <c r="W3722">
        <v>6.5844860000000005E-2</v>
      </c>
      <c r="X3722">
        <v>0.99639979999999995</v>
      </c>
      <c r="Y3722">
        <v>-0.1268136</v>
      </c>
      <c r="Z3722">
        <v>1.7439919999999901E-4</v>
      </c>
      <c r="AA3722">
        <v>0.99192659999999999</v>
      </c>
      <c r="AB3722">
        <v>33</v>
      </c>
      <c r="AC3722">
        <v>-119.823899999999</v>
      </c>
      <c r="AD3722">
        <v>1.5692390000000001</v>
      </c>
      <c r="AE3722">
        <v>-21.501799999999999</v>
      </c>
      <c r="AF3722">
        <v>-15.479031837919599</v>
      </c>
      <c r="AG3722">
        <v>1.5692390000000001</v>
      </c>
      <c r="AH3722">
        <v>120.729326151416</v>
      </c>
      <c r="AI3722">
        <v>89.261357425433701</v>
      </c>
      <c r="AJ3722">
        <v>97.306185865156493</v>
      </c>
      <c r="AK3722">
        <v>121.72770075317101</v>
      </c>
      <c r="AL3722">
        <v>86.224635918509094</v>
      </c>
      <c r="AM3722">
        <v>93.067865589974502</v>
      </c>
      <c r="AN3722">
        <v>0.99999997395968698</v>
      </c>
    </row>
    <row r="3723" spans="1:40" x14ac:dyDescent="0.25">
      <c r="A3723" t="str">
        <f>"20190312151612967"</f>
        <v>20190312151612967</v>
      </c>
      <c r="B3723" t="str">
        <f>"1552374972961811"</f>
        <v>1552374972961811</v>
      </c>
      <c r="C3723" t="s">
        <v>40</v>
      </c>
      <c r="D3723">
        <v>4.693079</v>
      </c>
      <c r="E3723">
        <v>0.5041426</v>
      </c>
      <c r="F3723" t="s">
        <v>62</v>
      </c>
      <c r="G3723">
        <v>-440.75</v>
      </c>
      <c r="H3723">
        <v>4.4766349999999999</v>
      </c>
      <c r="I3723">
        <v>115.43</v>
      </c>
      <c r="J3723">
        <v>-235.5138</v>
      </c>
      <c r="K3723">
        <v>1.108878</v>
      </c>
      <c r="L3723">
        <v>140.4862</v>
      </c>
      <c r="M3723">
        <v>-0.99871460000000001</v>
      </c>
      <c r="N3723">
        <v>0</v>
      </c>
      <c r="O3723">
        <v>-4.9177279999999997E-2</v>
      </c>
      <c r="P3723">
        <v>-0.99328530000000004</v>
      </c>
      <c r="Q3723">
        <v>5.2647359999999997E-2</v>
      </c>
      <c r="R3723">
        <v>-0.1030184</v>
      </c>
      <c r="S3723">
        <v>-2.9800719999999998</v>
      </c>
      <c r="T3723">
        <v>4.8819420000000002E-2</v>
      </c>
      <c r="U3723">
        <v>-0.36344910000000002</v>
      </c>
      <c r="V3723">
        <v>-5.3921669999999998E-2</v>
      </c>
      <c r="W3723">
        <v>6.497791E-2</v>
      </c>
      <c r="X3723">
        <v>0.9964288</v>
      </c>
      <c r="Y3723">
        <v>-7.2094030000000003E-2</v>
      </c>
      <c r="Z3723">
        <v>-2.1351019999999999E-4</v>
      </c>
      <c r="AA3723">
        <v>0.9973978</v>
      </c>
      <c r="AB3723">
        <v>33</v>
      </c>
      <c r="AC3723">
        <v>-205.2362</v>
      </c>
      <c r="AD3723">
        <v>3.3677570000000001</v>
      </c>
      <c r="AE3723">
        <v>-25.056199999999901</v>
      </c>
      <c r="AF3723">
        <v>-14.9281996355605</v>
      </c>
      <c r="AG3723">
        <v>3.3677570000000001</v>
      </c>
      <c r="AH3723">
        <v>206.16543176309801</v>
      </c>
      <c r="AI3723">
        <v>89.066587588111503</v>
      </c>
      <c r="AJ3723">
        <v>94.141492983867707</v>
      </c>
      <c r="AK3723">
        <v>206.73262486998701</v>
      </c>
      <c r="AL3723">
        <v>86.274415256226405</v>
      </c>
      <c r="AM3723">
        <v>93.097535547759193</v>
      </c>
      <c r="AN3723">
        <v>1.00000001437649</v>
      </c>
    </row>
    <row r="3724" spans="1:40" x14ac:dyDescent="0.25">
      <c r="A3724" t="str">
        <f>"20190312151612991"</f>
        <v>20190312151612991</v>
      </c>
      <c r="B3724" t="str">
        <f>"1552374972981330"</f>
        <v>1552374972981330</v>
      </c>
      <c r="C3724" t="s">
        <v>40</v>
      </c>
      <c r="D3724">
        <v>4.7290489999999998</v>
      </c>
      <c r="E3724">
        <v>0.50772139999999999</v>
      </c>
      <c r="F3724" t="s">
        <v>62</v>
      </c>
      <c r="G3724">
        <v>-461.03219999999999</v>
      </c>
      <c r="H3724">
        <v>5.6535989999999998</v>
      </c>
      <c r="I3724">
        <v>119.6258</v>
      </c>
      <c r="J3724">
        <v>-235.85560000000001</v>
      </c>
      <c r="K3724">
        <v>1.108887</v>
      </c>
      <c r="L3724">
        <v>140.47030000000001</v>
      </c>
      <c r="M3724">
        <v>-0.99875579999999997</v>
      </c>
      <c r="N3724">
        <v>0</v>
      </c>
      <c r="O3724">
        <v>-4.8349690000000001E-2</v>
      </c>
      <c r="P3724">
        <v>-0.99348769999999997</v>
      </c>
      <c r="Q3724">
        <v>5.1780300000000001E-2</v>
      </c>
      <c r="R3724">
        <v>-0.1014939</v>
      </c>
      <c r="S3724">
        <v>-2.9884189999999999</v>
      </c>
      <c r="T3724">
        <v>6.0223939999999997E-2</v>
      </c>
      <c r="U3724">
        <v>-0.27642820000000001</v>
      </c>
      <c r="V3724">
        <v>-5.321973E-2</v>
      </c>
      <c r="W3724">
        <v>6.4059069999999996E-2</v>
      </c>
      <c r="X3724">
        <v>0.99652600000000002</v>
      </c>
      <c r="Y3724">
        <v>-4.3852040000000002E-2</v>
      </c>
      <c r="Z3724">
        <v>-5.3056030000000001E-4</v>
      </c>
      <c r="AA3724">
        <v>0.99903790000000003</v>
      </c>
      <c r="AB3724">
        <v>33</v>
      </c>
      <c r="AC3724">
        <v>-225.17660000000001</v>
      </c>
      <c r="AD3724">
        <v>4.5447119999999996</v>
      </c>
      <c r="AE3724">
        <v>-20.8445</v>
      </c>
      <c r="AF3724">
        <v>-9.9280774001330894</v>
      </c>
      <c r="AG3724">
        <v>4.5447119999999996</v>
      </c>
      <c r="AH3724">
        <v>225.82990024646699</v>
      </c>
      <c r="AI3724">
        <v>88.848219364175804</v>
      </c>
      <c r="AJ3724">
        <v>92.517252548220995</v>
      </c>
      <c r="AK3724">
        <v>226.093708389586</v>
      </c>
      <c r="AL3724">
        <v>86.327170724089697</v>
      </c>
      <c r="AM3724">
        <v>93.056991897257603</v>
      </c>
      <c r="AN3724">
        <v>0.99999998639326804</v>
      </c>
    </row>
    <row r="3725" spans="1:40" x14ac:dyDescent="0.25">
      <c r="A3725" t="str">
        <f>"20190312151613013"</f>
        <v>20190312151613013</v>
      </c>
      <c r="B3725" t="str">
        <f>"1552374973001826"</f>
        <v>1552374973001826</v>
      </c>
      <c r="C3725" t="s">
        <v>40</v>
      </c>
      <c r="D3725">
        <v>4.7422449999999996</v>
      </c>
      <c r="E3725">
        <v>0.50991759999999997</v>
      </c>
      <c r="F3725" t="s">
        <v>46</v>
      </c>
      <c r="G3725">
        <v>0</v>
      </c>
      <c r="H3725">
        <v>0</v>
      </c>
      <c r="I3725">
        <v>0</v>
      </c>
      <c r="J3725">
        <v>-236.18860000000001</v>
      </c>
      <c r="K3725">
        <v>1.1088910000000001</v>
      </c>
      <c r="L3725">
        <v>140.45500000000001</v>
      </c>
      <c r="M3725">
        <v>-0.99879510000000005</v>
      </c>
      <c r="N3725">
        <v>0</v>
      </c>
      <c r="O3725">
        <v>-4.7544709999999997E-2</v>
      </c>
      <c r="P3725">
        <v>-0.99372669999999996</v>
      </c>
      <c r="Q3725">
        <v>5.0874580000000003E-2</v>
      </c>
      <c r="R3725">
        <v>-9.9595749999999997E-2</v>
      </c>
      <c r="S3725">
        <v>-2.9913789999999998</v>
      </c>
      <c r="T3725">
        <v>6.5195680000000006E-2</v>
      </c>
      <c r="U3725">
        <v>-0.24349979999999999</v>
      </c>
      <c r="V3725">
        <v>-5.2119020000000002E-2</v>
      </c>
      <c r="W3725">
        <v>6.3103980000000004E-2</v>
      </c>
      <c r="X3725">
        <v>0.99664509999999995</v>
      </c>
      <c r="Y3725">
        <v>-3.36522E-2</v>
      </c>
      <c r="Z3725">
        <v>-6.6759789999999903E-4</v>
      </c>
      <c r="AA3725">
        <v>0.99943340000000003</v>
      </c>
      <c r="AB3725">
        <v>33</v>
      </c>
      <c r="AC3725">
        <v>-2.9913789999999998</v>
      </c>
      <c r="AD3725">
        <v>6.5195680000000006E-2</v>
      </c>
      <c r="AE3725">
        <v>-0.24349979999999999</v>
      </c>
      <c r="AF3725">
        <v>-0.10094199394529101</v>
      </c>
      <c r="AG3725">
        <v>6.5195680000000006E-2</v>
      </c>
      <c r="AH3725">
        <v>2.99815880967143</v>
      </c>
      <c r="AI3725">
        <v>88.754991109018206</v>
      </c>
      <c r="AJ3725">
        <v>91.928305602689804</v>
      </c>
      <c r="AK3725">
        <v>3.00056594842418</v>
      </c>
      <c r="AL3725">
        <v>86.382004277282604</v>
      </c>
      <c r="AM3725">
        <v>92.993525182784495</v>
      </c>
      <c r="AN3725">
        <v>0.99999997994580503</v>
      </c>
    </row>
    <row r="3726" spans="1:40" x14ac:dyDescent="0.25">
      <c r="A3726" t="str">
        <f>"20190312151613035"</f>
        <v>20190312151613035</v>
      </c>
      <c r="B3726" t="str">
        <f>"1552374973031106"</f>
        <v>1552374973031106</v>
      </c>
      <c r="C3726" t="s">
        <v>40</v>
      </c>
      <c r="D3726">
        <v>4.7964200000000003</v>
      </c>
      <c r="E3726">
        <v>0.51154319999999998</v>
      </c>
      <c r="F3726" t="s">
        <v>46</v>
      </c>
      <c r="G3726">
        <v>0</v>
      </c>
      <c r="H3726">
        <v>0</v>
      </c>
      <c r="I3726">
        <v>0</v>
      </c>
      <c r="J3726">
        <v>-236.51060000000001</v>
      </c>
      <c r="K3726">
        <v>1.1088929999999999</v>
      </c>
      <c r="L3726">
        <v>140.44059999999999</v>
      </c>
      <c r="M3726">
        <v>-0.99883250000000001</v>
      </c>
      <c r="N3726">
        <v>0</v>
      </c>
      <c r="O3726">
        <v>-4.6764149999999997E-2</v>
      </c>
      <c r="P3726">
        <v>-0.9939576</v>
      </c>
      <c r="Q3726">
        <v>5.0333990000000002E-2</v>
      </c>
      <c r="R3726">
        <v>-9.754554E-2</v>
      </c>
      <c r="S3726">
        <v>-2.9935909999999999</v>
      </c>
      <c r="T3726">
        <v>6.3841220000000004E-2</v>
      </c>
      <c r="U3726">
        <v>-0.2202606</v>
      </c>
      <c r="V3726">
        <v>-5.0841999999999998E-2</v>
      </c>
      <c r="W3726">
        <v>6.2517199999999995E-2</v>
      </c>
      <c r="X3726">
        <v>0.99674799999999997</v>
      </c>
      <c r="Y3726">
        <v>-2.666178E-2</v>
      </c>
      <c r="Z3726">
        <v>-7.1132669999999999E-4</v>
      </c>
      <c r="AA3726">
        <v>0.99964430000000004</v>
      </c>
      <c r="AB3726">
        <v>33</v>
      </c>
      <c r="AC3726">
        <v>-2.9935909999999999</v>
      </c>
      <c r="AD3726">
        <v>6.3841220000000004E-2</v>
      </c>
      <c r="AE3726">
        <v>-0.2202606</v>
      </c>
      <c r="AF3726">
        <v>-7.9980399695070203E-2</v>
      </c>
      <c r="AG3726">
        <v>6.3841220000000004E-2</v>
      </c>
      <c r="AH3726">
        <v>2.9992597532870802</v>
      </c>
      <c r="AI3726">
        <v>88.781038922610307</v>
      </c>
      <c r="AJ3726">
        <v>91.527528107281</v>
      </c>
      <c r="AK3726">
        <v>3.0010051038600598</v>
      </c>
      <c r="AL3726">
        <v>86.415690676359105</v>
      </c>
      <c r="AM3726">
        <v>92.920005437209497</v>
      </c>
      <c r="AN3726">
        <v>0.99999994238191803</v>
      </c>
    </row>
    <row r="3727" spans="1:40" x14ac:dyDescent="0.25">
      <c r="A3727" t="str">
        <f>"20190312151613056"</f>
        <v>20190312151613056</v>
      </c>
      <c r="B3727" t="str">
        <f>"1552374973051602"</f>
        <v>1552374973051602</v>
      </c>
      <c r="C3727" t="s">
        <v>40</v>
      </c>
      <c r="D3727">
        <v>4.6863029999999997</v>
      </c>
      <c r="E3727">
        <v>0.51216819999999996</v>
      </c>
      <c r="F3727" t="s">
        <v>46</v>
      </c>
      <c r="G3727">
        <v>0</v>
      </c>
      <c r="H3727">
        <v>0</v>
      </c>
      <c r="I3727">
        <v>0</v>
      </c>
      <c r="J3727">
        <v>-236.82</v>
      </c>
      <c r="K3727">
        <v>1.1088979999999999</v>
      </c>
      <c r="L3727">
        <v>140.42689999999999</v>
      </c>
      <c r="M3727">
        <v>-0.99886779999999997</v>
      </c>
      <c r="N3727">
        <v>0</v>
      </c>
      <c r="O3727">
        <v>-4.6011360000000001E-2</v>
      </c>
      <c r="P3727">
        <v>-0.99411930000000004</v>
      </c>
      <c r="Q3727">
        <v>5.0158969999999997E-2</v>
      </c>
      <c r="R3727">
        <v>-9.5973180000000005E-2</v>
      </c>
      <c r="S3727">
        <v>-2.9953310000000002</v>
      </c>
      <c r="T3727">
        <v>6.2282560000000001E-2</v>
      </c>
      <c r="U3727">
        <v>-0.20124819999999999</v>
      </c>
      <c r="V3727">
        <v>-5.0016600000000001E-2</v>
      </c>
      <c r="W3727">
        <v>6.2304470000000001E-2</v>
      </c>
      <c r="X3727">
        <v>0.9968032</v>
      </c>
      <c r="Y3727">
        <v>-2.10593E-2</v>
      </c>
      <c r="Z3727">
        <v>-7.3631689999999997E-4</v>
      </c>
      <c r="AA3727">
        <v>0.99977800000000006</v>
      </c>
      <c r="AB3727">
        <v>33</v>
      </c>
      <c r="AC3727">
        <v>-2.9953310000000002</v>
      </c>
      <c r="AD3727">
        <v>6.2282560000000001E-2</v>
      </c>
      <c r="AE3727">
        <v>-0.20124819999999999</v>
      </c>
      <c r="AF3727">
        <v>-6.3178517346123494E-2</v>
      </c>
      <c r="AG3727">
        <v>6.2282560000000001E-2</v>
      </c>
      <c r="AH3727">
        <v>3.0001273112928999</v>
      </c>
      <c r="AI3727">
        <v>88.810975574676704</v>
      </c>
      <c r="AJ3727">
        <v>91.206391286885804</v>
      </c>
      <c r="AK3727">
        <v>3.0014387427198601</v>
      </c>
      <c r="AL3727">
        <v>86.427903448513206</v>
      </c>
      <c r="AM3727">
        <v>92.872521533990707</v>
      </c>
      <c r="AN3727">
        <v>1.0000000633938799</v>
      </c>
    </row>
    <row r="3728" spans="1:40" x14ac:dyDescent="0.25">
      <c r="A3728" t="str">
        <f>"20190312151613078"</f>
        <v>20190312151613078</v>
      </c>
      <c r="B3728" t="str">
        <f>"1552374973071122"</f>
        <v>1552374973071122</v>
      </c>
      <c r="C3728" t="s">
        <v>40</v>
      </c>
      <c r="D3728">
        <v>4.6033980000000003</v>
      </c>
      <c r="E3728">
        <v>0.5124322</v>
      </c>
      <c r="F3728" t="s">
        <v>46</v>
      </c>
      <c r="G3728">
        <v>0</v>
      </c>
      <c r="H3728">
        <v>0</v>
      </c>
      <c r="I3728">
        <v>0</v>
      </c>
      <c r="J3728">
        <v>-237.14169999999999</v>
      </c>
      <c r="K3728">
        <v>1.1088979999999999</v>
      </c>
      <c r="L3728">
        <v>140.41290000000001</v>
      </c>
      <c r="M3728">
        <v>-0.99890400000000001</v>
      </c>
      <c r="N3728">
        <v>0</v>
      </c>
      <c r="O3728">
        <v>-4.522698E-2</v>
      </c>
      <c r="P3728">
        <v>-0.99430059999999998</v>
      </c>
      <c r="Q3728">
        <v>5.0023310000000001E-2</v>
      </c>
      <c r="R3728">
        <v>-9.4150650000000002E-2</v>
      </c>
      <c r="S3728">
        <v>-2.9962770000000001</v>
      </c>
      <c r="T3728">
        <v>5.9137460000000003E-2</v>
      </c>
      <c r="U3728">
        <v>-0.1914825</v>
      </c>
      <c r="V3728">
        <v>-4.897141E-2</v>
      </c>
      <c r="W3728">
        <v>6.2132670000000001E-2</v>
      </c>
      <c r="X3728">
        <v>0.99686569999999997</v>
      </c>
      <c r="Y3728">
        <v>-1.857843E-2</v>
      </c>
      <c r="Z3728">
        <v>-7.0802660000000004E-4</v>
      </c>
      <c r="AA3728">
        <v>0.99982709999999997</v>
      </c>
      <c r="AB3728">
        <v>33</v>
      </c>
      <c r="AC3728">
        <v>-2.9962770000000001</v>
      </c>
      <c r="AD3728">
        <v>5.9137460000000003E-2</v>
      </c>
      <c r="AE3728">
        <v>-0.1914825</v>
      </c>
      <c r="AF3728">
        <v>-5.5742501090235402E-2</v>
      </c>
      <c r="AG3728">
        <v>5.9137460000000003E-2</v>
      </c>
      <c r="AH3728">
        <v>3.00070721198523</v>
      </c>
      <c r="AI3728">
        <v>88.8711647601327</v>
      </c>
      <c r="AJ3728">
        <v>91.064230037831507</v>
      </c>
      <c r="AK3728">
        <v>3.00180749510411</v>
      </c>
      <c r="AL3728">
        <v>86.437765551395401</v>
      </c>
      <c r="AM3728">
        <v>92.812416202075596</v>
      </c>
      <c r="AN3728">
        <v>0.99999994575760198</v>
      </c>
    </row>
    <row r="3729" spans="1:40" x14ac:dyDescent="0.25">
      <c r="A3729" t="str">
        <f>"20190312151613100"</f>
        <v>20190312151613100</v>
      </c>
      <c r="B3729" t="str">
        <f>"1552374973091618"</f>
        <v>1552374973091618</v>
      </c>
      <c r="C3729" t="s">
        <v>40</v>
      </c>
      <c r="D3729">
        <v>4.6271209999999998</v>
      </c>
      <c r="E3729">
        <v>0.51477879999999998</v>
      </c>
      <c r="F3729" t="s">
        <v>46</v>
      </c>
      <c r="G3729">
        <v>0</v>
      </c>
      <c r="H3729">
        <v>0</v>
      </c>
      <c r="I3729">
        <v>0</v>
      </c>
      <c r="J3729">
        <v>-237.47059999999999</v>
      </c>
      <c r="K3729">
        <v>1.108897</v>
      </c>
      <c r="L3729">
        <v>140.3989</v>
      </c>
      <c r="M3729">
        <v>-0.99894050000000001</v>
      </c>
      <c r="N3729">
        <v>0</v>
      </c>
      <c r="O3729">
        <v>-4.4424720000000001E-2</v>
      </c>
      <c r="P3729">
        <v>-0.99445499999999998</v>
      </c>
      <c r="Q3729">
        <v>5.0384789999999999E-2</v>
      </c>
      <c r="R3729">
        <v>-9.2309600000000006E-2</v>
      </c>
      <c r="S3729">
        <v>-2.9968110000000001</v>
      </c>
      <c r="T3729">
        <v>5.8876749999999999E-2</v>
      </c>
      <c r="U3729">
        <v>-0.18400569999999999</v>
      </c>
      <c r="V3729">
        <v>-4.7926539999999997E-2</v>
      </c>
      <c r="W3729">
        <v>6.2461049999999997E-2</v>
      </c>
      <c r="X3729">
        <v>0.996896</v>
      </c>
      <c r="Y3729">
        <v>-1.6885460000000001E-2</v>
      </c>
      <c r="Z3729">
        <v>-7.0573679999999897E-4</v>
      </c>
      <c r="AA3729">
        <v>0.9998572</v>
      </c>
      <c r="AB3729">
        <v>33</v>
      </c>
      <c r="AC3729">
        <v>-2.9968110000000001</v>
      </c>
      <c r="AD3729">
        <v>5.8876749999999999E-2</v>
      </c>
      <c r="AE3729">
        <v>-0.18400569999999999</v>
      </c>
      <c r="AF3729">
        <v>-5.0662432348198297E-2</v>
      </c>
      <c r="AG3729">
        <v>5.8876749999999999E-2</v>
      </c>
      <c r="AH3729">
        <v>3.0008729794511599</v>
      </c>
      <c r="AI3729">
        <v>88.876168333831103</v>
      </c>
      <c r="AJ3729">
        <v>90.967207822356002</v>
      </c>
      <c r="AK3729">
        <v>3.0018780442486501</v>
      </c>
      <c r="AL3729">
        <v>86.418914288634198</v>
      </c>
      <c r="AM3729">
        <v>92.752419325051605</v>
      </c>
      <c r="AN3729">
        <v>0.999999985409737</v>
      </c>
    </row>
    <row r="3730" spans="1:40" x14ac:dyDescent="0.25">
      <c r="A3730" t="str">
        <f>"20190312151613122"</f>
        <v>20190312151613122</v>
      </c>
      <c r="B3730" t="str">
        <f>"1552374973111138"</f>
        <v>1552374973111138</v>
      </c>
      <c r="C3730" t="s">
        <v>40</v>
      </c>
      <c r="D3730">
        <v>4.8544169999999998</v>
      </c>
      <c r="E3730">
        <v>0.51438439999999996</v>
      </c>
      <c r="F3730" t="s">
        <v>41</v>
      </c>
      <c r="G3730">
        <v>-238.3766</v>
      </c>
      <c r="H3730">
        <v>1.032292</v>
      </c>
      <c r="I3730">
        <v>140.35050000000001</v>
      </c>
      <c r="J3730">
        <v>-237.7877</v>
      </c>
      <c r="K3730">
        <v>1.108895</v>
      </c>
      <c r="L3730">
        <v>140.38560000000001</v>
      </c>
      <c r="M3730">
        <v>-0.9989749</v>
      </c>
      <c r="N3730">
        <v>0</v>
      </c>
      <c r="O3730">
        <v>-4.3650370000000001E-2</v>
      </c>
      <c r="P3730">
        <v>-0.99455439999999995</v>
      </c>
      <c r="Q3730">
        <v>5.1004969999999997E-2</v>
      </c>
      <c r="R3730">
        <v>-9.0885830000000001E-2</v>
      </c>
      <c r="S3730">
        <v>-3.0146639999999998</v>
      </c>
      <c r="T3730">
        <v>-0.25492819999999999</v>
      </c>
      <c r="U3730">
        <v>-0.1612854</v>
      </c>
      <c r="V3730">
        <v>-4.7272099999999997E-2</v>
      </c>
      <c r="W3730">
        <v>6.3054029999999997E-2</v>
      </c>
      <c r="X3730">
        <v>0.9968899</v>
      </c>
      <c r="Y3730">
        <v>-9.9017770000000005E-3</v>
      </c>
      <c r="Z3730">
        <v>3.2626959999999998E-3</v>
      </c>
      <c r="AA3730">
        <v>0.99994559999999999</v>
      </c>
      <c r="AB3730">
        <v>33</v>
      </c>
      <c r="AC3730">
        <v>-0.58889999999999498</v>
      </c>
      <c r="AD3730">
        <v>-7.6602999999999893E-2</v>
      </c>
      <c r="AE3730">
        <v>-3.5099999999999902E-2</v>
      </c>
      <c r="AF3730">
        <v>-9.2038089318752601E-3</v>
      </c>
      <c r="AG3730">
        <v>-7.6602999999999893E-2</v>
      </c>
      <c r="AH3730">
        <v>0.58009029282562197</v>
      </c>
      <c r="AI3730">
        <v>97.521651816967605</v>
      </c>
      <c r="AJ3730">
        <v>90.908988084228795</v>
      </c>
      <c r="AK3730">
        <v>0.58519866501759099</v>
      </c>
      <c r="AL3730">
        <v>86.384871867010503</v>
      </c>
      <c r="AM3730">
        <v>92.714908069063497</v>
      </c>
      <c r="AN3730">
        <v>0.999999967429829</v>
      </c>
    </row>
    <row r="3731" spans="1:40" x14ac:dyDescent="0.25">
      <c r="A3731" t="str">
        <f>"20190312151613145"</f>
        <v>20190312151613145</v>
      </c>
      <c r="B3731" t="str">
        <f>"1552374973141394"</f>
        <v>1552374973141394</v>
      </c>
      <c r="C3731" t="s">
        <v>40</v>
      </c>
      <c r="D3731">
        <v>4.6409570000000002</v>
      </c>
      <c r="E3731">
        <v>0.51091089999999995</v>
      </c>
      <c r="F3731" t="s">
        <v>41</v>
      </c>
      <c r="G3731">
        <v>-238.67349999999999</v>
      </c>
      <c r="H3731">
        <v>1.0367470000000001</v>
      </c>
      <c r="I3731">
        <v>140.33860000000001</v>
      </c>
      <c r="J3731">
        <v>-238.11410000000001</v>
      </c>
      <c r="K3731">
        <v>1.108887</v>
      </c>
      <c r="L3731">
        <v>140.37219999999999</v>
      </c>
      <c r="M3731">
        <v>-0.99900960000000005</v>
      </c>
      <c r="N3731">
        <v>0</v>
      </c>
      <c r="O3731">
        <v>-4.2853370000000002E-2</v>
      </c>
      <c r="P3731">
        <v>-0.99457879999999999</v>
      </c>
      <c r="Q3731">
        <v>5.099617E-2</v>
      </c>
      <c r="R3731">
        <v>-9.062365E-2</v>
      </c>
      <c r="S3731">
        <v>-3.0143589999999998</v>
      </c>
      <c r="T3731">
        <v>-0.24553990000000001</v>
      </c>
      <c r="U3731">
        <v>-0.16021729999999901</v>
      </c>
      <c r="V3731">
        <v>-4.7805069999999998E-2</v>
      </c>
      <c r="W3731">
        <v>6.3021190000000005E-2</v>
      </c>
      <c r="X3731">
        <v>0.99686660000000005</v>
      </c>
      <c r="Y3731">
        <v>-1.033892E-2</v>
      </c>
      <c r="Z3731">
        <v>3.0608430000000002E-3</v>
      </c>
      <c r="AA3731">
        <v>0.99994190000000005</v>
      </c>
      <c r="AB3731">
        <v>33</v>
      </c>
      <c r="AC3731">
        <v>-0.55939999999998202</v>
      </c>
      <c r="AD3731">
        <v>-7.2140000000000301E-2</v>
      </c>
      <c r="AE3731">
        <v>-3.3599999999978501E-2</v>
      </c>
      <c r="AF3731">
        <v>-9.4388265584796904E-3</v>
      </c>
      <c r="AG3731">
        <v>-7.2140000000000301E-2</v>
      </c>
      <c r="AH3731">
        <v>0.55119232717912203</v>
      </c>
      <c r="AI3731">
        <v>97.455402842822593</v>
      </c>
      <c r="AJ3731">
        <v>90.981058779893701</v>
      </c>
      <c r="AK3731">
        <v>0.555973248086576</v>
      </c>
      <c r="AL3731">
        <v>86.386757352036298</v>
      </c>
      <c r="AM3731">
        <v>92.745534840709894</v>
      </c>
      <c r="AN3731">
        <v>1.0000000066511401</v>
      </c>
    </row>
    <row r="3732" spans="1:40" x14ac:dyDescent="0.25">
      <c r="A3732" t="str">
        <f>"20190312151613167"</f>
        <v>20190312151613167</v>
      </c>
      <c r="B3732" t="str">
        <f>"1552374973161890"</f>
        <v>1552374973161890</v>
      </c>
      <c r="C3732" t="s">
        <v>40</v>
      </c>
      <c r="D3732">
        <v>4.6026509999999998</v>
      </c>
      <c r="E3732">
        <v>0.51490209999999903</v>
      </c>
      <c r="F3732" t="s">
        <v>54</v>
      </c>
      <c r="G3732">
        <v>-822.72879999999998</v>
      </c>
      <c r="H3732">
        <v>-0.1</v>
      </c>
      <c r="I3732">
        <v>104.13079999999999</v>
      </c>
      <c r="J3732">
        <v>-238.45269999999999</v>
      </c>
      <c r="K3732">
        <v>1.1088819999999999</v>
      </c>
      <c r="L3732">
        <v>140.35849999999999</v>
      </c>
      <c r="M3732">
        <v>-0.99904510000000002</v>
      </c>
      <c r="N3732">
        <v>0</v>
      </c>
      <c r="O3732">
        <v>-4.2026910000000001E-2</v>
      </c>
      <c r="P3732">
        <v>-0.99461509999999997</v>
      </c>
      <c r="Q3732">
        <v>5.0899220000000002E-2</v>
      </c>
      <c r="R3732">
        <v>-9.0278230000000001E-2</v>
      </c>
      <c r="S3732">
        <v>-2.9997250000000002</v>
      </c>
      <c r="T3732">
        <v>-6.202936E-3</v>
      </c>
      <c r="U3732">
        <v>-0.18595890000000001</v>
      </c>
      <c r="V3732">
        <v>-4.8284109999999998E-2</v>
      </c>
      <c r="W3732">
        <v>6.2899830000000004E-2</v>
      </c>
      <c r="X3732">
        <v>0.99685109999999999</v>
      </c>
      <c r="Y3732">
        <v>-1.986918E-2</v>
      </c>
      <c r="Z3732" s="1">
        <v>6.6256690000000005E-5</v>
      </c>
      <c r="AA3732">
        <v>0.99980259999999999</v>
      </c>
      <c r="AB3732">
        <v>33</v>
      </c>
      <c r="AC3732">
        <v>-584.27610000000004</v>
      </c>
      <c r="AD3732">
        <v>-1.208882</v>
      </c>
      <c r="AE3732">
        <v>-36.227699999999999</v>
      </c>
      <c r="AF3732">
        <v>-11.638567487220801</v>
      </c>
      <c r="AG3732">
        <v>-1.208882</v>
      </c>
      <c r="AH3732">
        <v>585.27995715953</v>
      </c>
      <c r="AI3732">
        <v>90.118319526811703</v>
      </c>
      <c r="AJ3732">
        <v>91.139203406113097</v>
      </c>
      <c r="AK3732">
        <v>585.396913129464</v>
      </c>
      <c r="AL3732">
        <v>86.393724312906002</v>
      </c>
      <c r="AM3732">
        <v>92.773047326647003</v>
      </c>
      <c r="AN3732">
        <v>0.99999992973186302</v>
      </c>
    </row>
    <row r="3733" spans="1:40" x14ac:dyDescent="0.25">
      <c r="A3733" t="str">
        <f>"20190312151613190"</f>
        <v>20190312151613190</v>
      </c>
      <c r="B3733" t="str">
        <f>"1552374973181411"</f>
        <v>1552374973181411</v>
      </c>
      <c r="C3733" t="s">
        <v>40</v>
      </c>
      <c r="D3733">
        <v>4.5667519999999904</v>
      </c>
      <c r="E3733">
        <v>0.51401949999999996</v>
      </c>
      <c r="F3733" t="s">
        <v>43</v>
      </c>
      <c r="G3733">
        <v>-254.76349999999999</v>
      </c>
      <c r="H3733" s="1">
        <v>-2.24524E-6</v>
      </c>
      <c r="I3733">
        <v>139.52330000000001</v>
      </c>
      <c r="J3733">
        <v>-238.78870000000001</v>
      </c>
      <c r="K3733">
        <v>1.1088830000000001</v>
      </c>
      <c r="L3733">
        <v>140.34520000000001</v>
      </c>
      <c r="M3733">
        <v>-0.99907959999999996</v>
      </c>
      <c r="N3733">
        <v>0</v>
      </c>
      <c r="O3733">
        <v>-4.1207140000000003E-2</v>
      </c>
      <c r="P3733">
        <v>-0.9945562</v>
      </c>
      <c r="Q3733">
        <v>5.1301590000000001E-2</v>
      </c>
      <c r="R3733">
        <v>-9.0697410000000006E-2</v>
      </c>
      <c r="S3733">
        <v>-3.0127410000000001</v>
      </c>
      <c r="T3733">
        <v>-0.20482149999999999</v>
      </c>
      <c r="U3733">
        <v>-0.1542511</v>
      </c>
      <c r="V3733">
        <v>-4.9523039999999997E-2</v>
      </c>
      <c r="W3733">
        <v>6.3275780000000004E-2</v>
      </c>
      <c r="X3733">
        <v>0.99676659999999995</v>
      </c>
      <c r="Y3733">
        <v>-1.000478E-2</v>
      </c>
      <c r="Z3733">
        <v>2.4558100000000001E-3</v>
      </c>
      <c r="AA3733">
        <v>0.99994700000000003</v>
      </c>
      <c r="AB3733">
        <v>33</v>
      </c>
      <c r="AC3733">
        <v>-15.974799999999901</v>
      </c>
      <c r="AD3733">
        <v>-1.10888524524</v>
      </c>
      <c r="AE3733">
        <v>-0.82189999999999896</v>
      </c>
      <c r="AF3733">
        <v>-0.16210026093459601</v>
      </c>
      <c r="AG3733">
        <v>-1.10888524524</v>
      </c>
      <c r="AH3733">
        <v>15.918600435317501</v>
      </c>
      <c r="AI3733">
        <v>93.984565008542504</v>
      </c>
      <c r="AJ3733">
        <v>90.583426906111896</v>
      </c>
      <c r="AK3733">
        <v>15.9579993357875</v>
      </c>
      <c r="AL3733">
        <v>86.372141243204496</v>
      </c>
      <c r="AM3733">
        <v>92.844326750498993</v>
      </c>
      <c r="AN3733">
        <v>1.0000000053505</v>
      </c>
    </row>
    <row r="3734" spans="1:40" x14ac:dyDescent="0.25">
      <c r="A3734" t="str">
        <f>"20190312151613213"</f>
        <v>20190312151613213</v>
      </c>
      <c r="B3734" t="str">
        <f>"1552374973201907"</f>
        <v>1552374973201907</v>
      </c>
      <c r="C3734" t="s">
        <v>40</v>
      </c>
      <c r="D3734">
        <v>4.6951299999999998</v>
      </c>
      <c r="E3734">
        <v>0.51374819999999999</v>
      </c>
      <c r="F3734" t="s">
        <v>43</v>
      </c>
      <c r="G3734">
        <v>-254.6215</v>
      </c>
      <c r="H3734" s="1">
        <v>-2.3120629999999999E-6</v>
      </c>
      <c r="I3734">
        <v>139.48990000000001</v>
      </c>
      <c r="J3734">
        <v>-239.1215</v>
      </c>
      <c r="K3734">
        <v>1.108884</v>
      </c>
      <c r="L3734">
        <v>140.33240000000001</v>
      </c>
      <c r="M3734">
        <v>-0.99911300000000003</v>
      </c>
      <c r="N3734">
        <v>0</v>
      </c>
      <c r="O3734">
        <v>-4.0394050000000001E-2</v>
      </c>
      <c r="P3734">
        <v>-0.99447209999999997</v>
      </c>
      <c r="Q3734">
        <v>5.1530949999999999E-2</v>
      </c>
      <c r="R3734">
        <v>-9.1487440000000003E-2</v>
      </c>
      <c r="S3734">
        <v>-3.012451</v>
      </c>
      <c r="T3734">
        <v>-0.21098339999999999</v>
      </c>
      <c r="U3734">
        <v>-0.16271969999999999</v>
      </c>
      <c r="V3734">
        <v>-5.1127369999999998E-2</v>
      </c>
      <c r="W3734">
        <v>6.348326E-2</v>
      </c>
      <c r="X3734">
        <v>0.99667240000000001</v>
      </c>
      <c r="Y3734">
        <v>-1.362029E-2</v>
      </c>
      <c r="Z3734">
        <v>2.3463920000000001E-3</v>
      </c>
      <c r="AA3734">
        <v>0.99990449999999997</v>
      </c>
      <c r="AB3734">
        <v>33</v>
      </c>
      <c r="AC3734">
        <v>-15.5</v>
      </c>
      <c r="AD3734">
        <v>-1.1088863120629999</v>
      </c>
      <c r="AE3734">
        <v>-0.84250000000000103</v>
      </c>
      <c r="AF3734">
        <v>-0.21456525341070601</v>
      </c>
      <c r="AG3734">
        <v>-1.1088863120629999</v>
      </c>
      <c r="AH3734">
        <v>15.442577750505899</v>
      </c>
      <c r="AI3734">
        <v>94.106797631210299</v>
      </c>
      <c r="AJ3734">
        <v>90.796038888402407</v>
      </c>
      <c r="AK3734">
        <v>15.4838262287288</v>
      </c>
      <c r="AL3734">
        <v>86.360229556401606</v>
      </c>
      <c r="AM3734">
        <v>92.9365888121539</v>
      </c>
      <c r="AN3734">
        <v>1.00000000259255</v>
      </c>
    </row>
    <row r="3735" spans="1:40" x14ac:dyDescent="0.25">
      <c r="A3735" t="str">
        <f>"20190312151613234"</f>
        <v>20190312151613234</v>
      </c>
      <c r="B3735" t="str">
        <f>"1552374973232162"</f>
        <v>1552374973232162</v>
      </c>
      <c r="C3735" t="s">
        <v>40</v>
      </c>
      <c r="D3735">
        <v>4.6874690000000001</v>
      </c>
      <c r="E3735">
        <v>0.51314369999999998</v>
      </c>
      <c r="F3735" t="s">
        <v>43</v>
      </c>
      <c r="G3735">
        <v>-255.42750000000001</v>
      </c>
      <c r="H3735" s="1">
        <v>-1.9779589999999999E-6</v>
      </c>
      <c r="I3735">
        <v>139.42420000000001</v>
      </c>
      <c r="J3735">
        <v>-239.43379999999999</v>
      </c>
      <c r="K3735">
        <v>1.1088800000000001</v>
      </c>
      <c r="L3735">
        <v>140.32050000000001</v>
      </c>
      <c r="M3735">
        <v>-0.99914380000000003</v>
      </c>
      <c r="N3735">
        <v>0</v>
      </c>
      <c r="O3735">
        <v>-3.9631039999999999E-2</v>
      </c>
      <c r="P3735">
        <v>-0.99427940000000004</v>
      </c>
      <c r="Q3735">
        <v>5.2082980000000001E-2</v>
      </c>
      <c r="R3735">
        <v>-9.3251360000000005E-2</v>
      </c>
      <c r="S3735">
        <v>-3.0118710000000002</v>
      </c>
      <c r="T3735">
        <v>-0.20482230000000001</v>
      </c>
      <c r="U3735">
        <v>-0.1677399</v>
      </c>
      <c r="V3735">
        <v>-5.3658459999999998E-2</v>
      </c>
      <c r="W3735">
        <v>6.4018149999999996E-2</v>
      </c>
      <c r="X3735">
        <v>0.99650510000000003</v>
      </c>
      <c r="Y3735">
        <v>-1.6044780000000002E-2</v>
      </c>
      <c r="Z3735">
        <v>2.1443299999999998E-3</v>
      </c>
      <c r="AA3735">
        <v>0.99986900000000001</v>
      </c>
      <c r="AB3735">
        <v>33</v>
      </c>
      <c r="AC3735">
        <v>-15.9937</v>
      </c>
      <c r="AD3735">
        <v>-1.10888197795899</v>
      </c>
      <c r="AE3735">
        <v>-0.89629999999999599</v>
      </c>
      <c r="AF3735">
        <v>-0.26045599219464699</v>
      </c>
      <c r="AG3735">
        <v>-1.10888197795899</v>
      </c>
      <c r="AH3735">
        <v>15.940272333736599</v>
      </c>
      <c r="AI3735">
        <v>93.978829695779993</v>
      </c>
      <c r="AJ3735">
        <v>90.936100773964199</v>
      </c>
      <c r="AK3735">
        <v>15.9809179535658</v>
      </c>
      <c r="AL3735">
        <v>86.329520081219997</v>
      </c>
      <c r="AM3735">
        <v>93.082209092873995</v>
      </c>
      <c r="AN3735">
        <v>0.99999998409250102</v>
      </c>
    </row>
    <row r="3736" spans="1:40" x14ac:dyDescent="0.25">
      <c r="A3736" t="str">
        <f>"20190312151613257"</f>
        <v>20190312151613257</v>
      </c>
      <c r="B3736" t="str">
        <f>"1552374973251682"</f>
        <v>1552374973251682</v>
      </c>
      <c r="C3736" t="s">
        <v>40</v>
      </c>
      <c r="D3736">
        <v>4.7291540000000003</v>
      </c>
      <c r="E3736">
        <v>0.51268610000000003</v>
      </c>
      <c r="F3736" t="s">
        <v>46</v>
      </c>
      <c r="G3736">
        <v>0</v>
      </c>
      <c r="H3736">
        <v>0</v>
      </c>
      <c r="I3736">
        <v>0</v>
      </c>
      <c r="J3736">
        <v>-239.76849999999999</v>
      </c>
      <c r="K3736">
        <v>1.1088830000000001</v>
      </c>
      <c r="L3736">
        <v>140.3081</v>
      </c>
      <c r="M3736">
        <v>-0.99917619999999896</v>
      </c>
      <c r="N3736">
        <v>0</v>
      </c>
      <c r="O3736">
        <v>-3.8814029999999999E-2</v>
      </c>
      <c r="P3736">
        <v>-0.99415430000000005</v>
      </c>
      <c r="Q3736">
        <v>5.225929E-2</v>
      </c>
      <c r="R3736">
        <v>-9.4480750000000002E-2</v>
      </c>
      <c r="S3736">
        <v>-2.9998629999999999</v>
      </c>
      <c r="T3736">
        <v>1.6553160000000001E-2</v>
      </c>
      <c r="U3736">
        <v>-0.1764984</v>
      </c>
      <c r="V3736">
        <v>-5.5706699999999998E-2</v>
      </c>
      <c r="W3736">
        <v>6.4178020000000002E-2</v>
      </c>
      <c r="X3736">
        <v>0.9963824</v>
      </c>
      <c r="Y3736">
        <v>-1.9940200000000002E-2</v>
      </c>
      <c r="Z3736">
        <v>-1.589351E-4</v>
      </c>
      <c r="AA3736">
        <v>0.99980119999999895</v>
      </c>
      <c r="AB3736">
        <v>33</v>
      </c>
      <c r="AC3736">
        <v>-2.9998629999999999</v>
      </c>
      <c r="AD3736">
        <v>1.6553160000000001E-2</v>
      </c>
      <c r="AE3736">
        <v>-0.1764984</v>
      </c>
      <c r="AF3736">
        <v>-5.9918616366165002E-2</v>
      </c>
      <c r="AG3736">
        <v>1.6553160000000001E-2</v>
      </c>
      <c r="AH3736">
        <v>3.0043620744034598</v>
      </c>
      <c r="AI3736">
        <v>89.684382898902598</v>
      </c>
      <c r="AJ3736">
        <v>91.142548293677905</v>
      </c>
      <c r="AK3736">
        <v>3.0050051117772001</v>
      </c>
      <c r="AL3736">
        <v>86.320341280854805</v>
      </c>
      <c r="AM3736">
        <v>93.200015788966994</v>
      </c>
      <c r="AN3736">
        <v>0.99999997085288395</v>
      </c>
    </row>
    <row r="3737" spans="1:40" x14ac:dyDescent="0.25">
      <c r="A3737" t="str">
        <f>"20190312151613278"</f>
        <v>20190312151613278</v>
      </c>
      <c r="B3737" t="str">
        <f>"1552374973271202"</f>
        <v>1552374973271202</v>
      </c>
      <c r="C3737" t="s">
        <v>40</v>
      </c>
      <c r="D3737">
        <v>4.5415229999999998</v>
      </c>
      <c r="E3737">
        <v>0.51322020000000002</v>
      </c>
      <c r="F3737" t="s">
        <v>43</v>
      </c>
      <c r="G3737">
        <v>-262.42</v>
      </c>
      <c r="H3737" s="1">
        <v>-3.3589710000000002E-6</v>
      </c>
      <c r="I3737">
        <v>138.91229999999999</v>
      </c>
      <c r="J3737">
        <v>-240.07640000000001</v>
      </c>
      <c r="K3737">
        <v>1.108876</v>
      </c>
      <c r="L3737">
        <v>140.29689999999999</v>
      </c>
      <c r="M3737">
        <v>-0.99920520000000002</v>
      </c>
      <c r="N3737">
        <v>0</v>
      </c>
      <c r="O3737">
        <v>-3.8062239999999997E-2</v>
      </c>
      <c r="P3737">
        <v>-0.99402749999999995</v>
      </c>
      <c r="Q3737">
        <v>5.2793819999999998E-2</v>
      </c>
      <c r="R3737">
        <v>-9.5509339999999998E-2</v>
      </c>
      <c r="S3737">
        <v>-3.007736</v>
      </c>
      <c r="T3737">
        <v>-0.1472417</v>
      </c>
      <c r="U3737">
        <v>-0.18533330000000001</v>
      </c>
      <c r="V3737">
        <v>-5.748872E-2</v>
      </c>
      <c r="W3737">
        <v>6.4698610000000004E-2</v>
      </c>
      <c r="X3737">
        <v>0.99624749999999995</v>
      </c>
      <c r="Y3737">
        <v>-2.348215E-2</v>
      </c>
      <c r="Z3737">
        <v>1.285795E-3</v>
      </c>
      <c r="AA3737">
        <v>0.99972340000000004</v>
      </c>
      <c r="AB3737">
        <v>33</v>
      </c>
      <c r="AC3737">
        <v>-22.343599999999999</v>
      </c>
      <c r="AD3737">
        <v>-1.108879358971</v>
      </c>
      <c r="AE3737">
        <v>-1.3846000000000001</v>
      </c>
      <c r="AF3737">
        <v>-0.53178466541584402</v>
      </c>
      <c r="AG3737">
        <v>-1.108879358971</v>
      </c>
      <c r="AH3737">
        <v>22.325334882576001</v>
      </c>
      <c r="AI3737">
        <v>92.842688187706898</v>
      </c>
      <c r="AJ3737">
        <v>91.364515091665893</v>
      </c>
      <c r="AK3737">
        <v>22.359181245794499</v>
      </c>
      <c r="AL3737">
        <v>86.290451554572698</v>
      </c>
      <c r="AM3737">
        <v>93.302605266594597</v>
      </c>
      <c r="AN3737">
        <v>0.99999997215970904</v>
      </c>
    </row>
    <row r="3738" spans="1:40" x14ac:dyDescent="0.25">
      <c r="A3738" t="str">
        <f>"20190312151613301"</f>
        <v>20190312151613301</v>
      </c>
      <c r="B3738" t="str">
        <f>"1552374973291698"</f>
        <v>1552374973291698</v>
      </c>
      <c r="C3738" t="s">
        <v>40</v>
      </c>
      <c r="D3738">
        <v>4.6498720000000002</v>
      </c>
      <c r="E3738">
        <v>0.50863429999999998</v>
      </c>
      <c r="F3738" t="s">
        <v>43</v>
      </c>
      <c r="G3738">
        <v>-260.75490000000002</v>
      </c>
      <c r="H3738" s="1">
        <v>-4.0531409999999999E-6</v>
      </c>
      <c r="I3738">
        <v>139.02590000000001</v>
      </c>
      <c r="J3738">
        <v>-240.4119</v>
      </c>
      <c r="K3738">
        <v>1.108878</v>
      </c>
      <c r="L3738">
        <v>140.285</v>
      </c>
      <c r="M3738">
        <v>-0.99923620000000002</v>
      </c>
      <c r="N3738">
        <v>0</v>
      </c>
      <c r="O3738">
        <v>-3.7244300000000001E-2</v>
      </c>
      <c r="P3738">
        <v>-0.9938302</v>
      </c>
      <c r="Q3738">
        <v>5.3336330000000001E-2</v>
      </c>
      <c r="R3738">
        <v>-9.7246920000000001E-2</v>
      </c>
      <c r="S3738">
        <v>-3.0088200000000001</v>
      </c>
      <c r="T3738">
        <v>-0.16134809999999999</v>
      </c>
      <c r="U3738">
        <v>-0.1849365</v>
      </c>
      <c r="V3738">
        <v>-6.0047440000000001E-2</v>
      </c>
      <c r="W3738">
        <v>6.5228190000000005E-2</v>
      </c>
      <c r="X3738">
        <v>0.996062</v>
      </c>
      <c r="Y3738">
        <v>-2.414844E-2</v>
      </c>
      <c r="Z3738">
        <v>1.3467329999999999E-3</v>
      </c>
      <c r="AA3738">
        <v>0.99970749999999997</v>
      </c>
      <c r="AB3738">
        <v>33</v>
      </c>
      <c r="AC3738">
        <v>-20.343</v>
      </c>
      <c r="AD3738">
        <v>-1.108882053141</v>
      </c>
      <c r="AE3738">
        <v>-1.2590999999999799</v>
      </c>
      <c r="AF3738">
        <v>-0.499035405653451</v>
      </c>
      <c r="AG3738">
        <v>-1.108882053141</v>
      </c>
      <c r="AH3738">
        <v>20.315648708728599</v>
      </c>
      <c r="AI3738">
        <v>93.123315301015893</v>
      </c>
      <c r="AJ3738">
        <v>91.407135661071095</v>
      </c>
      <c r="AK3738">
        <v>20.352008210501999</v>
      </c>
      <c r="AL3738">
        <v>86.260044578120002</v>
      </c>
      <c r="AM3738">
        <v>93.449891770647</v>
      </c>
      <c r="AN3738">
        <v>0.99999995983261403</v>
      </c>
    </row>
    <row r="3739" spans="1:40" x14ac:dyDescent="0.25">
      <c r="A3739" t="str">
        <f>"20190312151613315"</f>
        <v>20190312151613315</v>
      </c>
      <c r="B3739" t="str">
        <f>"1552374973311218"</f>
        <v>1552374973311218</v>
      </c>
      <c r="C3739" t="s">
        <v>40</v>
      </c>
      <c r="D3739">
        <v>4.5014440000000002</v>
      </c>
      <c r="E3739">
        <v>0.49797849999999999</v>
      </c>
      <c r="F3739" t="s">
        <v>43</v>
      </c>
      <c r="G3739">
        <v>-265.90989999999999</v>
      </c>
      <c r="H3739" s="1">
        <v>-1.959643E-6</v>
      </c>
      <c r="I3739">
        <v>138.36070000000001</v>
      </c>
      <c r="J3739">
        <v>-240.6096</v>
      </c>
      <c r="K3739">
        <v>1.1088800000000001</v>
      </c>
      <c r="L3739">
        <v>140.27809999999999</v>
      </c>
      <c r="M3739">
        <v>-0.99925430000000004</v>
      </c>
      <c r="N3739">
        <v>0</v>
      </c>
      <c r="O3739">
        <v>-3.6761830000000002E-2</v>
      </c>
      <c r="P3739">
        <v>-0.99371560000000003</v>
      </c>
      <c r="Q3739">
        <v>5.3641199999999903E-2</v>
      </c>
      <c r="R3739">
        <v>-9.8245700000000005E-2</v>
      </c>
      <c r="S3739">
        <v>-3.0034329999999998</v>
      </c>
      <c r="T3739">
        <v>-0.13061610000000001</v>
      </c>
      <c r="U3739">
        <v>-0.2266541</v>
      </c>
      <c r="V3739">
        <v>-6.1530410000000001E-2</v>
      </c>
      <c r="W3739">
        <v>6.5526539999999994E-2</v>
      </c>
      <c r="X3739">
        <v>0.99595199999999995</v>
      </c>
      <c r="Y3739">
        <v>-3.8538309999999999E-2</v>
      </c>
      <c r="Z3739">
        <v>7.5858960000000004E-4</v>
      </c>
      <c r="AA3739">
        <v>0.99925679999999995</v>
      </c>
      <c r="AB3739">
        <v>33</v>
      </c>
      <c r="AC3739">
        <v>-25.3003</v>
      </c>
      <c r="AD3739">
        <v>-1.108881959643</v>
      </c>
      <c r="AE3739">
        <v>-1.91739999999998</v>
      </c>
      <c r="AF3739">
        <v>-0.98407402065937599</v>
      </c>
      <c r="AG3739">
        <v>-1.108881959643</v>
      </c>
      <c r="AH3739">
        <v>25.3053549781032</v>
      </c>
      <c r="AI3739">
        <v>92.507206190502203</v>
      </c>
      <c r="AJ3739">
        <v>92.226994704636795</v>
      </c>
      <c r="AK3739">
        <v>25.348747729352802</v>
      </c>
      <c r="AL3739">
        <v>86.242914080867706</v>
      </c>
      <c r="AM3739">
        <v>93.535268489730399</v>
      </c>
      <c r="AN3739">
        <v>1.00000005255156</v>
      </c>
    </row>
    <row r="3740" spans="1:40" x14ac:dyDescent="0.25">
      <c r="A3740" t="str">
        <f>"20190312151613334"</f>
        <v>20190312151613334</v>
      </c>
      <c r="B3740" t="str">
        <f>"1552374973331714"</f>
        <v>1552374973331714</v>
      </c>
      <c r="C3740" t="s">
        <v>40</v>
      </c>
      <c r="D3740">
        <v>4.4974879999999997</v>
      </c>
      <c r="E3740">
        <v>0.48975279999999999</v>
      </c>
      <c r="F3740" t="s">
        <v>43</v>
      </c>
      <c r="G3740">
        <v>-259.14859999999999</v>
      </c>
      <c r="H3740" s="1">
        <v>-6.1796119999999896E-7</v>
      </c>
      <c r="I3740">
        <v>138.33019999999999</v>
      </c>
      <c r="J3740">
        <v>-240.90440000000001</v>
      </c>
      <c r="K3740">
        <v>1.1088789999999999</v>
      </c>
      <c r="L3740">
        <v>140.268</v>
      </c>
      <c r="M3740">
        <v>-0.99928050000000002</v>
      </c>
      <c r="N3740">
        <v>0</v>
      </c>
      <c r="O3740">
        <v>-3.6042850000000001E-2</v>
      </c>
      <c r="P3740">
        <v>-0.99343170000000003</v>
      </c>
      <c r="Q3740">
        <v>5.4334239999999999E-2</v>
      </c>
      <c r="R3740">
        <v>-0.1007048</v>
      </c>
      <c r="S3740">
        <v>-2.997528</v>
      </c>
      <c r="T3740">
        <v>-0.17929300000000001</v>
      </c>
      <c r="U3740">
        <v>-0.31494139999999998</v>
      </c>
      <c r="V3740">
        <v>-6.4713770000000004E-2</v>
      </c>
      <c r="W3740">
        <v>6.6211690000000004E-2</v>
      </c>
      <c r="X3740">
        <v>0.99570479999999995</v>
      </c>
      <c r="Y3740">
        <v>-6.8518570000000001E-2</v>
      </c>
      <c r="Z3740">
        <v>1.050825E-4</v>
      </c>
      <c r="AA3740">
        <v>0.99764980000000003</v>
      </c>
      <c r="AB3740">
        <v>33</v>
      </c>
      <c r="AC3740">
        <v>-18.2441999999999</v>
      </c>
      <c r="AD3740">
        <v>-1.1088796179611999</v>
      </c>
      <c r="AE3740">
        <v>-1.93780000000001</v>
      </c>
      <c r="AF3740">
        <v>-1.2742670601503601</v>
      </c>
      <c r="AG3740">
        <v>-1.1088796179611999</v>
      </c>
      <c r="AH3740">
        <v>18.235578626677601</v>
      </c>
      <c r="AI3740">
        <v>93.471345985051201</v>
      </c>
      <c r="AJ3740">
        <v>93.997220935884499</v>
      </c>
      <c r="AK3740">
        <v>18.313647872487198</v>
      </c>
      <c r="AL3740">
        <v>86.203572066035306</v>
      </c>
      <c r="AM3740">
        <v>93.718590460444801</v>
      </c>
      <c r="AN3740">
        <v>0.99999995433165301</v>
      </c>
    </row>
    <row r="3741" spans="1:40" x14ac:dyDescent="0.25">
      <c r="A3741" t="str">
        <f>"20190312151613347"</f>
        <v>20190312151613347</v>
      </c>
      <c r="B3741" t="str">
        <f>"1552374973341474"</f>
        <v>1552374973341474</v>
      </c>
      <c r="C3741" t="s">
        <v>40</v>
      </c>
      <c r="D3741">
        <v>4.4461269999999997</v>
      </c>
      <c r="E3741">
        <v>0.48694929999999997</v>
      </c>
      <c r="F3741" t="s">
        <v>43</v>
      </c>
      <c r="G3741">
        <v>-256.54950000000002</v>
      </c>
      <c r="H3741" s="1">
        <v>-1.7072069999999999E-6</v>
      </c>
      <c r="I3741">
        <v>138.2371</v>
      </c>
      <c r="J3741">
        <v>-241.1026</v>
      </c>
      <c r="K3741">
        <v>1.1088800000000001</v>
      </c>
      <c r="L3741">
        <v>140.26130000000001</v>
      </c>
      <c r="M3741">
        <v>-0.99929800000000002</v>
      </c>
      <c r="N3741">
        <v>0</v>
      </c>
      <c r="O3741">
        <v>-3.5559779999999999E-2</v>
      </c>
      <c r="P3741">
        <v>-0.99332330000000002</v>
      </c>
      <c r="Q3741">
        <v>5.4609749999999999E-2</v>
      </c>
      <c r="R3741">
        <v>-0.1016215</v>
      </c>
      <c r="S3741">
        <v>-2.9920650000000002</v>
      </c>
      <c r="T3741">
        <v>-0.2120708</v>
      </c>
      <c r="U3741">
        <v>-0.38838200000000001</v>
      </c>
      <c r="V3741">
        <v>-6.6115069999999998E-2</v>
      </c>
      <c r="W3741">
        <v>6.6477659999999994E-2</v>
      </c>
      <c r="X3741">
        <v>0.99559500000000001</v>
      </c>
      <c r="Y3741">
        <v>-9.3234109999999995E-2</v>
      </c>
      <c r="Z3741">
        <v>-7.8113559999999996E-4</v>
      </c>
      <c r="AA3741">
        <v>0.99564390000000003</v>
      </c>
      <c r="AB3741">
        <v>33</v>
      </c>
      <c r="AC3741">
        <v>-15.446899999999999</v>
      </c>
      <c r="AD3741">
        <v>-1.1088817072070001</v>
      </c>
      <c r="AE3741">
        <v>-2.0242</v>
      </c>
      <c r="AF3741">
        <v>-1.4661649980036899</v>
      </c>
      <c r="AG3741">
        <v>-1.1088817072070001</v>
      </c>
      <c r="AH3741">
        <v>15.4309361890621</v>
      </c>
      <c r="AI3741">
        <v>94.091897772655102</v>
      </c>
      <c r="AJ3741">
        <v>95.4276443612451</v>
      </c>
      <c r="AK3741">
        <v>15.540046657357699</v>
      </c>
      <c r="AL3741">
        <v>86.188299414000298</v>
      </c>
      <c r="AM3741">
        <v>93.799296573685893</v>
      </c>
      <c r="AN3741">
        <v>0.99999994289258798</v>
      </c>
    </row>
    <row r="3742" spans="1:40" x14ac:dyDescent="0.25">
      <c r="A3742" t="str">
        <f>"20190312151613368"</f>
        <v>20190312151613368</v>
      </c>
      <c r="B3742" t="str">
        <f>"1552374973361971"</f>
        <v>1552374973361971</v>
      </c>
      <c r="C3742" t="s">
        <v>40</v>
      </c>
      <c r="D3742">
        <v>4.4552949999999996</v>
      </c>
      <c r="E3742">
        <v>0.4827573</v>
      </c>
      <c r="F3742" t="s">
        <v>43</v>
      </c>
      <c r="G3742">
        <v>-255.92160000000001</v>
      </c>
      <c r="H3742" s="1">
        <v>-1.9811060000000001E-6</v>
      </c>
      <c r="I3742">
        <v>138.2114</v>
      </c>
      <c r="J3742">
        <v>-241.40309999999999</v>
      </c>
      <c r="K3742">
        <v>1.1088769999999999</v>
      </c>
      <c r="L3742">
        <v>140.25139999999999</v>
      </c>
      <c r="M3742">
        <v>-0.99932379999999998</v>
      </c>
      <c r="N3742">
        <v>0</v>
      </c>
      <c r="O3742">
        <v>-3.4826950000000002E-2</v>
      </c>
      <c r="P3742">
        <v>-0.99305790000000005</v>
      </c>
      <c r="Q3742">
        <v>5.5288839999999999E-2</v>
      </c>
      <c r="R3742">
        <v>-0.1038226</v>
      </c>
      <c r="S3742">
        <v>-2.9901580000000001</v>
      </c>
      <c r="T3742">
        <v>-0.2237488</v>
      </c>
      <c r="U3742">
        <v>-0.41361999999999999</v>
      </c>
      <c r="V3742">
        <v>-6.9053639999999999E-2</v>
      </c>
      <c r="W3742">
        <v>6.7143750000000002E-2</v>
      </c>
      <c r="X3742">
        <v>0.99535079999999998</v>
      </c>
      <c r="Y3742">
        <v>-0.1022537</v>
      </c>
      <c r="Z3742">
        <v>-1.214007E-3</v>
      </c>
      <c r="AA3742">
        <v>0.99475760000000002</v>
      </c>
      <c r="AB3742">
        <v>33</v>
      </c>
      <c r="AC3742">
        <v>-14.5185</v>
      </c>
      <c r="AD3742">
        <v>-1.108878981106</v>
      </c>
      <c r="AE3742">
        <v>-2.0399999999999898</v>
      </c>
      <c r="AF3742">
        <v>-1.52437188261932</v>
      </c>
      <c r="AG3742">
        <v>-1.108878981106</v>
      </c>
      <c r="AH3742">
        <v>14.497808441697799</v>
      </c>
      <c r="AI3742">
        <v>94.349921297262995</v>
      </c>
      <c r="AJ3742">
        <v>96.0023093907174</v>
      </c>
      <c r="AK3742">
        <v>14.6198417174545</v>
      </c>
      <c r="AL3742">
        <v>86.150049837016596</v>
      </c>
      <c r="AM3742">
        <v>93.968603643532006</v>
      </c>
      <c r="AN3742">
        <v>0.999999951710974</v>
      </c>
    </row>
    <row r="3743" spans="1:40" x14ac:dyDescent="0.25">
      <c r="A3743" t="str">
        <f>"20190312151613381"</f>
        <v>20190312151613381</v>
      </c>
      <c r="B3743" t="str">
        <f>"1552374973371730"</f>
        <v>1552374973371730</v>
      </c>
      <c r="C3743" t="s">
        <v>40</v>
      </c>
      <c r="D3743">
        <v>4.5762140000000002</v>
      </c>
      <c r="E3743">
        <v>0.4812496</v>
      </c>
      <c r="F3743" t="s">
        <v>43</v>
      </c>
      <c r="G3743">
        <v>-255.46420000000001</v>
      </c>
      <c r="H3743" s="1">
        <v>-2.1948079999999999E-6</v>
      </c>
      <c r="I3743">
        <v>138.1129</v>
      </c>
      <c r="J3743">
        <v>-241.59229999999999</v>
      </c>
      <c r="K3743">
        <v>1.108881</v>
      </c>
      <c r="L3743">
        <v>140.24520000000001</v>
      </c>
      <c r="M3743">
        <v>-0.99934000000000001</v>
      </c>
      <c r="N3743">
        <v>0</v>
      </c>
      <c r="O3743">
        <v>-3.4365340000000001E-2</v>
      </c>
      <c r="P3743">
        <v>-0.99298779999999998</v>
      </c>
      <c r="Q3743">
        <v>5.5712350000000001E-2</v>
      </c>
      <c r="R3743">
        <v>-0.104267899999999</v>
      </c>
      <c r="S3743">
        <v>-2.986618</v>
      </c>
      <c r="T3743">
        <v>-0.2355305</v>
      </c>
      <c r="U3743">
        <v>-0.45419310000000002</v>
      </c>
      <c r="V3743">
        <v>-6.9960069999999999E-2</v>
      </c>
      <c r="W3743">
        <v>6.7558110000000005E-2</v>
      </c>
      <c r="X3743">
        <v>0.99525949999999996</v>
      </c>
      <c r="Y3743">
        <v>-0.116034</v>
      </c>
      <c r="Z3743">
        <v>-1.853684E-3</v>
      </c>
      <c r="AA3743">
        <v>0.99324349999999995</v>
      </c>
      <c r="AB3743">
        <v>33</v>
      </c>
      <c r="AC3743">
        <v>-13.8719</v>
      </c>
      <c r="AD3743">
        <v>-1.108883194808</v>
      </c>
      <c r="AE3743">
        <v>-2.1323000000000101</v>
      </c>
      <c r="AF3743">
        <v>-1.6440319118386999</v>
      </c>
      <c r="AG3743">
        <v>-1.108883194808</v>
      </c>
      <c r="AH3743">
        <v>13.850525824153699</v>
      </c>
      <c r="AI3743">
        <v>94.545603690690697</v>
      </c>
      <c r="AJ3743">
        <v>96.769230961796595</v>
      </c>
      <c r="AK3743">
        <v>13.9917664528973</v>
      </c>
      <c r="AL3743">
        <v>86.126254878434295</v>
      </c>
      <c r="AM3743">
        <v>94.020895244286294</v>
      </c>
      <c r="AN3743">
        <v>0.99999999098071302</v>
      </c>
    </row>
    <row r="3744" spans="1:40" x14ac:dyDescent="0.25">
      <c r="A3744" t="str">
        <f>"20190312151613402"</f>
        <v>20190312151613402</v>
      </c>
      <c r="B3744" t="str">
        <f>"1552374973391250"</f>
        <v>1552374973391250</v>
      </c>
      <c r="C3744" t="s">
        <v>40</v>
      </c>
      <c r="D3744">
        <v>4.6508570000000002</v>
      </c>
      <c r="E3744">
        <v>0.47905579999999998</v>
      </c>
      <c r="F3744" t="s">
        <v>43</v>
      </c>
      <c r="G3744">
        <v>-256.78280000000001</v>
      </c>
      <c r="H3744" s="1">
        <v>-1.672989E-6</v>
      </c>
      <c r="I3744">
        <v>137.8657</v>
      </c>
      <c r="J3744">
        <v>-241.9</v>
      </c>
      <c r="K3744">
        <v>1.108884</v>
      </c>
      <c r="L3744">
        <v>140.2354</v>
      </c>
      <c r="M3744">
        <v>-0.99936579999999997</v>
      </c>
      <c r="N3744">
        <v>0</v>
      </c>
      <c r="O3744">
        <v>-3.3614739999999997E-2</v>
      </c>
      <c r="P3744">
        <v>-0.99284470000000002</v>
      </c>
      <c r="Q3744">
        <v>5.624933E-2</v>
      </c>
      <c r="R3744">
        <v>-0.10533820000000001</v>
      </c>
      <c r="S3744">
        <v>-2.984299</v>
      </c>
      <c r="T3744">
        <v>-0.21784970000000001</v>
      </c>
      <c r="U3744">
        <v>-0.4674683</v>
      </c>
      <c r="V3744">
        <v>-7.1781689999999995E-2</v>
      </c>
      <c r="W3744">
        <v>6.8079539999999994E-2</v>
      </c>
      <c r="X3744">
        <v>0.99509420000000004</v>
      </c>
      <c r="Y3744">
        <v>-0.12122869999999999</v>
      </c>
      <c r="Z3744">
        <v>-1.9581999999999998E-3</v>
      </c>
      <c r="AA3744">
        <v>0.99262269999999997</v>
      </c>
      <c r="AB3744">
        <v>33</v>
      </c>
      <c r="AC3744">
        <v>-14.8828</v>
      </c>
      <c r="AD3744">
        <v>-1.108885672989</v>
      </c>
      <c r="AE3744">
        <v>-2.3696999999999901</v>
      </c>
      <c r="AF3744">
        <v>-1.8579851968374399</v>
      </c>
      <c r="AG3744">
        <v>-1.108885672989</v>
      </c>
      <c r="AH3744">
        <v>14.873522752223201</v>
      </c>
      <c r="AI3744">
        <v>94.230997645048305</v>
      </c>
      <c r="AJ3744">
        <v>97.120445258289493</v>
      </c>
      <c r="AK3744">
        <v>15.030083682013499</v>
      </c>
      <c r="AL3744">
        <v>86.096310039481395</v>
      </c>
      <c r="AM3744">
        <v>94.125917311690699</v>
      </c>
      <c r="AN3744">
        <v>0.99999995082975202</v>
      </c>
    </row>
    <row r="3745" spans="1:40" x14ac:dyDescent="0.25">
      <c r="A3745" t="str">
        <f>"20190312151613425"</f>
        <v>20190312151613425</v>
      </c>
      <c r="B3745" t="str">
        <f>"1552374973421507"</f>
        <v>1552374973421507</v>
      </c>
      <c r="C3745" t="s">
        <v>40</v>
      </c>
      <c r="D3745">
        <v>4.4514889999999996</v>
      </c>
      <c r="E3745">
        <v>0.47642649999999998</v>
      </c>
      <c r="F3745" t="s">
        <v>43</v>
      </c>
      <c r="G3745">
        <v>-259.25400000000002</v>
      </c>
      <c r="H3745" s="1">
        <v>-8.3124309999999899E-7</v>
      </c>
      <c r="I3745">
        <v>137.3938</v>
      </c>
      <c r="J3745">
        <v>-242.23259999999999</v>
      </c>
      <c r="K3745">
        <v>1.1088830000000001</v>
      </c>
      <c r="L3745">
        <v>140.2251</v>
      </c>
      <c r="M3745">
        <v>-0.99939290000000003</v>
      </c>
      <c r="N3745">
        <v>0</v>
      </c>
      <c r="O3745">
        <v>-3.2803449999999998E-2</v>
      </c>
      <c r="P3745">
        <v>-0.99271949999999998</v>
      </c>
      <c r="Q3745">
        <v>5.7132549999999997E-2</v>
      </c>
      <c r="R3745">
        <v>-0.10603700000000001</v>
      </c>
      <c r="S3745">
        <v>-2.9806520000000001</v>
      </c>
      <c r="T3745">
        <v>-0.19045770000000001</v>
      </c>
      <c r="U3745">
        <v>-0.4880524</v>
      </c>
      <c r="V3745">
        <v>-7.3291369999999995E-2</v>
      </c>
      <c r="W3745">
        <v>6.8942489999999995E-2</v>
      </c>
      <c r="X3745">
        <v>0.99492480000000005</v>
      </c>
      <c r="Y3745">
        <v>-0.1289361</v>
      </c>
      <c r="Z3745">
        <v>-2.009435E-3</v>
      </c>
      <c r="AA3745">
        <v>0.9916509</v>
      </c>
      <c r="AB3745">
        <v>33</v>
      </c>
      <c r="AC3745">
        <v>-17.0214</v>
      </c>
      <c r="AD3745">
        <v>-1.1088838312431</v>
      </c>
      <c r="AE3745">
        <v>-2.8312999999999899</v>
      </c>
      <c r="AF3745">
        <v>-2.2620351932197198</v>
      </c>
      <c r="AG3745">
        <v>-1.1088838312431</v>
      </c>
      <c r="AH3745">
        <v>17.034770868981699</v>
      </c>
      <c r="AI3745">
        <v>93.692113849165594</v>
      </c>
      <c r="AJ3745">
        <v>97.564014492254003</v>
      </c>
      <c r="AK3745">
        <v>17.2200419606128</v>
      </c>
      <c r="AL3745">
        <v>86.046750487439297</v>
      </c>
      <c r="AM3745">
        <v>94.213097220541499</v>
      </c>
      <c r="AN3745">
        <v>1.00000002474945</v>
      </c>
    </row>
    <row r="3746" spans="1:40" x14ac:dyDescent="0.25">
      <c r="A3746" t="str">
        <f>"20190312151613446"</f>
        <v>20190312151613446</v>
      </c>
      <c r="B3746" t="str">
        <f>"1552374973442002"</f>
        <v>1552374973442002</v>
      </c>
      <c r="C3746" t="s">
        <v>40</v>
      </c>
      <c r="D3746">
        <v>4.5704729999999998</v>
      </c>
      <c r="E3746">
        <v>0.47498230000000002</v>
      </c>
      <c r="F3746" t="s">
        <v>43</v>
      </c>
      <c r="G3746">
        <v>-261.5437</v>
      </c>
      <c r="H3746" s="1">
        <v>-4.0902460000000002E-6</v>
      </c>
      <c r="I3746">
        <v>136.90899999999999</v>
      </c>
      <c r="J3746">
        <v>-242.55850000000001</v>
      </c>
      <c r="K3746">
        <v>1.1088819999999999</v>
      </c>
      <c r="L3746">
        <v>140.21520000000001</v>
      </c>
      <c r="M3746">
        <v>-0.99941919999999995</v>
      </c>
      <c r="N3746">
        <v>0</v>
      </c>
      <c r="O3746">
        <v>-3.2008950000000001E-2</v>
      </c>
      <c r="P3746">
        <v>-0.99271299999999996</v>
      </c>
      <c r="Q3746">
        <v>5.8089290000000002E-2</v>
      </c>
      <c r="R3746">
        <v>-0.10557900000000001</v>
      </c>
      <c r="S3746">
        <v>-2.9772340000000002</v>
      </c>
      <c r="T3746">
        <v>-0.17095959999999999</v>
      </c>
      <c r="U3746">
        <v>-0.51124570000000003</v>
      </c>
      <c r="V3746">
        <v>-7.3623880000000003E-2</v>
      </c>
      <c r="W3746">
        <v>6.9874350000000002E-2</v>
      </c>
      <c r="X3746">
        <v>0.99483520000000003</v>
      </c>
      <c r="Y3746">
        <v>-0.13743669999999999</v>
      </c>
      <c r="Z3746">
        <v>-2.092287E-3</v>
      </c>
      <c r="AA3746">
        <v>0.99050830000000001</v>
      </c>
      <c r="AB3746">
        <v>33</v>
      </c>
      <c r="AC3746">
        <v>-18.985199999999899</v>
      </c>
      <c r="AD3746">
        <v>-1.1088860902459901</v>
      </c>
      <c r="AE3746">
        <v>-3.3062000000000098</v>
      </c>
      <c r="AF3746">
        <v>-2.6878680364072398</v>
      </c>
      <c r="AG3746">
        <v>-1.1088860902459901</v>
      </c>
      <c r="AH3746">
        <v>19.018334486395201</v>
      </c>
      <c r="AI3746">
        <v>93.304156946939401</v>
      </c>
      <c r="AJ3746">
        <v>98.044355371728201</v>
      </c>
      <c r="AK3746">
        <v>19.239316764861801</v>
      </c>
      <c r="AL3746">
        <v>85.993229619070405</v>
      </c>
      <c r="AM3746">
        <v>94.232521789266201</v>
      </c>
      <c r="AN3746">
        <v>0.99999998782660804</v>
      </c>
    </row>
    <row r="3747" spans="1:40" x14ac:dyDescent="0.25">
      <c r="A3747" t="str">
        <f>"20190312151613468"</f>
        <v>20190312151613468</v>
      </c>
      <c r="B3747" t="str">
        <f>"1552374973461522"</f>
        <v>1552374973461522</v>
      </c>
      <c r="C3747" t="s">
        <v>40</v>
      </c>
      <c r="D3747">
        <v>4.4967259999999998</v>
      </c>
      <c r="E3747">
        <v>0.4739197</v>
      </c>
      <c r="F3747" t="s">
        <v>43</v>
      </c>
      <c r="G3747">
        <v>-260.98559999999998</v>
      </c>
      <c r="H3747" s="1">
        <v>-4.3158859999999997E-6</v>
      </c>
      <c r="I3747">
        <v>136.98660000000001</v>
      </c>
      <c r="J3747">
        <v>-242.8759</v>
      </c>
      <c r="K3747">
        <v>1.108881</v>
      </c>
      <c r="L3747">
        <v>140.20580000000001</v>
      </c>
      <c r="M3747">
        <v>-0.99944390000000005</v>
      </c>
      <c r="N3747">
        <v>0</v>
      </c>
      <c r="O3747">
        <v>-3.1235389999999998E-2</v>
      </c>
      <c r="P3747">
        <v>-0.99272050000000001</v>
      </c>
      <c r="Q3747">
        <v>5.9077159999999997E-2</v>
      </c>
      <c r="R3747">
        <v>-0.10495599999999999</v>
      </c>
      <c r="S3747">
        <v>-2.9770509999999999</v>
      </c>
      <c r="T3747">
        <v>-0.1791499</v>
      </c>
      <c r="U3747">
        <v>-0.52159120000000003</v>
      </c>
      <c r="V3747">
        <v>-7.3770240000000001E-2</v>
      </c>
      <c r="W3747">
        <v>7.0828039999999995E-2</v>
      </c>
      <c r="X3747">
        <v>0.99475690000000005</v>
      </c>
      <c r="Y3747">
        <v>-0.14152890000000001</v>
      </c>
      <c r="Z3747">
        <v>-2.3600370000000002E-3</v>
      </c>
      <c r="AA3747">
        <v>0.98993129999999996</v>
      </c>
      <c r="AB3747">
        <v>33</v>
      </c>
      <c r="AC3747">
        <v>-18.109699999999901</v>
      </c>
      <c r="AD3747">
        <v>-1.1088853158859999</v>
      </c>
      <c r="AE3747">
        <v>-3.2191999999999998</v>
      </c>
      <c r="AF3747">
        <v>-2.6423234997053302</v>
      </c>
      <c r="AG3747">
        <v>-1.1088853158859999</v>
      </c>
      <c r="AH3747">
        <v>18.1355093221574</v>
      </c>
      <c r="AI3747">
        <v>93.462493617036003</v>
      </c>
      <c r="AJ3747">
        <v>98.289601959528099</v>
      </c>
      <c r="AK3747">
        <v>18.360506487974099</v>
      </c>
      <c r="AL3747">
        <v>85.938451426836394</v>
      </c>
      <c r="AM3747">
        <v>94.241237724413196</v>
      </c>
      <c r="AN3747">
        <v>0.99999997482875402</v>
      </c>
    </row>
    <row r="3748" spans="1:40" x14ac:dyDescent="0.25">
      <c r="A3748" t="str">
        <f>"20190312151613490"</f>
        <v>20190312151613490</v>
      </c>
      <c r="B3748" t="str">
        <f>"1552374973482023"</f>
        <v>1552374973482023</v>
      </c>
      <c r="C3748" t="s">
        <v>40</v>
      </c>
      <c r="D3748">
        <v>4.4910189999999997</v>
      </c>
      <c r="E3748">
        <v>0.4731187</v>
      </c>
      <c r="F3748" t="s">
        <v>43</v>
      </c>
      <c r="G3748">
        <v>-260.32010000000002</v>
      </c>
      <c r="H3748" s="1">
        <v>-4.5795599999999999E-6</v>
      </c>
      <c r="I3748">
        <v>137.10980000000001</v>
      </c>
      <c r="J3748">
        <v>-243.20050000000001</v>
      </c>
      <c r="K3748">
        <v>1.108873</v>
      </c>
      <c r="L3748">
        <v>140.19649999999999</v>
      </c>
      <c r="M3748">
        <v>-0.99946880000000005</v>
      </c>
      <c r="N3748">
        <v>0</v>
      </c>
      <c r="O3748">
        <v>-3.0444260000000001E-2</v>
      </c>
      <c r="P3748">
        <v>-0.9928207</v>
      </c>
      <c r="Q3748">
        <v>6.0303549999999997E-2</v>
      </c>
      <c r="R3748">
        <v>-0.1032975</v>
      </c>
      <c r="S3748">
        <v>-2.9773860000000001</v>
      </c>
      <c r="T3748">
        <v>-0.1892664</v>
      </c>
      <c r="U3748">
        <v>-0.52842709999999904</v>
      </c>
      <c r="V3748">
        <v>-7.2895039999999994E-2</v>
      </c>
      <c r="W3748">
        <v>7.2008050000000004E-2</v>
      </c>
      <c r="X3748">
        <v>0.99473670000000003</v>
      </c>
      <c r="Y3748">
        <v>-0.1444677</v>
      </c>
      <c r="Z3748">
        <v>-2.6346609999999999E-3</v>
      </c>
      <c r="AA3748">
        <v>0.989506</v>
      </c>
      <c r="AB3748">
        <v>33</v>
      </c>
      <c r="AC3748">
        <v>-17.119599999999998</v>
      </c>
      <c r="AD3748">
        <v>-1.1088775795600001</v>
      </c>
      <c r="AE3748">
        <v>-3.0866999999999698</v>
      </c>
      <c r="AF3748">
        <v>-2.5536637331582601</v>
      </c>
      <c r="AG3748">
        <v>-1.1088775795600001</v>
      </c>
      <c r="AH3748">
        <v>17.136012134865499</v>
      </c>
      <c r="AI3748">
        <v>93.662139470631004</v>
      </c>
      <c r="AJ3748">
        <v>98.476024010699206</v>
      </c>
      <c r="AK3748">
        <v>17.3606946818023</v>
      </c>
      <c r="AL3748">
        <v>85.870668740801804</v>
      </c>
      <c r="AM3748">
        <v>94.191185434591901</v>
      </c>
      <c r="AN3748">
        <v>0.99999997422414599</v>
      </c>
    </row>
    <row r="3749" spans="1:40" x14ac:dyDescent="0.25">
      <c r="A3749" t="str">
        <f>"20190312151613512"</f>
        <v>20190312151613512</v>
      </c>
      <c r="B3749" t="str">
        <f>"1552374973501538"</f>
        <v>1552374973501538</v>
      </c>
      <c r="C3749" t="s">
        <v>40</v>
      </c>
      <c r="D3749">
        <v>4.5215719999999999</v>
      </c>
      <c r="E3749">
        <v>0.47218919999999998</v>
      </c>
      <c r="F3749" t="s">
        <v>43</v>
      </c>
      <c r="G3749">
        <v>-260.31079999999997</v>
      </c>
      <c r="H3749" s="1">
        <v>-4.5762549999999999E-6</v>
      </c>
      <c r="I3749">
        <v>137.15100000000001</v>
      </c>
      <c r="J3749">
        <v>-243.51990000000001</v>
      </c>
      <c r="K3749">
        <v>1.108867</v>
      </c>
      <c r="L3749">
        <v>140.1876</v>
      </c>
      <c r="M3749">
        <v>-0.99949290000000002</v>
      </c>
      <c r="N3749">
        <v>0</v>
      </c>
      <c r="O3749">
        <v>-2.9666209999999998E-2</v>
      </c>
      <c r="P3749">
        <v>-0.99290719999999999</v>
      </c>
      <c r="Q3749">
        <v>6.1284770000000002E-2</v>
      </c>
      <c r="R3749">
        <v>-0.1018799</v>
      </c>
      <c r="S3749">
        <v>-2.978256</v>
      </c>
      <c r="T3749">
        <v>-0.1930151</v>
      </c>
      <c r="U3749">
        <v>-0.53010559999999995</v>
      </c>
      <c r="V3749">
        <v>-7.2249309999999997E-2</v>
      </c>
      <c r="W3749">
        <v>7.2938290000000003E-2</v>
      </c>
      <c r="X3749">
        <v>0.99471600000000004</v>
      </c>
      <c r="Y3749">
        <v>-0.14571579999999901</v>
      </c>
      <c r="Z3749">
        <v>-2.77583E-3</v>
      </c>
      <c r="AA3749">
        <v>0.98932260000000005</v>
      </c>
      <c r="AB3749">
        <v>33</v>
      </c>
      <c r="AC3749">
        <v>-16.790899999999901</v>
      </c>
      <c r="AD3749">
        <v>-1.1088715762549901</v>
      </c>
      <c r="AE3749">
        <v>-3.0365999999999902</v>
      </c>
      <c r="AF3749">
        <v>-2.5264380275071998</v>
      </c>
      <c r="AG3749">
        <v>-1.1088715762549901</v>
      </c>
      <c r="AH3749">
        <v>16.802638840802199</v>
      </c>
      <c r="AI3749">
        <v>93.733845906471402</v>
      </c>
      <c r="AJ3749">
        <v>98.550914637546697</v>
      </c>
      <c r="AK3749">
        <v>17.027658596938501</v>
      </c>
      <c r="AL3749">
        <v>85.817229236945494</v>
      </c>
      <c r="AM3749">
        <v>94.154275135530597</v>
      </c>
      <c r="AN3749">
        <v>0.99999993879979798</v>
      </c>
    </row>
    <row r="3750" spans="1:40" x14ac:dyDescent="0.25">
      <c r="A3750" t="str">
        <f>"20190312151613525"</f>
        <v>20190312151613525</v>
      </c>
      <c r="B3750" t="str">
        <f>"1552374973521058"</f>
        <v>1552374973521058</v>
      </c>
      <c r="C3750" t="s">
        <v>40</v>
      </c>
      <c r="D3750">
        <v>4.69597</v>
      </c>
      <c r="E3750">
        <v>0.47323880000000002</v>
      </c>
      <c r="F3750" t="s">
        <v>43</v>
      </c>
      <c r="G3750">
        <v>-260.47910000000002</v>
      </c>
      <c r="H3750" s="1">
        <v>-4.5039920000000002E-6</v>
      </c>
      <c r="I3750">
        <v>137.15119999999999</v>
      </c>
      <c r="J3750">
        <v>-243.71430000000001</v>
      </c>
      <c r="K3750">
        <v>1.1088639999999901</v>
      </c>
      <c r="L3750">
        <v>140.1823</v>
      </c>
      <c r="M3750">
        <v>-0.99950720000000004</v>
      </c>
      <c r="N3750">
        <v>0</v>
      </c>
      <c r="O3750">
        <v>-2.919221E-2</v>
      </c>
      <c r="P3750">
        <v>-0.99294780000000005</v>
      </c>
      <c r="Q3750">
        <v>6.1426300000000003E-2</v>
      </c>
      <c r="R3750">
        <v>-0.1014</v>
      </c>
      <c r="S3750">
        <v>-2.978745</v>
      </c>
      <c r="T3750">
        <v>-0.19476450000000001</v>
      </c>
      <c r="U3750">
        <v>-0.5333099</v>
      </c>
      <c r="V3750">
        <v>-7.2240199999999893E-2</v>
      </c>
      <c r="W3750">
        <v>7.3046719999999996E-2</v>
      </c>
      <c r="X3750">
        <v>0.99470879999999995</v>
      </c>
      <c r="Y3750">
        <v>-0.14718010000000001</v>
      </c>
      <c r="Z3750">
        <v>-2.8783419999999999E-3</v>
      </c>
      <c r="AA3750">
        <v>0.98910549999999997</v>
      </c>
      <c r="AB3750">
        <v>33</v>
      </c>
      <c r="AC3750">
        <v>-16.764800000000001</v>
      </c>
      <c r="AD3750">
        <v>-1.1088685039920001</v>
      </c>
      <c r="AE3750">
        <v>-3.0310999999999999</v>
      </c>
      <c r="AF3750">
        <v>-2.5296573103190898</v>
      </c>
      <c r="AG3750">
        <v>-1.1088685039920001</v>
      </c>
      <c r="AH3750">
        <v>16.775079153342698</v>
      </c>
      <c r="AI3750">
        <v>93.739711478665299</v>
      </c>
      <c r="AJ3750">
        <v>98.5755060935236</v>
      </c>
      <c r="AK3750">
        <v>17.000942211174898</v>
      </c>
      <c r="AL3750">
        <v>85.811000435294901</v>
      </c>
      <c r="AM3750">
        <v>94.153783112552503</v>
      </c>
      <c r="AN3750">
        <v>1.00000003329811</v>
      </c>
    </row>
    <row r="3751" spans="1:40" x14ac:dyDescent="0.25">
      <c r="A3751" t="str">
        <f>"20190312151613539"</f>
        <v>20190312151613539</v>
      </c>
      <c r="B3751" t="str">
        <f>"1552374973531795"</f>
        <v>1552374973531795</v>
      </c>
      <c r="C3751" t="s">
        <v>40</v>
      </c>
      <c r="D3751">
        <v>4.791404</v>
      </c>
      <c r="E3751">
        <v>0.47323880000000002</v>
      </c>
      <c r="F3751" t="s">
        <v>43</v>
      </c>
      <c r="G3751">
        <v>-261.548</v>
      </c>
      <c r="H3751" s="1">
        <v>-4.0632880000000002E-6</v>
      </c>
      <c r="I3751">
        <v>137.0505</v>
      </c>
      <c r="J3751">
        <v>-243.9109</v>
      </c>
      <c r="K3751">
        <v>1.1088579999999999</v>
      </c>
      <c r="L3751">
        <v>140.17699999999999</v>
      </c>
      <c r="M3751">
        <v>-0.99952160000000001</v>
      </c>
      <c r="N3751">
        <v>0</v>
      </c>
      <c r="O3751">
        <v>-2.8713309999999999E-2</v>
      </c>
      <c r="P3751">
        <v>-0.99305080000000001</v>
      </c>
      <c r="Q3751">
        <v>6.1766649999999999E-2</v>
      </c>
      <c r="R3751">
        <v>-0.10017769999999999</v>
      </c>
      <c r="S3751">
        <v>-2.9793400000000001</v>
      </c>
      <c r="T3751">
        <v>-0.18525040000000001</v>
      </c>
      <c r="U3751">
        <v>-0.52319340000000003</v>
      </c>
      <c r="V3751">
        <v>-7.1491550000000001E-2</v>
      </c>
      <c r="W3751">
        <v>7.3349189999999995E-2</v>
      </c>
      <c r="X3751">
        <v>0.99474059999999997</v>
      </c>
      <c r="Y3751">
        <v>-0.144390299999999</v>
      </c>
      <c r="Z3751">
        <v>-2.681742E-3</v>
      </c>
      <c r="AA3751">
        <v>0.98951719999999999</v>
      </c>
      <c r="AB3751">
        <v>33</v>
      </c>
      <c r="AC3751">
        <v>-17.6371</v>
      </c>
      <c r="AD3751">
        <v>-1.108862063288</v>
      </c>
      <c r="AE3751">
        <v>-3.12650000000002</v>
      </c>
      <c r="AF3751">
        <v>-2.6087601175425301</v>
      </c>
      <c r="AG3751">
        <v>-1.108862063288</v>
      </c>
      <c r="AH3751">
        <v>17.651956936793798</v>
      </c>
      <c r="AI3751">
        <v>93.555964484197403</v>
      </c>
      <c r="AJ3751">
        <v>98.406816525919695</v>
      </c>
      <c r="AK3751">
        <v>17.878109187626698</v>
      </c>
      <c r="AL3751">
        <v>85.793623440505101</v>
      </c>
      <c r="AM3751">
        <v>94.110753414449704</v>
      </c>
      <c r="AN3751">
        <v>1.0000000033417</v>
      </c>
    </row>
    <row r="3752" spans="1:40" x14ac:dyDescent="0.25">
      <c r="A3752" t="str">
        <f>"20190312151613558"</f>
        <v>20190312151613558</v>
      </c>
      <c r="B3752" t="str">
        <f>"1552374973551314"</f>
        <v>1552374973551314</v>
      </c>
      <c r="C3752" t="s">
        <v>40</v>
      </c>
      <c r="D3752">
        <v>4.6993910000000003</v>
      </c>
      <c r="E3752">
        <v>0.51997859999999996</v>
      </c>
      <c r="F3752" t="s">
        <v>43</v>
      </c>
      <c r="G3752">
        <v>-261.85320000000002</v>
      </c>
      <c r="H3752" s="1">
        <v>-3.9327200000000002E-6</v>
      </c>
      <c r="I3752">
        <v>137.04849999999999</v>
      </c>
      <c r="J3752">
        <v>-244.18790000000001</v>
      </c>
      <c r="K3752">
        <v>1.1088469999999999</v>
      </c>
      <c r="L3752">
        <v>140.16970000000001</v>
      </c>
      <c r="M3752">
        <v>-0.99954120000000002</v>
      </c>
      <c r="N3752">
        <v>0</v>
      </c>
      <c r="O3752">
        <v>-2.803785E-2</v>
      </c>
      <c r="P3752">
        <v>-0.99324239999999997</v>
      </c>
      <c r="Q3752">
        <v>6.2131449999999998E-2</v>
      </c>
      <c r="R3752">
        <v>-9.8026959999999996E-2</v>
      </c>
      <c r="S3752">
        <v>-2.980057</v>
      </c>
      <c r="T3752">
        <v>-0.18417259999999999</v>
      </c>
      <c r="U3752">
        <v>-0.5196075</v>
      </c>
      <c r="V3752">
        <v>-7.0008559999999997E-2</v>
      </c>
      <c r="W3752">
        <v>7.3653999999999997E-2</v>
      </c>
      <c r="X3752">
        <v>0.99482360000000003</v>
      </c>
      <c r="Y3752">
        <v>-0.1438654</v>
      </c>
      <c r="Z3752">
        <v>-2.6910530000000001E-3</v>
      </c>
      <c r="AA3752">
        <v>0.98959359999999996</v>
      </c>
      <c r="AB3752">
        <v>33</v>
      </c>
      <c r="AC3752">
        <v>-17.665299999999998</v>
      </c>
      <c r="AD3752">
        <v>-1.10885093272</v>
      </c>
      <c r="AE3752">
        <v>-3.1212000000000102</v>
      </c>
      <c r="AF3752">
        <v>-2.6146531756856999</v>
      </c>
      <c r="AG3752">
        <v>-1.10885093272</v>
      </c>
      <c r="AH3752">
        <v>17.678326381425201</v>
      </c>
      <c r="AI3752">
        <v>93.550580494656401</v>
      </c>
      <c r="AJ3752">
        <v>98.413147067640594</v>
      </c>
      <c r="AK3752">
        <v>17.905004475517799</v>
      </c>
      <c r="AL3752">
        <v>85.776111955215995</v>
      </c>
      <c r="AM3752">
        <v>94.025430265509101</v>
      </c>
      <c r="AN3752">
        <v>1.0000000526531101</v>
      </c>
    </row>
    <row r="3753" spans="1:40" x14ac:dyDescent="0.25">
      <c r="A3753" t="str">
        <f>"20190312151613581"</f>
        <v>20190312151613581</v>
      </c>
      <c r="B3753" t="str">
        <f>"1552374973571811"</f>
        <v>1552374973571811</v>
      </c>
      <c r="C3753" t="s">
        <v>40</v>
      </c>
      <c r="D3753">
        <v>4.6555400000000002</v>
      </c>
      <c r="E3753">
        <v>0.5237271</v>
      </c>
      <c r="F3753" t="s">
        <v>46</v>
      </c>
      <c r="G3753">
        <v>0</v>
      </c>
      <c r="H3753">
        <v>0</v>
      </c>
      <c r="I3753">
        <v>0</v>
      </c>
      <c r="J3753">
        <v>-244.53309999999999</v>
      </c>
      <c r="K3753">
        <v>1.108838</v>
      </c>
      <c r="L3753">
        <v>140.1609</v>
      </c>
      <c r="M3753">
        <v>-0.9995655</v>
      </c>
      <c r="N3753">
        <v>0</v>
      </c>
      <c r="O3753">
        <v>-2.7197200000000001E-2</v>
      </c>
      <c r="P3753">
        <v>-0.99333879999999997</v>
      </c>
      <c r="Q3753">
        <v>6.3439640000000005E-2</v>
      </c>
      <c r="R3753">
        <v>-9.6197989999999997E-2</v>
      </c>
      <c r="S3753">
        <v>-3.0059809999999998</v>
      </c>
      <c r="T3753">
        <v>1.160038E-2</v>
      </c>
      <c r="U3753">
        <v>-0.13885500000000001</v>
      </c>
      <c r="V3753">
        <v>-6.9012660000000003E-2</v>
      </c>
      <c r="W3753">
        <v>7.4881320000000001E-2</v>
      </c>
      <c r="X3753">
        <v>0.99480150000000001</v>
      </c>
      <c r="Y3753">
        <v>-1.89567E-2</v>
      </c>
      <c r="Z3753" s="1">
        <v>-6.8322679999999994E-5</v>
      </c>
      <c r="AA3753">
        <v>0.9998203</v>
      </c>
      <c r="AB3753">
        <v>33</v>
      </c>
      <c r="AC3753">
        <v>-3.0059809999999998</v>
      </c>
      <c r="AD3753">
        <v>1.160038E-2</v>
      </c>
      <c r="AE3753">
        <v>-0.13885500000000001</v>
      </c>
      <c r="AF3753">
        <v>-5.70432363186281E-2</v>
      </c>
      <c r="AG3753">
        <v>1.160038E-2</v>
      </c>
      <c r="AH3753">
        <v>3.0086009075554201</v>
      </c>
      <c r="AI3753">
        <v>89.779123217228502</v>
      </c>
      <c r="AJ3753">
        <v>91.086200941173203</v>
      </c>
      <c r="AK3753">
        <v>3.0091639903084602</v>
      </c>
      <c r="AL3753">
        <v>85.705596698609696</v>
      </c>
      <c r="AM3753">
        <v>93.968439041807898</v>
      </c>
      <c r="AN3753">
        <v>0.99999999186373401</v>
      </c>
    </row>
    <row r="3754" spans="1:40" x14ac:dyDescent="0.25">
      <c r="A3754" t="str">
        <f>"20190312151613603"</f>
        <v>20190312151613603</v>
      </c>
      <c r="B3754" t="str">
        <f>"1552374973591330"</f>
        <v>1552374973591330</v>
      </c>
      <c r="C3754" t="s">
        <v>40</v>
      </c>
      <c r="D3754">
        <v>4.7144570000000003</v>
      </c>
      <c r="E3754">
        <v>0.52501699999999996</v>
      </c>
      <c r="F3754" t="s">
        <v>46</v>
      </c>
      <c r="G3754">
        <v>0</v>
      </c>
      <c r="H3754">
        <v>0</v>
      </c>
      <c r="I3754">
        <v>0</v>
      </c>
      <c r="J3754">
        <v>-244.86580000000001</v>
      </c>
      <c r="K3754">
        <v>1.108832</v>
      </c>
      <c r="L3754">
        <v>140.15270000000001</v>
      </c>
      <c r="M3754">
        <v>-0.99958809999999998</v>
      </c>
      <c r="N3754">
        <v>0</v>
      </c>
      <c r="O3754">
        <v>-2.638656E-2</v>
      </c>
      <c r="P3754">
        <v>-0.9934345</v>
      </c>
      <c r="Q3754">
        <v>6.5049659999999995E-2</v>
      </c>
      <c r="R3754">
        <v>-9.4109880000000007E-2</v>
      </c>
      <c r="S3754">
        <v>-3.0085449999999998</v>
      </c>
      <c r="T3754">
        <v>2.453876E-2</v>
      </c>
      <c r="U3754">
        <v>-0.103363</v>
      </c>
      <c r="V3754">
        <v>-6.7727300000000004E-2</v>
      </c>
      <c r="W3754">
        <v>7.6406639999999998E-2</v>
      </c>
      <c r="X3754">
        <v>0.99477389999999999</v>
      </c>
      <c r="Y3754">
        <v>-7.9521990000000001E-3</v>
      </c>
      <c r="Z3754">
        <v>-1.8270140000000001E-4</v>
      </c>
      <c r="AA3754">
        <v>0.99996830000000003</v>
      </c>
      <c r="AB3754">
        <v>33</v>
      </c>
      <c r="AC3754">
        <v>-3.0085449999999998</v>
      </c>
      <c r="AD3754">
        <v>2.453876E-2</v>
      </c>
      <c r="AE3754">
        <v>-0.103363</v>
      </c>
      <c r="AF3754">
        <v>-2.3935205766589002E-2</v>
      </c>
      <c r="AG3754">
        <v>2.453876E-2</v>
      </c>
      <c r="AH3754">
        <v>3.01002489213265</v>
      </c>
      <c r="AI3754">
        <v>89.5329301779269</v>
      </c>
      <c r="AJ3754">
        <v>90.455596686891795</v>
      </c>
      <c r="AK3754">
        <v>3.01022007435928</v>
      </c>
      <c r="AL3754">
        <v>85.617951374739505</v>
      </c>
      <c r="AM3754">
        <v>93.894864262926106</v>
      </c>
      <c r="AN3754">
        <v>1.00000003696129</v>
      </c>
    </row>
    <row r="3755" spans="1:40" x14ac:dyDescent="0.25">
      <c r="A3755" t="str">
        <f>"20190312151613627"</f>
        <v>20190312151613627</v>
      </c>
      <c r="B3755" t="str">
        <f>"1552374973621450"</f>
        <v>1552374973621450</v>
      </c>
      <c r="C3755" t="s">
        <v>40</v>
      </c>
      <c r="D3755">
        <v>4.7183029999999997</v>
      </c>
      <c r="E3755">
        <v>0.52562810000000004</v>
      </c>
      <c r="F3755" t="s">
        <v>46</v>
      </c>
      <c r="G3755">
        <v>0</v>
      </c>
      <c r="H3755">
        <v>0</v>
      </c>
      <c r="I3755">
        <v>0</v>
      </c>
      <c r="J3755">
        <v>-245.20660000000001</v>
      </c>
      <c r="K3755">
        <v>1.1088150000000001</v>
      </c>
      <c r="L3755">
        <v>140.14449999999999</v>
      </c>
      <c r="M3755">
        <v>-0.99961069999999996</v>
      </c>
      <c r="N3755">
        <v>0</v>
      </c>
      <c r="O3755">
        <v>-2.5556100000000002E-2</v>
      </c>
      <c r="P3755">
        <v>-0.99347070000000004</v>
      </c>
      <c r="Q3755">
        <v>6.6602439999999999E-2</v>
      </c>
      <c r="R3755">
        <v>-9.2629569999999994E-2</v>
      </c>
      <c r="S3755">
        <v>-3.009125</v>
      </c>
      <c r="T3755">
        <v>3.8154130000000001E-2</v>
      </c>
      <c r="U3755">
        <v>-8.6639399999999894E-2</v>
      </c>
      <c r="V3755">
        <v>-6.7071270000000002E-2</v>
      </c>
      <c r="W3755">
        <v>7.7865680000000007E-2</v>
      </c>
      <c r="X3755">
        <v>0.99470519999999996</v>
      </c>
      <c r="Y3755">
        <v>-3.2255809999999999E-3</v>
      </c>
      <c r="Z3755">
        <v>-3.0347760000000001E-4</v>
      </c>
      <c r="AA3755">
        <v>0.99999479999999996</v>
      </c>
      <c r="AB3755">
        <v>33</v>
      </c>
      <c r="AC3755">
        <v>-3.009125</v>
      </c>
      <c r="AD3755">
        <v>3.8154130000000001E-2</v>
      </c>
      <c r="AE3755">
        <v>-8.6639399999999894E-2</v>
      </c>
      <c r="AF3755">
        <v>-9.7032213722644603E-3</v>
      </c>
      <c r="AG3755">
        <v>3.8154130000000001E-2</v>
      </c>
      <c r="AH3755">
        <v>3.0098728751994601</v>
      </c>
      <c r="AI3755">
        <v>89.273742689017396</v>
      </c>
      <c r="AJ3755">
        <v>90.184709364611294</v>
      </c>
      <c r="AK3755">
        <v>3.0101303318963599</v>
      </c>
      <c r="AL3755">
        <v>85.534104676770099</v>
      </c>
      <c r="AM3755">
        <v>93.857517305322304</v>
      </c>
      <c r="AN3755">
        <v>1.00000002714415</v>
      </c>
    </row>
    <row r="3756" spans="1:40" x14ac:dyDescent="0.25">
      <c r="A3756" t="str">
        <f>"20190312151613647"</f>
        <v>20190312151613647</v>
      </c>
      <c r="B3756" t="str">
        <f>"1552374973641945"</f>
        <v>1552374973641945</v>
      </c>
      <c r="C3756" t="s">
        <v>40</v>
      </c>
      <c r="D3756">
        <v>4.5920170000000002</v>
      </c>
      <c r="E3756">
        <v>0.5248292</v>
      </c>
      <c r="F3756" t="s">
        <v>46</v>
      </c>
      <c r="G3756">
        <v>0</v>
      </c>
      <c r="H3756">
        <v>0</v>
      </c>
      <c r="I3756">
        <v>0</v>
      </c>
      <c r="J3756">
        <v>-245.52080000000001</v>
      </c>
      <c r="K3756">
        <v>1.1088100000000001</v>
      </c>
      <c r="L3756">
        <v>140.13720000000001</v>
      </c>
      <c r="M3756">
        <v>-0.99963109999999999</v>
      </c>
      <c r="N3756">
        <v>0</v>
      </c>
      <c r="O3756">
        <v>-2.479048E-2</v>
      </c>
      <c r="P3756">
        <v>-0.99353570000000002</v>
      </c>
      <c r="Q3756">
        <v>6.7995219999999995E-2</v>
      </c>
      <c r="R3756">
        <v>-9.0907119999999994E-2</v>
      </c>
      <c r="S3756">
        <v>-3.009674</v>
      </c>
      <c r="T3756">
        <v>4.200566E-2</v>
      </c>
      <c r="U3756">
        <v>-7.7468869999999995E-2</v>
      </c>
      <c r="V3756">
        <v>-6.6107760000000002E-2</v>
      </c>
      <c r="W3756">
        <v>7.9164860000000004E-2</v>
      </c>
      <c r="X3756">
        <v>0.99466710000000003</v>
      </c>
      <c r="Y3756">
        <v>-9.4204559999999996E-4</v>
      </c>
      <c r="Z3756">
        <v>-3.3931819999999998E-4</v>
      </c>
      <c r="AA3756">
        <v>0.99999950000000004</v>
      </c>
      <c r="AB3756">
        <v>33</v>
      </c>
      <c r="AC3756">
        <v>-3.009674</v>
      </c>
      <c r="AD3756">
        <v>4.200566E-2</v>
      </c>
      <c r="AE3756">
        <v>-7.7468869999999995E-2</v>
      </c>
      <c r="AF3756">
        <v>-2.8286521264079098E-3</v>
      </c>
      <c r="AG3756">
        <v>4.200566E-2</v>
      </c>
      <c r="AH3756">
        <v>3.0100835686170599</v>
      </c>
      <c r="AI3756">
        <v>89.200490716153595</v>
      </c>
      <c r="AJ3756">
        <v>90.053842286153298</v>
      </c>
      <c r="AK3756">
        <v>3.0103779773980701</v>
      </c>
      <c r="AL3756">
        <v>85.459436400321295</v>
      </c>
      <c r="AM3756">
        <v>93.802411221621</v>
      </c>
      <c r="AN3756">
        <v>0.99999997540672303</v>
      </c>
    </row>
    <row r="3757" spans="1:40" x14ac:dyDescent="0.25">
      <c r="A3757" t="str">
        <f>"20190312151613669"</f>
        <v>20190312151613669</v>
      </c>
      <c r="B3757" t="str">
        <f>"1552374973661470"</f>
        <v>1552374973661470</v>
      </c>
      <c r="C3757" t="s">
        <v>40</v>
      </c>
      <c r="D3757">
        <v>5.0004860000000004</v>
      </c>
      <c r="E3757">
        <v>0.52753399999999995</v>
      </c>
      <c r="F3757" t="s">
        <v>43</v>
      </c>
      <c r="G3757">
        <v>-262.07799999999997</v>
      </c>
      <c r="H3757" s="1">
        <v>-3.3979839999999999E-6</v>
      </c>
      <c r="I3757">
        <v>139.6808</v>
      </c>
      <c r="J3757">
        <v>-245.84049999999999</v>
      </c>
      <c r="K3757">
        <v>1.108803</v>
      </c>
      <c r="L3757">
        <v>140.1301</v>
      </c>
      <c r="M3757">
        <v>-0.99965119999999996</v>
      </c>
      <c r="N3757">
        <v>0</v>
      </c>
      <c r="O3757">
        <v>-2.4010989999999999E-2</v>
      </c>
      <c r="P3757">
        <v>-0.9934655</v>
      </c>
      <c r="Q3757">
        <v>7.0555010000000001E-2</v>
      </c>
      <c r="R3757">
        <v>-8.9713009999999996E-2</v>
      </c>
      <c r="S3757">
        <v>-3.0257420000000002</v>
      </c>
      <c r="T3757">
        <v>-0.2026297</v>
      </c>
      <c r="U3757">
        <v>-8.3404539999999999E-2</v>
      </c>
      <c r="V3757">
        <v>-6.5687280000000001E-2</v>
      </c>
      <c r="W3757">
        <v>8.1619750000000005E-2</v>
      </c>
      <c r="X3757">
        <v>0.99449659999999995</v>
      </c>
      <c r="Y3757">
        <v>-3.5889530000000002E-3</v>
      </c>
      <c r="Z3757">
        <v>1.4857119999999999E-3</v>
      </c>
      <c r="AA3757">
        <v>0.9999924</v>
      </c>
      <c r="AB3757">
        <v>33</v>
      </c>
      <c r="AC3757">
        <v>-16.237499999999901</v>
      </c>
      <c r="AD3757">
        <v>-1.1088063979839999</v>
      </c>
      <c r="AE3757">
        <v>-0.44929999999999298</v>
      </c>
      <c r="AF3757">
        <v>-5.89935371437613E-2</v>
      </c>
      <c r="AG3757">
        <v>-1.1088063979839999</v>
      </c>
      <c r="AH3757">
        <v>16.168270564256499</v>
      </c>
      <c r="AI3757">
        <v>93.923127706024005</v>
      </c>
      <c r="AJ3757">
        <v>90.209055488260205</v>
      </c>
      <c r="AK3757">
        <v>16.206353843620601</v>
      </c>
      <c r="AL3757">
        <v>85.318325114516497</v>
      </c>
      <c r="AM3757">
        <v>93.778942057754904</v>
      </c>
      <c r="AN3757">
        <v>1.0000000448777</v>
      </c>
    </row>
    <row r="3758" spans="1:40" x14ac:dyDescent="0.25">
      <c r="A3758" t="str">
        <f>"20190312151613692"</f>
        <v>20190312151613692</v>
      </c>
      <c r="B3758" t="str">
        <f>"1552374973681962"</f>
        <v>1552374973681962</v>
      </c>
      <c r="C3758" t="s">
        <v>40</v>
      </c>
      <c r="D3758">
        <v>4.6052530000000003</v>
      </c>
      <c r="E3758">
        <v>0.52768470000000001</v>
      </c>
      <c r="F3758" t="s">
        <v>43</v>
      </c>
      <c r="G3758">
        <v>-263.94369999999998</v>
      </c>
      <c r="H3758" s="1">
        <v>-2.6242479999999998E-6</v>
      </c>
      <c r="I3758">
        <v>139.7809</v>
      </c>
      <c r="J3758">
        <v>-246.1799</v>
      </c>
      <c r="K3758">
        <v>1.1087940000000001</v>
      </c>
      <c r="L3758">
        <v>140.12270000000001</v>
      </c>
      <c r="M3758">
        <v>-0.99967209999999995</v>
      </c>
      <c r="N3758">
        <v>0</v>
      </c>
      <c r="O3758">
        <v>-2.3184139999999999E-2</v>
      </c>
      <c r="P3758">
        <v>-0.99344060000000001</v>
      </c>
      <c r="Q3758">
        <v>7.340605E-2</v>
      </c>
      <c r="R3758">
        <v>-8.7679179999999995E-2</v>
      </c>
      <c r="S3758">
        <v>-3.0276339999999999</v>
      </c>
      <c r="T3758">
        <v>-0.1854401</v>
      </c>
      <c r="U3758">
        <v>-5.8395389999999998E-2</v>
      </c>
      <c r="V3758">
        <v>-6.4472749999999995E-2</v>
      </c>
      <c r="W3758">
        <v>8.4354009999999993E-2</v>
      </c>
      <c r="X3758">
        <v>0.99434789999999995</v>
      </c>
      <c r="Y3758">
        <v>3.851864E-3</v>
      </c>
      <c r="Z3758">
        <v>1.536298E-3</v>
      </c>
      <c r="AA3758">
        <v>0.99999139999999997</v>
      </c>
      <c r="AB3758">
        <v>33</v>
      </c>
      <c r="AC3758">
        <v>-17.7637999999999</v>
      </c>
      <c r="AD3758">
        <v>-1.1087966242479901</v>
      </c>
      <c r="AE3758">
        <v>-0.34180000000000599</v>
      </c>
      <c r="AF3758">
        <v>6.9882478619112995E-2</v>
      </c>
      <c r="AG3758">
        <v>-1.1087966242479901</v>
      </c>
      <c r="AH3758">
        <v>17.698021490284599</v>
      </c>
      <c r="AI3758">
        <v>93.584917581554294</v>
      </c>
      <c r="AJ3758">
        <v>89.7737628310649</v>
      </c>
      <c r="AK3758">
        <v>17.732858714413101</v>
      </c>
      <c r="AL3758">
        <v>85.161121238742098</v>
      </c>
      <c r="AM3758">
        <v>93.709821064362899</v>
      </c>
      <c r="AN3758">
        <v>1.00000004036502</v>
      </c>
    </row>
    <row r="3759" spans="1:40" x14ac:dyDescent="0.25">
      <c r="A3759" t="str">
        <f>"20190312151613715"</f>
        <v>20190312151613715</v>
      </c>
      <c r="B3759" t="str">
        <f>"1552374973711226"</f>
        <v>1552374973711226</v>
      </c>
      <c r="C3759" t="s">
        <v>40</v>
      </c>
      <c r="D3759">
        <v>5.0630810000000004</v>
      </c>
      <c r="E3759">
        <v>0.52787550000000005</v>
      </c>
      <c r="F3759" t="s">
        <v>43</v>
      </c>
      <c r="G3759">
        <v>-265.46339999999998</v>
      </c>
      <c r="H3759" s="1">
        <v>-1.9767559999999999E-6</v>
      </c>
      <c r="I3759">
        <v>139.79759999999999</v>
      </c>
      <c r="J3759">
        <v>-246.5104</v>
      </c>
      <c r="K3759">
        <v>1.1087880000000001</v>
      </c>
      <c r="L3759">
        <v>140.11590000000001</v>
      </c>
      <c r="M3759">
        <v>-0.99969129999999995</v>
      </c>
      <c r="N3759">
        <v>0</v>
      </c>
      <c r="O3759">
        <v>-2.2383810000000001E-2</v>
      </c>
      <c r="P3759">
        <v>-0.99337790000000004</v>
      </c>
      <c r="Q3759">
        <v>7.656781E-2</v>
      </c>
      <c r="R3759">
        <v>-8.5660979999999998E-2</v>
      </c>
      <c r="S3759">
        <v>-3.028152</v>
      </c>
      <c r="T3759">
        <v>-0.1741183</v>
      </c>
      <c r="U3759">
        <v>-5.104065E-2</v>
      </c>
      <c r="V3759">
        <v>-6.3247869999999998E-2</v>
      </c>
      <c r="W3759">
        <v>8.7406369999999997E-2</v>
      </c>
      <c r="X3759">
        <v>0.99416289999999996</v>
      </c>
      <c r="Y3759">
        <v>5.4871520000000003E-3</v>
      </c>
      <c r="Z3759">
        <v>1.443459E-3</v>
      </c>
      <c r="AA3759">
        <v>0.99998390000000004</v>
      </c>
      <c r="AB3759">
        <v>33</v>
      </c>
      <c r="AC3759">
        <v>-18.9529999999999</v>
      </c>
      <c r="AD3759">
        <v>-1.1087899767560001</v>
      </c>
      <c r="AE3759">
        <v>-0.31830000000002101</v>
      </c>
      <c r="AF3759">
        <v>0.105683177197579</v>
      </c>
      <c r="AG3759">
        <v>-1.1087899767560001</v>
      </c>
      <c r="AH3759">
        <v>18.890740764830401</v>
      </c>
      <c r="AI3759">
        <v>93.359063160566905</v>
      </c>
      <c r="AJ3759">
        <v>89.679465356914704</v>
      </c>
      <c r="AK3759">
        <v>18.923548049732101</v>
      </c>
      <c r="AL3759">
        <v>84.985585201294498</v>
      </c>
      <c r="AM3759">
        <v>93.640207060921</v>
      </c>
      <c r="AN3759">
        <v>1.0000000191562599</v>
      </c>
    </row>
    <row r="3760" spans="1:40" x14ac:dyDescent="0.25">
      <c r="A3760" t="str">
        <f>"20190312151613728"</f>
        <v>20190312151613728</v>
      </c>
      <c r="B3760" t="str">
        <f>"1552374973721963"</f>
        <v>1552374973721963</v>
      </c>
      <c r="C3760" t="s">
        <v>40</v>
      </c>
      <c r="D3760">
        <v>4.7545630000000001</v>
      </c>
      <c r="E3760">
        <v>0.52745240000000004</v>
      </c>
      <c r="F3760" t="s">
        <v>43</v>
      </c>
      <c r="G3760">
        <v>-266.99689999999998</v>
      </c>
      <c r="H3760" s="1">
        <v>-1.3253020000000001E-6</v>
      </c>
      <c r="I3760">
        <v>139.82149999999999</v>
      </c>
      <c r="J3760">
        <v>-246.72300000000001</v>
      </c>
      <c r="K3760">
        <v>1.108787</v>
      </c>
      <c r="L3760">
        <v>140.11160000000001</v>
      </c>
      <c r="M3760">
        <v>-0.99970329999999996</v>
      </c>
      <c r="N3760">
        <v>0</v>
      </c>
      <c r="O3760">
        <v>-2.187393E-2</v>
      </c>
      <c r="P3760">
        <v>-0.99336480000000005</v>
      </c>
      <c r="Q3760">
        <v>7.7972719999999995E-2</v>
      </c>
      <c r="R3760">
        <v>-8.453956E-2</v>
      </c>
      <c r="S3760">
        <v>-3.02887</v>
      </c>
      <c r="T3760">
        <v>-0.163932299999999</v>
      </c>
      <c r="U3760">
        <v>-4.3502810000000003E-2</v>
      </c>
      <c r="V3760">
        <v>-6.2632209999999994E-2</v>
      </c>
      <c r="W3760">
        <v>8.8743450000000001E-2</v>
      </c>
      <c r="X3760">
        <v>0.99408339999999995</v>
      </c>
      <c r="Y3760">
        <v>7.4721930000000002E-3</v>
      </c>
      <c r="Z3760">
        <v>1.3849649999999999E-3</v>
      </c>
      <c r="AA3760">
        <v>0.99997119999999995</v>
      </c>
      <c r="AB3760">
        <v>33</v>
      </c>
      <c r="AC3760">
        <v>-20.273900000000001</v>
      </c>
      <c r="AD3760">
        <v>-1.1087883253020001</v>
      </c>
      <c r="AE3760">
        <v>-0.29010000000002301</v>
      </c>
      <c r="AF3760">
        <v>0.153007197082693</v>
      </c>
      <c r="AG3760">
        <v>-1.1087883253020001</v>
      </c>
      <c r="AH3760">
        <v>20.214943247876398</v>
      </c>
      <c r="AI3760">
        <v>93.1394341268566</v>
      </c>
      <c r="AJ3760">
        <v>89.5663356996765</v>
      </c>
      <c r="AK3760">
        <v>20.245907074457001</v>
      </c>
      <c r="AL3760">
        <v>84.908677182320304</v>
      </c>
      <c r="AM3760">
        <v>93.605154410863193</v>
      </c>
      <c r="AN3760">
        <v>0.99999999990147304</v>
      </c>
    </row>
    <row r="3761" spans="1:40" x14ac:dyDescent="0.25">
      <c r="A3761" t="str">
        <f>"20190312151613748"</f>
        <v>20190312151613748</v>
      </c>
      <c r="B3761" t="str">
        <f>"1552374973741482"</f>
        <v>1552374973741482</v>
      </c>
      <c r="C3761" t="s">
        <v>40</v>
      </c>
      <c r="D3761">
        <v>4.6052559999999998</v>
      </c>
      <c r="E3761">
        <v>0.52685859999999995</v>
      </c>
      <c r="F3761" t="s">
        <v>43</v>
      </c>
      <c r="G3761">
        <v>-269.1773</v>
      </c>
      <c r="H3761" s="1">
        <v>-3.8173729999999998E-7</v>
      </c>
      <c r="I3761">
        <v>139.79079999999999</v>
      </c>
      <c r="J3761">
        <v>-247.01900000000001</v>
      </c>
      <c r="K3761">
        <v>1.108798</v>
      </c>
      <c r="L3761">
        <v>140.10579999999999</v>
      </c>
      <c r="M3761">
        <v>-0.99971940000000004</v>
      </c>
      <c r="N3761">
        <v>0</v>
      </c>
      <c r="O3761">
        <v>-2.1169199999999999E-2</v>
      </c>
      <c r="P3761">
        <v>-0.99328709999999998</v>
      </c>
      <c r="Q3761">
        <v>8.1283709999999995E-2</v>
      </c>
      <c r="R3761">
        <v>-8.2303199999999896E-2</v>
      </c>
      <c r="S3761">
        <v>-3.028076</v>
      </c>
      <c r="T3761">
        <v>-0.14952599999999999</v>
      </c>
      <c r="U3761">
        <v>-4.3243410000000003E-2</v>
      </c>
      <c r="V3761">
        <v>-6.1095030000000002E-2</v>
      </c>
      <c r="W3761">
        <v>9.1960330000000007E-2</v>
      </c>
      <c r="X3761">
        <v>0.99388659999999995</v>
      </c>
      <c r="Y3761">
        <v>6.8579299999999999E-3</v>
      </c>
      <c r="Z3761">
        <v>1.2138139999999999E-3</v>
      </c>
      <c r="AA3761">
        <v>0.99997570000000002</v>
      </c>
      <c r="AB3761">
        <v>33</v>
      </c>
      <c r="AC3761">
        <v>-22.158300000000001</v>
      </c>
      <c r="AD3761">
        <v>-1.1087983817372999</v>
      </c>
      <c r="AE3761">
        <v>-0.314999999999997</v>
      </c>
      <c r="AF3761">
        <v>0.153785583689655</v>
      </c>
      <c r="AG3761">
        <v>-1.1087983817372999</v>
      </c>
      <c r="AH3761">
        <v>22.1046639660956</v>
      </c>
      <c r="AI3761">
        <v>92.871553764144494</v>
      </c>
      <c r="AJ3761">
        <v>89.601390785581103</v>
      </c>
      <c r="AK3761">
        <v>22.132990148443501</v>
      </c>
      <c r="AL3761">
        <v>84.723606175490602</v>
      </c>
      <c r="AM3761">
        <v>93.517592735594107</v>
      </c>
      <c r="AN3761">
        <v>0.99999993932198294</v>
      </c>
    </row>
    <row r="3762" spans="1:40" x14ac:dyDescent="0.25">
      <c r="A3762" t="str">
        <f>"20190312151613769"</f>
        <v>20190312151613769</v>
      </c>
      <c r="B3762" t="str">
        <f>"1552374973761983"</f>
        <v>1552374973761983</v>
      </c>
      <c r="C3762" t="s">
        <v>40</v>
      </c>
      <c r="D3762">
        <v>4.6254730000000004</v>
      </c>
      <c r="E3762">
        <v>0.52642809999999995</v>
      </c>
      <c r="F3762" t="s">
        <v>43</v>
      </c>
      <c r="G3762">
        <v>-278.44940000000003</v>
      </c>
      <c r="H3762" s="1">
        <v>-6.6654009999999998E-7</v>
      </c>
      <c r="I3762">
        <v>139.6876</v>
      </c>
      <c r="J3762">
        <v>-247.33369999999999</v>
      </c>
      <c r="K3762">
        <v>1.1088169999999999</v>
      </c>
      <c r="L3762">
        <v>140.09979999999999</v>
      </c>
      <c r="M3762">
        <v>-0.99973579999999995</v>
      </c>
      <c r="N3762">
        <v>0</v>
      </c>
      <c r="O3762">
        <v>-2.043242E-2</v>
      </c>
      <c r="P3762">
        <v>-0.99311000000000005</v>
      </c>
      <c r="Q3762">
        <v>8.625729E-2</v>
      </c>
      <c r="R3762">
        <v>-7.9326599999999997E-2</v>
      </c>
      <c r="S3762">
        <v>-3.0256810000000001</v>
      </c>
      <c r="T3762">
        <v>-0.10674</v>
      </c>
      <c r="U3762">
        <v>-4.0252690000000001E-2</v>
      </c>
      <c r="V3762">
        <v>-5.8848640000000001E-2</v>
      </c>
      <c r="W3762">
        <v>9.6835080000000004E-2</v>
      </c>
      <c r="X3762">
        <v>0.99355919999999998</v>
      </c>
      <c r="Y3762">
        <v>7.1148899999999996E-3</v>
      </c>
      <c r="Z3762">
        <v>8.4599220000000001E-4</v>
      </c>
      <c r="AA3762">
        <v>0.99997429999999998</v>
      </c>
      <c r="AB3762">
        <v>33</v>
      </c>
      <c r="AC3762">
        <v>-31.1157</v>
      </c>
      <c r="AD3762">
        <v>-1.1088176665400999</v>
      </c>
      <c r="AE3762">
        <v>-0.41219999999998402</v>
      </c>
      <c r="AF3762">
        <v>0.223406703307273</v>
      </c>
      <c r="AG3762">
        <v>-1.1088176665400999</v>
      </c>
      <c r="AH3762">
        <v>31.0781676848732</v>
      </c>
      <c r="AI3762">
        <v>92.043299253270504</v>
      </c>
      <c r="AJ3762">
        <v>89.588133995993402</v>
      </c>
      <c r="AK3762">
        <v>31.0987442483103</v>
      </c>
      <c r="AL3762">
        <v>84.443051026404802</v>
      </c>
      <c r="AM3762">
        <v>93.389676240458101</v>
      </c>
      <c r="AN3762">
        <v>1.00000003952654</v>
      </c>
    </row>
    <row r="3763" spans="1:40" x14ac:dyDescent="0.25">
      <c r="A3763" t="str">
        <f>"20190312151613792"</f>
        <v>20190312151613792</v>
      </c>
      <c r="B3763" t="str">
        <f>"1552374973781498"</f>
        <v>1552374973781498</v>
      </c>
      <c r="C3763" t="s">
        <v>40</v>
      </c>
      <c r="D3763">
        <v>4.6472230000000003</v>
      </c>
      <c r="E3763">
        <v>0.52596569999999898</v>
      </c>
      <c r="F3763" t="s">
        <v>58</v>
      </c>
      <c r="G3763">
        <v>-284.77659999999997</v>
      </c>
      <c r="H3763" s="1">
        <v>-5.7548109999999996E-6</v>
      </c>
      <c r="I3763">
        <v>139.67519999999999</v>
      </c>
      <c r="J3763">
        <v>-247.66900000000001</v>
      </c>
      <c r="K3763">
        <v>1.108838</v>
      </c>
      <c r="L3763">
        <v>140.09370000000001</v>
      </c>
      <c r="M3763">
        <v>-0.99975219999999998</v>
      </c>
      <c r="N3763">
        <v>0</v>
      </c>
      <c r="O3763">
        <v>-1.966853E-2</v>
      </c>
      <c r="P3763">
        <v>-0.99300940000000004</v>
      </c>
      <c r="Q3763">
        <v>8.9974429999999994E-2</v>
      </c>
      <c r="R3763">
        <v>-7.6402209999999998E-2</v>
      </c>
      <c r="S3763">
        <v>-3.025833</v>
      </c>
      <c r="T3763">
        <v>-8.9606290000000005E-2</v>
      </c>
      <c r="U3763">
        <v>-3.4317019999999997E-2</v>
      </c>
      <c r="V3763">
        <v>-5.6683329999999997E-2</v>
      </c>
      <c r="W3763">
        <v>0.10045370000000001</v>
      </c>
      <c r="X3763">
        <v>0.99332580000000004</v>
      </c>
      <c r="Y3763">
        <v>8.3176429999999996E-3</v>
      </c>
      <c r="Z3763">
        <v>7.054273E-4</v>
      </c>
      <c r="AA3763">
        <v>0.99996510000000005</v>
      </c>
      <c r="AB3763">
        <v>33</v>
      </c>
      <c r="AC3763">
        <v>-37.107599999999898</v>
      </c>
      <c r="AD3763">
        <v>-1.1088437548109999</v>
      </c>
      <c r="AE3763">
        <v>-0.41850000000002202</v>
      </c>
      <c r="AF3763">
        <v>0.31119473696170302</v>
      </c>
      <c r="AG3763">
        <v>-1.1088437548109999</v>
      </c>
      <c r="AH3763">
        <v>37.0755512192585</v>
      </c>
      <c r="AI3763">
        <v>91.713012943121498</v>
      </c>
      <c r="AJ3763">
        <v>89.519097471332302</v>
      </c>
      <c r="AK3763">
        <v>37.093434390047499</v>
      </c>
      <c r="AL3763">
        <v>84.234703131803002</v>
      </c>
      <c r="AM3763">
        <v>93.265995152073998</v>
      </c>
      <c r="AN3763">
        <v>1.0000000453446001</v>
      </c>
    </row>
    <row r="3764" spans="1:40" x14ac:dyDescent="0.25">
      <c r="A3764" t="str">
        <f>"20190312151613817"</f>
        <v>20190312151613817</v>
      </c>
      <c r="B3764" t="str">
        <f>"1552374973811755"</f>
        <v>1552374973811755</v>
      </c>
      <c r="C3764" t="s">
        <v>40</v>
      </c>
      <c r="D3764">
        <v>4.5233359999999996</v>
      </c>
      <c r="E3764">
        <v>0.52771409999999996</v>
      </c>
      <c r="F3764" t="s">
        <v>58</v>
      </c>
      <c r="G3764">
        <v>-303.72629999999998</v>
      </c>
      <c r="H3764" s="1">
        <v>-8.5748320000000005E-6</v>
      </c>
      <c r="I3764">
        <v>139.56399999999999</v>
      </c>
      <c r="J3764">
        <v>-248.03370000000001</v>
      </c>
      <c r="K3764">
        <v>1.1088659999999999</v>
      </c>
      <c r="L3764">
        <v>140.0874</v>
      </c>
      <c r="M3764">
        <v>-0.9997682</v>
      </c>
      <c r="N3764">
        <v>0</v>
      </c>
      <c r="O3764">
        <v>-1.887778E-2</v>
      </c>
      <c r="P3764">
        <v>-0.9929405</v>
      </c>
      <c r="Q3764">
        <v>9.3254080000000003E-2</v>
      </c>
      <c r="R3764">
        <v>-7.3300359999999995E-2</v>
      </c>
      <c r="S3764">
        <v>-3.0243530000000001</v>
      </c>
      <c r="T3764">
        <v>-5.9823389999999997E-2</v>
      </c>
      <c r="U3764">
        <v>-2.8579710000000001E-2</v>
      </c>
      <c r="V3764">
        <v>-5.4369569999999999E-2</v>
      </c>
      <c r="W3764">
        <v>0.10363</v>
      </c>
      <c r="X3764">
        <v>0.99312880000000003</v>
      </c>
      <c r="Y3764">
        <v>9.4246620000000003E-3</v>
      </c>
      <c r="Z3764">
        <v>4.6656470000000001E-4</v>
      </c>
      <c r="AA3764">
        <v>0.9999555</v>
      </c>
      <c r="AB3764">
        <v>33</v>
      </c>
      <c r="AC3764">
        <v>-55.692599999999899</v>
      </c>
      <c r="AD3764">
        <v>-1.1088745748319999</v>
      </c>
      <c r="AE3764">
        <v>-0.52340000000000897</v>
      </c>
      <c r="AF3764">
        <v>0.52789301940639499</v>
      </c>
      <c r="AG3764">
        <v>-1.1088745748319999</v>
      </c>
      <c r="AH3764">
        <v>55.670487936595798</v>
      </c>
      <c r="AI3764">
        <v>91.141045823970003</v>
      </c>
      <c r="AJ3764">
        <v>89.456711506007295</v>
      </c>
      <c r="AK3764">
        <v>55.684032728972703</v>
      </c>
      <c r="AL3764">
        <v>84.051759379847596</v>
      </c>
      <c r="AM3764">
        <v>93.133571746224504</v>
      </c>
      <c r="AN3764">
        <v>1.00000002021571</v>
      </c>
    </row>
    <row r="3765" spans="1:40" x14ac:dyDescent="0.25">
      <c r="A3765" t="str">
        <f>"20190312151613838"</f>
        <v>20190312151613838</v>
      </c>
      <c r="B3765" t="str">
        <f>"1552374973831274"</f>
        <v>1552374973831274</v>
      </c>
      <c r="C3765" t="s">
        <v>40</v>
      </c>
      <c r="D3765">
        <v>4.5566420000000001</v>
      </c>
      <c r="E3765">
        <v>0.52894969999999997</v>
      </c>
      <c r="F3765" t="s">
        <v>43</v>
      </c>
      <c r="G3765">
        <v>-376.76100000000002</v>
      </c>
      <c r="H3765" s="1">
        <v>-1.4448069999999999E-6</v>
      </c>
      <c r="I3765">
        <v>139.8905</v>
      </c>
      <c r="J3765">
        <v>-248.3561</v>
      </c>
      <c r="K3765">
        <v>1.108895</v>
      </c>
      <c r="L3765">
        <v>140.08189999999999</v>
      </c>
      <c r="M3765">
        <v>-0.99978129999999998</v>
      </c>
      <c r="N3765">
        <v>0</v>
      </c>
      <c r="O3765">
        <v>-1.8222120000000001E-2</v>
      </c>
      <c r="P3765">
        <v>-0.99280460000000004</v>
      </c>
      <c r="Q3765">
        <v>9.6788879999999994E-2</v>
      </c>
      <c r="R3765">
        <v>-7.0505460000000006E-2</v>
      </c>
      <c r="S3765">
        <v>-3.0234380000000001</v>
      </c>
      <c r="T3765">
        <v>-2.6044129999999999E-2</v>
      </c>
      <c r="U3765">
        <v>-4.6234129999999998E-3</v>
      </c>
      <c r="V3765">
        <v>-5.2232019999999997E-2</v>
      </c>
      <c r="W3765">
        <v>0.1070782</v>
      </c>
      <c r="X3765">
        <v>0.99287769999999997</v>
      </c>
      <c r="Y3765">
        <v>1.6692829999999999E-2</v>
      </c>
      <c r="Z3765">
        <v>2.2886019999999999E-4</v>
      </c>
      <c r="AA3765">
        <v>0.99986059999999999</v>
      </c>
      <c r="AB3765">
        <v>33</v>
      </c>
      <c r="AC3765">
        <v>-128.404899999999</v>
      </c>
      <c r="AD3765">
        <v>-1.108896444807</v>
      </c>
      <c r="AE3765">
        <v>-0.191399999999987</v>
      </c>
      <c r="AF3765">
        <v>2.1484042611545102</v>
      </c>
      <c r="AG3765">
        <v>-1.108896444807</v>
      </c>
      <c r="AH3765">
        <v>128.37749144434099</v>
      </c>
      <c r="AI3765">
        <v>90.494826710398598</v>
      </c>
      <c r="AJ3765">
        <v>89.041241528925298</v>
      </c>
      <c r="AK3765">
        <v>128.40025545822101</v>
      </c>
      <c r="AL3765">
        <v>83.853086349181595</v>
      </c>
      <c r="AM3765">
        <v>93.011366021624895</v>
      </c>
      <c r="AN3765">
        <v>1.0000000259929001</v>
      </c>
    </row>
    <row r="3766" spans="1:40" x14ac:dyDescent="0.25">
      <c r="A3766" t="str">
        <f>"20190312151613860"</f>
        <v>20190312151613860</v>
      </c>
      <c r="B3766" t="str">
        <f>"1552374973851771"</f>
        <v>1552374973851771</v>
      </c>
      <c r="C3766" t="s">
        <v>40</v>
      </c>
      <c r="D3766">
        <v>4.3586359999999997</v>
      </c>
      <c r="E3766">
        <v>0.5289779</v>
      </c>
      <c r="F3766" t="s">
        <v>43</v>
      </c>
      <c r="G3766">
        <v>-442.56849999999997</v>
      </c>
      <c r="H3766" s="1">
        <v>-2.5182080000000001E-6</v>
      </c>
      <c r="I3766">
        <v>140.9734</v>
      </c>
      <c r="J3766">
        <v>-248.69380000000001</v>
      </c>
      <c r="K3766">
        <v>1.1089359999999999</v>
      </c>
      <c r="L3766">
        <v>140.07640000000001</v>
      </c>
      <c r="M3766">
        <v>-0.9997935</v>
      </c>
      <c r="N3766">
        <v>0</v>
      </c>
      <c r="O3766">
        <v>-1.7577849999999999E-2</v>
      </c>
      <c r="P3766">
        <v>-0.99268469999999998</v>
      </c>
      <c r="Q3766">
        <v>9.9592159999999999E-2</v>
      </c>
      <c r="R3766">
        <v>-6.8251859999999998E-2</v>
      </c>
      <c r="S3766">
        <v>-3.0244140000000002</v>
      </c>
      <c r="T3766">
        <v>-1.7268539999999999E-2</v>
      </c>
      <c r="U3766">
        <v>1.38855E-2</v>
      </c>
      <c r="V3766">
        <v>-5.0626060000000001E-2</v>
      </c>
      <c r="W3766">
        <v>0.109801</v>
      </c>
      <c r="X3766">
        <v>0.99266339999999997</v>
      </c>
      <c r="Y3766">
        <v>2.216831E-2</v>
      </c>
      <c r="Z3766">
        <v>1.63652E-4</v>
      </c>
      <c r="AA3766">
        <v>0.99975429999999998</v>
      </c>
      <c r="AB3766">
        <v>33</v>
      </c>
      <c r="AC3766">
        <v>-193.87469999999999</v>
      </c>
      <c r="AD3766">
        <v>-1.108938518208</v>
      </c>
      <c r="AE3766">
        <v>0.89699999999999103</v>
      </c>
      <c r="AF3766">
        <v>4.3047981402562696</v>
      </c>
      <c r="AG3766">
        <v>-1.108938518208</v>
      </c>
      <c r="AH3766">
        <v>193.82263349124</v>
      </c>
      <c r="AI3766">
        <v>90.327728179730599</v>
      </c>
      <c r="AJ3766">
        <v>88.727670669544693</v>
      </c>
      <c r="AK3766">
        <v>193.87360388961</v>
      </c>
      <c r="AL3766">
        <v>83.696155407916805</v>
      </c>
      <c r="AM3766">
        <v>92.919568299301503</v>
      </c>
      <c r="AN3766">
        <v>0.99999994162584005</v>
      </c>
    </row>
    <row r="3767" spans="1:40" x14ac:dyDescent="0.25">
      <c r="A3767" t="str">
        <f>"20190312151613882"</f>
        <v>20190312151613882</v>
      </c>
      <c r="B3767" t="str">
        <f>"1552374973871290"</f>
        <v>1552374973871290</v>
      </c>
      <c r="C3767" t="s">
        <v>40</v>
      </c>
      <c r="D3767">
        <v>4.499911</v>
      </c>
      <c r="E3767">
        <v>0.52996069999999995</v>
      </c>
      <c r="F3767" t="s">
        <v>54</v>
      </c>
      <c r="G3767">
        <v>-666.1422</v>
      </c>
      <c r="H3767">
        <v>-0.1</v>
      </c>
      <c r="I3767">
        <v>142.9871</v>
      </c>
      <c r="J3767">
        <v>-249.01329999999999</v>
      </c>
      <c r="K3767">
        <v>1.1089789999999999</v>
      </c>
      <c r="L3767">
        <v>140.07140000000001</v>
      </c>
      <c r="M3767">
        <v>-0.99980380000000002</v>
      </c>
      <c r="N3767">
        <v>0</v>
      </c>
      <c r="O3767">
        <v>-1.7018419999999999E-2</v>
      </c>
      <c r="P3767">
        <v>-0.99260079999999995</v>
      </c>
      <c r="Q3767">
        <v>0.10188170000000001</v>
      </c>
      <c r="R3767">
        <v>-6.6061250000000002E-2</v>
      </c>
      <c r="S3767">
        <v>-3.024429</v>
      </c>
      <c r="T3767">
        <v>-8.7587829999999992E-3</v>
      </c>
      <c r="U3767">
        <v>2.1087649999999999E-2</v>
      </c>
      <c r="V3767">
        <v>-4.8998739999999999E-2</v>
      </c>
      <c r="W3767">
        <v>0.1120217</v>
      </c>
      <c r="X3767">
        <v>0.99249699999999996</v>
      </c>
      <c r="Y3767">
        <v>2.3989969999999999E-2</v>
      </c>
      <c r="Z3767" s="1">
        <v>8.4023439999999995E-5</v>
      </c>
      <c r="AA3767">
        <v>0.99971220000000005</v>
      </c>
      <c r="AB3767">
        <v>34</v>
      </c>
      <c r="AC3767">
        <v>-417.12889999999999</v>
      </c>
      <c r="AD3767">
        <v>-1.208979</v>
      </c>
      <c r="AE3767">
        <v>2.9156999999999802</v>
      </c>
      <c r="AF3767">
        <v>10.0144330668029</v>
      </c>
      <c r="AG3767">
        <v>-1.208979</v>
      </c>
      <c r="AH3767">
        <v>417.01535754506398</v>
      </c>
      <c r="AI3767">
        <v>90.166059196462299</v>
      </c>
      <c r="AJ3767">
        <v>88.624332470031405</v>
      </c>
      <c r="AK3767">
        <v>417.13733820926302</v>
      </c>
      <c r="AL3767">
        <v>83.568129232739693</v>
      </c>
      <c r="AM3767">
        <v>92.826349578879203</v>
      </c>
      <c r="AN3767">
        <v>1.0000000164007301</v>
      </c>
    </row>
    <row r="3768" spans="1:40" x14ac:dyDescent="0.25">
      <c r="A3768" t="str">
        <f>"20190312151613903"</f>
        <v>20190312151613903</v>
      </c>
      <c r="B3768" t="str">
        <f>"1552374973901546"</f>
        <v>1552374973901546</v>
      </c>
      <c r="C3768" t="s">
        <v>40</v>
      </c>
      <c r="D3768">
        <v>4.5172100000000004</v>
      </c>
      <c r="E3768">
        <v>0.53114819999999996</v>
      </c>
      <c r="F3768" t="s">
        <v>58</v>
      </c>
      <c r="G3768">
        <v>-421.6551</v>
      </c>
      <c r="H3768" s="1">
        <v>-1.0968410000000001E-5</v>
      </c>
      <c r="I3768">
        <v>142.08969999999999</v>
      </c>
      <c r="J3768">
        <v>-249.34780000000001</v>
      </c>
      <c r="K3768">
        <v>1.1090370000000001</v>
      </c>
      <c r="L3768">
        <v>140.06620000000001</v>
      </c>
      <c r="M3768">
        <v>-0.99981310000000001</v>
      </c>
      <c r="N3768">
        <v>0</v>
      </c>
      <c r="O3768">
        <v>-1.6497120000000001E-2</v>
      </c>
      <c r="P3768">
        <v>-0.99252119999999999</v>
      </c>
      <c r="Q3768">
        <v>0.1037242</v>
      </c>
      <c r="R3768">
        <v>-6.4366549999999995E-2</v>
      </c>
      <c r="S3768">
        <v>-3.0267330000000001</v>
      </c>
      <c r="T3768">
        <v>-1.944268E-2</v>
      </c>
      <c r="U3768">
        <v>3.5385130000000001E-2</v>
      </c>
      <c r="V3768">
        <v>-4.7834219999999997E-2</v>
      </c>
      <c r="W3768">
        <v>0.11379930000000001</v>
      </c>
      <c r="X3768">
        <v>0.99235150000000005</v>
      </c>
      <c r="Y3768">
        <v>2.818439E-2</v>
      </c>
      <c r="Z3768">
        <v>1.9649070000000001E-4</v>
      </c>
      <c r="AA3768">
        <v>0.99960269999999996</v>
      </c>
      <c r="AB3768">
        <v>34</v>
      </c>
      <c r="AC3768">
        <v>-172.3073</v>
      </c>
      <c r="AD3768">
        <v>-1.1090479684100001</v>
      </c>
      <c r="AE3768">
        <v>2.0234999999999799</v>
      </c>
      <c r="AF3768">
        <v>4.8657416837518799</v>
      </c>
      <c r="AG3768">
        <v>-1.1090479684100001</v>
      </c>
      <c r="AH3768">
        <v>172.243330557245</v>
      </c>
      <c r="AI3768">
        <v>90.368766391023598</v>
      </c>
      <c r="AJ3768">
        <v>88.381868614041494</v>
      </c>
      <c r="AK3768">
        <v>172.31561261528699</v>
      </c>
      <c r="AL3768">
        <v>83.4656242838211</v>
      </c>
      <c r="AM3768">
        <v>92.759686650830702</v>
      </c>
      <c r="AN3768">
        <v>0.99999994641787204</v>
      </c>
    </row>
    <row r="3769" spans="1:40" x14ac:dyDescent="0.25">
      <c r="A3769" t="str">
        <f>"20190312151613926"</f>
        <v>20190312151613926</v>
      </c>
      <c r="B3769" t="str">
        <f>"1552374973921067"</f>
        <v>1552374973921067</v>
      </c>
      <c r="C3769" t="s">
        <v>40</v>
      </c>
      <c r="D3769">
        <v>4.6430980000000002</v>
      </c>
      <c r="E3769">
        <v>0.53157399999999999</v>
      </c>
      <c r="F3769" t="s">
        <v>43</v>
      </c>
      <c r="G3769">
        <v>-340.1549</v>
      </c>
      <c r="H3769" s="1">
        <v>-4.5661040000000003E-6</v>
      </c>
      <c r="I3769">
        <v>141.5488</v>
      </c>
      <c r="J3769">
        <v>-249.70160000000001</v>
      </c>
      <c r="K3769">
        <v>1.109094</v>
      </c>
      <c r="L3769">
        <v>140.0609</v>
      </c>
      <c r="M3769">
        <v>-0.99982139999999997</v>
      </c>
      <c r="N3769">
        <v>0</v>
      </c>
      <c r="O3769">
        <v>-1.6023289999999999E-2</v>
      </c>
      <c r="P3769">
        <v>-0.99239069999999996</v>
      </c>
      <c r="Q3769">
        <v>0.1056704</v>
      </c>
      <c r="R3769">
        <v>-6.320402E-2</v>
      </c>
      <c r="S3769">
        <v>-3.0296780000000001</v>
      </c>
      <c r="T3769">
        <v>-3.7001970000000002E-2</v>
      </c>
      <c r="U3769">
        <v>4.9468989999999997E-2</v>
      </c>
      <c r="V3769">
        <v>-4.7157629999999999E-2</v>
      </c>
      <c r="W3769">
        <v>0.1156842</v>
      </c>
      <c r="X3769">
        <v>0.99216599999999999</v>
      </c>
      <c r="Y3769">
        <v>3.2342219999999998E-2</v>
      </c>
      <c r="Z3769">
        <v>3.9316470000000001E-4</v>
      </c>
      <c r="AA3769">
        <v>0.99947680000000005</v>
      </c>
      <c r="AB3769">
        <v>34</v>
      </c>
      <c r="AC3769">
        <v>-90.453299999999899</v>
      </c>
      <c r="AD3769">
        <v>-1.109098566104</v>
      </c>
      <c r="AE3769">
        <v>1.48789999999999</v>
      </c>
      <c r="AF3769">
        <v>2.9366997981234499</v>
      </c>
      <c r="AG3769">
        <v>-1.109098566104</v>
      </c>
      <c r="AH3769">
        <v>90.4042558561097</v>
      </c>
      <c r="AI3769">
        <v>90.702510985722</v>
      </c>
      <c r="AJ3769">
        <v>88.139453101453796</v>
      </c>
      <c r="AK3769">
        <v>90.458740772965498</v>
      </c>
      <c r="AL3769">
        <v>83.356909940096898</v>
      </c>
      <c r="AM3769">
        <v>92.721219311533503</v>
      </c>
      <c r="AN3769">
        <v>1.00000002387642</v>
      </c>
    </row>
    <row r="3770" spans="1:40" x14ac:dyDescent="0.25">
      <c r="A3770" t="str">
        <f>"20190312151613949"</f>
        <v>20190312151613949</v>
      </c>
      <c r="B3770" t="str">
        <f>"1552374973941562"</f>
        <v>1552374973941562</v>
      </c>
      <c r="C3770" t="s">
        <v>40</v>
      </c>
      <c r="D3770">
        <v>5.2134400000000003</v>
      </c>
      <c r="E3770">
        <v>0.53177669999999999</v>
      </c>
      <c r="F3770" t="s">
        <v>43</v>
      </c>
      <c r="G3770">
        <v>-344.28129999999999</v>
      </c>
      <c r="H3770" s="1">
        <v>-3.0218329999999999E-6</v>
      </c>
      <c r="I3770">
        <v>141.81950000000001</v>
      </c>
      <c r="J3770">
        <v>-250.0224</v>
      </c>
      <c r="K3770">
        <v>1.1091470000000001</v>
      </c>
      <c r="L3770">
        <v>140.05609999999999</v>
      </c>
      <c r="M3770">
        <v>-0.99982729999999997</v>
      </c>
      <c r="N3770">
        <v>0</v>
      </c>
      <c r="O3770">
        <v>-1.5669450000000001E-2</v>
      </c>
      <c r="P3770">
        <v>-0.99241699999999999</v>
      </c>
      <c r="Q3770">
        <v>0.1060094</v>
      </c>
      <c r="R3770">
        <v>-6.2214970000000001E-2</v>
      </c>
      <c r="S3770">
        <v>-3.0303800000000001</v>
      </c>
      <c r="T3770">
        <v>-3.553605E-2</v>
      </c>
      <c r="U3770">
        <v>5.6350709999999998E-2</v>
      </c>
      <c r="V3770">
        <v>-4.6535800000000002E-2</v>
      </c>
      <c r="W3770">
        <v>0.11597490000000001</v>
      </c>
      <c r="X3770">
        <v>0.99216139999999997</v>
      </c>
      <c r="Y3770">
        <v>3.4253859999999997E-2</v>
      </c>
      <c r="Z3770">
        <v>3.8455370000000001E-4</v>
      </c>
      <c r="AA3770">
        <v>0.99941310000000005</v>
      </c>
      <c r="AB3770">
        <v>34</v>
      </c>
      <c r="AC3770">
        <v>-94.258899999999898</v>
      </c>
      <c r="AD3770">
        <v>-1.1091500218329999</v>
      </c>
      <c r="AE3770">
        <v>1.7634000000000101</v>
      </c>
      <c r="AF3770">
        <v>3.23979389913212</v>
      </c>
      <c r="AG3770">
        <v>-1.1091500218329999</v>
      </c>
      <c r="AH3770">
        <v>94.2066538386009</v>
      </c>
      <c r="AI3770">
        <v>90.674147048973495</v>
      </c>
      <c r="AJ3770">
        <v>88.030357925049401</v>
      </c>
      <c r="AK3770">
        <v>94.268871350758005</v>
      </c>
      <c r="AL3770">
        <v>83.340141034790506</v>
      </c>
      <c r="AM3770">
        <v>92.685402073828996</v>
      </c>
      <c r="AN3770">
        <v>1.0000000008808001</v>
      </c>
    </row>
    <row r="3771" spans="1:40" x14ac:dyDescent="0.25">
      <c r="A3771" t="str">
        <f>"20190312151613971"</f>
        <v>20190312151613971</v>
      </c>
      <c r="B3771" t="str">
        <f>"1552374973961083"</f>
        <v>1552374973961083</v>
      </c>
      <c r="C3771" t="s">
        <v>40</v>
      </c>
      <c r="D3771">
        <v>4.5612959999999996</v>
      </c>
      <c r="E3771">
        <v>0.5318988</v>
      </c>
      <c r="F3771" t="s">
        <v>43</v>
      </c>
      <c r="G3771">
        <v>-367.35610000000003</v>
      </c>
      <c r="H3771" s="1">
        <v>-1.8651290000000001E-6</v>
      </c>
      <c r="I3771">
        <v>142.4297</v>
      </c>
      <c r="J3771">
        <v>-250.36869999999999</v>
      </c>
      <c r="K3771">
        <v>1.1092150000000001</v>
      </c>
      <c r="L3771">
        <v>140.05099999999999</v>
      </c>
      <c r="M3771">
        <v>-0.99983230000000001</v>
      </c>
      <c r="N3771">
        <v>0</v>
      </c>
      <c r="O3771">
        <v>-1.536939E-2</v>
      </c>
      <c r="P3771">
        <v>-0.9924309</v>
      </c>
      <c r="Q3771">
        <v>0.1061783</v>
      </c>
      <c r="R3771">
        <v>-6.1703130000000002E-2</v>
      </c>
      <c r="S3771">
        <v>-3.029846</v>
      </c>
      <c r="T3771">
        <v>-2.8640990000000002E-2</v>
      </c>
      <c r="U3771">
        <v>6.1294559999999998E-2</v>
      </c>
      <c r="V3771">
        <v>-4.6341170000000001E-2</v>
      </c>
      <c r="W3771">
        <v>0.11609709999999999</v>
      </c>
      <c r="X3771">
        <v>0.99215620000000004</v>
      </c>
      <c r="Y3771">
        <v>3.5588450000000001E-2</v>
      </c>
      <c r="Z3771">
        <v>3.1346340000000002E-4</v>
      </c>
      <c r="AA3771">
        <v>0.99936650000000005</v>
      </c>
      <c r="AB3771">
        <v>34</v>
      </c>
      <c r="AC3771">
        <v>-116.98739999999999</v>
      </c>
      <c r="AD3771">
        <v>-1.109216865129</v>
      </c>
      <c r="AE3771">
        <v>2.3786999999999798</v>
      </c>
      <c r="AF3771">
        <v>4.1761578550745497</v>
      </c>
      <c r="AG3771">
        <v>-1.109216865129</v>
      </c>
      <c r="AH3771">
        <v>116.926512329581</v>
      </c>
      <c r="AI3771">
        <v>90.543170612718299</v>
      </c>
      <c r="AJ3771">
        <v>87.954488256375797</v>
      </c>
      <c r="AK3771">
        <v>117.00632436772</v>
      </c>
      <c r="AL3771">
        <v>83.333091753303805</v>
      </c>
      <c r="AM3771">
        <v>92.674201058295097</v>
      </c>
      <c r="AN3771">
        <v>0.99999998293190895</v>
      </c>
    </row>
    <row r="3772" spans="1:40" x14ac:dyDescent="0.25">
      <c r="A3772" t="str">
        <f>"20190312151613996"</f>
        <v>20190312151613996</v>
      </c>
      <c r="B3772" t="str">
        <f>"1552374973991339"</f>
        <v>1552374973991339</v>
      </c>
      <c r="C3772" t="s">
        <v>40</v>
      </c>
      <c r="D3772">
        <v>4.5923210000000001</v>
      </c>
      <c r="E3772">
        <v>0.53203610000000001</v>
      </c>
      <c r="F3772" t="s">
        <v>43</v>
      </c>
      <c r="G3772">
        <v>-397.74540000000002</v>
      </c>
      <c r="H3772" s="1">
        <v>-1.8869140000000001E-6</v>
      </c>
      <c r="I3772">
        <v>143.13910000000001</v>
      </c>
      <c r="J3772">
        <v>-250.72200000000001</v>
      </c>
      <c r="K3772">
        <v>1.1092850000000001</v>
      </c>
      <c r="L3772">
        <v>140.04580000000001</v>
      </c>
      <c r="M3772">
        <v>-0.9998359</v>
      </c>
      <c r="N3772">
        <v>0</v>
      </c>
      <c r="O3772">
        <v>-1.5163350000000001E-2</v>
      </c>
      <c r="P3772">
        <v>-0.99253480000000005</v>
      </c>
      <c r="Q3772">
        <v>0.1056455</v>
      </c>
      <c r="R3772">
        <v>-6.0944270000000002E-2</v>
      </c>
      <c r="S3772">
        <v>-3.0292509999999999</v>
      </c>
      <c r="T3772">
        <v>-2.2799369999999999E-2</v>
      </c>
      <c r="U3772">
        <v>6.3476560000000001E-2</v>
      </c>
      <c r="V3772">
        <v>-4.5806810000000003E-2</v>
      </c>
      <c r="W3772">
        <v>0.1155226</v>
      </c>
      <c r="X3772">
        <v>0.99224809999999997</v>
      </c>
      <c r="Y3772">
        <v>3.6106850000000003E-2</v>
      </c>
      <c r="Z3772">
        <v>2.4997879999999999E-4</v>
      </c>
      <c r="AA3772">
        <v>0.99934789999999996</v>
      </c>
      <c r="AB3772">
        <v>34</v>
      </c>
      <c r="AC3772">
        <v>-147.02340000000001</v>
      </c>
      <c r="AD3772">
        <v>-1.109286886914</v>
      </c>
      <c r="AE3772">
        <v>3.0933000000000002</v>
      </c>
      <c r="AF3772">
        <v>5.3221182855182496</v>
      </c>
      <c r="AG3772">
        <v>-1.109286886914</v>
      </c>
      <c r="AH3772">
        <v>146.95122621008699</v>
      </c>
      <c r="AI3772">
        <v>90.432215583799405</v>
      </c>
      <c r="AJ3772">
        <v>87.925830872853098</v>
      </c>
      <c r="AK3772">
        <v>147.05175396808701</v>
      </c>
      <c r="AL3772">
        <v>83.366231364808002</v>
      </c>
      <c r="AM3772">
        <v>92.643164361244501</v>
      </c>
      <c r="AN3772">
        <v>1.00000001345337</v>
      </c>
    </row>
    <row r="3773" spans="1:40" x14ac:dyDescent="0.25">
      <c r="A3773" t="str">
        <f>"20190312151614018"</f>
        <v>20190312151614018</v>
      </c>
      <c r="B3773" t="str">
        <f>"1552374974011835"</f>
        <v>1552374974011835</v>
      </c>
      <c r="C3773" t="s">
        <v>40</v>
      </c>
      <c r="D3773">
        <v>4.566713</v>
      </c>
      <c r="E3773">
        <v>0.53202280000000002</v>
      </c>
      <c r="F3773" t="s">
        <v>43</v>
      </c>
      <c r="G3773">
        <v>-448.04590000000002</v>
      </c>
      <c r="H3773" s="1">
        <v>-1.0834000000000001E-6</v>
      </c>
      <c r="I3773">
        <v>144.41220000000001</v>
      </c>
      <c r="J3773">
        <v>-251.06720000000001</v>
      </c>
      <c r="K3773">
        <v>1.1093569999999999</v>
      </c>
      <c r="L3773">
        <v>140.04069999999999</v>
      </c>
      <c r="M3773">
        <v>-0.99983789999999995</v>
      </c>
      <c r="N3773">
        <v>0</v>
      </c>
      <c r="O3773">
        <v>-1.5042639999999999E-2</v>
      </c>
      <c r="P3773">
        <v>-0.99266259999999995</v>
      </c>
      <c r="Q3773">
        <v>0.1049805</v>
      </c>
      <c r="R3773">
        <v>-5.9997990000000001E-2</v>
      </c>
      <c r="S3773">
        <v>-3.0284879999999998</v>
      </c>
      <c r="T3773">
        <v>-1.702511E-2</v>
      </c>
      <c r="U3773">
        <v>6.7016599999999996E-2</v>
      </c>
      <c r="V3773">
        <v>-4.4998080000000003E-2</v>
      </c>
      <c r="W3773">
        <v>0.11482299999999999</v>
      </c>
      <c r="X3773">
        <v>0.99236630000000003</v>
      </c>
      <c r="Y3773">
        <v>3.715968E-2</v>
      </c>
      <c r="Z3773">
        <v>1.8899459999999999E-4</v>
      </c>
      <c r="AA3773">
        <v>0.99930929999999996</v>
      </c>
      <c r="AB3773">
        <v>34</v>
      </c>
      <c r="AC3773">
        <v>-196.9787</v>
      </c>
      <c r="AD3773">
        <v>-1.1093580834000001</v>
      </c>
      <c r="AE3773">
        <v>4.3715000000000197</v>
      </c>
      <c r="AF3773">
        <v>7.33399753943488</v>
      </c>
      <c r="AG3773">
        <v>-1.1093580834000001</v>
      </c>
      <c r="AH3773">
        <v>196.88440647333601</v>
      </c>
      <c r="AI3773">
        <v>90.322609664389802</v>
      </c>
      <c r="AJ3773">
        <v>87.866703017403395</v>
      </c>
      <c r="AK3773">
        <v>197.024079004632</v>
      </c>
      <c r="AL3773">
        <v>83.406584003807893</v>
      </c>
      <c r="AM3773">
        <v>92.596254261799601</v>
      </c>
      <c r="AN3773">
        <v>1.00000001095418</v>
      </c>
    </row>
    <row r="3774" spans="1:40" x14ac:dyDescent="0.25">
      <c r="A3774" t="str">
        <f>"20190312151614040"</f>
        <v>20190312151614040</v>
      </c>
      <c r="B3774" t="str">
        <f>"1552374974031355"</f>
        <v>1552374974031355</v>
      </c>
      <c r="C3774" t="s">
        <v>40</v>
      </c>
      <c r="D3774">
        <v>4.5646940000000003</v>
      </c>
      <c r="E3774">
        <v>0.53207380000000004</v>
      </c>
      <c r="F3774" t="s">
        <v>64</v>
      </c>
      <c r="G3774">
        <v>-493.83</v>
      </c>
      <c r="H3774" s="1">
        <v>-7.563473E-6</v>
      </c>
      <c r="I3774">
        <v>145.6525</v>
      </c>
      <c r="J3774">
        <v>-251.404</v>
      </c>
      <c r="K3774">
        <v>1.109413</v>
      </c>
      <c r="L3774">
        <v>140.03579999999999</v>
      </c>
      <c r="M3774">
        <v>-0.99983920000000004</v>
      </c>
      <c r="N3774">
        <v>0</v>
      </c>
      <c r="O3774">
        <v>-1.4980220000000001E-2</v>
      </c>
      <c r="P3774">
        <v>-0.99267720000000004</v>
      </c>
      <c r="Q3774">
        <v>0.1056412</v>
      </c>
      <c r="R3774">
        <v>-5.8587149999999998E-2</v>
      </c>
      <c r="S3774">
        <v>-3.027847</v>
      </c>
      <c r="T3774">
        <v>-1.38365E-2</v>
      </c>
      <c r="U3774">
        <v>6.9992070000000003E-2</v>
      </c>
      <c r="V3774">
        <v>-4.3664670000000003E-2</v>
      </c>
      <c r="W3774">
        <v>0.1154535</v>
      </c>
      <c r="X3774">
        <v>0.99235269999999998</v>
      </c>
      <c r="Y3774">
        <v>3.8083739999999998E-2</v>
      </c>
      <c r="Z3774">
        <v>1.554552E-4</v>
      </c>
      <c r="AA3774">
        <v>0.99927460000000001</v>
      </c>
      <c r="AB3774">
        <v>34</v>
      </c>
      <c r="AC3774">
        <v>-242.42599999999999</v>
      </c>
      <c r="AD3774">
        <v>-1.1094205634730001</v>
      </c>
      <c r="AE3774">
        <v>5.6166999999999998</v>
      </c>
      <c r="AF3774">
        <v>9.2476473850526393</v>
      </c>
      <c r="AG3774">
        <v>-1.1094205634730001</v>
      </c>
      <c r="AH3774">
        <v>242.30957938563699</v>
      </c>
      <c r="AI3774">
        <v>90.2621375143828</v>
      </c>
      <c r="AJ3774">
        <v>87.814390407775605</v>
      </c>
      <c r="AK3774">
        <v>242.48851943584799</v>
      </c>
      <c r="AL3774">
        <v>83.3702170673225</v>
      </c>
      <c r="AM3774">
        <v>92.519455629966998</v>
      </c>
      <c r="AN3774">
        <v>0.99999999763287395</v>
      </c>
    </row>
    <row r="3775" spans="1:40" x14ac:dyDescent="0.25">
      <c r="A3775" t="str">
        <f>"20190312151614060"</f>
        <v>20190312151614060</v>
      </c>
      <c r="B3775" t="str">
        <f>"1552374974051851"</f>
        <v>1552374974051851</v>
      </c>
      <c r="C3775" t="s">
        <v>40</v>
      </c>
      <c r="D3775">
        <v>4.58812</v>
      </c>
      <c r="E3775">
        <v>0.53206549999999997</v>
      </c>
      <c r="F3775" t="s">
        <v>54</v>
      </c>
      <c r="G3775">
        <v>-738.71270000000004</v>
      </c>
      <c r="H3775">
        <v>-0.1</v>
      </c>
      <c r="I3775">
        <v>152.09549999999999</v>
      </c>
      <c r="J3775">
        <v>-251.71260000000001</v>
      </c>
      <c r="K3775">
        <v>1.109459</v>
      </c>
      <c r="L3775">
        <v>140.03120000000001</v>
      </c>
      <c r="M3775">
        <v>-0.9998397</v>
      </c>
      <c r="N3775">
        <v>0</v>
      </c>
      <c r="O3775">
        <v>-1.496021E-2</v>
      </c>
      <c r="P3775">
        <v>-0.99256800000000001</v>
      </c>
      <c r="Q3775">
        <v>0.1076324</v>
      </c>
      <c r="R3775">
        <v>-5.6778549999999997E-2</v>
      </c>
      <c r="S3775">
        <v>-3.027374</v>
      </c>
      <c r="T3775">
        <v>-7.5134039999999996E-3</v>
      </c>
      <c r="U3775">
        <v>7.4920650000000005E-2</v>
      </c>
      <c r="V3775">
        <v>-4.1887979999999998E-2</v>
      </c>
      <c r="W3775">
        <v>0.1174198</v>
      </c>
      <c r="X3775">
        <v>0.99219860000000004</v>
      </c>
      <c r="Y3775">
        <v>3.9693579999999999E-2</v>
      </c>
      <c r="Z3775" s="1">
        <v>8.6373899999999895E-5</v>
      </c>
      <c r="AA3775">
        <v>0.99921190000000004</v>
      </c>
      <c r="AB3775">
        <v>34</v>
      </c>
      <c r="AC3775">
        <v>-487.00009999999997</v>
      </c>
      <c r="AD3775">
        <v>-1.2094590000000001</v>
      </c>
      <c r="AE3775">
        <v>12.0642999999999</v>
      </c>
      <c r="AF3775">
        <v>19.3488067798298</v>
      </c>
      <c r="AG3775">
        <v>-1.2094590000000001</v>
      </c>
      <c r="AH3775">
        <v>486.76210088255698</v>
      </c>
      <c r="AI3775">
        <v>90.142250335025906</v>
      </c>
      <c r="AJ3775">
        <v>87.723689603534197</v>
      </c>
      <c r="AK3775">
        <v>487.14800827928701</v>
      </c>
      <c r="AL3775">
        <v>83.256785071226503</v>
      </c>
      <c r="AM3775">
        <v>92.417439556815197</v>
      </c>
      <c r="AN3775">
        <v>1.0000000370712301</v>
      </c>
    </row>
    <row r="3776" spans="1:40" x14ac:dyDescent="0.25">
      <c r="A3776" t="str">
        <f>"20190312151614083"</f>
        <v>20190312151614083</v>
      </c>
      <c r="B3776" t="str">
        <f>"1552374974071371"</f>
        <v>1552374974071371</v>
      </c>
      <c r="C3776" t="s">
        <v>40</v>
      </c>
      <c r="D3776">
        <v>4.627256</v>
      </c>
      <c r="E3776">
        <v>0.53194509999999995</v>
      </c>
      <c r="F3776" t="s">
        <v>46</v>
      </c>
      <c r="G3776">
        <v>0</v>
      </c>
      <c r="H3776">
        <v>0</v>
      </c>
      <c r="I3776">
        <v>0</v>
      </c>
      <c r="J3776">
        <v>-252.0496</v>
      </c>
      <c r="K3776">
        <v>1.109499</v>
      </c>
      <c r="L3776">
        <v>140.02610000000001</v>
      </c>
      <c r="M3776">
        <v>-0.99983949999999999</v>
      </c>
      <c r="N3776">
        <v>0</v>
      </c>
      <c r="O3776">
        <v>-1.497953E-2</v>
      </c>
      <c r="P3776">
        <v>-0.99246699999999999</v>
      </c>
      <c r="Q3776">
        <v>0.1092616</v>
      </c>
      <c r="R3776">
        <v>-5.5418799999999997E-2</v>
      </c>
      <c r="S3776">
        <v>-3.026764</v>
      </c>
      <c r="T3776">
        <v>2.5894640000000001E-3</v>
      </c>
      <c r="U3776">
        <v>8.0490110000000004E-2</v>
      </c>
      <c r="V3776">
        <v>-4.0521349999999998E-2</v>
      </c>
      <c r="W3776">
        <v>0.1190264</v>
      </c>
      <c r="X3776">
        <v>0.9920639</v>
      </c>
      <c r="Y3776">
        <v>4.155536E-2</v>
      </c>
      <c r="Z3776" s="1">
        <v>-3.0586580000000002E-5</v>
      </c>
      <c r="AA3776">
        <v>0.99913620000000003</v>
      </c>
      <c r="AB3776">
        <v>34</v>
      </c>
      <c r="AC3776">
        <v>-3.026764</v>
      </c>
      <c r="AD3776">
        <v>2.5894640000000001E-3</v>
      </c>
      <c r="AE3776">
        <v>8.0490110000000004E-2</v>
      </c>
      <c r="AF3776">
        <v>0.125822678078025</v>
      </c>
      <c r="AG3776">
        <v>2.5894640000000001E-3</v>
      </c>
      <c r="AH3776">
        <v>3.0252163910292702</v>
      </c>
      <c r="AI3776">
        <v>89.950999483849301</v>
      </c>
      <c r="AJ3776">
        <v>87.618366774470701</v>
      </c>
      <c r="AK3776">
        <v>3.0278329320150199</v>
      </c>
      <c r="AL3776">
        <v>83.164083455796401</v>
      </c>
      <c r="AM3776">
        <v>92.338974822788899</v>
      </c>
      <c r="AN3776">
        <v>1.0000000226929899</v>
      </c>
    </row>
    <row r="3777" spans="1:40" x14ac:dyDescent="0.25">
      <c r="A3777" t="str">
        <f>"20190312151614105"</f>
        <v>20190312151614105</v>
      </c>
      <c r="B3777" t="str">
        <f>"1552374974101626"</f>
        <v>1552374974101626</v>
      </c>
      <c r="C3777" t="s">
        <v>40</v>
      </c>
      <c r="D3777">
        <v>4.6281970000000001</v>
      </c>
      <c r="E3777">
        <v>0.53092499999999998</v>
      </c>
      <c r="F3777" t="s">
        <v>46</v>
      </c>
      <c r="G3777">
        <v>0</v>
      </c>
      <c r="H3777">
        <v>0</v>
      </c>
      <c r="I3777">
        <v>0</v>
      </c>
      <c r="J3777">
        <v>-252.39580000000001</v>
      </c>
      <c r="K3777">
        <v>1.1095469999999901</v>
      </c>
      <c r="L3777">
        <v>140.02099999999999</v>
      </c>
      <c r="M3777">
        <v>-0.99983880000000003</v>
      </c>
      <c r="N3777">
        <v>0</v>
      </c>
      <c r="O3777">
        <v>-1.5038070000000001E-2</v>
      </c>
      <c r="P3777">
        <v>-0.99233660000000001</v>
      </c>
      <c r="Q3777">
        <v>0.11121449999999999</v>
      </c>
      <c r="R3777">
        <v>-5.384535E-2</v>
      </c>
      <c r="S3777">
        <v>-3.0261230000000001</v>
      </c>
      <c r="T3777">
        <v>1.1869909999999999E-2</v>
      </c>
      <c r="U3777">
        <v>8.3724980000000004E-2</v>
      </c>
      <c r="V3777">
        <v>-3.8902810000000003E-2</v>
      </c>
      <c r="W3777">
        <v>0.12095880000000001</v>
      </c>
      <c r="X3777">
        <v>0.99189490000000002</v>
      </c>
      <c r="Y3777">
        <v>4.2686290000000002E-2</v>
      </c>
      <c r="Z3777">
        <v>-1.42681E-4</v>
      </c>
      <c r="AA3777">
        <v>0.99908850000000005</v>
      </c>
      <c r="AB3777">
        <v>34</v>
      </c>
      <c r="AC3777">
        <v>-3.0261230000000001</v>
      </c>
      <c r="AD3777">
        <v>1.1869909999999999E-2</v>
      </c>
      <c r="AE3777">
        <v>8.3724980000000004E-2</v>
      </c>
      <c r="AF3777">
        <v>0.12922276418214201</v>
      </c>
      <c r="AG3777">
        <v>1.1869909999999999E-2</v>
      </c>
      <c r="AH3777">
        <v>3.0244751573774802</v>
      </c>
      <c r="AI3777">
        <v>89.775342059257</v>
      </c>
      <c r="AJ3777">
        <v>87.553486703398704</v>
      </c>
      <c r="AK3777">
        <v>3.0272577351688801</v>
      </c>
      <c r="AL3777">
        <v>83.052558965808998</v>
      </c>
      <c r="AM3777">
        <v>92.246029257141998</v>
      </c>
      <c r="AN3777">
        <v>0.99999997628467197</v>
      </c>
    </row>
    <row r="3778" spans="1:40" x14ac:dyDescent="0.25">
      <c r="A3778" t="str">
        <f>"20190312151614127"</f>
        <v>20190312151614127</v>
      </c>
      <c r="B3778" t="str">
        <f>"1552374974122123"</f>
        <v>1552374974122123</v>
      </c>
      <c r="C3778" t="s">
        <v>40</v>
      </c>
      <c r="D3778">
        <v>4.7449059999999896</v>
      </c>
      <c r="E3778">
        <v>0.53095009999999998</v>
      </c>
      <c r="F3778" t="s">
        <v>41</v>
      </c>
      <c r="G3778">
        <v>-253.23779999999999</v>
      </c>
      <c r="H3778">
        <v>1.0354300000000001</v>
      </c>
      <c r="I3778">
        <v>140.04220000000001</v>
      </c>
      <c r="J3778">
        <v>-252.7302</v>
      </c>
      <c r="K3778">
        <v>1.1095900000000001</v>
      </c>
      <c r="L3778">
        <v>140.01589999999999</v>
      </c>
      <c r="M3778">
        <v>-0.99983759999999999</v>
      </c>
      <c r="N3778">
        <v>0</v>
      </c>
      <c r="O3778">
        <v>-1.5121280000000001E-2</v>
      </c>
      <c r="P3778">
        <v>-0.99210830000000005</v>
      </c>
      <c r="Q3778">
        <v>0.1139096</v>
      </c>
      <c r="R3778">
        <v>-5.2400740000000001E-2</v>
      </c>
      <c r="S3778">
        <v>-3.05748</v>
      </c>
      <c r="T3778">
        <v>-0.26918160000000002</v>
      </c>
      <c r="U3778">
        <v>7.6538090000000003E-2</v>
      </c>
      <c r="V3778">
        <v>-3.738913E-2</v>
      </c>
      <c r="W3778">
        <v>0.123636</v>
      </c>
      <c r="X3778">
        <v>0.99162300000000003</v>
      </c>
      <c r="Y3778">
        <v>3.992681E-2</v>
      </c>
      <c r="Z3778">
        <v>3.0825140000000002E-3</v>
      </c>
      <c r="AA3778">
        <v>0.99919780000000002</v>
      </c>
      <c r="AB3778">
        <v>34</v>
      </c>
      <c r="AC3778">
        <v>-0.50759999999999605</v>
      </c>
      <c r="AD3778">
        <v>-7.4160000000000004E-2</v>
      </c>
      <c r="AE3778">
        <v>2.6300000000020401E-2</v>
      </c>
      <c r="AF3778">
        <v>3.3264787427367298E-2</v>
      </c>
      <c r="AG3778">
        <v>-7.4160000000000004E-2</v>
      </c>
      <c r="AH3778">
        <v>0.49657327044688399</v>
      </c>
      <c r="AI3778">
        <v>98.475257985451705</v>
      </c>
      <c r="AJ3778">
        <v>86.167557246650901</v>
      </c>
      <c r="AK3778">
        <v>0.50318114492188803</v>
      </c>
      <c r="AL3778">
        <v>82.898006608263799</v>
      </c>
      <c r="AM3778">
        <v>92.159313600918594</v>
      </c>
      <c r="AN3778">
        <v>0.99999999083357805</v>
      </c>
    </row>
    <row r="3779" spans="1:40" x14ac:dyDescent="0.25">
      <c r="A3779" t="str">
        <f>"20190312151614149"</f>
        <v>20190312151614149</v>
      </c>
      <c r="B3779" t="str">
        <f>"1552374974141646"</f>
        <v>1552374974141646</v>
      </c>
      <c r="C3779" t="s">
        <v>40</v>
      </c>
      <c r="D3779">
        <v>4.7254050000000003</v>
      </c>
      <c r="E3779">
        <v>0.53161359999999902</v>
      </c>
      <c r="F3779" t="s">
        <v>41</v>
      </c>
      <c r="G3779">
        <v>-253.54509999999999</v>
      </c>
      <c r="H3779">
        <v>1.0402750000000001</v>
      </c>
      <c r="I3779">
        <v>140.0378</v>
      </c>
      <c r="J3779">
        <v>-253.06780000000001</v>
      </c>
      <c r="K3779">
        <v>1.109632</v>
      </c>
      <c r="L3779">
        <v>140.01070000000001</v>
      </c>
      <c r="M3779">
        <v>-0.99983619999999995</v>
      </c>
      <c r="N3779">
        <v>0</v>
      </c>
      <c r="O3779">
        <v>-1.5222319999999999E-2</v>
      </c>
      <c r="P3779">
        <v>-0.99187009999999998</v>
      </c>
      <c r="Q3779">
        <v>0.11676690000000001</v>
      </c>
      <c r="R3779">
        <v>-5.0589479999999999E-2</v>
      </c>
      <c r="S3779">
        <v>-3.0580440000000002</v>
      </c>
      <c r="T3779">
        <v>-0.26026080000000001</v>
      </c>
      <c r="U3779">
        <v>8.1420899999999893E-2</v>
      </c>
      <c r="V3779">
        <v>-3.5491019999999998E-2</v>
      </c>
      <c r="W3779">
        <v>0.1264779</v>
      </c>
      <c r="X3779">
        <v>0.9913343</v>
      </c>
      <c r="Y3779">
        <v>4.1624910000000001E-2</v>
      </c>
      <c r="Z3779">
        <v>3.0608269999999999E-3</v>
      </c>
      <c r="AA3779">
        <v>0.99912860000000003</v>
      </c>
      <c r="AB3779">
        <v>34</v>
      </c>
      <c r="AC3779">
        <v>-0.47729999999998501</v>
      </c>
      <c r="AD3779">
        <v>-6.9356999999999794E-2</v>
      </c>
      <c r="AE3779">
        <v>2.7099999999990101E-2</v>
      </c>
      <c r="AF3779">
        <v>3.3654479582624901E-2</v>
      </c>
      <c r="AG3779">
        <v>-6.9356999999999794E-2</v>
      </c>
      <c r="AH3779">
        <v>0.46700291622409201</v>
      </c>
      <c r="AI3779">
        <v>98.426006680190198</v>
      </c>
      <c r="AJ3779">
        <v>85.878115739228605</v>
      </c>
      <c r="AK3779">
        <v>0.473323083323414</v>
      </c>
      <c r="AL3779">
        <v>82.733889223148196</v>
      </c>
      <c r="AM3779">
        <v>92.050385556774501</v>
      </c>
      <c r="AN3779">
        <v>0.99999998302277004</v>
      </c>
    </row>
    <row r="3780" spans="1:40" x14ac:dyDescent="0.25">
      <c r="A3780" t="str">
        <f>"20190312151614171"</f>
        <v>20190312151614171</v>
      </c>
      <c r="B3780" t="str">
        <f>"1552374974162138"</f>
        <v>1552374974162138</v>
      </c>
      <c r="C3780" t="s">
        <v>40</v>
      </c>
      <c r="D3780">
        <v>4.0623519999999997</v>
      </c>
      <c r="E3780">
        <v>0.53509240000000002</v>
      </c>
      <c r="F3780" t="s">
        <v>41</v>
      </c>
      <c r="G3780">
        <v>-253.85120000000001</v>
      </c>
      <c r="H3780">
        <v>1.0420020000000001</v>
      </c>
      <c r="I3780">
        <v>140.0343</v>
      </c>
      <c r="J3780">
        <v>-253.40729999999999</v>
      </c>
      <c r="K3780">
        <v>1.1096680000000001</v>
      </c>
      <c r="L3780">
        <v>140.00550000000001</v>
      </c>
      <c r="M3780">
        <v>-0.99983460000000002</v>
      </c>
      <c r="N3780">
        <v>0</v>
      </c>
      <c r="O3780">
        <v>-1.533605E-2</v>
      </c>
      <c r="P3780">
        <v>-0.99174499999999999</v>
      </c>
      <c r="Q3780">
        <v>0.118989899999999</v>
      </c>
      <c r="R3780">
        <v>-4.7786410000000001E-2</v>
      </c>
      <c r="S3780">
        <v>-3.0603940000000001</v>
      </c>
      <c r="T3780">
        <v>-0.2642506</v>
      </c>
      <c r="U3780">
        <v>9.2041020000000001E-2</v>
      </c>
      <c r="V3780">
        <v>-3.2584790000000002E-2</v>
      </c>
      <c r="W3780">
        <v>0.12868889999999999</v>
      </c>
      <c r="X3780">
        <v>0.99114950000000002</v>
      </c>
      <c r="Y3780">
        <v>4.5162689999999998E-2</v>
      </c>
      <c r="Z3780">
        <v>3.267275E-3</v>
      </c>
      <c r="AA3780">
        <v>0.99897429999999998</v>
      </c>
      <c r="AB3780">
        <v>34</v>
      </c>
      <c r="AC3780">
        <v>-0.44390000000001301</v>
      </c>
      <c r="AD3780">
        <v>-6.7665999999999907E-2</v>
      </c>
      <c r="AE3780">
        <v>2.8799999999989698E-2</v>
      </c>
      <c r="AF3780">
        <v>3.4799384203492899E-2</v>
      </c>
      <c r="AG3780">
        <v>-6.7665999999999907E-2</v>
      </c>
      <c r="AH3780">
        <v>0.433378111799469</v>
      </c>
      <c r="AI3780">
        <v>98.846271658198503</v>
      </c>
      <c r="AJ3780">
        <v>85.409115079622794</v>
      </c>
      <c r="AK3780">
        <v>0.44000712776478501</v>
      </c>
      <c r="AL3780">
        <v>82.606164314988803</v>
      </c>
      <c r="AM3780">
        <v>91.8829639344941</v>
      </c>
      <c r="AN3780">
        <v>0.99999996643640099</v>
      </c>
    </row>
    <row r="3781" spans="1:40" x14ac:dyDescent="0.25">
      <c r="A3781" t="str">
        <f>"20190312151614194"</f>
        <v>20190312151614194</v>
      </c>
      <c r="B3781" t="str">
        <f>"1552374974191419"</f>
        <v>1552374974191419</v>
      </c>
      <c r="C3781" t="s">
        <v>40</v>
      </c>
      <c r="D3781">
        <v>4.7750149999999998</v>
      </c>
      <c r="E3781">
        <v>0.54084009999999905</v>
      </c>
      <c r="F3781" t="s">
        <v>43</v>
      </c>
      <c r="G3781">
        <v>-275.09320000000002</v>
      </c>
      <c r="H3781" s="1">
        <v>-2.435984E-6</v>
      </c>
      <c r="I3781">
        <v>140.92660000000001</v>
      </c>
      <c r="J3781">
        <v>-253.74930000000001</v>
      </c>
      <c r="K3781">
        <v>1.109683</v>
      </c>
      <c r="L3781">
        <v>140.00020000000001</v>
      </c>
      <c r="M3781">
        <v>-0.99983270000000002</v>
      </c>
      <c r="N3781">
        <v>0</v>
      </c>
      <c r="O3781">
        <v>-1.545972E-2</v>
      </c>
      <c r="P3781">
        <v>-0.99164189999999997</v>
      </c>
      <c r="Q3781">
        <v>0.1213255</v>
      </c>
      <c r="R3781">
        <v>-4.3891810000000003E-2</v>
      </c>
      <c r="S3781">
        <v>-3.0499269999999998</v>
      </c>
      <c r="T3781">
        <v>-0.1560656</v>
      </c>
      <c r="U3781">
        <v>0.1295471</v>
      </c>
      <c r="V3781">
        <v>-2.8575059999999999E-2</v>
      </c>
      <c r="W3781">
        <v>0.1310151</v>
      </c>
      <c r="X3781">
        <v>0.99096850000000003</v>
      </c>
      <c r="Y3781">
        <v>5.7783019999999997E-2</v>
      </c>
      <c r="Z3781">
        <v>2.2670400000000001E-3</v>
      </c>
      <c r="AA3781">
        <v>0.99832659999999995</v>
      </c>
      <c r="AB3781">
        <v>34</v>
      </c>
      <c r="AC3781">
        <v>-21.343900000000001</v>
      </c>
      <c r="AD3781">
        <v>-1.109685435984</v>
      </c>
      <c r="AE3781">
        <v>0.926400000000001</v>
      </c>
      <c r="AF3781">
        <v>1.25289550623832</v>
      </c>
      <c r="AG3781">
        <v>-1.109685435984</v>
      </c>
      <c r="AH3781">
        <v>21.2696418530427</v>
      </c>
      <c r="AI3781">
        <v>92.981384306060505</v>
      </c>
      <c r="AJ3781">
        <v>86.628868064081999</v>
      </c>
      <c r="AK3781">
        <v>21.335388758424202</v>
      </c>
      <c r="AL3781">
        <v>82.471745233182602</v>
      </c>
      <c r="AM3781">
        <v>91.651694060813895</v>
      </c>
      <c r="AN3781">
        <v>1.0000000292371301</v>
      </c>
    </row>
    <row r="3782" spans="1:40" x14ac:dyDescent="0.25">
      <c r="A3782" t="str">
        <f>"20190312151614218"</f>
        <v>20190312151614218</v>
      </c>
      <c r="B3782" t="str">
        <f>"1552374974211914"</f>
        <v>1552374974211914</v>
      </c>
      <c r="C3782" t="s">
        <v>40</v>
      </c>
      <c r="D3782">
        <v>5.0289929999999998</v>
      </c>
      <c r="E3782">
        <v>0.54367030000000005</v>
      </c>
      <c r="F3782" t="s">
        <v>58</v>
      </c>
      <c r="G3782">
        <v>-284.17790000000002</v>
      </c>
      <c r="H3782" s="1">
        <v>-6.2022030000000004E-6</v>
      </c>
      <c r="I3782">
        <v>141.8783</v>
      </c>
      <c r="J3782">
        <v>-254.12289999999999</v>
      </c>
      <c r="K3782">
        <v>1.109694</v>
      </c>
      <c r="L3782">
        <v>139.99420000000001</v>
      </c>
      <c r="M3782">
        <v>-0.99983069999999996</v>
      </c>
      <c r="N3782">
        <v>0</v>
      </c>
      <c r="O3782">
        <v>-1.560097E-2</v>
      </c>
      <c r="P3782">
        <v>-0.99160360000000003</v>
      </c>
      <c r="Q3782">
        <v>0.1229225</v>
      </c>
      <c r="R3782">
        <v>-4.0160019999999998E-2</v>
      </c>
      <c r="S3782">
        <v>-3.0472109999999999</v>
      </c>
      <c r="T3782">
        <v>-0.11112760000000001</v>
      </c>
      <c r="U3782">
        <v>0.18807979999999999</v>
      </c>
      <c r="V3782">
        <v>-2.4708049999999999E-2</v>
      </c>
      <c r="W3782">
        <v>0.1326051</v>
      </c>
      <c r="X3782">
        <v>0.99086090000000004</v>
      </c>
      <c r="Y3782">
        <v>7.7107919999999996E-2</v>
      </c>
      <c r="Z3782">
        <v>1.9725039999999999E-3</v>
      </c>
      <c r="AA3782">
        <v>0.99702080000000004</v>
      </c>
      <c r="AB3782">
        <v>34</v>
      </c>
      <c r="AC3782">
        <v>-30.055</v>
      </c>
      <c r="AD3782">
        <v>-1.109700202203</v>
      </c>
      <c r="AE3782">
        <v>1.8840999999999799</v>
      </c>
      <c r="AF3782">
        <v>2.3495895909085598</v>
      </c>
      <c r="AG3782">
        <v>-1.109700202203</v>
      </c>
      <c r="AH3782">
        <v>29.981234547493099</v>
      </c>
      <c r="AI3782">
        <v>92.113256555753594</v>
      </c>
      <c r="AJ3782">
        <v>85.518964417276095</v>
      </c>
      <c r="AK3782">
        <v>30.093627743698001</v>
      </c>
      <c r="AL3782">
        <v>82.379842571084595</v>
      </c>
      <c r="AM3782">
        <v>91.428428221633098</v>
      </c>
      <c r="AN3782">
        <v>0.99999996171480998</v>
      </c>
    </row>
    <row r="3783" spans="1:40" x14ac:dyDescent="0.25">
      <c r="A3783" t="str">
        <f>"20190312151614241"</f>
        <v>20190312151614241</v>
      </c>
      <c r="B3783" t="str">
        <f>"1552374974231434"</f>
        <v>1552374974231434</v>
      </c>
      <c r="C3783" t="s">
        <v>40</v>
      </c>
      <c r="D3783">
        <v>4.850346</v>
      </c>
      <c r="E3783">
        <v>0.54614669999999998</v>
      </c>
      <c r="F3783" t="s">
        <v>58</v>
      </c>
      <c r="G3783">
        <v>-299.58670000000001</v>
      </c>
      <c r="H3783" s="1">
        <v>-9.0598439999999996E-6</v>
      </c>
      <c r="I3783">
        <v>143.32060000000001</v>
      </c>
      <c r="J3783">
        <v>-254.45830000000001</v>
      </c>
      <c r="K3783">
        <v>1.1097060000000001</v>
      </c>
      <c r="L3783">
        <v>139.9889</v>
      </c>
      <c r="M3783">
        <v>-0.99982850000000001</v>
      </c>
      <c r="N3783">
        <v>0</v>
      </c>
      <c r="O3783">
        <v>-1.5729179999999999E-2</v>
      </c>
      <c r="P3783">
        <v>-0.99149569999999998</v>
      </c>
      <c r="Q3783">
        <v>0.12502170000000001</v>
      </c>
      <c r="R3783">
        <v>-3.6136840000000003E-2</v>
      </c>
      <c r="S3783">
        <v>-3.043625</v>
      </c>
      <c r="T3783">
        <v>-7.429028E-2</v>
      </c>
      <c r="U3783">
        <v>0.22268679999999999</v>
      </c>
      <c r="V3783">
        <v>-2.0563080000000001E-2</v>
      </c>
      <c r="W3783">
        <v>0.13469619999999999</v>
      </c>
      <c r="X3783">
        <v>0.99067349999999998</v>
      </c>
      <c r="Y3783">
        <v>8.8617989999999994E-2</v>
      </c>
      <c r="Z3783">
        <v>1.4633300000000001E-3</v>
      </c>
      <c r="AA3783">
        <v>0.99606459999999997</v>
      </c>
      <c r="AB3783">
        <v>34</v>
      </c>
      <c r="AC3783">
        <v>-45.128399999999999</v>
      </c>
      <c r="AD3783">
        <v>-1.10971505984399</v>
      </c>
      <c r="AE3783">
        <v>3.3317000000000099</v>
      </c>
      <c r="AF3783">
        <v>4.0387255542566898</v>
      </c>
      <c r="AG3783">
        <v>-1.10971505984399</v>
      </c>
      <c r="AH3783">
        <v>45.0433201745563</v>
      </c>
      <c r="AI3783">
        <v>91.405651962066401</v>
      </c>
      <c r="AJ3783">
        <v>84.876381554714598</v>
      </c>
      <c r="AK3783">
        <v>45.237633271030397</v>
      </c>
      <c r="AL3783">
        <v>82.258946592723902</v>
      </c>
      <c r="AM3783">
        <v>91.189098668524693</v>
      </c>
      <c r="AN3783">
        <v>0.99999994507788603</v>
      </c>
    </row>
    <row r="3784" spans="1:40" x14ac:dyDescent="0.25">
      <c r="A3784" t="str">
        <f>"20190312151614260"</f>
        <v>20190312151614260</v>
      </c>
      <c r="B3784" t="str">
        <f>"1552374974251931"</f>
        <v>1552374974251931</v>
      </c>
      <c r="C3784" t="s">
        <v>40</v>
      </c>
      <c r="D3784">
        <v>5.1435899999999997</v>
      </c>
      <c r="E3784">
        <v>0.54818319999999998</v>
      </c>
      <c r="F3784" t="s">
        <v>43</v>
      </c>
      <c r="G3784">
        <v>-367.12569999999999</v>
      </c>
      <c r="H3784" s="1">
        <v>-3.5938190000000001E-6</v>
      </c>
      <c r="I3784">
        <v>149.44069999999999</v>
      </c>
      <c r="J3784">
        <v>-254.774</v>
      </c>
      <c r="K3784">
        <v>1.109712</v>
      </c>
      <c r="L3784">
        <v>139.98390000000001</v>
      </c>
      <c r="M3784">
        <v>-0.99982689999999996</v>
      </c>
      <c r="N3784">
        <v>0</v>
      </c>
      <c r="O3784">
        <v>-1.5849240000000001E-2</v>
      </c>
      <c r="P3784">
        <v>-0.99145030000000001</v>
      </c>
      <c r="Q3784">
        <v>0.12658169999999999</v>
      </c>
      <c r="R3784">
        <v>-3.1680239999999998E-2</v>
      </c>
      <c r="S3784">
        <v>-3.0387879999999998</v>
      </c>
      <c r="T3784">
        <v>-2.9930350000000001E-2</v>
      </c>
      <c r="U3784">
        <v>0.25492860000000001</v>
      </c>
      <c r="V3784">
        <v>-1.599097E-2</v>
      </c>
      <c r="W3784">
        <v>0.13624720000000001</v>
      </c>
      <c r="X3784">
        <v>0.99054580000000003</v>
      </c>
      <c r="Y3784">
        <v>9.9376350000000002E-2</v>
      </c>
      <c r="Z3784">
        <v>6.4438790000000004E-4</v>
      </c>
      <c r="AA3784">
        <v>0.99504970000000004</v>
      </c>
      <c r="AB3784">
        <v>34</v>
      </c>
      <c r="AC3784">
        <v>-112.35169999999999</v>
      </c>
      <c r="AD3784">
        <v>-1.109715593819</v>
      </c>
      <c r="AE3784">
        <v>9.4567999999999799</v>
      </c>
      <c r="AF3784">
        <v>11.235297282090601</v>
      </c>
      <c r="AG3784">
        <v>-1.109715593819</v>
      </c>
      <c r="AH3784">
        <v>112.176829490553</v>
      </c>
      <c r="AI3784">
        <v>90.563961802976394</v>
      </c>
      <c r="AJ3784">
        <v>84.280499327337296</v>
      </c>
      <c r="AK3784">
        <v>112.743533953255</v>
      </c>
      <c r="AL3784">
        <v>82.169254370563195</v>
      </c>
      <c r="AM3784">
        <v>90.924879506260794</v>
      </c>
      <c r="AN3784">
        <v>0.99999999626350999</v>
      </c>
    </row>
    <row r="3785" spans="1:40" x14ac:dyDescent="0.25">
      <c r="A3785" t="str">
        <f>"20190312151614284"</f>
        <v>20190312151614284</v>
      </c>
      <c r="B3785" t="str">
        <f>"1552374974281211"</f>
        <v>1552374974281211</v>
      </c>
      <c r="C3785" t="s">
        <v>40</v>
      </c>
      <c r="D3785">
        <v>4.7257720000000001</v>
      </c>
      <c r="E3785">
        <v>0.55008760000000001</v>
      </c>
      <c r="F3785" t="s">
        <v>48</v>
      </c>
      <c r="G3785">
        <v>-502.01440000000002</v>
      </c>
      <c r="H3785">
        <v>1.0452900000000001</v>
      </c>
      <c r="I3785">
        <v>163.17330000000001</v>
      </c>
      <c r="J3785">
        <v>-255.13220000000001</v>
      </c>
      <c r="K3785">
        <v>1.1097129999999999</v>
      </c>
      <c r="L3785">
        <v>139.97810000000001</v>
      </c>
      <c r="M3785">
        <v>-0.99982490000000002</v>
      </c>
      <c r="N3785">
        <v>0</v>
      </c>
      <c r="O3785">
        <v>-1.5983810000000001E-2</v>
      </c>
      <c r="P3785">
        <v>-0.99145399999999995</v>
      </c>
      <c r="Q3785">
        <v>0.12693550000000001</v>
      </c>
      <c r="R3785">
        <v>-3.0106330000000001E-2</v>
      </c>
      <c r="S3785">
        <v>-3.0350649999999999</v>
      </c>
      <c r="T3785">
        <v>-7.9083440000000005E-4</v>
      </c>
      <c r="U3785">
        <v>0.28466799999999998</v>
      </c>
      <c r="V3785">
        <v>-1.4284689999999999E-2</v>
      </c>
      <c r="W3785">
        <v>0.13658729999999999</v>
      </c>
      <c r="X3785">
        <v>0.99052499999999999</v>
      </c>
      <c r="Y3785">
        <v>0.10928599999999999</v>
      </c>
      <c r="Z3785" s="1">
        <v>1.836348E-5</v>
      </c>
      <c r="AA3785">
        <v>0.99401030000000001</v>
      </c>
      <c r="AB3785">
        <v>34</v>
      </c>
      <c r="AC3785">
        <v>-246.88220000000001</v>
      </c>
      <c r="AD3785">
        <v>-6.4422999999999897E-2</v>
      </c>
      <c r="AE3785">
        <v>23.1952</v>
      </c>
      <c r="AF3785">
        <v>27.138539731987699</v>
      </c>
      <c r="AG3785">
        <v>-6.4422999999999897E-2</v>
      </c>
      <c r="AH3785">
        <v>246.47987613687701</v>
      </c>
      <c r="AI3785">
        <v>90.014885569469996</v>
      </c>
      <c r="AJ3785">
        <v>83.716786620650296</v>
      </c>
      <c r="AK3785">
        <v>247.96942115824999</v>
      </c>
      <c r="AL3785">
        <v>82.149583896131603</v>
      </c>
      <c r="AM3785">
        <v>90.826224190772393</v>
      </c>
      <c r="AN3785">
        <v>0.99999995925734197</v>
      </c>
    </row>
    <row r="3786" spans="1:40" x14ac:dyDescent="0.25">
      <c r="A3786" t="str">
        <f>"20190312151614305"</f>
        <v>20190312151614305</v>
      </c>
      <c r="B3786" t="str">
        <f>"1552374974301707"</f>
        <v>1552374974301707</v>
      </c>
      <c r="C3786" t="s">
        <v>40</v>
      </c>
      <c r="D3786">
        <v>5.2717460000000003</v>
      </c>
      <c r="E3786">
        <v>0.55103069999999998</v>
      </c>
      <c r="F3786" t="s">
        <v>65</v>
      </c>
      <c r="G3786">
        <v>-459.2912</v>
      </c>
      <c r="H3786">
        <v>2.6000510000000001</v>
      </c>
      <c r="I3786">
        <v>160.52109999999999</v>
      </c>
      <c r="J3786">
        <v>-255.46879999999999</v>
      </c>
      <c r="K3786">
        <v>1.109718</v>
      </c>
      <c r="L3786">
        <v>139.9726</v>
      </c>
      <c r="M3786">
        <v>-0.99982300000000002</v>
      </c>
      <c r="N3786">
        <v>0</v>
      </c>
      <c r="O3786">
        <v>-1.610835E-2</v>
      </c>
      <c r="P3786">
        <v>-0.99132589999999998</v>
      </c>
      <c r="Q3786">
        <v>0.1285811</v>
      </c>
      <c r="R3786">
        <v>-2.7208079999999999E-2</v>
      </c>
      <c r="S3786">
        <v>-3.0322719999999999</v>
      </c>
      <c r="T3786">
        <v>2.213526E-2</v>
      </c>
      <c r="U3786">
        <v>0.30511470000000002</v>
      </c>
      <c r="V3786">
        <v>-1.1267249999999999E-2</v>
      </c>
      <c r="W3786">
        <v>0.138215899999999</v>
      </c>
      <c r="X3786">
        <v>0.99033800000000005</v>
      </c>
      <c r="Y3786">
        <v>0.1161286</v>
      </c>
      <c r="Z3786">
        <v>-5.4010699999999996E-4</v>
      </c>
      <c r="AA3786">
        <v>0.99323399999999995</v>
      </c>
      <c r="AB3786">
        <v>34</v>
      </c>
      <c r="AC3786">
        <v>-203.82239999999999</v>
      </c>
      <c r="AD3786">
        <v>1.4903329999999899</v>
      </c>
      <c r="AE3786">
        <v>20.548499999999901</v>
      </c>
      <c r="AF3786">
        <v>23.8279701831922</v>
      </c>
      <c r="AG3786">
        <v>1.4903329999999899</v>
      </c>
      <c r="AH3786">
        <v>203.454165842566</v>
      </c>
      <c r="AI3786">
        <v>89.583156091249506</v>
      </c>
      <c r="AJ3786">
        <v>83.320112599358197</v>
      </c>
      <c r="AK3786">
        <v>204.85016683956201</v>
      </c>
      <c r="AL3786">
        <v>82.05537856254</v>
      </c>
      <c r="AM3786">
        <v>90.651836059846403</v>
      </c>
      <c r="AN3786">
        <v>0.999999970089685</v>
      </c>
    </row>
    <row r="3787" spans="1:40" x14ac:dyDescent="0.25">
      <c r="A3787" t="str">
        <f>"20190312151614328"</f>
        <v>20190312151614328</v>
      </c>
      <c r="B3787" t="str">
        <f>"1552374974322203"</f>
        <v>1552374974322203</v>
      </c>
      <c r="C3787" t="s">
        <v>40</v>
      </c>
      <c r="D3787">
        <v>4.7117060000000004</v>
      </c>
      <c r="E3787">
        <v>0.55160640000000005</v>
      </c>
      <c r="F3787" t="s">
        <v>65</v>
      </c>
      <c r="G3787">
        <v>-459.58620000000002</v>
      </c>
      <c r="H3787">
        <v>3.637108</v>
      </c>
      <c r="I3787">
        <v>161.64660000000001</v>
      </c>
      <c r="J3787">
        <v>-255.81</v>
      </c>
      <c r="K3787">
        <v>1.109718</v>
      </c>
      <c r="L3787">
        <v>139.96700000000001</v>
      </c>
      <c r="M3787">
        <v>-0.99982119999999997</v>
      </c>
      <c r="N3787">
        <v>0</v>
      </c>
      <c r="O3787">
        <v>-1.6233569999999999E-2</v>
      </c>
      <c r="P3787">
        <v>-0.99125580000000002</v>
      </c>
      <c r="Q3787">
        <v>0.12965940000000001</v>
      </c>
      <c r="R3787">
        <v>-2.4508060000000002E-2</v>
      </c>
      <c r="S3787">
        <v>-3.0302280000000001</v>
      </c>
      <c r="T3787">
        <v>3.7520409999999997E-2</v>
      </c>
      <c r="U3787">
        <v>0.321762099999999</v>
      </c>
      <c r="V3787">
        <v>-8.445312E-3</v>
      </c>
      <c r="W3787">
        <v>0.1392746</v>
      </c>
      <c r="X3787">
        <v>0.99021780000000004</v>
      </c>
      <c r="Y3787">
        <v>0.1217097</v>
      </c>
      <c r="Z3787">
        <v>-9.5184679999999995E-4</v>
      </c>
      <c r="AA3787">
        <v>0.99256529999999998</v>
      </c>
      <c r="AB3787">
        <v>34</v>
      </c>
      <c r="AC3787">
        <v>-203.77619999999999</v>
      </c>
      <c r="AD3787">
        <v>2.52739</v>
      </c>
      <c r="AE3787">
        <v>21.679599999999901</v>
      </c>
      <c r="AF3787">
        <v>24.9811138976603</v>
      </c>
      <c r="AG3787">
        <v>2.52739</v>
      </c>
      <c r="AH3787">
        <v>203.36645791492001</v>
      </c>
      <c r="AI3787">
        <v>89.293289650301702</v>
      </c>
      <c r="AJ3787">
        <v>82.996987839361694</v>
      </c>
      <c r="AK3787">
        <v>204.91061455337299</v>
      </c>
      <c r="AL3787">
        <v>81.9941274557508</v>
      </c>
      <c r="AM3787">
        <v>90.488649065265193</v>
      </c>
      <c r="AN3787">
        <v>1.00000001446838</v>
      </c>
    </row>
    <row r="3788" spans="1:40" x14ac:dyDescent="0.25">
      <c r="A3788" t="str">
        <f>"20190312151614340"</f>
        <v>20190312151614340</v>
      </c>
      <c r="B3788" t="str">
        <f>"1552374974331963"</f>
        <v>1552374974331963</v>
      </c>
      <c r="C3788" t="s">
        <v>40</v>
      </c>
      <c r="D3788">
        <v>5.0824109999999996</v>
      </c>
      <c r="E3788">
        <v>0.5517784</v>
      </c>
      <c r="F3788" t="s">
        <v>65</v>
      </c>
      <c r="G3788">
        <v>-459.875</v>
      </c>
      <c r="H3788">
        <v>4.5669930000000001</v>
      </c>
      <c r="I3788">
        <v>162.5343</v>
      </c>
      <c r="J3788">
        <v>-256.01209999999998</v>
      </c>
      <c r="K3788">
        <v>1.1097170000000001</v>
      </c>
      <c r="L3788">
        <v>139.96369999999999</v>
      </c>
      <c r="M3788">
        <v>-0.99982020000000005</v>
      </c>
      <c r="N3788">
        <v>0</v>
      </c>
      <c r="O3788">
        <v>-1.6306359999999999E-2</v>
      </c>
      <c r="P3788">
        <v>-0.99121999999999999</v>
      </c>
      <c r="Q3788">
        <v>0.1301117</v>
      </c>
      <c r="R3788">
        <v>-2.3537570000000001E-2</v>
      </c>
      <c r="S3788">
        <v>-3.0280610000000001</v>
      </c>
      <c r="T3788">
        <v>5.1301480000000003E-2</v>
      </c>
      <c r="U3788">
        <v>0.33486939999999998</v>
      </c>
      <c r="V3788">
        <v>-7.4037030000000002E-3</v>
      </c>
      <c r="W3788">
        <v>0.1397137</v>
      </c>
      <c r="X3788">
        <v>0.9901643</v>
      </c>
      <c r="Y3788">
        <v>0.12609210000000001</v>
      </c>
      <c r="Z3788">
        <v>-1.3402749999999999E-3</v>
      </c>
      <c r="AA3788">
        <v>0.99201760000000005</v>
      </c>
      <c r="AB3788">
        <v>34</v>
      </c>
      <c r="AC3788">
        <v>-203.8629</v>
      </c>
      <c r="AD3788">
        <v>3.4572759999999998</v>
      </c>
      <c r="AE3788">
        <v>22.570599999999999</v>
      </c>
      <c r="AF3788">
        <v>25.884661999093201</v>
      </c>
      <c r="AG3788">
        <v>3.4572759999999998</v>
      </c>
      <c r="AH3788">
        <v>203.40993811377101</v>
      </c>
      <c r="AI3788">
        <v>89.034048855243796</v>
      </c>
      <c r="AJ3788">
        <v>82.74787964779</v>
      </c>
      <c r="AK3788">
        <v>205.079427070576</v>
      </c>
      <c r="AL3788">
        <v>81.9687206536437</v>
      </c>
      <c r="AM3788">
        <v>90.428406709222003</v>
      </c>
      <c r="AN3788">
        <v>1.0000000368901401</v>
      </c>
    </row>
    <row r="3789" spans="1:40" x14ac:dyDescent="0.25">
      <c r="A3789" t="str">
        <f>"20190312151614362"</f>
        <v>20190312151614362</v>
      </c>
      <c r="B3789" t="str">
        <f>"1552374974351483"</f>
        <v>1552374974351483</v>
      </c>
      <c r="C3789" t="s">
        <v>40</v>
      </c>
      <c r="D3789">
        <v>5.2929329999999997</v>
      </c>
      <c r="E3789">
        <v>0.55212090000000003</v>
      </c>
      <c r="F3789" t="s">
        <v>65</v>
      </c>
      <c r="G3789">
        <v>-459.875</v>
      </c>
      <c r="H3789">
        <v>4.9197360000000003</v>
      </c>
      <c r="I3789">
        <v>162.80590000000001</v>
      </c>
      <c r="J3789">
        <v>-256.33420000000001</v>
      </c>
      <c r="K3789">
        <v>1.1097129999999999</v>
      </c>
      <c r="L3789">
        <v>139.95830000000001</v>
      </c>
      <c r="M3789">
        <v>-0.9998184</v>
      </c>
      <c r="N3789">
        <v>0</v>
      </c>
      <c r="O3789">
        <v>-1.6419139999999999E-2</v>
      </c>
      <c r="P3789">
        <v>-0.99132500000000001</v>
      </c>
      <c r="Q3789">
        <v>0.12963519999999901</v>
      </c>
      <c r="R3789">
        <v>-2.1667120000000002E-2</v>
      </c>
      <c r="S3789">
        <v>-3.0271910000000002</v>
      </c>
      <c r="T3789">
        <v>5.6575540000000001E-2</v>
      </c>
      <c r="U3789">
        <v>0.33918759999999998</v>
      </c>
      <c r="V3789">
        <v>-5.4201099999999997E-3</v>
      </c>
      <c r="W3789">
        <v>0.13921839999999999</v>
      </c>
      <c r="X3789">
        <v>0.99024690000000004</v>
      </c>
      <c r="Y3789">
        <v>0.1276282</v>
      </c>
      <c r="Z3789">
        <v>-1.4947560000000001E-3</v>
      </c>
      <c r="AA3789">
        <v>0.99182090000000001</v>
      </c>
      <c r="AB3789">
        <v>35</v>
      </c>
      <c r="AC3789">
        <v>-203.54079999999999</v>
      </c>
      <c r="AD3789">
        <v>3.8100230000000002</v>
      </c>
      <c r="AE3789">
        <v>22.8476</v>
      </c>
      <c r="AF3789">
        <v>26.1775828146992</v>
      </c>
      <c r="AG3789">
        <v>3.8100230000000002</v>
      </c>
      <c r="AH3789">
        <v>203.067936317197</v>
      </c>
      <c r="AI3789">
        <v>88.933944349833695</v>
      </c>
      <c r="AJ3789">
        <v>82.6544844955272</v>
      </c>
      <c r="AK3789">
        <v>204.783712431937</v>
      </c>
      <c r="AL3789">
        <v>81.997379296407004</v>
      </c>
      <c r="AM3789">
        <v>90.313604946694298</v>
      </c>
      <c r="AN3789">
        <v>1.00000003172529</v>
      </c>
    </row>
    <row r="3790" spans="1:40" x14ac:dyDescent="0.25">
      <c r="A3790" t="str">
        <f>"20190312151614383"</f>
        <v>20190312151614383</v>
      </c>
      <c r="B3790" t="str">
        <f>"1552374974381739"</f>
        <v>1552374974381739</v>
      </c>
      <c r="C3790" t="s">
        <v>40</v>
      </c>
      <c r="D3790">
        <v>4.429627</v>
      </c>
      <c r="E3790">
        <v>0.55214149999999995</v>
      </c>
      <c r="F3790" t="s">
        <v>65</v>
      </c>
      <c r="G3790">
        <v>-459.875</v>
      </c>
      <c r="H3790">
        <v>5.2762000000000002</v>
      </c>
      <c r="I3790">
        <v>163.3409</v>
      </c>
      <c r="J3790">
        <v>-256.67570000000001</v>
      </c>
      <c r="K3790">
        <v>1.1096999999999999</v>
      </c>
      <c r="L3790">
        <v>139.95259999999999</v>
      </c>
      <c r="M3790">
        <v>-0.99981690000000001</v>
      </c>
      <c r="N3790">
        <v>0</v>
      </c>
      <c r="O3790">
        <v>-1.6532020000000001E-2</v>
      </c>
      <c r="P3790">
        <v>-0.99137439999999999</v>
      </c>
      <c r="Q3790">
        <v>0.12939519999999999</v>
      </c>
      <c r="R3790">
        <v>-2.0831889999999999E-2</v>
      </c>
      <c r="S3790">
        <v>-3.025757</v>
      </c>
      <c r="T3790">
        <v>6.1937329999999999E-2</v>
      </c>
      <c r="U3790">
        <v>0.34759519999999999</v>
      </c>
      <c r="V3790">
        <v>-4.4707050000000002E-3</v>
      </c>
      <c r="W3790">
        <v>0.13895969999999999</v>
      </c>
      <c r="X3790">
        <v>0.99028799999999995</v>
      </c>
      <c r="Y3790">
        <v>0.13050690000000001</v>
      </c>
      <c r="Z3790">
        <v>-1.668575E-3</v>
      </c>
      <c r="AA3790">
        <v>0.99144600000000005</v>
      </c>
      <c r="AB3790">
        <v>35</v>
      </c>
      <c r="AC3790">
        <v>-203.19929999999999</v>
      </c>
      <c r="AD3790">
        <v>4.1665000000000001</v>
      </c>
      <c r="AE3790">
        <v>23.388300000000001</v>
      </c>
      <c r="AF3790">
        <v>26.733461543449501</v>
      </c>
      <c r="AG3790">
        <v>4.1665000000000001</v>
      </c>
      <c r="AH3790">
        <v>202.700745643495</v>
      </c>
      <c r="AI3790">
        <v>88.832561592954605</v>
      </c>
      <c r="AJ3790">
        <v>82.486829902113996</v>
      </c>
      <c r="AK3790">
        <v>204.49848403539301</v>
      </c>
      <c r="AL3790">
        <v>82.012347384601696</v>
      </c>
      <c r="AM3790">
        <v>90.258662922039207</v>
      </c>
      <c r="AN3790">
        <v>1.00000005418564</v>
      </c>
    </row>
    <row r="3791" spans="1:40" x14ac:dyDescent="0.25">
      <c r="A3791" t="str">
        <f>"20190312151614408"</f>
        <v>20190312151614408</v>
      </c>
      <c r="B3791" t="str">
        <f>"1552374974401259"</f>
        <v>1552374974401259</v>
      </c>
      <c r="C3791" t="s">
        <v>40</v>
      </c>
      <c r="D3791">
        <v>5.158366</v>
      </c>
      <c r="E3791">
        <v>0.55220919999999996</v>
      </c>
      <c r="F3791" t="s">
        <v>65</v>
      </c>
      <c r="G3791">
        <v>-459.875</v>
      </c>
      <c r="H3791">
        <v>5.3320749999999997</v>
      </c>
      <c r="I3791">
        <v>163.4657</v>
      </c>
      <c r="J3791">
        <v>-257.03960000000001</v>
      </c>
      <c r="K3791">
        <v>1.1096839999999999</v>
      </c>
      <c r="L3791">
        <v>139.94649999999999</v>
      </c>
      <c r="M3791">
        <v>-0.99981520000000002</v>
      </c>
      <c r="N3791">
        <v>0</v>
      </c>
      <c r="O3791">
        <v>-1.6640430000000001E-2</v>
      </c>
      <c r="P3791">
        <v>-0.99140209999999995</v>
      </c>
      <c r="Q3791">
        <v>0.1292586</v>
      </c>
      <c r="R3791">
        <v>-2.0354549999999999E-2</v>
      </c>
      <c r="S3791">
        <v>-3.0252690000000002</v>
      </c>
      <c r="T3791">
        <v>6.2863470000000005E-2</v>
      </c>
      <c r="U3791">
        <v>0.35006710000000002</v>
      </c>
      <c r="V3791">
        <v>-3.8833650000000002E-3</v>
      </c>
      <c r="W3791">
        <v>0.13880429999999999</v>
      </c>
      <c r="X3791">
        <v>0.99031219999999998</v>
      </c>
      <c r="Y3791">
        <v>0.13143079999999999</v>
      </c>
      <c r="Z3791">
        <v>-1.7055250000000001E-3</v>
      </c>
      <c r="AA3791">
        <v>0.99132390000000004</v>
      </c>
      <c r="AB3791">
        <v>35</v>
      </c>
      <c r="AC3791">
        <v>-202.83539999999999</v>
      </c>
      <c r="AD3791">
        <v>4.222391</v>
      </c>
      <c r="AE3791">
        <v>23.519200000000001</v>
      </c>
      <c r="AF3791">
        <v>26.8798742484502</v>
      </c>
      <c r="AG3791">
        <v>4.222391</v>
      </c>
      <c r="AH3791">
        <v>202.329410387384</v>
      </c>
      <c r="AI3791">
        <v>88.814883689530205</v>
      </c>
      <c r="AJ3791">
        <v>82.432452923768906</v>
      </c>
      <c r="AK3791">
        <v>204.150793613632</v>
      </c>
      <c r="AL3791">
        <v>82.021337714712303</v>
      </c>
      <c r="AM3791">
        <v>90.224675899534404</v>
      </c>
      <c r="AN3791">
        <v>0.99999998384552602</v>
      </c>
    </row>
    <row r="3792" spans="1:40" x14ac:dyDescent="0.25">
      <c r="A3792" t="str">
        <f>"20190312151614430"</f>
        <v>20190312151614430</v>
      </c>
      <c r="B3792" t="str">
        <f>"1552374974421755"</f>
        <v>1552374974421755</v>
      </c>
      <c r="C3792" t="s">
        <v>40</v>
      </c>
      <c r="D3792">
        <v>5.1386229999999999</v>
      </c>
      <c r="E3792">
        <v>0.55218610000000001</v>
      </c>
      <c r="F3792" t="s">
        <v>65</v>
      </c>
      <c r="G3792">
        <v>-459.875</v>
      </c>
      <c r="H3792">
        <v>5.6351940000000003</v>
      </c>
      <c r="I3792">
        <v>163.5641</v>
      </c>
      <c r="J3792">
        <v>-257.38819999999998</v>
      </c>
      <c r="K3792">
        <v>1.109667</v>
      </c>
      <c r="L3792">
        <v>139.94059999999999</v>
      </c>
      <c r="M3792">
        <v>-0.99981390000000003</v>
      </c>
      <c r="N3792">
        <v>0</v>
      </c>
      <c r="O3792">
        <v>-1.6727240000000001E-2</v>
      </c>
      <c r="P3792">
        <v>-0.99137220000000004</v>
      </c>
      <c r="Q3792">
        <v>0.12944810000000001</v>
      </c>
      <c r="R3792">
        <v>-2.0599559999999999E-2</v>
      </c>
      <c r="S3792">
        <v>-3.0244450000000001</v>
      </c>
      <c r="T3792">
        <v>6.7479129999999998E-2</v>
      </c>
      <c r="U3792">
        <v>0.35215760000000002</v>
      </c>
      <c r="V3792">
        <v>-4.0386249999999997E-3</v>
      </c>
      <c r="W3792">
        <v>0.13897760000000001</v>
      </c>
      <c r="X3792">
        <v>0.99028729999999998</v>
      </c>
      <c r="Y3792">
        <v>0.13221869999999999</v>
      </c>
      <c r="Z3792">
        <v>-1.8418340000000001E-3</v>
      </c>
      <c r="AA3792">
        <v>0.99121890000000001</v>
      </c>
      <c r="AB3792">
        <v>35</v>
      </c>
      <c r="AC3792">
        <v>-202.48679999999999</v>
      </c>
      <c r="AD3792">
        <v>4.5255269999999896</v>
      </c>
      <c r="AE3792">
        <v>23.6235</v>
      </c>
      <c r="AF3792">
        <v>26.9940934871906</v>
      </c>
      <c r="AG3792">
        <v>4.5255269999999896</v>
      </c>
      <c r="AH3792">
        <v>201.963764850449</v>
      </c>
      <c r="AI3792">
        <v>88.727663582912996</v>
      </c>
      <c r="AJ3792">
        <v>82.387074563051499</v>
      </c>
      <c r="AK3792">
        <v>203.81001886656699</v>
      </c>
      <c r="AL3792">
        <v>82.011311387185501</v>
      </c>
      <c r="AM3792">
        <v>90.233664396875497</v>
      </c>
      <c r="AN3792">
        <v>1.00000001016747</v>
      </c>
    </row>
    <row r="3793" spans="1:40" x14ac:dyDescent="0.25">
      <c r="A3793" t="str">
        <f>"20190312151614452"</f>
        <v>20190312151614452</v>
      </c>
      <c r="B3793" t="str">
        <f>"1552374974441275"</f>
        <v>1552374974441275</v>
      </c>
      <c r="C3793" t="s">
        <v>40</v>
      </c>
      <c r="D3793">
        <v>4.6482469999999996</v>
      </c>
      <c r="E3793">
        <v>0.55214890000000005</v>
      </c>
      <c r="F3793" t="s">
        <v>65</v>
      </c>
      <c r="G3793">
        <v>-459.875</v>
      </c>
      <c r="H3793">
        <v>5.8749659999999997</v>
      </c>
      <c r="I3793">
        <v>163.44669999999999</v>
      </c>
      <c r="J3793">
        <v>-257.74329999999998</v>
      </c>
      <c r="K3793">
        <v>1.1096490000000001</v>
      </c>
      <c r="L3793">
        <v>139.93459999999999</v>
      </c>
      <c r="M3793">
        <v>-0.9998129</v>
      </c>
      <c r="N3793">
        <v>0</v>
      </c>
      <c r="O3793">
        <v>-1.6792410000000001E-2</v>
      </c>
      <c r="P3793">
        <v>-0.99135359999999995</v>
      </c>
      <c r="Q3793">
        <v>0.1295722</v>
      </c>
      <c r="R3793">
        <v>-2.0721799999999999E-2</v>
      </c>
      <c r="S3793">
        <v>-3.0241090000000002</v>
      </c>
      <c r="T3793">
        <v>7.116902E-2</v>
      </c>
      <c r="U3793">
        <v>0.35105900000000001</v>
      </c>
      <c r="V3793">
        <v>-4.090977E-3</v>
      </c>
      <c r="W3793">
        <v>0.13908670000000001</v>
      </c>
      <c r="X3793">
        <v>0.99027169999999998</v>
      </c>
      <c r="Y3793">
        <v>0.13193659999999999</v>
      </c>
      <c r="Z3793">
        <v>-1.9409970000000001E-3</v>
      </c>
      <c r="AA3793">
        <v>0.99125620000000003</v>
      </c>
      <c r="AB3793">
        <v>35</v>
      </c>
      <c r="AC3793">
        <v>-202.1317</v>
      </c>
      <c r="AD3793">
        <v>4.7653169999999996</v>
      </c>
      <c r="AE3793">
        <v>23.5121</v>
      </c>
      <c r="AF3793">
        <v>26.888474287862302</v>
      </c>
      <c r="AG3793">
        <v>4.7653169999999996</v>
      </c>
      <c r="AH3793">
        <v>201.597802022194</v>
      </c>
      <c r="AI3793">
        <v>88.657790756471698</v>
      </c>
      <c r="AJ3793">
        <v>82.402908414895407</v>
      </c>
      <c r="AK3793">
        <v>203.43886569635399</v>
      </c>
      <c r="AL3793">
        <v>82.004998571658405</v>
      </c>
      <c r="AM3793">
        <v>90.236697042597399</v>
      </c>
      <c r="AN3793">
        <v>0.99999994301529505</v>
      </c>
    </row>
    <row r="3794" spans="1:40" x14ac:dyDescent="0.25">
      <c r="A3794" t="str">
        <f>"20190312151614474"</f>
        <v>20190312151614474</v>
      </c>
      <c r="B3794" t="str">
        <f>"1552374974471530"</f>
        <v>1552374974471530</v>
      </c>
      <c r="C3794" t="s">
        <v>40</v>
      </c>
      <c r="D3794">
        <v>4.6212419999999996</v>
      </c>
      <c r="E3794">
        <v>0.55233789999999905</v>
      </c>
      <c r="F3794" t="s">
        <v>65</v>
      </c>
      <c r="G3794">
        <v>-459.875</v>
      </c>
      <c r="H3794">
        <v>5.9938760000000002</v>
      </c>
      <c r="I3794">
        <v>163.358</v>
      </c>
      <c r="J3794">
        <v>-258.07459999999998</v>
      </c>
      <c r="K3794">
        <v>1.1096299999999999</v>
      </c>
      <c r="L3794">
        <v>139.929</v>
      </c>
      <c r="M3794">
        <v>-0.99981240000000005</v>
      </c>
      <c r="N3794">
        <v>0</v>
      </c>
      <c r="O3794">
        <v>-1.6831820000000001E-2</v>
      </c>
      <c r="P3794">
        <v>-0.99130560000000001</v>
      </c>
      <c r="Q3794">
        <v>0.12990570000000001</v>
      </c>
      <c r="R3794">
        <v>-2.0923569999999999E-2</v>
      </c>
      <c r="S3794">
        <v>-3.0239259999999999</v>
      </c>
      <c r="T3794">
        <v>7.3068859999999999E-2</v>
      </c>
      <c r="U3794">
        <v>0.35041809999999901</v>
      </c>
      <c r="V3794">
        <v>-4.2484999999999997E-3</v>
      </c>
      <c r="W3794">
        <v>0.13940259999999999</v>
      </c>
      <c r="X3794">
        <v>0.99022670000000002</v>
      </c>
      <c r="Y3794">
        <v>0.1317731</v>
      </c>
      <c r="Z3794">
        <v>-1.9919220000000001E-3</v>
      </c>
      <c r="AA3794">
        <v>0.99127790000000005</v>
      </c>
      <c r="AB3794">
        <v>35</v>
      </c>
      <c r="AC3794">
        <v>-201.8004</v>
      </c>
      <c r="AD3794">
        <v>4.8842460000000001</v>
      </c>
      <c r="AE3794">
        <v>23.428999999999998</v>
      </c>
      <c r="AF3794">
        <v>26.807009892985398</v>
      </c>
      <c r="AG3794">
        <v>4.8842460000000001</v>
      </c>
      <c r="AH3794">
        <v>201.26110731777399</v>
      </c>
      <c r="AI3794">
        <v>88.621972366127096</v>
      </c>
      <c r="AJ3794">
        <v>82.413133977872306</v>
      </c>
      <c r="AK3794">
        <v>203.09727954152399</v>
      </c>
      <c r="AL3794">
        <v>81.986721441120196</v>
      </c>
      <c r="AM3794">
        <v>90.245822118977102</v>
      </c>
      <c r="AN3794">
        <v>1.0000000260159401</v>
      </c>
    </row>
    <row r="3795" spans="1:40" x14ac:dyDescent="0.25">
      <c r="A3795" t="str">
        <f>"20190312151614488"</f>
        <v>20190312151614488</v>
      </c>
      <c r="B3795" t="str">
        <f>"1552374974481291"</f>
        <v>1552374974481291</v>
      </c>
      <c r="C3795" t="s">
        <v>40</v>
      </c>
      <c r="D3795">
        <v>4.9998769999999997</v>
      </c>
      <c r="E3795">
        <v>0.55251719999999904</v>
      </c>
      <c r="F3795" t="s">
        <v>65</v>
      </c>
      <c r="G3795">
        <v>-459.875</v>
      </c>
      <c r="H3795">
        <v>5.8889849999999999</v>
      </c>
      <c r="I3795">
        <v>163.35679999999999</v>
      </c>
      <c r="J3795">
        <v>-258.29199999999997</v>
      </c>
      <c r="K3795">
        <v>1.109615</v>
      </c>
      <c r="L3795">
        <v>139.9254</v>
      </c>
      <c r="M3795">
        <v>-0.99981229999999999</v>
      </c>
      <c r="N3795">
        <v>0</v>
      </c>
      <c r="O3795">
        <v>-1.6848559999999999E-2</v>
      </c>
      <c r="P3795">
        <v>-0.99130739999999995</v>
      </c>
      <c r="Q3795">
        <v>0.1298752</v>
      </c>
      <c r="R3795">
        <v>-2.1034069999999998E-2</v>
      </c>
      <c r="S3795">
        <v>-3.0243229999999999</v>
      </c>
      <c r="T3795">
        <v>7.1626780000000001E-2</v>
      </c>
      <c r="U3795">
        <v>0.35110469999999999</v>
      </c>
      <c r="V3795">
        <v>-4.3391870000000004E-3</v>
      </c>
      <c r="W3795">
        <v>0.13935729999999999</v>
      </c>
      <c r="X3795">
        <v>0.99023260000000002</v>
      </c>
      <c r="Y3795">
        <v>0.13199849999999999</v>
      </c>
      <c r="Z3795">
        <v>-1.955395E-3</v>
      </c>
      <c r="AA3795">
        <v>0.99124800000000002</v>
      </c>
      <c r="AB3795">
        <v>35</v>
      </c>
      <c r="AC3795">
        <v>-201.583</v>
      </c>
      <c r="AD3795">
        <v>4.7793700000000001</v>
      </c>
      <c r="AE3795">
        <v>23.4314</v>
      </c>
      <c r="AF3795">
        <v>26.8097427828809</v>
      </c>
      <c r="AG3795">
        <v>4.7793700000000001</v>
      </c>
      <c r="AH3795">
        <v>201.04807213933501</v>
      </c>
      <c r="AI3795">
        <v>88.650149765823599</v>
      </c>
      <c r="AJ3795">
        <v>82.404423322236298</v>
      </c>
      <c r="AK3795">
        <v>202.88403583482</v>
      </c>
      <c r="AL3795">
        <v>81.989341861833594</v>
      </c>
      <c r="AM3795">
        <v>90.251067789867193</v>
      </c>
      <c r="AN3795">
        <v>0.99999994385493396</v>
      </c>
    </row>
    <row r="3796" spans="1:40" x14ac:dyDescent="0.25">
      <c r="A3796" t="str">
        <f>"20190312151614507"</f>
        <v>20190312151614507</v>
      </c>
      <c r="B3796" t="str">
        <f>"1552374974501788"</f>
        <v>1552374974501788</v>
      </c>
      <c r="C3796" t="s">
        <v>40</v>
      </c>
      <c r="D3796">
        <v>4.266699</v>
      </c>
      <c r="E3796">
        <v>0.55226929999999996</v>
      </c>
      <c r="F3796" t="s">
        <v>65</v>
      </c>
      <c r="G3796">
        <v>-459.875</v>
      </c>
      <c r="H3796">
        <v>5.7987909999999996</v>
      </c>
      <c r="I3796">
        <v>163.40049999999999</v>
      </c>
      <c r="J3796">
        <v>-258.59829999999999</v>
      </c>
      <c r="K3796">
        <v>1.1095930000000001</v>
      </c>
      <c r="L3796">
        <v>139.92019999999999</v>
      </c>
      <c r="M3796">
        <v>-0.99981220000000004</v>
      </c>
      <c r="N3796">
        <v>0</v>
      </c>
      <c r="O3796">
        <v>-1.6864290000000001E-2</v>
      </c>
      <c r="P3796">
        <v>-0.99132549999999997</v>
      </c>
      <c r="Q3796">
        <v>0.1296775</v>
      </c>
      <c r="R3796">
        <v>-2.1392029999999999E-2</v>
      </c>
      <c r="S3796">
        <v>-3.0245359999999999</v>
      </c>
      <c r="T3796">
        <v>7.0356009999999997E-2</v>
      </c>
      <c r="U3796">
        <v>0.35221859999999999</v>
      </c>
      <c r="V3796">
        <v>-4.6769400000000001E-3</v>
      </c>
      <c r="W3796">
        <v>0.13913819999999999</v>
      </c>
      <c r="X3796">
        <v>0.99026190000000003</v>
      </c>
      <c r="Y3796">
        <v>0.1323677</v>
      </c>
      <c r="Z3796">
        <v>-1.925181E-3</v>
      </c>
      <c r="AA3796">
        <v>0.99119880000000005</v>
      </c>
      <c r="AB3796">
        <v>35</v>
      </c>
      <c r="AC3796">
        <v>-201.27670000000001</v>
      </c>
      <c r="AD3796">
        <v>4.6891980000000002</v>
      </c>
      <c r="AE3796">
        <v>23.4803</v>
      </c>
      <c r="AF3796">
        <v>26.857122539711199</v>
      </c>
      <c r="AG3796">
        <v>4.6891980000000002</v>
      </c>
      <c r="AH3796">
        <v>200.74458289563901</v>
      </c>
      <c r="AI3796">
        <v>88.673682744919006</v>
      </c>
      <c r="AJ3796">
        <v>82.379788984653104</v>
      </c>
      <c r="AK3796">
        <v>202.58746548328301</v>
      </c>
      <c r="AL3796">
        <v>82.002019095491093</v>
      </c>
      <c r="AM3796">
        <v>90.270602080738698</v>
      </c>
      <c r="AN3796">
        <v>0.99999997152930598</v>
      </c>
    </row>
    <row r="3797" spans="1:40" x14ac:dyDescent="0.25">
      <c r="A3797" t="str">
        <f>"20190312151614530"</f>
        <v>20190312151614530</v>
      </c>
      <c r="B3797" t="str">
        <f>"1552374974521307"</f>
        <v>1552374974521307</v>
      </c>
      <c r="C3797" t="s">
        <v>40</v>
      </c>
      <c r="D3797">
        <v>5.0658699999999897</v>
      </c>
      <c r="E3797">
        <v>0.55216399999999999</v>
      </c>
      <c r="F3797" t="s">
        <v>65</v>
      </c>
      <c r="G3797">
        <v>-459.875</v>
      </c>
      <c r="H3797">
        <v>5.5970190000000004</v>
      </c>
      <c r="I3797">
        <v>163.14109999999999</v>
      </c>
      <c r="J3797">
        <v>-258.95299999999997</v>
      </c>
      <c r="K3797">
        <v>1.109575</v>
      </c>
      <c r="L3797">
        <v>139.91419999999999</v>
      </c>
      <c r="M3797">
        <v>-0.99981249999999999</v>
      </c>
      <c r="N3797">
        <v>0</v>
      </c>
      <c r="O3797">
        <v>-1.6872270000000002E-2</v>
      </c>
      <c r="P3797">
        <v>-0.99131950000000002</v>
      </c>
      <c r="Q3797">
        <v>0.12971549999999901</v>
      </c>
      <c r="R3797">
        <v>-2.1450810000000001E-2</v>
      </c>
      <c r="S3797">
        <v>-3.0249630000000001</v>
      </c>
      <c r="T3797">
        <v>6.7440990000000006E-2</v>
      </c>
      <c r="U3797">
        <v>0.34898380000000001</v>
      </c>
      <c r="V3797">
        <v>-4.7250979999999996E-3</v>
      </c>
      <c r="W3797">
        <v>0.13914860000000001</v>
      </c>
      <c r="X3797">
        <v>0.99026020000000003</v>
      </c>
      <c r="Y3797">
        <v>0.13131689999999999</v>
      </c>
      <c r="Z3797">
        <v>-1.8337939999999999E-3</v>
      </c>
      <c r="AA3797">
        <v>0.99133870000000002</v>
      </c>
      <c r="AB3797">
        <v>35</v>
      </c>
      <c r="AC3797">
        <v>-200.922</v>
      </c>
      <c r="AD3797">
        <v>4.487444</v>
      </c>
      <c r="AE3797">
        <v>23.226900000000001</v>
      </c>
      <c r="AF3797">
        <v>26.600662776645901</v>
      </c>
      <c r="AG3797">
        <v>4.487444</v>
      </c>
      <c r="AH3797">
        <v>200.402842089719</v>
      </c>
      <c r="AI3797">
        <v>88.728390055072097</v>
      </c>
      <c r="AJ3797">
        <v>82.438988619468105</v>
      </c>
      <c r="AK3797">
        <v>202.21036455000799</v>
      </c>
      <c r="AL3797">
        <v>82.001417285693606</v>
      </c>
      <c r="AM3797">
        <v>90.273388871506995</v>
      </c>
      <c r="AN3797">
        <v>0.99999996156855397</v>
      </c>
    </row>
    <row r="3798" spans="1:40" x14ac:dyDescent="0.25">
      <c r="A3798" t="str">
        <f>"20190312151614552"</f>
        <v>20190312151614552</v>
      </c>
      <c r="B3798" t="str">
        <f>"1552374974541803"</f>
        <v>1552374974541803</v>
      </c>
      <c r="C3798" t="s">
        <v>40</v>
      </c>
      <c r="D3798">
        <v>4.6919269999999997</v>
      </c>
      <c r="E3798">
        <v>0.55204849999999905</v>
      </c>
      <c r="F3798" t="s">
        <v>65</v>
      </c>
      <c r="G3798">
        <v>-459.875</v>
      </c>
      <c r="H3798">
        <v>5.8252569999999997</v>
      </c>
      <c r="I3798">
        <v>163.04089999999999</v>
      </c>
      <c r="J3798">
        <v>-259.30279999999999</v>
      </c>
      <c r="K3798">
        <v>1.1095630000000001</v>
      </c>
      <c r="L3798">
        <v>139.9083</v>
      </c>
      <c r="M3798">
        <v>-0.99981279999999995</v>
      </c>
      <c r="N3798">
        <v>0</v>
      </c>
      <c r="O3798">
        <v>-1.687E-2</v>
      </c>
      <c r="P3798">
        <v>-0.99124369999999995</v>
      </c>
      <c r="Q3798">
        <v>0.13036889999999901</v>
      </c>
      <c r="R3798">
        <v>-2.097421E-2</v>
      </c>
      <c r="S3798">
        <v>-3.0245060000000001</v>
      </c>
      <c r="T3798">
        <v>7.0985789999999993E-2</v>
      </c>
      <c r="U3798">
        <v>0.34812929999999997</v>
      </c>
      <c r="V3798">
        <v>-4.2492240000000002E-3</v>
      </c>
      <c r="W3798">
        <v>0.139768</v>
      </c>
      <c r="X3798">
        <v>0.99017509999999997</v>
      </c>
      <c r="Y3798">
        <v>0.13105149999999999</v>
      </c>
      <c r="Z3798">
        <v>-1.927319E-3</v>
      </c>
      <c r="AA3798">
        <v>0.99137370000000002</v>
      </c>
      <c r="AB3798">
        <v>35</v>
      </c>
      <c r="AC3798">
        <v>-200.57220000000001</v>
      </c>
      <c r="AD3798">
        <v>4.7156940000000001</v>
      </c>
      <c r="AE3798">
        <v>23.1326</v>
      </c>
      <c r="AF3798">
        <v>26.498657075764399</v>
      </c>
      <c r="AG3798">
        <v>4.7156940000000001</v>
      </c>
      <c r="AH3798">
        <v>200.044261592265</v>
      </c>
      <c r="AI3798">
        <v>88.661291764192796</v>
      </c>
      <c r="AJ3798">
        <v>82.454302982689399</v>
      </c>
      <c r="AK3798">
        <v>201.84678147722599</v>
      </c>
      <c r="AL3798">
        <v>81.965577873964193</v>
      </c>
      <c r="AM3798">
        <v>90.2458768220758</v>
      </c>
      <c r="AN3798">
        <v>0.99999993919430397</v>
      </c>
    </row>
    <row r="3799" spans="1:40" x14ac:dyDescent="0.25">
      <c r="A3799" t="str">
        <f>"20190312151614574"</f>
        <v>20190312151614574</v>
      </c>
      <c r="B3799" t="str">
        <f>"1552374974572059"</f>
        <v>1552374974572059</v>
      </c>
      <c r="C3799" t="s">
        <v>40</v>
      </c>
      <c r="D3799">
        <v>4.62927</v>
      </c>
      <c r="E3799">
        <v>0.5520349</v>
      </c>
      <c r="F3799" t="s">
        <v>65</v>
      </c>
      <c r="G3799">
        <v>-459.875</v>
      </c>
      <c r="H3799">
        <v>6.1057350000000001</v>
      </c>
      <c r="I3799">
        <v>163.0273</v>
      </c>
      <c r="J3799">
        <v>-259.64350000000002</v>
      </c>
      <c r="K3799">
        <v>1.109548</v>
      </c>
      <c r="L3799">
        <v>139.90260000000001</v>
      </c>
      <c r="M3799">
        <v>-0.99981339999999996</v>
      </c>
      <c r="N3799">
        <v>0</v>
      </c>
      <c r="O3799">
        <v>-1.6851100000000001E-2</v>
      </c>
      <c r="P3799">
        <v>-0.99124489999999998</v>
      </c>
      <c r="Q3799">
        <v>0.13053419999999999</v>
      </c>
      <c r="R3799">
        <v>-1.9872270000000001E-2</v>
      </c>
      <c r="S3799">
        <v>-3.0239560000000001</v>
      </c>
      <c r="T3799">
        <v>7.5325489999999995E-2</v>
      </c>
      <c r="U3799">
        <v>0.34855649999999999</v>
      </c>
      <c r="V3799">
        <v>-3.16227E-3</v>
      </c>
      <c r="W3799">
        <v>0.13989409999999999</v>
      </c>
      <c r="X3799">
        <v>0.99016139999999997</v>
      </c>
      <c r="Y3799">
        <v>0.13118629999999901</v>
      </c>
      <c r="Z3799">
        <v>-2.0466659999999999E-3</v>
      </c>
      <c r="AA3799">
        <v>0.9913556</v>
      </c>
      <c r="AB3799">
        <v>35</v>
      </c>
      <c r="AC3799">
        <v>-200.23150000000001</v>
      </c>
      <c r="AD3799">
        <v>4.9961869999999999</v>
      </c>
      <c r="AE3799">
        <v>23.124699999999901</v>
      </c>
      <c r="AF3799">
        <v>26.479418549144999</v>
      </c>
      <c r="AG3799">
        <v>4.9961869999999999</v>
      </c>
      <c r="AH3799">
        <v>199.690680652335</v>
      </c>
      <c r="AI3799">
        <v>88.579211293841198</v>
      </c>
      <c r="AJ3799">
        <v>82.446521120108699</v>
      </c>
      <c r="AK3799">
        <v>201.50059411980001</v>
      </c>
      <c r="AL3799">
        <v>81.958281507584601</v>
      </c>
      <c r="AM3799">
        <v>90.182984419183299</v>
      </c>
      <c r="AN3799">
        <v>0.99999997860816103</v>
      </c>
    </row>
    <row r="3800" spans="1:40" x14ac:dyDescent="0.25">
      <c r="A3800" t="str">
        <f>"20190312151614596"</f>
        <v>20190312151614596</v>
      </c>
      <c r="B3800" t="str">
        <f>"1552374974591580"</f>
        <v>1552374974591580</v>
      </c>
      <c r="C3800" t="s">
        <v>40</v>
      </c>
      <c r="D3800">
        <v>4.6100960000000004</v>
      </c>
      <c r="E3800">
        <v>0.56002379999999996</v>
      </c>
      <c r="F3800" t="s">
        <v>65</v>
      </c>
      <c r="G3800">
        <v>-459.875</v>
      </c>
      <c r="H3800">
        <v>6.354946</v>
      </c>
      <c r="I3800">
        <v>163.20689999999999</v>
      </c>
      <c r="J3800">
        <v>-259.9932</v>
      </c>
      <c r="K3800">
        <v>1.1095219999999999</v>
      </c>
      <c r="L3800">
        <v>139.89670000000001</v>
      </c>
      <c r="M3800">
        <v>-0.9998146</v>
      </c>
      <c r="N3800">
        <v>0</v>
      </c>
      <c r="O3800">
        <v>-1.6807030000000001E-2</v>
      </c>
      <c r="P3800">
        <v>-0.99121159999999997</v>
      </c>
      <c r="Q3800">
        <v>0.13097300000000001</v>
      </c>
      <c r="R3800">
        <v>-1.8585959999999999E-2</v>
      </c>
      <c r="S3800">
        <v>-3.0231319999999999</v>
      </c>
      <c r="T3800">
        <v>7.9195979999999999E-2</v>
      </c>
      <c r="U3800">
        <v>0.35185240000000001</v>
      </c>
      <c r="V3800">
        <v>-1.91428E-3</v>
      </c>
      <c r="W3800">
        <v>0.1402822</v>
      </c>
      <c r="X3800">
        <v>0.99010969999999998</v>
      </c>
      <c r="Y3800">
        <v>0.13223460000000001</v>
      </c>
      <c r="Z3800">
        <v>-2.1647770000000001E-3</v>
      </c>
      <c r="AA3800">
        <v>0.99121610000000004</v>
      </c>
      <c r="AB3800">
        <v>35</v>
      </c>
      <c r="AC3800">
        <v>-199.8818</v>
      </c>
      <c r="AD3800">
        <v>5.2454239999999999</v>
      </c>
      <c r="AE3800">
        <v>23.310199999999899</v>
      </c>
      <c r="AF3800">
        <v>26.6483690687311</v>
      </c>
      <c r="AG3800">
        <v>5.2454239999999999</v>
      </c>
      <c r="AH3800">
        <v>199.32634273350101</v>
      </c>
      <c r="AI3800">
        <v>88.505853622342698</v>
      </c>
      <c r="AJ3800">
        <v>82.3851575084948</v>
      </c>
      <c r="AK3800">
        <v>201.16819071233999</v>
      </c>
      <c r="AL3800">
        <v>81.935823642804607</v>
      </c>
      <c r="AM3800">
        <v>90.110775632380395</v>
      </c>
      <c r="AN3800">
        <v>0.999999989069424</v>
      </c>
    </row>
    <row r="3801" spans="1:40" x14ac:dyDescent="0.25">
      <c r="A3801" t="str">
        <f>"20190312151614619"</f>
        <v>20190312151614619</v>
      </c>
      <c r="B3801" t="str">
        <f>"1552374974612075"</f>
        <v>1552374974612075</v>
      </c>
      <c r="C3801" t="s">
        <v>40</v>
      </c>
      <c r="D3801">
        <v>4.6278839999999999</v>
      </c>
      <c r="E3801">
        <v>0.56024359999999995</v>
      </c>
      <c r="F3801" t="s">
        <v>41</v>
      </c>
      <c r="G3801">
        <v>-260.97579999999999</v>
      </c>
      <c r="H3801">
        <v>1.0264260000000001</v>
      </c>
      <c r="I3801">
        <v>140.0301</v>
      </c>
      <c r="J3801">
        <v>-260.3612</v>
      </c>
      <c r="K3801">
        <v>1.1094949999999999</v>
      </c>
      <c r="L3801">
        <v>139.89060000000001</v>
      </c>
      <c r="M3801">
        <v>-0.99981640000000005</v>
      </c>
      <c r="N3801">
        <v>0</v>
      </c>
      <c r="O3801">
        <v>-1.6735940000000001E-2</v>
      </c>
      <c r="P3801">
        <v>-0.99117639999999996</v>
      </c>
      <c r="Q3801">
        <v>0.13149630000000001</v>
      </c>
      <c r="R3801">
        <v>-1.6679070000000001E-2</v>
      </c>
      <c r="S3801">
        <v>-3.068695</v>
      </c>
      <c r="T3801">
        <v>-0.25960179999999999</v>
      </c>
      <c r="U3801">
        <v>0.41571039999999998</v>
      </c>
      <c r="V3801" s="1">
        <v>-7.0625969999999996E-5</v>
      </c>
      <c r="W3801">
        <v>0.14075099999999999</v>
      </c>
      <c r="X3801">
        <v>0.99004499999999995</v>
      </c>
      <c r="Y3801">
        <v>0.15022240000000001</v>
      </c>
      <c r="Z3801">
        <v>7.7214559999999998E-3</v>
      </c>
      <c r="AA3801">
        <v>0.98862209999999995</v>
      </c>
      <c r="AB3801">
        <v>35</v>
      </c>
      <c r="AC3801">
        <v>-0.61459999999999504</v>
      </c>
      <c r="AD3801">
        <v>-8.3069000000000004E-2</v>
      </c>
      <c r="AE3801">
        <v>0.13949999999999799</v>
      </c>
      <c r="AF3801">
        <v>0.14720934265788199</v>
      </c>
      <c r="AG3801">
        <v>-8.3069000000000004E-2</v>
      </c>
      <c r="AH3801">
        <v>0.60172534781360498</v>
      </c>
      <c r="AI3801">
        <v>97.637614539085703</v>
      </c>
      <c r="AJ3801">
        <v>76.252867110580098</v>
      </c>
      <c r="AK3801">
        <v>0.62501555462897795</v>
      </c>
      <c r="AL3801">
        <v>81.908694100866597</v>
      </c>
      <c r="AM3801">
        <v>90.004087258658103</v>
      </c>
      <c r="AN3801">
        <v>0.99999997550701303</v>
      </c>
    </row>
    <row r="3802" spans="1:40" x14ac:dyDescent="0.25">
      <c r="A3802" t="str">
        <f>"20190312151614643"</f>
        <v>20190312151614643</v>
      </c>
      <c r="B3802" t="str">
        <f>"1552374974631595"</f>
        <v>1552374974631595</v>
      </c>
      <c r="C3802" t="s">
        <v>40</v>
      </c>
      <c r="D3802">
        <v>4.6346629999999998</v>
      </c>
      <c r="E3802">
        <v>0.56006549999999999</v>
      </c>
      <c r="F3802" t="s">
        <v>41</v>
      </c>
      <c r="G3802">
        <v>-261.2921</v>
      </c>
      <c r="H3802">
        <v>1.028988</v>
      </c>
      <c r="I3802">
        <v>140.01910000000001</v>
      </c>
      <c r="J3802">
        <v>-260.72179999999997</v>
      </c>
      <c r="K3802">
        <v>1.109456</v>
      </c>
      <c r="L3802">
        <v>139.88470000000001</v>
      </c>
      <c r="M3802">
        <v>-0.9998184</v>
      </c>
      <c r="N3802">
        <v>0</v>
      </c>
      <c r="O3802">
        <v>-1.663036E-2</v>
      </c>
      <c r="P3802">
        <v>-0.99113899999999999</v>
      </c>
      <c r="Q3802">
        <v>0.13202639999999999</v>
      </c>
      <c r="R3802">
        <v>-1.4576179999999999E-2</v>
      </c>
      <c r="S3802">
        <v>-3.0690309999999998</v>
      </c>
      <c r="T3802">
        <v>-0.26544459999999998</v>
      </c>
      <c r="U3802">
        <v>0.42329410000000001</v>
      </c>
      <c r="V3802">
        <v>1.9369389999999999E-3</v>
      </c>
      <c r="W3802">
        <v>0.1412292</v>
      </c>
      <c r="X3802">
        <v>0.98997500000000005</v>
      </c>
      <c r="Y3802">
        <v>0.1524672</v>
      </c>
      <c r="Z3802">
        <v>7.9798249999999994E-3</v>
      </c>
      <c r="AA3802">
        <v>0.9882763</v>
      </c>
      <c r="AB3802">
        <v>35</v>
      </c>
      <c r="AC3802">
        <v>-0.570300000000031</v>
      </c>
      <c r="AD3802">
        <v>-8.0467999999999901E-2</v>
      </c>
      <c r="AE3802">
        <v>0.13439999999999899</v>
      </c>
      <c r="AF3802">
        <v>0.14120288295564601</v>
      </c>
      <c r="AG3802">
        <v>-8.0467999999999901E-2</v>
      </c>
      <c r="AH3802">
        <v>0.55747141433998104</v>
      </c>
      <c r="AI3802">
        <v>97.965441034664593</v>
      </c>
      <c r="AJ3802">
        <v>75.786388035574603</v>
      </c>
      <c r="AK3802">
        <v>0.58067868135932499</v>
      </c>
      <c r="AL3802">
        <v>81.881018761902396</v>
      </c>
      <c r="AM3802">
        <v>89.887897888065396</v>
      </c>
      <c r="AN3802">
        <v>0.99999996964516402</v>
      </c>
    </row>
    <row r="3803" spans="1:40" x14ac:dyDescent="0.25">
      <c r="A3803" t="str">
        <f>"20190312151614663"</f>
        <v>20190312151614663</v>
      </c>
      <c r="B3803" t="str">
        <f>"1552374974652092"</f>
        <v>1552374974652092</v>
      </c>
      <c r="C3803" t="s">
        <v>40</v>
      </c>
      <c r="D3803">
        <v>5.0084479999999996</v>
      </c>
      <c r="E3803">
        <v>0.56007050000000003</v>
      </c>
      <c r="F3803" t="s">
        <v>41</v>
      </c>
      <c r="G3803">
        <v>-261.60969999999998</v>
      </c>
      <c r="H3803">
        <v>1.033307</v>
      </c>
      <c r="I3803">
        <v>140.0087</v>
      </c>
      <c r="J3803">
        <v>-261.04820000000001</v>
      </c>
      <c r="K3803">
        <v>1.1094109999999999</v>
      </c>
      <c r="L3803">
        <v>139.8794</v>
      </c>
      <c r="M3803">
        <v>-0.99982139999999997</v>
      </c>
      <c r="N3803">
        <v>0</v>
      </c>
      <c r="O3803">
        <v>-1.649304E-2</v>
      </c>
      <c r="P3803">
        <v>-0.99119310000000005</v>
      </c>
      <c r="Q3803">
        <v>0.13185369999999999</v>
      </c>
      <c r="R3803">
        <v>-1.2297890000000001E-2</v>
      </c>
      <c r="S3803">
        <v>-3.0681150000000001</v>
      </c>
      <c r="T3803">
        <v>-0.26318960000000002</v>
      </c>
      <c r="U3803">
        <v>0.42803960000000002</v>
      </c>
      <c r="V3803">
        <v>4.0910490000000002E-3</v>
      </c>
      <c r="W3803">
        <v>0.141007299999999</v>
      </c>
      <c r="X3803">
        <v>0.99000010000000005</v>
      </c>
      <c r="Y3803">
        <v>0.1538766</v>
      </c>
      <c r="Z3803">
        <v>7.9621229999999998E-3</v>
      </c>
      <c r="AA3803">
        <v>0.98805799999999999</v>
      </c>
      <c r="AB3803">
        <v>35</v>
      </c>
      <c r="AC3803">
        <v>-0.56149999999996603</v>
      </c>
      <c r="AD3803">
        <v>-7.6104000000000102E-2</v>
      </c>
      <c r="AE3803">
        <v>0.1293</v>
      </c>
      <c r="AF3803">
        <v>0.136168166744252</v>
      </c>
      <c r="AG3803">
        <v>-7.6104000000000102E-2</v>
      </c>
      <c r="AH3803">
        <v>0.54970132890838197</v>
      </c>
      <c r="AI3803">
        <v>97.653807205410999</v>
      </c>
      <c r="AJ3803">
        <v>76.087150078936304</v>
      </c>
      <c r="AK3803">
        <v>0.57140628230194601</v>
      </c>
      <c r="AL3803">
        <v>81.8938614339785</v>
      </c>
      <c r="AM3803">
        <v>89.763233854974501</v>
      </c>
      <c r="AN3803">
        <v>0.99999999666760997</v>
      </c>
    </row>
    <row r="3804" spans="1:40" x14ac:dyDescent="0.25">
      <c r="A3804" t="str">
        <f>"20190312151614687"</f>
        <v>20190312151614687</v>
      </c>
      <c r="B3804" t="str">
        <f>"1552374974681371"</f>
        <v>1552374974681371</v>
      </c>
      <c r="C3804" t="s">
        <v>40</v>
      </c>
      <c r="D3804">
        <v>4.6235019999999896</v>
      </c>
      <c r="E3804">
        <v>0.55458909999999995</v>
      </c>
      <c r="F3804" t="s">
        <v>41</v>
      </c>
      <c r="G3804">
        <v>-261.9264</v>
      </c>
      <c r="H3804">
        <v>1.033644</v>
      </c>
      <c r="I3804">
        <v>140.00380000000001</v>
      </c>
      <c r="J3804">
        <v>-261.41849999999999</v>
      </c>
      <c r="K3804">
        <v>1.1093519999999999</v>
      </c>
      <c r="L3804">
        <v>139.87350000000001</v>
      </c>
      <c r="M3804">
        <v>-0.99982539999999998</v>
      </c>
      <c r="N3804">
        <v>0</v>
      </c>
      <c r="O3804">
        <v>-1.6277349999999999E-2</v>
      </c>
      <c r="P3804">
        <v>-0.99124690000000004</v>
      </c>
      <c r="Q3804">
        <v>0.13164479999999901</v>
      </c>
      <c r="R3804">
        <v>-9.9757179999999997E-3</v>
      </c>
      <c r="S3804">
        <v>-3.0672299999999999</v>
      </c>
      <c r="T3804">
        <v>-0.2646289</v>
      </c>
      <c r="U3804">
        <v>0.43486019999999997</v>
      </c>
      <c r="V3804">
        <v>6.2158480000000004E-3</v>
      </c>
      <c r="W3804">
        <v>0.14073729999999901</v>
      </c>
      <c r="X3804">
        <v>0.99002749999999995</v>
      </c>
      <c r="Y3804">
        <v>0.1558435</v>
      </c>
      <c r="Z3804">
        <v>8.0723459999999993E-3</v>
      </c>
      <c r="AA3804">
        <v>0.98774870000000004</v>
      </c>
      <c r="AB3804">
        <v>35</v>
      </c>
      <c r="AC3804">
        <v>-0.50790000000000601</v>
      </c>
      <c r="AD3804">
        <v>-7.5708000000000095E-2</v>
      </c>
      <c r="AE3804">
        <v>0.130300000000005</v>
      </c>
      <c r="AF3804">
        <v>0.13572096676402201</v>
      </c>
      <c r="AG3804">
        <v>-7.5708000000000095E-2</v>
      </c>
      <c r="AH3804">
        <v>0.49538436929718999</v>
      </c>
      <c r="AI3804">
        <v>98.384745543996502</v>
      </c>
      <c r="AJ3804">
        <v>74.678573652211099</v>
      </c>
      <c r="AK3804">
        <v>0.51918932522475403</v>
      </c>
      <c r="AL3804">
        <v>81.909487450496201</v>
      </c>
      <c r="AM3804">
        <v>89.6402754701124</v>
      </c>
      <c r="AN3804">
        <v>1.00000003756694</v>
      </c>
    </row>
    <row r="3805" spans="1:40" x14ac:dyDescent="0.25">
      <c r="A3805" t="str">
        <f>"20190312151614707"</f>
        <v>20190312151614707</v>
      </c>
      <c r="B3805" t="str">
        <f>"1552374974701867"</f>
        <v>1552374974701867</v>
      </c>
      <c r="C3805" t="s">
        <v>40</v>
      </c>
      <c r="D3805">
        <v>4.8934499999999996</v>
      </c>
      <c r="E3805">
        <v>0.55411149999999998</v>
      </c>
      <c r="F3805" t="s">
        <v>66</v>
      </c>
      <c r="G3805">
        <v>-445.65</v>
      </c>
      <c r="H3805">
        <v>2.6493950000000002</v>
      </c>
      <c r="I3805">
        <v>164.3005</v>
      </c>
      <c r="J3805">
        <v>-261.75850000000003</v>
      </c>
      <c r="K3805">
        <v>1.1092919999999999</v>
      </c>
      <c r="L3805">
        <v>139.8681</v>
      </c>
      <c r="M3805">
        <v>-0.9998302</v>
      </c>
      <c r="N3805">
        <v>0</v>
      </c>
      <c r="O3805">
        <v>-1.6017190000000001E-2</v>
      </c>
      <c r="P3805">
        <v>-0.99127350000000003</v>
      </c>
      <c r="Q3805">
        <v>0.1315992</v>
      </c>
      <c r="R3805">
        <v>-7.6763509999999997E-3</v>
      </c>
      <c r="S3805">
        <v>-3.027161</v>
      </c>
      <c r="T3805">
        <v>2.530551E-2</v>
      </c>
      <c r="U3805">
        <v>0.40136719999999998</v>
      </c>
      <c r="V3805">
        <v>8.2740450000000007E-3</v>
      </c>
      <c r="W3805">
        <v>0.14063439999999999</v>
      </c>
      <c r="X3805">
        <v>0.99002699999999999</v>
      </c>
      <c r="Y3805">
        <v>0.147294799999999</v>
      </c>
      <c r="Z3805">
        <v>-7.4630809999999895E-4</v>
      </c>
      <c r="AA3805">
        <v>0.98909239999999998</v>
      </c>
      <c r="AB3805">
        <v>35</v>
      </c>
      <c r="AC3805">
        <v>-183.89149999999901</v>
      </c>
      <c r="AD3805">
        <v>1.540103</v>
      </c>
      <c r="AE3805">
        <v>24.432400000000001</v>
      </c>
      <c r="AF3805">
        <v>27.372926157790399</v>
      </c>
      <c r="AG3805">
        <v>1.540103</v>
      </c>
      <c r="AH3805">
        <v>183.463907925992</v>
      </c>
      <c r="AI3805">
        <v>89.524302441939</v>
      </c>
      <c r="AJ3805">
        <v>81.514033696734003</v>
      </c>
      <c r="AK3805">
        <v>185.50109033417399</v>
      </c>
      <c r="AL3805">
        <v>81.915441923514607</v>
      </c>
      <c r="AM3805">
        <v>89.521167785108403</v>
      </c>
      <c r="AN3805">
        <v>0.99999997750651004</v>
      </c>
    </row>
    <row r="3806" spans="1:40" x14ac:dyDescent="0.25">
      <c r="A3806" t="str">
        <f>"20190312151614721"</f>
        <v>20190312151614721</v>
      </c>
      <c r="B3806" t="str">
        <f>"1552374974711627"</f>
        <v>1552374974711627</v>
      </c>
      <c r="C3806" t="s">
        <v>40</v>
      </c>
      <c r="D3806">
        <v>4.608676</v>
      </c>
      <c r="E3806">
        <v>0.55407379999999995</v>
      </c>
      <c r="F3806" t="s">
        <v>67</v>
      </c>
      <c r="G3806">
        <v>-443.07659999999998</v>
      </c>
      <c r="H3806">
        <v>5.0544060000000002</v>
      </c>
      <c r="I3806">
        <v>164.1748</v>
      </c>
      <c r="J3806">
        <v>-261.96420000000001</v>
      </c>
      <c r="K3806">
        <v>1.109253</v>
      </c>
      <c r="L3806">
        <v>139.86500000000001</v>
      </c>
      <c r="M3806">
        <v>-0.99983339999999998</v>
      </c>
      <c r="N3806">
        <v>0</v>
      </c>
      <c r="O3806">
        <v>-1.5827190000000001E-2</v>
      </c>
      <c r="P3806">
        <v>-0.99130819999999997</v>
      </c>
      <c r="Q3806">
        <v>0.13138559999999999</v>
      </c>
      <c r="R3806">
        <v>-6.7716460000000001E-3</v>
      </c>
      <c r="S3806">
        <v>-3.0207820000000001</v>
      </c>
      <c r="T3806">
        <v>6.5726640000000003E-2</v>
      </c>
      <c r="U3806">
        <v>0.40495300000000001</v>
      </c>
      <c r="V3806">
        <v>9.0015149999999999E-3</v>
      </c>
      <c r="W3806">
        <v>0.1403894</v>
      </c>
      <c r="X3806">
        <v>0.99005540000000003</v>
      </c>
      <c r="Y3806">
        <v>0.14849979999999999</v>
      </c>
      <c r="Z3806">
        <v>-1.9510490000000001E-3</v>
      </c>
      <c r="AA3806">
        <v>0.98891050000000003</v>
      </c>
      <c r="AB3806">
        <v>35</v>
      </c>
      <c r="AC3806">
        <v>-181.11240000000001</v>
      </c>
      <c r="AD3806">
        <v>3.9451529999999999</v>
      </c>
      <c r="AE3806">
        <v>24.309799999999999</v>
      </c>
      <c r="AF3806">
        <v>27.160714083946601</v>
      </c>
      <c r="AG3806">
        <v>3.9451529999999999</v>
      </c>
      <c r="AH3806">
        <v>180.620753806658</v>
      </c>
      <c r="AI3806">
        <v>88.762640842012303</v>
      </c>
      <c r="AJ3806">
        <v>81.448263300003703</v>
      </c>
      <c r="AK3806">
        <v>182.69407578635099</v>
      </c>
      <c r="AL3806">
        <v>81.929619852003697</v>
      </c>
      <c r="AM3806">
        <v>89.479085101420694</v>
      </c>
      <c r="AN3806">
        <v>0.99999995298690603</v>
      </c>
    </row>
    <row r="3807" spans="1:40" x14ac:dyDescent="0.25">
      <c r="A3807" t="str">
        <f>"20190312151614735"</f>
        <v>20190312151614735</v>
      </c>
      <c r="B3807" t="str">
        <f>"1552374974732123"</f>
        <v>1552374974732123</v>
      </c>
      <c r="C3807" t="s">
        <v>40</v>
      </c>
      <c r="D3807">
        <v>4.595637</v>
      </c>
      <c r="E3807">
        <v>0.55394399999999999</v>
      </c>
      <c r="F3807" t="s">
        <v>48</v>
      </c>
      <c r="G3807">
        <v>-434.22449999999998</v>
      </c>
      <c r="H3807">
        <v>5.6943339999999996</v>
      </c>
      <c r="I3807">
        <v>163.12289999999999</v>
      </c>
      <c r="J3807">
        <v>-262.18239999999997</v>
      </c>
      <c r="K3807">
        <v>1.1092109999999999</v>
      </c>
      <c r="L3807">
        <v>139.86179999999999</v>
      </c>
      <c r="M3807">
        <v>-0.99983719999999998</v>
      </c>
      <c r="N3807">
        <v>0</v>
      </c>
      <c r="O3807">
        <v>-1.5606399999999999E-2</v>
      </c>
      <c r="P3807">
        <v>-0.99130960000000001</v>
      </c>
      <c r="Q3807">
        <v>0.13144110000000001</v>
      </c>
      <c r="R3807">
        <v>-5.3577819999999898E-3</v>
      </c>
      <c r="S3807">
        <v>-3.018402</v>
      </c>
      <c r="T3807">
        <v>8.0341339999999997E-2</v>
      </c>
      <c r="U3807">
        <v>0.4075317</v>
      </c>
      <c r="V3807">
        <v>1.020853E-2</v>
      </c>
      <c r="W3807">
        <v>0.1404116</v>
      </c>
      <c r="X3807">
        <v>0.99004060000000005</v>
      </c>
      <c r="Y3807">
        <v>0.14919479999999999</v>
      </c>
      <c r="Z3807">
        <v>-2.3898220000000002E-3</v>
      </c>
      <c r="AA3807">
        <v>0.98880489999999999</v>
      </c>
      <c r="AB3807">
        <v>36</v>
      </c>
      <c r="AC3807">
        <v>-172.0421</v>
      </c>
      <c r="AD3807">
        <v>4.5851229999999896</v>
      </c>
      <c r="AE3807">
        <v>23.261099999999999</v>
      </c>
      <c r="AF3807">
        <v>25.9252510701088</v>
      </c>
      <c r="AG3807">
        <v>4.5851229999999896</v>
      </c>
      <c r="AH3807">
        <v>171.53845501611599</v>
      </c>
      <c r="AI3807">
        <v>88.486066188450593</v>
      </c>
      <c r="AJ3807">
        <v>81.405714950844995</v>
      </c>
      <c r="AK3807">
        <v>173.54706435226501</v>
      </c>
      <c r="AL3807">
        <v>81.928335628424605</v>
      </c>
      <c r="AM3807">
        <v>89.409231342595604</v>
      </c>
      <c r="AN3807">
        <v>1.00000001057384</v>
      </c>
    </row>
    <row r="3808" spans="1:40" x14ac:dyDescent="0.25">
      <c r="A3808" t="str">
        <f>"20190312151614752"</f>
        <v>20190312151614752</v>
      </c>
      <c r="B3808" t="str">
        <f>"1552374974741883"</f>
        <v>1552374974741883</v>
      </c>
      <c r="C3808" t="s">
        <v>40</v>
      </c>
      <c r="D3808">
        <v>4.345002</v>
      </c>
      <c r="E3808">
        <v>0.55297450000000004</v>
      </c>
      <c r="F3808" t="s">
        <v>48</v>
      </c>
      <c r="G3808">
        <v>-434.13240000000002</v>
      </c>
      <c r="H3808">
        <v>6.2207540000000003</v>
      </c>
      <c r="I3808">
        <v>163.28620000000001</v>
      </c>
      <c r="J3808">
        <v>-262.46969999999999</v>
      </c>
      <c r="K3808">
        <v>1.1091530000000001</v>
      </c>
      <c r="L3808">
        <v>139.85759999999999</v>
      </c>
      <c r="M3808">
        <v>-0.99984260000000003</v>
      </c>
      <c r="N3808">
        <v>0</v>
      </c>
      <c r="O3808">
        <v>-1.5274019999999999E-2</v>
      </c>
      <c r="P3808">
        <v>-0.9914212</v>
      </c>
      <c r="Q3808">
        <v>0.13068080000000001</v>
      </c>
      <c r="R3808">
        <v>-2.5961579999999999E-3</v>
      </c>
      <c r="S3808">
        <v>-3.016632</v>
      </c>
      <c r="T3808">
        <v>8.9675190000000002E-2</v>
      </c>
      <c r="U3808">
        <v>0.41094969999999997</v>
      </c>
      <c r="V3808">
        <v>1.2657379999999999E-2</v>
      </c>
      <c r="W3808">
        <v>0.13961029999999999</v>
      </c>
      <c r="X3808">
        <v>0.99012560000000005</v>
      </c>
      <c r="Y3808">
        <v>0.15002860000000001</v>
      </c>
      <c r="Z3808">
        <v>-2.6711970000000002E-3</v>
      </c>
      <c r="AA3808">
        <v>0.98867799999999995</v>
      </c>
      <c r="AB3808">
        <v>36</v>
      </c>
      <c r="AC3808">
        <v>-171.6627</v>
      </c>
      <c r="AD3808">
        <v>5.1116010000000003</v>
      </c>
      <c r="AE3808">
        <v>23.428599999999999</v>
      </c>
      <c r="AF3808">
        <v>26.0252991803629</v>
      </c>
      <c r="AG3808">
        <v>5.1116010000000003</v>
      </c>
      <c r="AH3808">
        <v>171.13584339406199</v>
      </c>
      <c r="AI3808">
        <v>88.308594439488701</v>
      </c>
      <c r="AJ3808">
        <v>81.353057600338801</v>
      </c>
      <c r="AK3808">
        <v>173.178871564655</v>
      </c>
      <c r="AL3808">
        <v>81.974703170847803</v>
      </c>
      <c r="AM3808">
        <v>89.267592967448493</v>
      </c>
      <c r="AN3808">
        <v>0.99999997445495603</v>
      </c>
    </row>
    <row r="3809" spans="1:40" x14ac:dyDescent="0.25">
      <c r="A3809" t="str">
        <f>"20190312151614776"</f>
        <v>20190312151614776</v>
      </c>
      <c r="B3809" t="str">
        <f>"1552374974772139"</f>
        <v>1552374974772139</v>
      </c>
      <c r="C3809" t="s">
        <v>40</v>
      </c>
      <c r="D3809">
        <v>4.6367050000000001</v>
      </c>
      <c r="E3809">
        <v>0.55530159999999995</v>
      </c>
      <c r="F3809" t="s">
        <v>48</v>
      </c>
      <c r="G3809">
        <v>-434.1216</v>
      </c>
      <c r="H3809">
        <v>5.1213559999999996</v>
      </c>
      <c r="I3809">
        <v>163.2389</v>
      </c>
      <c r="J3809">
        <v>-262.83109999999999</v>
      </c>
      <c r="K3809">
        <v>1.1090869999999999</v>
      </c>
      <c r="L3809">
        <v>139.85249999999999</v>
      </c>
      <c r="M3809">
        <v>-0.99985040000000003</v>
      </c>
      <c r="N3809">
        <v>0</v>
      </c>
      <c r="O3809">
        <v>-1.4793000000000001E-2</v>
      </c>
      <c r="P3809">
        <v>-0.99154379999999998</v>
      </c>
      <c r="Q3809">
        <v>0.1297643</v>
      </c>
      <c r="R3809">
        <v>1.4799170000000001E-3</v>
      </c>
      <c r="S3809">
        <v>-3.0177309999999999</v>
      </c>
      <c r="T3809">
        <v>7.053661E-2</v>
      </c>
      <c r="U3809">
        <v>0.41105649999999999</v>
      </c>
      <c r="V3809">
        <v>1.627576E-2</v>
      </c>
      <c r="W3809">
        <v>0.13864560000000001</v>
      </c>
      <c r="X3809">
        <v>0.99020830000000004</v>
      </c>
      <c r="Y3809">
        <v>0.1495668</v>
      </c>
      <c r="Z3809">
        <v>-2.0839510000000001E-3</v>
      </c>
      <c r="AA3809">
        <v>0.9887494</v>
      </c>
      <c r="AB3809">
        <v>36</v>
      </c>
      <c r="AC3809">
        <v>-171.29050000000001</v>
      </c>
      <c r="AD3809">
        <v>4.0122689999999999</v>
      </c>
      <c r="AE3809">
        <v>23.386399999999998</v>
      </c>
      <c r="AF3809">
        <v>25.903890286729698</v>
      </c>
      <c r="AG3809">
        <v>4.0122689999999999</v>
      </c>
      <c r="AH3809">
        <v>170.83376994231199</v>
      </c>
      <c r="AI3809">
        <v>88.669776165154403</v>
      </c>
      <c r="AJ3809">
        <v>81.377799353699601</v>
      </c>
      <c r="AK3809">
        <v>172.833118317116</v>
      </c>
      <c r="AL3809">
        <v>82.030519382589901</v>
      </c>
      <c r="AM3809">
        <v>89.058331069624202</v>
      </c>
      <c r="AN3809">
        <v>0.999999990075913</v>
      </c>
    </row>
    <row r="3810" spans="1:40" x14ac:dyDescent="0.25">
      <c r="A3810" t="str">
        <f>"20190312151614798"</f>
        <v>20190312151614798</v>
      </c>
      <c r="B3810" t="str">
        <f>"1552374974791660"</f>
        <v>1552374974791660</v>
      </c>
      <c r="C3810" t="s">
        <v>40</v>
      </c>
      <c r="D3810">
        <v>4.7481099999999996</v>
      </c>
      <c r="E3810">
        <v>0.5567529</v>
      </c>
      <c r="F3810" t="s">
        <v>67</v>
      </c>
      <c r="G3810">
        <v>-441.82600000000002</v>
      </c>
      <c r="H3810">
        <v>5.3157100000000002</v>
      </c>
      <c r="I3810">
        <v>166.07299999999901</v>
      </c>
      <c r="J3810">
        <v>-263.19799999999998</v>
      </c>
      <c r="K3810">
        <v>1.109024</v>
      </c>
      <c r="L3810">
        <v>139.8475</v>
      </c>
      <c r="M3810">
        <v>-0.99985869999999999</v>
      </c>
      <c r="N3810">
        <v>0</v>
      </c>
      <c r="O3810">
        <v>-1.424374E-2</v>
      </c>
      <c r="P3810">
        <v>-0.99155059999999995</v>
      </c>
      <c r="Q3810">
        <v>0.12965869999999999</v>
      </c>
      <c r="R3810">
        <v>4.0223009999999998E-3</v>
      </c>
      <c r="S3810">
        <v>-3.0156559999999999</v>
      </c>
      <c r="T3810">
        <v>7.0872550000000006E-2</v>
      </c>
      <c r="U3810">
        <v>0.44175720000000002</v>
      </c>
      <c r="V3810">
        <v>1.8291479999999999E-2</v>
      </c>
      <c r="W3810">
        <v>0.13849690000000001</v>
      </c>
      <c r="X3810">
        <v>0.99019400000000002</v>
      </c>
      <c r="Y3810">
        <v>0.15897339999999999</v>
      </c>
      <c r="Z3810">
        <v>-2.1909109999999998E-3</v>
      </c>
      <c r="AA3810">
        <v>0.98728039999999995</v>
      </c>
      <c r="AB3810">
        <v>36</v>
      </c>
      <c r="AC3810">
        <v>-178.62799999999999</v>
      </c>
      <c r="AD3810">
        <v>4.2066860000000004</v>
      </c>
      <c r="AE3810">
        <v>26.225499999999901</v>
      </c>
      <c r="AF3810">
        <v>28.751662205268602</v>
      </c>
      <c r="AG3810">
        <v>4.2066860000000004</v>
      </c>
      <c r="AH3810">
        <v>178.139601272177</v>
      </c>
      <c r="AI3810">
        <v>88.664513919487405</v>
      </c>
      <c r="AJ3810">
        <v>80.831550105900206</v>
      </c>
      <c r="AK3810">
        <v>180.49396618191599</v>
      </c>
      <c r="AL3810">
        <v>82.0391228507157</v>
      </c>
      <c r="AM3810">
        <v>88.941717056538295</v>
      </c>
      <c r="AN3810">
        <v>1.0000000635930899</v>
      </c>
    </row>
    <row r="3811" spans="1:40" x14ac:dyDescent="0.25">
      <c r="A3811" t="str">
        <f>"20190312151614820"</f>
        <v>20190312151614820</v>
      </c>
      <c r="B3811" t="str">
        <f>"1552374974812155"</f>
        <v>1552374974812155</v>
      </c>
      <c r="C3811" t="s">
        <v>40</v>
      </c>
      <c r="D3811">
        <v>4.7629419999999998</v>
      </c>
      <c r="E3811">
        <v>0.55782989999999999</v>
      </c>
      <c r="F3811" t="s">
        <v>67</v>
      </c>
      <c r="G3811">
        <v>-440.76429999999999</v>
      </c>
      <c r="H3811">
        <v>5.7330249999999996</v>
      </c>
      <c r="I3811">
        <v>167.0325</v>
      </c>
      <c r="J3811">
        <v>-263.55970000000002</v>
      </c>
      <c r="K3811">
        <v>1.1089739999999999</v>
      </c>
      <c r="L3811">
        <v>139.84289999999999</v>
      </c>
      <c r="M3811">
        <v>-0.99986710000000001</v>
      </c>
      <c r="N3811">
        <v>0</v>
      </c>
      <c r="O3811">
        <v>-1.3654039999999999E-2</v>
      </c>
      <c r="P3811">
        <v>-0.99158489999999999</v>
      </c>
      <c r="Q3811">
        <v>0.12931280000000001</v>
      </c>
      <c r="R3811">
        <v>6.1513200000000001E-3</v>
      </c>
      <c r="S3811">
        <v>-3.0134280000000002</v>
      </c>
      <c r="T3811">
        <v>7.8473210000000002E-2</v>
      </c>
      <c r="U3811">
        <v>0.46134950000000002</v>
      </c>
      <c r="V3811">
        <v>1.9851770000000001E-2</v>
      </c>
      <c r="W3811">
        <v>0.13811389999999901</v>
      </c>
      <c r="X3811">
        <v>0.99021740000000003</v>
      </c>
      <c r="Y3811">
        <v>0.16475870000000001</v>
      </c>
      <c r="Z3811">
        <v>-2.4860220000000001E-3</v>
      </c>
      <c r="AA3811">
        <v>0.9863307</v>
      </c>
      <c r="AB3811">
        <v>36</v>
      </c>
      <c r="AC3811">
        <v>-177.204599999999</v>
      </c>
      <c r="AD3811">
        <v>4.6240509999999997</v>
      </c>
      <c r="AE3811">
        <v>27.189599999999999</v>
      </c>
      <c r="AF3811">
        <v>29.5870368853668</v>
      </c>
      <c r="AG3811">
        <v>4.6240509999999997</v>
      </c>
      <c r="AH3811">
        <v>176.69926654572899</v>
      </c>
      <c r="AI3811">
        <v>88.521539602055299</v>
      </c>
      <c r="AJ3811">
        <v>80.494410607930902</v>
      </c>
      <c r="AK3811">
        <v>179.21887567191499</v>
      </c>
      <c r="AL3811">
        <v>82.061279729439406</v>
      </c>
      <c r="AM3811">
        <v>88.851494338424601</v>
      </c>
      <c r="AN3811">
        <v>1.00000002070405</v>
      </c>
    </row>
    <row r="3812" spans="1:40" x14ac:dyDescent="0.25">
      <c r="A3812" t="str">
        <f>"20190312151614843"</f>
        <v>20190312151614843</v>
      </c>
      <c r="B3812" t="str">
        <f>"1552374974831677"</f>
        <v>1552374974831677</v>
      </c>
      <c r="C3812" t="s">
        <v>40</v>
      </c>
      <c r="D3812">
        <v>4.5927309999999997</v>
      </c>
      <c r="E3812">
        <v>0.55887690000000001</v>
      </c>
      <c r="F3812" t="s">
        <v>67</v>
      </c>
      <c r="G3812">
        <v>-439.7937</v>
      </c>
      <c r="H3812">
        <v>5.8206369999999996</v>
      </c>
      <c r="I3812">
        <v>167.72450000000001</v>
      </c>
      <c r="J3812">
        <v>-263.916</v>
      </c>
      <c r="K3812">
        <v>1.1089279999999999</v>
      </c>
      <c r="L3812">
        <v>139.83860000000001</v>
      </c>
      <c r="M3812">
        <v>-0.99987579999999998</v>
      </c>
      <c r="N3812">
        <v>0</v>
      </c>
      <c r="O3812">
        <v>-1.3031020000000001E-2</v>
      </c>
      <c r="P3812">
        <v>-0.9915581</v>
      </c>
      <c r="Q3812">
        <v>0.129417899999999</v>
      </c>
      <c r="R3812">
        <v>7.9912690000000005E-3</v>
      </c>
      <c r="S3812">
        <v>-3.0119630000000002</v>
      </c>
      <c r="T3812">
        <v>8.0526230000000004E-2</v>
      </c>
      <c r="U3812">
        <v>0.47651670000000002</v>
      </c>
      <c r="V3812">
        <v>2.1088200000000001E-2</v>
      </c>
      <c r="W3812">
        <v>0.13818610000000001</v>
      </c>
      <c r="X3812">
        <v>0.99018170000000005</v>
      </c>
      <c r="Y3812">
        <v>0.16905909999999999</v>
      </c>
      <c r="Z3812">
        <v>-2.5918479999999999E-3</v>
      </c>
      <c r="AA3812">
        <v>0.98560250000000005</v>
      </c>
      <c r="AB3812">
        <v>36</v>
      </c>
      <c r="AC3812">
        <v>-175.8777</v>
      </c>
      <c r="AD3812">
        <v>4.7117089999999999</v>
      </c>
      <c r="AE3812">
        <v>27.8858999999999</v>
      </c>
      <c r="AF3812">
        <v>30.154377255076</v>
      </c>
      <c r="AG3812">
        <v>4.7117089999999999</v>
      </c>
      <c r="AH3812">
        <v>175.37659047847299</v>
      </c>
      <c r="AI3812">
        <v>88.483293952575096</v>
      </c>
      <c r="AJ3812">
        <v>80.243917658758505</v>
      </c>
      <c r="AK3812">
        <v>178.01245787078</v>
      </c>
      <c r="AL3812">
        <v>82.057102396646201</v>
      </c>
      <c r="AM3812">
        <v>88.779938845973604</v>
      </c>
      <c r="AN3812">
        <v>0.99999995471366898</v>
      </c>
    </row>
    <row r="3813" spans="1:40" x14ac:dyDescent="0.25">
      <c r="A3813" t="str">
        <f>"20190312151614864"</f>
        <v>20190312151614864</v>
      </c>
      <c r="B3813" t="str">
        <f>"1552374974861931"</f>
        <v>1552374974861931</v>
      </c>
      <c r="C3813" t="s">
        <v>40</v>
      </c>
      <c r="D3813">
        <v>4.6293519999999999</v>
      </c>
      <c r="E3813">
        <v>0.55983329999999998</v>
      </c>
      <c r="F3813" t="s">
        <v>67</v>
      </c>
      <c r="G3813">
        <v>-442.59530000000001</v>
      </c>
      <c r="H3813">
        <v>6.0123930000000003</v>
      </c>
      <c r="I3813">
        <v>168.95590000000001</v>
      </c>
      <c r="J3813">
        <v>-264.26870000000002</v>
      </c>
      <c r="K3813">
        <v>1.108886</v>
      </c>
      <c r="L3813">
        <v>139.83459999999999</v>
      </c>
      <c r="M3813">
        <v>-0.99988440000000001</v>
      </c>
      <c r="N3813">
        <v>0</v>
      </c>
      <c r="O3813">
        <v>-1.237682E-2</v>
      </c>
      <c r="P3813">
        <v>-0.99153139999999995</v>
      </c>
      <c r="Q3813">
        <v>0.12951079999999901</v>
      </c>
      <c r="R3813">
        <v>9.6356419999999998E-3</v>
      </c>
      <c r="S3813">
        <v>-3.0107729999999999</v>
      </c>
      <c r="T3813">
        <v>8.2624669999999997E-2</v>
      </c>
      <c r="U3813">
        <v>0.49063109999999999</v>
      </c>
      <c r="V3813">
        <v>2.209742E-2</v>
      </c>
      <c r="W3813">
        <v>0.13825129999999999</v>
      </c>
      <c r="X3813">
        <v>0.99015059999999999</v>
      </c>
      <c r="Y3813">
        <v>0.17297279999999901</v>
      </c>
      <c r="Z3813">
        <v>-2.6949230000000001E-3</v>
      </c>
      <c r="AA3813">
        <v>0.98492290000000005</v>
      </c>
      <c r="AB3813">
        <v>36</v>
      </c>
      <c r="AC3813">
        <v>-178.32659999999899</v>
      </c>
      <c r="AD3813">
        <v>4.9035070000000003</v>
      </c>
      <c r="AE3813">
        <v>29.121300000000002</v>
      </c>
      <c r="AF3813">
        <v>31.303217886963299</v>
      </c>
      <c r="AG3813">
        <v>4.9035070000000003</v>
      </c>
      <c r="AH3813">
        <v>177.821537617628</v>
      </c>
      <c r="AI3813">
        <v>88.444352151759801</v>
      </c>
      <c r="AJ3813">
        <v>80.016099515441397</v>
      </c>
      <c r="AK3813">
        <v>180.62235485032099</v>
      </c>
      <c r="AL3813">
        <v>82.053330584733999</v>
      </c>
      <c r="AM3813">
        <v>88.721529056953599</v>
      </c>
      <c r="AN3813">
        <v>0.99999996430135196</v>
      </c>
    </row>
    <row r="3814" spans="1:40" x14ac:dyDescent="0.25">
      <c r="A3814" t="str">
        <f>"20190312151614887"</f>
        <v>20190312151614887</v>
      </c>
      <c r="B3814" t="str">
        <f>"1552374974881451"</f>
        <v>1552374974881451</v>
      </c>
      <c r="C3814" t="s">
        <v>40</v>
      </c>
      <c r="D3814">
        <v>4.7504309999999998</v>
      </c>
      <c r="E3814">
        <v>0.56014410000000003</v>
      </c>
      <c r="F3814" t="s">
        <v>67</v>
      </c>
      <c r="G3814">
        <v>-441.67809999999997</v>
      </c>
      <c r="H3814">
        <v>6.0164400000000002</v>
      </c>
      <c r="I3814">
        <v>169.4948</v>
      </c>
      <c r="J3814">
        <v>-264.62220000000002</v>
      </c>
      <c r="K3814">
        <v>1.108838</v>
      </c>
      <c r="L3814">
        <v>139.83080000000001</v>
      </c>
      <c r="M3814">
        <v>-0.99989269999999997</v>
      </c>
      <c r="N3814">
        <v>0</v>
      </c>
      <c r="O3814">
        <v>-1.168605E-2</v>
      </c>
      <c r="P3814">
        <v>-0.99146999999999996</v>
      </c>
      <c r="Q3814">
        <v>0.12990189999999999</v>
      </c>
      <c r="R3814">
        <v>1.062404E-2</v>
      </c>
      <c r="S3814">
        <v>-3.0098569999999998</v>
      </c>
      <c r="T3814">
        <v>8.3260180000000003E-2</v>
      </c>
      <c r="U3814">
        <v>0.50320429999999905</v>
      </c>
      <c r="V3814">
        <v>2.241454E-2</v>
      </c>
      <c r="W3814">
        <v>0.13861780000000001</v>
      </c>
      <c r="X3814">
        <v>0.99009230000000004</v>
      </c>
      <c r="Y3814">
        <v>0.1763421</v>
      </c>
      <c r="Z3814">
        <v>-2.7428309999999998E-3</v>
      </c>
      <c r="AA3814">
        <v>0.98432509999999995</v>
      </c>
      <c r="AB3814">
        <v>36</v>
      </c>
      <c r="AC3814">
        <v>-177.05589999999901</v>
      </c>
      <c r="AD3814">
        <v>4.9076019999999998</v>
      </c>
      <c r="AE3814">
        <v>29.663999999999898</v>
      </c>
      <c r="AF3814">
        <v>31.707444094557601</v>
      </c>
      <c r="AG3814">
        <v>4.9076019999999998</v>
      </c>
      <c r="AH3814">
        <v>176.565193162399</v>
      </c>
      <c r="AI3814">
        <v>88.432937238659306</v>
      </c>
      <c r="AJ3814">
        <v>79.819378901990206</v>
      </c>
      <c r="AK3814">
        <v>179.45671902961701</v>
      </c>
      <c r="AL3814">
        <v>82.032128090180805</v>
      </c>
      <c r="AM3814">
        <v>88.703111611194501</v>
      </c>
      <c r="AN3814">
        <v>1.0000000342997699</v>
      </c>
    </row>
    <row r="3815" spans="1:40" x14ac:dyDescent="0.25">
      <c r="A3815" t="str">
        <f>"20190312151614911"</f>
        <v>20190312151614911</v>
      </c>
      <c r="B3815" t="str">
        <f>"1552374974901947"</f>
        <v>1552374974901947</v>
      </c>
      <c r="C3815" t="s">
        <v>40</v>
      </c>
      <c r="D3815">
        <v>4.5893480000000002</v>
      </c>
      <c r="E3815">
        <v>0.56048039999999999</v>
      </c>
      <c r="F3815" t="s">
        <v>67</v>
      </c>
      <c r="G3815">
        <v>-441.4325</v>
      </c>
      <c r="H3815">
        <v>6.1585219999999996</v>
      </c>
      <c r="I3815">
        <v>169.72919999999999</v>
      </c>
      <c r="J3815">
        <v>-264.99630000000002</v>
      </c>
      <c r="K3815">
        <v>1.108789</v>
      </c>
      <c r="L3815">
        <v>139.827</v>
      </c>
      <c r="M3815">
        <v>-0.99990159999999995</v>
      </c>
      <c r="N3815">
        <v>0</v>
      </c>
      <c r="O3815">
        <v>-1.091934E-2</v>
      </c>
      <c r="P3815">
        <v>-0.99140569999999895</v>
      </c>
      <c r="Q3815">
        <v>0.13041410000000001</v>
      </c>
      <c r="R3815">
        <v>1.035641E-2</v>
      </c>
      <c r="S3815">
        <v>-3.0090940000000002</v>
      </c>
      <c r="T3815">
        <v>8.5940000000000003E-2</v>
      </c>
      <c r="U3815">
        <v>0.50883480000000003</v>
      </c>
      <c r="V3815">
        <v>2.1401409999999999E-2</v>
      </c>
      <c r="W3815">
        <v>0.13911029999999999</v>
      </c>
      <c r="X3815">
        <v>0.99004559999999997</v>
      </c>
      <c r="Y3815">
        <v>0.177414299999999</v>
      </c>
      <c r="Z3815">
        <v>-2.824801E-3</v>
      </c>
      <c r="AA3815">
        <v>0.98413220000000001</v>
      </c>
      <c r="AB3815">
        <v>36</v>
      </c>
      <c r="AC3815">
        <v>-176.43620000000001</v>
      </c>
      <c r="AD3815">
        <v>5.0497329999999998</v>
      </c>
      <c r="AE3815">
        <v>29.902200000000001</v>
      </c>
      <c r="AF3815">
        <v>31.801735810198299</v>
      </c>
      <c r="AG3815">
        <v>5.0497329999999998</v>
      </c>
      <c r="AH3815">
        <v>175.959043751487</v>
      </c>
      <c r="AI3815">
        <v>88.382350692238504</v>
      </c>
      <c r="AJ3815">
        <v>79.755310724115006</v>
      </c>
      <c r="AK3815">
        <v>178.88106462633399</v>
      </c>
      <c r="AL3815">
        <v>82.0036335192775</v>
      </c>
      <c r="AM3815">
        <v>88.761653474491794</v>
      </c>
      <c r="AN3815">
        <v>0.99999999299771802</v>
      </c>
    </row>
    <row r="3816" spans="1:40" x14ac:dyDescent="0.25">
      <c r="A3816" t="str">
        <f>"20190312151614931"</f>
        <v>20190312151614931</v>
      </c>
      <c r="B3816" t="str">
        <f>"1552374974921926"</f>
        <v>1552374974921926</v>
      </c>
      <c r="C3816" t="s">
        <v>40</v>
      </c>
      <c r="D3816">
        <v>4.5641239999999996</v>
      </c>
      <c r="E3816">
        <v>0.56076219999999999</v>
      </c>
      <c r="F3816" t="s">
        <v>67</v>
      </c>
      <c r="G3816">
        <v>-441.41559999999998</v>
      </c>
      <c r="H3816">
        <v>6.2204360000000003</v>
      </c>
      <c r="I3816">
        <v>169.7637</v>
      </c>
      <c r="J3816">
        <v>-265.34129999999999</v>
      </c>
      <c r="K3816">
        <v>1.108749</v>
      </c>
      <c r="L3816">
        <v>139.82390000000001</v>
      </c>
      <c r="M3816">
        <v>-0.99990950000000001</v>
      </c>
      <c r="N3816">
        <v>0</v>
      </c>
      <c r="O3816">
        <v>-1.0179860000000001E-2</v>
      </c>
      <c r="P3816">
        <v>-0.99139100000000002</v>
      </c>
      <c r="Q3816">
        <v>0.130526</v>
      </c>
      <c r="R3816">
        <v>1.0349209999999999E-2</v>
      </c>
      <c r="S3816">
        <v>-3.0092159999999999</v>
      </c>
      <c r="T3816">
        <v>8.7190870000000004E-2</v>
      </c>
      <c r="U3816">
        <v>0.51063539999999996</v>
      </c>
      <c r="V3816">
        <v>2.0674209999999998E-2</v>
      </c>
      <c r="W3816">
        <v>0.1392071</v>
      </c>
      <c r="X3816">
        <v>0.99004749999999997</v>
      </c>
      <c r="Y3816">
        <v>0.17725050000000001</v>
      </c>
      <c r="Z3816">
        <v>-2.8420089999999999E-3</v>
      </c>
      <c r="AA3816">
        <v>0.98416170000000003</v>
      </c>
      <c r="AB3816">
        <v>36</v>
      </c>
      <c r="AC3816">
        <v>-176.07429999999999</v>
      </c>
      <c r="AD3816">
        <v>5.1116869999999999</v>
      </c>
      <c r="AE3816">
        <v>29.939799999999899</v>
      </c>
      <c r="AF3816">
        <v>31.704758974307701</v>
      </c>
      <c r="AG3816">
        <v>5.1116869999999999</v>
      </c>
      <c r="AH3816">
        <v>175.616526715362</v>
      </c>
      <c r="AI3816">
        <v>88.359265626273597</v>
      </c>
      <c r="AJ3816">
        <v>79.766391730903905</v>
      </c>
      <c r="AK3816">
        <v>178.52866868145401</v>
      </c>
      <c r="AL3816">
        <v>81.998033219755001</v>
      </c>
      <c r="AM3816">
        <v>88.803721189715702</v>
      </c>
      <c r="AN3816">
        <v>1.0000000459528899</v>
      </c>
    </row>
    <row r="3817" spans="1:40" x14ac:dyDescent="0.25">
      <c r="A3817" t="str">
        <f>"20190312151614955"</f>
        <v>20190312151614955</v>
      </c>
      <c r="B3817" t="str">
        <f>"1552374974951207"</f>
        <v>1552374974951207</v>
      </c>
      <c r="C3817" t="s">
        <v>40</v>
      </c>
      <c r="D3817">
        <v>4.8418049999999999</v>
      </c>
      <c r="E3817">
        <v>0.56122430000000001</v>
      </c>
      <c r="F3817" t="s">
        <v>67</v>
      </c>
      <c r="G3817">
        <v>-441.35160000000002</v>
      </c>
      <c r="H3817">
        <v>6.2903099999999998</v>
      </c>
      <c r="I3817">
        <v>169.8152</v>
      </c>
      <c r="J3817">
        <v>-265.71129999999999</v>
      </c>
      <c r="K3817">
        <v>1.108708</v>
      </c>
      <c r="L3817">
        <v>139.82089999999999</v>
      </c>
      <c r="M3817">
        <v>-0.99991770000000002</v>
      </c>
      <c r="N3817">
        <v>0</v>
      </c>
      <c r="O3817">
        <v>-9.3538500000000004E-3</v>
      </c>
      <c r="P3817">
        <v>-0.99136860000000004</v>
      </c>
      <c r="Q3817">
        <v>0.1307094</v>
      </c>
      <c r="R3817">
        <v>1.0153819999999999E-2</v>
      </c>
      <c r="S3817">
        <v>-3.0090330000000001</v>
      </c>
      <c r="T3817">
        <v>8.8583469999999997E-2</v>
      </c>
      <c r="U3817">
        <v>0.51272580000000001</v>
      </c>
      <c r="V3817">
        <v>1.967329E-2</v>
      </c>
      <c r="W3817">
        <v>0.1393771</v>
      </c>
      <c r="X3817">
        <v>0.99004389999999998</v>
      </c>
      <c r="Y3817">
        <v>0.17710989999999999</v>
      </c>
      <c r="Z3817">
        <v>-2.8611859999999999E-3</v>
      </c>
      <c r="AA3817">
        <v>0.98418689999999998</v>
      </c>
      <c r="AB3817">
        <v>36</v>
      </c>
      <c r="AC3817">
        <v>-175.6403</v>
      </c>
      <c r="AD3817">
        <v>5.1816019999999998</v>
      </c>
      <c r="AE3817">
        <v>29.994299999999999</v>
      </c>
      <c r="AF3817">
        <v>31.6092334009114</v>
      </c>
      <c r="AG3817">
        <v>5.1816019999999998</v>
      </c>
      <c r="AH3817">
        <v>175.203879581617</v>
      </c>
      <c r="AI3817">
        <v>88.332887140324601</v>
      </c>
      <c r="AJ3817">
        <v>79.773051696231093</v>
      </c>
      <c r="AK3817">
        <v>178.10781020474499</v>
      </c>
      <c r="AL3817">
        <v>81.988196428673106</v>
      </c>
      <c r="AM3817">
        <v>88.861617995917499</v>
      </c>
      <c r="AN3817">
        <v>0.99999996913552103</v>
      </c>
    </row>
    <row r="3818" spans="1:40" x14ac:dyDescent="0.25">
      <c r="A3818" t="str">
        <f>"20190312151614977"</f>
        <v>20190312151614977</v>
      </c>
      <c r="B3818" t="str">
        <f>"1552374974971703"</f>
        <v>1552374974971703</v>
      </c>
      <c r="C3818" t="s">
        <v>40</v>
      </c>
      <c r="D3818">
        <v>4.5580360000000004</v>
      </c>
      <c r="E3818">
        <v>0.56142419999999904</v>
      </c>
      <c r="F3818" t="s">
        <v>67</v>
      </c>
      <c r="G3818">
        <v>-441.23689999999999</v>
      </c>
      <c r="H3818">
        <v>6.3370930000000003</v>
      </c>
      <c r="I3818">
        <v>169.89519999999999</v>
      </c>
      <c r="J3818">
        <v>-266.08519999999999</v>
      </c>
      <c r="K3818">
        <v>1.108662</v>
      </c>
      <c r="L3818">
        <v>139.81819999999999</v>
      </c>
      <c r="M3818">
        <v>-0.99992559999999997</v>
      </c>
      <c r="N3818">
        <v>0</v>
      </c>
      <c r="O3818">
        <v>-8.4878239999999997E-3</v>
      </c>
      <c r="P3818">
        <v>-0.99136599999999997</v>
      </c>
      <c r="Q3818">
        <v>0.13075419999999999</v>
      </c>
      <c r="R3818">
        <v>9.8598739999999994E-3</v>
      </c>
      <c r="S3818">
        <v>-3.0090330000000001</v>
      </c>
      <c r="T3818">
        <v>8.9630719999999997E-2</v>
      </c>
      <c r="U3818">
        <v>0.51556400000000002</v>
      </c>
      <c r="V3818">
        <v>1.8533460000000002E-2</v>
      </c>
      <c r="W3818">
        <v>0.13941249999999999</v>
      </c>
      <c r="X3818">
        <v>0.99006090000000002</v>
      </c>
      <c r="Y3818">
        <v>0.17715790000000001</v>
      </c>
      <c r="Z3818">
        <v>-2.8698650000000001E-3</v>
      </c>
      <c r="AA3818">
        <v>0.9841782</v>
      </c>
      <c r="AB3818">
        <v>36</v>
      </c>
      <c r="AC3818">
        <v>-175.15170000000001</v>
      </c>
      <c r="AD3818">
        <v>5.2284309999999996</v>
      </c>
      <c r="AE3818">
        <v>30.077000000000002</v>
      </c>
      <c r="AF3818">
        <v>31.535334878193201</v>
      </c>
      <c r="AG3818">
        <v>5.2284309999999996</v>
      </c>
      <c r="AH3818">
        <v>174.73884661446999</v>
      </c>
      <c r="AI3818">
        <v>88.313371812558103</v>
      </c>
      <c r="AJ3818">
        <v>79.769876172813696</v>
      </c>
      <c r="AK3818">
        <v>177.63861729015099</v>
      </c>
      <c r="AL3818">
        <v>81.9861480868652</v>
      </c>
      <c r="AM3818">
        <v>88.9275760430085</v>
      </c>
      <c r="AN3818">
        <v>0.99999996000231495</v>
      </c>
    </row>
    <row r="3819" spans="1:40" x14ac:dyDescent="0.25">
      <c r="A3819" t="str">
        <f>"20190312151615000"</f>
        <v>20190312151615000</v>
      </c>
      <c r="B3819" t="str">
        <f>"1552374974991223"</f>
        <v>1552374974991223</v>
      </c>
      <c r="C3819" t="s">
        <v>40</v>
      </c>
      <c r="D3819">
        <v>4.6115870000000001</v>
      </c>
      <c r="E3819">
        <v>0.56173680000000004</v>
      </c>
      <c r="F3819" t="s">
        <v>67</v>
      </c>
      <c r="G3819">
        <v>-441.28109999999998</v>
      </c>
      <c r="H3819">
        <v>6.4300889999999997</v>
      </c>
      <c r="I3819">
        <v>169.8819</v>
      </c>
      <c r="J3819">
        <v>-266.44740000000002</v>
      </c>
      <c r="K3819">
        <v>1.1086259999999999</v>
      </c>
      <c r="L3819">
        <v>139.8158</v>
      </c>
      <c r="M3819">
        <v>-0.9999325</v>
      </c>
      <c r="N3819">
        <v>0</v>
      </c>
      <c r="O3819">
        <v>-7.6271079999999996E-3</v>
      </c>
      <c r="P3819">
        <v>-0.99140669999999997</v>
      </c>
      <c r="Q3819">
        <v>0.13045989999999999</v>
      </c>
      <c r="R3819">
        <v>9.6427609999999997E-3</v>
      </c>
      <c r="S3819">
        <v>-3.008972</v>
      </c>
      <c r="T3819">
        <v>9.1395619999999997E-2</v>
      </c>
      <c r="U3819">
        <v>0.51634219999999997</v>
      </c>
      <c r="V3819">
        <v>1.7472870000000001E-2</v>
      </c>
      <c r="W3819">
        <v>0.13911119999999999</v>
      </c>
      <c r="X3819">
        <v>0.99012259999999996</v>
      </c>
      <c r="Y3819">
        <v>0.17655879999999999</v>
      </c>
      <c r="Z3819">
        <v>-2.8913570000000002E-3</v>
      </c>
      <c r="AA3819">
        <v>0.98428579999999999</v>
      </c>
      <c r="AB3819">
        <v>36</v>
      </c>
      <c r="AC3819">
        <v>-174.833699999999</v>
      </c>
      <c r="AD3819">
        <v>5.3214629999999996</v>
      </c>
      <c r="AE3819">
        <v>30.066099999999999</v>
      </c>
      <c r="AF3819">
        <v>31.3705243962991</v>
      </c>
      <c r="AG3819">
        <v>5.3214629999999996</v>
      </c>
      <c r="AH3819">
        <v>174.44232181003599</v>
      </c>
      <c r="AI3819">
        <v>88.280271057204601</v>
      </c>
      <c r="AJ3819">
        <v>79.805282458753794</v>
      </c>
      <c r="AK3819">
        <v>177.32047656104299</v>
      </c>
      <c r="AL3819">
        <v>82.003581463614907</v>
      </c>
      <c r="AM3819">
        <v>88.988996107835504</v>
      </c>
      <c r="AN3819">
        <v>0.99999999509111803</v>
      </c>
    </row>
    <row r="3820" spans="1:40" x14ac:dyDescent="0.25">
      <c r="A3820" t="str">
        <f>"20190312151615020"</f>
        <v>20190312151615020</v>
      </c>
      <c r="B3820" t="str">
        <f>"1552374975011719"</f>
        <v>1552374975011719</v>
      </c>
      <c r="C3820" t="s">
        <v>40</v>
      </c>
      <c r="D3820">
        <v>4.5224449999999896</v>
      </c>
      <c r="E3820">
        <v>0.56183380000000005</v>
      </c>
      <c r="F3820" t="s">
        <v>67</v>
      </c>
      <c r="G3820">
        <v>-441.2217</v>
      </c>
      <c r="H3820">
        <v>6.4414239999999996</v>
      </c>
      <c r="I3820">
        <v>169.9213</v>
      </c>
      <c r="J3820">
        <v>-266.78410000000002</v>
      </c>
      <c r="K3820">
        <v>1.108603</v>
      </c>
      <c r="L3820">
        <v>139.81399999999999</v>
      </c>
      <c r="M3820">
        <v>-0.99993849999999995</v>
      </c>
      <c r="N3820">
        <v>0</v>
      </c>
      <c r="O3820">
        <v>-6.8130700000000001E-3</v>
      </c>
      <c r="P3820">
        <v>-0.9913999</v>
      </c>
      <c r="Q3820">
        <v>0.13046730000000001</v>
      </c>
      <c r="R3820">
        <v>1.02442E-2</v>
      </c>
      <c r="S3820">
        <v>-3.0089109999999999</v>
      </c>
      <c r="T3820">
        <v>9.1809989999999994E-2</v>
      </c>
      <c r="U3820">
        <v>0.51829529999999902</v>
      </c>
      <c r="V3820">
        <v>1.7275269999999999E-2</v>
      </c>
      <c r="W3820">
        <v>0.13911219999999999</v>
      </c>
      <c r="X3820">
        <v>0.99012599999999995</v>
      </c>
      <c r="Y3820">
        <v>0.17638110000000001</v>
      </c>
      <c r="Z3820">
        <v>-2.8770089999999998E-3</v>
      </c>
      <c r="AA3820">
        <v>0.98431769999999996</v>
      </c>
      <c r="AB3820">
        <v>36</v>
      </c>
      <c r="AC3820">
        <v>-174.43759999999901</v>
      </c>
      <c r="AD3820">
        <v>5.3328209999999903</v>
      </c>
      <c r="AE3820">
        <v>30.107299999999999</v>
      </c>
      <c r="AF3820">
        <v>31.266725183972699</v>
      </c>
      <c r="AG3820">
        <v>5.3328209999999903</v>
      </c>
      <c r="AH3820">
        <v>174.07043712851601</v>
      </c>
      <c r="AI3820">
        <v>88.272859335031598</v>
      </c>
      <c r="AJ3820">
        <v>79.817055157624196</v>
      </c>
      <c r="AK3820">
        <v>176.93661058599699</v>
      </c>
      <c r="AL3820">
        <v>82.003524188139707</v>
      </c>
      <c r="AM3820">
        <v>89.000430609840095</v>
      </c>
      <c r="AN3820">
        <v>1.0000000675092</v>
      </c>
    </row>
    <row r="3821" spans="1:40" x14ac:dyDescent="0.25">
      <c r="A3821" t="str">
        <f>"20190312151615045"</f>
        <v>20190312151615045</v>
      </c>
      <c r="B3821" t="str">
        <f>"1552374975041975"</f>
        <v>1552374975041975</v>
      </c>
      <c r="C3821" t="s">
        <v>40</v>
      </c>
      <c r="D3821">
        <v>4.5430519999999897</v>
      </c>
      <c r="E3821">
        <v>0.56154759999999904</v>
      </c>
      <c r="F3821" t="s">
        <v>67</v>
      </c>
      <c r="G3821">
        <v>-441.12369999999999</v>
      </c>
      <c r="H3821">
        <v>6.4240149999999998</v>
      </c>
      <c r="I3821">
        <v>169.98050000000001</v>
      </c>
      <c r="J3821">
        <v>-267.17989999999998</v>
      </c>
      <c r="K3821">
        <v>1.1085780000000001</v>
      </c>
      <c r="L3821">
        <v>139.81219999999999</v>
      </c>
      <c r="M3821">
        <v>-0.99994470000000002</v>
      </c>
      <c r="N3821">
        <v>0</v>
      </c>
      <c r="O3821">
        <v>-5.8444400000000002E-3</v>
      </c>
      <c r="P3821">
        <v>-0.99142410000000003</v>
      </c>
      <c r="Q3821">
        <v>0.1302083</v>
      </c>
      <c r="R3821">
        <v>1.1149600000000001E-2</v>
      </c>
      <c r="S3821">
        <v>-3.008575</v>
      </c>
      <c r="T3821">
        <v>9.1728569999999995E-2</v>
      </c>
      <c r="U3821">
        <v>0.52058409999999999</v>
      </c>
      <c r="V3821">
        <v>1.7227010000000001E-2</v>
      </c>
      <c r="W3821">
        <v>0.1388472</v>
      </c>
      <c r="X3821">
        <v>0.99016400000000004</v>
      </c>
      <c r="Y3821">
        <v>0.17617379999999999</v>
      </c>
      <c r="Z3821">
        <v>-2.8421380000000001E-3</v>
      </c>
      <c r="AA3821">
        <v>0.98435499999999998</v>
      </c>
      <c r="AB3821">
        <v>36</v>
      </c>
      <c r="AC3821">
        <v>-173.94380000000001</v>
      </c>
      <c r="AD3821">
        <v>5.3154369999999904</v>
      </c>
      <c r="AE3821">
        <v>30.168299999999999</v>
      </c>
      <c r="AF3821">
        <v>31.156183225986499</v>
      </c>
      <c r="AG3821">
        <v>5.3154369999999904</v>
      </c>
      <c r="AH3821">
        <v>173.60712294280501</v>
      </c>
      <c r="AI3821">
        <v>88.273847361007398</v>
      </c>
      <c r="AJ3821">
        <v>79.825790342428604</v>
      </c>
      <c r="AK3821">
        <v>176.46074566370399</v>
      </c>
      <c r="AL3821">
        <v>82.018856069530202</v>
      </c>
      <c r="AM3821">
        <v>89.003260677563205</v>
      </c>
      <c r="AN3821">
        <v>1.0000000308586801</v>
      </c>
    </row>
    <row r="3822" spans="1:40" x14ac:dyDescent="0.25">
      <c r="A3822" t="str">
        <f>"20190312151615067"</f>
        <v>20190312151615067</v>
      </c>
      <c r="B3822" t="str">
        <f>"1552374975061494"</f>
        <v>1552374975061494</v>
      </c>
      <c r="C3822" t="s">
        <v>40</v>
      </c>
      <c r="D3822">
        <v>4.5467019999999998</v>
      </c>
      <c r="E3822">
        <v>0.57068999999999903</v>
      </c>
      <c r="F3822" t="s">
        <v>67</v>
      </c>
      <c r="G3822">
        <v>-440.85059999999999</v>
      </c>
      <c r="H3822">
        <v>5.8658149999999996</v>
      </c>
      <c r="I3822">
        <v>169.86689999999999</v>
      </c>
      <c r="J3822">
        <v>-267.53949999999998</v>
      </c>
      <c r="K3822">
        <v>1.108562</v>
      </c>
      <c r="L3822">
        <v>139.8108</v>
      </c>
      <c r="M3822">
        <v>-0.99994930000000004</v>
      </c>
      <c r="N3822">
        <v>0</v>
      </c>
      <c r="O3822">
        <v>-4.9578920000000002E-3</v>
      </c>
      <c r="P3822">
        <v>-0.99146089999999998</v>
      </c>
      <c r="Q3822">
        <v>0.129916</v>
      </c>
      <c r="R3822">
        <v>1.126454E-2</v>
      </c>
      <c r="S3822">
        <v>-3.0092469999999998</v>
      </c>
      <c r="T3822">
        <v>8.2430719999999999E-2</v>
      </c>
      <c r="U3822">
        <v>0.52076719999999999</v>
      </c>
      <c r="V3822">
        <v>1.6467539999999999E-2</v>
      </c>
      <c r="W3822">
        <v>0.13855590000000001</v>
      </c>
      <c r="X3822">
        <v>0.99021769999999998</v>
      </c>
      <c r="Y3822">
        <v>0.17533879999999999</v>
      </c>
      <c r="Z3822">
        <v>-2.5181299999999999E-3</v>
      </c>
      <c r="AA3822">
        <v>0.98450490000000002</v>
      </c>
      <c r="AB3822">
        <v>36</v>
      </c>
      <c r="AC3822">
        <v>-173.31110000000001</v>
      </c>
      <c r="AD3822">
        <v>4.7572529999999897</v>
      </c>
      <c r="AE3822">
        <v>30.056099999999901</v>
      </c>
      <c r="AF3822">
        <v>30.892424711502201</v>
      </c>
      <c r="AG3822">
        <v>4.7572529999999897</v>
      </c>
      <c r="AH3822">
        <v>173.03338211827599</v>
      </c>
      <c r="AI3822">
        <v>88.449650831402906</v>
      </c>
      <c r="AJ3822">
        <v>79.877379994944206</v>
      </c>
      <c r="AK3822">
        <v>175.83379848013001</v>
      </c>
      <c r="AL3822">
        <v>82.035709023948797</v>
      </c>
      <c r="AM3822">
        <v>89.047246303479895</v>
      </c>
      <c r="AN3822">
        <v>1.00000000534587</v>
      </c>
    </row>
    <row r="3823" spans="1:40" x14ac:dyDescent="0.25">
      <c r="A3823" t="str">
        <f>"20190312151615088"</f>
        <v>20190312151615088</v>
      </c>
      <c r="B3823" t="str">
        <f>"1552374975081991"</f>
        <v>1552374975081991</v>
      </c>
      <c r="C3823" t="s">
        <v>40</v>
      </c>
      <c r="D3823">
        <v>4.248831</v>
      </c>
      <c r="E3823">
        <v>0.57083030000000001</v>
      </c>
      <c r="F3823" t="s">
        <v>41</v>
      </c>
      <c r="G3823">
        <v>-268.35730000000001</v>
      </c>
      <c r="H3823">
        <v>1.0118860000000001</v>
      </c>
      <c r="I3823">
        <v>139.9682</v>
      </c>
      <c r="J3823">
        <v>-267.89679999999998</v>
      </c>
      <c r="K3823">
        <v>1.1085529999999999</v>
      </c>
      <c r="L3823">
        <v>139.8098</v>
      </c>
      <c r="M3823">
        <v>-0.99995339999999999</v>
      </c>
      <c r="N3823">
        <v>0</v>
      </c>
      <c r="O3823">
        <v>-4.0753309999999997E-3</v>
      </c>
      <c r="P3823">
        <v>-0.99153469999999999</v>
      </c>
      <c r="Q3823">
        <v>0.1293715</v>
      </c>
      <c r="R3823">
        <v>1.105593E-2</v>
      </c>
      <c r="S3823">
        <v>-3.0666500000000001</v>
      </c>
      <c r="T3823">
        <v>-0.36256070000000001</v>
      </c>
      <c r="U3823">
        <v>0.58964539999999999</v>
      </c>
      <c r="V3823">
        <v>1.5387319999999999E-2</v>
      </c>
      <c r="W3823">
        <v>0.13802229999999999</v>
      </c>
      <c r="X3823">
        <v>0.99030960000000001</v>
      </c>
      <c r="Y3823">
        <v>0.1915047</v>
      </c>
      <c r="Z3823">
        <v>1.1655769999999999E-2</v>
      </c>
      <c r="AA3823">
        <v>0.98142249999999998</v>
      </c>
      <c r="AB3823">
        <v>37</v>
      </c>
      <c r="AC3823">
        <v>-0.460500000000024</v>
      </c>
      <c r="AD3823">
        <v>-9.6667000000000003E-2</v>
      </c>
      <c r="AE3823">
        <v>0.15840000000000001</v>
      </c>
      <c r="AF3823">
        <v>0.15419948779242501</v>
      </c>
      <c r="AG3823">
        <v>-9.6667000000000003E-2</v>
      </c>
      <c r="AH3823">
        <v>0.44241792153012999</v>
      </c>
      <c r="AI3823">
        <v>101.657913926669</v>
      </c>
      <c r="AJ3823">
        <v>70.784609159877903</v>
      </c>
      <c r="AK3823">
        <v>0.478388553599986</v>
      </c>
      <c r="AL3823">
        <v>82.066578722594102</v>
      </c>
      <c r="AM3823">
        <v>89.109816208028803</v>
      </c>
      <c r="AN3823">
        <v>1.00000001438311</v>
      </c>
    </row>
    <row r="3824" spans="1:40" x14ac:dyDescent="0.25">
      <c r="A3824" t="str">
        <f>"20190312151615110"</f>
        <v>20190312151615110</v>
      </c>
      <c r="B3824" t="str">
        <f>"1552374975101515"</f>
        <v>1552374975101515</v>
      </c>
      <c r="C3824" t="s">
        <v>40</v>
      </c>
      <c r="D3824">
        <v>4.3901839999999996</v>
      </c>
      <c r="E3824">
        <v>0.56683289999999997</v>
      </c>
      <c r="F3824" t="s">
        <v>41</v>
      </c>
      <c r="G3824">
        <v>-268.68599999999998</v>
      </c>
      <c r="H3824">
        <v>1.014556</v>
      </c>
      <c r="I3824">
        <v>139.96190000000001</v>
      </c>
      <c r="J3824">
        <v>-268.25049999999999</v>
      </c>
      <c r="K3824">
        <v>1.108544</v>
      </c>
      <c r="L3824">
        <v>139.8091</v>
      </c>
      <c r="M3824">
        <v>-0.99995639999999997</v>
      </c>
      <c r="N3824">
        <v>0</v>
      </c>
      <c r="O3824">
        <v>-3.2011470000000001E-3</v>
      </c>
      <c r="P3824">
        <v>-0.99165029999999998</v>
      </c>
      <c r="Q3824">
        <v>0.12851860000000001</v>
      </c>
      <c r="R3824">
        <v>1.061193E-2</v>
      </c>
      <c r="S3824">
        <v>-3.0667110000000002</v>
      </c>
      <c r="T3824">
        <v>-0.36523410000000001</v>
      </c>
      <c r="U3824">
        <v>0.59021000000000001</v>
      </c>
      <c r="V3824">
        <v>1.4078469999999999E-2</v>
      </c>
      <c r="W3824">
        <v>0.1371858</v>
      </c>
      <c r="X3824">
        <v>0.99044529999999997</v>
      </c>
      <c r="Y3824">
        <v>0.1908089</v>
      </c>
      <c r="Z3824">
        <v>1.159695E-2</v>
      </c>
      <c r="AA3824">
        <v>0.98155870000000001</v>
      </c>
      <c r="AB3824">
        <v>37</v>
      </c>
      <c r="AC3824">
        <v>-0.43549999999999001</v>
      </c>
      <c r="AD3824">
        <v>-9.3987999999999905E-2</v>
      </c>
      <c r="AE3824">
        <v>0.15280000000001301</v>
      </c>
      <c r="AF3824">
        <v>0.14805338859505501</v>
      </c>
      <c r="AG3824">
        <v>-9.3987999999999905E-2</v>
      </c>
      <c r="AH3824">
        <v>0.41768656683028499</v>
      </c>
      <c r="AI3824">
        <v>101.97446170801599</v>
      </c>
      <c r="AJ3824">
        <v>70.482593927805397</v>
      </c>
      <c r="AK3824">
        <v>0.45300730471919398</v>
      </c>
      <c r="AL3824">
        <v>82.114966986690206</v>
      </c>
      <c r="AM3824">
        <v>89.185636406465903</v>
      </c>
      <c r="AN3824">
        <v>1.00000001966563</v>
      </c>
    </row>
    <row r="3825" spans="1:40" x14ac:dyDescent="0.25">
      <c r="A3825" t="str">
        <f>"20190312151615131"</f>
        <v>20190312151615131</v>
      </c>
      <c r="B3825" t="str">
        <f>"1552374975122015"</f>
        <v>1552374975122015</v>
      </c>
      <c r="C3825" t="s">
        <v>40</v>
      </c>
      <c r="D3825">
        <v>4.712669</v>
      </c>
      <c r="E3825">
        <v>0.49934050000000002</v>
      </c>
      <c r="F3825" t="s">
        <v>41</v>
      </c>
      <c r="G3825">
        <v>-269.01659999999998</v>
      </c>
      <c r="H3825">
        <v>1.0206630000000001</v>
      </c>
      <c r="I3825">
        <v>139.9485</v>
      </c>
      <c r="J3825">
        <v>-268.6035</v>
      </c>
      <c r="K3825">
        <v>1.1085309999999999</v>
      </c>
      <c r="L3825">
        <v>139.80869999999999</v>
      </c>
      <c r="M3825">
        <v>-0.99995880000000004</v>
      </c>
      <c r="N3825">
        <v>0</v>
      </c>
      <c r="O3825">
        <v>-2.3300740000000001E-3</v>
      </c>
      <c r="P3825">
        <v>-0.99167260000000002</v>
      </c>
      <c r="Q3825">
        <v>0.1284672</v>
      </c>
      <c r="R3825">
        <v>9.0376160000000001E-3</v>
      </c>
      <c r="S3825">
        <v>-3.06488</v>
      </c>
      <c r="T3825">
        <v>-0.35158099999999998</v>
      </c>
      <c r="U3825">
        <v>0.55714419999999898</v>
      </c>
      <c r="V3825">
        <v>1.1643219999999999E-2</v>
      </c>
      <c r="W3825">
        <v>0.1371532</v>
      </c>
      <c r="X3825">
        <v>0.99048139999999996</v>
      </c>
      <c r="Y3825">
        <v>0.1799868</v>
      </c>
      <c r="Z3825">
        <v>1.047112E-2</v>
      </c>
      <c r="AA3825">
        <v>0.98361330000000002</v>
      </c>
      <c r="AB3825">
        <v>37</v>
      </c>
      <c r="AC3825">
        <v>-0.41309999999998498</v>
      </c>
      <c r="AD3825">
        <v>-8.7868000000000002E-2</v>
      </c>
      <c r="AE3825">
        <v>0.139800000000008</v>
      </c>
      <c r="AF3825">
        <v>0.13527103079962899</v>
      </c>
      <c r="AG3825">
        <v>-8.7868000000000002E-2</v>
      </c>
      <c r="AH3825">
        <v>0.39667070600163201</v>
      </c>
      <c r="AI3825">
        <v>101.84101809547801</v>
      </c>
      <c r="AJ3825">
        <v>71.169805944628806</v>
      </c>
      <c r="AK3825">
        <v>0.42821336527183201</v>
      </c>
      <c r="AL3825">
        <v>82.116852372545296</v>
      </c>
      <c r="AM3825">
        <v>89.326512702881402</v>
      </c>
      <c r="AN3825">
        <v>0.99999998429408399</v>
      </c>
    </row>
    <row r="3826" spans="1:40" x14ac:dyDescent="0.25">
      <c r="A3826" t="str">
        <f>"20190312151615155"</f>
        <v>20190312151615155</v>
      </c>
      <c r="B3826" t="str">
        <f>"1552374975151286"</f>
        <v>1552374975151286</v>
      </c>
      <c r="C3826" t="s">
        <v>40</v>
      </c>
      <c r="D3826">
        <v>4.8501849999999997</v>
      </c>
      <c r="E3826">
        <v>0.49131160000000001</v>
      </c>
      <c r="F3826" t="s">
        <v>46</v>
      </c>
      <c r="G3826">
        <v>0</v>
      </c>
      <c r="H3826">
        <v>0</v>
      </c>
      <c r="I3826">
        <v>0</v>
      </c>
      <c r="J3826">
        <v>-268.99270000000001</v>
      </c>
      <c r="K3826">
        <v>1.108522</v>
      </c>
      <c r="L3826">
        <v>139.80869999999999</v>
      </c>
      <c r="M3826">
        <v>-0.99996039999999997</v>
      </c>
      <c r="N3826">
        <v>0</v>
      </c>
      <c r="O3826">
        <v>-1.3706949999999999E-3</v>
      </c>
      <c r="P3826">
        <v>-0.99173409999999995</v>
      </c>
      <c r="Q3826">
        <v>0.12808989999999901</v>
      </c>
      <c r="R3826">
        <v>7.5119130000000003E-3</v>
      </c>
      <c r="S3826">
        <v>-3.011749</v>
      </c>
      <c r="T3826">
        <v>0.1026299</v>
      </c>
      <c r="U3826">
        <v>1.893616E-2</v>
      </c>
      <c r="V3826">
        <v>9.1681739999999994E-3</v>
      </c>
      <c r="W3826">
        <v>0.13680129999999999</v>
      </c>
      <c r="X3826">
        <v>0.99055610000000005</v>
      </c>
      <c r="Y3826">
        <v>7.652781E-3</v>
      </c>
      <c r="Z3826">
        <v>-1.7704719999999999E-4</v>
      </c>
      <c r="AA3826">
        <v>0.99997069999999999</v>
      </c>
      <c r="AB3826">
        <v>37</v>
      </c>
      <c r="AC3826">
        <v>-3.011749</v>
      </c>
      <c r="AD3826">
        <v>0.1026299</v>
      </c>
      <c r="AE3826">
        <v>1.893616E-2</v>
      </c>
      <c r="AF3826">
        <v>2.3037740543709401E-2</v>
      </c>
      <c r="AG3826">
        <v>0.1026299</v>
      </c>
      <c r="AH3826">
        <v>3.0082271725081098</v>
      </c>
      <c r="AI3826">
        <v>88.046089025931096</v>
      </c>
      <c r="AJ3826">
        <v>89.561223463810705</v>
      </c>
      <c r="AK3826">
        <v>3.0100655068086999</v>
      </c>
      <c r="AL3826">
        <v>82.137206888890503</v>
      </c>
      <c r="AM3826">
        <v>89.469709310966806</v>
      </c>
      <c r="AN3826">
        <v>1.00000001917169</v>
      </c>
    </row>
    <row r="3827" spans="1:40" x14ac:dyDescent="0.25">
      <c r="A3827" t="str">
        <f>"20190312151615176"</f>
        <v>20190312151615176</v>
      </c>
      <c r="B3827" t="str">
        <f>"1552374975171783"</f>
        <v>1552374975171783</v>
      </c>
      <c r="C3827" t="s">
        <v>40</v>
      </c>
      <c r="D3827">
        <v>4.8807479999999996</v>
      </c>
      <c r="E3827">
        <v>0.49003079999999999</v>
      </c>
      <c r="F3827" t="s">
        <v>46</v>
      </c>
      <c r="G3827">
        <v>0</v>
      </c>
      <c r="H3827">
        <v>0</v>
      </c>
      <c r="I3827">
        <v>0</v>
      </c>
      <c r="J3827">
        <v>-269.3492</v>
      </c>
      <c r="K3827">
        <v>1.108508</v>
      </c>
      <c r="L3827">
        <v>139.809</v>
      </c>
      <c r="M3827">
        <v>-0.99996099999999999</v>
      </c>
      <c r="N3827">
        <v>0</v>
      </c>
      <c r="O3827">
        <v>-4.9322880000000002E-4</v>
      </c>
      <c r="P3827">
        <v>-0.9918169</v>
      </c>
      <c r="Q3827">
        <v>0.12757789999999999</v>
      </c>
      <c r="R3827">
        <v>4.8454509999999998E-3</v>
      </c>
      <c r="S3827">
        <v>-3.0133969999999999</v>
      </c>
      <c r="T3827">
        <v>9.2911960000000002E-2</v>
      </c>
      <c r="U3827">
        <v>-4.9819950000000002E-2</v>
      </c>
      <c r="V3827">
        <v>5.6327670000000003E-3</v>
      </c>
      <c r="W3827">
        <v>0.1363191</v>
      </c>
      <c r="X3827">
        <v>0.990649</v>
      </c>
      <c r="Y3827">
        <v>-1.6029999999999999E-2</v>
      </c>
      <c r="Z3827">
        <v>2.318469E-4</v>
      </c>
      <c r="AA3827">
        <v>0.99987150000000002</v>
      </c>
      <c r="AB3827">
        <v>37</v>
      </c>
      <c r="AC3827">
        <v>-3.0133969999999999</v>
      </c>
      <c r="AD3827">
        <v>9.2911960000000002E-2</v>
      </c>
      <c r="AE3827">
        <v>-4.9819950000000002E-2</v>
      </c>
      <c r="AF3827">
        <v>-4.8287698764610198E-2</v>
      </c>
      <c r="AG3827">
        <v>9.2911960000000002E-2</v>
      </c>
      <c r="AH3827">
        <v>3.01055993513957</v>
      </c>
      <c r="AI3827">
        <v>88.232524801148699</v>
      </c>
      <c r="AJ3827">
        <v>90.918913485296798</v>
      </c>
      <c r="AK3827">
        <v>3.0123803639697702</v>
      </c>
      <c r="AL3827">
        <v>82.165096296930599</v>
      </c>
      <c r="AM3827">
        <v>89.674223364513907</v>
      </c>
      <c r="AN3827">
        <v>1.0000000331449399</v>
      </c>
    </row>
    <row r="3828" spans="1:40" x14ac:dyDescent="0.25">
      <c r="A3828" t="str">
        <f>"20190312151615200"</f>
        <v>20190312151615200</v>
      </c>
      <c r="B3828" t="str">
        <f>"1552374975191303"</f>
        <v>1552374975191303</v>
      </c>
      <c r="C3828" t="s">
        <v>40</v>
      </c>
      <c r="D3828">
        <v>4.8112779999999997</v>
      </c>
      <c r="E3828">
        <v>0.48964269999999999</v>
      </c>
      <c r="F3828" t="s">
        <v>46</v>
      </c>
      <c r="G3828">
        <v>0</v>
      </c>
      <c r="H3828">
        <v>0</v>
      </c>
      <c r="I3828">
        <v>0</v>
      </c>
      <c r="J3828">
        <v>-269.72649999999999</v>
      </c>
      <c r="K3828">
        <v>1.108495</v>
      </c>
      <c r="L3828">
        <v>139.80959999999999</v>
      </c>
      <c r="M3828">
        <v>-0.99996079999999998</v>
      </c>
      <c r="N3828">
        <v>0</v>
      </c>
      <c r="O3828">
        <v>4.3500949999999999E-4</v>
      </c>
      <c r="P3828">
        <v>-0.99192259999999999</v>
      </c>
      <c r="Q3828">
        <v>0.12682209999999999</v>
      </c>
      <c r="R3828">
        <v>2.5000339999999999E-3</v>
      </c>
      <c r="S3828">
        <v>-3.013763</v>
      </c>
      <c r="T3828">
        <v>8.7687249999999994E-2</v>
      </c>
      <c r="U3828">
        <v>-6.7932129999999993E-2</v>
      </c>
      <c r="V3828">
        <v>2.3669939999999999E-3</v>
      </c>
      <c r="W3828">
        <v>0.13559299999999999</v>
      </c>
      <c r="X3828">
        <v>0.99076180000000003</v>
      </c>
      <c r="Y3828">
        <v>-2.295993E-2</v>
      </c>
      <c r="Z3828">
        <v>3.4655649999999999E-4</v>
      </c>
      <c r="AA3828">
        <v>0.99973630000000002</v>
      </c>
      <c r="AB3828">
        <v>37</v>
      </c>
      <c r="AC3828">
        <v>-3.013763</v>
      </c>
      <c r="AD3828">
        <v>8.7687249999999994E-2</v>
      </c>
      <c r="AE3828">
        <v>-6.7932129999999993E-2</v>
      </c>
      <c r="AF3828">
        <v>-6.91846515708847E-2</v>
      </c>
      <c r="AG3828">
        <v>8.7687249999999994E-2</v>
      </c>
      <c r="AH3828">
        <v>3.0111853258317298</v>
      </c>
      <c r="AI3828">
        <v>88.332428953528705</v>
      </c>
      <c r="AJ3828">
        <v>91.316189744457006</v>
      </c>
      <c r="AK3828">
        <v>3.0132561517949199</v>
      </c>
      <c r="AL3828">
        <v>82.207088440659504</v>
      </c>
      <c r="AM3828">
        <v>89.863116938588902</v>
      </c>
      <c r="AN3828">
        <v>1.0000000043244099</v>
      </c>
    </row>
    <row r="3829" spans="1:40" x14ac:dyDescent="0.25">
      <c r="A3829" t="str">
        <f>"20190312151615221"</f>
        <v>20190312151615221</v>
      </c>
      <c r="B3829" t="str">
        <f>"1552374975211799"</f>
        <v>1552374975211799</v>
      </c>
      <c r="C3829" t="s">
        <v>40</v>
      </c>
      <c r="D3829">
        <v>4.4161599999999996</v>
      </c>
      <c r="E3829">
        <v>0.48982419999999999</v>
      </c>
      <c r="F3829" t="s">
        <v>46</v>
      </c>
      <c r="G3829">
        <v>0</v>
      </c>
      <c r="H3829">
        <v>0</v>
      </c>
      <c r="I3829">
        <v>0</v>
      </c>
      <c r="J3829">
        <v>-270.0849</v>
      </c>
      <c r="K3829">
        <v>1.1084860000000001</v>
      </c>
      <c r="L3829">
        <v>139.81049999999999</v>
      </c>
      <c r="M3829">
        <v>-0.99995990000000001</v>
      </c>
      <c r="N3829">
        <v>0</v>
      </c>
      <c r="O3829">
        <v>1.3159210000000001E-3</v>
      </c>
      <c r="P3829">
        <v>-0.99199990000000005</v>
      </c>
      <c r="Q3829">
        <v>0.1262403</v>
      </c>
      <c r="R3829" s="1">
        <v>9.6587000000000002E-5</v>
      </c>
      <c r="S3829">
        <v>-3.0145870000000001</v>
      </c>
      <c r="T3829">
        <v>7.8300480000000006E-2</v>
      </c>
      <c r="U3829">
        <v>-7.8018190000000001E-2</v>
      </c>
      <c r="V3829">
        <v>-9.1027540000000002E-4</v>
      </c>
      <c r="W3829">
        <v>0.13503879999999999</v>
      </c>
      <c r="X3829">
        <v>0.9908399</v>
      </c>
      <c r="Y3829">
        <v>-2.7177469999999999E-2</v>
      </c>
      <c r="Z3829">
        <v>3.8700289999999999E-4</v>
      </c>
      <c r="AA3829">
        <v>0.99963060000000004</v>
      </c>
      <c r="AB3829">
        <v>37</v>
      </c>
      <c r="AC3829">
        <v>-3.0145870000000001</v>
      </c>
      <c r="AD3829">
        <v>7.8300480000000006E-2</v>
      </c>
      <c r="AE3829">
        <v>-7.8018190000000001E-2</v>
      </c>
      <c r="AF3829">
        <v>-8.1930000029708502E-2</v>
      </c>
      <c r="AG3829">
        <v>7.8300480000000006E-2</v>
      </c>
      <c r="AH3829">
        <v>3.0124507551942501</v>
      </c>
      <c r="AI3829">
        <v>88.511637094205994</v>
      </c>
      <c r="AJ3829">
        <v>91.557896441712103</v>
      </c>
      <c r="AK3829">
        <v>3.0145817359201801</v>
      </c>
      <c r="AL3829">
        <v>82.239136543087795</v>
      </c>
      <c r="AM3829">
        <v>90.052637084903196</v>
      </c>
      <c r="AN3829">
        <v>1.00000000676937</v>
      </c>
    </row>
    <row r="3830" spans="1:40" x14ac:dyDescent="0.25">
      <c r="A3830" t="str">
        <f>"20190312151615244"</f>
        <v>20190312151615244</v>
      </c>
      <c r="B3830" t="str">
        <f>"1552374975242055"</f>
        <v>1552374975242055</v>
      </c>
      <c r="C3830" t="s">
        <v>40</v>
      </c>
      <c r="D3830">
        <v>4.609</v>
      </c>
      <c r="E3830">
        <v>0.49002760000000001</v>
      </c>
      <c r="F3830" t="s">
        <v>46</v>
      </c>
      <c r="G3830">
        <v>0</v>
      </c>
      <c r="H3830">
        <v>0</v>
      </c>
      <c r="I3830">
        <v>0</v>
      </c>
      <c r="J3830">
        <v>-270.47680000000003</v>
      </c>
      <c r="K3830">
        <v>1.1084780000000001</v>
      </c>
      <c r="L3830">
        <v>139.81190000000001</v>
      </c>
      <c r="M3830">
        <v>-0.99995800000000001</v>
      </c>
      <c r="N3830">
        <v>0</v>
      </c>
      <c r="O3830">
        <v>2.2796740000000002E-3</v>
      </c>
      <c r="P3830">
        <v>-0.9921046</v>
      </c>
      <c r="Q3830">
        <v>0.1253988</v>
      </c>
      <c r="R3830">
        <v>-1.9464180000000001E-3</v>
      </c>
      <c r="S3830">
        <v>-3.014618</v>
      </c>
      <c r="T3830">
        <v>7.5621599999999997E-2</v>
      </c>
      <c r="U3830">
        <v>-8.3877560000000004E-2</v>
      </c>
      <c r="V3830">
        <v>-3.909938E-3</v>
      </c>
      <c r="W3830">
        <v>0.1342256</v>
      </c>
      <c r="X3830">
        <v>0.99094309999999997</v>
      </c>
      <c r="Y3830">
        <v>-3.0081489999999999E-2</v>
      </c>
      <c r="Z3830">
        <v>4.3433259999999999E-4</v>
      </c>
      <c r="AA3830">
        <v>0.99954739999999997</v>
      </c>
      <c r="AB3830">
        <v>37</v>
      </c>
      <c r="AC3830">
        <v>-3.014618</v>
      </c>
      <c r="AD3830">
        <v>7.5621599999999997E-2</v>
      </c>
      <c r="AE3830">
        <v>-8.3877560000000004E-2</v>
      </c>
      <c r="AF3830">
        <v>-9.0692934197424996E-2</v>
      </c>
      <c r="AG3830">
        <v>7.5621599999999997E-2</v>
      </c>
      <c r="AH3830">
        <v>3.0125247630445098</v>
      </c>
      <c r="AI3830">
        <v>88.562691354372703</v>
      </c>
      <c r="AJ3830">
        <v>91.724385279620805</v>
      </c>
      <c r="AK3830">
        <v>3.0148381851529402</v>
      </c>
      <c r="AL3830">
        <v>82.286157619613704</v>
      </c>
      <c r="AM3830">
        <v>90.226069269782997</v>
      </c>
      <c r="AN3830">
        <v>1.0000000133740601</v>
      </c>
    </row>
    <row r="3831" spans="1:40" x14ac:dyDescent="0.25">
      <c r="A3831" t="str">
        <f>"20190312151615267"</f>
        <v>20190312151615267</v>
      </c>
      <c r="B3831" t="str">
        <f>"1552374975261575"</f>
        <v>1552374975261575</v>
      </c>
      <c r="C3831" t="s">
        <v>40</v>
      </c>
      <c r="D3831">
        <v>4.9769699999999997</v>
      </c>
      <c r="E3831">
        <v>0.49014960000000002</v>
      </c>
      <c r="F3831" t="s">
        <v>46</v>
      </c>
      <c r="G3831">
        <v>0</v>
      </c>
      <c r="H3831">
        <v>0</v>
      </c>
      <c r="I3831">
        <v>0</v>
      </c>
      <c r="J3831">
        <v>-270.84730000000002</v>
      </c>
      <c r="K3831">
        <v>1.108471</v>
      </c>
      <c r="L3831">
        <v>139.8135</v>
      </c>
      <c r="M3831">
        <v>-0.99995540000000005</v>
      </c>
      <c r="N3831">
        <v>0</v>
      </c>
      <c r="O3831">
        <v>3.190086E-3</v>
      </c>
      <c r="P3831">
        <v>-0.99214829999999998</v>
      </c>
      <c r="Q3831">
        <v>0.125004</v>
      </c>
      <c r="R3831">
        <v>-4.0132309999999999E-3</v>
      </c>
      <c r="S3831">
        <v>-3.0153500000000002</v>
      </c>
      <c r="T3831">
        <v>6.5798519999999999E-2</v>
      </c>
      <c r="U3831">
        <v>-8.8363650000000002E-2</v>
      </c>
      <c r="V3831">
        <v>-6.8800419999999899E-3</v>
      </c>
      <c r="W3831">
        <v>0.13385559999999999</v>
      </c>
      <c r="X3831">
        <v>0.990977</v>
      </c>
      <c r="Y3831">
        <v>-3.2472239999999999E-2</v>
      </c>
      <c r="Z3831">
        <v>4.2376490000000001E-4</v>
      </c>
      <c r="AA3831">
        <v>0.99947260000000004</v>
      </c>
      <c r="AB3831">
        <v>37</v>
      </c>
      <c r="AC3831">
        <v>-3.0153500000000002</v>
      </c>
      <c r="AD3831">
        <v>6.5798519999999999E-2</v>
      </c>
      <c r="AE3831">
        <v>-8.8363650000000002E-2</v>
      </c>
      <c r="AF3831">
        <v>-9.7936212534165207E-2</v>
      </c>
      <c r="AG3831">
        <v>6.5798519999999999E-2</v>
      </c>
      <c r="AH3831">
        <v>3.01361901047638</v>
      </c>
      <c r="AI3831">
        <v>88.749878351427995</v>
      </c>
      <c r="AJ3831">
        <v>91.861335979451496</v>
      </c>
      <c r="AK3831">
        <v>3.01592779874857</v>
      </c>
      <c r="AL3831">
        <v>82.307550278927096</v>
      </c>
      <c r="AM3831">
        <v>90.397780206908493</v>
      </c>
      <c r="AN3831">
        <v>1.0000000355791401</v>
      </c>
    </row>
    <row r="3832" spans="1:40" x14ac:dyDescent="0.25">
      <c r="A3832" t="str">
        <f>"20190312151615288"</f>
        <v>20190312151615288</v>
      </c>
      <c r="B3832" t="str">
        <f>"1552374975282071"</f>
        <v>1552374975282071</v>
      </c>
      <c r="C3832" t="s">
        <v>40</v>
      </c>
      <c r="D3832">
        <v>4.4548439999999996</v>
      </c>
      <c r="E3832">
        <v>0.49011739999999998</v>
      </c>
      <c r="F3832" t="s">
        <v>46</v>
      </c>
      <c r="G3832">
        <v>0</v>
      </c>
      <c r="H3832">
        <v>0</v>
      </c>
      <c r="I3832">
        <v>0</v>
      </c>
      <c r="J3832">
        <v>-271.19920000000002</v>
      </c>
      <c r="K3832">
        <v>1.1084689999999999</v>
      </c>
      <c r="L3832">
        <v>139.81540000000001</v>
      </c>
      <c r="M3832">
        <v>-0.99995199999999995</v>
      </c>
      <c r="N3832">
        <v>0</v>
      </c>
      <c r="O3832">
        <v>4.0550209999999998E-3</v>
      </c>
      <c r="P3832">
        <v>-0.99212129999999998</v>
      </c>
      <c r="Q3832">
        <v>0.12518699999999999</v>
      </c>
      <c r="R3832">
        <v>-4.8788449999999997E-3</v>
      </c>
      <c r="S3832">
        <v>-3.0154719999999999</v>
      </c>
      <c r="T3832">
        <v>6.2569739999999999E-2</v>
      </c>
      <c r="U3832">
        <v>-9.3658450000000004E-2</v>
      </c>
      <c r="V3832">
        <v>-8.6026539999999995E-3</v>
      </c>
      <c r="W3832">
        <v>0.13405829999999999</v>
      </c>
      <c r="X3832">
        <v>0.99093609999999999</v>
      </c>
      <c r="Y3832">
        <v>-3.5088880000000003E-2</v>
      </c>
      <c r="Z3832">
        <v>4.4802770000000001E-4</v>
      </c>
      <c r="AA3832">
        <v>0.9993841</v>
      </c>
      <c r="AB3832">
        <v>37</v>
      </c>
      <c r="AC3832">
        <v>-3.0154719999999999</v>
      </c>
      <c r="AD3832">
        <v>6.2569739999999999E-2</v>
      </c>
      <c r="AE3832">
        <v>-9.3658450000000004E-2</v>
      </c>
      <c r="AF3832">
        <v>-0.10584044350638</v>
      </c>
      <c r="AG3832">
        <v>6.2569739999999999E-2</v>
      </c>
      <c r="AH3832">
        <v>3.0137710916346001</v>
      </c>
      <c r="AI3832">
        <v>88.811369803602105</v>
      </c>
      <c r="AJ3832">
        <v>92.011340375899294</v>
      </c>
      <c r="AK3832">
        <v>3.0162780648703</v>
      </c>
      <c r="AL3832">
        <v>82.295830475635</v>
      </c>
      <c r="AM3832">
        <v>90.497391693466994</v>
      </c>
      <c r="AN3832">
        <v>0.99999999386897098</v>
      </c>
    </row>
    <row r="3833" spans="1:40" x14ac:dyDescent="0.25">
      <c r="A3833" t="str">
        <f>"20190312151615310"</f>
        <v>20190312151615310</v>
      </c>
      <c r="B3833" t="str">
        <f>"1552374975301594"</f>
        <v>1552374975301594</v>
      </c>
      <c r="C3833" t="s">
        <v>40</v>
      </c>
      <c r="D3833">
        <v>4.9884040000000001</v>
      </c>
      <c r="E3833">
        <v>0.49026579999999897</v>
      </c>
      <c r="F3833" t="s">
        <v>46</v>
      </c>
      <c r="G3833">
        <v>0</v>
      </c>
      <c r="H3833">
        <v>0</v>
      </c>
      <c r="I3833">
        <v>0</v>
      </c>
      <c r="J3833">
        <v>-271.56450000000001</v>
      </c>
      <c r="K3833">
        <v>1.1084639999999999</v>
      </c>
      <c r="L3833">
        <v>139.8176</v>
      </c>
      <c r="M3833">
        <v>-0.99994780000000005</v>
      </c>
      <c r="N3833">
        <v>0</v>
      </c>
      <c r="O3833">
        <v>4.9520240000000002E-3</v>
      </c>
      <c r="P3833">
        <v>-0.99212330000000004</v>
      </c>
      <c r="Q3833">
        <v>0.12507639999999901</v>
      </c>
      <c r="R3833">
        <v>-6.8833189999999997E-3</v>
      </c>
      <c r="S3833">
        <v>-3.0157470000000002</v>
      </c>
      <c r="T3833">
        <v>6.035542E-2</v>
      </c>
      <c r="U3833">
        <v>-9.6405030000000003E-2</v>
      </c>
      <c r="V3833">
        <v>-1.149596E-2</v>
      </c>
      <c r="W3833">
        <v>0.13396949999999999</v>
      </c>
      <c r="X3833">
        <v>0.99091879999999999</v>
      </c>
      <c r="Y3833">
        <v>-3.689183E-2</v>
      </c>
      <c r="Z3833">
        <v>4.681121E-4</v>
      </c>
      <c r="AA3833">
        <v>0.99931910000000002</v>
      </c>
      <c r="AB3833">
        <v>37</v>
      </c>
      <c r="AC3833">
        <v>-3.0157470000000002</v>
      </c>
      <c r="AD3833">
        <v>6.035542E-2</v>
      </c>
      <c r="AE3833">
        <v>-9.6405030000000003E-2</v>
      </c>
      <c r="AF3833">
        <v>-0.111293963980671</v>
      </c>
      <c r="AG3833">
        <v>6.035542E-2</v>
      </c>
      <c r="AH3833">
        <v>3.0140266037900898</v>
      </c>
      <c r="AI3833">
        <v>88.853595209403693</v>
      </c>
      <c r="AJ3833">
        <v>92.114705498641001</v>
      </c>
      <c r="AK3833">
        <v>3.0166845197163599</v>
      </c>
      <c r="AL3833">
        <v>82.300964903720498</v>
      </c>
      <c r="AM3833">
        <v>90.664676501848504</v>
      </c>
      <c r="AN3833">
        <v>1.0000000261099999</v>
      </c>
    </row>
    <row r="3834" spans="1:40" x14ac:dyDescent="0.25">
      <c r="A3834" t="str">
        <f>"20190312151615333"</f>
        <v>20190312151615333</v>
      </c>
      <c r="B3834" t="str">
        <f>"1552374975331847"</f>
        <v>1552374975331847</v>
      </c>
      <c r="C3834" t="s">
        <v>40</v>
      </c>
      <c r="D3834">
        <v>5.286073</v>
      </c>
      <c r="E3834">
        <v>0.49045050000000001</v>
      </c>
      <c r="F3834" t="s">
        <v>46</v>
      </c>
      <c r="G3834">
        <v>0</v>
      </c>
      <c r="H3834">
        <v>0</v>
      </c>
      <c r="I3834">
        <v>0</v>
      </c>
      <c r="J3834">
        <v>-271.95249999999999</v>
      </c>
      <c r="K3834">
        <v>1.108457</v>
      </c>
      <c r="L3834">
        <v>139.82040000000001</v>
      </c>
      <c r="M3834">
        <v>-0.99994260000000001</v>
      </c>
      <c r="N3834">
        <v>0</v>
      </c>
      <c r="O3834">
        <v>5.902366E-3</v>
      </c>
      <c r="P3834">
        <v>-0.99208730000000001</v>
      </c>
      <c r="Q3834">
        <v>0.12522949999999999</v>
      </c>
      <c r="R3834">
        <v>-8.9812390000000002E-3</v>
      </c>
      <c r="S3834">
        <v>-3.0157470000000002</v>
      </c>
      <c r="T3834">
        <v>5.8534259999999998E-2</v>
      </c>
      <c r="U3834">
        <v>-0.10134890000000001</v>
      </c>
      <c r="V3834">
        <v>-1.4535670000000001E-2</v>
      </c>
      <c r="W3834">
        <v>0.13414389999999901</v>
      </c>
      <c r="X3834">
        <v>0.99085529999999999</v>
      </c>
      <c r="Y3834">
        <v>-3.9477749999999999E-2</v>
      </c>
      <c r="Z3834">
        <v>4.9750439999999999E-4</v>
      </c>
      <c r="AA3834">
        <v>0.99922029999999995</v>
      </c>
      <c r="AB3834">
        <v>37</v>
      </c>
      <c r="AC3834">
        <v>-3.0157470000000002</v>
      </c>
      <c r="AD3834">
        <v>5.8534259999999998E-2</v>
      </c>
      <c r="AE3834">
        <v>-0.10134890000000001</v>
      </c>
      <c r="AF3834">
        <v>-0.11910306957924099</v>
      </c>
      <c r="AG3834">
        <v>5.8534259999999998E-2</v>
      </c>
      <c r="AH3834">
        <v>3.0139620722875402</v>
      </c>
      <c r="AI3834">
        <v>88.888264072175403</v>
      </c>
      <c r="AJ3834">
        <v>92.262986128315106</v>
      </c>
      <c r="AK3834">
        <v>3.0168823599810302</v>
      </c>
      <c r="AL3834">
        <v>82.290881678091296</v>
      </c>
      <c r="AM3834">
        <v>90.840458549537701</v>
      </c>
      <c r="AN3834">
        <v>1.0000000485738201</v>
      </c>
    </row>
    <row r="3835" spans="1:40" x14ac:dyDescent="0.25">
      <c r="A3835" t="str">
        <f>"20190312151615346"</f>
        <v>20190312151615346</v>
      </c>
      <c r="B3835" t="str">
        <f>"1552374975341608"</f>
        <v>1552374975341608</v>
      </c>
      <c r="C3835" t="s">
        <v>40</v>
      </c>
      <c r="D3835">
        <v>4.6691710000000004</v>
      </c>
      <c r="E3835">
        <v>0.490562</v>
      </c>
      <c r="F3835" t="s">
        <v>46</v>
      </c>
      <c r="G3835">
        <v>0</v>
      </c>
      <c r="H3835">
        <v>0</v>
      </c>
      <c r="I3835">
        <v>0</v>
      </c>
      <c r="J3835">
        <v>-272.16109999999998</v>
      </c>
      <c r="K3835">
        <v>1.108452</v>
      </c>
      <c r="L3835">
        <v>139.822</v>
      </c>
      <c r="M3835">
        <v>-0.99993940000000003</v>
      </c>
      <c r="N3835">
        <v>0</v>
      </c>
      <c r="O3835">
        <v>6.4104009999999996E-3</v>
      </c>
      <c r="P3835">
        <v>-0.99205549999999998</v>
      </c>
      <c r="Q3835">
        <v>0.1254246</v>
      </c>
      <c r="R3835">
        <v>-9.7404439999999991E-3</v>
      </c>
      <c r="S3835">
        <v>-3.015717</v>
      </c>
      <c r="T3835">
        <v>5.741429E-2</v>
      </c>
      <c r="U3835">
        <v>-0.1064301</v>
      </c>
      <c r="V3835">
        <v>-1.5798139999999999E-2</v>
      </c>
      <c r="W3835">
        <v>0.13434839999999901</v>
      </c>
      <c r="X3835">
        <v>0.99080820000000003</v>
      </c>
      <c r="Y3835">
        <v>-4.1667080000000002E-2</v>
      </c>
      <c r="Z3835">
        <v>5.1847929999999996E-4</v>
      </c>
      <c r="AA3835">
        <v>0.9991314</v>
      </c>
      <c r="AB3835">
        <v>37</v>
      </c>
      <c r="AC3835">
        <v>-3.015717</v>
      </c>
      <c r="AD3835">
        <v>5.741429E-2</v>
      </c>
      <c r="AE3835">
        <v>-0.1064301</v>
      </c>
      <c r="AF3835">
        <v>-0.12571513272516099</v>
      </c>
      <c r="AG3835">
        <v>5.741429E-2</v>
      </c>
      <c r="AH3835">
        <v>3.0138816951781999</v>
      </c>
      <c r="AI3835">
        <v>88.909598325871599</v>
      </c>
      <c r="AJ3835">
        <v>92.388538820028998</v>
      </c>
      <c r="AK3835">
        <v>3.0170488176067898</v>
      </c>
      <c r="AL3835">
        <v>82.279057139887698</v>
      </c>
      <c r="AM3835">
        <v>90.913486636424906</v>
      </c>
      <c r="AN3835">
        <v>0.99999998149862901</v>
      </c>
    </row>
    <row r="3836" spans="1:40" x14ac:dyDescent="0.25">
      <c r="A3836" t="str">
        <f>"20190312151615367"</f>
        <v>20190312151615367</v>
      </c>
      <c r="B3836" t="str">
        <f>"1552374975362102"</f>
        <v>1552374975362102</v>
      </c>
      <c r="C3836" t="s">
        <v>40</v>
      </c>
      <c r="D3836">
        <v>4.4052179999999996</v>
      </c>
      <c r="E3836">
        <v>0.4905003</v>
      </c>
      <c r="F3836" t="s">
        <v>46</v>
      </c>
      <c r="G3836">
        <v>0</v>
      </c>
      <c r="H3836">
        <v>0</v>
      </c>
      <c r="I3836">
        <v>0</v>
      </c>
      <c r="J3836">
        <v>-272.52</v>
      </c>
      <c r="K3836">
        <v>1.1084529999999999</v>
      </c>
      <c r="L3836">
        <v>139.82509999999999</v>
      </c>
      <c r="M3836">
        <v>-0.99993319999999997</v>
      </c>
      <c r="N3836">
        <v>0</v>
      </c>
      <c r="O3836">
        <v>7.2812789999999999E-3</v>
      </c>
      <c r="P3836">
        <v>-0.99206839999999996</v>
      </c>
      <c r="Q3836">
        <v>0.1251246</v>
      </c>
      <c r="R3836">
        <v>-1.20121E-2</v>
      </c>
      <c r="S3836">
        <v>-3.015717</v>
      </c>
      <c r="T3836">
        <v>5.705416E-2</v>
      </c>
      <c r="U3836">
        <v>-0.1079865</v>
      </c>
      <c r="V3836">
        <v>-1.893446E-2</v>
      </c>
      <c r="W3836">
        <v>0.13406770000000001</v>
      </c>
      <c r="X3836">
        <v>0.99079130000000004</v>
      </c>
      <c r="Y3836">
        <v>-4.3051930000000002E-2</v>
      </c>
      <c r="Z3836">
        <v>5.4478839999999996E-4</v>
      </c>
      <c r="AA3836">
        <v>0.99907270000000004</v>
      </c>
      <c r="AB3836">
        <v>37</v>
      </c>
      <c r="AC3836">
        <v>-3.015717</v>
      </c>
      <c r="AD3836">
        <v>5.705416E-2</v>
      </c>
      <c r="AE3836">
        <v>-0.1079865</v>
      </c>
      <c r="AF3836">
        <v>-0.129896364996306</v>
      </c>
      <c r="AG3836">
        <v>5.705416E-2</v>
      </c>
      <c r="AH3836">
        <v>3.0137734117689798</v>
      </c>
      <c r="AI3836">
        <v>88.916460979898602</v>
      </c>
      <c r="AJ3836">
        <v>92.467972531184799</v>
      </c>
      <c r="AK3836">
        <v>3.01711093934217</v>
      </c>
      <c r="AL3836">
        <v>82.295287277413493</v>
      </c>
      <c r="AM3836">
        <v>91.094814424435</v>
      </c>
      <c r="AN3836">
        <v>1.0000000310572299</v>
      </c>
    </row>
    <row r="3837" spans="1:40" x14ac:dyDescent="0.25">
      <c r="A3837" t="str">
        <f>"20190312151615389"</f>
        <v>20190312151615389</v>
      </c>
      <c r="B3837" t="str">
        <f>"1552374975381628"</f>
        <v>1552374975381628</v>
      </c>
      <c r="C3837" t="s">
        <v>40</v>
      </c>
      <c r="D3837">
        <v>4.5996610000000002</v>
      </c>
      <c r="E3837">
        <v>0.49028670000000002</v>
      </c>
      <c r="F3837" t="s">
        <v>46</v>
      </c>
      <c r="G3837">
        <v>0</v>
      </c>
      <c r="H3837">
        <v>0</v>
      </c>
      <c r="I3837">
        <v>0</v>
      </c>
      <c r="J3837">
        <v>-272.87779999999998</v>
      </c>
      <c r="K3837">
        <v>1.108465</v>
      </c>
      <c r="L3837">
        <v>139.82839999999999</v>
      </c>
      <c r="M3837">
        <v>-0.9999266</v>
      </c>
      <c r="N3837">
        <v>0</v>
      </c>
      <c r="O3837">
        <v>8.1376439999999994E-3</v>
      </c>
      <c r="P3837">
        <v>-0.99196930000000005</v>
      </c>
      <c r="Q3837">
        <v>0.1256225</v>
      </c>
      <c r="R3837">
        <v>-1.4689260000000001E-2</v>
      </c>
      <c r="S3837">
        <v>-3.0158079999999998</v>
      </c>
      <c r="T3837">
        <v>5.3848029999999998E-2</v>
      </c>
      <c r="U3837">
        <v>-0.1155701</v>
      </c>
      <c r="V3837">
        <v>-2.2461459999999999E-2</v>
      </c>
      <c r="W3837">
        <v>0.1345828</v>
      </c>
      <c r="X3837">
        <v>0.99064770000000002</v>
      </c>
      <c r="Y3837">
        <v>-4.6415369999999997E-2</v>
      </c>
      <c r="Z3837">
        <v>5.5943949999999996E-4</v>
      </c>
      <c r="AA3837">
        <v>0.99892199999999998</v>
      </c>
      <c r="AB3837">
        <v>37</v>
      </c>
      <c r="AC3837">
        <v>-3.0158079999999998</v>
      </c>
      <c r="AD3837">
        <v>5.3848029999999998E-2</v>
      </c>
      <c r="AE3837">
        <v>-0.1155701</v>
      </c>
      <c r="AF3837">
        <v>-0.14006424522868899</v>
      </c>
      <c r="AG3837">
        <v>5.3848029999999998E-2</v>
      </c>
      <c r="AH3837">
        <v>3.0138082048218502</v>
      </c>
      <c r="AI3837">
        <v>88.977502549563496</v>
      </c>
      <c r="AJ3837">
        <v>92.660859411970094</v>
      </c>
      <c r="AK3837">
        <v>3.0175416316229802</v>
      </c>
      <c r="AL3837">
        <v>82.265503726631493</v>
      </c>
      <c r="AM3837">
        <v>91.2988738509586</v>
      </c>
      <c r="AN3837">
        <v>0.99999995637822903</v>
      </c>
    </row>
    <row r="3838" spans="1:40" x14ac:dyDescent="0.25">
      <c r="A3838" t="str">
        <f>"20190312151615401"</f>
        <v>20190312151615401</v>
      </c>
      <c r="B3838" t="str">
        <f>"1552374975391383"</f>
        <v>1552374975391383</v>
      </c>
      <c r="C3838" t="s">
        <v>40</v>
      </c>
      <c r="D3838">
        <v>4.4171870000000002</v>
      </c>
      <c r="E3838">
        <v>0.49019679999999999</v>
      </c>
      <c r="F3838" t="s">
        <v>46</v>
      </c>
      <c r="G3838">
        <v>0</v>
      </c>
      <c r="H3838">
        <v>0</v>
      </c>
      <c r="I3838">
        <v>0</v>
      </c>
      <c r="J3838">
        <v>-273.07839999999999</v>
      </c>
      <c r="K3838">
        <v>1.1084719999999999</v>
      </c>
      <c r="L3838">
        <v>139.8304</v>
      </c>
      <c r="M3838">
        <v>-0.99992259999999999</v>
      </c>
      <c r="N3838">
        <v>0</v>
      </c>
      <c r="O3838">
        <v>8.6081419999999992E-3</v>
      </c>
      <c r="P3838">
        <v>-0.99193200000000004</v>
      </c>
      <c r="Q3838">
        <v>0.12579469999999901</v>
      </c>
      <c r="R3838">
        <v>-1.571618E-2</v>
      </c>
      <c r="S3838">
        <v>-3.0155029999999998</v>
      </c>
      <c r="T3838">
        <v>5.4545160000000002E-2</v>
      </c>
      <c r="U3838">
        <v>-0.1257172</v>
      </c>
      <c r="V3838">
        <v>-2.395543E-2</v>
      </c>
      <c r="W3838">
        <v>0.13476569999999999</v>
      </c>
      <c r="X3838">
        <v>0.99058789999999997</v>
      </c>
      <c r="Y3838">
        <v>-5.0243959999999997E-2</v>
      </c>
      <c r="Z3838">
        <v>6.0981589999999997E-4</v>
      </c>
      <c r="AA3838">
        <v>0.99873679999999998</v>
      </c>
      <c r="AB3838">
        <v>37</v>
      </c>
      <c r="AC3838">
        <v>-3.0155029999999998</v>
      </c>
      <c r="AD3838">
        <v>5.4545160000000002E-2</v>
      </c>
      <c r="AE3838">
        <v>-0.1257172</v>
      </c>
      <c r="AF3838">
        <v>-0.151621944820681</v>
      </c>
      <c r="AG3838">
        <v>5.4545160000000002E-2</v>
      </c>
      <c r="AH3838">
        <v>3.0133248262065999</v>
      </c>
      <c r="AI3838">
        <v>88.964293948565796</v>
      </c>
      <c r="AJ3838">
        <v>92.880531502523397</v>
      </c>
      <c r="AK3838">
        <v>3.01763001324941</v>
      </c>
      <c r="AL3838">
        <v>82.254928494214298</v>
      </c>
      <c r="AM3838">
        <v>91.385316301088395</v>
      </c>
      <c r="AN3838">
        <v>1.0000000220746901</v>
      </c>
    </row>
    <row r="3839" spans="1:40" x14ac:dyDescent="0.25">
      <c r="A3839" t="str">
        <f>"20190312151615422"</f>
        <v>20190312151615422</v>
      </c>
      <c r="B3839" t="str">
        <f>"1552374975411447"</f>
        <v>1552374975411447</v>
      </c>
      <c r="C3839" t="s">
        <v>40</v>
      </c>
      <c r="D3839">
        <v>4.6238510000000002</v>
      </c>
      <c r="E3839">
        <v>0.49009960000000002</v>
      </c>
      <c r="F3839" t="s">
        <v>46</v>
      </c>
      <c r="G3839">
        <v>0</v>
      </c>
      <c r="H3839">
        <v>0</v>
      </c>
      <c r="I3839">
        <v>0</v>
      </c>
      <c r="J3839">
        <v>-273.43470000000002</v>
      </c>
      <c r="K3839">
        <v>1.108492</v>
      </c>
      <c r="L3839">
        <v>139.83420000000001</v>
      </c>
      <c r="M3839">
        <v>-0.99991509999999995</v>
      </c>
      <c r="N3839">
        <v>0</v>
      </c>
      <c r="O3839">
        <v>9.4254300000000003E-3</v>
      </c>
      <c r="P3839">
        <v>-0.9917338</v>
      </c>
      <c r="Q3839">
        <v>0.1268957</v>
      </c>
      <c r="R3839">
        <v>-1.901539E-2</v>
      </c>
      <c r="S3839">
        <v>-3.0154719999999999</v>
      </c>
      <c r="T3839">
        <v>5.4121490000000001E-2</v>
      </c>
      <c r="U3839">
        <v>-0.12950130000000001</v>
      </c>
      <c r="V3839">
        <v>-2.8065980000000001E-2</v>
      </c>
      <c r="W3839">
        <v>0.1358877</v>
      </c>
      <c r="X3839">
        <v>0.99032659999999995</v>
      </c>
      <c r="Y3839">
        <v>-5.2311379999999998E-2</v>
      </c>
      <c r="Z3839">
        <v>6.3827549999999995E-4</v>
      </c>
      <c r="AA3839">
        <v>0.99863060000000003</v>
      </c>
      <c r="AB3839">
        <v>37</v>
      </c>
      <c r="AC3839">
        <v>-3.0154719999999999</v>
      </c>
      <c r="AD3839">
        <v>5.4121490000000001E-2</v>
      </c>
      <c r="AE3839">
        <v>-0.12950130000000001</v>
      </c>
      <c r="AF3839">
        <v>-0.15786805765508499</v>
      </c>
      <c r="AG3839">
        <v>5.4121490000000001E-2</v>
      </c>
      <c r="AH3839">
        <v>3.0131485523864998</v>
      </c>
      <c r="AI3839">
        <v>88.972386021218</v>
      </c>
      <c r="AJ3839">
        <v>92.999158667564302</v>
      </c>
      <c r="AK3839">
        <v>3.0177666672651302</v>
      </c>
      <c r="AL3839">
        <v>82.190045367667096</v>
      </c>
      <c r="AM3839">
        <v>91.623335066814406</v>
      </c>
      <c r="AN3839">
        <v>0.999999970456104</v>
      </c>
    </row>
    <row r="3840" spans="1:40" x14ac:dyDescent="0.25">
      <c r="A3840" t="str">
        <f>"20190312151615435"</f>
        <v>20190312151615435</v>
      </c>
      <c r="B3840" t="str">
        <f>"1552374975431943"</f>
        <v>1552374975431943</v>
      </c>
      <c r="C3840" t="s">
        <v>40</v>
      </c>
      <c r="D3840">
        <v>4.5937539999999997</v>
      </c>
      <c r="E3840">
        <v>0.4901334</v>
      </c>
      <c r="F3840" t="s">
        <v>46</v>
      </c>
      <c r="G3840">
        <v>0</v>
      </c>
      <c r="H3840">
        <v>0</v>
      </c>
      <c r="I3840">
        <v>0</v>
      </c>
      <c r="J3840">
        <v>-273.65050000000002</v>
      </c>
      <c r="K3840">
        <v>1.1085050000000001</v>
      </c>
      <c r="L3840">
        <v>139.8366</v>
      </c>
      <c r="M3840">
        <v>-0.99991039999999998</v>
      </c>
      <c r="N3840">
        <v>0</v>
      </c>
      <c r="O3840">
        <v>9.9084459999999996E-3</v>
      </c>
      <c r="P3840">
        <v>-0.99164379999999996</v>
      </c>
      <c r="Q3840">
        <v>0.12731500000000001</v>
      </c>
      <c r="R3840">
        <v>-2.0832119999999999E-2</v>
      </c>
      <c r="S3840">
        <v>-3.0150450000000002</v>
      </c>
      <c r="T3840">
        <v>5.6677579999999998E-2</v>
      </c>
      <c r="U3840">
        <v>-0.1403961</v>
      </c>
      <c r="V3840">
        <v>-3.0363339999999999E-2</v>
      </c>
      <c r="W3840">
        <v>0.13632</v>
      </c>
      <c r="X3840">
        <v>0.99019939999999995</v>
      </c>
      <c r="Y3840">
        <v>-5.6398940000000002E-2</v>
      </c>
      <c r="Z3840">
        <v>7.1592729999999999E-4</v>
      </c>
      <c r="AA3840">
        <v>0.99840810000000002</v>
      </c>
      <c r="AB3840">
        <v>37</v>
      </c>
      <c r="AC3840">
        <v>-3.0150450000000002</v>
      </c>
      <c r="AD3840">
        <v>5.6677579999999998E-2</v>
      </c>
      <c r="AE3840">
        <v>-0.1403961</v>
      </c>
      <c r="AF3840">
        <v>-0.170204812315147</v>
      </c>
      <c r="AG3840">
        <v>5.6677579999999998E-2</v>
      </c>
      <c r="AH3840">
        <v>3.0124435993317098</v>
      </c>
      <c r="AI3840">
        <v>88.923852417595398</v>
      </c>
      <c r="AJ3840">
        <v>93.233806621079594</v>
      </c>
      <c r="AK3840">
        <v>3.0177803871992599</v>
      </c>
      <c r="AL3840">
        <v>82.165043694057999</v>
      </c>
      <c r="AM3840">
        <v>91.756359658482793</v>
      </c>
      <c r="AN3840">
        <v>0.99999996328815699</v>
      </c>
    </row>
    <row r="3841" spans="1:40" x14ac:dyDescent="0.25">
      <c r="A3841" t="str">
        <f>"20190312151615458"</f>
        <v>20190312151615458</v>
      </c>
      <c r="B3841" t="str">
        <f>"1552374975451463"</f>
        <v>1552374975451463</v>
      </c>
      <c r="C3841" t="s">
        <v>40</v>
      </c>
      <c r="D3841">
        <v>4.5822279999999997</v>
      </c>
      <c r="E3841">
        <v>0.49017070000000001</v>
      </c>
      <c r="F3841" t="s">
        <v>46</v>
      </c>
      <c r="G3841">
        <v>0</v>
      </c>
      <c r="H3841">
        <v>0</v>
      </c>
      <c r="I3841">
        <v>0</v>
      </c>
      <c r="J3841">
        <v>-274.03039999999999</v>
      </c>
      <c r="K3841">
        <v>1.108522</v>
      </c>
      <c r="L3841">
        <v>139.84110000000001</v>
      </c>
      <c r="M3841">
        <v>-0.9999017</v>
      </c>
      <c r="N3841">
        <v>0</v>
      </c>
      <c r="O3841">
        <v>1.0728329999999999E-2</v>
      </c>
      <c r="P3841">
        <v>-0.99142629999999998</v>
      </c>
      <c r="Q3841">
        <v>0.12825249999999999</v>
      </c>
      <c r="R3841">
        <v>-2.5001809999999999E-2</v>
      </c>
      <c r="S3841">
        <v>-3.014923</v>
      </c>
      <c r="T3841">
        <v>5.674481E-2</v>
      </c>
      <c r="U3841">
        <v>-0.1457214</v>
      </c>
      <c r="V3841">
        <v>-3.534897E-2</v>
      </c>
      <c r="W3841">
        <v>0.13728029999999999</v>
      </c>
      <c r="X3841">
        <v>0.98990129999999998</v>
      </c>
      <c r="Y3841">
        <v>-5.897819E-2</v>
      </c>
      <c r="Z3841">
        <v>7.5645469999999996E-4</v>
      </c>
      <c r="AA3841">
        <v>0.99825900000000001</v>
      </c>
      <c r="AB3841">
        <v>38</v>
      </c>
      <c r="AC3841">
        <v>-3.014923</v>
      </c>
      <c r="AD3841">
        <v>5.674481E-2</v>
      </c>
      <c r="AE3841">
        <v>-0.1457214</v>
      </c>
      <c r="AF3841">
        <v>-0.17799651307235001</v>
      </c>
      <c r="AG3841">
        <v>5.674481E-2</v>
      </c>
      <c r="AH3841">
        <v>3.01212153292684</v>
      </c>
      <c r="AI3841">
        <v>88.922621924621097</v>
      </c>
      <c r="AJ3841">
        <v>93.381869744857497</v>
      </c>
      <c r="AK3841">
        <v>3.0179096840776101</v>
      </c>
      <c r="AL3841">
        <v>82.109500719239307</v>
      </c>
      <c r="AM3841">
        <v>92.0451398121983</v>
      </c>
      <c r="AN3841">
        <v>1.00000000709492</v>
      </c>
    </row>
    <row r="3842" spans="1:40" x14ac:dyDescent="0.25">
      <c r="A3842" t="str">
        <f>"20190312151615479"</f>
        <v>20190312151615479</v>
      </c>
      <c r="B3842" t="str">
        <f>"1552374975471959"</f>
        <v>1552374975471959</v>
      </c>
      <c r="C3842" t="s">
        <v>40</v>
      </c>
      <c r="D3842">
        <v>4.7876329999999996</v>
      </c>
      <c r="E3842">
        <v>0.4901334</v>
      </c>
      <c r="F3842" t="s">
        <v>46</v>
      </c>
      <c r="G3842">
        <v>0</v>
      </c>
      <c r="H3842">
        <v>0</v>
      </c>
      <c r="I3842">
        <v>0</v>
      </c>
      <c r="J3842">
        <v>-274.39460000000003</v>
      </c>
      <c r="K3842">
        <v>1.1085499999999999</v>
      </c>
      <c r="L3842">
        <v>139.84559999999999</v>
      </c>
      <c r="M3842">
        <v>-0.99989320000000004</v>
      </c>
      <c r="N3842">
        <v>0</v>
      </c>
      <c r="O3842">
        <v>1.147959E-2</v>
      </c>
      <c r="P3842">
        <v>-0.99116850000000001</v>
      </c>
      <c r="Q3842">
        <v>0.12922649999999999</v>
      </c>
      <c r="R3842">
        <v>-2.9760249999999999E-2</v>
      </c>
      <c r="S3842">
        <v>-3.0143740000000001</v>
      </c>
      <c r="T3842">
        <v>5.8513759999999998E-2</v>
      </c>
      <c r="U3842">
        <v>-0.1581726</v>
      </c>
      <c r="V3842">
        <v>-4.0855429999999998E-2</v>
      </c>
      <c r="W3842">
        <v>0.13827490000000001</v>
      </c>
      <c r="X3842">
        <v>0.98955079999999995</v>
      </c>
      <c r="Y3842">
        <v>-6.3847390000000004E-2</v>
      </c>
      <c r="Z3842">
        <v>8.4189050000000004E-4</v>
      </c>
      <c r="AA3842">
        <v>0.99795929999999999</v>
      </c>
      <c r="AB3842">
        <v>38</v>
      </c>
      <c r="AC3842">
        <v>-3.0143740000000001</v>
      </c>
      <c r="AD3842">
        <v>5.8513759999999998E-2</v>
      </c>
      <c r="AE3842">
        <v>-0.1581726</v>
      </c>
      <c r="AF3842">
        <v>-0.192694959971315</v>
      </c>
      <c r="AG3842">
        <v>5.8513759999999998E-2</v>
      </c>
      <c r="AH3842">
        <v>3.0112279842810499</v>
      </c>
      <c r="AI3842">
        <v>88.889048324158097</v>
      </c>
      <c r="AJ3842">
        <v>93.661487773042595</v>
      </c>
      <c r="AK3842">
        <v>3.0179544696739602</v>
      </c>
      <c r="AL3842">
        <v>82.051965176617699</v>
      </c>
      <c r="AM3842">
        <v>92.364219196967596</v>
      </c>
      <c r="AN3842">
        <v>0.99999994995556596</v>
      </c>
    </row>
    <row r="3843" spans="1:40" x14ac:dyDescent="0.25">
      <c r="A3843" t="str">
        <f>"20190312151615501"</f>
        <v>20190312151615501</v>
      </c>
      <c r="B3843" t="str">
        <f>"1552374975491480"</f>
        <v>1552374975491480</v>
      </c>
      <c r="C3843" t="s">
        <v>40</v>
      </c>
      <c r="D3843">
        <v>4.7483740000000001</v>
      </c>
      <c r="E3843">
        <v>0.4903169</v>
      </c>
      <c r="F3843" t="s">
        <v>46</v>
      </c>
      <c r="G3843">
        <v>0</v>
      </c>
      <c r="H3843">
        <v>0</v>
      </c>
      <c r="I3843">
        <v>0</v>
      </c>
      <c r="J3843">
        <v>-274.75099999999998</v>
      </c>
      <c r="K3843">
        <v>1.108576</v>
      </c>
      <c r="L3843">
        <v>139.8503</v>
      </c>
      <c r="M3843">
        <v>-0.99988480000000002</v>
      </c>
      <c r="N3843">
        <v>0</v>
      </c>
      <c r="O3843">
        <v>1.2177800000000001E-2</v>
      </c>
      <c r="P3843">
        <v>-0.99092360000000002</v>
      </c>
      <c r="Q3843">
        <v>0.12984109999999999</v>
      </c>
      <c r="R3843">
        <v>-3.4816939999999998E-2</v>
      </c>
      <c r="S3843">
        <v>-3.0133969999999999</v>
      </c>
      <c r="T3843">
        <v>6.2285779999999999E-2</v>
      </c>
      <c r="U3843">
        <v>-0.17327879999999901</v>
      </c>
      <c r="V3843">
        <v>-4.6609049999999999E-2</v>
      </c>
      <c r="W3843">
        <v>0.13890820000000001</v>
      </c>
      <c r="X3843">
        <v>0.98920779999999997</v>
      </c>
      <c r="Y3843">
        <v>-6.9544549999999997E-2</v>
      </c>
      <c r="Z3843">
        <v>9.6956370000000002E-4</v>
      </c>
      <c r="AA3843">
        <v>0.99757839999999998</v>
      </c>
      <c r="AB3843">
        <v>38</v>
      </c>
      <c r="AC3843">
        <v>-3.0133969999999999</v>
      </c>
      <c r="AD3843">
        <v>6.2285779999999999E-2</v>
      </c>
      <c r="AE3843">
        <v>-0.17327879999999901</v>
      </c>
      <c r="AF3843">
        <v>-0.209874632272571</v>
      </c>
      <c r="AG3843">
        <v>6.2285779999999999E-2</v>
      </c>
      <c r="AH3843">
        <v>3.0097816494332701</v>
      </c>
      <c r="AI3843">
        <v>88.817335480259501</v>
      </c>
      <c r="AJ3843">
        <v>93.988826680867902</v>
      </c>
      <c r="AK3843">
        <v>3.0177329996086502</v>
      </c>
      <c r="AL3843">
        <v>82.015326431024107</v>
      </c>
      <c r="AM3843">
        <v>92.697641741477</v>
      </c>
      <c r="AN3843">
        <v>0.99999998157499104</v>
      </c>
    </row>
    <row r="3844" spans="1:40" x14ac:dyDescent="0.25">
      <c r="A3844" t="str">
        <f>"20190312151615522"</f>
        <v>20190312151615522</v>
      </c>
      <c r="B3844" t="str">
        <f>"1552374975511633"</f>
        <v>1552374975511633</v>
      </c>
      <c r="C3844" t="s">
        <v>40</v>
      </c>
      <c r="D3844">
        <v>4.6104909999999997</v>
      </c>
      <c r="E3844">
        <v>0.49054409999999998</v>
      </c>
      <c r="F3844" t="s">
        <v>46</v>
      </c>
      <c r="G3844">
        <v>0</v>
      </c>
      <c r="H3844">
        <v>0</v>
      </c>
      <c r="I3844">
        <v>0</v>
      </c>
      <c r="J3844">
        <v>-275.11810000000003</v>
      </c>
      <c r="K3844">
        <v>1.108608</v>
      </c>
      <c r="L3844">
        <v>139.8553</v>
      </c>
      <c r="M3844">
        <v>-0.99987630000000005</v>
      </c>
      <c r="N3844">
        <v>0</v>
      </c>
      <c r="O3844">
        <v>1.285205E-2</v>
      </c>
      <c r="P3844">
        <v>-0.9907572</v>
      </c>
      <c r="Q3844">
        <v>0.12984999999999999</v>
      </c>
      <c r="R3844">
        <v>-3.9236649999999998E-2</v>
      </c>
      <c r="S3844">
        <v>-3.012756</v>
      </c>
      <c r="T3844">
        <v>6.20712E-2</v>
      </c>
      <c r="U3844">
        <v>-0.18731690000000001</v>
      </c>
      <c r="V3844">
        <v>-5.1704819999999999E-2</v>
      </c>
      <c r="W3844">
        <v>0.13893649999999999</v>
      </c>
      <c r="X3844">
        <v>0.98895060000000001</v>
      </c>
      <c r="Y3844">
        <v>-7.4858899999999895E-2</v>
      </c>
      <c r="Z3844">
        <v>1.034863E-3</v>
      </c>
      <c r="AA3844">
        <v>0.99719360000000001</v>
      </c>
      <c r="AB3844">
        <v>38</v>
      </c>
      <c r="AC3844">
        <v>-3.012756</v>
      </c>
      <c r="AD3844">
        <v>6.20712E-2</v>
      </c>
      <c r="AE3844">
        <v>-0.18731690000000001</v>
      </c>
      <c r="AF3844">
        <v>-0.22592757909504099</v>
      </c>
      <c r="AG3844">
        <v>6.20712E-2</v>
      </c>
      <c r="AH3844">
        <v>3.0088273932676102</v>
      </c>
      <c r="AI3844">
        <v>88.821489772555495</v>
      </c>
      <c r="AJ3844">
        <v>94.294181281714501</v>
      </c>
      <c r="AK3844">
        <v>3.0179361138603902</v>
      </c>
      <c r="AL3844">
        <v>82.0136893469233</v>
      </c>
      <c r="AM3844">
        <v>92.992842232377399</v>
      </c>
      <c r="AN3844">
        <v>1.0000000143419201</v>
      </c>
    </row>
    <row r="3845" spans="1:40" x14ac:dyDescent="0.25">
      <c r="A3845" t="str">
        <f>"20190312151615536"</f>
        <v>20190312151615536</v>
      </c>
      <c r="B3845" t="str">
        <f>"1552374975532129"</f>
        <v>1552374975532129</v>
      </c>
      <c r="C3845" t="s">
        <v>40</v>
      </c>
      <c r="D3845">
        <v>4.7308370000000002</v>
      </c>
      <c r="E3845">
        <v>0.4907107</v>
      </c>
      <c r="F3845" t="s">
        <v>46</v>
      </c>
      <c r="G3845">
        <v>0</v>
      </c>
      <c r="H3845">
        <v>0</v>
      </c>
      <c r="I3845">
        <v>0</v>
      </c>
      <c r="J3845">
        <v>-275.3399</v>
      </c>
      <c r="K3845">
        <v>1.1086309999999999</v>
      </c>
      <c r="L3845">
        <v>139.85849999999999</v>
      </c>
      <c r="M3845">
        <v>-0.99987110000000001</v>
      </c>
      <c r="N3845">
        <v>0</v>
      </c>
      <c r="O3845">
        <v>1.3238400000000001E-2</v>
      </c>
      <c r="P3845">
        <v>-0.9907454</v>
      </c>
      <c r="Q3845">
        <v>0.1294777</v>
      </c>
      <c r="R3845">
        <v>-4.0736540000000002E-2</v>
      </c>
      <c r="S3845">
        <v>-3.012146</v>
      </c>
      <c r="T3845">
        <v>6.0612199999999998E-2</v>
      </c>
      <c r="U3845">
        <v>-0.1990662</v>
      </c>
      <c r="V3845">
        <v>-5.3595160000000003E-2</v>
      </c>
      <c r="W3845">
        <v>0.13857429999999901</v>
      </c>
      <c r="X3845">
        <v>0.98890080000000002</v>
      </c>
      <c r="Y3845">
        <v>-7.9129699999999997E-2</v>
      </c>
      <c r="Z3845">
        <v>1.061308E-3</v>
      </c>
      <c r="AA3845">
        <v>0.99686379999999997</v>
      </c>
      <c r="AB3845">
        <v>38</v>
      </c>
      <c r="AC3845">
        <v>-3.012146</v>
      </c>
      <c r="AD3845">
        <v>6.0612199999999998E-2</v>
      </c>
      <c r="AE3845">
        <v>-0.1990662</v>
      </c>
      <c r="AF3845">
        <v>-0.238830106967023</v>
      </c>
      <c r="AG3845">
        <v>6.0612199999999998E-2</v>
      </c>
      <c r="AH3845">
        <v>3.0080338795885999</v>
      </c>
      <c r="AI3845">
        <v>88.849260639746305</v>
      </c>
      <c r="AJ3845">
        <v>94.539613463612199</v>
      </c>
      <c r="AK3845">
        <v>3.01810892439878</v>
      </c>
      <c r="AL3845">
        <v>82.034644750504995</v>
      </c>
      <c r="AM3845">
        <v>93.102207196943297</v>
      </c>
      <c r="AN3845">
        <v>1.0000000350182701</v>
      </c>
    </row>
    <row r="3846" spans="1:40" x14ac:dyDescent="0.25">
      <c r="A3846" t="str">
        <f>"20190312151615547"</f>
        <v>20190312151615547</v>
      </c>
      <c r="B3846" t="str">
        <f>"1552374975541890"</f>
        <v>1552374975541890</v>
      </c>
      <c r="C3846" t="s">
        <v>40</v>
      </c>
      <c r="D3846">
        <v>4.3900040000000002</v>
      </c>
      <c r="E3846">
        <v>0.49085760000000001</v>
      </c>
      <c r="F3846" t="s">
        <v>46</v>
      </c>
      <c r="G3846">
        <v>0</v>
      </c>
      <c r="H3846">
        <v>0</v>
      </c>
      <c r="I3846">
        <v>0</v>
      </c>
      <c r="J3846">
        <v>-275.56299999999999</v>
      </c>
      <c r="K3846">
        <v>1.108665</v>
      </c>
      <c r="L3846">
        <v>139.86170000000001</v>
      </c>
      <c r="M3846">
        <v>-0.99986609999999998</v>
      </c>
      <c r="N3846">
        <v>0</v>
      </c>
      <c r="O3846">
        <v>1.360213E-2</v>
      </c>
      <c r="P3846">
        <v>-0.99072649999999995</v>
      </c>
      <c r="Q3846">
        <v>0.12914329999999999</v>
      </c>
      <c r="R3846">
        <v>-4.2230839999999999E-2</v>
      </c>
      <c r="S3846">
        <v>-3.0119630000000002</v>
      </c>
      <c r="T3846">
        <v>5.9173700000000003E-2</v>
      </c>
      <c r="U3846">
        <v>-0.20243839999999999</v>
      </c>
      <c r="V3846">
        <v>-5.5458300000000002E-2</v>
      </c>
      <c r="W3846">
        <v>0.13825179999999901</v>
      </c>
      <c r="X3846">
        <v>0.98884309999999997</v>
      </c>
      <c r="Y3846">
        <v>-8.0607910000000005E-2</v>
      </c>
      <c r="Z3846">
        <v>1.0577920000000001E-3</v>
      </c>
      <c r="AA3846">
        <v>0.99674529999999995</v>
      </c>
      <c r="AB3846">
        <v>38</v>
      </c>
      <c r="AC3846">
        <v>-3.0119630000000002</v>
      </c>
      <c r="AD3846">
        <v>5.9173700000000003E-2</v>
      </c>
      <c r="AE3846">
        <v>-0.20243839999999999</v>
      </c>
      <c r="AF3846">
        <v>-0.24329699394806401</v>
      </c>
      <c r="AG3846">
        <v>5.9173700000000003E-2</v>
      </c>
      <c r="AH3846">
        <v>3.0077749205271198</v>
      </c>
      <c r="AI3846">
        <v>88.876600617203493</v>
      </c>
      <c r="AJ3846">
        <v>94.624550299772395</v>
      </c>
      <c r="AK3846">
        <v>3.0181790746388502</v>
      </c>
      <c r="AL3846">
        <v>82.0533013833697</v>
      </c>
      <c r="AM3846">
        <v>93.210015070054396</v>
      </c>
      <c r="AN3846">
        <v>0.99999992982986696</v>
      </c>
    </row>
    <row r="3847" spans="1:40" x14ac:dyDescent="0.25">
      <c r="A3847" t="str">
        <f>"20190312151615569"</f>
        <v>20190312151615569</v>
      </c>
      <c r="B3847" t="str">
        <f>"1552374975561410"</f>
        <v>1552374975561410</v>
      </c>
      <c r="C3847" t="s">
        <v>40</v>
      </c>
      <c r="D3847">
        <v>4.6601990000000004</v>
      </c>
      <c r="E3847">
        <v>0.49101109999999998</v>
      </c>
      <c r="F3847" t="s">
        <v>46</v>
      </c>
      <c r="G3847">
        <v>0</v>
      </c>
      <c r="H3847">
        <v>0</v>
      </c>
      <c r="I3847">
        <v>0</v>
      </c>
      <c r="J3847">
        <v>-275.90370000000001</v>
      </c>
      <c r="K3847">
        <v>1.1087070000000001</v>
      </c>
      <c r="L3847">
        <v>139.86680000000001</v>
      </c>
      <c r="M3847">
        <v>-0.99985869999999999</v>
      </c>
      <c r="N3847">
        <v>0</v>
      </c>
      <c r="O3847">
        <v>1.4118800000000001E-2</v>
      </c>
      <c r="P3847">
        <v>-0.99062450000000002</v>
      </c>
      <c r="Q3847">
        <v>0.12891929999999999</v>
      </c>
      <c r="R3847">
        <v>-4.5195779999999998E-2</v>
      </c>
      <c r="S3847">
        <v>-3.011749</v>
      </c>
      <c r="T3847">
        <v>5.7928319999999998E-2</v>
      </c>
      <c r="U3847">
        <v>-0.20620730000000001</v>
      </c>
      <c r="V3847">
        <v>-5.8947970000000002E-2</v>
      </c>
      <c r="W3847">
        <v>0.1380431</v>
      </c>
      <c r="X3847">
        <v>0.98867050000000001</v>
      </c>
      <c r="Y3847">
        <v>-8.2369540000000005E-2</v>
      </c>
      <c r="Z3847">
        <v>1.0624110000000001E-3</v>
      </c>
      <c r="AA3847">
        <v>0.99660130000000002</v>
      </c>
      <c r="AB3847">
        <v>38</v>
      </c>
      <c r="AC3847">
        <v>-3.011749</v>
      </c>
      <c r="AD3847">
        <v>5.7928319999999998E-2</v>
      </c>
      <c r="AE3847">
        <v>-0.20620730000000001</v>
      </c>
      <c r="AF3847">
        <v>-0.248619248384852</v>
      </c>
      <c r="AG3847">
        <v>5.7928319999999998E-2</v>
      </c>
      <c r="AH3847">
        <v>3.0074298468157199</v>
      </c>
      <c r="AI3847">
        <v>88.900270752594196</v>
      </c>
      <c r="AJ3847">
        <v>94.725801359140306</v>
      </c>
      <c r="AK3847">
        <v>3.01824477212228</v>
      </c>
      <c r="AL3847">
        <v>82.065375809377301</v>
      </c>
      <c r="AM3847">
        <v>93.412133922946595</v>
      </c>
      <c r="AN3847">
        <v>1.00000005909748</v>
      </c>
    </row>
    <row r="3848" spans="1:40" x14ac:dyDescent="0.25">
      <c r="A3848" t="str">
        <f>"20190312151615589"</f>
        <v>20190312151615589</v>
      </c>
      <c r="B3848" t="str">
        <f>"1552374975581908"</f>
        <v>1552374975581908</v>
      </c>
      <c r="C3848" t="s">
        <v>40</v>
      </c>
      <c r="D3848">
        <v>4.4758990000000001</v>
      </c>
      <c r="E3848">
        <v>0.47076210000000002</v>
      </c>
      <c r="F3848" t="s">
        <v>46</v>
      </c>
      <c r="G3848">
        <v>0</v>
      </c>
      <c r="H3848">
        <v>0</v>
      </c>
      <c r="I3848">
        <v>0</v>
      </c>
      <c r="J3848">
        <v>-276.2629</v>
      </c>
      <c r="K3848">
        <v>1.1087610000000001</v>
      </c>
      <c r="L3848">
        <v>139.8723</v>
      </c>
      <c r="M3848">
        <v>-0.99985170000000001</v>
      </c>
      <c r="N3848">
        <v>0</v>
      </c>
      <c r="O3848">
        <v>1.4603130000000001E-2</v>
      </c>
      <c r="P3848">
        <v>-0.99041489999999999</v>
      </c>
      <c r="Q3848">
        <v>0.12961439999999999</v>
      </c>
      <c r="R3848">
        <v>-4.7736580000000001E-2</v>
      </c>
      <c r="S3848">
        <v>-3.0112920000000001</v>
      </c>
      <c r="T3848">
        <v>5.6120040000000003E-2</v>
      </c>
      <c r="U3848">
        <v>-0.21415709999999999</v>
      </c>
      <c r="V3848">
        <v>-6.1981790000000002E-2</v>
      </c>
      <c r="W3848">
        <v>0.13875000000000001</v>
      </c>
      <c r="X3848">
        <v>0.98838590000000004</v>
      </c>
      <c r="Y3848">
        <v>-8.548095E-2</v>
      </c>
      <c r="Z3848">
        <v>1.0672850000000001E-3</v>
      </c>
      <c r="AA3848">
        <v>0.99633930000000004</v>
      </c>
      <c r="AB3848">
        <v>38</v>
      </c>
      <c r="AC3848">
        <v>-3.0112920000000001</v>
      </c>
      <c r="AD3848">
        <v>5.6120040000000003E-2</v>
      </c>
      <c r="AE3848">
        <v>-0.21415709999999999</v>
      </c>
      <c r="AF3848">
        <v>-0.25802121796277</v>
      </c>
      <c r="AG3848">
        <v>5.6120040000000003E-2</v>
      </c>
      <c r="AH3848">
        <v>3.0068043118303498</v>
      </c>
      <c r="AI3848">
        <v>88.934650217939193</v>
      </c>
      <c r="AJ3848">
        <v>94.904675280492199</v>
      </c>
      <c r="AK3848">
        <v>3.0183764804030302</v>
      </c>
      <c r="AL3848">
        <v>82.024479372481906</v>
      </c>
      <c r="AM3848">
        <v>93.588325878063998</v>
      </c>
      <c r="AN3848">
        <v>0.99999999605520695</v>
      </c>
    </row>
    <row r="3849" spans="1:40" x14ac:dyDescent="0.25">
      <c r="A3849" t="str">
        <f>"20190312151615603"</f>
        <v>20190312151615603</v>
      </c>
      <c r="B3849" t="str">
        <f>"1552374975591667"</f>
        <v>1552374975591667</v>
      </c>
      <c r="C3849" t="s">
        <v>40</v>
      </c>
      <c r="D3849">
        <v>4.4550710000000002</v>
      </c>
      <c r="E3849">
        <v>0.46881410000000001</v>
      </c>
      <c r="F3849" t="s">
        <v>62</v>
      </c>
      <c r="G3849">
        <v>-440.20710000000003</v>
      </c>
      <c r="H3849">
        <v>3.7662409999999999</v>
      </c>
      <c r="I3849">
        <v>118.9589</v>
      </c>
      <c r="J3849">
        <v>-276.4941</v>
      </c>
      <c r="K3849">
        <v>1.1087990000000001</v>
      </c>
      <c r="L3849">
        <v>139.8759</v>
      </c>
      <c r="M3849">
        <v>-0.99984759999999995</v>
      </c>
      <c r="N3849">
        <v>0</v>
      </c>
      <c r="O3849">
        <v>1.487518E-2</v>
      </c>
      <c r="P3849">
        <v>-0.9903206</v>
      </c>
      <c r="Q3849">
        <v>0.1300192</v>
      </c>
      <c r="R3849">
        <v>-4.8585030000000001E-2</v>
      </c>
      <c r="S3849">
        <v>-3.004181</v>
      </c>
      <c r="T3849">
        <v>4.8697230000000001E-2</v>
      </c>
      <c r="U3849">
        <v>-0.38322450000000002</v>
      </c>
      <c r="V3849">
        <v>-6.3109659999999998E-2</v>
      </c>
      <c r="W3849">
        <v>0.1391599</v>
      </c>
      <c r="X3849">
        <v>0.98825689999999999</v>
      </c>
      <c r="Y3849">
        <v>-0.14126040000000001</v>
      </c>
      <c r="Z3849">
        <v>1.380404E-3</v>
      </c>
      <c r="AA3849">
        <v>0.9899715</v>
      </c>
      <c r="AB3849">
        <v>38</v>
      </c>
      <c r="AC3849">
        <v>-163.71299999999999</v>
      </c>
      <c r="AD3849">
        <v>2.6574420000000001</v>
      </c>
      <c r="AE3849">
        <v>-20.916999999999899</v>
      </c>
      <c r="AF3849">
        <v>-23.3439954718569</v>
      </c>
      <c r="AG3849">
        <v>2.6574420000000001</v>
      </c>
      <c r="AH3849">
        <v>163.34138063621</v>
      </c>
      <c r="AI3849">
        <v>89.077296528108306</v>
      </c>
      <c r="AJ3849">
        <v>98.1333723311879</v>
      </c>
      <c r="AK3849">
        <v>165.02245529235299</v>
      </c>
      <c r="AL3849">
        <v>82.0007638213511</v>
      </c>
      <c r="AM3849">
        <v>93.653922240227303</v>
      </c>
      <c r="AN3849">
        <v>1.0000000036754599</v>
      </c>
    </row>
    <row r="3850" spans="1:40" x14ac:dyDescent="0.25">
      <c r="A3850" t="str">
        <f>"20190312151615616"</f>
        <v>20190312151615616</v>
      </c>
      <c r="B3850" t="str">
        <f>"1552374975611817"</f>
        <v>1552374975611817</v>
      </c>
      <c r="C3850" t="s">
        <v>40</v>
      </c>
      <c r="D3850">
        <v>4.4517989999999896</v>
      </c>
      <c r="E3850">
        <v>0.46739940000000002</v>
      </c>
      <c r="F3850" t="s">
        <v>62</v>
      </c>
      <c r="G3850">
        <v>-440.20710000000003</v>
      </c>
      <c r="H3850">
        <v>4.1775070000000003</v>
      </c>
      <c r="I3850">
        <v>118.0004</v>
      </c>
      <c r="J3850">
        <v>-276.7226</v>
      </c>
      <c r="K3850">
        <v>1.1088389999999999</v>
      </c>
      <c r="L3850">
        <v>139.87950000000001</v>
      </c>
      <c r="M3850">
        <v>-0.99984379999999995</v>
      </c>
      <c r="N3850">
        <v>0</v>
      </c>
      <c r="O3850">
        <v>1.5122729999999999E-2</v>
      </c>
      <c r="P3850">
        <v>-0.99028499999999997</v>
      </c>
      <c r="Q3850">
        <v>0.13003629999999999</v>
      </c>
      <c r="R3850">
        <v>-4.9259160000000003E-2</v>
      </c>
      <c r="S3850">
        <v>-3.0022890000000002</v>
      </c>
      <c r="T3850">
        <v>5.6276680000000003E-2</v>
      </c>
      <c r="U3850">
        <v>-0.40116879999999999</v>
      </c>
      <c r="V3850">
        <v>-6.4041550000000003E-2</v>
      </c>
      <c r="W3850">
        <v>0.13918159999999999</v>
      </c>
      <c r="X3850">
        <v>0.98819389999999996</v>
      </c>
      <c r="Y3850">
        <v>-0.14739079999999999</v>
      </c>
      <c r="Z3850">
        <v>1.6574249999999999E-3</v>
      </c>
      <c r="AA3850">
        <v>0.98907699999999998</v>
      </c>
      <c r="AB3850">
        <v>38</v>
      </c>
      <c r="AC3850">
        <v>-163.4845</v>
      </c>
      <c r="AD3850">
        <v>3.0686680000000002</v>
      </c>
      <c r="AE3850">
        <v>-21.879100000000001</v>
      </c>
      <c r="AF3850">
        <v>-24.340608232724701</v>
      </c>
      <c r="AG3850">
        <v>3.0686680000000002</v>
      </c>
      <c r="AH3850">
        <v>163.078471525227</v>
      </c>
      <c r="AI3850">
        <v>88.9337934774979</v>
      </c>
      <c r="AJ3850">
        <v>98.4891287321052</v>
      </c>
      <c r="AK3850">
        <v>164.91352220918</v>
      </c>
      <c r="AL3850">
        <v>81.999508343147198</v>
      </c>
      <c r="AM3850">
        <v>93.707963100719894</v>
      </c>
      <c r="AN3850">
        <v>1.00000001095108</v>
      </c>
    </row>
    <row r="3851" spans="1:40" x14ac:dyDescent="0.25">
      <c r="A3851" t="str">
        <f>"20190312151615635"</f>
        <v>20190312151615635</v>
      </c>
      <c r="B3851" t="str">
        <f>"1552374975631336"</f>
        <v>1552374975631336</v>
      </c>
      <c r="C3851" t="s">
        <v>40</v>
      </c>
      <c r="D3851">
        <v>4.4721109999999999</v>
      </c>
      <c r="E3851">
        <v>0.46756219999999998</v>
      </c>
      <c r="F3851" t="s">
        <v>62</v>
      </c>
      <c r="G3851">
        <v>-440.20710000000003</v>
      </c>
      <c r="H3851">
        <v>4.2667599999999997</v>
      </c>
      <c r="I3851">
        <v>117.29510000000001</v>
      </c>
      <c r="J3851">
        <v>-277.03280000000001</v>
      </c>
      <c r="K3851">
        <v>1.1088910000000001</v>
      </c>
      <c r="L3851">
        <v>139.8845</v>
      </c>
      <c r="M3851">
        <v>-0.99983929999999999</v>
      </c>
      <c r="N3851">
        <v>0</v>
      </c>
      <c r="O3851">
        <v>1.541355E-2</v>
      </c>
      <c r="P3851">
        <v>-0.99032180000000003</v>
      </c>
      <c r="Q3851">
        <v>0.12945319999999999</v>
      </c>
      <c r="R3851">
        <v>-5.0051470000000001E-2</v>
      </c>
      <c r="S3851">
        <v>-3.0011899999999998</v>
      </c>
      <c r="T3851">
        <v>5.7972429999999998E-2</v>
      </c>
      <c r="U3851">
        <v>-0.41459659999999898</v>
      </c>
      <c r="V3851">
        <v>-6.5140989999999996E-2</v>
      </c>
      <c r="W3851">
        <v>0.13860410000000001</v>
      </c>
      <c r="X3851">
        <v>0.98820319999999995</v>
      </c>
      <c r="Y3851">
        <v>-0.1520668</v>
      </c>
      <c r="Z3851">
        <v>1.758005E-3</v>
      </c>
      <c r="AA3851">
        <v>0.98836869999999999</v>
      </c>
      <c r="AB3851">
        <v>38</v>
      </c>
      <c r="AC3851">
        <v>-163.17429999999999</v>
      </c>
      <c r="AD3851">
        <v>3.1578689999999998</v>
      </c>
      <c r="AE3851">
        <v>-22.589400000000001</v>
      </c>
      <c r="AF3851">
        <v>-25.092695662634501</v>
      </c>
      <c r="AG3851">
        <v>3.1578689999999998</v>
      </c>
      <c r="AH3851">
        <v>162.74690937911501</v>
      </c>
      <c r="AI3851">
        <v>88.901375956455695</v>
      </c>
      <c r="AJ3851">
        <v>98.764976737429393</v>
      </c>
      <c r="AK3851">
        <v>164.70024901223599</v>
      </c>
      <c r="AL3851">
        <v>82.032920456869405</v>
      </c>
      <c r="AM3851">
        <v>93.771402381668807</v>
      </c>
      <c r="AN3851">
        <v>1.0000000048026101</v>
      </c>
    </row>
    <row r="3852" spans="1:40" x14ac:dyDescent="0.25">
      <c r="A3852" t="str">
        <f>"20190312151615658"</f>
        <v>20190312151615658</v>
      </c>
      <c r="B3852" t="str">
        <f>"1552374975651833"</f>
        <v>1552374975651833</v>
      </c>
      <c r="C3852" t="s">
        <v>40</v>
      </c>
      <c r="D3852">
        <v>4.448334</v>
      </c>
      <c r="E3852">
        <v>0.46814</v>
      </c>
      <c r="F3852" t="s">
        <v>62</v>
      </c>
      <c r="G3852">
        <v>-440.20710000000003</v>
      </c>
      <c r="H3852">
        <v>4.0117409999999998</v>
      </c>
      <c r="I3852">
        <v>117.2818</v>
      </c>
      <c r="J3852">
        <v>-277.42739999999998</v>
      </c>
      <c r="K3852">
        <v>1.108948</v>
      </c>
      <c r="L3852">
        <v>139.89080000000001</v>
      </c>
      <c r="M3852">
        <v>-0.99983440000000001</v>
      </c>
      <c r="N3852">
        <v>0</v>
      </c>
      <c r="O3852">
        <v>1.5713109999999999E-2</v>
      </c>
      <c r="P3852">
        <v>-0.99035600000000001</v>
      </c>
      <c r="Q3852">
        <v>0.1289594</v>
      </c>
      <c r="R3852">
        <v>-5.0645210000000003E-2</v>
      </c>
      <c r="S3852">
        <v>-3.0013429999999999</v>
      </c>
      <c r="T3852">
        <v>5.3393959999999997E-2</v>
      </c>
      <c r="U3852">
        <v>-0.41574100000000003</v>
      </c>
      <c r="V3852">
        <v>-6.6054950000000001E-2</v>
      </c>
      <c r="W3852">
        <v>0.138116299999999</v>
      </c>
      <c r="X3852">
        <v>0.9882109</v>
      </c>
      <c r="Y3852">
        <v>-0.15273030000000001</v>
      </c>
      <c r="Z3852">
        <v>1.630243E-3</v>
      </c>
      <c r="AA3852">
        <v>0.9882666</v>
      </c>
      <c r="AB3852">
        <v>38</v>
      </c>
      <c r="AC3852">
        <v>-162.77969999999999</v>
      </c>
      <c r="AD3852">
        <v>2.902793</v>
      </c>
      <c r="AE3852">
        <v>-22.609000000000002</v>
      </c>
      <c r="AF3852">
        <v>-25.1562432389034</v>
      </c>
      <c r="AG3852">
        <v>2.902793</v>
      </c>
      <c r="AH3852">
        <v>162.3536772237</v>
      </c>
      <c r="AI3852">
        <v>88.987769134660795</v>
      </c>
      <c r="AJ3852">
        <v>98.807777184974995</v>
      </c>
      <c r="AK3852">
        <v>164.31670423043801</v>
      </c>
      <c r="AL3852">
        <v>82.061141329265595</v>
      </c>
      <c r="AM3852">
        <v>93.824131367771599</v>
      </c>
      <c r="AN3852">
        <v>1.00000007581199</v>
      </c>
    </row>
    <row r="3853" spans="1:40" x14ac:dyDescent="0.25">
      <c r="A3853" t="str">
        <f>"20190312151615681"</f>
        <v>20190312151615681</v>
      </c>
      <c r="B3853" t="str">
        <f>"1552374975671353"</f>
        <v>1552374975671353</v>
      </c>
      <c r="C3853" t="s">
        <v>40</v>
      </c>
      <c r="D3853">
        <v>4.6369239999999996</v>
      </c>
      <c r="E3853">
        <v>0.47194199999999997</v>
      </c>
      <c r="F3853" t="s">
        <v>58</v>
      </c>
      <c r="G3853">
        <v>-288.09010000000001</v>
      </c>
      <c r="H3853" s="1">
        <v>-7.3477809999999999E-6</v>
      </c>
      <c r="I3853">
        <v>138.42009999999999</v>
      </c>
      <c r="J3853">
        <v>-277.81049999999999</v>
      </c>
      <c r="K3853">
        <v>1.109013</v>
      </c>
      <c r="L3853">
        <v>139.89699999999999</v>
      </c>
      <c r="M3853">
        <v>-0.99983060000000001</v>
      </c>
      <c r="N3853">
        <v>0</v>
      </c>
      <c r="O3853">
        <v>1.5943430000000001E-2</v>
      </c>
      <c r="P3853">
        <v>-0.9904153</v>
      </c>
      <c r="Q3853">
        <v>0.128438</v>
      </c>
      <c r="R3853">
        <v>-5.0805309999999999E-2</v>
      </c>
      <c r="S3853">
        <v>-3.049042</v>
      </c>
      <c r="T3853">
        <v>-0.3171118</v>
      </c>
      <c r="U3853">
        <v>-0.42056270000000001</v>
      </c>
      <c r="V3853">
        <v>-6.6464529999999994E-2</v>
      </c>
      <c r="W3853">
        <v>0.13759959999999999</v>
      </c>
      <c r="X3853">
        <v>0.98825540000000001</v>
      </c>
      <c r="Y3853">
        <v>-0.15152929999999901</v>
      </c>
      <c r="Z3853">
        <v>-9.4683379999999998E-3</v>
      </c>
      <c r="AA3853">
        <v>0.98840740000000005</v>
      </c>
      <c r="AB3853">
        <v>38</v>
      </c>
      <c r="AC3853">
        <v>-10.2796</v>
      </c>
      <c r="AD3853">
        <v>-1.1090203477809999</v>
      </c>
      <c r="AE3853">
        <v>-1.4769000000000201</v>
      </c>
      <c r="AF3853">
        <v>-1.62211287315679</v>
      </c>
      <c r="AG3853">
        <v>-1.1090203477809999</v>
      </c>
      <c r="AH3853">
        <v>10.139119999941</v>
      </c>
      <c r="AI3853">
        <v>96.164439307226999</v>
      </c>
      <c r="AJ3853">
        <v>99.089470671596999</v>
      </c>
      <c r="AK3853">
        <v>10.3277747205415</v>
      </c>
      <c r="AL3853">
        <v>82.091030522519105</v>
      </c>
      <c r="AM3853">
        <v>93.847599507176994</v>
      </c>
      <c r="AN3853">
        <v>0.99999995964871902</v>
      </c>
    </row>
    <row r="3854" spans="1:40" x14ac:dyDescent="0.25">
      <c r="A3854" t="str">
        <f>"20190312151615701"</f>
        <v>20190312151615701</v>
      </c>
      <c r="B3854" t="str">
        <f>"1552374975691849"</f>
        <v>1552374975691849</v>
      </c>
      <c r="C3854" t="s">
        <v>40</v>
      </c>
      <c r="D3854">
        <v>4.444712</v>
      </c>
      <c r="E3854">
        <v>0.4716902</v>
      </c>
      <c r="F3854" t="s">
        <v>58</v>
      </c>
      <c r="G3854">
        <v>-306.00450000000001</v>
      </c>
      <c r="H3854" s="1">
        <v>-7.857211E-6</v>
      </c>
      <c r="I3854">
        <v>136.2978</v>
      </c>
      <c r="J3854">
        <v>-278.16399999999999</v>
      </c>
      <c r="K3854">
        <v>1.109064</v>
      </c>
      <c r="L3854">
        <v>139.90280000000001</v>
      </c>
      <c r="M3854">
        <v>-0.99982789999999999</v>
      </c>
      <c r="N3854">
        <v>0</v>
      </c>
      <c r="O3854">
        <v>1.610893E-2</v>
      </c>
      <c r="P3854">
        <v>-0.99049710000000002</v>
      </c>
      <c r="Q3854">
        <v>0.12801949999999901</v>
      </c>
      <c r="R3854">
        <v>-5.0268689999999998E-2</v>
      </c>
      <c r="S3854">
        <v>-3.0246580000000001</v>
      </c>
      <c r="T3854">
        <v>-0.1189759</v>
      </c>
      <c r="U3854">
        <v>-0.38612370000000001</v>
      </c>
      <c r="V3854">
        <v>-6.6109280000000006E-2</v>
      </c>
      <c r="W3854">
        <v>0.1371849</v>
      </c>
      <c r="X3854">
        <v>0.98833689999999996</v>
      </c>
      <c r="Y3854">
        <v>-0.14247370000000001</v>
      </c>
      <c r="Z3854">
        <v>-3.4207489999999998E-3</v>
      </c>
      <c r="AA3854">
        <v>0.98979269999999997</v>
      </c>
      <c r="AB3854">
        <v>38</v>
      </c>
      <c r="AC3854">
        <v>-27.840499999999999</v>
      </c>
      <c r="AD3854">
        <v>-1.1090718572110001</v>
      </c>
      <c r="AE3854">
        <v>-3.6050000000000102</v>
      </c>
      <c r="AF3854">
        <v>-4.0467157750695399</v>
      </c>
      <c r="AG3854">
        <v>-1.1090718572110001</v>
      </c>
      <c r="AH3854">
        <v>27.735522772255901</v>
      </c>
      <c r="AI3854">
        <v>92.2659241608374</v>
      </c>
      <c r="AJ3854">
        <v>98.301093455847706</v>
      </c>
      <c r="AK3854">
        <v>28.051117132816302</v>
      </c>
      <c r="AL3854">
        <v>82.115018736645297</v>
      </c>
      <c r="AM3854">
        <v>93.826780883668704</v>
      </c>
      <c r="AN3854">
        <v>0.99999998079586805</v>
      </c>
    </row>
    <row r="3855" spans="1:40" x14ac:dyDescent="0.25">
      <c r="A3855" t="str">
        <f>"20190312151615715"</f>
        <v>20190312151615715</v>
      </c>
      <c r="B3855" t="str">
        <f>"1552374975711939"</f>
        <v>1552374975711939</v>
      </c>
      <c r="C3855" t="s">
        <v>40</v>
      </c>
      <c r="D3855">
        <v>4.5299709999999997</v>
      </c>
      <c r="E3855">
        <v>0.46881410000000001</v>
      </c>
      <c r="F3855" t="s">
        <v>58</v>
      </c>
      <c r="G3855">
        <v>-305.6318</v>
      </c>
      <c r="H3855" s="1">
        <v>-7.8352209999999999E-6</v>
      </c>
      <c r="I3855">
        <v>136.3964</v>
      </c>
      <c r="J3855">
        <v>-278.39909999999998</v>
      </c>
      <c r="K3855">
        <v>1.109097</v>
      </c>
      <c r="L3855">
        <v>139.9067</v>
      </c>
      <c r="M3855">
        <v>-0.99982629999999995</v>
      </c>
      <c r="N3855">
        <v>0</v>
      </c>
      <c r="O3855">
        <v>1.61987E-2</v>
      </c>
      <c r="P3855">
        <v>-0.99049209999999999</v>
      </c>
      <c r="Q3855">
        <v>0.12807550000000001</v>
      </c>
      <c r="R3855">
        <v>-5.0221590000000003E-2</v>
      </c>
      <c r="S3855">
        <v>-3.0249630000000001</v>
      </c>
      <c r="T3855">
        <v>-0.1221396</v>
      </c>
      <c r="U3855">
        <v>-0.3861542</v>
      </c>
      <c r="V3855">
        <v>-6.6161529999999996E-2</v>
      </c>
      <c r="W3855">
        <v>0.137243</v>
      </c>
      <c r="X3855">
        <v>0.98832540000000002</v>
      </c>
      <c r="Y3855">
        <v>-0.14255319999999999</v>
      </c>
      <c r="Z3855">
        <v>-3.5164940000000002E-3</v>
      </c>
      <c r="AA3855">
        <v>0.98978089999999996</v>
      </c>
      <c r="AB3855">
        <v>38</v>
      </c>
      <c r="AC3855">
        <v>-27.232700000000001</v>
      </c>
      <c r="AD3855">
        <v>-1.109104835221</v>
      </c>
      <c r="AE3855">
        <v>-3.5103</v>
      </c>
      <c r="AF3855">
        <v>-3.94455662183513</v>
      </c>
      <c r="AG3855">
        <v>-1.109104835221</v>
      </c>
      <c r="AH3855">
        <v>27.1280004674799</v>
      </c>
      <c r="AI3855">
        <v>92.316847381194705</v>
      </c>
      <c r="AJ3855">
        <v>98.273132968480496</v>
      </c>
      <c r="AK3855">
        <v>27.435707569551798</v>
      </c>
      <c r="AL3855">
        <v>82.111658556025901</v>
      </c>
      <c r="AM3855">
        <v>93.829840843617404</v>
      </c>
      <c r="AN3855">
        <v>1.00000004269304</v>
      </c>
    </row>
    <row r="3856" spans="1:40" x14ac:dyDescent="0.25">
      <c r="A3856" t="str">
        <f>"20190312151615728"</f>
        <v>20190312151615728</v>
      </c>
      <c r="B3856" t="str">
        <f>"1552374975721699"</f>
        <v>1552374975721699</v>
      </c>
      <c r="C3856" t="s">
        <v>40</v>
      </c>
      <c r="D3856">
        <v>4.6543890000000001</v>
      </c>
      <c r="E3856">
        <v>0.46881410000000001</v>
      </c>
      <c r="F3856" t="s">
        <v>62</v>
      </c>
      <c r="G3856">
        <v>-440.20710000000003</v>
      </c>
      <c r="H3856">
        <v>2.7098070000000001</v>
      </c>
      <c r="I3856">
        <v>118.04340000000001</v>
      </c>
      <c r="J3856">
        <v>-278.62619999999998</v>
      </c>
      <c r="K3856">
        <v>1.109127</v>
      </c>
      <c r="L3856">
        <v>139.91050000000001</v>
      </c>
      <c r="M3856">
        <v>-0.99982519999999997</v>
      </c>
      <c r="N3856">
        <v>0</v>
      </c>
      <c r="O3856">
        <v>1.626609E-2</v>
      </c>
      <c r="P3856">
        <v>-0.99051420000000001</v>
      </c>
      <c r="Q3856">
        <v>0.12808530000000001</v>
      </c>
      <c r="R3856">
        <v>-4.9762210000000001E-2</v>
      </c>
      <c r="S3856">
        <v>-3.0043639999999998</v>
      </c>
      <c r="T3856">
        <v>2.9721620000000001E-2</v>
      </c>
      <c r="U3856">
        <v>-0.40594479999999999</v>
      </c>
      <c r="V3856">
        <v>-6.5778749999999997E-2</v>
      </c>
      <c r="W3856">
        <v>0.13725519999999999</v>
      </c>
      <c r="X3856">
        <v>0.98834920000000004</v>
      </c>
      <c r="Y3856">
        <v>-0.1499962</v>
      </c>
      <c r="Z3856">
        <v>8.9879949999999999E-4</v>
      </c>
      <c r="AA3856">
        <v>0.98868610000000001</v>
      </c>
      <c r="AB3856">
        <v>38</v>
      </c>
      <c r="AC3856">
        <v>-161.58090000000001</v>
      </c>
      <c r="AD3856">
        <v>1.6006799999999901</v>
      </c>
      <c r="AE3856">
        <v>-21.867100000000001</v>
      </c>
      <c r="AF3856">
        <v>-24.490247698935001</v>
      </c>
      <c r="AG3856">
        <v>1.6006799999999901</v>
      </c>
      <c r="AH3856">
        <v>161.18827954477399</v>
      </c>
      <c r="AI3856">
        <v>89.437498095648905</v>
      </c>
      <c r="AJ3856">
        <v>98.639199404143895</v>
      </c>
      <c r="AK3856">
        <v>163.045993116733</v>
      </c>
      <c r="AL3856">
        <v>82.110952431208403</v>
      </c>
      <c r="AM3856">
        <v>93.807657106297398</v>
      </c>
      <c r="AN3856">
        <v>0.99999998750962105</v>
      </c>
    </row>
    <row r="3857" spans="1:40" x14ac:dyDescent="0.25">
      <c r="A3857" t="str">
        <f>"20190312151615747"</f>
        <v>20190312151615747</v>
      </c>
      <c r="B3857" t="str">
        <f>"1552374975741219"</f>
        <v>1552374975741219</v>
      </c>
      <c r="C3857" t="s">
        <v>40</v>
      </c>
      <c r="D3857">
        <v>4.6701540000000001</v>
      </c>
      <c r="E3857">
        <v>0.46847850000000002</v>
      </c>
      <c r="F3857" t="s">
        <v>62</v>
      </c>
      <c r="G3857">
        <v>-440.20710000000003</v>
      </c>
      <c r="H3857">
        <v>2.7087460000000001</v>
      </c>
      <c r="I3857">
        <v>118.1574</v>
      </c>
      <c r="J3857">
        <v>-278.94220000000001</v>
      </c>
      <c r="K3857">
        <v>1.1091629999999999</v>
      </c>
      <c r="L3857">
        <v>139.91569999999999</v>
      </c>
      <c r="M3857">
        <v>-0.99982389999999999</v>
      </c>
      <c r="N3857">
        <v>0</v>
      </c>
      <c r="O3857">
        <v>1.6339570000000001E-2</v>
      </c>
      <c r="P3857">
        <v>-0.9905273</v>
      </c>
      <c r="Q3857">
        <v>0.12809329999999999</v>
      </c>
      <c r="R3857">
        <v>-4.9479700000000001E-2</v>
      </c>
      <c r="S3857">
        <v>-3.004578</v>
      </c>
      <c r="T3857">
        <v>2.9745219999999999E-2</v>
      </c>
      <c r="U3857">
        <v>-0.4044952</v>
      </c>
      <c r="V3857">
        <v>-6.5581169999999994E-2</v>
      </c>
      <c r="W3857">
        <v>0.13726559999999999</v>
      </c>
      <c r="X3857">
        <v>0.98836089999999999</v>
      </c>
      <c r="Y3857">
        <v>-0.149591</v>
      </c>
      <c r="Z3857">
        <v>8.9820669999999896E-4</v>
      </c>
      <c r="AA3857">
        <v>0.9887475</v>
      </c>
      <c r="AB3857">
        <v>38</v>
      </c>
      <c r="AC3857">
        <v>-161.26490000000001</v>
      </c>
      <c r="AD3857">
        <v>1.599583</v>
      </c>
      <c r="AE3857">
        <v>-21.758299999999899</v>
      </c>
      <c r="AF3857">
        <v>-24.388149833528299</v>
      </c>
      <c r="AG3857">
        <v>1.599583</v>
      </c>
      <c r="AH3857">
        <v>160.87228831798001</v>
      </c>
      <c r="AI3857">
        <v>89.436751422922299</v>
      </c>
      <c r="AJ3857">
        <v>98.620369473202402</v>
      </c>
      <c r="AK3857">
        <v>162.71826469926401</v>
      </c>
      <c r="AL3857">
        <v>82.110350974104605</v>
      </c>
      <c r="AM3857">
        <v>93.796208710832801</v>
      </c>
      <c r="AN3857">
        <v>1.0000000017253601</v>
      </c>
    </row>
    <row r="3858" spans="1:40" x14ac:dyDescent="0.25">
      <c r="A3858" t="str">
        <f>"20190312151615760"</f>
        <v>20190312151615760</v>
      </c>
      <c r="B3858" t="str">
        <f>"1552374975751955"</f>
        <v>1552374975751955</v>
      </c>
      <c r="C3858" t="s">
        <v>40</v>
      </c>
      <c r="D3858">
        <v>4.5183790000000004</v>
      </c>
      <c r="E3858">
        <v>0.46860570000000001</v>
      </c>
      <c r="F3858" t="s">
        <v>58</v>
      </c>
      <c r="G3858">
        <v>-303.05259999999998</v>
      </c>
      <c r="H3858" s="1">
        <v>-7.5472280000000003E-6</v>
      </c>
      <c r="I3858">
        <v>136.654</v>
      </c>
      <c r="J3858">
        <v>-279.17290000000003</v>
      </c>
      <c r="K3858">
        <v>1.109189</v>
      </c>
      <c r="L3858">
        <v>139.9195</v>
      </c>
      <c r="M3858">
        <v>-0.99982320000000002</v>
      </c>
      <c r="N3858">
        <v>0</v>
      </c>
      <c r="O3858">
        <v>1.638005E-2</v>
      </c>
      <c r="P3858">
        <v>-0.99056140000000004</v>
      </c>
      <c r="Q3858">
        <v>0.1279333</v>
      </c>
      <c r="R3858">
        <v>-4.9207750000000001E-2</v>
      </c>
      <c r="S3858">
        <v>-3.0262449999999999</v>
      </c>
      <c r="T3858">
        <v>-0.13921889999999901</v>
      </c>
      <c r="U3858">
        <v>-0.40939330000000002</v>
      </c>
      <c r="V3858">
        <v>-6.5358299999999994E-2</v>
      </c>
      <c r="W3858">
        <v>0.1371078</v>
      </c>
      <c r="X3858">
        <v>0.98839750000000004</v>
      </c>
      <c r="Y3858">
        <v>-0.1501017</v>
      </c>
      <c r="Z3858">
        <v>-4.1851340000000001E-3</v>
      </c>
      <c r="AA3858">
        <v>0.98866169999999998</v>
      </c>
      <c r="AB3858">
        <v>38</v>
      </c>
      <c r="AC3858">
        <v>-23.8796999999999</v>
      </c>
      <c r="AD3858">
        <v>-1.1091965472280001</v>
      </c>
      <c r="AE3858">
        <v>-3.2654999999999998</v>
      </c>
      <c r="AF3858">
        <v>-3.6485019167511399</v>
      </c>
      <c r="AG3858">
        <v>-1.1091965472280001</v>
      </c>
      <c r="AH3858">
        <v>23.772655664152701</v>
      </c>
      <c r="AI3858">
        <v>92.6405253282947</v>
      </c>
      <c r="AJ3858">
        <v>98.725372148043704</v>
      </c>
      <c r="AK3858">
        <v>24.076566211635999</v>
      </c>
      <c r="AL3858">
        <v>82.119478034918004</v>
      </c>
      <c r="AM3858">
        <v>93.783205578249905</v>
      </c>
      <c r="AN3858">
        <v>0.99999993710298796</v>
      </c>
    </row>
    <row r="3859" spans="1:40" x14ac:dyDescent="0.25">
      <c r="A3859" t="str">
        <f>"20190312151615773"</f>
        <v>20190312151615773</v>
      </c>
      <c r="B3859" t="str">
        <f>"1552374975761715"</f>
        <v>1552374975761715</v>
      </c>
      <c r="C3859" t="s">
        <v>40</v>
      </c>
      <c r="D3859">
        <v>4.5284979999999999</v>
      </c>
      <c r="E3859">
        <v>0.46880850000000002</v>
      </c>
      <c r="F3859" t="s">
        <v>58</v>
      </c>
      <c r="G3859">
        <v>-311.9425</v>
      </c>
      <c r="H3859" s="1">
        <v>-7.4770340000000002E-6</v>
      </c>
      <c r="I3859">
        <v>135.5086</v>
      </c>
      <c r="J3859">
        <v>-279.39760000000001</v>
      </c>
      <c r="K3859">
        <v>1.1092120000000001</v>
      </c>
      <c r="L3859">
        <v>139.92320000000001</v>
      </c>
      <c r="M3859">
        <v>-0.99982249999999995</v>
      </c>
      <c r="N3859">
        <v>0</v>
      </c>
      <c r="O3859">
        <v>1.641219E-2</v>
      </c>
      <c r="P3859">
        <v>-0.99058210000000002</v>
      </c>
      <c r="Q3859">
        <v>0.12780759999999999</v>
      </c>
      <c r="R3859">
        <v>-4.9114600000000001E-2</v>
      </c>
      <c r="S3859">
        <v>-3.0216370000000001</v>
      </c>
      <c r="T3859">
        <v>-0.1022774</v>
      </c>
      <c r="U3859">
        <v>-0.406723</v>
      </c>
      <c r="V3859">
        <v>-6.5305680000000005E-2</v>
      </c>
      <c r="W3859">
        <v>0.13698460000000001</v>
      </c>
      <c r="X3859">
        <v>0.98841809999999997</v>
      </c>
      <c r="Y3859">
        <v>-0.1495553</v>
      </c>
      <c r="Z3859">
        <v>-3.0720589999999998E-3</v>
      </c>
      <c r="AA3859">
        <v>0.98874859999999998</v>
      </c>
      <c r="AB3859">
        <v>38</v>
      </c>
      <c r="AC3859">
        <v>-32.544899999999899</v>
      </c>
      <c r="AD3859">
        <v>-1.109219477034</v>
      </c>
      <c r="AE3859">
        <v>-4.4146000000000001</v>
      </c>
      <c r="AF3859">
        <v>-4.9425236300478899</v>
      </c>
      <c r="AG3859">
        <v>-1.109219477034</v>
      </c>
      <c r="AH3859">
        <v>32.431067473747802</v>
      </c>
      <c r="AI3859">
        <v>91.936545319271701</v>
      </c>
      <c r="AJ3859">
        <v>98.665251992032495</v>
      </c>
      <c r="AK3859">
        <v>32.824275242091801</v>
      </c>
      <c r="AL3859">
        <v>82.1266044240989</v>
      </c>
      <c r="AM3859">
        <v>93.780089996727895</v>
      </c>
      <c r="AN3859">
        <v>0.99999997644251504</v>
      </c>
    </row>
    <row r="3860" spans="1:40" x14ac:dyDescent="0.25">
      <c r="A3860" t="str">
        <f>"20190312151615790"</f>
        <v>20190312151615790</v>
      </c>
      <c r="B3860" t="str">
        <f>"1552374975781235"</f>
        <v>1552374975781235</v>
      </c>
      <c r="C3860" t="s">
        <v>40</v>
      </c>
      <c r="D3860">
        <v>4.7139939999999996</v>
      </c>
      <c r="E3860">
        <v>0.4691169</v>
      </c>
      <c r="F3860" t="s">
        <v>43</v>
      </c>
      <c r="G3860">
        <v>-321.66000000000003</v>
      </c>
      <c r="H3860" s="1">
        <v>-4.5094000000000004E-6</v>
      </c>
      <c r="I3860">
        <v>134.26490000000001</v>
      </c>
      <c r="J3860">
        <v>-279.69600000000003</v>
      </c>
      <c r="K3860">
        <v>1.1092390000000001</v>
      </c>
      <c r="L3860">
        <v>139.9282</v>
      </c>
      <c r="M3860">
        <v>-0.99982210000000005</v>
      </c>
      <c r="N3860">
        <v>0</v>
      </c>
      <c r="O3860">
        <v>1.644017E-2</v>
      </c>
      <c r="P3860">
        <v>-0.99058999999999997</v>
      </c>
      <c r="Q3860">
        <v>0.12779190000000001</v>
      </c>
      <c r="R3860">
        <v>-4.9001820000000001E-2</v>
      </c>
      <c r="S3860">
        <v>-3.0187379999999999</v>
      </c>
      <c r="T3860">
        <v>-7.9229709999999995E-2</v>
      </c>
      <c r="U3860">
        <v>-0.4041595</v>
      </c>
      <c r="V3860">
        <v>-6.5229919999999997E-2</v>
      </c>
      <c r="W3860">
        <v>0.13697179999999901</v>
      </c>
      <c r="X3860">
        <v>0.98842490000000005</v>
      </c>
      <c r="Y3860">
        <v>-0.1489212</v>
      </c>
      <c r="Z3860">
        <v>-2.3749000000000001E-3</v>
      </c>
      <c r="AA3860">
        <v>0.98884620000000001</v>
      </c>
      <c r="AB3860">
        <v>38</v>
      </c>
      <c r="AC3860">
        <v>-41.963999999999999</v>
      </c>
      <c r="AD3860">
        <v>-1.1092435093999999</v>
      </c>
      <c r="AE3860">
        <v>-5.6632999999999898</v>
      </c>
      <c r="AF3860">
        <v>-6.34810315697018</v>
      </c>
      <c r="AG3860">
        <v>-1.1092435093999999</v>
      </c>
      <c r="AH3860">
        <v>41.836509624531097</v>
      </c>
      <c r="AI3860">
        <v>91.501591384278399</v>
      </c>
      <c r="AJ3860">
        <v>98.628015531413695</v>
      </c>
      <c r="AK3860">
        <v>42.329922896435399</v>
      </c>
      <c r="AL3860">
        <v>82.127344972978307</v>
      </c>
      <c r="AM3860">
        <v>93.775691570623394</v>
      </c>
      <c r="AN3860">
        <v>0.99999999969922804</v>
      </c>
    </row>
    <row r="3861" spans="1:40" x14ac:dyDescent="0.25">
      <c r="A3861" t="str">
        <f>"20190312151615814"</f>
        <v>20190312151615814</v>
      </c>
      <c r="B3861" t="str">
        <f>"1552374975801731"</f>
        <v>1552374975801731</v>
      </c>
      <c r="C3861" t="s">
        <v>40</v>
      </c>
      <c r="D3861">
        <v>4.5617609999999997</v>
      </c>
      <c r="E3861">
        <v>0.46919329999999998</v>
      </c>
      <c r="F3861" t="s">
        <v>43</v>
      </c>
      <c r="G3861">
        <v>-348.34019999999998</v>
      </c>
      <c r="H3861" s="1">
        <v>-2.8959070000000001E-6</v>
      </c>
      <c r="I3861">
        <v>130.80289999999999</v>
      </c>
      <c r="J3861">
        <v>-280.08710000000002</v>
      </c>
      <c r="K3861">
        <v>1.109267</v>
      </c>
      <c r="L3861">
        <v>139.93469999999999</v>
      </c>
      <c r="M3861">
        <v>-0.99982170000000004</v>
      </c>
      <c r="N3861">
        <v>0</v>
      </c>
      <c r="O3861">
        <v>1.6463149999999999E-2</v>
      </c>
      <c r="P3861">
        <v>-0.99071489999999995</v>
      </c>
      <c r="Q3861">
        <v>0.12709210000000001</v>
      </c>
      <c r="R3861">
        <v>-4.8286750000000003E-2</v>
      </c>
      <c r="S3861">
        <v>-3.014923</v>
      </c>
      <c r="T3861">
        <v>-4.871905E-2</v>
      </c>
      <c r="U3861">
        <v>-0.40078740000000002</v>
      </c>
      <c r="V3861">
        <v>-6.4550850000000007E-2</v>
      </c>
      <c r="W3861">
        <v>0.13627700000000001</v>
      </c>
      <c r="X3861">
        <v>0.98856549999999999</v>
      </c>
      <c r="Y3861">
        <v>-0.14805660000000001</v>
      </c>
      <c r="Z3861">
        <v>-1.4558559999999999E-3</v>
      </c>
      <c r="AA3861">
        <v>0.98897780000000002</v>
      </c>
      <c r="AB3861">
        <v>38</v>
      </c>
      <c r="AC3861">
        <v>-68.253099999999904</v>
      </c>
      <c r="AD3861">
        <v>-1.109269895907</v>
      </c>
      <c r="AE3861">
        <v>-9.1317999999999895</v>
      </c>
      <c r="AF3861">
        <v>-10.251611158328799</v>
      </c>
      <c r="AG3861">
        <v>-1.109269895907</v>
      </c>
      <c r="AH3861">
        <v>68.075839309352901</v>
      </c>
      <c r="AI3861">
        <v>90.9231236759761</v>
      </c>
      <c r="AJ3861">
        <v>98.563881424516097</v>
      </c>
      <c r="AK3861">
        <v>68.852348607119893</v>
      </c>
      <c r="AL3861">
        <v>82.167530834641894</v>
      </c>
      <c r="AM3861">
        <v>93.735967094949103</v>
      </c>
      <c r="AN3861">
        <v>0.99999999037748599</v>
      </c>
    </row>
    <row r="3862" spans="1:40" x14ac:dyDescent="0.25">
      <c r="A3862" t="str">
        <f>"20190312151615826"</f>
        <v>20190312151615826</v>
      </c>
      <c r="B3862" t="str">
        <f>"1552374975822103"</f>
        <v>1552374975822103</v>
      </c>
      <c r="C3862" t="s">
        <v>40</v>
      </c>
      <c r="D3862">
        <v>4.5473949999999999</v>
      </c>
      <c r="E3862">
        <v>0.46918840000000001</v>
      </c>
      <c r="F3862" t="s">
        <v>43</v>
      </c>
      <c r="G3862">
        <v>-372.35309999999998</v>
      </c>
      <c r="H3862">
        <v>7.9986210000000002E-2</v>
      </c>
      <c r="I3862">
        <v>127.7488</v>
      </c>
      <c r="J3862">
        <v>-280.32049999999998</v>
      </c>
      <c r="K3862">
        <v>1.109278</v>
      </c>
      <c r="L3862">
        <v>139.9385</v>
      </c>
      <c r="M3862">
        <v>-0.99982139999999997</v>
      </c>
      <c r="N3862">
        <v>0</v>
      </c>
      <c r="O3862">
        <v>1.647065E-2</v>
      </c>
      <c r="P3862">
        <v>-0.99074260000000003</v>
      </c>
      <c r="Q3862">
        <v>0.1269652</v>
      </c>
      <c r="R3862">
        <v>-4.8053220000000001E-2</v>
      </c>
      <c r="S3862">
        <v>-3.0129999999999999</v>
      </c>
      <c r="T3862">
        <v>-3.3611769999999999E-2</v>
      </c>
      <c r="U3862">
        <v>-0.39793400000000001</v>
      </c>
      <c r="V3862">
        <v>-6.4329929999999994E-2</v>
      </c>
      <c r="W3862">
        <v>0.13615279999999999</v>
      </c>
      <c r="X3862">
        <v>0.98859699999999995</v>
      </c>
      <c r="Y3862">
        <v>-0.14723710000000001</v>
      </c>
      <c r="Z3862">
        <v>-1.0006730000000001E-3</v>
      </c>
      <c r="AA3862">
        <v>0.9891008</v>
      </c>
      <c r="AB3862">
        <v>38</v>
      </c>
      <c r="AC3862">
        <v>-92.032600000000002</v>
      </c>
      <c r="AD3862">
        <v>-1.02929179</v>
      </c>
      <c r="AE3862">
        <v>-12.1897</v>
      </c>
      <c r="AF3862">
        <v>-13.702263809249599</v>
      </c>
      <c r="AG3862">
        <v>-1.02929179</v>
      </c>
      <c r="AH3862">
        <v>91.808048246359903</v>
      </c>
      <c r="AI3862">
        <v>90.635299711986903</v>
      </c>
      <c r="AJ3862">
        <v>98.488681397838505</v>
      </c>
      <c r="AK3862">
        <v>92.830647945025007</v>
      </c>
      <c r="AL3862">
        <v>82.174713813551506</v>
      </c>
      <c r="AM3862">
        <v>93.723098778544895</v>
      </c>
      <c r="AN3862">
        <v>0.99999997662532203</v>
      </c>
    </row>
    <row r="3863" spans="1:40" x14ac:dyDescent="0.25">
      <c r="A3863" t="str">
        <f>"20190312151615840"</f>
        <v>20190312151615840</v>
      </c>
      <c r="B3863" t="str">
        <f>"1552374975831862"</f>
        <v>1552374975831862</v>
      </c>
      <c r="C3863" t="s">
        <v>40</v>
      </c>
      <c r="D3863">
        <v>4.5442920000000004</v>
      </c>
      <c r="E3863">
        <v>0.46900199999999997</v>
      </c>
      <c r="F3863" t="s">
        <v>58</v>
      </c>
      <c r="G3863">
        <v>-423.60399999999998</v>
      </c>
      <c r="H3863" s="1">
        <v>-1.877247E-6</v>
      </c>
      <c r="I3863">
        <v>121.04340000000001</v>
      </c>
      <c r="J3863">
        <v>-280.5401</v>
      </c>
      <c r="K3863">
        <v>1.1092900000000001</v>
      </c>
      <c r="L3863">
        <v>139.94220000000001</v>
      </c>
      <c r="M3863">
        <v>-0.99982110000000002</v>
      </c>
      <c r="N3863">
        <v>0</v>
      </c>
      <c r="O3863">
        <v>1.6475500000000001E-2</v>
      </c>
      <c r="P3863">
        <v>-0.99078790000000005</v>
      </c>
      <c r="Q3863">
        <v>0.1267228</v>
      </c>
      <c r="R3863">
        <v>-4.7754049999999999E-2</v>
      </c>
      <c r="S3863">
        <v>-3.0117799999999999</v>
      </c>
      <c r="T3863">
        <v>-2.3316739999999999E-2</v>
      </c>
      <c r="U3863">
        <v>-0.397171</v>
      </c>
      <c r="V3863">
        <v>-6.4040739999999999E-2</v>
      </c>
      <c r="W3863">
        <v>0.13591329999999999</v>
      </c>
      <c r="X3863">
        <v>0.98864879999999999</v>
      </c>
      <c r="Y3863">
        <v>-0.14705279999999901</v>
      </c>
      <c r="Z3863">
        <v>-6.9380309999999895E-4</v>
      </c>
      <c r="AA3863">
        <v>0.98912840000000002</v>
      </c>
      <c r="AB3863">
        <v>38</v>
      </c>
      <c r="AC3863">
        <v>-143.06389999999999</v>
      </c>
      <c r="AD3863">
        <v>-1.109291877247</v>
      </c>
      <c r="AE3863">
        <v>-18.898800000000001</v>
      </c>
      <c r="AF3863">
        <v>-21.252129867026401</v>
      </c>
      <c r="AG3863">
        <v>-1.109291877247</v>
      </c>
      <c r="AH3863">
        <v>142.724665919903</v>
      </c>
      <c r="AI3863">
        <v>90.440452281073306</v>
      </c>
      <c r="AJ3863">
        <v>98.469284935887899</v>
      </c>
      <c r="AK3863">
        <v>144.30250799726801</v>
      </c>
      <c r="AL3863">
        <v>82.188565451041697</v>
      </c>
      <c r="AM3863">
        <v>93.706214991949594</v>
      </c>
      <c r="AN3863">
        <v>1.0000000456190301</v>
      </c>
    </row>
    <row r="3864" spans="1:40" x14ac:dyDescent="0.25">
      <c r="A3864" t="str">
        <f>"20190312151615860"</f>
        <v>20190312151615860</v>
      </c>
      <c r="B3864" t="str">
        <f>"1552374975851383"</f>
        <v>1552374975851383</v>
      </c>
      <c r="C3864" t="s">
        <v>40</v>
      </c>
      <c r="D3864">
        <v>4.5392400000000004</v>
      </c>
      <c r="E3864">
        <v>0.4657578</v>
      </c>
      <c r="F3864" t="s">
        <v>42</v>
      </c>
      <c r="G3864">
        <v>-462.01319999999998</v>
      </c>
      <c r="H3864">
        <v>-0.05</v>
      </c>
      <c r="I3864">
        <v>115.9778</v>
      </c>
      <c r="J3864">
        <v>-280.87959999999998</v>
      </c>
      <c r="K3864">
        <v>1.1093040000000001</v>
      </c>
      <c r="L3864">
        <v>139.9478</v>
      </c>
      <c r="M3864">
        <v>-0.99982130000000002</v>
      </c>
      <c r="N3864">
        <v>0</v>
      </c>
      <c r="O3864">
        <v>1.6478980000000001E-2</v>
      </c>
      <c r="P3864">
        <v>-0.99085990000000002</v>
      </c>
      <c r="Q3864">
        <v>0.12634880000000001</v>
      </c>
      <c r="R3864">
        <v>-4.7254089999999999E-2</v>
      </c>
      <c r="S3864">
        <v>-3.0112000000000001</v>
      </c>
      <c r="T3864">
        <v>-1.923621E-2</v>
      </c>
      <c r="U3864">
        <v>-0.397644</v>
      </c>
      <c r="V3864">
        <v>-6.3550860000000001E-2</v>
      </c>
      <c r="W3864">
        <v>0.13554430000000001</v>
      </c>
      <c r="X3864">
        <v>0.98873100000000003</v>
      </c>
      <c r="Y3864">
        <v>-0.14723520000000001</v>
      </c>
      <c r="Z3864">
        <v>-5.730927E-4</v>
      </c>
      <c r="AA3864">
        <v>0.98910140000000002</v>
      </c>
      <c r="AB3864">
        <v>39</v>
      </c>
      <c r="AC3864">
        <v>-181.1336</v>
      </c>
      <c r="AD3864">
        <v>-1.1593039999999999</v>
      </c>
      <c r="AE3864">
        <v>-23.97</v>
      </c>
      <c r="AF3864">
        <v>-26.950684947727598</v>
      </c>
      <c r="AG3864">
        <v>-1.1593039999999999</v>
      </c>
      <c r="AH3864">
        <v>180.70670911892299</v>
      </c>
      <c r="AI3864">
        <v>90.363548882300705</v>
      </c>
      <c r="AJ3864">
        <v>98.482596230295101</v>
      </c>
      <c r="AK3864">
        <v>182.70905321167601</v>
      </c>
      <c r="AL3864">
        <v>82.209904552461893</v>
      </c>
      <c r="AM3864">
        <v>93.677637462622599</v>
      </c>
      <c r="AN3864">
        <v>0.99999997971511401</v>
      </c>
    </row>
    <row r="3865" spans="1:40" x14ac:dyDescent="0.25">
      <c r="A3865" t="str">
        <f>"20190312151615882"</f>
        <v>20190312151615882</v>
      </c>
      <c r="B3865" t="str">
        <f>"1552374975871880"</f>
        <v>1552374975871880</v>
      </c>
      <c r="C3865" t="s">
        <v>40</v>
      </c>
      <c r="D3865">
        <v>4.8431629999999997</v>
      </c>
      <c r="E3865">
        <v>0.4657271</v>
      </c>
      <c r="F3865" t="s">
        <v>58</v>
      </c>
      <c r="G3865">
        <v>-291.4409</v>
      </c>
      <c r="H3865" s="1">
        <v>-8.3961249999999992E-6</v>
      </c>
      <c r="I3865">
        <v>138.46559999999999</v>
      </c>
      <c r="J3865">
        <v>-281.26749999999998</v>
      </c>
      <c r="K3865">
        <v>1.1093120000000001</v>
      </c>
      <c r="L3865">
        <v>139.95419999999999</v>
      </c>
      <c r="M3865">
        <v>-0.99982110000000002</v>
      </c>
      <c r="N3865">
        <v>0</v>
      </c>
      <c r="O3865">
        <v>1.6480160000000001E-2</v>
      </c>
      <c r="P3865">
        <v>-0.99094400000000005</v>
      </c>
      <c r="Q3865">
        <v>0.12592880000000001</v>
      </c>
      <c r="R3865">
        <v>-4.660537E-2</v>
      </c>
      <c r="S3865">
        <v>-3.0480649999999998</v>
      </c>
      <c r="T3865">
        <v>-0.32015589999999999</v>
      </c>
      <c r="U3865">
        <v>-0.4277802</v>
      </c>
      <c r="V3865">
        <v>-6.2909480000000004E-2</v>
      </c>
      <c r="W3865">
        <v>0.13513</v>
      </c>
      <c r="X3865">
        <v>0.9888287</v>
      </c>
      <c r="Y3865">
        <v>-0.15436259999999999</v>
      </c>
      <c r="Z3865">
        <v>-9.7638719999999998E-3</v>
      </c>
      <c r="AA3865">
        <v>0.98796600000000001</v>
      </c>
      <c r="AB3865">
        <v>39</v>
      </c>
      <c r="AC3865">
        <v>-10.173400000000001</v>
      </c>
      <c r="AD3865">
        <v>-1.109320396125</v>
      </c>
      <c r="AE3865">
        <v>-1.4885999999999899</v>
      </c>
      <c r="AF3865">
        <v>-1.63700827648997</v>
      </c>
      <c r="AG3865">
        <v>-1.109320396125</v>
      </c>
      <c r="AH3865">
        <v>10.0307195943615</v>
      </c>
      <c r="AI3865">
        <v>96.2290799854254</v>
      </c>
      <c r="AJ3865">
        <v>99.268928406724697</v>
      </c>
      <c r="AK3865">
        <v>10.2237822462758</v>
      </c>
      <c r="AL3865">
        <v>82.233862454519794</v>
      </c>
      <c r="AM3865">
        <v>93.6402629036766</v>
      </c>
      <c r="AN3865">
        <v>0.99999995875877901</v>
      </c>
    </row>
    <row r="3866" spans="1:40" x14ac:dyDescent="0.25">
      <c r="A3866" t="str">
        <f>"20190312151615903"</f>
        <v>20190312151615903</v>
      </c>
      <c r="B3866" t="str">
        <f>"1552374975891399"</f>
        <v>1552374975891399</v>
      </c>
      <c r="C3866" t="s">
        <v>40</v>
      </c>
      <c r="D3866">
        <v>4.9304030000000001</v>
      </c>
      <c r="E3866">
        <v>0.48906660000000002</v>
      </c>
      <c r="F3866" t="s">
        <v>58</v>
      </c>
      <c r="G3866">
        <v>-291.51830000000001</v>
      </c>
      <c r="H3866" s="1">
        <v>-8.4085859999999995E-6</v>
      </c>
      <c r="I3866">
        <v>138.52070000000001</v>
      </c>
      <c r="J3866">
        <v>-281.62150000000003</v>
      </c>
      <c r="K3866">
        <v>1.109313</v>
      </c>
      <c r="L3866">
        <v>139.96010000000001</v>
      </c>
      <c r="M3866">
        <v>-0.99982099999999996</v>
      </c>
      <c r="N3866">
        <v>0</v>
      </c>
      <c r="O3866">
        <v>1.6479299999999999E-2</v>
      </c>
      <c r="P3866">
        <v>-0.99104939999999997</v>
      </c>
      <c r="Q3866">
        <v>0.1252722</v>
      </c>
      <c r="R3866">
        <v>-4.6129379999999998E-2</v>
      </c>
      <c r="S3866">
        <v>-3.0492859999999999</v>
      </c>
      <c r="T3866">
        <v>-0.32998820000000001</v>
      </c>
      <c r="U3866">
        <v>-0.42643740000000002</v>
      </c>
      <c r="V3866">
        <v>-6.2437890000000003E-2</v>
      </c>
      <c r="W3866">
        <v>0.1344793</v>
      </c>
      <c r="X3866">
        <v>0.98894729999999997</v>
      </c>
      <c r="Y3866">
        <v>-0.15382699999999999</v>
      </c>
      <c r="Z3866">
        <v>-1.002953E-2</v>
      </c>
      <c r="AA3866">
        <v>0.98804689999999995</v>
      </c>
      <c r="AB3866">
        <v>39</v>
      </c>
      <c r="AC3866">
        <v>-9.8967999999999794</v>
      </c>
      <c r="AD3866">
        <v>-1.1093214085859999</v>
      </c>
      <c r="AE3866">
        <v>-1.4394</v>
      </c>
      <c r="AF3866">
        <v>-1.5828293100478401</v>
      </c>
      <c r="AG3866">
        <v>-1.1093214085859999</v>
      </c>
      <c r="AH3866">
        <v>9.7517523849440693</v>
      </c>
      <c r="AI3866">
        <v>96.406713106450994</v>
      </c>
      <c r="AJ3866">
        <v>99.219407914361497</v>
      </c>
      <c r="AK3866">
        <v>9.9414595100294996</v>
      </c>
      <c r="AL3866">
        <v>82.271488327249799</v>
      </c>
      <c r="AM3866">
        <v>93.612614712157693</v>
      </c>
      <c r="AN3866">
        <v>0.99999996720671502</v>
      </c>
    </row>
    <row r="3867" spans="1:40" x14ac:dyDescent="0.25">
      <c r="A3867" t="str">
        <f>"20190312151615926"</f>
        <v>20190312151615926</v>
      </c>
      <c r="B3867" t="str">
        <f>"1552374975921655"</f>
        <v>1552374975921655</v>
      </c>
      <c r="C3867" t="s">
        <v>40</v>
      </c>
      <c r="D3867">
        <v>5.0784019999999996</v>
      </c>
      <c r="E3867">
        <v>0.49472830000000001</v>
      </c>
      <c r="F3867" t="s">
        <v>58</v>
      </c>
      <c r="G3867">
        <v>-308.06869999999998</v>
      </c>
      <c r="H3867" s="1">
        <v>-8.6681680000000003E-6</v>
      </c>
      <c r="I3867">
        <v>137.90629999999999</v>
      </c>
      <c r="J3867">
        <v>-282.03570000000002</v>
      </c>
      <c r="K3867">
        <v>1.109318</v>
      </c>
      <c r="L3867">
        <v>139.96690000000001</v>
      </c>
      <c r="M3867">
        <v>-0.99982099999999996</v>
      </c>
      <c r="N3867">
        <v>0</v>
      </c>
      <c r="O3867">
        <v>1.6478019999999999E-2</v>
      </c>
      <c r="P3867">
        <v>-0.99109610000000004</v>
      </c>
      <c r="Q3867">
        <v>0.125168899999999</v>
      </c>
      <c r="R3867">
        <v>-4.5406870000000002E-2</v>
      </c>
      <c r="S3867">
        <v>-3.0321660000000001</v>
      </c>
      <c r="T3867">
        <v>-0.127183399999999</v>
      </c>
      <c r="U3867">
        <v>-0.23545840000000001</v>
      </c>
      <c r="V3867">
        <v>-6.1718130000000003E-2</v>
      </c>
      <c r="W3867">
        <v>0.134382</v>
      </c>
      <c r="X3867">
        <v>0.98900569999999999</v>
      </c>
      <c r="Y3867">
        <v>-9.3742850000000003E-2</v>
      </c>
      <c r="Z3867">
        <v>-2.652139E-3</v>
      </c>
      <c r="AA3867">
        <v>0.9955929</v>
      </c>
      <c r="AB3867">
        <v>39</v>
      </c>
      <c r="AC3867">
        <v>-26.032999999999902</v>
      </c>
      <c r="AD3867">
        <v>-1.1093266681680001</v>
      </c>
      <c r="AE3867">
        <v>-2.06060000000002</v>
      </c>
      <c r="AF3867">
        <v>-2.4848271590926601</v>
      </c>
      <c r="AG3867">
        <v>-1.1093266681680001</v>
      </c>
      <c r="AH3867">
        <v>25.9486845513254</v>
      </c>
      <c r="AI3867">
        <v>92.436815461159</v>
      </c>
      <c r="AJ3867">
        <v>95.469923423495899</v>
      </c>
      <c r="AK3867">
        <v>26.090979314917799</v>
      </c>
      <c r="AL3867">
        <v>82.277114233512904</v>
      </c>
      <c r="AM3867">
        <v>93.570867947239194</v>
      </c>
      <c r="AN3867">
        <v>0.99999996206359199</v>
      </c>
    </row>
    <row r="3868" spans="1:40" x14ac:dyDescent="0.25">
      <c r="A3868" t="str">
        <f>"20190312151615948"</f>
        <v>20190312151615948</v>
      </c>
      <c r="B3868" t="str">
        <f>"1552374975941174"</f>
        <v>1552374975941174</v>
      </c>
      <c r="C3868" t="s">
        <v>40</v>
      </c>
      <c r="D3868">
        <v>5.9000130000000004</v>
      </c>
      <c r="E3868">
        <v>0.4954982</v>
      </c>
      <c r="F3868" t="s">
        <v>58</v>
      </c>
      <c r="G3868">
        <v>-300.5247</v>
      </c>
      <c r="H3868" s="1">
        <v>-7.8754620000000005E-6</v>
      </c>
      <c r="I3868">
        <v>138.815</v>
      </c>
      <c r="J3868">
        <v>-282.3999</v>
      </c>
      <c r="K3868">
        <v>1.1093249999999999</v>
      </c>
      <c r="L3868">
        <v>139.97290000000001</v>
      </c>
      <c r="M3868">
        <v>-0.99982099999999996</v>
      </c>
      <c r="N3868">
        <v>0</v>
      </c>
      <c r="O3868">
        <v>1.6476069999999999E-2</v>
      </c>
      <c r="P3868">
        <v>-0.9910892</v>
      </c>
      <c r="Q3868">
        <v>0.12548409999999999</v>
      </c>
      <c r="R3868">
        <v>-4.4677969999999997E-2</v>
      </c>
      <c r="S3868">
        <v>-3.04129</v>
      </c>
      <c r="T3868">
        <v>-0.18247450000000001</v>
      </c>
      <c r="U3868">
        <v>-0.1894836</v>
      </c>
      <c r="V3868">
        <v>-6.0989649999999999E-2</v>
      </c>
      <c r="W3868">
        <v>0.1347024</v>
      </c>
      <c r="X3868">
        <v>0.98900739999999998</v>
      </c>
      <c r="Y3868">
        <v>-7.8449500000000005E-2</v>
      </c>
      <c r="Z3868">
        <v>-3.3359040000000002E-3</v>
      </c>
      <c r="AA3868">
        <v>0.99691249999999998</v>
      </c>
      <c r="AB3868">
        <v>39</v>
      </c>
      <c r="AC3868">
        <v>-18.1248</v>
      </c>
      <c r="AD3868">
        <v>-1.109332875462</v>
      </c>
      <c r="AE3868">
        <v>-1.1579000000000099</v>
      </c>
      <c r="AF3868">
        <v>-1.4509678527285701</v>
      </c>
      <c r="AG3868">
        <v>-1.109332875462</v>
      </c>
      <c r="AH3868">
        <v>18.0359714591292</v>
      </c>
      <c r="AI3868">
        <v>93.508333613285401</v>
      </c>
      <c r="AJ3868">
        <v>94.599457254243404</v>
      </c>
      <c r="AK3868">
        <v>18.1282154006608</v>
      </c>
      <c r="AL3868">
        <v>82.258588952629097</v>
      </c>
      <c r="AM3868">
        <v>93.528820871901303</v>
      </c>
      <c r="AN3868">
        <v>1.00000005561381</v>
      </c>
    </row>
    <row r="3869" spans="1:40" x14ac:dyDescent="0.25">
      <c r="A3869" t="str">
        <f>"20190312151615970"</f>
        <v>20190312151615970</v>
      </c>
      <c r="B3869" t="str">
        <f>"1552374975961671"</f>
        <v>1552374975961671</v>
      </c>
      <c r="C3869" t="s">
        <v>40</v>
      </c>
      <c r="D3869">
        <v>4.9397469999999997</v>
      </c>
      <c r="E3869">
        <v>0.49567149999999999</v>
      </c>
      <c r="F3869" t="s">
        <v>58</v>
      </c>
      <c r="G3869">
        <v>-303.43329999999997</v>
      </c>
      <c r="H3869" s="1">
        <v>-8.2622399999999997E-6</v>
      </c>
      <c r="I3869">
        <v>138.7184</v>
      </c>
      <c r="J3869">
        <v>-282.7953</v>
      </c>
      <c r="K3869">
        <v>1.1093329999999999</v>
      </c>
      <c r="L3869">
        <v>139.9795</v>
      </c>
      <c r="M3869">
        <v>-0.99982110000000002</v>
      </c>
      <c r="N3869">
        <v>0</v>
      </c>
      <c r="O3869">
        <v>1.6468730000000001E-2</v>
      </c>
      <c r="P3869">
        <v>-0.99115719999999996</v>
      </c>
      <c r="Q3869">
        <v>0.1251833</v>
      </c>
      <c r="R3869">
        <v>-4.401004E-2</v>
      </c>
      <c r="S3869">
        <v>-3.0390929999999998</v>
      </c>
      <c r="T3869">
        <v>-0.16028680000000001</v>
      </c>
      <c r="U3869">
        <v>-0.1812744</v>
      </c>
      <c r="V3869">
        <v>-6.0318650000000001E-2</v>
      </c>
      <c r="W3869">
        <v>0.13440659999999999</v>
      </c>
      <c r="X3869">
        <v>0.98908870000000004</v>
      </c>
      <c r="Y3869">
        <v>-7.5845979999999993E-2</v>
      </c>
      <c r="Z3869">
        <v>-2.8642910000000001E-3</v>
      </c>
      <c r="AA3869">
        <v>0.99711539999999999</v>
      </c>
      <c r="AB3869">
        <v>39</v>
      </c>
      <c r="AC3869">
        <v>-20.637999999999899</v>
      </c>
      <c r="AD3869">
        <v>-1.1093412622399901</v>
      </c>
      <c r="AE3869">
        <v>-1.2610999999999899</v>
      </c>
      <c r="AF3869">
        <v>-1.5962304570944399</v>
      </c>
      <c r="AG3869">
        <v>-1.1093412622399901</v>
      </c>
      <c r="AH3869">
        <v>20.555261522280698</v>
      </c>
      <c r="AI3869">
        <v>93.079928612090299</v>
      </c>
      <c r="AJ3869">
        <v>94.440424640051305</v>
      </c>
      <c r="AK3869">
        <v>20.6469698977264</v>
      </c>
      <c r="AL3869">
        <v>82.275691876678593</v>
      </c>
      <c r="AM3869">
        <v>93.489807585540802</v>
      </c>
      <c r="AN3869">
        <v>0.99999996506453503</v>
      </c>
    </row>
    <row r="3870" spans="1:40" x14ac:dyDescent="0.25">
      <c r="A3870" t="str">
        <f>"20190312151615994"</f>
        <v>20190312151615994</v>
      </c>
      <c r="B3870" t="str">
        <f>"1552374975991927"</f>
        <v>1552374975991927</v>
      </c>
      <c r="C3870" t="s">
        <v>40</v>
      </c>
      <c r="D3870">
        <v>4.5582269999999996</v>
      </c>
      <c r="E3870">
        <v>0.49601640000000002</v>
      </c>
      <c r="F3870" t="s">
        <v>58</v>
      </c>
      <c r="G3870">
        <v>-311.31360000000001</v>
      </c>
      <c r="H3870" s="1">
        <v>-8.575396E-6</v>
      </c>
      <c r="I3870">
        <v>138.3125</v>
      </c>
      <c r="J3870">
        <v>-283.20249999999999</v>
      </c>
      <c r="K3870">
        <v>1.10934</v>
      </c>
      <c r="L3870">
        <v>139.9862</v>
      </c>
      <c r="M3870">
        <v>-0.99982119999999997</v>
      </c>
      <c r="N3870">
        <v>0</v>
      </c>
      <c r="O3870">
        <v>1.6450860000000001E-2</v>
      </c>
      <c r="P3870">
        <v>-0.99123130000000004</v>
      </c>
      <c r="Q3870">
        <v>0.1248398</v>
      </c>
      <c r="R3870">
        <v>-4.3311460000000003E-2</v>
      </c>
      <c r="S3870">
        <v>-3.0337830000000001</v>
      </c>
      <c r="T3870">
        <v>-0.11801209999999999</v>
      </c>
      <c r="U3870">
        <v>-0.17733759999999901</v>
      </c>
      <c r="V3870">
        <v>-5.9607809999999997E-2</v>
      </c>
      <c r="W3870">
        <v>0.1340683</v>
      </c>
      <c r="X3870">
        <v>0.9891778</v>
      </c>
      <c r="Y3870">
        <v>-7.4701610000000002E-2</v>
      </c>
      <c r="Z3870">
        <v>-2.0903580000000001E-3</v>
      </c>
      <c r="AA3870">
        <v>0.99720379999999997</v>
      </c>
      <c r="AB3870">
        <v>39</v>
      </c>
      <c r="AC3870">
        <v>-28.1111</v>
      </c>
      <c r="AD3870">
        <v>-1.109348575396</v>
      </c>
      <c r="AE3870">
        <v>-1.67369999999999</v>
      </c>
      <c r="AF3870">
        <v>-2.1326358775007201</v>
      </c>
      <c r="AG3870">
        <v>-1.109348575396</v>
      </c>
      <c r="AH3870">
        <v>28.036253102906901</v>
      </c>
      <c r="AI3870">
        <v>92.259397573408094</v>
      </c>
      <c r="AJ3870">
        <v>94.349945602802705</v>
      </c>
      <c r="AK3870">
        <v>28.139123619935098</v>
      </c>
      <c r="AL3870">
        <v>82.295252811466597</v>
      </c>
      <c r="AM3870">
        <v>93.448471045056493</v>
      </c>
      <c r="AN3870">
        <v>1.00000006004536</v>
      </c>
    </row>
    <row r="3871" spans="1:40" x14ac:dyDescent="0.25">
      <c r="A3871" t="str">
        <f>"20190312151616016"</f>
        <v>20190312151616016</v>
      </c>
      <c r="B3871" t="str">
        <f>"1552374976011447"</f>
        <v>1552374976011447</v>
      </c>
      <c r="C3871" t="s">
        <v>40</v>
      </c>
      <c r="D3871">
        <v>4.7721099999999996</v>
      </c>
      <c r="E3871">
        <v>0.49627270000000001</v>
      </c>
      <c r="F3871" t="s">
        <v>58</v>
      </c>
      <c r="G3871">
        <v>-315.21980000000002</v>
      </c>
      <c r="H3871" s="1">
        <v>-7.0239779999999998E-6</v>
      </c>
      <c r="I3871">
        <v>138.16560000000001</v>
      </c>
      <c r="J3871">
        <v>-283.5829</v>
      </c>
      <c r="K3871">
        <v>1.1093420000000001</v>
      </c>
      <c r="L3871">
        <v>139.9924</v>
      </c>
      <c r="M3871">
        <v>-0.99982170000000004</v>
      </c>
      <c r="N3871">
        <v>0</v>
      </c>
      <c r="O3871">
        <v>1.6420589999999999E-2</v>
      </c>
      <c r="P3871">
        <v>-0.99126400000000003</v>
      </c>
      <c r="Q3871">
        <v>0.1247841</v>
      </c>
      <c r="R3871">
        <v>-4.2719199999999902E-2</v>
      </c>
      <c r="S3871">
        <v>-3.0321959999999999</v>
      </c>
      <c r="T3871">
        <v>-0.10506070000000001</v>
      </c>
      <c r="U3871">
        <v>-0.1724243</v>
      </c>
      <c r="V3871">
        <v>-5.898983E-2</v>
      </c>
      <c r="W3871">
        <v>0.13401669999999999</v>
      </c>
      <c r="X3871">
        <v>0.98922180000000004</v>
      </c>
      <c r="Y3871">
        <v>-7.3106409999999997E-2</v>
      </c>
      <c r="Z3871">
        <v>-1.833498E-3</v>
      </c>
      <c r="AA3871">
        <v>0.99732240000000005</v>
      </c>
      <c r="AB3871">
        <v>39</v>
      </c>
      <c r="AC3871">
        <v>-31.636900000000001</v>
      </c>
      <c r="AD3871">
        <v>-1.1093490239779999</v>
      </c>
      <c r="AE3871">
        <v>-1.82679999999999</v>
      </c>
      <c r="AF3871">
        <v>-2.3432012978477599</v>
      </c>
      <c r="AG3871">
        <v>-1.1093490239779999</v>
      </c>
      <c r="AH3871">
        <v>31.563954980774799</v>
      </c>
      <c r="AI3871">
        <v>92.007373783254494</v>
      </c>
      <c r="AJ3871">
        <v>94.245657000307105</v>
      </c>
      <c r="AK3871">
        <v>31.670246314287098</v>
      </c>
      <c r="AL3871">
        <v>82.298235907904697</v>
      </c>
      <c r="AM3871">
        <v>93.412652755117193</v>
      </c>
      <c r="AN3871">
        <v>1.00000002275877</v>
      </c>
    </row>
    <row r="3872" spans="1:40" x14ac:dyDescent="0.25">
      <c r="A3872" t="str">
        <f>"20190312151616037"</f>
        <v>20190312151616037</v>
      </c>
      <c r="B3872" t="str">
        <f>"1552374976031943"</f>
        <v>1552374976031943</v>
      </c>
      <c r="C3872" t="s">
        <v>40</v>
      </c>
      <c r="D3872">
        <v>4.9576419999999999</v>
      </c>
      <c r="E3872">
        <v>0.49603799999999998</v>
      </c>
      <c r="F3872" t="s">
        <v>58</v>
      </c>
      <c r="G3872">
        <v>-312.87009999999998</v>
      </c>
      <c r="H3872" s="1">
        <v>-8.0044650000000003E-6</v>
      </c>
      <c r="I3872">
        <v>138.3613</v>
      </c>
      <c r="J3872">
        <v>-283.97449999999998</v>
      </c>
      <c r="K3872">
        <v>1.1093599999999999</v>
      </c>
      <c r="L3872">
        <v>139.99879999999999</v>
      </c>
      <c r="M3872">
        <v>-0.99982249999999995</v>
      </c>
      <c r="N3872">
        <v>0</v>
      </c>
      <c r="O3872">
        <v>1.6377450000000002E-2</v>
      </c>
      <c r="P3872">
        <v>-0.99132200000000004</v>
      </c>
      <c r="Q3872">
        <v>0.12449780000000001</v>
      </c>
      <c r="R3872">
        <v>-4.2207620000000001E-2</v>
      </c>
      <c r="S3872">
        <v>-3.03363</v>
      </c>
      <c r="T3872">
        <v>-0.1149091</v>
      </c>
      <c r="U3872">
        <v>-0.16896059999999999</v>
      </c>
      <c r="V3872">
        <v>-5.8441130000000001E-2</v>
      </c>
      <c r="W3872">
        <v>0.1337342</v>
      </c>
      <c r="X3872">
        <v>0.98929259999999997</v>
      </c>
      <c r="Y3872">
        <v>-7.189189E-2</v>
      </c>
      <c r="Z3872">
        <v>-1.9797600000000001E-3</v>
      </c>
      <c r="AA3872">
        <v>0.99741049999999998</v>
      </c>
      <c r="AB3872">
        <v>39</v>
      </c>
      <c r="AC3872">
        <v>-28.895600000000002</v>
      </c>
      <c r="AD3872">
        <v>-1.1093680044650001</v>
      </c>
      <c r="AE3872">
        <v>-1.63749999999998</v>
      </c>
      <c r="AF3872">
        <v>-2.1074407770211199</v>
      </c>
      <c r="AG3872">
        <v>-1.1093680044650001</v>
      </c>
      <c r="AH3872">
        <v>28.8225574548396</v>
      </c>
      <c r="AI3872">
        <v>92.198339423287607</v>
      </c>
      <c r="AJ3872">
        <v>94.181897099536101</v>
      </c>
      <c r="AK3872">
        <v>28.9207852976974</v>
      </c>
      <c r="AL3872">
        <v>82.314569011673697</v>
      </c>
      <c r="AM3872">
        <v>93.380742191192198</v>
      </c>
      <c r="AN3872">
        <v>1.0000000251700301</v>
      </c>
    </row>
    <row r="3873" spans="1:40" x14ac:dyDescent="0.25">
      <c r="A3873" t="str">
        <f>"20190312151616052"</f>
        <v>20190312151616052</v>
      </c>
      <c r="B3873" t="str">
        <f>"1552374976041702"</f>
        <v>1552374976041702</v>
      </c>
      <c r="C3873" t="s">
        <v>40</v>
      </c>
      <c r="D3873">
        <v>4.6201749999999997</v>
      </c>
      <c r="E3873">
        <v>0.4959749</v>
      </c>
      <c r="F3873" t="s">
        <v>58</v>
      </c>
      <c r="G3873">
        <v>-311.62270000000001</v>
      </c>
      <c r="H3873" s="1">
        <v>-8.5026819999999999E-6</v>
      </c>
      <c r="I3873">
        <v>138.4545</v>
      </c>
      <c r="J3873">
        <v>-284.23289999999997</v>
      </c>
      <c r="K3873">
        <v>1.109364</v>
      </c>
      <c r="L3873">
        <v>140.00309999999999</v>
      </c>
      <c r="M3873">
        <v>-0.99982300000000002</v>
      </c>
      <c r="N3873">
        <v>0</v>
      </c>
      <c r="O3873">
        <v>1.634474E-2</v>
      </c>
      <c r="P3873">
        <v>-0.99134710000000004</v>
      </c>
      <c r="Q3873">
        <v>0.1243605</v>
      </c>
      <c r="R3873">
        <v>-4.2019649999999999E-2</v>
      </c>
      <c r="S3873">
        <v>-3.0343629999999999</v>
      </c>
      <c r="T3873">
        <v>-0.12175229999999999</v>
      </c>
      <c r="U3873">
        <v>-0.1694946</v>
      </c>
      <c r="V3873">
        <v>-5.8223789999999997E-2</v>
      </c>
      <c r="W3873">
        <v>0.13359949999999901</v>
      </c>
      <c r="X3873">
        <v>0.98932359999999997</v>
      </c>
      <c r="Y3873">
        <v>-7.201312E-2</v>
      </c>
      <c r="Z3873">
        <v>-2.0981720000000001E-3</v>
      </c>
      <c r="AA3873">
        <v>0.99740150000000005</v>
      </c>
      <c r="AB3873">
        <v>39</v>
      </c>
      <c r="AC3873">
        <v>-27.389800000000001</v>
      </c>
      <c r="AD3873">
        <v>-1.1093725026820001</v>
      </c>
      <c r="AE3873">
        <v>-1.54859999999999</v>
      </c>
      <c r="AF3873">
        <v>-1.99283287666451</v>
      </c>
      <c r="AG3873">
        <v>-1.1093725026820001</v>
      </c>
      <c r="AH3873">
        <v>27.316158824517998</v>
      </c>
      <c r="AI3873">
        <v>92.319478746003895</v>
      </c>
      <c r="AJ3873">
        <v>94.172584749229898</v>
      </c>
      <c r="AK3873">
        <v>27.411213456363299</v>
      </c>
      <c r="AL3873">
        <v>82.322356525770203</v>
      </c>
      <c r="AM3873">
        <v>93.368093061283702</v>
      </c>
      <c r="AN3873">
        <v>1.0000000108195799</v>
      </c>
    </row>
    <row r="3874" spans="1:40" x14ac:dyDescent="0.25">
      <c r="A3874" t="str">
        <f>"20190312151616072"</f>
        <v>20190312151616072</v>
      </c>
      <c r="B3874" t="str">
        <f>"1552374976061222"</f>
        <v>1552374976061222</v>
      </c>
      <c r="C3874" t="s">
        <v>40</v>
      </c>
      <c r="D3874">
        <v>4.6502869999999996</v>
      </c>
      <c r="E3874">
        <v>0.49538159999999998</v>
      </c>
      <c r="F3874" t="s">
        <v>58</v>
      </c>
      <c r="G3874">
        <v>-310.19009999999997</v>
      </c>
      <c r="H3874" s="1">
        <v>-9.0723460000000004E-6</v>
      </c>
      <c r="I3874">
        <v>138.55330000000001</v>
      </c>
      <c r="J3874">
        <v>-284.57740000000001</v>
      </c>
      <c r="K3874">
        <v>1.1093649999999999</v>
      </c>
      <c r="L3874">
        <v>140.0086</v>
      </c>
      <c r="M3874">
        <v>-0.99982369999999998</v>
      </c>
      <c r="N3874">
        <v>0</v>
      </c>
      <c r="O3874">
        <v>1.62945E-2</v>
      </c>
      <c r="P3874">
        <v>-0.99147430000000003</v>
      </c>
      <c r="Q3874">
        <v>0.123362</v>
      </c>
      <c r="R3874">
        <v>-4.196167E-2</v>
      </c>
      <c r="S3874">
        <v>-3.0353089999999998</v>
      </c>
      <c r="T3874">
        <v>-0.1297249</v>
      </c>
      <c r="U3874">
        <v>-0.16952509999999901</v>
      </c>
      <c r="V3874">
        <v>-5.812076E-2</v>
      </c>
      <c r="W3874">
        <v>0.13260559999999999</v>
      </c>
      <c r="X3874">
        <v>0.98946330000000005</v>
      </c>
      <c r="Y3874">
        <v>-7.1946259999999998E-2</v>
      </c>
      <c r="Z3874">
        <v>-2.2311760000000001E-3</v>
      </c>
      <c r="AA3874">
        <v>0.99740600000000001</v>
      </c>
      <c r="AB3874">
        <v>39</v>
      </c>
      <c r="AC3874">
        <v>-25.612699999999901</v>
      </c>
      <c r="AD3874">
        <v>-1.1093740723459999</v>
      </c>
      <c r="AE3874">
        <v>-1.45529999999999</v>
      </c>
      <c r="AF3874">
        <v>-1.8689760632755399</v>
      </c>
      <c r="AG3874">
        <v>-1.1093740723459999</v>
      </c>
      <c r="AH3874">
        <v>25.5378286736413</v>
      </c>
      <c r="AI3874">
        <v>92.480762768143194</v>
      </c>
      <c r="AJ3874">
        <v>94.185707127700198</v>
      </c>
      <c r="AK3874">
        <v>25.630147789697698</v>
      </c>
      <c r="AL3874">
        <v>82.3798135395961</v>
      </c>
      <c r="AM3874">
        <v>93.361673126469398</v>
      </c>
      <c r="AN3874">
        <v>0.99999994497061195</v>
      </c>
    </row>
    <row r="3875" spans="1:40" x14ac:dyDescent="0.25">
      <c r="A3875" t="str">
        <f>"20190312151616204"</f>
        <v>20190312151616204</v>
      </c>
      <c r="B3875" t="str">
        <f>"1552374976201767"</f>
        <v>1552374976201767</v>
      </c>
      <c r="C3875" t="s">
        <v>40</v>
      </c>
      <c r="D3875">
        <v>4.4107279999999998</v>
      </c>
      <c r="E3875">
        <v>0.52921439999999997</v>
      </c>
      <c r="F3875" t="s">
        <v>58</v>
      </c>
      <c r="G3875">
        <v>-307.97660000000002</v>
      </c>
      <c r="H3875" s="1">
        <v>-8.8974909999999995E-6</v>
      </c>
      <c r="I3875">
        <v>138.66460000000001</v>
      </c>
      <c r="J3875">
        <v>-286.90320000000003</v>
      </c>
      <c r="K3875">
        <v>1.1093729999999999</v>
      </c>
      <c r="L3875">
        <v>140.04589999999999</v>
      </c>
      <c r="M3875">
        <v>-0.99982990000000005</v>
      </c>
      <c r="N3875">
        <v>0</v>
      </c>
      <c r="O3875">
        <v>1.58862E-2</v>
      </c>
      <c r="P3875">
        <v>-0.99181229999999998</v>
      </c>
      <c r="Q3875">
        <v>0.1211986</v>
      </c>
      <c r="R3875">
        <v>-4.0241850000000003E-2</v>
      </c>
      <c r="S3875">
        <v>-3.036346</v>
      </c>
      <c r="T3875">
        <v>-0.14395569999999999</v>
      </c>
      <c r="U3875">
        <v>-0.17440799999999901</v>
      </c>
      <c r="V3875">
        <v>-5.6010169999999998E-2</v>
      </c>
      <c r="W3875">
        <v>0.130470899999999</v>
      </c>
      <c r="X3875">
        <v>0.98986879999999999</v>
      </c>
      <c r="Y3875">
        <v>-7.3099430000000007E-2</v>
      </c>
      <c r="Z3875">
        <v>-2.4826869999999999E-3</v>
      </c>
      <c r="AA3875">
        <v>0.99732149999999997</v>
      </c>
      <c r="AB3875">
        <v>39</v>
      </c>
      <c r="AC3875">
        <v>-21.0733999999999</v>
      </c>
      <c r="AD3875">
        <v>-1.1093818974909999</v>
      </c>
      <c r="AE3875">
        <v>-1.38129999999998</v>
      </c>
      <c r="AF3875">
        <v>-1.71119456999419</v>
      </c>
      <c r="AG3875">
        <v>-1.1093818974909999</v>
      </c>
      <c r="AH3875">
        <v>20.990871474143901</v>
      </c>
      <c r="AI3875">
        <v>93.015322173169594</v>
      </c>
      <c r="AJ3875">
        <v>94.660497275681294</v>
      </c>
      <c r="AK3875">
        <v>21.089703655928599</v>
      </c>
      <c r="AL3875">
        <v>82.503195471869603</v>
      </c>
      <c r="AM3875">
        <v>93.238538303118503</v>
      </c>
      <c r="AN3875">
        <v>1.00000001805183</v>
      </c>
    </row>
    <row r="3876" spans="1:40" x14ac:dyDescent="0.25">
      <c r="A3876" t="str">
        <f>"20190312151616217"</f>
        <v>20190312151616217</v>
      </c>
      <c r="B3876" t="str">
        <f>"1552374976211527"</f>
        <v>1552374976211527</v>
      </c>
      <c r="C3876" t="s">
        <v>40</v>
      </c>
      <c r="D3876">
        <v>4.4403110000000003</v>
      </c>
      <c r="E3876">
        <v>0.53077289999999999</v>
      </c>
      <c r="F3876" t="s">
        <v>43</v>
      </c>
      <c r="G3876">
        <v>-336.53570000000002</v>
      </c>
      <c r="H3876" s="1">
        <v>-2.1734510000000002E-6</v>
      </c>
      <c r="I3876">
        <v>141.70359999999999</v>
      </c>
      <c r="J3876">
        <v>-287.1225</v>
      </c>
      <c r="K3876">
        <v>1.1093729999999999</v>
      </c>
      <c r="L3876">
        <v>140.04939999999999</v>
      </c>
      <c r="M3876">
        <v>-0.99983060000000001</v>
      </c>
      <c r="N3876">
        <v>0</v>
      </c>
      <c r="O3876">
        <v>1.5847190000000001E-2</v>
      </c>
      <c r="P3876">
        <v>-0.99181940000000002</v>
      </c>
      <c r="Q3876">
        <v>0.12117</v>
      </c>
      <c r="R3876">
        <v>-4.0149820000000003E-2</v>
      </c>
      <c r="S3876">
        <v>-3.0371700000000001</v>
      </c>
      <c r="T3876">
        <v>-6.7886230000000006E-2</v>
      </c>
      <c r="U3876">
        <v>0.1014404</v>
      </c>
      <c r="V3876">
        <v>-5.588009E-2</v>
      </c>
      <c r="W3876">
        <v>0.130444899999999</v>
      </c>
      <c r="X3876">
        <v>0.98987950000000002</v>
      </c>
      <c r="Y3876">
        <v>1.753737E-2</v>
      </c>
      <c r="Z3876">
        <v>-1.5813439999999999E-4</v>
      </c>
      <c r="AA3876">
        <v>0.99984620000000002</v>
      </c>
      <c r="AB3876">
        <v>39</v>
      </c>
      <c r="AC3876">
        <v>-49.413200000000003</v>
      </c>
      <c r="AD3876">
        <v>-1.109375173451</v>
      </c>
      <c r="AE3876">
        <v>1.6541999999999999</v>
      </c>
      <c r="AF3876">
        <v>0.87045931111862695</v>
      </c>
      <c r="AG3876">
        <v>-1.109375173451</v>
      </c>
      <c r="AH3876">
        <v>49.408333746422201</v>
      </c>
      <c r="AI3876">
        <v>91.286057939652295</v>
      </c>
      <c r="AJ3876">
        <v>88.990686752947298</v>
      </c>
      <c r="AK3876">
        <v>49.428451890440897</v>
      </c>
      <c r="AL3876">
        <v>82.504697418031199</v>
      </c>
      <c r="AM3876">
        <v>93.230998109563899</v>
      </c>
      <c r="AN3876">
        <v>0.99999994045733198</v>
      </c>
    </row>
    <row r="3877" spans="1:40" x14ac:dyDescent="0.25">
      <c r="A3877" t="str">
        <f>"20190312151616236"</f>
        <v>20190312151616236</v>
      </c>
      <c r="B3877" t="str">
        <f>"1552374976232023"</f>
        <v>1552374976232023</v>
      </c>
      <c r="C3877" t="s">
        <v>40</v>
      </c>
      <c r="D3877">
        <v>4.4500650000000004</v>
      </c>
      <c r="E3877">
        <v>0.53033350000000001</v>
      </c>
      <c r="F3877" t="s">
        <v>43</v>
      </c>
      <c r="G3877">
        <v>-323.7079</v>
      </c>
      <c r="H3877" s="1">
        <v>-3.1604209999999998E-6</v>
      </c>
      <c r="I3877">
        <v>141.416</v>
      </c>
      <c r="J3877">
        <v>-287.47699999999998</v>
      </c>
      <c r="K3877">
        <v>1.1093660000000001</v>
      </c>
      <c r="L3877">
        <v>140.0549</v>
      </c>
      <c r="M3877">
        <v>-0.99983140000000004</v>
      </c>
      <c r="N3877">
        <v>0</v>
      </c>
      <c r="O3877">
        <v>1.5784619999999999E-2</v>
      </c>
      <c r="P3877">
        <v>-0.99186660000000004</v>
      </c>
      <c r="Q3877">
        <v>0.120821</v>
      </c>
      <c r="R3877">
        <v>-4.0035309999999998E-2</v>
      </c>
      <c r="S3877">
        <v>-3.0406490000000002</v>
      </c>
      <c r="T3877">
        <v>-9.2201469999999994E-2</v>
      </c>
      <c r="U3877">
        <v>0.1135864</v>
      </c>
      <c r="V3877">
        <v>-5.5704209999999997E-2</v>
      </c>
      <c r="W3877">
        <v>0.1301003</v>
      </c>
      <c r="X3877">
        <v>0.9899348</v>
      </c>
      <c r="Y3877">
        <v>2.1548330000000001E-2</v>
      </c>
      <c r="Z3877">
        <v>-1.5181489999999999E-4</v>
      </c>
      <c r="AA3877">
        <v>0.99976779999999998</v>
      </c>
      <c r="AB3877">
        <v>39</v>
      </c>
      <c r="AC3877">
        <v>-36.230899999999899</v>
      </c>
      <c r="AD3877">
        <v>-1.1093691604209901</v>
      </c>
      <c r="AE3877">
        <v>1.36109999999999</v>
      </c>
      <c r="AF3877">
        <v>0.788276248033842</v>
      </c>
      <c r="AG3877">
        <v>-1.1093691604209901</v>
      </c>
      <c r="AH3877">
        <v>36.213966657139899</v>
      </c>
      <c r="AI3877">
        <v>91.754219885761202</v>
      </c>
      <c r="AJ3877">
        <v>88.753028869890002</v>
      </c>
      <c r="AK3877">
        <v>36.239528976267799</v>
      </c>
      <c r="AL3877">
        <v>82.524611526030398</v>
      </c>
      <c r="AM3877">
        <v>93.220670591323497</v>
      </c>
      <c r="AN3877">
        <v>0.99999997766142601</v>
      </c>
    </row>
    <row r="3878" spans="1:40" x14ac:dyDescent="0.25">
      <c r="A3878" t="str">
        <f>"20190312151616261"</f>
        <v>20190312151616261</v>
      </c>
      <c r="B3878" t="str">
        <f>"1552374976251543"</f>
        <v>1552374976251543</v>
      </c>
      <c r="C3878" t="s">
        <v>40</v>
      </c>
      <c r="D3878">
        <v>4.5305739999999997</v>
      </c>
      <c r="E3878">
        <v>0.53080769999999899</v>
      </c>
      <c r="F3878" t="s">
        <v>58</v>
      </c>
      <c r="G3878">
        <v>-314.6773</v>
      </c>
      <c r="H3878" s="1">
        <v>-8.0852329999999902E-6</v>
      </c>
      <c r="I3878">
        <v>141.0384</v>
      </c>
      <c r="J3878">
        <v>-287.88839999999999</v>
      </c>
      <c r="K3878">
        <v>1.1093649999999999</v>
      </c>
      <c r="L3878">
        <v>140.06139999999999</v>
      </c>
      <c r="M3878">
        <v>-0.99983250000000001</v>
      </c>
      <c r="N3878">
        <v>0</v>
      </c>
      <c r="O3878">
        <v>1.571198E-2</v>
      </c>
      <c r="P3878">
        <v>-0.99192309999999995</v>
      </c>
      <c r="Q3878">
        <v>0.120391</v>
      </c>
      <c r="R3878">
        <v>-3.9931439999999999E-2</v>
      </c>
      <c r="S3878">
        <v>-3.0441590000000001</v>
      </c>
      <c r="T3878">
        <v>-0.1241573</v>
      </c>
      <c r="U3878">
        <v>0.1100616</v>
      </c>
      <c r="V3878">
        <v>-5.5530309999999999E-2</v>
      </c>
      <c r="W3878">
        <v>0.12967480000000001</v>
      </c>
      <c r="X3878">
        <v>0.9900004</v>
      </c>
      <c r="Y3878">
        <v>2.042064E-2</v>
      </c>
      <c r="Z3878">
        <v>-2.2418399999999999E-4</v>
      </c>
      <c r="AA3878">
        <v>0.9997914</v>
      </c>
      <c r="AB3878">
        <v>40</v>
      </c>
      <c r="AC3878">
        <v>-26.788900000000002</v>
      </c>
      <c r="AD3878">
        <v>-1.1093730852329999</v>
      </c>
      <c r="AE3878">
        <v>0.97700000000000398</v>
      </c>
      <c r="AF3878">
        <v>0.55500365721575295</v>
      </c>
      <c r="AG3878">
        <v>-1.1093730852329999</v>
      </c>
      <c r="AH3878">
        <v>26.7551220287083</v>
      </c>
      <c r="AI3878">
        <v>92.373839245536601</v>
      </c>
      <c r="AJ3878">
        <v>88.811636621999696</v>
      </c>
      <c r="AK3878">
        <v>26.7838625383426</v>
      </c>
      <c r="AL3878">
        <v>82.549199191090395</v>
      </c>
      <c r="AM3878">
        <v>93.210424918840502</v>
      </c>
      <c r="AN3878">
        <v>0.99999998054194705</v>
      </c>
    </row>
    <row r="3879" spans="1:40" x14ac:dyDescent="0.25">
      <c r="A3879" t="str">
        <f>"20190312151616282"</f>
        <v>20190312151616282</v>
      </c>
      <c r="B3879" t="str">
        <f>"1552374976272038"</f>
        <v>1552374976272038</v>
      </c>
      <c r="C3879" t="s">
        <v>40</v>
      </c>
      <c r="D3879">
        <v>4.4001789999999996</v>
      </c>
      <c r="E3879">
        <v>0.53038009999999902</v>
      </c>
      <c r="F3879" t="s">
        <v>43</v>
      </c>
      <c r="G3879">
        <v>-320.69889999999998</v>
      </c>
      <c r="H3879" s="1">
        <v>-4.3362559999999999E-6</v>
      </c>
      <c r="I3879">
        <v>141.29669999999999</v>
      </c>
      <c r="J3879">
        <v>-288.28160000000003</v>
      </c>
      <c r="K3879">
        <v>1.109369</v>
      </c>
      <c r="L3879">
        <v>140.0675</v>
      </c>
      <c r="M3879">
        <v>-0.99983379999999999</v>
      </c>
      <c r="N3879">
        <v>0</v>
      </c>
      <c r="O3879">
        <v>1.56425E-2</v>
      </c>
      <c r="P3879">
        <v>-0.99187539999999996</v>
      </c>
      <c r="Q3879">
        <v>0.1208003</v>
      </c>
      <c r="R3879">
        <v>-3.9888640000000003E-2</v>
      </c>
      <c r="S3879">
        <v>-3.041534</v>
      </c>
      <c r="T3879">
        <v>-0.10283879999999999</v>
      </c>
      <c r="U3879">
        <v>0.1145172</v>
      </c>
      <c r="V3879">
        <v>-5.5418229999999999E-2</v>
      </c>
      <c r="W3879">
        <v>0.13008839999999999</v>
      </c>
      <c r="X3879">
        <v>0.98995239999999995</v>
      </c>
      <c r="Y3879">
        <v>2.1984139999999999E-2</v>
      </c>
      <c r="Z3879">
        <v>-1.571055E-4</v>
      </c>
      <c r="AA3879">
        <v>0.99975829999999999</v>
      </c>
      <c r="AB3879">
        <v>40</v>
      </c>
      <c r="AC3879">
        <v>-32.417299999999898</v>
      </c>
      <c r="AD3879">
        <v>-1.1093733362559901</v>
      </c>
      <c r="AE3879">
        <v>1.2291999999999901</v>
      </c>
      <c r="AF3879">
        <v>0.72109646512945202</v>
      </c>
      <c r="AG3879">
        <v>-1.1093733362559901</v>
      </c>
      <c r="AH3879">
        <v>32.394678334831802</v>
      </c>
      <c r="AI3879">
        <v>91.960873202054003</v>
      </c>
      <c r="AJ3879">
        <v>88.724822585008695</v>
      </c>
      <c r="AK3879">
        <v>32.421688323226398</v>
      </c>
      <c r="AL3879">
        <v>82.525299080750699</v>
      </c>
      <c r="AM3879">
        <v>93.204113675262093</v>
      </c>
      <c r="AN3879">
        <v>0.99999996314832496</v>
      </c>
    </row>
    <row r="3880" spans="1:40" x14ac:dyDescent="0.25">
      <c r="A3880" t="str">
        <f>"20190312151616304"</f>
        <v>20190312151616304</v>
      </c>
      <c r="B3880" t="str">
        <f>"1552374976302295"</f>
        <v>1552374976302295</v>
      </c>
      <c r="C3880" t="s">
        <v>40</v>
      </c>
      <c r="D3880">
        <v>4.6370930000000001</v>
      </c>
      <c r="E3880">
        <v>0.52976610000000002</v>
      </c>
      <c r="F3880" t="s">
        <v>58</v>
      </c>
      <c r="G3880">
        <v>-317.63630000000001</v>
      </c>
      <c r="H3880" s="1">
        <v>-6.8177589999999997E-6</v>
      </c>
      <c r="I3880">
        <v>141.13659999999999</v>
      </c>
      <c r="J3880">
        <v>-288.66239999999999</v>
      </c>
      <c r="K3880">
        <v>1.109359</v>
      </c>
      <c r="L3880">
        <v>140.07339999999999</v>
      </c>
      <c r="M3880">
        <v>-0.99983469999999997</v>
      </c>
      <c r="N3880">
        <v>0</v>
      </c>
      <c r="O3880">
        <v>1.557541E-2</v>
      </c>
      <c r="P3880">
        <v>-0.9918939</v>
      </c>
      <c r="Q3880">
        <v>0.12053800000000001</v>
      </c>
      <c r="R3880">
        <v>-4.0215849999999997E-2</v>
      </c>
      <c r="S3880">
        <v>-3.0430299999999999</v>
      </c>
      <c r="T3880">
        <v>-0.1150026</v>
      </c>
      <c r="U3880">
        <v>0.1108246</v>
      </c>
      <c r="V3880">
        <v>-5.5679279999999998E-2</v>
      </c>
      <c r="W3880">
        <v>0.12983030000000001</v>
      </c>
      <c r="X3880">
        <v>0.98997170000000001</v>
      </c>
      <c r="Y3880">
        <v>2.0821099999999999E-2</v>
      </c>
      <c r="Z3880">
        <v>-1.9502340000000001E-4</v>
      </c>
      <c r="AA3880">
        <v>0.99978319999999998</v>
      </c>
      <c r="AB3880">
        <v>40</v>
      </c>
      <c r="AC3880">
        <v>-28.9739</v>
      </c>
      <c r="AD3880">
        <v>-1.109365817759</v>
      </c>
      <c r="AE3880">
        <v>1.0631999999999899</v>
      </c>
      <c r="AF3880">
        <v>0.61087644933972796</v>
      </c>
      <c r="AG3880">
        <v>-1.109365817759</v>
      </c>
      <c r="AH3880">
        <v>28.9445697009714</v>
      </c>
      <c r="AI3880">
        <v>92.194427249396497</v>
      </c>
      <c r="AJ3880">
        <v>88.790949480167598</v>
      </c>
      <c r="AK3880">
        <v>28.972262212819299</v>
      </c>
      <c r="AL3880">
        <v>82.540214093185597</v>
      </c>
      <c r="AM3880">
        <v>93.219112496098404</v>
      </c>
      <c r="AN3880">
        <v>1.00000002791014</v>
      </c>
    </row>
    <row r="3881" spans="1:40" x14ac:dyDescent="0.25">
      <c r="A3881" t="str">
        <f>"20190312151616326"</f>
        <v>20190312151616326</v>
      </c>
      <c r="B3881" t="str">
        <f>"1552374976321815"</f>
        <v>1552374976321815</v>
      </c>
      <c r="C3881" t="s">
        <v>40</v>
      </c>
      <c r="D3881">
        <v>4.467276</v>
      </c>
      <c r="E3881">
        <v>0.53040259999999995</v>
      </c>
      <c r="F3881" t="s">
        <v>58</v>
      </c>
      <c r="G3881">
        <v>-317.4547</v>
      </c>
      <c r="H3881" s="1">
        <v>-6.8808469999999996E-6</v>
      </c>
      <c r="I3881">
        <v>141.07050000000001</v>
      </c>
      <c r="J3881">
        <v>-289.05799999999999</v>
      </c>
      <c r="K3881">
        <v>1.109356</v>
      </c>
      <c r="L3881">
        <v>140.0795</v>
      </c>
      <c r="M3881">
        <v>-0.99983560000000005</v>
      </c>
      <c r="N3881">
        <v>0</v>
      </c>
      <c r="O3881">
        <v>1.550545E-2</v>
      </c>
      <c r="P3881">
        <v>-0.99197619999999997</v>
      </c>
      <c r="Q3881">
        <v>0.11991549999999999</v>
      </c>
      <c r="R3881">
        <v>-4.0044120000000002E-2</v>
      </c>
      <c r="S3881">
        <v>-3.0430299999999999</v>
      </c>
      <c r="T3881">
        <v>-0.1172478</v>
      </c>
      <c r="U3881">
        <v>0.1053772</v>
      </c>
      <c r="V3881">
        <v>-5.5439710000000003E-2</v>
      </c>
      <c r="W3881">
        <v>0.1292161</v>
      </c>
      <c r="X3881">
        <v>0.99006550000000004</v>
      </c>
      <c r="Y3881">
        <v>1.9104619999999999E-2</v>
      </c>
      <c r="Z3881">
        <v>-2.2918910000000001E-4</v>
      </c>
      <c r="AA3881">
        <v>0.99981750000000003</v>
      </c>
      <c r="AB3881">
        <v>40</v>
      </c>
      <c r="AC3881">
        <v>-28.396699999999999</v>
      </c>
      <c r="AD3881">
        <v>-1.109362880847</v>
      </c>
      <c r="AE3881">
        <v>0.99100000000001398</v>
      </c>
      <c r="AF3881">
        <v>0.54971982813860698</v>
      </c>
      <c r="AG3881">
        <v>-1.109362880847</v>
      </c>
      <c r="AH3881">
        <v>28.365413879342</v>
      </c>
      <c r="AI3881">
        <v>92.239259362305503</v>
      </c>
      <c r="AJ3881">
        <v>88.889750598998106</v>
      </c>
      <c r="AK3881">
        <v>28.392421214775201</v>
      </c>
      <c r="AL3881">
        <v>82.575704116137999</v>
      </c>
      <c r="AM3881">
        <v>93.204987594810106</v>
      </c>
      <c r="AN3881">
        <v>1.0000000281171699</v>
      </c>
    </row>
    <row r="3882" spans="1:40" x14ac:dyDescent="0.25">
      <c r="A3882" t="str">
        <f>"20190312151616349"</f>
        <v>20190312151616349</v>
      </c>
      <c r="B3882" t="str">
        <f>"1552374976342324"</f>
        <v>1552374976342324</v>
      </c>
      <c r="C3882" t="s">
        <v>40</v>
      </c>
      <c r="D3882">
        <v>4.5688050000000002</v>
      </c>
      <c r="E3882">
        <v>0.53011379999999997</v>
      </c>
      <c r="F3882" t="s">
        <v>58</v>
      </c>
      <c r="G3882">
        <v>-316.09010000000001</v>
      </c>
      <c r="H3882" s="1">
        <v>-7.4840480000000003E-6</v>
      </c>
      <c r="I3882">
        <v>141.06319999999999</v>
      </c>
      <c r="J3882">
        <v>-289.4579</v>
      </c>
      <c r="K3882">
        <v>1.1093580000000001</v>
      </c>
      <c r="L3882">
        <v>140.0857</v>
      </c>
      <c r="M3882">
        <v>-0.99983670000000002</v>
      </c>
      <c r="N3882">
        <v>0</v>
      </c>
      <c r="O3882">
        <v>1.5434639999999999E-2</v>
      </c>
      <c r="P3882">
        <v>-0.99215100000000001</v>
      </c>
      <c r="Q3882">
        <v>0.1186632</v>
      </c>
      <c r="R3882">
        <v>-3.9443569999999997E-2</v>
      </c>
      <c r="S3882">
        <v>-3.0438230000000002</v>
      </c>
      <c r="T3882">
        <v>-0.12491439999999999</v>
      </c>
      <c r="U3882">
        <v>0.1107635</v>
      </c>
      <c r="V3882">
        <v>-5.4772050000000003E-2</v>
      </c>
      <c r="W3882">
        <v>0.12797720000000001</v>
      </c>
      <c r="X3882">
        <v>0.99026349999999996</v>
      </c>
      <c r="Y3882">
        <v>2.0931470000000001E-2</v>
      </c>
      <c r="Z3882">
        <v>-2.0372860000000001E-4</v>
      </c>
      <c r="AA3882">
        <v>0.99978089999999997</v>
      </c>
      <c r="AB3882">
        <v>40</v>
      </c>
      <c r="AC3882">
        <v>-26.632200000000001</v>
      </c>
      <c r="AD3882">
        <v>-1.1093654840480001</v>
      </c>
      <c r="AE3882">
        <v>0.97749999999999204</v>
      </c>
      <c r="AF3882">
        <v>0.56532736665032501</v>
      </c>
      <c r="AG3882">
        <v>-1.1093654840480001</v>
      </c>
      <c r="AH3882">
        <v>26.598026005964101</v>
      </c>
      <c r="AI3882">
        <v>92.387801773344194</v>
      </c>
      <c r="AJ3882">
        <v>88.782390997475005</v>
      </c>
      <c r="AK3882">
        <v>26.627152949998599</v>
      </c>
      <c r="AL3882">
        <v>82.647281746777395</v>
      </c>
      <c r="AM3882">
        <v>93.165837137104404</v>
      </c>
      <c r="AN3882">
        <v>0.999999970306645</v>
      </c>
    </row>
    <row r="3883" spans="1:40" x14ac:dyDescent="0.25">
      <c r="A3883" t="str">
        <f>"20190312151616371"</f>
        <v>20190312151616371</v>
      </c>
      <c r="B3883" t="str">
        <f>"1552374976361834"</f>
        <v>1552374976361834</v>
      </c>
      <c r="C3883" t="s">
        <v>40</v>
      </c>
      <c r="D3883">
        <v>4.4348489999999998</v>
      </c>
      <c r="E3883">
        <v>0.52995219999999998</v>
      </c>
      <c r="F3883" t="s">
        <v>58</v>
      </c>
      <c r="G3883">
        <v>-316.46080000000001</v>
      </c>
      <c r="H3883" s="1">
        <v>-7.3188140000000001E-6</v>
      </c>
      <c r="I3883">
        <v>141.0599</v>
      </c>
      <c r="J3883">
        <v>-289.85410000000002</v>
      </c>
      <c r="K3883">
        <v>1.1093630000000001</v>
      </c>
      <c r="L3883">
        <v>140.09180000000001</v>
      </c>
      <c r="M3883">
        <v>-0.99983770000000005</v>
      </c>
      <c r="N3883">
        <v>0</v>
      </c>
      <c r="O3883">
        <v>1.5364299999999999E-2</v>
      </c>
      <c r="P3883">
        <v>-0.99225430000000003</v>
      </c>
      <c r="Q3883">
        <v>0.11796040000000001</v>
      </c>
      <c r="R3883">
        <v>-3.8948959999999998E-2</v>
      </c>
      <c r="S3883">
        <v>-3.0430299999999999</v>
      </c>
      <c r="T3883">
        <v>-0.1250175</v>
      </c>
      <c r="U3883">
        <v>0.109787</v>
      </c>
      <c r="V3883">
        <v>-5.4209309999999997E-2</v>
      </c>
      <c r="W3883">
        <v>0.1272876</v>
      </c>
      <c r="X3883">
        <v>0.99038340000000002</v>
      </c>
      <c r="Y3883">
        <v>2.0690989999999999E-2</v>
      </c>
      <c r="Z3883">
        <v>-2.0600060000000001E-4</v>
      </c>
      <c r="AA3883">
        <v>0.99978590000000001</v>
      </c>
      <c r="AB3883">
        <v>40</v>
      </c>
      <c r="AC3883">
        <v>-26.606699999999901</v>
      </c>
      <c r="AD3883">
        <v>-1.1093703188139901</v>
      </c>
      <c r="AE3883">
        <v>0.96809999999999197</v>
      </c>
      <c r="AF3883">
        <v>0.55820515543795302</v>
      </c>
      <c r="AG3883">
        <v>-1.1093703188139901</v>
      </c>
      <c r="AH3883">
        <v>26.572299484193199</v>
      </c>
      <c r="AI3883">
        <v>92.390133775311398</v>
      </c>
      <c r="AJ3883">
        <v>88.796562708000394</v>
      </c>
      <c r="AK3883">
        <v>26.6013043924067</v>
      </c>
      <c r="AL3883">
        <v>82.687119167475402</v>
      </c>
      <c r="AM3883">
        <v>93.132997200110495</v>
      </c>
      <c r="AN3883">
        <v>1.0000000306999901</v>
      </c>
    </row>
    <row r="3884" spans="1:40" x14ac:dyDescent="0.25">
      <c r="A3884" t="str">
        <f>"20190312151616394"</f>
        <v>20190312151616394</v>
      </c>
      <c r="B3884" t="str">
        <f>"1552374976381351"</f>
        <v>1552374976381351</v>
      </c>
      <c r="C3884" t="s">
        <v>40</v>
      </c>
      <c r="D3884">
        <v>4.7515530000000004</v>
      </c>
      <c r="E3884">
        <v>0.53009439999999997</v>
      </c>
      <c r="F3884" t="s">
        <v>58</v>
      </c>
      <c r="G3884">
        <v>-315.22620000000001</v>
      </c>
      <c r="H3884" s="1">
        <v>-7.8530680000000002E-6</v>
      </c>
      <c r="I3884">
        <v>141.00980000000001</v>
      </c>
      <c r="J3884">
        <v>-290.25170000000003</v>
      </c>
      <c r="K3884">
        <v>1.109361</v>
      </c>
      <c r="L3884">
        <v>140.09780000000001</v>
      </c>
      <c r="M3884">
        <v>-0.99983860000000002</v>
      </c>
      <c r="N3884">
        <v>0</v>
      </c>
      <c r="O3884">
        <v>1.529397E-2</v>
      </c>
      <c r="P3884">
        <v>-0.99227390000000004</v>
      </c>
      <c r="Q3884">
        <v>0.1176997</v>
      </c>
      <c r="R3884">
        <v>-3.9237670000000002E-2</v>
      </c>
      <c r="S3884">
        <v>-3.0435490000000001</v>
      </c>
      <c r="T3884">
        <v>-0.13307639999999901</v>
      </c>
      <c r="U3884">
        <v>0.1101227</v>
      </c>
      <c r="V3884">
        <v>-5.4428310000000001E-2</v>
      </c>
      <c r="W3884">
        <v>0.1270384</v>
      </c>
      <c r="X3884">
        <v>0.99040340000000004</v>
      </c>
      <c r="Y3884">
        <v>2.0864480000000001E-2</v>
      </c>
      <c r="Z3884">
        <v>-2.1236789999999999E-4</v>
      </c>
      <c r="AA3884">
        <v>0.99978230000000001</v>
      </c>
      <c r="AB3884">
        <v>40</v>
      </c>
      <c r="AC3884">
        <v>-24.9744999999999</v>
      </c>
      <c r="AD3884">
        <v>-1.1093688530679999</v>
      </c>
      <c r="AE3884">
        <v>0.91200000000000603</v>
      </c>
      <c r="AF3884">
        <v>0.52887494079569997</v>
      </c>
      <c r="AG3884">
        <v>-1.1093688530679999</v>
      </c>
      <c r="AH3884">
        <v>24.936389941330201</v>
      </c>
      <c r="AI3884">
        <v>92.546720145122407</v>
      </c>
      <c r="AJ3884">
        <v>88.784998158625996</v>
      </c>
      <c r="AK3884">
        <v>24.966656789831401</v>
      </c>
      <c r="AL3884">
        <v>82.701514243712694</v>
      </c>
      <c r="AM3884">
        <v>93.145565422477205</v>
      </c>
      <c r="AN3884">
        <v>1.00000004536778</v>
      </c>
    </row>
    <row r="3885" spans="1:40" x14ac:dyDescent="0.25">
      <c r="A3885" t="str">
        <f>"20190312151616416"</f>
        <v>20190312151616416</v>
      </c>
      <c r="B3885" t="str">
        <f>"1552374976411607"</f>
        <v>1552374976411607</v>
      </c>
      <c r="C3885" t="s">
        <v>40</v>
      </c>
      <c r="D3885">
        <v>4.451835</v>
      </c>
      <c r="E3885">
        <v>0.53337119999999905</v>
      </c>
      <c r="F3885" t="s">
        <v>58</v>
      </c>
      <c r="G3885">
        <v>-315.34989999999999</v>
      </c>
      <c r="H3885" s="1">
        <v>-7.7976669999999996E-6</v>
      </c>
      <c r="I3885">
        <v>141.0077</v>
      </c>
      <c r="J3885">
        <v>-290.65559999999999</v>
      </c>
      <c r="K3885">
        <v>1.109359</v>
      </c>
      <c r="L3885">
        <v>140.10390000000001</v>
      </c>
      <c r="M3885">
        <v>-0.99983949999999999</v>
      </c>
      <c r="N3885">
        <v>0</v>
      </c>
      <c r="O3885">
        <v>1.522215E-2</v>
      </c>
      <c r="P3885">
        <v>-0.99234770000000005</v>
      </c>
      <c r="Q3885">
        <v>0.1172195</v>
      </c>
      <c r="R3885">
        <v>-3.8802339999999998E-2</v>
      </c>
      <c r="S3885">
        <v>-3.0436399999999999</v>
      </c>
      <c r="T3885">
        <v>-0.13453270000000001</v>
      </c>
      <c r="U3885">
        <v>0.1103363</v>
      </c>
      <c r="V3885">
        <v>-5.3922930000000001E-2</v>
      </c>
      <c r="W3885">
        <v>0.12657060000000001</v>
      </c>
      <c r="X3885">
        <v>0.99049089999999995</v>
      </c>
      <c r="Y3885">
        <v>2.100496E-2</v>
      </c>
      <c r="Z3885">
        <v>-2.0840919999999999E-4</v>
      </c>
      <c r="AA3885">
        <v>0.99977930000000004</v>
      </c>
      <c r="AB3885">
        <v>40</v>
      </c>
      <c r="AC3885">
        <v>-24.694299999999998</v>
      </c>
      <c r="AD3885">
        <v>-1.1093667976670001</v>
      </c>
      <c r="AE3885">
        <v>0.90379999999998895</v>
      </c>
      <c r="AF3885">
        <v>0.52671657724267196</v>
      </c>
      <c r="AG3885">
        <v>-1.1093667976670001</v>
      </c>
      <c r="AH3885">
        <v>24.6555046291483</v>
      </c>
      <c r="AI3885">
        <v>92.575681342423593</v>
      </c>
      <c r="AJ3885">
        <v>88.776174018127406</v>
      </c>
      <c r="AK3885">
        <v>24.686069625650401</v>
      </c>
      <c r="AL3885">
        <v>82.728535079217593</v>
      </c>
      <c r="AM3885">
        <v>93.116141166995604</v>
      </c>
      <c r="AN3885">
        <v>1.0000000110734699</v>
      </c>
    </row>
    <row r="3886" spans="1:40" x14ac:dyDescent="0.25">
      <c r="A3886" t="str">
        <f>"20190312151616438"</f>
        <v>20190312151616438</v>
      </c>
      <c r="B3886" t="str">
        <f>"1552374976432103"</f>
        <v>1552374976432103</v>
      </c>
      <c r="C3886" t="s">
        <v>40</v>
      </c>
      <c r="D3886">
        <v>4.5974620000000002</v>
      </c>
      <c r="E3886">
        <v>0.53332469999999998</v>
      </c>
      <c r="F3886" t="s">
        <v>63</v>
      </c>
      <c r="G3886">
        <v>-511.0616</v>
      </c>
      <c r="H3886">
        <v>8.9061899999999898</v>
      </c>
      <c r="I3886">
        <v>150.60210000000001</v>
      </c>
      <c r="J3886">
        <v>-291.05619999999999</v>
      </c>
      <c r="K3886">
        <v>1.109356</v>
      </c>
      <c r="L3886">
        <v>140.11000000000001</v>
      </c>
      <c r="M3886">
        <v>-0.99984059999999997</v>
      </c>
      <c r="N3886">
        <v>0</v>
      </c>
      <c r="O3886">
        <v>1.515098E-2</v>
      </c>
      <c r="P3886">
        <v>-0.99243539999999997</v>
      </c>
      <c r="Q3886">
        <v>0.11657629999999999</v>
      </c>
      <c r="R3886">
        <v>-3.8501130000000001E-2</v>
      </c>
      <c r="S3886">
        <v>-3.0161440000000002</v>
      </c>
      <c r="T3886">
        <v>0.1066961</v>
      </c>
      <c r="U3886">
        <v>0.1436615</v>
      </c>
      <c r="V3886">
        <v>-5.3552719999999998E-2</v>
      </c>
      <c r="W3886">
        <v>0.1259391</v>
      </c>
      <c r="X3886">
        <v>0.99059149999999996</v>
      </c>
      <c r="Y3886">
        <v>3.2426169999999997E-2</v>
      </c>
      <c r="Z3886" s="1">
        <v>-3.7578630000000002E-5</v>
      </c>
      <c r="AA3886">
        <v>0.99947410000000003</v>
      </c>
      <c r="AB3886">
        <v>40</v>
      </c>
      <c r="AC3886">
        <v>-220.00540000000001</v>
      </c>
      <c r="AD3886">
        <v>7.7968339999999898</v>
      </c>
      <c r="AE3886">
        <v>10.492099999999899</v>
      </c>
      <c r="AF3886">
        <v>7.1484917291094998</v>
      </c>
      <c r="AG3886">
        <v>7.7968339999999898</v>
      </c>
      <c r="AH3886">
        <v>219.86360809461601</v>
      </c>
      <c r="AI3886">
        <v>87.970091876923803</v>
      </c>
      <c r="AJ3886">
        <v>88.137781067141205</v>
      </c>
      <c r="AK3886">
        <v>220.117917759568</v>
      </c>
      <c r="AL3886">
        <v>82.765009412503701</v>
      </c>
      <c r="AM3886">
        <v>93.094475226038298</v>
      </c>
      <c r="AN3886">
        <v>1.0000000353002201</v>
      </c>
    </row>
    <row r="3887" spans="1:40" x14ac:dyDescent="0.25">
      <c r="A3887" t="str">
        <f>"20190312151616461"</f>
        <v>20190312151616461</v>
      </c>
      <c r="B3887" t="str">
        <f>"1552374976451626"</f>
        <v>1552374976451626</v>
      </c>
      <c r="C3887" t="s">
        <v>40</v>
      </c>
      <c r="D3887">
        <v>4.4555699999999998</v>
      </c>
      <c r="E3887">
        <v>0.52970200000000001</v>
      </c>
      <c r="F3887" t="s">
        <v>63</v>
      </c>
      <c r="G3887">
        <v>-511.06150000000002</v>
      </c>
      <c r="H3887">
        <v>8.5711600000000008</v>
      </c>
      <c r="I3887">
        <v>150.608</v>
      </c>
      <c r="J3887">
        <v>-291.45569999999998</v>
      </c>
      <c r="K3887">
        <v>1.109353</v>
      </c>
      <c r="L3887">
        <v>140.11600000000001</v>
      </c>
      <c r="M3887">
        <v>-0.9998416</v>
      </c>
      <c r="N3887">
        <v>0</v>
      </c>
      <c r="O3887">
        <v>1.508E-2</v>
      </c>
      <c r="P3887">
        <v>-0.99250579999999999</v>
      </c>
      <c r="Q3887">
        <v>0.1161513</v>
      </c>
      <c r="R3887">
        <v>-3.7966399999999997E-2</v>
      </c>
      <c r="S3887">
        <v>-3.0164490000000002</v>
      </c>
      <c r="T3887">
        <v>0.1023078</v>
      </c>
      <c r="U3887">
        <v>0.14393619999999999</v>
      </c>
      <c r="V3887">
        <v>-5.2949009999999998E-2</v>
      </c>
      <c r="W3887">
        <v>0.1255252</v>
      </c>
      <c r="X3887">
        <v>0.99067649999999996</v>
      </c>
      <c r="Y3887">
        <v>3.2583870000000001E-2</v>
      </c>
      <c r="Z3887" s="1">
        <v>-4.110712E-5</v>
      </c>
      <c r="AA3887">
        <v>0.99946900000000005</v>
      </c>
      <c r="AB3887">
        <v>40</v>
      </c>
      <c r="AC3887">
        <v>-219.60579999999999</v>
      </c>
      <c r="AD3887">
        <v>7.4618070000000003</v>
      </c>
      <c r="AE3887">
        <v>10.4919999999999</v>
      </c>
      <c r="AF3887">
        <v>7.1707435059860698</v>
      </c>
      <c r="AG3887">
        <v>7.4618070000000003</v>
      </c>
      <c r="AH3887">
        <v>219.48622936100699</v>
      </c>
      <c r="AI3887">
        <v>88.053920128765895</v>
      </c>
      <c r="AJ3887">
        <v>88.128778937577493</v>
      </c>
      <c r="AK3887">
        <v>219.73006850507801</v>
      </c>
      <c r="AL3887">
        <v>82.788913945817001</v>
      </c>
      <c r="AM3887">
        <v>93.059395257057105</v>
      </c>
      <c r="AN3887">
        <v>1.00000005057363</v>
      </c>
    </row>
    <row r="3888" spans="1:40" x14ac:dyDescent="0.25">
      <c r="A3888" t="str">
        <f>"20190312151616484"</f>
        <v>20190312151616484</v>
      </c>
      <c r="B3888" t="str">
        <f>"1552374976481879"</f>
        <v>1552374976481879</v>
      </c>
      <c r="C3888" t="s">
        <v>40</v>
      </c>
      <c r="D3888">
        <v>4.945049</v>
      </c>
      <c r="E3888">
        <v>0.53431680000000004</v>
      </c>
      <c r="F3888" t="s">
        <v>43</v>
      </c>
      <c r="G3888">
        <v>-391.18830000000003</v>
      </c>
      <c r="H3888" s="1">
        <v>-4.6228010000000003E-6</v>
      </c>
      <c r="I3888">
        <v>143.85079999999999</v>
      </c>
      <c r="J3888">
        <v>-291.87049999999999</v>
      </c>
      <c r="K3888">
        <v>1.109351</v>
      </c>
      <c r="L3888">
        <v>140.12219999999999</v>
      </c>
      <c r="M3888">
        <v>-0.99984249999999997</v>
      </c>
      <c r="N3888">
        <v>0</v>
      </c>
      <c r="O3888">
        <v>1.50055E-2</v>
      </c>
      <c r="P3888">
        <v>-0.9925716</v>
      </c>
      <c r="Q3888">
        <v>0.1157237</v>
      </c>
      <c r="R3888">
        <v>-3.7545439999999999E-2</v>
      </c>
      <c r="S3888">
        <v>-3.0309750000000002</v>
      </c>
      <c r="T3888">
        <v>-3.3714529999999999E-2</v>
      </c>
      <c r="U3888">
        <v>0.1135101</v>
      </c>
      <c r="V3888">
        <v>-5.2455309999999998E-2</v>
      </c>
      <c r="W3888">
        <v>0.12510839999999901</v>
      </c>
      <c r="X3888">
        <v>0.99075539999999995</v>
      </c>
      <c r="Y3888">
        <v>2.2423479999999999E-2</v>
      </c>
      <c r="Z3888" s="1">
        <v>-4.2174230000000002E-5</v>
      </c>
      <c r="AA3888">
        <v>0.99974859999999999</v>
      </c>
      <c r="AB3888">
        <v>40</v>
      </c>
      <c r="AC3888">
        <v>-99.317800000000005</v>
      </c>
      <c r="AD3888">
        <v>-1.109355622801</v>
      </c>
      <c r="AE3888">
        <v>3.7286000000000001</v>
      </c>
      <c r="AF3888">
        <v>2.23752122046601</v>
      </c>
      <c r="AG3888">
        <v>-1.109355622801</v>
      </c>
      <c r="AH3888">
        <v>99.350191110513094</v>
      </c>
      <c r="AI3888">
        <v>90.639582484028907</v>
      </c>
      <c r="AJ3888">
        <v>88.709827808600195</v>
      </c>
      <c r="AK3888">
        <v>99.381575982700895</v>
      </c>
      <c r="AL3888">
        <v>82.812983975766301</v>
      </c>
      <c r="AM3888">
        <v>93.030681773478705</v>
      </c>
      <c r="AN3888">
        <v>0.99999996696345705</v>
      </c>
    </row>
    <row r="3889" spans="1:40" x14ac:dyDescent="0.25">
      <c r="A3889" t="str">
        <f>"20190312151616505"</f>
        <v>20190312151616505</v>
      </c>
      <c r="B3889" t="str">
        <f>"1552374976501399"</f>
        <v>1552374976501399</v>
      </c>
      <c r="C3889" t="s">
        <v>40</v>
      </c>
      <c r="D3889">
        <v>4.5535370000000004</v>
      </c>
      <c r="E3889">
        <v>0.52881350000000005</v>
      </c>
      <c r="F3889" t="s">
        <v>41</v>
      </c>
      <c r="G3889">
        <v>-292.77379999999999</v>
      </c>
      <c r="H3889">
        <v>1.0526740000000001</v>
      </c>
      <c r="I3889">
        <v>140.1662</v>
      </c>
      <c r="J3889">
        <v>-292.25450000000001</v>
      </c>
      <c r="K3889">
        <v>1.1093519999999999</v>
      </c>
      <c r="L3889">
        <v>140.12790000000001</v>
      </c>
      <c r="M3889">
        <v>-0.9998435</v>
      </c>
      <c r="N3889">
        <v>0</v>
      </c>
      <c r="O3889">
        <v>1.4933490000000001E-2</v>
      </c>
      <c r="P3889">
        <v>-0.99259430000000004</v>
      </c>
      <c r="Q3889">
        <v>0.1157343</v>
      </c>
      <c r="R3889">
        <v>-3.6905250000000001E-2</v>
      </c>
      <c r="S3889">
        <v>-3.050354</v>
      </c>
      <c r="T3889">
        <v>-0.1914401</v>
      </c>
      <c r="U3889">
        <v>0.1477203</v>
      </c>
      <c r="V3889">
        <v>-5.1744640000000001E-2</v>
      </c>
      <c r="W3889">
        <v>0.1251283</v>
      </c>
      <c r="X3889">
        <v>0.99079030000000001</v>
      </c>
      <c r="Y3889">
        <v>3.3412249999999998E-2</v>
      </c>
      <c r="Z3889">
        <v>1.1114479999999999E-4</v>
      </c>
      <c r="AA3889">
        <v>0.99944160000000004</v>
      </c>
      <c r="AB3889">
        <v>40</v>
      </c>
      <c r="AC3889">
        <v>-0.51929999999998699</v>
      </c>
      <c r="AD3889">
        <v>-5.66780000000002E-2</v>
      </c>
      <c r="AE3889">
        <v>3.8299999999992403E-2</v>
      </c>
      <c r="AF3889">
        <v>3.01828195730049E-2</v>
      </c>
      <c r="AG3889">
        <v>-5.66780000000002E-2</v>
      </c>
      <c r="AH3889">
        <v>0.51372754239049001</v>
      </c>
      <c r="AI3889">
        <v>96.285056229820995</v>
      </c>
      <c r="AJ3889">
        <v>86.637590322025105</v>
      </c>
      <c r="AK3889">
        <v>0.51772520326129501</v>
      </c>
      <c r="AL3889">
        <v>82.811835062019398</v>
      </c>
      <c r="AM3889">
        <v>92.989591662490099</v>
      </c>
      <c r="AN3889">
        <v>1.0000000089018499</v>
      </c>
    </row>
    <row r="3890" spans="1:40" x14ac:dyDescent="0.25">
      <c r="A3890" t="str">
        <f>"20190312151616528"</f>
        <v>20190312151616528</v>
      </c>
      <c r="B3890" t="str">
        <f>"1552374976521896"</f>
        <v>1552374976521896</v>
      </c>
      <c r="C3890" t="s">
        <v>40</v>
      </c>
      <c r="D3890">
        <v>4.6985130000000002</v>
      </c>
      <c r="E3890">
        <v>0.53019729999999998</v>
      </c>
      <c r="F3890" t="s">
        <v>63</v>
      </c>
      <c r="G3890">
        <v>-531.68579999999997</v>
      </c>
      <c r="H3890">
        <v>5.5185170000000001</v>
      </c>
      <c r="I3890">
        <v>148.99029999999999</v>
      </c>
      <c r="J3890">
        <v>-292.65969999999999</v>
      </c>
      <c r="K3890">
        <v>1.109356</v>
      </c>
      <c r="L3890">
        <v>140.13390000000001</v>
      </c>
      <c r="M3890">
        <v>-0.99984470000000003</v>
      </c>
      <c r="N3890">
        <v>0</v>
      </c>
      <c r="O3890">
        <v>1.4850550000000001E-2</v>
      </c>
      <c r="P3890">
        <v>-0.99258760000000001</v>
      </c>
      <c r="Q3890">
        <v>0.1160105</v>
      </c>
      <c r="R3890">
        <v>-3.6215730000000002E-2</v>
      </c>
      <c r="S3890">
        <v>-3.0200499999999999</v>
      </c>
      <c r="T3890">
        <v>5.5615190000000002E-2</v>
      </c>
      <c r="U3890">
        <v>0.11178589999999999</v>
      </c>
      <c r="V3890">
        <v>-5.0974100000000001E-2</v>
      </c>
      <c r="W3890">
        <v>0.1254131</v>
      </c>
      <c r="X3890">
        <v>0.99079419999999996</v>
      </c>
      <c r="Y3890">
        <v>2.214288E-2</v>
      </c>
      <c r="Z3890" s="1">
        <v>6.9549769999999994E-5</v>
      </c>
      <c r="AA3890">
        <v>0.99975480000000005</v>
      </c>
      <c r="AB3890">
        <v>40</v>
      </c>
      <c r="AC3890">
        <v>-239.02610000000001</v>
      </c>
      <c r="AD3890">
        <v>4.4091610000000001</v>
      </c>
      <c r="AE3890">
        <v>8.8563999999999794</v>
      </c>
      <c r="AF3890">
        <v>5.3037921699332404</v>
      </c>
      <c r="AG3890">
        <v>4.4091610000000001</v>
      </c>
      <c r="AH3890">
        <v>239.05003764548999</v>
      </c>
      <c r="AI3890">
        <v>88.943587116519097</v>
      </c>
      <c r="AJ3890">
        <v>88.728989708967802</v>
      </c>
      <c r="AK3890">
        <v>239.14951685173</v>
      </c>
      <c r="AL3890">
        <v>82.795387420410506</v>
      </c>
      <c r="AM3890">
        <v>92.945140438332999</v>
      </c>
      <c r="AN3890">
        <v>0.999999975638029</v>
      </c>
    </row>
    <row r="3891" spans="1:40" x14ac:dyDescent="0.25">
      <c r="A3891" t="str">
        <f>"20190312151616549"</f>
        <v>20190312151616549</v>
      </c>
      <c r="B3891" t="str">
        <f>"1552374976541419"</f>
        <v>1552374976541419</v>
      </c>
      <c r="C3891" t="s">
        <v>40</v>
      </c>
      <c r="D3891">
        <v>4.6403559999999997</v>
      </c>
      <c r="E3891">
        <v>0.53081909999999999</v>
      </c>
      <c r="F3891" t="s">
        <v>63</v>
      </c>
      <c r="G3891">
        <v>-510.17619999999999</v>
      </c>
      <c r="H3891">
        <v>7.3710469999999999</v>
      </c>
      <c r="I3891">
        <v>149.18270000000001</v>
      </c>
      <c r="J3891">
        <v>-293.05009999999999</v>
      </c>
      <c r="K3891">
        <v>1.1093660000000001</v>
      </c>
      <c r="L3891">
        <v>140.1396</v>
      </c>
      <c r="M3891">
        <v>-0.99984600000000001</v>
      </c>
      <c r="N3891">
        <v>0</v>
      </c>
      <c r="O3891">
        <v>1.4759950000000001E-2</v>
      </c>
      <c r="P3891">
        <v>-0.99257949999999995</v>
      </c>
      <c r="Q3891">
        <v>0.1162446</v>
      </c>
      <c r="R3891">
        <v>-3.568197E-2</v>
      </c>
      <c r="S3891">
        <v>-3.0168460000000001</v>
      </c>
      <c r="T3891">
        <v>8.6847069999999998E-2</v>
      </c>
      <c r="U3891">
        <v>0.12550349999999999</v>
      </c>
      <c r="V3891">
        <v>-5.0352689999999999E-2</v>
      </c>
      <c r="W3891">
        <v>0.1256544</v>
      </c>
      <c r="X3891">
        <v>0.99079539999999999</v>
      </c>
      <c r="Y3891">
        <v>2.6807600000000001E-2</v>
      </c>
      <c r="Z3891" s="1">
        <v>3.8989989999999997E-5</v>
      </c>
      <c r="AA3891">
        <v>0.99964059999999999</v>
      </c>
      <c r="AB3891">
        <v>40</v>
      </c>
      <c r="AC3891">
        <v>-217.12610000000001</v>
      </c>
      <c r="AD3891">
        <v>6.2616809999999896</v>
      </c>
      <c r="AE3891">
        <v>9.0431000000000097</v>
      </c>
      <c r="AF3891">
        <v>5.8323577404858504</v>
      </c>
      <c r="AG3891">
        <v>6.2616809999999896</v>
      </c>
      <c r="AH3891">
        <v>217.05571822510601</v>
      </c>
      <c r="AI3891">
        <v>88.348170315137594</v>
      </c>
      <c r="AJ3891">
        <v>88.460814137319502</v>
      </c>
      <c r="AK3891">
        <v>217.22433072742001</v>
      </c>
      <c r="AL3891">
        <v>82.781451689797194</v>
      </c>
      <c r="AM3891">
        <v>92.909295655478402</v>
      </c>
      <c r="AN3891">
        <v>0.99999997314537703</v>
      </c>
    </row>
    <row r="3892" spans="1:40" x14ac:dyDescent="0.25">
      <c r="A3892" t="str">
        <f>"20190312151616571"</f>
        <v>20190312151616571</v>
      </c>
      <c r="B3892" t="str">
        <f>"1552374976561911"</f>
        <v>1552374976561911</v>
      </c>
      <c r="C3892" t="s">
        <v>40</v>
      </c>
      <c r="D3892">
        <v>4.6264820000000002</v>
      </c>
      <c r="E3892">
        <v>0.53128629999999999</v>
      </c>
      <c r="F3892" t="s">
        <v>63</v>
      </c>
      <c r="G3892">
        <v>-513.9357</v>
      </c>
      <c r="H3892">
        <v>8.803858</v>
      </c>
      <c r="I3892">
        <v>149.8432</v>
      </c>
      <c r="J3892">
        <v>-293.44560000000001</v>
      </c>
      <c r="K3892">
        <v>1.1093770000000001</v>
      </c>
      <c r="L3892">
        <v>140.14529999999999</v>
      </c>
      <c r="M3892">
        <v>-0.9998475</v>
      </c>
      <c r="N3892">
        <v>0</v>
      </c>
      <c r="O3892">
        <v>1.4652129999999999E-2</v>
      </c>
      <c r="P3892">
        <v>-0.99255179999999998</v>
      </c>
      <c r="Q3892">
        <v>0.116615</v>
      </c>
      <c r="R3892">
        <v>-3.5244619999999997E-2</v>
      </c>
      <c r="S3892">
        <v>-3.0148929999999998</v>
      </c>
      <c r="T3892">
        <v>0.10502350000000001</v>
      </c>
      <c r="U3892">
        <v>0.13244629999999999</v>
      </c>
      <c r="V3892">
        <v>-4.9811689999999999E-2</v>
      </c>
      <c r="W3892">
        <v>0.1260309</v>
      </c>
      <c r="X3892">
        <v>0.99077490000000001</v>
      </c>
      <c r="Y3892">
        <v>2.9236140000000001E-2</v>
      </c>
      <c r="Z3892" s="1">
        <v>1.1539089999999999E-6</v>
      </c>
      <c r="AA3892">
        <v>0.99957249999999997</v>
      </c>
      <c r="AB3892">
        <v>40</v>
      </c>
      <c r="AC3892">
        <v>-220.49010000000001</v>
      </c>
      <c r="AD3892">
        <v>7.6944809999999997</v>
      </c>
      <c r="AE3892">
        <v>9.6979000000000006</v>
      </c>
      <c r="AF3892">
        <v>6.4582136756432096</v>
      </c>
      <c r="AG3892">
        <v>7.6944809999999997</v>
      </c>
      <c r="AH3892">
        <v>220.340714344351</v>
      </c>
      <c r="AI3892">
        <v>88.000854275660302</v>
      </c>
      <c r="AJ3892">
        <v>88.321134245441797</v>
      </c>
      <c r="AK3892">
        <v>220.56958983395299</v>
      </c>
      <c r="AL3892">
        <v>82.759706774339094</v>
      </c>
      <c r="AM3892">
        <v>92.878149854702599</v>
      </c>
      <c r="AN3892">
        <v>0.99999994734273601</v>
      </c>
    </row>
    <row r="3893" spans="1:40" x14ac:dyDescent="0.25">
      <c r="A3893" t="str">
        <f>"20190312151616595"</f>
        <v>20190312151616595</v>
      </c>
      <c r="B3893" t="str">
        <f>"1552374976592167"</f>
        <v>1552374976592167</v>
      </c>
      <c r="C3893" t="s">
        <v>40</v>
      </c>
      <c r="D3893">
        <v>4.8652490000000004</v>
      </c>
      <c r="E3893">
        <v>0.53193380000000001</v>
      </c>
      <c r="F3893" t="s">
        <v>63</v>
      </c>
      <c r="G3893">
        <v>-511.06169999999997</v>
      </c>
      <c r="H3893">
        <v>9.3195639999999997</v>
      </c>
      <c r="I3893">
        <v>150.08600000000001</v>
      </c>
      <c r="J3893">
        <v>-293.86160000000001</v>
      </c>
      <c r="K3893">
        <v>1.1093980000000001</v>
      </c>
      <c r="L3893">
        <v>140.1514</v>
      </c>
      <c r="M3893">
        <v>-0.99984930000000005</v>
      </c>
      <c r="N3893">
        <v>0</v>
      </c>
      <c r="O3893">
        <v>1.4516329999999999E-2</v>
      </c>
      <c r="P3893">
        <v>-0.99248840000000005</v>
      </c>
      <c r="Q3893">
        <v>0.11728089999999999</v>
      </c>
      <c r="R3893">
        <v>-3.4818059999999998E-2</v>
      </c>
      <c r="S3893">
        <v>-3.0140380000000002</v>
      </c>
      <c r="T3893">
        <v>0.1137136</v>
      </c>
      <c r="U3893">
        <v>0.1376801</v>
      </c>
      <c r="V3893">
        <v>-4.9254190000000003E-2</v>
      </c>
      <c r="W3893">
        <v>0.12670729999999999</v>
      </c>
      <c r="X3893">
        <v>0.99071659999999995</v>
      </c>
      <c r="Y3893">
        <v>3.1113559999999998E-2</v>
      </c>
      <c r="Z3893" s="1">
        <v>-3.9254610000000003E-5</v>
      </c>
      <c r="AA3893">
        <v>0.99951579999999995</v>
      </c>
      <c r="AB3893">
        <v>40</v>
      </c>
      <c r="AC3893">
        <v>-217.20009999999999</v>
      </c>
      <c r="AD3893">
        <v>8.2101659999999992</v>
      </c>
      <c r="AE3893">
        <v>9.9346000000000103</v>
      </c>
      <c r="AF3893">
        <v>6.7708076626904399</v>
      </c>
      <c r="AG3893">
        <v>8.2101659999999992</v>
      </c>
      <c r="AH3893">
        <v>217.012004321668</v>
      </c>
      <c r="AI3893">
        <v>87.834427846036206</v>
      </c>
      <c r="AJ3893">
        <v>88.2129426523272</v>
      </c>
      <c r="AK3893">
        <v>217.272779431434</v>
      </c>
      <c r="AL3893">
        <v>82.720639447884693</v>
      </c>
      <c r="AM3893">
        <v>92.846157623332303</v>
      </c>
      <c r="AN3893">
        <v>1.0000000483107001</v>
      </c>
    </row>
    <row r="3894" spans="1:40" x14ac:dyDescent="0.25">
      <c r="A3894" t="str">
        <f>"20190312151616616"</f>
        <v>20190312151616616</v>
      </c>
      <c r="B3894" t="str">
        <f>"1552374976611687"</f>
        <v>1552374976611687</v>
      </c>
      <c r="C3894" t="s">
        <v>40</v>
      </c>
      <c r="D3894">
        <v>4.5969480000000003</v>
      </c>
      <c r="E3894">
        <v>0.53234239999999999</v>
      </c>
      <c r="F3894" t="s">
        <v>63</v>
      </c>
      <c r="G3894">
        <v>-511.06180000000001</v>
      </c>
      <c r="H3894">
        <v>9.5292759999999994</v>
      </c>
      <c r="I3894">
        <v>150.5318</v>
      </c>
      <c r="J3894">
        <v>-294.26420000000002</v>
      </c>
      <c r="K3894">
        <v>1.109418</v>
      </c>
      <c r="L3894">
        <v>140.15710000000001</v>
      </c>
      <c r="M3894">
        <v>-0.9998515</v>
      </c>
      <c r="N3894">
        <v>0</v>
      </c>
      <c r="O3894">
        <v>1.435819E-2</v>
      </c>
      <c r="P3894">
        <v>-0.99246429999999997</v>
      </c>
      <c r="Q3894">
        <v>0.1176936</v>
      </c>
      <c r="R3894">
        <v>-3.4107640000000002E-2</v>
      </c>
      <c r="S3894">
        <v>-3.0139469999999999</v>
      </c>
      <c r="T3894">
        <v>0.1168376</v>
      </c>
      <c r="U3894">
        <v>0.144043</v>
      </c>
      <c r="V3894">
        <v>-4.8393619999999998E-2</v>
      </c>
      <c r="W3894">
        <v>0.12713250000000001</v>
      </c>
      <c r="X3894">
        <v>0.99070449999999999</v>
      </c>
      <c r="Y3894">
        <v>3.3376019999999999E-2</v>
      </c>
      <c r="Z3894" s="1">
        <v>-9.0268500000000005E-5</v>
      </c>
      <c r="AA3894">
        <v>0.99944290000000002</v>
      </c>
      <c r="AB3894">
        <v>40</v>
      </c>
      <c r="AC3894">
        <v>-216.79759999999999</v>
      </c>
      <c r="AD3894">
        <v>8.4198579999999996</v>
      </c>
      <c r="AE3894">
        <v>10.374699999999899</v>
      </c>
      <c r="AF3894">
        <v>7.2497577913847602</v>
      </c>
      <c r="AG3894">
        <v>8.4198579999999996</v>
      </c>
      <c r="AH3894">
        <v>216.59825988258399</v>
      </c>
      <c r="AI3894">
        <v>87.775097770505795</v>
      </c>
      <c r="AJ3894">
        <v>88.082969316381295</v>
      </c>
      <c r="AK3894">
        <v>216.88305415808099</v>
      </c>
      <c r="AL3894">
        <v>82.696078383142606</v>
      </c>
      <c r="AM3894">
        <v>92.796543251534402</v>
      </c>
      <c r="AN3894">
        <v>1.0000000106666</v>
      </c>
    </row>
    <row r="3895" spans="1:40" x14ac:dyDescent="0.25">
      <c r="A3895" t="str">
        <f>"20190312151616639"</f>
        <v>20190312151616639</v>
      </c>
      <c r="B3895" t="str">
        <f>"1552374976632183"</f>
        <v>1552374976632183</v>
      </c>
      <c r="C3895" t="s">
        <v>40</v>
      </c>
      <c r="D3895">
        <v>4.6370769999999997</v>
      </c>
      <c r="E3895">
        <v>0.53277209999999997</v>
      </c>
      <c r="F3895" t="s">
        <v>63</v>
      </c>
      <c r="G3895">
        <v>-511.0616</v>
      </c>
      <c r="H3895">
        <v>8.9002719999999993</v>
      </c>
      <c r="I3895">
        <v>150.86680000000001</v>
      </c>
      <c r="J3895">
        <v>-294.66129999999998</v>
      </c>
      <c r="K3895">
        <v>1.1094409999999999</v>
      </c>
      <c r="L3895">
        <v>140.1626</v>
      </c>
      <c r="M3895">
        <v>-0.99985389999999996</v>
      </c>
      <c r="N3895">
        <v>0</v>
      </c>
      <c r="O3895">
        <v>1.417977E-2</v>
      </c>
      <c r="P3895">
        <v>-0.99248060000000005</v>
      </c>
      <c r="Q3895">
        <v>0.1177448</v>
      </c>
      <c r="R3895">
        <v>-3.345041E-2</v>
      </c>
      <c r="S3895">
        <v>-3.015015</v>
      </c>
      <c r="T3895">
        <v>0.1083484</v>
      </c>
      <c r="U3895">
        <v>0.14894099999999999</v>
      </c>
      <c r="V3895">
        <v>-4.7566030000000002E-2</v>
      </c>
      <c r="W3895">
        <v>0.127195899999999</v>
      </c>
      <c r="X3895">
        <v>0.99073639999999996</v>
      </c>
      <c r="Y3895">
        <v>3.515799E-2</v>
      </c>
      <c r="Z3895">
        <v>-1.2207569999999999E-4</v>
      </c>
      <c r="AA3895">
        <v>0.99938179999999999</v>
      </c>
      <c r="AB3895">
        <v>40</v>
      </c>
      <c r="AC3895">
        <v>-216.40029999999999</v>
      </c>
      <c r="AD3895">
        <v>7.7908309999999901</v>
      </c>
      <c r="AE3895">
        <v>10.7042</v>
      </c>
      <c r="AF3895">
        <v>7.6246189907115802</v>
      </c>
      <c r="AG3895">
        <v>7.7908309999999901</v>
      </c>
      <c r="AH3895">
        <v>216.250724535003</v>
      </c>
      <c r="AI3895">
        <v>87.937986468540402</v>
      </c>
      <c r="AJ3895">
        <v>87.980688395269496</v>
      </c>
      <c r="AK3895">
        <v>216.525305043863</v>
      </c>
      <c r="AL3895">
        <v>82.692415794754396</v>
      </c>
      <c r="AM3895">
        <v>92.748704562018602</v>
      </c>
      <c r="AN3895">
        <v>0.99999996923586498</v>
      </c>
    </row>
    <row r="3896" spans="1:40" x14ac:dyDescent="0.25">
      <c r="A3896" t="str">
        <f>"20190312151616660"</f>
        <v>20190312151616660</v>
      </c>
      <c r="B3896" t="str">
        <f>"1552374976651708"</f>
        <v>1552374976651708</v>
      </c>
      <c r="C3896" t="s">
        <v>40</v>
      </c>
      <c r="D3896">
        <v>4.7984220000000004</v>
      </c>
      <c r="E3896">
        <v>0.53316859999999999</v>
      </c>
      <c r="F3896" t="s">
        <v>63</v>
      </c>
      <c r="G3896">
        <v>-511.06150000000002</v>
      </c>
      <c r="H3896">
        <v>8.5047119999999996</v>
      </c>
      <c r="I3896">
        <v>151.226</v>
      </c>
      <c r="J3896">
        <v>-295.05430000000001</v>
      </c>
      <c r="K3896">
        <v>1.1094599999999999</v>
      </c>
      <c r="L3896">
        <v>140.16800000000001</v>
      </c>
      <c r="M3896">
        <v>-0.99985659999999998</v>
      </c>
      <c r="N3896">
        <v>0</v>
      </c>
      <c r="O3896">
        <v>1.398098E-2</v>
      </c>
      <c r="P3896">
        <v>-0.99249350000000003</v>
      </c>
      <c r="Q3896">
        <v>0.1177035</v>
      </c>
      <c r="R3896">
        <v>-3.3208939999999999E-2</v>
      </c>
      <c r="S3896">
        <v>-3.0156559999999999</v>
      </c>
      <c r="T3896">
        <v>0.1030576</v>
      </c>
      <c r="U3896">
        <v>0.154174799999999</v>
      </c>
      <c r="V3896">
        <v>-4.7133939999999999E-2</v>
      </c>
      <c r="W3896">
        <v>0.1271661</v>
      </c>
      <c r="X3896">
        <v>0.99076090000000006</v>
      </c>
      <c r="Y3896">
        <v>3.7076310000000001E-2</v>
      </c>
      <c r="Z3896">
        <v>-1.5562350000000001E-4</v>
      </c>
      <c r="AA3896">
        <v>0.99931239999999999</v>
      </c>
      <c r="AB3896">
        <v>40</v>
      </c>
      <c r="AC3896">
        <v>-216.00720000000001</v>
      </c>
      <c r="AD3896">
        <v>7.3952519999999904</v>
      </c>
      <c r="AE3896">
        <v>11.0579999999999</v>
      </c>
      <c r="AF3896">
        <v>8.0274044425477307</v>
      </c>
      <c r="AG3896">
        <v>7.3952519999999904</v>
      </c>
      <c r="AH3896">
        <v>215.88831046628101</v>
      </c>
      <c r="AI3896">
        <v>88.039454534994604</v>
      </c>
      <c r="AJ3896">
        <v>87.870544252599601</v>
      </c>
      <c r="AK3896">
        <v>216.16403856842899</v>
      </c>
      <c r="AL3896">
        <v>82.694137363075598</v>
      </c>
      <c r="AM3896">
        <v>92.723705840101005</v>
      </c>
      <c r="AN3896">
        <v>0.99999999312897103</v>
      </c>
    </row>
    <row r="3897" spans="1:40" x14ac:dyDescent="0.25">
      <c r="A3897" t="str">
        <f>"20190312151616685"</f>
        <v>20190312151616685</v>
      </c>
      <c r="B3897" t="str">
        <f>"1552374976681959"</f>
        <v>1552374976681959</v>
      </c>
      <c r="C3897" t="s">
        <v>40</v>
      </c>
      <c r="D3897">
        <v>4.669187</v>
      </c>
      <c r="E3897">
        <v>0.53394299999999995</v>
      </c>
      <c r="F3897" t="s">
        <v>63</v>
      </c>
      <c r="G3897">
        <v>-511.06130000000002</v>
      </c>
      <c r="H3897">
        <v>8.0844050000000003</v>
      </c>
      <c r="I3897">
        <v>151.47409999999999</v>
      </c>
      <c r="J3897">
        <v>-295.50040000000001</v>
      </c>
      <c r="K3897">
        <v>1.109475</v>
      </c>
      <c r="L3897">
        <v>140.17410000000001</v>
      </c>
      <c r="M3897">
        <v>-0.99985990000000002</v>
      </c>
      <c r="N3897">
        <v>0</v>
      </c>
      <c r="O3897">
        <v>1.373132E-2</v>
      </c>
      <c r="P3897">
        <v>-0.99254710000000002</v>
      </c>
      <c r="Q3897">
        <v>0.11720659999999999</v>
      </c>
      <c r="R3897">
        <v>-3.3365270000000002E-2</v>
      </c>
      <c r="S3897">
        <v>-3.0164179999999998</v>
      </c>
      <c r="T3897">
        <v>9.7401740000000001E-2</v>
      </c>
      <c r="U3897">
        <v>0.15788269999999999</v>
      </c>
      <c r="V3897">
        <v>-4.7049489999999999E-2</v>
      </c>
      <c r="W3897">
        <v>0.12668080000000001</v>
      </c>
      <c r="X3897">
        <v>0.99082709999999996</v>
      </c>
      <c r="Y3897">
        <v>3.8538559999999999E-2</v>
      </c>
      <c r="Z3897">
        <v>-1.7868469999999999E-4</v>
      </c>
      <c r="AA3897">
        <v>0.99925710000000001</v>
      </c>
      <c r="AB3897">
        <v>40</v>
      </c>
      <c r="AC3897">
        <v>-215.5609</v>
      </c>
      <c r="AD3897">
        <v>6.9749299999999996</v>
      </c>
      <c r="AE3897">
        <v>11.299999999999899</v>
      </c>
      <c r="AF3897">
        <v>8.3301655888389892</v>
      </c>
      <c r="AG3897">
        <v>6.9749299999999996</v>
      </c>
      <c r="AH3897">
        <v>215.470770241656</v>
      </c>
      <c r="AI3897">
        <v>88.147328531229803</v>
      </c>
      <c r="AJ3897">
        <v>87.7860302918983</v>
      </c>
      <c r="AK3897">
        <v>215.74451125295101</v>
      </c>
      <c r="AL3897">
        <v>82.722169846231594</v>
      </c>
      <c r="AM3897">
        <v>92.718651717986205</v>
      </c>
      <c r="AN3897">
        <v>1.00000001084615</v>
      </c>
    </row>
    <row r="3898" spans="1:40" x14ac:dyDescent="0.25">
      <c r="A3898" t="str">
        <f>"20190312151616708"</f>
        <v>20190312151616708</v>
      </c>
      <c r="B3898" t="str">
        <f>"1552374976701479"</f>
        <v>1552374976701479</v>
      </c>
      <c r="C3898" t="s">
        <v>40</v>
      </c>
      <c r="D3898">
        <v>4.6681730000000003</v>
      </c>
      <c r="E3898">
        <v>0.53421869999999905</v>
      </c>
      <c r="F3898" t="s">
        <v>63</v>
      </c>
      <c r="G3898">
        <v>-510.17619999999999</v>
      </c>
      <c r="H3898">
        <v>7.3690249999999997</v>
      </c>
      <c r="I3898">
        <v>151.80860000000001</v>
      </c>
      <c r="J3898">
        <v>-295.9101</v>
      </c>
      <c r="K3898">
        <v>1.109483</v>
      </c>
      <c r="L3898">
        <v>140.17949999999999</v>
      </c>
      <c r="M3898">
        <v>-0.9998631</v>
      </c>
      <c r="N3898">
        <v>0</v>
      </c>
      <c r="O3898">
        <v>1.348513E-2</v>
      </c>
      <c r="P3898">
        <v>-0.99264509999999995</v>
      </c>
      <c r="Q3898">
        <v>0.1163033</v>
      </c>
      <c r="R3898">
        <v>-3.360751E-2</v>
      </c>
      <c r="S3898">
        <v>-3.017639</v>
      </c>
      <c r="T3898">
        <v>8.7989330000000004E-2</v>
      </c>
      <c r="U3898">
        <v>0.16354369999999999</v>
      </c>
      <c r="V3898">
        <v>-4.7053919999999999E-2</v>
      </c>
      <c r="W3898">
        <v>0.12578919999999999</v>
      </c>
      <c r="X3898">
        <v>0.9909405</v>
      </c>
      <c r="Y3898">
        <v>4.0634080000000003E-2</v>
      </c>
      <c r="Z3898">
        <v>-1.9904570000000001E-4</v>
      </c>
      <c r="AA3898">
        <v>0.99917409999999995</v>
      </c>
      <c r="AB3898">
        <v>41</v>
      </c>
      <c r="AC3898">
        <v>-214.26609999999999</v>
      </c>
      <c r="AD3898">
        <v>6.2595419999999997</v>
      </c>
      <c r="AE3898">
        <v>11.629099999999999</v>
      </c>
      <c r="AF3898">
        <v>8.7310737973597696</v>
      </c>
      <c r="AG3898">
        <v>6.2595419999999997</v>
      </c>
      <c r="AH3898">
        <v>214.22115232995299</v>
      </c>
      <c r="AI3898">
        <v>88.327681200852695</v>
      </c>
      <c r="AJ3898">
        <v>87.666071022401795</v>
      </c>
      <c r="AK3898">
        <v>214.490362537056</v>
      </c>
      <c r="AL3898">
        <v>82.773666891654997</v>
      </c>
      <c r="AM3898">
        <v>92.718596635661299</v>
      </c>
      <c r="AN3898">
        <v>1.00000003438212</v>
      </c>
    </row>
    <row r="3899" spans="1:40" x14ac:dyDescent="0.25">
      <c r="A3899" t="str">
        <f>"20190312151616729"</f>
        <v>20190312151616729</v>
      </c>
      <c r="B3899" t="str">
        <f>"1552374976721975"</f>
        <v>1552374976721975</v>
      </c>
      <c r="C3899" t="s">
        <v>40</v>
      </c>
      <c r="D3899">
        <v>4.5250440000000003</v>
      </c>
      <c r="E3899">
        <v>0.54157</v>
      </c>
      <c r="F3899" t="s">
        <v>63</v>
      </c>
      <c r="G3899">
        <v>-510.17610000000002</v>
      </c>
      <c r="H3899">
        <v>6.9674519999999998</v>
      </c>
      <c r="I3899">
        <v>151.88290000000001</v>
      </c>
      <c r="J3899">
        <v>-296.29579999999999</v>
      </c>
      <c r="K3899">
        <v>1.1094889999999999</v>
      </c>
      <c r="L3899">
        <v>140.18450000000001</v>
      </c>
      <c r="M3899">
        <v>-0.99986609999999998</v>
      </c>
      <c r="N3899">
        <v>0</v>
      </c>
      <c r="O3899">
        <v>1.324292E-2</v>
      </c>
      <c r="P3899">
        <v>-0.99270930000000002</v>
      </c>
      <c r="Q3899">
        <v>0.1156808</v>
      </c>
      <c r="R3899">
        <v>-3.3855490000000002E-2</v>
      </c>
      <c r="S3899">
        <v>-3.0181879999999999</v>
      </c>
      <c r="T3899">
        <v>8.2516909999999999E-2</v>
      </c>
      <c r="U3899">
        <v>0.164856</v>
      </c>
      <c r="V3899">
        <v>-4.70661E-2</v>
      </c>
      <c r="W3899">
        <v>0.1251765</v>
      </c>
      <c r="X3899">
        <v>0.9910175</v>
      </c>
      <c r="Y3899">
        <v>4.1300480000000001E-2</v>
      </c>
      <c r="Z3899">
        <v>-2.023506E-4</v>
      </c>
      <c r="AA3899">
        <v>0.9991468</v>
      </c>
      <c r="AB3899">
        <v>41</v>
      </c>
      <c r="AC3899">
        <v>-213.88030000000001</v>
      </c>
      <c r="AD3899">
        <v>5.8579629999999998</v>
      </c>
      <c r="AE3899">
        <v>11.6983999999999</v>
      </c>
      <c r="AF3899">
        <v>8.8582182520511896</v>
      </c>
      <c r="AG3899">
        <v>5.8579629999999998</v>
      </c>
      <c r="AH3899">
        <v>213.85652367520501</v>
      </c>
      <c r="AI3899">
        <v>88.432288627370497</v>
      </c>
      <c r="AJ3899">
        <v>87.628089412374294</v>
      </c>
      <c r="AK3899">
        <v>214.120051558825</v>
      </c>
      <c r="AL3899">
        <v>82.809051669679107</v>
      </c>
      <c r="AM3899">
        <v>92.719088326819005</v>
      </c>
      <c r="AN3899">
        <v>1.00000002961385</v>
      </c>
    </row>
    <row r="3900" spans="1:40" x14ac:dyDescent="0.25">
      <c r="A3900" t="str">
        <f>"20190312151616751"</f>
        <v>20190312151616751</v>
      </c>
      <c r="B3900" t="str">
        <f>"1552374976741495"</f>
        <v>1552374976741495</v>
      </c>
      <c r="C3900" t="s">
        <v>40</v>
      </c>
      <c r="D3900">
        <v>4.6009859999999998</v>
      </c>
      <c r="E3900">
        <v>0.54225669999999904</v>
      </c>
      <c r="F3900" t="s">
        <v>41</v>
      </c>
      <c r="G3900">
        <v>-297.09339999999997</v>
      </c>
      <c r="H3900">
        <v>1.0423979999999999</v>
      </c>
      <c r="I3900">
        <v>140.24039999999999</v>
      </c>
      <c r="J3900">
        <v>-296.70150000000001</v>
      </c>
      <c r="K3900">
        <v>1.109491</v>
      </c>
      <c r="L3900">
        <v>140.18969999999999</v>
      </c>
      <c r="M3900">
        <v>-0.99986960000000003</v>
      </c>
      <c r="N3900">
        <v>0</v>
      </c>
      <c r="O3900">
        <v>1.2981120000000001E-2</v>
      </c>
      <c r="P3900">
        <v>-0.99279039999999996</v>
      </c>
      <c r="Q3900">
        <v>0.1149611</v>
      </c>
      <c r="R3900">
        <v>-3.3931389999999999E-2</v>
      </c>
      <c r="S3900">
        <v>-3.0592959999999998</v>
      </c>
      <c r="T3900">
        <v>-0.2573802</v>
      </c>
      <c r="U3900">
        <v>0.21374509999999999</v>
      </c>
      <c r="V3900">
        <v>-4.6886499999999998E-2</v>
      </c>
      <c r="W3900">
        <v>0.12446740000000001</v>
      </c>
      <c r="X3900">
        <v>0.99111530000000003</v>
      </c>
      <c r="Y3900">
        <v>5.6588230000000003E-2</v>
      </c>
      <c r="Z3900">
        <v>1.2845580000000001E-3</v>
      </c>
      <c r="AA3900">
        <v>0.99839679999999997</v>
      </c>
      <c r="AB3900">
        <v>41</v>
      </c>
      <c r="AC3900">
        <v>-0.391899999999964</v>
      </c>
      <c r="AD3900">
        <v>-6.7093E-2</v>
      </c>
      <c r="AE3900">
        <v>5.0700000000006101E-2</v>
      </c>
      <c r="AF3900">
        <v>4.4330294368013903E-2</v>
      </c>
      <c r="AG3900">
        <v>-6.7093E-2</v>
      </c>
      <c r="AH3900">
        <v>0.38152697203068398</v>
      </c>
      <c r="AI3900">
        <v>99.9083829824405</v>
      </c>
      <c r="AJ3900">
        <v>83.372420587391801</v>
      </c>
      <c r="AK3900">
        <v>0.38990957417670202</v>
      </c>
      <c r="AL3900">
        <v>82.850000202505399</v>
      </c>
      <c r="AM3900">
        <v>92.7084611230691</v>
      </c>
      <c r="AN3900">
        <v>1.0000000077195399</v>
      </c>
    </row>
    <row r="3901" spans="1:40" x14ac:dyDescent="0.25">
      <c r="A3901" t="str">
        <f>"20190312151616774"</f>
        <v>20190312151616774</v>
      </c>
      <c r="B3901" t="str">
        <f>"1552374976761992"</f>
        <v>1552374976761992</v>
      </c>
      <c r="C3901" t="s">
        <v>40</v>
      </c>
      <c r="D3901">
        <v>4.5392760000000001</v>
      </c>
      <c r="E3901">
        <v>0.54204790000000003</v>
      </c>
      <c r="F3901" t="s">
        <v>41</v>
      </c>
      <c r="G3901">
        <v>-297.4579</v>
      </c>
      <c r="H3901">
        <v>1.0436179999999999</v>
      </c>
      <c r="I3901">
        <v>140.2439</v>
      </c>
      <c r="J3901">
        <v>-297.10669999999999</v>
      </c>
      <c r="K3901">
        <v>1.109505</v>
      </c>
      <c r="L3901">
        <v>140.19479999999999</v>
      </c>
      <c r="M3901">
        <v>-0.99987280000000001</v>
      </c>
      <c r="N3901">
        <v>0</v>
      </c>
      <c r="O3901">
        <v>1.2716140000000001E-2</v>
      </c>
      <c r="P3901">
        <v>-0.99283049999999995</v>
      </c>
      <c r="Q3901">
        <v>0.11464920000000001</v>
      </c>
      <c r="R3901">
        <v>-3.3811290000000001E-2</v>
      </c>
      <c r="S3901">
        <v>-3.06012</v>
      </c>
      <c r="T3901">
        <v>-0.26655899999999999</v>
      </c>
      <c r="U3901">
        <v>0.21838379999999999</v>
      </c>
      <c r="V3901">
        <v>-4.6506400000000003E-2</v>
      </c>
      <c r="W3901">
        <v>0.124165</v>
      </c>
      <c r="X3901">
        <v>0.99117109999999997</v>
      </c>
      <c r="Y3901">
        <v>5.832143E-2</v>
      </c>
      <c r="Z3901">
        <v>1.42802799999999E-3</v>
      </c>
      <c r="AA3901">
        <v>0.99829690000000004</v>
      </c>
      <c r="AB3901">
        <v>41</v>
      </c>
      <c r="AC3901">
        <v>-0.35120000000000501</v>
      </c>
      <c r="AD3901">
        <v>-6.5887000000000001E-2</v>
      </c>
      <c r="AE3901">
        <v>4.91000000000099E-2</v>
      </c>
      <c r="AF3901">
        <v>4.3140654701494502E-2</v>
      </c>
      <c r="AG3901">
        <v>-6.5887000000000001E-2</v>
      </c>
      <c r="AH3901">
        <v>0.34005688045167998</v>
      </c>
      <c r="AI3901">
        <v>100.880256255353</v>
      </c>
      <c r="AJ3901">
        <v>82.769904912934905</v>
      </c>
      <c r="AK3901">
        <v>0.34905715119390002</v>
      </c>
      <c r="AL3901">
        <v>82.867461639155906</v>
      </c>
      <c r="AM3901">
        <v>92.686385417440903</v>
      </c>
      <c r="AN3901">
        <v>0.99999997097058402</v>
      </c>
    </row>
    <row r="3902" spans="1:40" x14ac:dyDescent="0.25">
      <c r="A3902" t="str">
        <f>"20190312151616798"</f>
        <v>20190312151616798</v>
      </c>
      <c r="B3902" t="str">
        <f>"1552374976792247"</f>
        <v>1552374976792247</v>
      </c>
      <c r="C3902" t="s">
        <v>40</v>
      </c>
      <c r="D3902">
        <v>4.7019500000000001</v>
      </c>
      <c r="E3902">
        <v>0.53550469999999994</v>
      </c>
      <c r="F3902" t="s">
        <v>41</v>
      </c>
      <c r="G3902">
        <v>-298.17399999999998</v>
      </c>
      <c r="H3902">
        <v>1.01773799999999</v>
      </c>
      <c r="I3902">
        <v>140.2704</v>
      </c>
      <c r="J3902">
        <v>-297.5378</v>
      </c>
      <c r="K3902">
        <v>1.10951</v>
      </c>
      <c r="L3902">
        <v>140.19999999999999</v>
      </c>
      <c r="M3902">
        <v>-0.99987630000000005</v>
      </c>
      <c r="N3902">
        <v>0</v>
      </c>
      <c r="O3902">
        <v>1.2432210000000001E-2</v>
      </c>
      <c r="P3902">
        <v>-0.99283860000000002</v>
      </c>
      <c r="Q3902">
        <v>0.11450539999999899</v>
      </c>
      <c r="R3902">
        <v>-3.4057419999999998E-2</v>
      </c>
      <c r="S3902">
        <v>-3.059418</v>
      </c>
      <c r="T3902">
        <v>-0.263046</v>
      </c>
      <c r="U3902">
        <v>0.2169037</v>
      </c>
      <c r="V3902">
        <v>-4.6473159999999999E-2</v>
      </c>
      <c r="W3902">
        <v>0.12403019999999999</v>
      </c>
      <c r="X3902">
        <v>0.9911896</v>
      </c>
      <c r="Y3902">
        <v>5.8144639999999997E-2</v>
      </c>
      <c r="Z3902">
        <v>1.426376E-3</v>
      </c>
      <c r="AA3902">
        <v>0.99830719999999995</v>
      </c>
      <c r="AB3902">
        <v>41</v>
      </c>
      <c r="AC3902">
        <v>-0.63620000000002996</v>
      </c>
      <c r="AD3902">
        <v>-9.1772000000000201E-2</v>
      </c>
      <c r="AE3902">
        <v>7.0400000000006402E-2</v>
      </c>
      <c r="AF3902">
        <v>6.1226227748603403E-2</v>
      </c>
      <c r="AG3902">
        <v>-9.1772000000000201E-2</v>
      </c>
      <c r="AH3902">
        <v>0.62419488549509305</v>
      </c>
      <c r="AI3902">
        <v>98.324579436553506</v>
      </c>
      <c r="AJ3902">
        <v>84.397873984511904</v>
      </c>
      <c r="AK3902">
        <v>0.63386907640817802</v>
      </c>
      <c r="AL3902">
        <v>82.875245730198102</v>
      </c>
      <c r="AM3902">
        <v>92.684418128321596</v>
      </c>
      <c r="AN3902">
        <v>1.0000000341302899</v>
      </c>
    </row>
    <row r="3903" spans="1:40" x14ac:dyDescent="0.25">
      <c r="A3903" t="str">
        <f>"20190312151616818"</f>
        <v>20190312151616818</v>
      </c>
      <c r="B3903" t="str">
        <f>"1552374976811768"</f>
        <v>1552374976811768</v>
      </c>
      <c r="C3903" t="s">
        <v>40</v>
      </c>
      <c r="D3903">
        <v>4.5900220000000003</v>
      </c>
      <c r="E3903">
        <v>0.53730359999999999</v>
      </c>
      <c r="F3903" t="s">
        <v>43</v>
      </c>
      <c r="G3903">
        <v>-325.4332</v>
      </c>
      <c r="H3903" s="1">
        <v>-2.5058479999999998E-6</v>
      </c>
      <c r="I3903">
        <v>141.73750000000001</v>
      </c>
      <c r="J3903">
        <v>-297.92849999999999</v>
      </c>
      <c r="K3903">
        <v>1.109513</v>
      </c>
      <c r="L3903">
        <v>140.2047</v>
      </c>
      <c r="M3903">
        <v>-0.99987939999999997</v>
      </c>
      <c r="N3903">
        <v>0</v>
      </c>
      <c r="O3903">
        <v>1.217478E-2</v>
      </c>
      <c r="P3903">
        <v>-0.99281410000000003</v>
      </c>
      <c r="Q3903">
        <v>0.1147623</v>
      </c>
      <c r="R3903">
        <v>-3.3911829999999997E-2</v>
      </c>
      <c r="S3903">
        <v>-3.0413510000000001</v>
      </c>
      <c r="T3903">
        <v>-0.1209673</v>
      </c>
      <c r="U3903">
        <v>0.16763310000000001</v>
      </c>
      <c r="V3903">
        <v>-4.6073669999999997E-2</v>
      </c>
      <c r="W3903">
        <v>0.12429510000000001</v>
      </c>
      <c r="X3903">
        <v>0.99117509999999998</v>
      </c>
      <c r="Y3903">
        <v>4.2849270000000002E-2</v>
      </c>
      <c r="Z3903">
        <v>3.6750859999999999E-4</v>
      </c>
      <c r="AA3903">
        <v>0.99908149999999996</v>
      </c>
      <c r="AB3903">
        <v>41</v>
      </c>
      <c r="AC3903">
        <v>-27.5047</v>
      </c>
      <c r="AD3903">
        <v>-1.109515505848</v>
      </c>
      <c r="AE3903">
        <v>1.5327999999999999</v>
      </c>
      <c r="AF3903">
        <v>1.1958672043418599</v>
      </c>
      <c r="AG3903">
        <v>-1.109515505848</v>
      </c>
      <c r="AH3903">
        <v>27.476750685667</v>
      </c>
      <c r="AI3903">
        <v>92.310171704487502</v>
      </c>
      <c r="AJ3903">
        <v>87.507895665364202</v>
      </c>
      <c r="AK3903">
        <v>27.525133083610001</v>
      </c>
      <c r="AL3903">
        <v>82.859949951512803</v>
      </c>
      <c r="AM3903">
        <v>92.661414680575604</v>
      </c>
      <c r="AN3903">
        <v>1.0000000669056399</v>
      </c>
    </row>
    <row r="3904" spans="1:40" x14ac:dyDescent="0.25">
      <c r="A3904" t="str">
        <f>"20190312151616841"</f>
        <v>20190312151616841</v>
      </c>
      <c r="B3904" t="str">
        <f>"1552374976832264"</f>
        <v>1552374976832264</v>
      </c>
      <c r="C3904" t="s">
        <v>40</v>
      </c>
      <c r="D3904">
        <v>4.5558329999999998</v>
      </c>
      <c r="E3904">
        <v>0.53825279999999998</v>
      </c>
      <c r="F3904" t="s">
        <v>43</v>
      </c>
      <c r="G3904">
        <v>-385.39920000000001</v>
      </c>
      <c r="H3904" s="1">
        <v>-3.4883250000000002E-6</v>
      </c>
      <c r="I3904">
        <v>145.53370000000001</v>
      </c>
      <c r="J3904">
        <v>-298.3365</v>
      </c>
      <c r="K3904">
        <v>1.109524</v>
      </c>
      <c r="L3904">
        <v>140.20949999999999</v>
      </c>
      <c r="M3904">
        <v>-0.99988259999999995</v>
      </c>
      <c r="N3904">
        <v>0</v>
      </c>
      <c r="O3904">
        <v>1.190621E-2</v>
      </c>
      <c r="P3904">
        <v>-0.99281039999999998</v>
      </c>
      <c r="Q3904">
        <v>0.1148169</v>
      </c>
      <c r="R3904">
        <v>-3.3831779999999999E-2</v>
      </c>
      <c r="S3904">
        <v>-3.0325319999999998</v>
      </c>
      <c r="T3904">
        <v>-3.8465979999999997E-2</v>
      </c>
      <c r="U3904">
        <v>0.18475340000000001</v>
      </c>
      <c r="V3904">
        <v>-4.5729230000000003E-2</v>
      </c>
      <c r="W3904">
        <v>0.1243571</v>
      </c>
      <c r="X3904">
        <v>0.99118320000000004</v>
      </c>
      <c r="Y3904">
        <v>4.891906E-2</v>
      </c>
      <c r="Z3904">
        <v>1.590873E-4</v>
      </c>
      <c r="AA3904">
        <v>0.99880270000000004</v>
      </c>
      <c r="AB3904">
        <v>41</v>
      </c>
      <c r="AC3904">
        <v>-87.062700000000007</v>
      </c>
      <c r="AD3904">
        <v>-1.1095274883249999</v>
      </c>
      <c r="AE3904">
        <v>5.32420000000001</v>
      </c>
      <c r="AF3904">
        <v>4.2864939950028704</v>
      </c>
      <c r="AG3904">
        <v>-1.1095274883249999</v>
      </c>
      <c r="AH3904">
        <v>87.105828169567999</v>
      </c>
      <c r="AI3904">
        <v>90.728894775976698</v>
      </c>
      <c r="AJ3904">
        <v>87.182736708349097</v>
      </c>
      <c r="AK3904">
        <v>87.218291562738401</v>
      </c>
      <c r="AL3904">
        <v>82.856369308808695</v>
      </c>
      <c r="AM3904">
        <v>92.641525066146897</v>
      </c>
      <c r="AN3904">
        <v>0.99999999337952095</v>
      </c>
    </row>
    <row r="3905" spans="1:40" x14ac:dyDescent="0.25">
      <c r="A3905" t="str">
        <f>"20190312151616863"</f>
        <v>20190312151616863</v>
      </c>
      <c r="B3905" t="str">
        <f>"1552374976851783"</f>
        <v>1552374976851783</v>
      </c>
      <c r="C3905" t="s">
        <v>40</v>
      </c>
      <c r="D3905">
        <v>4.7088809999999999</v>
      </c>
      <c r="E3905">
        <v>0.53889089999999995</v>
      </c>
      <c r="F3905" t="s">
        <v>43</v>
      </c>
      <c r="G3905">
        <v>-455.24079999999998</v>
      </c>
      <c r="H3905">
        <v>7.9986489999999993E-2</v>
      </c>
      <c r="I3905">
        <v>150.2028</v>
      </c>
      <c r="J3905">
        <v>-298.74040000000002</v>
      </c>
      <c r="K3905">
        <v>1.1095250000000001</v>
      </c>
      <c r="L3905">
        <v>140.2141</v>
      </c>
      <c r="M3905">
        <v>-0.99988569999999999</v>
      </c>
      <c r="N3905">
        <v>0</v>
      </c>
      <c r="O3905">
        <v>1.1640640000000001E-2</v>
      </c>
      <c r="P3905">
        <v>-0.99282969999999904</v>
      </c>
      <c r="Q3905">
        <v>0.114659</v>
      </c>
      <c r="R3905">
        <v>-3.3807259999999999E-2</v>
      </c>
      <c r="S3905">
        <v>-3.0306090000000001</v>
      </c>
      <c r="T3905">
        <v>-1.988554E-2</v>
      </c>
      <c r="U3905">
        <v>0.19302369999999999</v>
      </c>
      <c r="V3905">
        <v>-4.5442730000000001E-2</v>
      </c>
      <c r="W3905">
        <v>0.1242066</v>
      </c>
      <c r="X3905">
        <v>0.99121519999999996</v>
      </c>
      <c r="Y3905">
        <v>5.1939770000000003E-2</v>
      </c>
      <c r="Z3905" s="1">
        <v>9.3930940000000002E-5</v>
      </c>
      <c r="AA3905">
        <v>0.99865020000000004</v>
      </c>
      <c r="AB3905">
        <v>41</v>
      </c>
      <c r="AC3905">
        <v>-156.50039999999899</v>
      </c>
      <c r="AD3905">
        <v>-1.0295385100000001</v>
      </c>
      <c r="AE3905">
        <v>9.9886999999999908</v>
      </c>
      <c r="AF3905">
        <v>8.1658215916643293</v>
      </c>
      <c r="AG3905">
        <v>-1.0295385100000001</v>
      </c>
      <c r="AH3905">
        <v>156.59932606350199</v>
      </c>
      <c r="AI3905">
        <v>90.376165934245407</v>
      </c>
      <c r="AJ3905">
        <v>87.015033451340699</v>
      </c>
      <c r="AK3905">
        <v>156.81546325331999</v>
      </c>
      <c r="AL3905">
        <v>82.865059367703296</v>
      </c>
      <c r="AM3905">
        <v>92.624914138934102</v>
      </c>
      <c r="AN3905">
        <v>0.99999994695222505</v>
      </c>
    </row>
    <row r="3906" spans="1:40" x14ac:dyDescent="0.25">
      <c r="A3906" t="str">
        <f>"20190312151616886"</f>
        <v>20190312151616886</v>
      </c>
      <c r="B3906" t="str">
        <f>"1552374976882039"</f>
        <v>1552374976882039</v>
      </c>
      <c r="C3906" t="s">
        <v>40</v>
      </c>
      <c r="D3906">
        <v>4.5441880000000001</v>
      </c>
      <c r="E3906">
        <v>0.53939099999999995</v>
      </c>
      <c r="F3906" t="s">
        <v>63</v>
      </c>
      <c r="G3906">
        <v>-511.92529999999999</v>
      </c>
      <c r="H3906">
        <v>0.30313129999999999</v>
      </c>
      <c r="I3906">
        <v>154.1942</v>
      </c>
      <c r="J3906">
        <v>-299.1764</v>
      </c>
      <c r="K3906">
        <v>1.1095269999999999</v>
      </c>
      <c r="L3906">
        <v>140.21889999999999</v>
      </c>
      <c r="M3906">
        <v>-0.99988889999999997</v>
      </c>
      <c r="N3906">
        <v>0</v>
      </c>
      <c r="O3906">
        <v>1.1354799999999899E-2</v>
      </c>
      <c r="P3906">
        <v>-0.99286479999999999</v>
      </c>
      <c r="Q3906">
        <v>0.114216899999999</v>
      </c>
      <c r="R3906">
        <v>-3.4269590000000003E-2</v>
      </c>
      <c r="S3906">
        <v>-3.0297550000000002</v>
      </c>
      <c r="T3906">
        <v>-1.145971E-2</v>
      </c>
      <c r="U3906">
        <v>0.19868469999999999</v>
      </c>
      <c r="V3906">
        <v>-4.5622469999999998E-2</v>
      </c>
      <c r="W3906">
        <v>0.1237718</v>
      </c>
      <c r="X3906">
        <v>0.99126139999999996</v>
      </c>
      <c r="Y3906">
        <v>5.4101740000000002E-2</v>
      </c>
      <c r="Z3906" s="1">
        <v>5.930739E-5</v>
      </c>
      <c r="AA3906">
        <v>0.99853550000000002</v>
      </c>
      <c r="AB3906">
        <v>41</v>
      </c>
      <c r="AC3906">
        <v>-212.74889999999999</v>
      </c>
      <c r="AD3906">
        <v>-0.80639570000000005</v>
      </c>
      <c r="AE3906">
        <v>13.975300000000001</v>
      </c>
      <c r="AF3906">
        <v>11.558399756392699</v>
      </c>
      <c r="AG3906">
        <v>-0.80639570000000005</v>
      </c>
      <c r="AH3906">
        <v>212.89083196847</v>
      </c>
      <c r="AI3906">
        <v>90.216706862697393</v>
      </c>
      <c r="AJ3906">
        <v>86.892313461367607</v>
      </c>
      <c r="AK3906">
        <v>213.20589395038101</v>
      </c>
      <c r="AL3906">
        <v>82.890165793654901</v>
      </c>
      <c r="AM3906">
        <v>92.635159225544299</v>
      </c>
      <c r="AN3906">
        <v>1.0000000156870501</v>
      </c>
    </row>
    <row r="3907" spans="1:40" x14ac:dyDescent="0.25">
      <c r="A3907" t="str">
        <f>"20190312151616909"</f>
        <v>20190312151616909</v>
      </c>
      <c r="B3907" t="str">
        <f>"1552374976901559"</f>
        <v>1552374976901559</v>
      </c>
      <c r="C3907" t="s">
        <v>40</v>
      </c>
      <c r="D3907">
        <v>4.673953</v>
      </c>
      <c r="E3907">
        <v>0.53958779999999995</v>
      </c>
      <c r="F3907" t="s">
        <v>63</v>
      </c>
      <c r="G3907">
        <v>-511.92540000000002</v>
      </c>
      <c r="H3907">
        <v>0.5937694</v>
      </c>
      <c r="I3907">
        <v>154.3802</v>
      </c>
      <c r="J3907">
        <v>-299.57389999999998</v>
      </c>
      <c r="K3907">
        <v>1.1095269999999999</v>
      </c>
      <c r="L3907">
        <v>140.22319999999999</v>
      </c>
      <c r="M3907">
        <v>-0.9998918</v>
      </c>
      <c r="N3907">
        <v>0</v>
      </c>
      <c r="O3907">
        <v>1.109402E-2</v>
      </c>
      <c r="P3907">
        <v>-0.99287930000000002</v>
      </c>
      <c r="Q3907">
        <v>0.113881</v>
      </c>
      <c r="R3907">
        <v>-3.4958660000000003E-2</v>
      </c>
      <c r="S3907">
        <v>-3.0293580000000002</v>
      </c>
      <c r="T3907">
        <v>-7.34329199999999E-3</v>
      </c>
      <c r="U3907">
        <v>0.20164489999999999</v>
      </c>
      <c r="V3907">
        <v>-4.6053549999999999E-2</v>
      </c>
      <c r="W3907">
        <v>0.123442</v>
      </c>
      <c r="X3907">
        <v>0.99128260000000001</v>
      </c>
      <c r="Y3907">
        <v>5.5342349999999998E-2</v>
      </c>
      <c r="Z3907" s="1">
        <v>4.014089E-5</v>
      </c>
      <c r="AA3907">
        <v>0.9984674</v>
      </c>
      <c r="AB3907">
        <v>41</v>
      </c>
      <c r="AC3907">
        <v>-212.35149999999999</v>
      </c>
      <c r="AD3907">
        <v>-0.51575760000000004</v>
      </c>
      <c r="AE3907">
        <v>14.157</v>
      </c>
      <c r="AF3907">
        <v>11.800117679881099</v>
      </c>
      <c r="AG3907">
        <v>-0.51575760000000004</v>
      </c>
      <c r="AH3907">
        <v>212.49424796185301</v>
      </c>
      <c r="AI3907">
        <v>90.138851841467797</v>
      </c>
      <c r="AJ3907">
        <v>86.821545710681605</v>
      </c>
      <c r="AK3907">
        <v>212.822259644133</v>
      </c>
      <c r="AL3907">
        <v>82.909208036989199</v>
      </c>
      <c r="AM3907">
        <v>92.659966054356801</v>
      </c>
      <c r="AN3907">
        <v>1.0000000249471801</v>
      </c>
    </row>
    <row r="3908" spans="1:40" x14ac:dyDescent="0.25">
      <c r="A3908" t="str">
        <f>"20190312151616930"</f>
        <v>20190312151616930</v>
      </c>
      <c r="B3908" t="str">
        <f>"1552374976922056"</f>
        <v>1552374976922056</v>
      </c>
      <c r="C3908" t="s">
        <v>40</v>
      </c>
      <c r="D3908">
        <v>4.5411229999999998</v>
      </c>
      <c r="E3908">
        <v>0.53962769999999904</v>
      </c>
      <c r="F3908" t="s">
        <v>63</v>
      </c>
      <c r="G3908">
        <v>-511.92520000000002</v>
      </c>
      <c r="H3908">
        <v>0.17011970000000001</v>
      </c>
      <c r="I3908">
        <v>154.32749999999999</v>
      </c>
      <c r="J3908">
        <v>-299.97829999999999</v>
      </c>
      <c r="K3908">
        <v>1.109526</v>
      </c>
      <c r="L3908">
        <v>140.22749999999999</v>
      </c>
      <c r="M3908">
        <v>-0.99989470000000003</v>
      </c>
      <c r="N3908">
        <v>0</v>
      </c>
      <c r="O3908">
        <v>1.082908E-2</v>
      </c>
      <c r="P3908">
        <v>-0.99286750000000001</v>
      </c>
      <c r="Q3908">
        <v>0.1135188</v>
      </c>
      <c r="R3908">
        <v>-3.6438060000000001E-2</v>
      </c>
      <c r="S3908">
        <v>-3.0301819999999999</v>
      </c>
      <c r="T3908">
        <v>-1.3404370000000001E-2</v>
      </c>
      <c r="U3908">
        <v>0.20126340000000001</v>
      </c>
      <c r="V3908">
        <v>-4.727137E-2</v>
      </c>
      <c r="W3908">
        <v>0.12308470000000001</v>
      </c>
      <c r="X3908">
        <v>0.99126959999999997</v>
      </c>
      <c r="Y3908">
        <v>5.5463470000000001E-2</v>
      </c>
      <c r="Z3908" s="1">
        <v>7.4691039999999996E-5</v>
      </c>
      <c r="AA3908">
        <v>0.99846069999999998</v>
      </c>
      <c r="AB3908">
        <v>41</v>
      </c>
      <c r="AC3908">
        <v>-211.9469</v>
      </c>
      <c r="AD3908">
        <v>-0.93940630000000003</v>
      </c>
      <c r="AE3908">
        <v>14.0999999999999</v>
      </c>
      <c r="AF3908">
        <v>11.803645254200999</v>
      </c>
      <c r="AG3908">
        <v>-0.93940630000000003</v>
      </c>
      <c r="AH3908">
        <v>212.08302021073899</v>
      </c>
      <c r="AI3908">
        <v>90.253393681725697</v>
      </c>
      <c r="AJ3908">
        <v>86.814445321156995</v>
      </c>
      <c r="AK3908">
        <v>212.413314053503</v>
      </c>
      <c r="AL3908">
        <v>82.929836410612594</v>
      </c>
      <c r="AM3908">
        <v>92.730235728959599</v>
      </c>
      <c r="AN3908">
        <v>0.99999992283995998</v>
      </c>
    </row>
    <row r="3909" spans="1:40" x14ac:dyDescent="0.25">
      <c r="A3909" t="str">
        <f>"20190312151616953"</f>
        <v>20190312151616953</v>
      </c>
      <c r="B3909" t="str">
        <f>"1552374976941576"</f>
        <v>1552374976941576</v>
      </c>
      <c r="C3909" t="s">
        <v>40</v>
      </c>
      <c r="D3909">
        <v>4.5424049999999996</v>
      </c>
      <c r="E3909">
        <v>0.53966320000000001</v>
      </c>
      <c r="F3909" t="s">
        <v>63</v>
      </c>
      <c r="G3909">
        <v>-511.92529999999999</v>
      </c>
      <c r="H3909">
        <v>0.26915539999999999</v>
      </c>
      <c r="I3909">
        <v>154.0265</v>
      </c>
      <c r="J3909">
        <v>-300.38069999999999</v>
      </c>
      <c r="K3909">
        <v>1.109524</v>
      </c>
      <c r="L3909">
        <v>140.23159999999999</v>
      </c>
      <c r="M3909">
        <v>-0.99989740000000005</v>
      </c>
      <c r="N3909">
        <v>0</v>
      </c>
      <c r="O3909">
        <v>1.0565099999999999E-2</v>
      </c>
      <c r="P3909">
        <v>-0.99289419999999995</v>
      </c>
      <c r="Q3909">
        <v>0.1127773</v>
      </c>
      <c r="R3909">
        <v>-3.7980439999999997E-2</v>
      </c>
      <c r="S3909">
        <v>-3.030151</v>
      </c>
      <c r="T3909">
        <v>-1.2013909999999999E-2</v>
      </c>
      <c r="U3909">
        <v>0.19728090000000001</v>
      </c>
      <c r="V3909">
        <v>-4.8551049999999998E-2</v>
      </c>
      <c r="W3909">
        <v>0.1223489</v>
      </c>
      <c r="X3909">
        <v>0.99129889999999998</v>
      </c>
      <c r="Y3909">
        <v>5.4421169999999998E-2</v>
      </c>
      <c r="Z3909" s="1">
        <v>6.5927999999999996E-5</v>
      </c>
      <c r="AA3909">
        <v>0.99851800000000002</v>
      </c>
      <c r="AB3909">
        <v>41</v>
      </c>
      <c r="AC3909">
        <v>-211.5446</v>
      </c>
      <c r="AD3909">
        <v>-0.84036859999999902</v>
      </c>
      <c r="AE3909">
        <v>13.7949</v>
      </c>
      <c r="AF3909">
        <v>11.5588539427611</v>
      </c>
      <c r="AG3909">
        <v>-0.84036859999999902</v>
      </c>
      <c r="AH3909">
        <v>211.67521712572901</v>
      </c>
      <c r="AI3909">
        <v>90.2271295381464</v>
      </c>
      <c r="AJ3909">
        <v>86.874379255664905</v>
      </c>
      <c r="AK3909">
        <v>211.992242473819</v>
      </c>
      <c r="AL3909">
        <v>82.972316147784994</v>
      </c>
      <c r="AM3909">
        <v>92.803946598925805</v>
      </c>
      <c r="AN3909">
        <v>0.999999983464261</v>
      </c>
    </row>
    <row r="3910" spans="1:40" x14ac:dyDescent="0.25">
      <c r="A3910" t="str">
        <f>"20190312151616975"</f>
        <v>20190312151616975</v>
      </c>
      <c r="B3910" t="str">
        <f>"1552374976971832"</f>
        <v>1552374976971832</v>
      </c>
      <c r="C3910" t="s">
        <v>40</v>
      </c>
      <c r="D3910">
        <v>4.7612050000000004</v>
      </c>
      <c r="E3910">
        <v>0.50772139999999999</v>
      </c>
      <c r="F3910" t="s">
        <v>63</v>
      </c>
      <c r="G3910">
        <v>-511.92520000000002</v>
      </c>
      <c r="H3910">
        <v>0.17385919999999999</v>
      </c>
      <c r="I3910">
        <v>153.7073</v>
      </c>
      <c r="J3910">
        <v>-300.80290000000002</v>
      </c>
      <c r="K3910">
        <v>1.1095200000000001</v>
      </c>
      <c r="L3910">
        <v>140.23589999999999</v>
      </c>
      <c r="M3910">
        <v>-0.99990020000000002</v>
      </c>
      <c r="N3910">
        <v>0</v>
      </c>
      <c r="O3910">
        <v>1.0288479999999999E-2</v>
      </c>
      <c r="P3910">
        <v>-0.99284680000000003</v>
      </c>
      <c r="Q3910">
        <v>0.11256149999999999</v>
      </c>
      <c r="R3910">
        <v>-3.9817749999999999E-2</v>
      </c>
      <c r="S3910">
        <v>-3.0303650000000002</v>
      </c>
      <c r="T3910">
        <v>-1.34027E-2</v>
      </c>
      <c r="U3910">
        <v>0.19303890000000001</v>
      </c>
      <c r="V3910">
        <v>-5.0113600000000001E-2</v>
      </c>
      <c r="W3910">
        <v>0.1221373</v>
      </c>
      <c r="X3910">
        <v>0.99124719999999999</v>
      </c>
      <c r="Y3910">
        <v>5.3300760000000003E-2</v>
      </c>
      <c r="Z3910" s="1">
        <v>7.2293959999999898E-5</v>
      </c>
      <c r="AA3910">
        <v>0.99857850000000004</v>
      </c>
      <c r="AB3910">
        <v>41</v>
      </c>
      <c r="AC3910">
        <v>-211.1223</v>
      </c>
      <c r="AD3910">
        <v>-0.93566079999999996</v>
      </c>
      <c r="AE3910">
        <v>13.471399999999999</v>
      </c>
      <c r="AF3910">
        <v>11.2982365371881</v>
      </c>
      <c r="AG3910">
        <v>-0.93566079999999996</v>
      </c>
      <c r="AH3910">
        <v>211.245599138796</v>
      </c>
      <c r="AI3910">
        <v>90.253413820558805</v>
      </c>
      <c r="AJ3910">
        <v>86.938515719362101</v>
      </c>
      <c r="AK3910">
        <v>211.549589376798</v>
      </c>
      <c r="AL3910">
        <v>82.984531327945405</v>
      </c>
      <c r="AM3910">
        <v>92.894187496025097</v>
      </c>
      <c r="AN3910">
        <v>0.99999995223204297</v>
      </c>
    </row>
    <row r="3911" spans="1:40" x14ac:dyDescent="0.25">
      <c r="A3911" t="str">
        <f>"20190312151616999"</f>
        <v>20190312151616999</v>
      </c>
      <c r="B3911" t="str">
        <f>"1552374976991352"</f>
        <v>1552374976991352</v>
      </c>
      <c r="C3911" t="s">
        <v>40</v>
      </c>
      <c r="D3911">
        <v>4.6109790000000004</v>
      </c>
      <c r="E3911">
        <v>0.48789589999999999</v>
      </c>
      <c r="F3911" t="s">
        <v>46</v>
      </c>
      <c r="G3911">
        <v>0</v>
      </c>
      <c r="H3911">
        <v>0</v>
      </c>
      <c r="I3911">
        <v>0</v>
      </c>
      <c r="J3911">
        <v>-301.2321</v>
      </c>
      <c r="K3911">
        <v>1.1095189999999999</v>
      </c>
      <c r="L3911">
        <v>140.24</v>
      </c>
      <c r="M3911">
        <v>-0.99990290000000004</v>
      </c>
      <c r="N3911">
        <v>0</v>
      </c>
      <c r="O3911">
        <v>1.0006869999999999E-2</v>
      </c>
      <c r="P3911">
        <v>-0.99283330000000003</v>
      </c>
      <c r="Q3911">
        <v>0.1120829</v>
      </c>
      <c r="R3911">
        <v>-4.1464769999999998E-2</v>
      </c>
      <c r="S3911">
        <v>-3.0188290000000002</v>
      </c>
      <c r="T3911">
        <v>1.0652540000000001E-3</v>
      </c>
      <c r="U3911">
        <v>-6.6482540000000007E-2</v>
      </c>
      <c r="V3911">
        <v>-5.1481619999999999E-2</v>
      </c>
      <c r="W3911">
        <v>0.1216631</v>
      </c>
      <c r="X3911">
        <v>0.99123539999999999</v>
      </c>
      <c r="Y3911">
        <v>-3.2021099999999997E-2</v>
      </c>
      <c r="Z3911" s="1">
        <v>9.1798720000000001E-6</v>
      </c>
      <c r="AA3911">
        <v>0.99948720000000002</v>
      </c>
      <c r="AB3911">
        <v>41</v>
      </c>
      <c r="AC3911">
        <v>-3.0188290000000002</v>
      </c>
      <c r="AD3911">
        <v>1.0652540000000001E-3</v>
      </c>
      <c r="AE3911">
        <v>-6.6482540000000007E-2</v>
      </c>
      <c r="AF3911">
        <v>-9.6689648956184399E-2</v>
      </c>
      <c r="AG3911">
        <v>1.0652540000000001E-3</v>
      </c>
      <c r="AH3911">
        <v>3.0180121440476002</v>
      </c>
      <c r="AI3911">
        <v>89.979786941229605</v>
      </c>
      <c r="AJ3911">
        <v>91.834987507167298</v>
      </c>
      <c r="AK3911">
        <v>3.01956078339221</v>
      </c>
      <c r="AL3911">
        <v>83.011905064837904</v>
      </c>
      <c r="AM3911">
        <v>92.973089585203198</v>
      </c>
      <c r="AN3911">
        <v>0.99999994265629499</v>
      </c>
    </row>
    <row r="3912" spans="1:40" x14ac:dyDescent="0.25">
      <c r="A3912" t="str">
        <f>"20190312151617020"</f>
        <v>20190312151617020</v>
      </c>
      <c r="B3912" t="str">
        <f>"1552374977011848"</f>
        <v>1552374977011848</v>
      </c>
      <c r="C3912" t="s">
        <v>40</v>
      </c>
      <c r="D3912">
        <v>4.5910060000000001</v>
      </c>
      <c r="E3912">
        <v>0.47670889999999999</v>
      </c>
      <c r="F3912" t="s">
        <v>64</v>
      </c>
      <c r="G3912">
        <v>-477.80720000000002</v>
      </c>
      <c r="H3912">
        <v>7.9986570000000007E-2</v>
      </c>
      <c r="I3912">
        <v>126.76220000000001</v>
      </c>
      <c r="J3912">
        <v>-301.62639999999999</v>
      </c>
      <c r="K3912">
        <v>1.109518</v>
      </c>
      <c r="L3912">
        <v>140.24379999999999</v>
      </c>
      <c r="M3912">
        <v>-0.9999055</v>
      </c>
      <c r="N3912">
        <v>0</v>
      </c>
      <c r="O3912">
        <v>9.7479699999999999E-3</v>
      </c>
      <c r="P3912">
        <v>-0.99272870000000002</v>
      </c>
      <c r="Q3912">
        <v>0.1123585</v>
      </c>
      <c r="R3912">
        <v>-4.3191920000000002E-2</v>
      </c>
      <c r="S3912">
        <v>-3.014008</v>
      </c>
      <c r="T3912">
        <v>-1.757336E-2</v>
      </c>
      <c r="U3912">
        <v>-0.23005680000000001</v>
      </c>
      <c r="V3912">
        <v>-5.2951119999999997E-2</v>
      </c>
      <c r="W3912">
        <v>0.1219423</v>
      </c>
      <c r="X3912">
        <v>0.99112370000000005</v>
      </c>
      <c r="Y3912">
        <v>-8.5822750000000003E-2</v>
      </c>
      <c r="Z3912">
        <v>-3.065923E-4</v>
      </c>
      <c r="AA3912">
        <v>0.99631040000000004</v>
      </c>
      <c r="AB3912">
        <v>41</v>
      </c>
      <c r="AC3912">
        <v>-176.1808</v>
      </c>
      <c r="AD3912">
        <v>-1.02953143</v>
      </c>
      <c r="AE3912">
        <v>-13.481599999999901</v>
      </c>
      <c r="AF3912">
        <v>-15.1979292895735</v>
      </c>
      <c r="AG3912">
        <v>-1.02953143</v>
      </c>
      <c r="AH3912">
        <v>176.035027794256</v>
      </c>
      <c r="AI3912">
        <v>90.333845625886994</v>
      </c>
      <c r="AJ3912">
        <v>94.934377794847904</v>
      </c>
      <c r="AK3912">
        <v>176.69286346703601</v>
      </c>
      <c r="AL3912">
        <v>82.995788253059899</v>
      </c>
      <c r="AM3912">
        <v>93.0581390927873</v>
      </c>
      <c r="AN3912">
        <v>0.99999996717011597</v>
      </c>
    </row>
    <row r="3913" spans="1:40" x14ac:dyDescent="0.25">
      <c r="A3913" t="str">
        <f>"20190312151617041"</f>
        <v>20190312151617041</v>
      </c>
      <c r="B3913" t="str">
        <f>"1552374977031367"</f>
        <v>1552374977031367</v>
      </c>
      <c r="C3913" t="s">
        <v>40</v>
      </c>
      <c r="D3913">
        <v>4.660183</v>
      </c>
      <c r="E3913">
        <v>0.47135529999999998</v>
      </c>
      <c r="F3913" t="s">
        <v>43</v>
      </c>
      <c r="G3913">
        <v>-341.91739999999999</v>
      </c>
      <c r="H3913" s="1">
        <v>-4.110511E-6</v>
      </c>
      <c r="I3913">
        <v>135.89109999999999</v>
      </c>
      <c r="J3913">
        <v>-302.01710000000003</v>
      </c>
      <c r="K3913">
        <v>1.1095170000000001</v>
      </c>
      <c r="L3913">
        <v>140.2474</v>
      </c>
      <c r="M3913">
        <v>-0.99990800000000002</v>
      </c>
      <c r="N3913">
        <v>0</v>
      </c>
      <c r="O3913">
        <v>9.4913979999999998E-3</v>
      </c>
      <c r="P3913">
        <v>-0.99267329999999998</v>
      </c>
      <c r="Q3913">
        <v>0.11214059999999999</v>
      </c>
      <c r="R3913">
        <v>-4.5000970000000001E-2</v>
      </c>
      <c r="S3913">
        <v>-3.0171809999999999</v>
      </c>
      <c r="T3913">
        <v>-8.3086489999999999E-2</v>
      </c>
      <c r="U3913">
        <v>-0.32594299999999998</v>
      </c>
      <c r="V3913">
        <v>-5.4504539999999997E-2</v>
      </c>
      <c r="W3913">
        <v>0.1217279</v>
      </c>
      <c r="X3913">
        <v>0.99106590000000006</v>
      </c>
      <c r="Y3913">
        <v>-0.1167888</v>
      </c>
      <c r="Z3913">
        <v>-1.8636950000000001E-3</v>
      </c>
      <c r="AA3913">
        <v>0.99315500000000001</v>
      </c>
      <c r="AB3913">
        <v>41</v>
      </c>
      <c r="AC3913">
        <v>-39.900299999999902</v>
      </c>
      <c r="AD3913">
        <v>-1.1095211105110001</v>
      </c>
      <c r="AE3913">
        <v>-4.3563000000000001</v>
      </c>
      <c r="AF3913">
        <v>-4.73121585702639</v>
      </c>
      <c r="AG3913">
        <v>-1.1095211105110001</v>
      </c>
      <c r="AH3913">
        <v>39.826720066859203</v>
      </c>
      <c r="AI3913">
        <v>91.584637364935006</v>
      </c>
      <c r="AJ3913">
        <v>96.774703327560104</v>
      </c>
      <c r="AK3913">
        <v>40.122102036962197</v>
      </c>
      <c r="AL3913">
        <v>83.008165056116994</v>
      </c>
      <c r="AM3913">
        <v>93.147860677402903</v>
      </c>
      <c r="AN3913">
        <v>1.00000002233091</v>
      </c>
    </row>
    <row r="3914" spans="1:40" x14ac:dyDescent="0.25">
      <c r="A3914" t="str">
        <f>"20190312151617064"</f>
        <v>20190312151617064</v>
      </c>
      <c r="B3914" t="str">
        <f>"1552374977061623"</f>
        <v>1552374977061623</v>
      </c>
      <c r="C3914" t="s">
        <v>40</v>
      </c>
      <c r="D3914">
        <v>4.4492459999999996</v>
      </c>
      <c r="E3914">
        <v>0.46834429999999999</v>
      </c>
      <c r="F3914" t="s">
        <v>43</v>
      </c>
      <c r="G3914">
        <v>-329.28309999999999</v>
      </c>
      <c r="H3914" s="1">
        <v>-9.6359260000000002E-7</v>
      </c>
      <c r="I3914">
        <v>136.85929999999999</v>
      </c>
      <c r="J3914">
        <v>-302.4418</v>
      </c>
      <c r="K3914">
        <v>1.109518</v>
      </c>
      <c r="L3914">
        <v>140.25120000000001</v>
      </c>
      <c r="M3914">
        <v>-0.99991050000000004</v>
      </c>
      <c r="N3914">
        <v>0</v>
      </c>
      <c r="O3914">
        <v>9.2131890000000001E-3</v>
      </c>
      <c r="P3914">
        <v>-0.99256460000000002</v>
      </c>
      <c r="Q3914">
        <v>0.11224439999999999</v>
      </c>
      <c r="R3914">
        <v>-4.7086320000000001E-2</v>
      </c>
      <c r="S3914">
        <v>-3.019012</v>
      </c>
      <c r="T3914">
        <v>-0.1228508</v>
      </c>
      <c r="U3914">
        <v>-0.37513730000000001</v>
      </c>
      <c r="V3914">
        <v>-5.6313200000000001E-2</v>
      </c>
      <c r="W3914">
        <v>0.1218344</v>
      </c>
      <c r="X3914">
        <v>0.99095169999999999</v>
      </c>
      <c r="Y3914">
        <v>-0.1323327</v>
      </c>
      <c r="Z3914">
        <v>-3.0544389999999999E-3</v>
      </c>
      <c r="AA3914">
        <v>0.99120059999999999</v>
      </c>
      <c r="AB3914">
        <v>41</v>
      </c>
      <c r="AC3914">
        <v>-26.841299999999901</v>
      </c>
      <c r="AD3914">
        <v>-1.1095189635925999</v>
      </c>
      <c r="AE3914">
        <v>-3.3919000000000201</v>
      </c>
      <c r="AF3914">
        <v>-3.6329516292052899</v>
      </c>
      <c r="AG3914">
        <v>-1.1095189635925999</v>
      </c>
      <c r="AH3914">
        <v>26.763896696074902</v>
      </c>
      <c r="AI3914">
        <v>92.352335497201594</v>
      </c>
      <c r="AJ3914">
        <v>97.730126319877797</v>
      </c>
      <c r="AK3914">
        <v>27.032120453802499</v>
      </c>
      <c r="AL3914">
        <v>83.002017384290298</v>
      </c>
      <c r="AM3914">
        <v>93.252471565666795</v>
      </c>
      <c r="AN3914">
        <v>1.00000003462524</v>
      </c>
    </row>
    <row r="3915" spans="1:40" x14ac:dyDescent="0.25">
      <c r="A3915" t="str">
        <f>"20190312151617087"</f>
        <v>20190312151617087</v>
      </c>
      <c r="B3915" t="str">
        <f>"1552374977082120"</f>
        <v>1552374977082120</v>
      </c>
      <c r="C3915" t="s">
        <v>40</v>
      </c>
      <c r="D3915">
        <v>4.4599599999999997</v>
      </c>
      <c r="E3915">
        <v>0.46729009999999999</v>
      </c>
      <c r="F3915" t="s">
        <v>43</v>
      </c>
      <c r="G3915">
        <v>-328.06900000000002</v>
      </c>
      <c r="H3915" s="1">
        <v>-1.3906089999999999E-6</v>
      </c>
      <c r="I3915">
        <v>136.8073</v>
      </c>
      <c r="J3915">
        <v>-302.8698</v>
      </c>
      <c r="K3915">
        <v>1.1095269999999999</v>
      </c>
      <c r="L3915">
        <v>140.25489999999999</v>
      </c>
      <c r="M3915">
        <v>-0.99991300000000005</v>
      </c>
      <c r="N3915">
        <v>0</v>
      </c>
      <c r="O3915">
        <v>8.9327150000000008E-3</v>
      </c>
      <c r="P3915">
        <v>-0.99247169999999896</v>
      </c>
      <c r="Q3915">
        <v>0.1123266</v>
      </c>
      <c r="R3915">
        <v>-4.8815810000000001E-2</v>
      </c>
      <c r="S3915">
        <v>-3.018005</v>
      </c>
      <c r="T3915">
        <v>-0.1306639</v>
      </c>
      <c r="U3915">
        <v>-0.40556340000000002</v>
      </c>
      <c r="V3915">
        <v>-5.7764120000000002E-2</v>
      </c>
      <c r="W3915">
        <v>0.1219196</v>
      </c>
      <c r="X3915">
        <v>0.99085769999999995</v>
      </c>
      <c r="Y3915">
        <v>-0.14189350000000001</v>
      </c>
      <c r="Z3915">
        <v>-3.4413709999999999E-3</v>
      </c>
      <c r="AA3915">
        <v>0.98987599999999998</v>
      </c>
      <c r="AB3915">
        <v>41</v>
      </c>
      <c r="AC3915">
        <v>-25.199200000000001</v>
      </c>
      <c r="AD3915">
        <v>-1.1095283906090001</v>
      </c>
      <c r="AE3915">
        <v>-3.4475999999999898</v>
      </c>
      <c r="AF3915">
        <v>-3.6655945151831699</v>
      </c>
      <c r="AG3915">
        <v>-1.1095283906090001</v>
      </c>
      <c r="AH3915">
        <v>25.119592895063299</v>
      </c>
      <c r="AI3915">
        <v>92.502630212314401</v>
      </c>
      <c r="AJ3915">
        <v>98.302327669360807</v>
      </c>
      <c r="AK3915">
        <v>25.409871774824499</v>
      </c>
      <c r="AL3915">
        <v>82.997099101201201</v>
      </c>
      <c r="AM3915">
        <v>93.336400961953998</v>
      </c>
      <c r="AN3915">
        <v>1.00000003203641</v>
      </c>
    </row>
    <row r="3916" spans="1:40" x14ac:dyDescent="0.25">
      <c r="A3916" t="str">
        <f>"20190312151617110"</f>
        <v>20190312151617110</v>
      </c>
      <c r="B3916" t="str">
        <f>"1552374977101640"</f>
        <v>1552374977101640</v>
      </c>
      <c r="C3916" t="s">
        <v>40</v>
      </c>
      <c r="D3916">
        <v>5.1158210000000004</v>
      </c>
      <c r="E3916">
        <v>0.4666941</v>
      </c>
      <c r="F3916" t="s">
        <v>43</v>
      </c>
      <c r="G3916">
        <v>-329.37220000000002</v>
      </c>
      <c r="H3916" s="1">
        <v>-1.009308E-6</v>
      </c>
      <c r="I3916">
        <v>136.5735</v>
      </c>
      <c r="J3916">
        <v>-303.29059999999998</v>
      </c>
      <c r="K3916">
        <v>1.1095330000000001</v>
      </c>
      <c r="L3916">
        <v>140.25839999999999</v>
      </c>
      <c r="M3916">
        <v>-0.99991540000000001</v>
      </c>
      <c r="N3916">
        <v>0</v>
      </c>
      <c r="O3916">
        <v>8.6567750000000002E-3</v>
      </c>
      <c r="P3916">
        <v>-0.99234319999999998</v>
      </c>
      <c r="Q3916">
        <v>0.11272600000000001</v>
      </c>
      <c r="R3916">
        <v>-5.0480440000000001E-2</v>
      </c>
      <c r="S3916">
        <v>-3.0164179999999998</v>
      </c>
      <c r="T3916">
        <v>-0.12628329999999999</v>
      </c>
      <c r="U3916">
        <v>-0.41899110000000001</v>
      </c>
      <c r="V3916">
        <v>-5.9154440000000003E-2</v>
      </c>
      <c r="W3916">
        <v>0.1223219</v>
      </c>
      <c r="X3916">
        <v>0.99072610000000005</v>
      </c>
      <c r="Y3916">
        <v>-0.14601929999999999</v>
      </c>
      <c r="Z3916">
        <v>-3.4012550000000002E-3</v>
      </c>
      <c r="AA3916">
        <v>0.98927589999999999</v>
      </c>
      <c r="AB3916">
        <v>41</v>
      </c>
      <c r="AC3916">
        <v>-26.081600000000002</v>
      </c>
      <c r="AD3916">
        <v>-1.1095340093079999</v>
      </c>
      <c r="AE3916">
        <v>-3.6848999999999901</v>
      </c>
      <c r="AF3916">
        <v>-3.9036288526975298</v>
      </c>
      <c r="AG3916">
        <v>-1.1095340093079999</v>
      </c>
      <c r="AH3916">
        <v>26.002585146841401</v>
      </c>
      <c r="AI3916">
        <v>92.416292746306894</v>
      </c>
      <c r="AJ3916">
        <v>98.537749938905307</v>
      </c>
      <c r="AK3916">
        <v>26.317367236411801</v>
      </c>
      <c r="AL3916">
        <v>82.973875312089405</v>
      </c>
      <c r="AM3916">
        <v>93.416969284805006</v>
      </c>
      <c r="AN3916">
        <v>1.00000005010626</v>
      </c>
    </row>
    <row r="3917" spans="1:40" x14ac:dyDescent="0.25">
      <c r="A3917" t="str">
        <f>"20190312151617131"</f>
        <v>20190312151617131</v>
      </c>
      <c r="B3917" t="str">
        <f>"1552374977122136"</f>
        <v>1552374977122136</v>
      </c>
      <c r="C3917" t="s">
        <v>40</v>
      </c>
      <c r="D3917">
        <v>4.4779790000000004</v>
      </c>
      <c r="E3917">
        <v>0.4661053</v>
      </c>
      <c r="F3917" t="s">
        <v>43</v>
      </c>
      <c r="G3917">
        <v>-330.38929999999999</v>
      </c>
      <c r="H3917" s="1">
        <v>-5.0938250000000003E-6</v>
      </c>
      <c r="I3917">
        <v>136.4014</v>
      </c>
      <c r="J3917">
        <v>-303.68270000000001</v>
      </c>
      <c r="K3917">
        <v>1.109534</v>
      </c>
      <c r="L3917">
        <v>140.26159999999999</v>
      </c>
      <c r="M3917">
        <v>-0.99991750000000001</v>
      </c>
      <c r="N3917">
        <v>0</v>
      </c>
      <c r="O3917">
        <v>8.3999109999999995E-3</v>
      </c>
      <c r="P3917">
        <v>-0.99221530000000002</v>
      </c>
      <c r="Q3917">
        <v>0.1132899</v>
      </c>
      <c r="R3917">
        <v>-5.1713330000000002E-2</v>
      </c>
      <c r="S3917">
        <v>-3.0154109999999998</v>
      </c>
      <c r="T3917">
        <v>-0.1234645</v>
      </c>
      <c r="U3917">
        <v>-0.4291992</v>
      </c>
      <c r="V3917">
        <v>-6.0132320000000003E-2</v>
      </c>
      <c r="W3917">
        <v>0.12288880000000001</v>
      </c>
      <c r="X3917">
        <v>0.99059699999999995</v>
      </c>
      <c r="Y3917">
        <v>-0.14909710000000001</v>
      </c>
      <c r="Z3917">
        <v>-3.3779220000000002E-3</v>
      </c>
      <c r="AA3917">
        <v>0.98881680000000005</v>
      </c>
      <c r="AB3917">
        <v>41</v>
      </c>
      <c r="AC3917">
        <v>-26.706599999999899</v>
      </c>
      <c r="AD3917">
        <v>-1.1095390938249901</v>
      </c>
      <c r="AE3917">
        <v>-3.8601999999999901</v>
      </c>
      <c r="AF3917">
        <v>-4.0775135782440497</v>
      </c>
      <c r="AG3917">
        <v>-1.1095390938249901</v>
      </c>
      <c r="AH3917">
        <v>26.628210355565098</v>
      </c>
      <c r="AI3917">
        <v>92.358549287922202</v>
      </c>
      <c r="AJ3917">
        <v>98.705938963598697</v>
      </c>
      <c r="AK3917">
        <v>26.961431355210301</v>
      </c>
      <c r="AL3917">
        <v>82.941146956689593</v>
      </c>
      <c r="AM3917">
        <v>93.473769474950203</v>
      </c>
      <c r="AN3917">
        <v>0.99999998474151097</v>
      </c>
    </row>
    <row r="3918" spans="1:40" x14ac:dyDescent="0.25">
      <c r="A3918" t="str">
        <f>"20190312151617155"</f>
        <v>20190312151617155</v>
      </c>
      <c r="B3918" t="str">
        <f>"1552374977151416"</f>
        <v>1552374977151416</v>
      </c>
      <c r="C3918" t="s">
        <v>40</v>
      </c>
      <c r="D3918">
        <v>4.6010790000000004</v>
      </c>
      <c r="E3918">
        <v>0.46540419999999999</v>
      </c>
      <c r="F3918" t="s">
        <v>43</v>
      </c>
      <c r="G3918">
        <v>-331.4676</v>
      </c>
      <c r="H3918" s="1">
        <v>-4.6146179999999999E-6</v>
      </c>
      <c r="I3918">
        <v>136.22909999999999</v>
      </c>
      <c r="J3918">
        <v>-304.1164</v>
      </c>
      <c r="K3918">
        <v>1.1095410000000001</v>
      </c>
      <c r="L3918">
        <v>140.26499999999999</v>
      </c>
      <c r="M3918">
        <v>-0.99991969999999997</v>
      </c>
      <c r="N3918">
        <v>0</v>
      </c>
      <c r="O3918">
        <v>8.1158069999999992E-3</v>
      </c>
      <c r="P3918">
        <v>-0.99204669999999895</v>
      </c>
      <c r="Q3918">
        <v>0.11392330000000001</v>
      </c>
      <c r="R3918">
        <v>-5.3525299999999998E-2</v>
      </c>
      <c r="S3918">
        <v>-3.014465</v>
      </c>
      <c r="T3918">
        <v>-0.1203771</v>
      </c>
      <c r="U3918">
        <v>-0.4375</v>
      </c>
      <c r="V3918">
        <v>-6.1661550000000002E-2</v>
      </c>
      <c r="W3918">
        <v>0.1235238</v>
      </c>
      <c r="X3918">
        <v>0.99042399999999997</v>
      </c>
      <c r="Y3918">
        <v>-0.15153139999999901</v>
      </c>
      <c r="Z3918">
        <v>-3.3309500000000001E-3</v>
      </c>
      <c r="AA3918">
        <v>0.98844679999999996</v>
      </c>
      <c r="AB3918">
        <v>42</v>
      </c>
      <c r="AC3918">
        <v>-27.351199999999999</v>
      </c>
      <c r="AD3918">
        <v>-1.1095456146179901</v>
      </c>
      <c r="AE3918">
        <v>-4.0358999999999901</v>
      </c>
      <c r="AF3918">
        <v>-4.2509082075568898</v>
      </c>
      <c r="AG3918">
        <v>-1.1095456146179901</v>
      </c>
      <c r="AH3918">
        <v>27.2736165972441</v>
      </c>
      <c r="AI3918">
        <v>92.301861843633802</v>
      </c>
      <c r="AJ3918">
        <v>98.858931845390501</v>
      </c>
      <c r="AK3918">
        <v>27.625196367690499</v>
      </c>
      <c r="AL3918">
        <v>82.904484831650805</v>
      </c>
      <c r="AM3918">
        <v>93.562507131364697</v>
      </c>
      <c r="AN3918">
        <v>0.99999998784542099</v>
      </c>
    </row>
    <row r="3919" spans="1:40" x14ac:dyDescent="0.25">
      <c r="A3919" t="str">
        <f>"20190312151617176"</f>
        <v>20190312151617176</v>
      </c>
      <c r="B3919" t="str">
        <f>"1552374977171912"</f>
        <v>1552374977171912</v>
      </c>
      <c r="C3919" t="s">
        <v>40</v>
      </c>
      <c r="D3919">
        <v>4.574236</v>
      </c>
      <c r="E3919">
        <v>0.46501039999999999</v>
      </c>
      <c r="F3919" t="s">
        <v>43</v>
      </c>
      <c r="G3919">
        <v>-328.95909999999998</v>
      </c>
      <c r="H3919" s="1">
        <v>-1.151819E-6</v>
      </c>
      <c r="I3919">
        <v>136.56630000000001</v>
      </c>
      <c r="J3919">
        <v>-304.53359999999998</v>
      </c>
      <c r="K3919">
        <v>1.1095440000000001</v>
      </c>
      <c r="L3919">
        <v>140.26820000000001</v>
      </c>
      <c r="M3919">
        <v>-0.99992199999999998</v>
      </c>
      <c r="N3919">
        <v>0</v>
      </c>
      <c r="O3919">
        <v>7.8426119999999901E-3</v>
      </c>
      <c r="P3919">
        <v>-0.9919133</v>
      </c>
      <c r="Q3919">
        <v>0.1143311</v>
      </c>
      <c r="R3919">
        <v>-5.5106809999999999E-2</v>
      </c>
      <c r="S3919">
        <v>-3.0152890000000001</v>
      </c>
      <c r="T3919">
        <v>-0.13467119999999999</v>
      </c>
      <c r="U3919">
        <v>-0.44892880000000002</v>
      </c>
      <c r="V3919">
        <v>-6.2971170000000007E-2</v>
      </c>
      <c r="W3919">
        <v>0.12393410000000001</v>
      </c>
      <c r="X3919">
        <v>0.99029029999999996</v>
      </c>
      <c r="Y3919">
        <v>-0.1548552</v>
      </c>
      <c r="Z3919">
        <v>-3.7857400000000001E-3</v>
      </c>
      <c r="AA3919">
        <v>0.98792990000000003</v>
      </c>
      <c r="AB3919">
        <v>42</v>
      </c>
      <c r="AC3919">
        <v>-24.4255</v>
      </c>
      <c r="AD3919">
        <v>-1.109545151819</v>
      </c>
      <c r="AE3919">
        <v>-3.70189999999999</v>
      </c>
      <c r="AF3919">
        <v>-3.8855172064442902</v>
      </c>
      <c r="AG3919">
        <v>-1.109545151819</v>
      </c>
      <c r="AH3919">
        <v>24.346603848157699</v>
      </c>
      <c r="AI3919">
        <v>92.576765561398204</v>
      </c>
      <c r="AJ3919">
        <v>99.067468540715197</v>
      </c>
      <c r="AK3919">
        <v>24.6796566699098</v>
      </c>
      <c r="AL3919">
        <v>82.880794092927502</v>
      </c>
      <c r="AM3919">
        <v>93.6384594152196</v>
      </c>
      <c r="AN3919">
        <v>0.99999995383403295</v>
      </c>
    </row>
    <row r="3920" spans="1:40" x14ac:dyDescent="0.25">
      <c r="A3920" t="str">
        <f>"20190312151617198"</f>
        <v>20190312151617198</v>
      </c>
      <c r="B3920" t="str">
        <f>"1552374977191435"</f>
        <v>1552374977191435</v>
      </c>
      <c r="C3920" t="s">
        <v>40</v>
      </c>
      <c r="D3920">
        <v>4.6089060000000002</v>
      </c>
      <c r="E3920">
        <v>0.46464749999999999</v>
      </c>
      <c r="F3920" t="s">
        <v>43</v>
      </c>
      <c r="G3920">
        <v>-327.55759999999998</v>
      </c>
      <c r="H3920" s="1">
        <v>-1.5733119999999999E-6</v>
      </c>
      <c r="I3920">
        <v>136.77459999999999</v>
      </c>
      <c r="J3920">
        <v>-304.93079999999998</v>
      </c>
      <c r="K3920">
        <v>1.1095459999999999</v>
      </c>
      <c r="L3920">
        <v>140.27109999999999</v>
      </c>
      <c r="M3920">
        <v>-0.99992380000000003</v>
      </c>
      <c r="N3920">
        <v>0</v>
      </c>
      <c r="O3920">
        <v>7.5825919999999896E-3</v>
      </c>
      <c r="P3920">
        <v>-0.99188829999999995</v>
      </c>
      <c r="Q3920">
        <v>0.11392869999999999</v>
      </c>
      <c r="R3920">
        <v>-5.6372470000000001E-2</v>
      </c>
      <c r="S3920">
        <v>-3.0158079999999998</v>
      </c>
      <c r="T3920">
        <v>-0.14533409999999999</v>
      </c>
      <c r="U3920">
        <v>-0.4575958</v>
      </c>
      <c r="V3920">
        <v>-6.3979199999999903E-2</v>
      </c>
      <c r="W3920">
        <v>0.123535199999999</v>
      </c>
      <c r="X3920">
        <v>0.99027560000000003</v>
      </c>
      <c r="Y3920">
        <v>-0.15732109999999999</v>
      </c>
      <c r="Z3920">
        <v>-4.1301840000000003E-3</v>
      </c>
      <c r="AA3920">
        <v>0.9875389</v>
      </c>
      <c r="AB3920">
        <v>42</v>
      </c>
      <c r="AC3920">
        <v>-22.626799999999999</v>
      </c>
      <c r="AD3920">
        <v>-1.1095475733119999</v>
      </c>
      <c r="AE3920">
        <v>-3.4964999999999899</v>
      </c>
      <c r="AF3920">
        <v>-3.6593832206695098</v>
      </c>
      <c r="AG3920">
        <v>-1.1095475733119999</v>
      </c>
      <c r="AH3920">
        <v>22.546684014035101</v>
      </c>
      <c r="AI3920">
        <v>92.780984539585006</v>
      </c>
      <c r="AJ3920">
        <v>99.218861201395299</v>
      </c>
      <c r="AK3920">
        <v>22.8686497503002</v>
      </c>
      <c r="AL3920">
        <v>82.903826874984702</v>
      </c>
      <c r="AM3920">
        <v>93.696597650275805</v>
      </c>
      <c r="AN3920">
        <v>1.0000000238135101</v>
      </c>
    </row>
    <row r="3921" spans="1:40" x14ac:dyDescent="0.25">
      <c r="A3921" t="str">
        <f>"20190312151617220"</f>
        <v>20190312151617220</v>
      </c>
      <c r="B3921" t="str">
        <f>"1552374977211927"</f>
        <v>1552374977211927</v>
      </c>
      <c r="C3921" t="s">
        <v>40</v>
      </c>
      <c r="D3921">
        <v>4.4786890000000001</v>
      </c>
      <c r="E3921">
        <v>0.46446169999999998</v>
      </c>
      <c r="F3921" t="s">
        <v>43</v>
      </c>
      <c r="G3921">
        <v>-326.73050000000001</v>
      </c>
      <c r="H3921" s="1">
        <v>-1.864827E-6</v>
      </c>
      <c r="I3921">
        <v>136.9109</v>
      </c>
      <c r="J3921">
        <v>-305.34120000000001</v>
      </c>
      <c r="K3921">
        <v>1.1095410000000001</v>
      </c>
      <c r="L3921">
        <v>140.274</v>
      </c>
      <c r="M3921">
        <v>-0.99992590000000003</v>
      </c>
      <c r="N3921">
        <v>0</v>
      </c>
      <c r="O3921">
        <v>7.31416599999999E-3</v>
      </c>
      <c r="P3921">
        <v>-0.99173750000000005</v>
      </c>
      <c r="Q3921">
        <v>0.1139911</v>
      </c>
      <c r="R3921">
        <v>-5.8847049999999998E-2</v>
      </c>
      <c r="S3921">
        <v>-3.0157470000000002</v>
      </c>
      <c r="T3921">
        <v>-0.15349450000000001</v>
      </c>
      <c r="U3921">
        <v>-0.46484379999999997</v>
      </c>
      <c r="V3921">
        <v>-6.6186519999999999E-2</v>
      </c>
      <c r="W3921">
        <v>0.1235991</v>
      </c>
      <c r="X3921">
        <v>0.99012250000000002</v>
      </c>
      <c r="Y3921">
        <v>-0.159354</v>
      </c>
      <c r="Z3921">
        <v>-4.3989260000000001E-3</v>
      </c>
      <c r="AA3921">
        <v>0.98721170000000003</v>
      </c>
      <c r="AB3921">
        <v>42</v>
      </c>
      <c r="AC3921">
        <v>-21.389299999999899</v>
      </c>
      <c r="AD3921">
        <v>-1.10954286482699</v>
      </c>
      <c r="AE3921">
        <v>-3.3631000000000002</v>
      </c>
      <c r="AF3921">
        <v>-3.5102445525870798</v>
      </c>
      <c r="AG3921">
        <v>-1.10954286482699</v>
      </c>
      <c r="AH3921">
        <v>21.308173855544499</v>
      </c>
      <c r="AI3921">
        <v>92.941198383751896</v>
      </c>
      <c r="AJ3921">
        <v>99.354714842372601</v>
      </c>
      <c r="AK3921">
        <v>21.623856622859101</v>
      </c>
      <c r="AL3921">
        <v>82.900137079443695</v>
      </c>
      <c r="AM3921">
        <v>93.824349881245794</v>
      </c>
      <c r="AN3921">
        <v>0.999999978978385</v>
      </c>
    </row>
    <row r="3922" spans="1:40" x14ac:dyDescent="0.25">
      <c r="A3922" t="str">
        <f>"20190312151617233"</f>
        <v>20190312151617233</v>
      </c>
      <c r="B3922" t="str">
        <f>"1552374977221687"</f>
        <v>1552374977221687</v>
      </c>
      <c r="C3922" t="s">
        <v>40</v>
      </c>
      <c r="D3922">
        <v>4.6470349999999998</v>
      </c>
      <c r="E3922">
        <v>0.46463120000000002</v>
      </c>
      <c r="F3922" t="s">
        <v>43</v>
      </c>
      <c r="G3922">
        <v>-325.85890000000001</v>
      </c>
      <c r="H3922" s="1">
        <v>-2.2141679999999999E-6</v>
      </c>
      <c r="I3922">
        <v>137.04920000000001</v>
      </c>
      <c r="J3922">
        <v>-305.58429999999998</v>
      </c>
      <c r="K3922">
        <v>1.1095389999999901</v>
      </c>
      <c r="L3922">
        <v>140.2757</v>
      </c>
      <c r="M3922">
        <v>-0.99992700000000001</v>
      </c>
      <c r="N3922">
        <v>0</v>
      </c>
      <c r="O3922">
        <v>7.1549469999999896E-3</v>
      </c>
      <c r="P3922">
        <v>-0.99168959999999995</v>
      </c>
      <c r="Q3922">
        <v>0.1138274</v>
      </c>
      <c r="R3922">
        <v>-5.9963320000000001E-2</v>
      </c>
      <c r="S3922">
        <v>-3.015625</v>
      </c>
      <c r="T3922">
        <v>-0.16307720000000001</v>
      </c>
      <c r="U3922">
        <v>-0.47395320000000002</v>
      </c>
      <c r="V3922">
        <v>-6.7144389999999998E-2</v>
      </c>
      <c r="W3922">
        <v>0.1234368</v>
      </c>
      <c r="X3922">
        <v>0.99007829999999997</v>
      </c>
      <c r="Y3922">
        <v>-0.16208310000000001</v>
      </c>
      <c r="Z3922">
        <v>-4.737018E-3</v>
      </c>
      <c r="AA3922">
        <v>0.98676569999999997</v>
      </c>
      <c r="AB3922">
        <v>42</v>
      </c>
      <c r="AC3922">
        <v>-20.2746</v>
      </c>
      <c r="AD3922">
        <v>-1.1095412141679999</v>
      </c>
      <c r="AE3922">
        <v>-3.2264999999999802</v>
      </c>
      <c r="AF3922">
        <v>-3.3616687838393502</v>
      </c>
      <c r="AG3922">
        <v>-1.1095412141679999</v>
      </c>
      <c r="AH3922">
        <v>20.1920150757662</v>
      </c>
      <c r="AI3922">
        <v>93.102592945184</v>
      </c>
      <c r="AJ3922">
        <v>99.452197679689903</v>
      </c>
      <c r="AK3922">
        <v>20.499984671656399</v>
      </c>
      <c r="AL3922">
        <v>82.909508281666405</v>
      </c>
      <c r="AM3922">
        <v>93.879701804479296</v>
      </c>
      <c r="AN3922">
        <v>1.0000000264168001</v>
      </c>
    </row>
    <row r="3923" spans="1:40" x14ac:dyDescent="0.25">
      <c r="A3923" t="str">
        <f>"20190312151617253"</f>
        <v>20190312151617253</v>
      </c>
      <c r="B3923" t="str">
        <f>"1552374977242184"</f>
        <v>1552374977242184</v>
      </c>
      <c r="C3923" t="s">
        <v>40</v>
      </c>
      <c r="D3923">
        <v>4.4382799999999998</v>
      </c>
      <c r="E3923">
        <v>0.46454689999999998</v>
      </c>
      <c r="F3923" t="s">
        <v>43</v>
      </c>
      <c r="G3923">
        <v>-325.07799999999997</v>
      </c>
      <c r="H3923" s="1">
        <v>-2.5230280000000002E-6</v>
      </c>
      <c r="I3923">
        <v>137.19669999999999</v>
      </c>
      <c r="J3923">
        <v>-305.96879999999999</v>
      </c>
      <c r="K3923">
        <v>1.1095280000000001</v>
      </c>
      <c r="L3923">
        <v>140.2782</v>
      </c>
      <c r="M3923">
        <v>-0.99992859999999995</v>
      </c>
      <c r="N3923">
        <v>0</v>
      </c>
      <c r="O3923">
        <v>6.9034509999999997E-3</v>
      </c>
      <c r="P3923">
        <v>-0.99168020000000001</v>
      </c>
      <c r="Q3923">
        <v>0.11302520000000001</v>
      </c>
      <c r="R3923">
        <v>-6.1609280000000002E-2</v>
      </c>
      <c r="S3923">
        <v>-3.0160520000000002</v>
      </c>
      <c r="T3923">
        <v>-0.17166809999999999</v>
      </c>
      <c r="U3923">
        <v>-0.47636410000000001</v>
      </c>
      <c r="V3923">
        <v>-6.8540550000000006E-2</v>
      </c>
      <c r="W3923">
        <v>0.1226375</v>
      </c>
      <c r="X3923">
        <v>0.99008189999999996</v>
      </c>
      <c r="Y3923">
        <v>-0.1625569</v>
      </c>
      <c r="Z3923">
        <v>-4.9843400000000003E-3</v>
      </c>
      <c r="AA3923">
        <v>0.98668659999999997</v>
      </c>
      <c r="AB3923">
        <v>42</v>
      </c>
      <c r="AC3923">
        <v>-19.109199999999898</v>
      </c>
      <c r="AD3923">
        <v>-1.1095305230279999</v>
      </c>
      <c r="AE3923">
        <v>-3.0815000000000001</v>
      </c>
      <c r="AF3923">
        <v>-3.2028283309377201</v>
      </c>
      <c r="AG3923">
        <v>-1.1095305230279999</v>
      </c>
      <c r="AH3923">
        <v>19.024957918114101</v>
      </c>
      <c r="AI3923">
        <v>93.291481530194602</v>
      </c>
      <c r="AJ3923">
        <v>99.556069372822094</v>
      </c>
      <c r="AK3923">
        <v>19.324548923196101</v>
      </c>
      <c r="AL3923">
        <v>82.955654993867697</v>
      </c>
      <c r="AM3923">
        <v>93.960105556367594</v>
      </c>
      <c r="AN3923">
        <v>0.99999996605408004</v>
      </c>
    </row>
    <row r="3924" spans="1:40" x14ac:dyDescent="0.25">
      <c r="A3924" t="str">
        <f>"20190312151617275"</f>
        <v>20190312151617275</v>
      </c>
      <c r="B3924" t="str">
        <f>"1552374977271465"</f>
        <v>1552374977271465</v>
      </c>
      <c r="C3924" t="s">
        <v>40</v>
      </c>
      <c r="D3924">
        <v>4.4318980000000003</v>
      </c>
      <c r="E3924">
        <v>0.46470270000000002</v>
      </c>
      <c r="F3924" t="s">
        <v>43</v>
      </c>
      <c r="G3924">
        <v>-323.97340000000003</v>
      </c>
      <c r="H3924" s="1">
        <v>-2.9614300000000001E-6</v>
      </c>
      <c r="I3924">
        <v>137.39680000000001</v>
      </c>
      <c r="J3924">
        <v>-306.37729999999999</v>
      </c>
      <c r="K3924">
        <v>1.109524</v>
      </c>
      <c r="L3924">
        <v>140.2808</v>
      </c>
      <c r="M3924">
        <v>-0.9999304</v>
      </c>
      <c r="N3924">
        <v>0</v>
      </c>
      <c r="O3924">
        <v>6.6362779999999998E-3</v>
      </c>
      <c r="P3924">
        <v>-0.99159529999999996</v>
      </c>
      <c r="Q3924">
        <v>0.1126786</v>
      </c>
      <c r="R3924">
        <v>-6.3582079999999999E-2</v>
      </c>
      <c r="S3924">
        <v>-3.0163570000000002</v>
      </c>
      <c r="T3924">
        <v>-0.18588360000000001</v>
      </c>
      <c r="U3924">
        <v>-0.48272710000000002</v>
      </c>
      <c r="V3924">
        <v>-7.0248249999999998E-2</v>
      </c>
      <c r="W3924">
        <v>0.1222935</v>
      </c>
      <c r="X3924">
        <v>0.99000480000000002</v>
      </c>
      <c r="Y3924">
        <v>-0.16425909999999999</v>
      </c>
      <c r="Z3924">
        <v>-5.4306449999999996E-3</v>
      </c>
      <c r="AA3924">
        <v>0.98640229999999995</v>
      </c>
      <c r="AB3924">
        <v>42</v>
      </c>
      <c r="AC3924">
        <v>-17.5961</v>
      </c>
      <c r="AD3924">
        <v>-1.1095269614299901</v>
      </c>
      <c r="AE3924">
        <v>-2.8839999999999799</v>
      </c>
      <c r="AF3924">
        <v>-2.9891408362903702</v>
      </c>
      <c r="AG3924">
        <v>-1.1095269614299901</v>
      </c>
      <c r="AH3924">
        <v>17.508779350871901</v>
      </c>
      <c r="AI3924">
        <v>93.5743919994311</v>
      </c>
      <c r="AJ3924">
        <v>99.688268407873693</v>
      </c>
      <c r="AK3924">
        <v>17.796723501106602</v>
      </c>
      <c r="AL3924">
        <v>82.975514540856807</v>
      </c>
      <c r="AM3924">
        <v>94.058761587275001</v>
      </c>
      <c r="AN3924">
        <v>1.00000001039667</v>
      </c>
    </row>
    <row r="3925" spans="1:40" x14ac:dyDescent="0.25">
      <c r="A3925" t="str">
        <f>"20190312151617298"</f>
        <v>20190312151617298</v>
      </c>
      <c r="B3925" t="str">
        <f>"1552374977291961"</f>
        <v>1552374977291961</v>
      </c>
      <c r="C3925" t="s">
        <v>40</v>
      </c>
      <c r="D3925">
        <v>4.5913940000000002</v>
      </c>
      <c r="E3925">
        <v>0.4644952</v>
      </c>
      <c r="F3925" t="s">
        <v>43</v>
      </c>
      <c r="G3925">
        <v>-323.84809999999999</v>
      </c>
      <c r="H3925" s="1">
        <v>-3.0048020000000001E-6</v>
      </c>
      <c r="I3925">
        <v>137.4554</v>
      </c>
      <c r="J3925">
        <v>-306.81799999999998</v>
      </c>
      <c r="K3925">
        <v>1.109523</v>
      </c>
      <c r="L3925">
        <v>140.2835</v>
      </c>
      <c r="M3925">
        <v>-0.9999323</v>
      </c>
      <c r="N3925">
        <v>0</v>
      </c>
      <c r="O3925">
        <v>6.3482419999999996E-3</v>
      </c>
      <c r="P3925">
        <v>-0.99149640000000006</v>
      </c>
      <c r="Q3925">
        <v>0.11247260000000001</v>
      </c>
      <c r="R3925">
        <v>-6.5460210000000005E-2</v>
      </c>
      <c r="S3925">
        <v>-3.01593</v>
      </c>
      <c r="T3925">
        <v>-0.19153609999999999</v>
      </c>
      <c r="U3925">
        <v>-0.48774719999999999</v>
      </c>
      <c r="V3925">
        <v>-7.1839440000000004E-2</v>
      </c>
      <c r="W3925">
        <v>0.12209</v>
      </c>
      <c r="X3925">
        <v>0.98991569999999995</v>
      </c>
      <c r="Y3925">
        <v>-0.16557559999999999</v>
      </c>
      <c r="Z3925">
        <v>-5.6188439999999996E-3</v>
      </c>
      <c r="AA3925">
        <v>0.98618110000000003</v>
      </c>
      <c r="AB3925">
        <v>42</v>
      </c>
      <c r="AC3925">
        <v>-17.030100000000001</v>
      </c>
      <c r="AD3925">
        <v>-1.1095260048019999</v>
      </c>
      <c r="AE3925">
        <v>-2.8281000000000001</v>
      </c>
      <c r="AF3925">
        <v>-2.9240807792117001</v>
      </c>
      <c r="AG3925">
        <v>-1.1095260048019999</v>
      </c>
      <c r="AH3925">
        <v>16.9418205358214</v>
      </c>
      <c r="AI3925">
        <v>93.692529980405993</v>
      </c>
      <c r="AJ3925">
        <v>99.792513248635899</v>
      </c>
      <c r="AK3925">
        <v>17.2280753256615</v>
      </c>
      <c r="AL3925">
        <v>82.987262071432397</v>
      </c>
      <c r="AM3925">
        <v>94.150750950147696</v>
      </c>
      <c r="AN3925">
        <v>0.99999998317300098</v>
      </c>
    </row>
    <row r="3926" spans="1:40" x14ac:dyDescent="0.25">
      <c r="A3926" t="str">
        <f>"20190312151617320"</f>
        <v>20190312151617320</v>
      </c>
      <c r="B3926" t="str">
        <f>"1552374977311479"</f>
        <v>1552374977311479</v>
      </c>
      <c r="C3926" t="s">
        <v>40</v>
      </c>
      <c r="D3926">
        <v>4.5295889999999996</v>
      </c>
      <c r="E3926">
        <v>0.46460259999999998</v>
      </c>
      <c r="F3926" t="s">
        <v>43</v>
      </c>
      <c r="G3926">
        <v>-323.92970000000003</v>
      </c>
      <c r="H3926" s="1">
        <v>-2.9665969999999998E-6</v>
      </c>
      <c r="I3926">
        <v>137.4734</v>
      </c>
      <c r="J3926">
        <v>-307.21719999999999</v>
      </c>
      <c r="K3926">
        <v>1.1095170000000001</v>
      </c>
      <c r="L3926">
        <v>140.2859</v>
      </c>
      <c r="M3926">
        <v>-0.99993399999999999</v>
      </c>
      <c r="N3926">
        <v>0</v>
      </c>
      <c r="O3926">
        <v>6.087388E-3</v>
      </c>
      <c r="P3926">
        <v>-0.99133899999999997</v>
      </c>
      <c r="Q3926">
        <v>0.112785</v>
      </c>
      <c r="R3926">
        <v>-6.7283430000000005E-2</v>
      </c>
      <c r="S3926">
        <v>-3.015228</v>
      </c>
      <c r="T3926">
        <v>-0.19550880000000001</v>
      </c>
      <c r="U3926">
        <v>-0.49516300000000002</v>
      </c>
      <c r="V3926">
        <v>-7.3403629999999997E-2</v>
      </c>
      <c r="W3926">
        <v>0.1224037</v>
      </c>
      <c r="X3926">
        <v>0.98976220000000004</v>
      </c>
      <c r="Y3926">
        <v>-0.16769890000000001</v>
      </c>
      <c r="Z3926">
        <v>-5.7868619999999898E-3</v>
      </c>
      <c r="AA3926">
        <v>0.98582119999999995</v>
      </c>
      <c r="AB3926">
        <v>42</v>
      </c>
      <c r="AC3926">
        <v>-16.712499999999999</v>
      </c>
      <c r="AD3926">
        <v>-1.1095199665969999</v>
      </c>
      <c r="AE3926">
        <v>-2.8125</v>
      </c>
      <c r="AF3926">
        <v>-2.9017510885594202</v>
      </c>
      <c r="AG3926">
        <v>-1.1095199665969999</v>
      </c>
      <c r="AH3926">
        <v>16.623817940479899</v>
      </c>
      <c r="AI3926">
        <v>93.761706209115403</v>
      </c>
      <c r="AJ3926">
        <v>99.901439587251502</v>
      </c>
      <c r="AK3926">
        <v>16.911608937485902</v>
      </c>
      <c r="AL3926">
        <v>82.969152575940399</v>
      </c>
      <c r="AM3926">
        <v>94.241456052422095</v>
      </c>
      <c r="AN3926">
        <v>0.99999998560985304</v>
      </c>
    </row>
    <row r="3927" spans="1:40" x14ac:dyDescent="0.25">
      <c r="A3927" t="str">
        <f>"20190312151617343"</f>
        <v>20190312151617343</v>
      </c>
      <c r="B3927" t="str">
        <f>"1552374977331567"</f>
        <v>1552374977331567</v>
      </c>
      <c r="C3927" t="s">
        <v>40</v>
      </c>
      <c r="D3927">
        <v>4.541588</v>
      </c>
      <c r="E3927">
        <v>0.46479389999999998</v>
      </c>
      <c r="F3927" t="s">
        <v>43</v>
      </c>
      <c r="G3927">
        <v>-323.97770000000003</v>
      </c>
      <c r="H3927" s="1">
        <v>-2.9402580000000001E-6</v>
      </c>
      <c r="I3927">
        <v>137.50559999999999</v>
      </c>
      <c r="J3927">
        <v>-307.64330000000001</v>
      </c>
      <c r="K3927">
        <v>1.1095170000000001</v>
      </c>
      <c r="L3927">
        <v>140.28819999999999</v>
      </c>
      <c r="M3927">
        <v>-0.99993540000000003</v>
      </c>
      <c r="N3927">
        <v>0</v>
      </c>
      <c r="O3927">
        <v>5.8091280000000002E-3</v>
      </c>
      <c r="P3927">
        <v>-0.99115969999999998</v>
      </c>
      <c r="Q3927">
        <v>0.1132846</v>
      </c>
      <c r="R3927">
        <v>-6.9059480000000006E-2</v>
      </c>
      <c r="S3927">
        <v>-3.0149840000000001</v>
      </c>
      <c r="T3927">
        <v>-0.1995873</v>
      </c>
      <c r="U3927">
        <v>-0.50012209999999901</v>
      </c>
      <c r="V3927">
        <v>-7.4903940000000002E-2</v>
      </c>
      <c r="W3927">
        <v>0.1229049</v>
      </c>
      <c r="X3927">
        <v>0.98958769999999996</v>
      </c>
      <c r="Y3927">
        <v>-0.1689986</v>
      </c>
      <c r="Z3927">
        <v>-5.9314149999999998E-3</v>
      </c>
      <c r="AA3927">
        <v>0.98559839999999999</v>
      </c>
      <c r="AB3927">
        <v>42</v>
      </c>
      <c r="AC3927">
        <v>-16.334399999999999</v>
      </c>
      <c r="AD3927">
        <v>-1.109519940258</v>
      </c>
      <c r="AE3927">
        <v>-2.7826</v>
      </c>
      <c r="AF3927">
        <v>-2.8646020723137799</v>
      </c>
      <c r="AG3927">
        <v>-1.109519940258</v>
      </c>
      <c r="AH3927">
        <v>16.245120268950298</v>
      </c>
      <c r="AI3927">
        <v>93.847972414432306</v>
      </c>
      <c r="AJ3927">
        <v>100.000509888053</v>
      </c>
      <c r="AK3927">
        <v>16.533024892112</v>
      </c>
      <c r="AL3927">
        <v>82.940217665498693</v>
      </c>
      <c r="AM3927">
        <v>94.328582094817605</v>
      </c>
      <c r="AN3927">
        <v>1.0000000153314099</v>
      </c>
    </row>
    <row r="3928" spans="1:40" x14ac:dyDescent="0.25">
      <c r="A3928" t="str">
        <f>"20190312151617365"</f>
        <v>20190312151617365</v>
      </c>
      <c r="B3928" t="str">
        <f>"1552374977361823"</f>
        <v>1552374977361823</v>
      </c>
      <c r="C3928" t="s">
        <v>40</v>
      </c>
      <c r="D3928">
        <v>4.5750169999999999</v>
      </c>
      <c r="E3928">
        <v>0.4649392</v>
      </c>
      <c r="F3928" t="s">
        <v>43</v>
      </c>
      <c r="G3928">
        <v>-324.50819999999999</v>
      </c>
      <c r="H3928" s="1">
        <v>-2.7195040000000001E-6</v>
      </c>
      <c r="I3928">
        <v>137.46719999999999</v>
      </c>
      <c r="J3928">
        <v>-308.06920000000002</v>
      </c>
      <c r="K3928">
        <v>1.1095200000000001</v>
      </c>
      <c r="L3928">
        <v>140.29050000000001</v>
      </c>
      <c r="M3928">
        <v>-0.99993699999999996</v>
      </c>
      <c r="N3928">
        <v>0</v>
      </c>
      <c r="O3928">
        <v>5.5309269999999997E-3</v>
      </c>
      <c r="P3928">
        <v>-0.99102000000000001</v>
      </c>
      <c r="Q3928">
        <v>0.1136746</v>
      </c>
      <c r="R3928">
        <v>-7.0409479999999997E-2</v>
      </c>
      <c r="S3928">
        <v>-3.0142820000000001</v>
      </c>
      <c r="T3928">
        <v>-0.19830700000000001</v>
      </c>
      <c r="U3928">
        <v>-0.50419619999999998</v>
      </c>
      <c r="V3928">
        <v>-7.5977450000000002E-2</v>
      </c>
      <c r="W3928">
        <v>0.123297699999999</v>
      </c>
      <c r="X3928">
        <v>0.98945700000000003</v>
      </c>
      <c r="Y3928">
        <v>-0.17006060000000001</v>
      </c>
      <c r="Z3928">
        <v>-5.9106419999999998E-3</v>
      </c>
      <c r="AA3928">
        <v>0.98541590000000001</v>
      </c>
      <c r="AB3928">
        <v>42</v>
      </c>
      <c r="AC3928">
        <v>-16.438999999999901</v>
      </c>
      <c r="AD3928">
        <v>-1.1095227195040001</v>
      </c>
      <c r="AE3928">
        <v>-2.8233000000000099</v>
      </c>
      <c r="AF3928">
        <v>-2.90134608449041</v>
      </c>
      <c r="AG3928">
        <v>-1.1095227195040001</v>
      </c>
      <c r="AH3928">
        <v>16.350782826137799</v>
      </c>
      <c r="AI3928">
        <v>93.822465282967798</v>
      </c>
      <c r="AJ3928">
        <v>100.062051208241</v>
      </c>
      <c r="AK3928">
        <v>16.6432253122586</v>
      </c>
      <c r="AL3928">
        <v>82.917539465979402</v>
      </c>
      <c r="AM3928">
        <v>94.390955386689299</v>
      </c>
      <c r="AN3928">
        <v>1.0000000252913901</v>
      </c>
    </row>
    <row r="3929" spans="1:40" x14ac:dyDescent="0.25">
      <c r="A3929" t="str">
        <f>"20190312151617387"</f>
        <v>20190312151617387</v>
      </c>
      <c r="B3929" t="str">
        <f>"1552374977381344"</f>
        <v>1552374977381344</v>
      </c>
      <c r="C3929" t="s">
        <v>40</v>
      </c>
      <c r="D3929">
        <v>4.7526120000000001</v>
      </c>
      <c r="E3929">
        <v>0.46494629999999998</v>
      </c>
      <c r="F3929" t="s">
        <v>43</v>
      </c>
      <c r="G3929">
        <v>-325.14890000000003</v>
      </c>
      <c r="H3929" s="1">
        <v>-2.4540300000000001E-6</v>
      </c>
      <c r="I3929">
        <v>137.41419999999999</v>
      </c>
      <c r="J3929">
        <v>-308.47910000000002</v>
      </c>
      <c r="K3929">
        <v>1.1095299999999999</v>
      </c>
      <c r="L3929">
        <v>140.29249999999999</v>
      </c>
      <c r="M3929">
        <v>-0.99993840000000001</v>
      </c>
      <c r="N3929">
        <v>0</v>
      </c>
      <c r="O3929">
        <v>5.2632180000000001E-3</v>
      </c>
      <c r="P3929">
        <v>-0.99078690000000003</v>
      </c>
      <c r="Q3929">
        <v>0.1148182</v>
      </c>
      <c r="R3929">
        <v>-7.1821469999999998E-2</v>
      </c>
      <c r="S3929">
        <v>-3.0135800000000001</v>
      </c>
      <c r="T3929">
        <v>-0.19576740000000001</v>
      </c>
      <c r="U3929">
        <v>-0.507492099999999</v>
      </c>
      <c r="V3929">
        <v>-7.7124100000000001E-2</v>
      </c>
      <c r="W3929">
        <v>0.1244427</v>
      </c>
      <c r="X3929">
        <v>0.98922489999999996</v>
      </c>
      <c r="Y3929">
        <v>-0.1708904</v>
      </c>
      <c r="Z3929">
        <v>-5.8453999999999997E-3</v>
      </c>
      <c r="AA3929">
        <v>0.9852727</v>
      </c>
      <c r="AB3929">
        <v>42</v>
      </c>
      <c r="AC3929">
        <v>-16.669799999999999</v>
      </c>
      <c r="AD3929">
        <v>-1.10953245403</v>
      </c>
      <c r="AE3929">
        <v>-2.8782999999999901</v>
      </c>
      <c r="AF3929">
        <v>-2.9532963132528698</v>
      </c>
      <c r="AG3929">
        <v>-1.10953245403</v>
      </c>
      <c r="AH3929">
        <v>16.583080424799199</v>
      </c>
      <c r="AI3929">
        <v>93.768689139202095</v>
      </c>
      <c r="AJ3929">
        <v>100.097989985457</v>
      </c>
      <c r="AK3929">
        <v>16.8805088121116</v>
      </c>
      <c r="AL3929">
        <v>82.851426496350498</v>
      </c>
      <c r="AM3929">
        <v>94.458000068321098</v>
      </c>
      <c r="AN3929">
        <v>1.0000000075820501</v>
      </c>
    </row>
    <row r="3930" spans="1:40" x14ac:dyDescent="0.25">
      <c r="A3930" t="str">
        <f>"20190312151617410"</f>
        <v>20190312151617410</v>
      </c>
      <c r="B3930" t="str">
        <f>"1552374977401843"</f>
        <v>1552374977401843</v>
      </c>
      <c r="C3930" t="s">
        <v>40</v>
      </c>
      <c r="D3930">
        <v>4.4790619999999999</v>
      </c>
      <c r="E3930">
        <v>0.46506160000000002</v>
      </c>
      <c r="F3930" t="s">
        <v>43</v>
      </c>
      <c r="G3930">
        <v>-325.9248</v>
      </c>
      <c r="H3930" s="1">
        <v>-2.1366029999999999E-6</v>
      </c>
      <c r="I3930">
        <v>137.3272</v>
      </c>
      <c r="J3930">
        <v>-308.90960000000001</v>
      </c>
      <c r="K3930">
        <v>1.1095330000000001</v>
      </c>
      <c r="L3930">
        <v>140.2946</v>
      </c>
      <c r="M3930">
        <v>-0.99993989999999999</v>
      </c>
      <c r="N3930">
        <v>0</v>
      </c>
      <c r="O3930">
        <v>4.982396E-3</v>
      </c>
      <c r="P3930">
        <v>-0.99068769999999995</v>
      </c>
      <c r="Q3930">
        <v>0.1150307</v>
      </c>
      <c r="R3930">
        <v>-7.284351E-2</v>
      </c>
      <c r="S3930">
        <v>-3.0130309999999998</v>
      </c>
      <c r="T3930">
        <v>-0.1916262</v>
      </c>
      <c r="U3930">
        <v>-0.51213069999999905</v>
      </c>
      <c r="V3930">
        <v>-7.7868190000000004E-2</v>
      </c>
      <c r="W3930">
        <v>0.124658</v>
      </c>
      <c r="X3930">
        <v>0.98913949999999995</v>
      </c>
      <c r="Y3930">
        <v>-0.1721309</v>
      </c>
      <c r="Z3930">
        <v>-5.7437030000000002E-3</v>
      </c>
      <c r="AA3930">
        <v>0.98505739999999997</v>
      </c>
      <c r="AB3930">
        <v>42</v>
      </c>
      <c r="AC3930">
        <v>-17.015199999999901</v>
      </c>
      <c r="AD3930">
        <v>-1.109535136603</v>
      </c>
      <c r="AE3930">
        <v>-2.9673999999999898</v>
      </c>
      <c r="AF3930">
        <v>-3.0396003488825798</v>
      </c>
      <c r="AG3930">
        <v>-1.109535136603</v>
      </c>
      <c r="AH3930">
        <v>16.9303379814023</v>
      </c>
      <c r="AI3930">
        <v>93.690693077895403</v>
      </c>
      <c r="AJ3930">
        <v>100.178204955102</v>
      </c>
      <c r="AK3930">
        <v>17.2367799389792</v>
      </c>
      <c r="AL3930">
        <v>82.838993932281298</v>
      </c>
      <c r="AM3930">
        <v>94.501221773504696</v>
      </c>
      <c r="AN3930">
        <v>1.0000000112190599</v>
      </c>
    </row>
    <row r="3931" spans="1:40" x14ac:dyDescent="0.25">
      <c r="A3931" t="str">
        <f>"20190312151617432"</f>
        <v>20190312151617432</v>
      </c>
      <c r="B3931" t="str">
        <f>"1552374977421915"</f>
        <v>1552374977421915</v>
      </c>
      <c r="C3931" t="s">
        <v>40</v>
      </c>
      <c r="D3931">
        <v>4.4954239999999999</v>
      </c>
      <c r="E3931">
        <v>0.46544180000000002</v>
      </c>
      <c r="F3931" t="s">
        <v>43</v>
      </c>
      <c r="G3931">
        <v>-325.75729999999999</v>
      </c>
      <c r="H3931" s="1">
        <v>-2.1926239999999998E-6</v>
      </c>
      <c r="I3931">
        <v>137.41650000000001</v>
      </c>
      <c r="J3931">
        <v>-309.3177</v>
      </c>
      <c r="K3931">
        <v>1.109534</v>
      </c>
      <c r="L3931">
        <v>140.29640000000001</v>
      </c>
      <c r="M3931">
        <v>-0.99994110000000003</v>
      </c>
      <c r="N3931">
        <v>0</v>
      </c>
      <c r="O3931">
        <v>4.716001E-3</v>
      </c>
      <c r="P3931">
        <v>-0.99053729999999995</v>
      </c>
      <c r="Q3931">
        <v>0.1157453</v>
      </c>
      <c r="R3931">
        <v>-7.3748010000000003E-2</v>
      </c>
      <c r="S3931">
        <v>-3.0133969999999999</v>
      </c>
      <c r="T3931">
        <v>-0.1984535</v>
      </c>
      <c r="U3931">
        <v>-0.51477050000000002</v>
      </c>
      <c r="V3931">
        <v>-7.8508610000000006E-2</v>
      </c>
      <c r="W3931">
        <v>0.12537470000000001</v>
      </c>
      <c r="X3931">
        <v>0.9889983</v>
      </c>
      <c r="Y3931">
        <v>-0.1726616</v>
      </c>
      <c r="Z3931">
        <v>-5.9467010000000004E-3</v>
      </c>
      <c r="AA3931">
        <v>0.98496320000000004</v>
      </c>
      <c r="AB3931">
        <v>42</v>
      </c>
      <c r="AC3931">
        <v>-16.439599999999899</v>
      </c>
      <c r="AD3931">
        <v>-1.1095361926239999</v>
      </c>
      <c r="AE3931">
        <v>-2.8798999999999899</v>
      </c>
      <c r="AF3931">
        <v>-2.9443881229500701</v>
      </c>
      <c r="AG3931">
        <v>-1.1095361926239999</v>
      </c>
      <c r="AH3931">
        <v>16.353560350027401</v>
      </c>
      <c r="AI3931">
        <v>93.820147373385595</v>
      </c>
      <c r="AJ3931">
        <v>100.206509612613</v>
      </c>
      <c r="AK3931">
        <v>16.653510984272899</v>
      </c>
      <c r="AL3931">
        <v>82.797605456558003</v>
      </c>
      <c r="AM3931">
        <v>94.538732865087596</v>
      </c>
      <c r="AN3931">
        <v>1.0000000273235501</v>
      </c>
    </row>
    <row r="3932" spans="1:40" x14ac:dyDescent="0.25">
      <c r="A3932" t="str">
        <f>"20190312151617456"</f>
        <v>20190312151617456</v>
      </c>
      <c r="B3932" t="str">
        <f>"1552374977452171"</f>
        <v>1552374977452171</v>
      </c>
      <c r="C3932" t="s">
        <v>40</v>
      </c>
      <c r="D3932">
        <v>4.6016309999999896</v>
      </c>
      <c r="E3932">
        <v>0.50012079999999903</v>
      </c>
      <c r="F3932" t="s">
        <v>43</v>
      </c>
      <c r="G3932">
        <v>-326.3972</v>
      </c>
      <c r="H3932" s="1">
        <v>-1.9250249999999998E-6</v>
      </c>
      <c r="I3932">
        <v>137.3775</v>
      </c>
      <c r="J3932">
        <v>-309.75729999999999</v>
      </c>
      <c r="K3932">
        <v>1.109542</v>
      </c>
      <c r="L3932">
        <v>140.29830000000001</v>
      </c>
      <c r="M3932">
        <v>-0.9999422</v>
      </c>
      <c r="N3932">
        <v>0</v>
      </c>
      <c r="O3932">
        <v>4.4295150000000002E-3</v>
      </c>
      <c r="P3932">
        <v>-0.99041279999999998</v>
      </c>
      <c r="Q3932">
        <v>0.11644500000000001</v>
      </c>
      <c r="R3932">
        <v>-7.4316980000000005E-2</v>
      </c>
      <c r="S3932">
        <v>-3.0131839999999999</v>
      </c>
      <c r="T3932">
        <v>-0.19574639999999999</v>
      </c>
      <c r="U3932">
        <v>-0.51495360000000001</v>
      </c>
      <c r="V3932">
        <v>-7.8793920000000003E-2</v>
      </c>
      <c r="W3932">
        <v>0.1260782</v>
      </c>
      <c r="X3932">
        <v>0.98888609999999999</v>
      </c>
      <c r="Y3932">
        <v>-0.17246029999999901</v>
      </c>
      <c r="Z3932">
        <v>-5.8411799999999996E-3</v>
      </c>
      <c r="AA3932">
        <v>0.98499919999999996</v>
      </c>
      <c r="AB3932">
        <v>42</v>
      </c>
      <c r="AC3932">
        <v>-16.639900000000001</v>
      </c>
      <c r="AD3932">
        <v>-1.1095439250249901</v>
      </c>
      <c r="AE3932">
        <v>-2.9208000000000101</v>
      </c>
      <c r="AF3932">
        <v>-2.9816209717953699</v>
      </c>
      <c r="AG3932">
        <v>-1.1095439250249901</v>
      </c>
      <c r="AH3932">
        <v>16.555390197100198</v>
      </c>
      <c r="AI3932">
        <v>93.773701414485302</v>
      </c>
      <c r="AJ3932">
        <v>100.209507291248</v>
      </c>
      <c r="AK3932">
        <v>16.858294573273199</v>
      </c>
      <c r="AL3932">
        <v>82.756974959561205</v>
      </c>
      <c r="AM3932">
        <v>94.555672548521201</v>
      </c>
      <c r="AN3932">
        <v>0.99999995655870699</v>
      </c>
    </row>
    <row r="3933" spans="1:40" x14ac:dyDescent="0.25">
      <c r="A3933" t="str">
        <f>"20190312151617477"</f>
        <v>20190312151617477</v>
      </c>
      <c r="B3933" t="str">
        <f>"1552374977471691"</f>
        <v>1552374977471691</v>
      </c>
      <c r="C3933" t="s">
        <v>40</v>
      </c>
      <c r="D3933">
        <v>4.4764089999999896</v>
      </c>
      <c r="E3933">
        <v>0.50101289999999998</v>
      </c>
      <c r="F3933" t="s">
        <v>43</v>
      </c>
      <c r="G3933">
        <v>-331.53300000000002</v>
      </c>
      <c r="H3933" s="1">
        <v>-4.1678449999999999E-6</v>
      </c>
      <c r="I3933">
        <v>138.5737</v>
      </c>
      <c r="J3933">
        <v>-310.16989999999998</v>
      </c>
      <c r="K3933">
        <v>1.10954</v>
      </c>
      <c r="L3933">
        <v>140.29990000000001</v>
      </c>
      <c r="M3933">
        <v>-0.99994329999999998</v>
      </c>
      <c r="N3933">
        <v>0</v>
      </c>
      <c r="O3933">
        <v>4.1604950000000002E-3</v>
      </c>
      <c r="P3933">
        <v>-0.99036590000000002</v>
      </c>
      <c r="Q3933">
        <v>0.116643899999999</v>
      </c>
      <c r="R3933">
        <v>-7.4628910000000007E-2</v>
      </c>
      <c r="S3933">
        <v>-3.029175</v>
      </c>
      <c r="T3933">
        <v>-0.15434690000000001</v>
      </c>
      <c r="U3933">
        <v>-0.23989869999999999</v>
      </c>
      <c r="V3933">
        <v>-7.8839480000000003E-2</v>
      </c>
      <c r="W3933">
        <v>0.12628019999999901</v>
      </c>
      <c r="X3933">
        <v>0.98885670000000003</v>
      </c>
      <c r="Y3933">
        <v>-8.2983520000000005E-2</v>
      </c>
      <c r="Z3933">
        <v>-2.3210240000000001E-3</v>
      </c>
      <c r="AA3933">
        <v>0.9965482</v>
      </c>
      <c r="AB3933">
        <v>42</v>
      </c>
      <c r="AC3933">
        <v>-21.363099999999999</v>
      </c>
      <c r="AD3933">
        <v>-1.109544167845</v>
      </c>
      <c r="AE3933">
        <v>-1.7262</v>
      </c>
      <c r="AF3933">
        <v>-1.8102190181743101</v>
      </c>
      <c r="AG3933">
        <v>-1.109544167845</v>
      </c>
      <c r="AH3933">
        <v>21.2986525706071</v>
      </c>
      <c r="AI3933">
        <v>92.971409716784095</v>
      </c>
      <c r="AJ3933">
        <v>94.858018360505696</v>
      </c>
      <c r="AK3933">
        <v>21.4042188009184</v>
      </c>
      <c r="AL3933">
        <v>82.745308008397799</v>
      </c>
      <c r="AM3933">
        <v>94.5584305718629</v>
      </c>
      <c r="AN3933">
        <v>0.99999996282679904</v>
      </c>
    </row>
    <row r="3934" spans="1:40" x14ac:dyDescent="0.25">
      <c r="A3934" t="str">
        <f>"20190312151617499"</f>
        <v>20190312151617499</v>
      </c>
      <c r="B3934" t="str">
        <f>"1552374977492188"</f>
        <v>1552374977492188</v>
      </c>
      <c r="C3934" t="s">
        <v>40</v>
      </c>
      <c r="D3934">
        <v>4.6065860000000001</v>
      </c>
      <c r="E3934">
        <v>0.50132579999999904</v>
      </c>
      <c r="F3934" t="s">
        <v>43</v>
      </c>
      <c r="G3934">
        <v>-330.66860000000003</v>
      </c>
      <c r="H3934" s="1">
        <v>-4.5514280000000001E-6</v>
      </c>
      <c r="I3934">
        <v>138.71469999999999</v>
      </c>
      <c r="J3934">
        <v>-310.60210000000001</v>
      </c>
      <c r="K3934">
        <v>1.1095389999999901</v>
      </c>
      <c r="L3934">
        <v>140.3015</v>
      </c>
      <c r="M3934">
        <v>-0.99994459999999996</v>
      </c>
      <c r="N3934">
        <v>0</v>
      </c>
      <c r="O3934">
        <v>3.878837E-3</v>
      </c>
      <c r="P3934">
        <v>-0.99033879999999996</v>
      </c>
      <c r="Q3934">
        <v>0.1164641</v>
      </c>
      <c r="R3934">
        <v>-7.5269870000000003E-2</v>
      </c>
      <c r="S3934">
        <v>-3.030853</v>
      </c>
      <c r="T3934">
        <v>-0.16405220000000001</v>
      </c>
      <c r="U3934">
        <v>-0.2343903</v>
      </c>
      <c r="V3934">
        <v>-7.9201980000000005E-2</v>
      </c>
      <c r="W3934">
        <v>0.1261051</v>
      </c>
      <c r="X3934">
        <v>0.98885009999999995</v>
      </c>
      <c r="Y3934">
        <v>-8.0848110000000001E-2</v>
      </c>
      <c r="Z3934">
        <v>-2.3927000000000002E-3</v>
      </c>
      <c r="AA3934">
        <v>0.99672349999999998</v>
      </c>
      <c r="AB3934">
        <v>42</v>
      </c>
      <c r="AC3934">
        <v>-20.066500000000001</v>
      </c>
      <c r="AD3934">
        <v>-1.1095435514280001</v>
      </c>
      <c r="AE3934">
        <v>-1.58680000000001</v>
      </c>
      <c r="AF3934">
        <v>-1.6595840694546999</v>
      </c>
      <c r="AG3934">
        <v>-1.1095435514280001</v>
      </c>
      <c r="AH3934">
        <v>19.999428480891201</v>
      </c>
      <c r="AI3934">
        <v>93.164589071554204</v>
      </c>
      <c r="AJ3934">
        <v>94.7436258217041</v>
      </c>
      <c r="AK3934">
        <v>20.0988170233571</v>
      </c>
      <c r="AL3934">
        <v>82.755421510365196</v>
      </c>
      <c r="AM3934">
        <v>94.579331502386495</v>
      </c>
      <c r="AN3934">
        <v>0.99999998507596999</v>
      </c>
    </row>
    <row r="3935" spans="1:40" x14ac:dyDescent="0.25">
      <c r="A3935" t="str">
        <f>"20190312151617521"</f>
        <v>20190312151617521</v>
      </c>
      <c r="B3935" t="str">
        <f>"1552374977511708"</f>
        <v>1552374977511708</v>
      </c>
      <c r="C3935" t="s">
        <v>40</v>
      </c>
      <c r="D3935">
        <v>4.5279669999999896</v>
      </c>
      <c r="E3935">
        <v>0.50183459999999902</v>
      </c>
      <c r="F3935" t="s">
        <v>43</v>
      </c>
      <c r="G3935">
        <v>-329.57589999999999</v>
      </c>
      <c r="H3935" s="1">
        <v>-3.3757459999999898E-7</v>
      </c>
      <c r="I3935">
        <v>138.83770000000001</v>
      </c>
      <c r="J3935">
        <v>-311.01339999999999</v>
      </c>
      <c r="K3935">
        <v>1.1095330000000001</v>
      </c>
      <c r="L3935">
        <v>140.30289999999999</v>
      </c>
      <c r="M3935">
        <v>-0.99994539999999998</v>
      </c>
      <c r="N3935">
        <v>0</v>
      </c>
      <c r="O3935">
        <v>3.6110690000000002E-3</v>
      </c>
      <c r="P3935">
        <v>-0.99030010000000002</v>
      </c>
      <c r="Q3935">
        <v>0.1163792</v>
      </c>
      <c r="R3935">
        <v>-7.5905929999999996E-2</v>
      </c>
      <c r="S3935">
        <v>-3.032349</v>
      </c>
      <c r="T3935">
        <v>-0.17732490000000001</v>
      </c>
      <c r="U3935">
        <v>-0.23393249999999999</v>
      </c>
      <c r="V3935">
        <v>-7.9572939999999995E-2</v>
      </c>
      <c r="W3935">
        <v>0.12602379999999999</v>
      </c>
      <c r="X3935">
        <v>0.98883069999999895</v>
      </c>
      <c r="Y3935">
        <v>-8.0374509999999996E-2</v>
      </c>
      <c r="Z3935">
        <v>-2.5552719999999999E-3</v>
      </c>
      <c r="AA3935">
        <v>0.99676140000000002</v>
      </c>
      <c r="AB3935">
        <v>42</v>
      </c>
      <c r="AC3935">
        <v>-18.5625</v>
      </c>
      <c r="AD3935">
        <v>-1.1095333375745999</v>
      </c>
      <c r="AE3935">
        <v>-1.4651999999999801</v>
      </c>
      <c r="AF3935">
        <v>-1.5268029638398599</v>
      </c>
      <c r="AG3935">
        <v>-1.1095333375745999</v>
      </c>
      <c r="AH3935">
        <v>18.491430800421199</v>
      </c>
      <c r="AI3935">
        <v>93.422159332717499</v>
      </c>
      <c r="AJ3935">
        <v>94.720098697892794</v>
      </c>
      <c r="AK3935">
        <v>18.5875012996461</v>
      </c>
      <c r="AL3935">
        <v>82.760117242569095</v>
      </c>
      <c r="AM3935">
        <v>94.600777826928095</v>
      </c>
      <c r="AN3935">
        <v>1.0000000021045801</v>
      </c>
    </row>
    <row r="3936" spans="1:40" x14ac:dyDescent="0.25">
      <c r="A3936" t="str">
        <f>"20190312151617543"</f>
        <v>20190312151617543</v>
      </c>
      <c r="B3936" t="str">
        <f>"1552374977531755"</f>
        <v>1552374977531755</v>
      </c>
      <c r="C3936" t="s">
        <v>40</v>
      </c>
      <c r="D3936">
        <v>4.963908</v>
      </c>
      <c r="E3936">
        <v>0.50113949999999996</v>
      </c>
      <c r="F3936" t="s">
        <v>43</v>
      </c>
      <c r="G3936">
        <v>-329.23169999999999</v>
      </c>
      <c r="H3936" s="1">
        <v>-4.3772929999999999E-7</v>
      </c>
      <c r="I3936">
        <v>138.90700000000001</v>
      </c>
      <c r="J3936">
        <v>-311.42149999999998</v>
      </c>
      <c r="K3936">
        <v>1.109532</v>
      </c>
      <c r="L3936">
        <v>140.30420000000001</v>
      </c>
      <c r="M3936">
        <v>-0.99994640000000001</v>
      </c>
      <c r="N3936">
        <v>0</v>
      </c>
      <c r="O3936">
        <v>3.3455070000000002E-3</v>
      </c>
      <c r="P3936">
        <v>-0.99037960000000003</v>
      </c>
      <c r="Q3936">
        <v>0.1154258</v>
      </c>
      <c r="R3936">
        <v>-7.6321490000000006E-2</v>
      </c>
      <c r="S3936">
        <v>-3.0332949999999999</v>
      </c>
      <c r="T3936">
        <v>-0.1847345</v>
      </c>
      <c r="U3936">
        <v>-0.23240659999999999</v>
      </c>
      <c r="V3936">
        <v>-7.9724989999999996E-2</v>
      </c>
      <c r="W3936">
        <v>0.1250753</v>
      </c>
      <c r="X3936">
        <v>0.98893889999999995</v>
      </c>
      <c r="Y3936">
        <v>-7.9577339999999996E-2</v>
      </c>
      <c r="Z3936">
        <v>-2.6207230000000001E-3</v>
      </c>
      <c r="AA3936">
        <v>0.99682530000000003</v>
      </c>
      <c r="AB3936">
        <v>42</v>
      </c>
      <c r="AC3936">
        <v>-17.810199999999998</v>
      </c>
      <c r="AD3936">
        <v>-1.1095324377293001</v>
      </c>
      <c r="AE3936">
        <v>-1.39719999999999</v>
      </c>
      <c r="AF3936">
        <v>-1.45118161863099</v>
      </c>
      <c r="AG3936">
        <v>-1.1095324377293001</v>
      </c>
      <c r="AH3936">
        <v>17.737009667958102</v>
      </c>
      <c r="AI3936">
        <v>93.567563717018302</v>
      </c>
      <c r="AJ3936">
        <v>94.677327167196594</v>
      </c>
      <c r="AK3936">
        <v>17.830830106359802</v>
      </c>
      <c r="AL3936">
        <v>82.814895909397407</v>
      </c>
      <c r="AM3936">
        <v>94.609029104520701</v>
      </c>
      <c r="AN3936">
        <v>1.00000002631689</v>
      </c>
    </row>
    <row r="3937" spans="1:40" x14ac:dyDescent="0.25">
      <c r="A3937" t="str">
        <f>"20190312151617565"</f>
        <v>20190312151617565</v>
      </c>
      <c r="B3937" t="str">
        <f>"1552374977562012"</f>
        <v>1552374977562012</v>
      </c>
      <c r="C3937" t="s">
        <v>40</v>
      </c>
      <c r="D3937">
        <v>4.649597</v>
      </c>
      <c r="E3937">
        <v>0.50089319999999904</v>
      </c>
      <c r="F3937" t="s">
        <v>43</v>
      </c>
      <c r="G3937">
        <v>-329.36439999999999</v>
      </c>
      <c r="H3937" s="1">
        <v>-3.9568800000000002E-7</v>
      </c>
      <c r="I3937">
        <v>138.8897</v>
      </c>
      <c r="J3937">
        <v>-311.85660000000001</v>
      </c>
      <c r="K3937">
        <v>1.109529</v>
      </c>
      <c r="L3937">
        <v>140.30539999999999</v>
      </c>
      <c r="M3937">
        <v>-0.99994709999999998</v>
      </c>
      <c r="N3937">
        <v>0</v>
      </c>
      <c r="O3937">
        <v>3.062183E-3</v>
      </c>
      <c r="P3937">
        <v>-0.99038300000000001</v>
      </c>
      <c r="Q3937">
        <v>0.115103</v>
      </c>
      <c r="R3937">
        <v>-7.6763020000000001E-2</v>
      </c>
      <c r="S3937">
        <v>-3.0325319999999998</v>
      </c>
      <c r="T3937">
        <v>-0.18752250000000001</v>
      </c>
      <c r="U3937">
        <v>-0.23904420000000001</v>
      </c>
      <c r="V3937">
        <v>-7.9885719999999993E-2</v>
      </c>
      <c r="W3937">
        <v>0.1247564</v>
      </c>
      <c r="X3937">
        <v>0.98896620000000002</v>
      </c>
      <c r="Y3937">
        <v>-8.1474850000000001E-2</v>
      </c>
      <c r="Z3937">
        <v>-2.701686E-3</v>
      </c>
      <c r="AA3937">
        <v>0.99667169999999905</v>
      </c>
      <c r="AB3937">
        <v>42</v>
      </c>
      <c r="AC3937">
        <v>-17.5077999999999</v>
      </c>
      <c r="AD3937">
        <v>-1.1095293956879999</v>
      </c>
      <c r="AE3937">
        <v>-1.41569999999998</v>
      </c>
      <c r="AF3937">
        <v>-1.4634686440432001</v>
      </c>
      <c r="AG3937">
        <v>-1.1095293956879999</v>
      </c>
      <c r="AH3937">
        <v>17.433819833945702</v>
      </c>
      <c r="AI3937">
        <v>93.628798618307997</v>
      </c>
      <c r="AJ3937">
        <v>94.798400540899607</v>
      </c>
      <c r="AK3937">
        <v>17.530284366046999</v>
      </c>
      <c r="AL3937">
        <v>82.833311705229903</v>
      </c>
      <c r="AM3937">
        <v>94.618154073637001</v>
      </c>
      <c r="AN3937">
        <v>1.00000001617165</v>
      </c>
    </row>
    <row r="3938" spans="1:40" x14ac:dyDescent="0.25">
      <c r="A3938" t="str">
        <f>"20190312151617588"</f>
        <v>20190312151617588</v>
      </c>
      <c r="B3938" t="str">
        <f>"1552374977581535"</f>
        <v>1552374977581535</v>
      </c>
      <c r="C3938" t="s">
        <v>40</v>
      </c>
      <c r="D3938">
        <v>4.5668920000000002</v>
      </c>
      <c r="E3938">
        <v>0.50133220000000001</v>
      </c>
      <c r="F3938" t="s">
        <v>43</v>
      </c>
      <c r="G3938">
        <v>-329.71269999999998</v>
      </c>
      <c r="H3938" s="1">
        <v>-2.8056719999999998E-7</v>
      </c>
      <c r="I3938">
        <v>138.87690000000001</v>
      </c>
      <c r="J3938">
        <v>-312.27910000000003</v>
      </c>
      <c r="K3938">
        <v>1.1095280000000001</v>
      </c>
      <c r="L3938">
        <v>140.3065</v>
      </c>
      <c r="M3938">
        <v>-0.99994799999999995</v>
      </c>
      <c r="N3938">
        <v>0</v>
      </c>
      <c r="O3938">
        <v>2.7867880000000001E-3</v>
      </c>
      <c r="P3938">
        <v>-0.99038669999999995</v>
      </c>
      <c r="Q3938">
        <v>0.114819</v>
      </c>
      <c r="R3938">
        <v>-7.7142420000000003E-2</v>
      </c>
      <c r="S3938">
        <v>-3.0322269999999998</v>
      </c>
      <c r="T3938">
        <v>-0.18841459999999999</v>
      </c>
      <c r="U3938">
        <v>-0.24256900000000001</v>
      </c>
      <c r="V3938">
        <v>-7.9992779999999999E-2</v>
      </c>
      <c r="W3938">
        <v>0.1244768</v>
      </c>
      <c r="X3938">
        <v>0.98899280000000001</v>
      </c>
      <c r="Y3938">
        <v>-8.2356780000000004E-2</v>
      </c>
      <c r="Z3938">
        <v>-2.7249209999999999E-3</v>
      </c>
      <c r="AA3938">
        <v>0.99659920000000002</v>
      </c>
      <c r="AB3938">
        <v>42</v>
      </c>
      <c r="AC3938">
        <v>-17.433599999999899</v>
      </c>
      <c r="AD3938">
        <v>-1.1095282805672</v>
      </c>
      <c r="AE3938">
        <v>-1.42959999999999</v>
      </c>
      <c r="AF3938">
        <v>-1.4722570707682601</v>
      </c>
      <c r="AG3938">
        <v>-1.1095282805672</v>
      </c>
      <c r="AH3938">
        <v>17.359703278819499</v>
      </c>
      <c r="AI3938">
        <v>93.643983042720706</v>
      </c>
      <c r="AJ3938">
        <v>94.847591180769896</v>
      </c>
      <c r="AK3938">
        <v>17.457316283337001</v>
      </c>
      <c r="AL3938">
        <v>82.849457622271004</v>
      </c>
      <c r="AM3938">
        <v>94.624192498560006</v>
      </c>
      <c r="AN3938">
        <v>1.0000000385211001</v>
      </c>
    </row>
    <row r="3939" spans="1:40" x14ac:dyDescent="0.25">
      <c r="A3939" t="str">
        <f>"20190312151617610"</f>
        <v>20190312151617610</v>
      </c>
      <c r="B3939" t="str">
        <f>"1552374977602027"</f>
        <v>1552374977602027</v>
      </c>
      <c r="C3939" t="s">
        <v>40</v>
      </c>
      <c r="D3939">
        <v>4.5082519999999997</v>
      </c>
      <c r="E3939">
        <v>0.501664</v>
      </c>
      <c r="F3939" t="s">
        <v>43</v>
      </c>
      <c r="G3939">
        <v>-329.69209999999998</v>
      </c>
      <c r="H3939" s="1">
        <v>-2.7439039999999998E-7</v>
      </c>
      <c r="I3939">
        <v>138.9265</v>
      </c>
      <c r="J3939">
        <v>-312.70979999999997</v>
      </c>
      <c r="K3939">
        <v>1.1095269999999999</v>
      </c>
      <c r="L3939">
        <v>140.3075</v>
      </c>
      <c r="M3939">
        <v>-0.99994870000000002</v>
      </c>
      <c r="N3939">
        <v>0</v>
      </c>
      <c r="O3939">
        <v>2.5060870000000002E-3</v>
      </c>
      <c r="P3939">
        <v>-0.99036290000000005</v>
      </c>
      <c r="Q3939">
        <v>0.1145888</v>
      </c>
      <c r="R3939">
        <v>-7.7785820000000006E-2</v>
      </c>
      <c r="S3939">
        <v>-3.0328059999999999</v>
      </c>
      <c r="T3939">
        <v>-0.1932461</v>
      </c>
      <c r="U3939">
        <v>-0.2403412</v>
      </c>
      <c r="V3939">
        <v>-8.0358180000000001E-2</v>
      </c>
      <c r="W3939">
        <v>0.1242506</v>
      </c>
      <c r="X3939">
        <v>0.98899159999999997</v>
      </c>
      <c r="Y3939">
        <v>-8.1328620000000004E-2</v>
      </c>
      <c r="Z3939">
        <v>-2.7436940000000001E-3</v>
      </c>
      <c r="AA3939">
        <v>0.99668350000000006</v>
      </c>
      <c r="AB3939">
        <v>43</v>
      </c>
      <c r="AC3939">
        <v>-16.982299999999999</v>
      </c>
      <c r="AD3939">
        <v>-1.1095272743903899</v>
      </c>
      <c r="AE3939">
        <v>-1.381</v>
      </c>
      <c r="AF3939">
        <v>-1.4175456847379899</v>
      </c>
      <c r="AG3939">
        <v>-1.1095272743903899</v>
      </c>
      <c r="AH3939">
        <v>16.9070905193607</v>
      </c>
      <c r="AI3939">
        <v>93.741559412522804</v>
      </c>
      <c r="AJ3939">
        <v>94.792655946990493</v>
      </c>
      <c r="AK3939">
        <v>17.002652627481101</v>
      </c>
      <c r="AL3939">
        <v>82.862519173088302</v>
      </c>
      <c r="AM3939">
        <v>94.645228784617103</v>
      </c>
      <c r="AN3939">
        <v>1.0000000167819101</v>
      </c>
    </row>
    <row r="3940" spans="1:40" x14ac:dyDescent="0.25">
      <c r="A3940" t="str">
        <f>"20190312151617633"</f>
        <v>20190312151617633</v>
      </c>
      <c r="B3940" t="str">
        <f>"1552374977621420"</f>
        <v>1552374977621420</v>
      </c>
      <c r="C3940" t="s">
        <v>40</v>
      </c>
      <c r="D3940">
        <v>4.5682879999999999</v>
      </c>
      <c r="E3940">
        <v>0.50189899999999998</v>
      </c>
      <c r="F3940" t="s">
        <v>43</v>
      </c>
      <c r="G3940">
        <v>-329.7414</v>
      </c>
      <c r="H3940" s="1">
        <v>-2.4840799999999998E-7</v>
      </c>
      <c r="I3940">
        <v>138.96109999999999</v>
      </c>
      <c r="J3940">
        <v>-313.13299999999998</v>
      </c>
      <c r="K3940">
        <v>1.1095269999999999</v>
      </c>
      <c r="L3940">
        <v>140.3083</v>
      </c>
      <c r="M3940">
        <v>-0.99994930000000004</v>
      </c>
      <c r="N3940">
        <v>0</v>
      </c>
      <c r="O3940">
        <v>2.2307479999999998E-3</v>
      </c>
      <c r="P3940">
        <v>-0.990402</v>
      </c>
      <c r="Q3940">
        <v>0.1141364</v>
      </c>
      <c r="R3940">
        <v>-7.7956150000000002E-2</v>
      </c>
      <c r="S3940">
        <v>-3.0332340000000002</v>
      </c>
      <c r="T3940">
        <v>-0.19760140000000001</v>
      </c>
      <c r="U3940">
        <v>-0.23977660000000001</v>
      </c>
      <c r="V3940">
        <v>-8.0255190000000004E-2</v>
      </c>
      <c r="W3940">
        <v>0.1238035</v>
      </c>
      <c r="X3940">
        <v>0.98905600000000005</v>
      </c>
      <c r="Y3940">
        <v>-8.0852720000000003E-2</v>
      </c>
      <c r="Z3940">
        <v>-2.7716759999999998E-3</v>
      </c>
      <c r="AA3940">
        <v>0.9967222</v>
      </c>
      <c r="AB3940">
        <v>43</v>
      </c>
      <c r="AC3940">
        <v>-16.6084</v>
      </c>
      <c r="AD3940">
        <v>-1.1095272484080001</v>
      </c>
      <c r="AE3940">
        <v>-1.3472000000000099</v>
      </c>
      <c r="AF3940">
        <v>-1.3781372593655901</v>
      </c>
      <c r="AG3940">
        <v>-1.1095272484080001</v>
      </c>
      <c r="AH3940">
        <v>16.5320541054882</v>
      </c>
      <c r="AI3940">
        <v>93.826341369755397</v>
      </c>
      <c r="AJ3940">
        <v>94.765245871843007</v>
      </c>
      <c r="AK3940">
        <v>16.6264586117249</v>
      </c>
      <c r="AL3940">
        <v>82.888335232053393</v>
      </c>
      <c r="AM3940">
        <v>94.6390005345107</v>
      </c>
      <c r="AN3940">
        <v>0.99999998663509304</v>
      </c>
    </row>
    <row r="3941" spans="1:40" x14ac:dyDescent="0.25">
      <c r="A3941" t="str">
        <f>"20190312151617655"</f>
        <v>20190312151617655</v>
      </c>
      <c r="B3941" t="str">
        <f>"1552374977651672"</f>
        <v>1552374977651672</v>
      </c>
      <c r="C3941" t="s">
        <v>40</v>
      </c>
      <c r="D3941">
        <v>4.7388349999999999</v>
      </c>
      <c r="E3941">
        <v>0.50244609999999901</v>
      </c>
      <c r="F3941" t="s">
        <v>43</v>
      </c>
      <c r="G3941">
        <v>-330.00069999999999</v>
      </c>
      <c r="H3941" s="1">
        <v>-4.8198089999999996E-6</v>
      </c>
      <c r="I3941">
        <v>138.98159999999999</v>
      </c>
      <c r="J3941">
        <v>-313.5557</v>
      </c>
      <c r="K3941">
        <v>1.1095139999999999</v>
      </c>
      <c r="L3941">
        <v>140.3091</v>
      </c>
      <c r="M3941">
        <v>-0.99994989999999995</v>
      </c>
      <c r="N3941">
        <v>0</v>
      </c>
      <c r="O3941">
        <v>1.9557070000000001E-3</v>
      </c>
      <c r="P3941">
        <v>-0.99040070000000002</v>
      </c>
      <c r="Q3941">
        <v>0.11369310000000001</v>
      </c>
      <c r="R3941">
        <v>-7.8616420000000006E-2</v>
      </c>
      <c r="S3941">
        <v>-3.033264</v>
      </c>
      <c r="T3941">
        <v>-0.19952300000000001</v>
      </c>
      <c r="U3941">
        <v>-0.2385864</v>
      </c>
      <c r="V3941">
        <v>-8.0643519999999996E-2</v>
      </c>
      <c r="W3941">
        <v>0.1233644</v>
      </c>
      <c r="X3941">
        <v>0.98907929999999999</v>
      </c>
      <c r="Y3941">
        <v>-8.0187659999999994E-2</v>
      </c>
      <c r="Z3941">
        <v>-2.7587240000000002E-3</v>
      </c>
      <c r="AA3941">
        <v>0.996776</v>
      </c>
      <c r="AB3941">
        <v>43</v>
      </c>
      <c r="AC3941">
        <v>-16.444999999999901</v>
      </c>
      <c r="AD3941">
        <v>-1.10951881980899</v>
      </c>
      <c r="AE3941">
        <v>-1.3275000000000099</v>
      </c>
      <c r="AF3941">
        <v>-1.353539200465</v>
      </c>
      <c r="AG3941">
        <v>-1.10951881980899</v>
      </c>
      <c r="AH3941">
        <v>16.3683460014533</v>
      </c>
      <c r="AI3941">
        <v>93.864678444636695</v>
      </c>
      <c r="AJ3941">
        <v>94.727175063800303</v>
      </c>
      <c r="AK3941">
        <v>16.461647888410099</v>
      </c>
      <c r="AL3941">
        <v>82.913688307634203</v>
      </c>
      <c r="AM3941">
        <v>94.661239217203203</v>
      </c>
      <c r="AN3941">
        <v>1.0000000070969199</v>
      </c>
    </row>
    <row r="3942" spans="1:40" x14ac:dyDescent="0.25">
      <c r="A3942" t="str">
        <f>"20190312151617678"</f>
        <v>20190312151617678</v>
      </c>
      <c r="B3942" t="str">
        <f>"1552374977672169"</f>
        <v>1552374977672169</v>
      </c>
      <c r="C3942" t="s">
        <v>40</v>
      </c>
      <c r="D3942">
        <v>4.512956</v>
      </c>
      <c r="E3942">
        <v>0.50269719999999996</v>
      </c>
      <c r="F3942" t="s">
        <v>43</v>
      </c>
      <c r="G3942">
        <v>-330.5172</v>
      </c>
      <c r="H3942" s="1">
        <v>-4.5745549999999996E-6</v>
      </c>
      <c r="I3942">
        <v>138.9879</v>
      </c>
      <c r="J3942">
        <v>-313.98540000000003</v>
      </c>
      <c r="K3942">
        <v>1.109518</v>
      </c>
      <c r="L3942">
        <v>140.30969999999999</v>
      </c>
      <c r="M3942">
        <v>-0.99995020000000001</v>
      </c>
      <c r="N3942">
        <v>0</v>
      </c>
      <c r="O3942">
        <v>1.677088E-3</v>
      </c>
      <c r="P3942">
        <v>-0.99038610000000005</v>
      </c>
      <c r="Q3942">
        <v>0.1134242</v>
      </c>
      <c r="R3942">
        <v>-7.9185870000000005E-2</v>
      </c>
      <c r="S3942">
        <v>-3.0330810000000001</v>
      </c>
      <c r="T3942">
        <v>-0.19840630000000001</v>
      </c>
      <c r="U3942">
        <v>-0.23625180000000001</v>
      </c>
      <c r="V3942">
        <v>-8.0936720000000004E-2</v>
      </c>
      <c r="W3942">
        <v>0.1230994</v>
      </c>
      <c r="X3942">
        <v>0.98908839999999998</v>
      </c>
      <c r="Y3942">
        <v>-7.9156760000000007E-2</v>
      </c>
      <c r="Z3942">
        <v>-2.6917529999999999E-3</v>
      </c>
      <c r="AA3942">
        <v>0.99685849999999998</v>
      </c>
      <c r="AB3942">
        <v>43</v>
      </c>
      <c r="AC3942">
        <v>-16.531799999999901</v>
      </c>
      <c r="AD3942">
        <v>-1.1095225745549999</v>
      </c>
      <c r="AE3942">
        <v>-1.3217999999999901</v>
      </c>
      <c r="AF3942">
        <v>-1.3435115628407499</v>
      </c>
      <c r="AG3942">
        <v>-1.1095225745549999</v>
      </c>
      <c r="AH3942">
        <v>16.455907565858499</v>
      </c>
      <c r="AI3942">
        <v>93.844517623764801</v>
      </c>
      <c r="AJ3942">
        <v>94.667453858981901</v>
      </c>
      <c r="AK3942">
        <v>16.547898884118599</v>
      </c>
      <c r="AL3942">
        <v>82.928988533774998</v>
      </c>
      <c r="AM3942">
        <v>94.678068404230004</v>
      </c>
      <c r="AN3942">
        <v>1.00000003896963</v>
      </c>
    </row>
    <row r="3943" spans="1:40" x14ac:dyDescent="0.25">
      <c r="A3943" t="str">
        <f>"20190312151617700"</f>
        <v>20190312151617700</v>
      </c>
      <c r="B3943" t="str">
        <f>"1552374977691688"</f>
        <v>1552374977691688</v>
      </c>
      <c r="C3943" t="s">
        <v>40</v>
      </c>
      <c r="D3943">
        <v>4.6571660000000001</v>
      </c>
      <c r="E3943">
        <v>0.50263119999999994</v>
      </c>
      <c r="F3943" t="s">
        <v>43</v>
      </c>
      <c r="G3943">
        <v>-330.55279999999999</v>
      </c>
      <c r="H3943" s="1">
        <v>-4.5519630000000002E-6</v>
      </c>
      <c r="I3943">
        <v>139.02029999999999</v>
      </c>
      <c r="J3943">
        <v>-314.41460000000001</v>
      </c>
      <c r="K3943">
        <v>1.1095170000000001</v>
      </c>
      <c r="L3943">
        <v>140.31020000000001</v>
      </c>
      <c r="M3943">
        <v>-0.99995060000000002</v>
      </c>
      <c r="N3943">
        <v>0</v>
      </c>
      <c r="O3943">
        <v>1.398292E-3</v>
      </c>
      <c r="P3943">
        <v>-0.99032560000000003</v>
      </c>
      <c r="Q3943">
        <v>0.1132235</v>
      </c>
      <c r="R3943">
        <v>-8.0223279999999994E-2</v>
      </c>
      <c r="S3943">
        <v>-3.0334780000000001</v>
      </c>
      <c r="T3943">
        <v>-0.20315250000000001</v>
      </c>
      <c r="U3943">
        <v>-0.23608399999999999</v>
      </c>
      <c r="V3943">
        <v>-8.1698519999999997E-2</v>
      </c>
      <c r="W3943">
        <v>0.1229016</v>
      </c>
      <c r="X3943">
        <v>0.98905030000000005</v>
      </c>
      <c r="Y3943">
        <v>-7.880703E-2</v>
      </c>
      <c r="Z3943">
        <v>-2.725346E-3</v>
      </c>
      <c r="AA3943">
        <v>0.99688619999999994</v>
      </c>
      <c r="AB3943">
        <v>43</v>
      </c>
      <c r="AC3943">
        <v>-16.138199999999902</v>
      </c>
      <c r="AD3943">
        <v>-1.109521551963</v>
      </c>
      <c r="AE3943">
        <v>-1.28990000000001</v>
      </c>
      <c r="AF3943">
        <v>-1.3063302667325001</v>
      </c>
      <c r="AG3943">
        <v>-1.109521551963</v>
      </c>
      <c r="AH3943">
        <v>16.060946544576002</v>
      </c>
      <c r="AI3943">
        <v>93.938859693515994</v>
      </c>
      <c r="AJ3943">
        <v>94.649963301881698</v>
      </c>
      <c r="AK3943">
        <v>16.152137343019898</v>
      </c>
      <c r="AL3943">
        <v>82.940407890511196</v>
      </c>
      <c r="AM3943">
        <v>94.722082643726196</v>
      </c>
      <c r="AN3943">
        <v>0.99999997369141902</v>
      </c>
    </row>
    <row r="3944" spans="1:40" x14ac:dyDescent="0.25">
      <c r="A3944" t="str">
        <f>"20190312151617723"</f>
        <v>20190312151617723</v>
      </c>
      <c r="B3944" t="str">
        <f>"1552374977712184"</f>
        <v>1552374977712184</v>
      </c>
      <c r="C3944" t="s">
        <v>40</v>
      </c>
      <c r="D3944">
        <v>4.6335059999999997</v>
      </c>
      <c r="E3944">
        <v>0.50267479999999998</v>
      </c>
      <c r="F3944" t="s">
        <v>43</v>
      </c>
      <c r="G3944">
        <v>-330.97239999999999</v>
      </c>
      <c r="H3944" s="1">
        <v>-4.3565279999999996E-6</v>
      </c>
      <c r="I3944">
        <v>139.00389999999999</v>
      </c>
      <c r="J3944">
        <v>-314.84960000000001</v>
      </c>
      <c r="K3944">
        <v>1.109515</v>
      </c>
      <c r="L3944">
        <v>140.31049999999999</v>
      </c>
      <c r="M3944">
        <v>-0.99995109999999998</v>
      </c>
      <c r="N3944">
        <v>0</v>
      </c>
      <c r="O3944">
        <v>1.115741E-3</v>
      </c>
      <c r="P3944">
        <v>-0.99025759999999996</v>
      </c>
      <c r="Q3944">
        <v>0.113121</v>
      </c>
      <c r="R3944">
        <v>-8.1200820000000007E-2</v>
      </c>
      <c r="S3944">
        <v>-3.0331730000000001</v>
      </c>
      <c r="T3944">
        <v>-0.20324990000000001</v>
      </c>
      <c r="U3944">
        <v>-0.23928830000000001</v>
      </c>
      <c r="V3944">
        <v>-8.2396549999999999E-2</v>
      </c>
      <c r="W3944">
        <v>0.1228032</v>
      </c>
      <c r="X3944">
        <v>0.98900469999999896</v>
      </c>
      <c r="Y3944">
        <v>-7.9578529999999995E-2</v>
      </c>
      <c r="Z3944">
        <v>-2.7337070000000002E-3</v>
      </c>
      <c r="AA3944">
        <v>0.99682490000000001</v>
      </c>
      <c r="AB3944">
        <v>43</v>
      </c>
      <c r="AC3944">
        <v>-16.122799999999899</v>
      </c>
      <c r="AD3944">
        <v>-1.1095193565279999</v>
      </c>
      <c r="AE3944">
        <v>-1.3066</v>
      </c>
      <c r="AF3944">
        <v>-1.31838611352353</v>
      </c>
      <c r="AG3944">
        <v>-1.1095193565279999</v>
      </c>
      <c r="AH3944">
        <v>16.045838780624301</v>
      </c>
      <c r="AI3944">
        <v>93.942284588250004</v>
      </c>
      <c r="AJ3944">
        <v>94.697084630554897</v>
      </c>
      <c r="AK3944">
        <v>16.138095219716199</v>
      </c>
      <c r="AL3944">
        <v>82.946089419394397</v>
      </c>
      <c r="AM3944">
        <v>94.762461778015293</v>
      </c>
      <c r="AN3944">
        <v>1.0000000570021099</v>
      </c>
    </row>
    <row r="3945" spans="1:40" x14ac:dyDescent="0.25">
      <c r="A3945" t="str">
        <f>"20190312151617744"</f>
        <v>20190312151617744</v>
      </c>
      <c r="B3945" t="str">
        <f>"1552374977741763"</f>
        <v>1552374977741763</v>
      </c>
      <c r="C3945" t="s">
        <v>40</v>
      </c>
      <c r="D3945">
        <v>4.5428059999999997</v>
      </c>
      <c r="E3945">
        <v>0.50281319999999996</v>
      </c>
      <c r="F3945" t="s">
        <v>43</v>
      </c>
      <c r="G3945">
        <v>-331.34730000000002</v>
      </c>
      <c r="H3945" s="1">
        <v>-4.1809159999999997E-6</v>
      </c>
      <c r="I3945">
        <v>138.9948</v>
      </c>
      <c r="J3945">
        <v>-315.26100000000002</v>
      </c>
      <c r="K3945">
        <v>1.1095109999999999</v>
      </c>
      <c r="L3945">
        <v>140.3108</v>
      </c>
      <c r="M3945">
        <v>-0.99995120000000004</v>
      </c>
      <c r="N3945">
        <v>0</v>
      </c>
      <c r="O3945">
        <v>8.4845129999999995E-4</v>
      </c>
      <c r="P3945">
        <v>-0.99020079999999999</v>
      </c>
      <c r="Q3945">
        <v>0.1128839</v>
      </c>
      <c r="R3945">
        <v>-8.2220150000000006E-2</v>
      </c>
      <c r="S3945">
        <v>-3.0329899999999999</v>
      </c>
      <c r="T3945">
        <v>-0.20397709999999999</v>
      </c>
      <c r="U3945">
        <v>-0.24189759999999999</v>
      </c>
      <c r="V3945">
        <v>-8.3150669999999996E-2</v>
      </c>
      <c r="W3945">
        <v>0.122568899999999</v>
      </c>
      <c r="X3945">
        <v>0.98897060000000003</v>
      </c>
      <c r="Y3945">
        <v>-8.0166970000000004E-2</v>
      </c>
      <c r="Z3945">
        <v>-2.745342E-3</v>
      </c>
      <c r="AA3945">
        <v>0.99677769999999999</v>
      </c>
      <c r="AB3945">
        <v>43</v>
      </c>
      <c r="AC3945">
        <v>-16.086300000000001</v>
      </c>
      <c r="AD3945">
        <v>-1.109515180916</v>
      </c>
      <c r="AE3945">
        <v>-1.3160000000000001</v>
      </c>
      <c r="AF3945">
        <v>-1.32339479076649</v>
      </c>
      <c r="AG3945">
        <v>-1.109515180916</v>
      </c>
      <c r="AH3945">
        <v>16.009522938586301</v>
      </c>
      <c r="AI3945">
        <v>93.951023156050397</v>
      </c>
      <c r="AJ3945">
        <v>94.725495751414698</v>
      </c>
      <c r="AK3945">
        <v>16.102398033523802</v>
      </c>
      <c r="AL3945">
        <v>82.959615662167806</v>
      </c>
      <c r="AM3945">
        <v>94.806011072830302</v>
      </c>
      <c r="AN3945">
        <v>1.0000000084164999</v>
      </c>
    </row>
    <row r="3946" spans="1:40" x14ac:dyDescent="0.25">
      <c r="A3946" t="str">
        <f>"20190312151617758"</f>
        <v>20190312151617758</v>
      </c>
      <c r="B3946" t="str">
        <f>"1552374977751524"</f>
        <v>1552374977751524</v>
      </c>
      <c r="C3946" t="s">
        <v>40</v>
      </c>
      <c r="D3946">
        <v>4.5152960000000002</v>
      </c>
      <c r="E3946">
        <v>0.50289309999999998</v>
      </c>
      <c r="F3946" t="s">
        <v>43</v>
      </c>
      <c r="G3946">
        <v>-331.64049999999997</v>
      </c>
      <c r="H3946" s="1">
        <v>-4.0422180000000001E-6</v>
      </c>
      <c r="I3946">
        <v>138.99529999999999</v>
      </c>
      <c r="J3946">
        <v>-315.5247</v>
      </c>
      <c r="K3946">
        <v>1.1095090000000001</v>
      </c>
      <c r="L3946">
        <v>140.3109</v>
      </c>
      <c r="M3946">
        <v>-0.99995120000000004</v>
      </c>
      <c r="N3946">
        <v>0</v>
      </c>
      <c r="O3946">
        <v>6.7725190000000001E-4</v>
      </c>
      <c r="P3946">
        <v>-0.99013059999999997</v>
      </c>
      <c r="Q3946">
        <v>0.1131154</v>
      </c>
      <c r="R3946">
        <v>-8.2741480000000006E-2</v>
      </c>
      <c r="S3946">
        <v>-3.032867</v>
      </c>
      <c r="T3946">
        <v>-0.20544019999999999</v>
      </c>
      <c r="U3946">
        <v>-0.24359130000000001</v>
      </c>
      <c r="V3946">
        <v>-8.3502409999999999E-2</v>
      </c>
      <c r="W3946">
        <v>0.1228022</v>
      </c>
      <c r="X3946">
        <v>0.98891200000000001</v>
      </c>
      <c r="Y3946">
        <v>-8.0549490000000001E-2</v>
      </c>
      <c r="Z3946">
        <v>-2.7663919999999999E-3</v>
      </c>
      <c r="AA3946">
        <v>0.99674680000000004</v>
      </c>
      <c r="AB3946">
        <v>43</v>
      </c>
      <c r="AC3946">
        <v>-16.115799999999901</v>
      </c>
      <c r="AD3946">
        <v>-1.109513042218</v>
      </c>
      <c r="AE3946">
        <v>-1.3156000000000101</v>
      </c>
      <c r="AF3946">
        <v>-1.3202981478756499</v>
      </c>
      <c r="AG3946">
        <v>-1.109513042218</v>
      </c>
      <c r="AH3946">
        <v>16.039384882599698</v>
      </c>
      <c r="AI3946">
        <v>93.943794598318703</v>
      </c>
      <c r="AJ3946">
        <v>94.705750425847498</v>
      </c>
      <c r="AK3946">
        <v>16.1318341735311</v>
      </c>
      <c r="AL3946">
        <v>82.946146664869602</v>
      </c>
      <c r="AM3946">
        <v>94.826530040551802</v>
      </c>
      <c r="AN3946">
        <v>0.99999998827232395</v>
      </c>
    </row>
    <row r="3947" spans="1:40" x14ac:dyDescent="0.25">
      <c r="A3947" t="str">
        <f>"20190312151617770"</f>
        <v>20190312151617770</v>
      </c>
      <c r="B3947" t="str">
        <f>"1552374977762259"</f>
        <v>1552374977762259</v>
      </c>
      <c r="C3947" t="s">
        <v>40</v>
      </c>
      <c r="D3947">
        <v>4.6693280000000001</v>
      </c>
      <c r="E3947">
        <v>0.50293009999999905</v>
      </c>
      <c r="F3947" t="s">
        <v>43</v>
      </c>
      <c r="G3947">
        <v>-331.86939999999998</v>
      </c>
      <c r="H3947" s="1">
        <v>-3.9344869999999996E-6</v>
      </c>
      <c r="I3947">
        <v>138.99260000000001</v>
      </c>
      <c r="J3947">
        <v>-315.75689999999997</v>
      </c>
      <c r="K3947">
        <v>1.10951</v>
      </c>
      <c r="L3947">
        <v>140.31100000000001</v>
      </c>
      <c r="M3947">
        <v>-0.99995140000000005</v>
      </c>
      <c r="N3947">
        <v>0</v>
      </c>
      <c r="O3947">
        <v>5.2655829999999999E-4</v>
      </c>
      <c r="P3947">
        <v>-0.99014869999999999</v>
      </c>
      <c r="Q3947">
        <v>0.11265070000000001</v>
      </c>
      <c r="R3947">
        <v>-8.3159860000000002E-2</v>
      </c>
      <c r="S3947">
        <v>-3.0329899999999999</v>
      </c>
      <c r="T3947">
        <v>-0.2058855</v>
      </c>
      <c r="U3947">
        <v>-0.24462890000000001</v>
      </c>
      <c r="V3947">
        <v>-8.3771760000000001E-2</v>
      </c>
      <c r="W3947">
        <v>0.1223399</v>
      </c>
      <c r="X3947">
        <v>0.98894660000000001</v>
      </c>
      <c r="Y3947">
        <v>-8.0734040000000007E-2</v>
      </c>
      <c r="Z3947">
        <v>-2.768272E-3</v>
      </c>
      <c r="AA3947">
        <v>0.99673179999999995</v>
      </c>
      <c r="AB3947">
        <v>43</v>
      </c>
      <c r="AC3947">
        <v>-16.112500000000001</v>
      </c>
      <c r="AD3947">
        <v>-1.109513934487</v>
      </c>
      <c r="AE3947">
        <v>-1.31839999999999</v>
      </c>
      <c r="AF3947">
        <v>-1.3206637757887101</v>
      </c>
      <c r="AG3947">
        <v>-1.109513934487</v>
      </c>
      <c r="AH3947">
        <v>16.036269086406399</v>
      </c>
      <c r="AI3947">
        <v>93.944549133588694</v>
      </c>
      <c r="AJ3947">
        <v>94.707958180244304</v>
      </c>
      <c r="AK3947">
        <v>16.128766232763599</v>
      </c>
      <c r="AL3947">
        <v>82.9728363119454</v>
      </c>
      <c r="AM3947">
        <v>94.841856259980901</v>
      </c>
      <c r="AN3947">
        <v>1.0000000682785299</v>
      </c>
    </row>
    <row r="3948" spans="1:40" x14ac:dyDescent="0.25">
      <c r="A3948" t="str">
        <f>"20190312151617782"</f>
        <v>20190312151617782</v>
      </c>
      <c r="B3948" t="str">
        <f>"1552374977772019"</f>
        <v>1552374977772019</v>
      </c>
      <c r="C3948" t="s">
        <v>40</v>
      </c>
      <c r="D3948">
        <v>4.6218909999999997</v>
      </c>
      <c r="E3948">
        <v>0.50332239999999995</v>
      </c>
      <c r="F3948" t="s">
        <v>43</v>
      </c>
      <c r="G3948">
        <v>-332.0179</v>
      </c>
      <c r="H3948" s="1">
        <v>-3.8638579999999997E-6</v>
      </c>
      <c r="I3948">
        <v>138.995</v>
      </c>
      <c r="J3948">
        <v>-315.99110000000002</v>
      </c>
      <c r="K3948">
        <v>1.109504</v>
      </c>
      <c r="L3948">
        <v>140.31100000000001</v>
      </c>
      <c r="M3948">
        <v>-0.99995140000000005</v>
      </c>
      <c r="N3948">
        <v>0</v>
      </c>
      <c r="O3948">
        <v>3.7484999999999998E-4</v>
      </c>
      <c r="P3948">
        <v>-0.99010620000000005</v>
      </c>
      <c r="Q3948">
        <v>0.112813</v>
      </c>
      <c r="R3948">
        <v>-8.3445870000000005E-2</v>
      </c>
      <c r="S3948">
        <v>-3.0327760000000001</v>
      </c>
      <c r="T3948">
        <v>-0.20693</v>
      </c>
      <c r="U3948">
        <v>-0.24543760000000001</v>
      </c>
      <c r="V3948">
        <v>-8.3907750000000003E-2</v>
      </c>
      <c r="W3948">
        <v>0.1225041</v>
      </c>
      <c r="X3948">
        <v>0.98891470000000004</v>
      </c>
      <c r="Y3948">
        <v>-8.0850660000000005E-2</v>
      </c>
      <c r="Z3948">
        <v>-2.7760929999999999E-3</v>
      </c>
      <c r="AA3948">
        <v>0.99672229999999995</v>
      </c>
      <c r="AB3948">
        <v>43</v>
      </c>
      <c r="AC3948">
        <v>-16.026799999999898</v>
      </c>
      <c r="AD3948">
        <v>-1.109507863858</v>
      </c>
      <c r="AE3948">
        <v>-1.3160000000000001</v>
      </c>
      <c r="AF3948">
        <v>-1.3157442994167201</v>
      </c>
      <c r="AG3948">
        <v>-1.109507863858</v>
      </c>
      <c r="AH3948">
        <v>15.9503744574398</v>
      </c>
      <c r="AI3948">
        <v>93.965658055491701</v>
      </c>
      <c r="AJ3948">
        <v>94.715644694109301</v>
      </c>
      <c r="AK3948">
        <v>16.042962198233798</v>
      </c>
      <c r="AL3948">
        <v>82.963356733886201</v>
      </c>
      <c r="AM3948">
        <v>94.849834471347705</v>
      </c>
      <c r="AN3948">
        <v>1.00000002445148</v>
      </c>
    </row>
    <row r="3949" spans="1:40" x14ac:dyDescent="0.25">
      <c r="A3949" t="str">
        <f>"20190312151617795"</f>
        <v>20190312151617795</v>
      </c>
      <c r="B3949" t="str">
        <f>"1552374977791539"</f>
        <v>1552374977791539</v>
      </c>
      <c r="C3949" t="s">
        <v>40</v>
      </c>
      <c r="D3949">
        <v>4.5615350000000001</v>
      </c>
      <c r="E3949">
        <v>0.50495649999999903</v>
      </c>
      <c r="F3949" t="s">
        <v>43</v>
      </c>
      <c r="G3949">
        <v>-332.41890000000001</v>
      </c>
      <c r="H3949" s="1">
        <v>-3.6744980000000001E-6</v>
      </c>
      <c r="I3949">
        <v>138.9939</v>
      </c>
      <c r="J3949">
        <v>-316.23509999999999</v>
      </c>
      <c r="K3949">
        <v>1.109504</v>
      </c>
      <c r="L3949">
        <v>140.31100000000001</v>
      </c>
      <c r="M3949">
        <v>-0.99995149999999999</v>
      </c>
      <c r="N3949">
        <v>0</v>
      </c>
      <c r="O3949">
        <v>2.1652499999999999E-4</v>
      </c>
      <c r="P3949">
        <v>-0.99010960000000003</v>
      </c>
      <c r="Q3949">
        <v>0.11230850000000001</v>
      </c>
      <c r="R3949">
        <v>-8.4081980000000001E-2</v>
      </c>
      <c r="S3949">
        <v>-3.0328369999999998</v>
      </c>
      <c r="T3949">
        <v>-0.20483209999999999</v>
      </c>
      <c r="U3949">
        <v>-0.2431488</v>
      </c>
      <c r="V3949">
        <v>-8.4386909999999996E-2</v>
      </c>
      <c r="W3949">
        <v>0.122002</v>
      </c>
      <c r="X3949">
        <v>0.98893600000000004</v>
      </c>
      <c r="Y3949">
        <v>-7.995004E-2</v>
      </c>
      <c r="Z3949">
        <v>-2.7070459999999998E-3</v>
      </c>
      <c r="AA3949">
        <v>0.99679519999999999</v>
      </c>
      <c r="AB3949">
        <v>43</v>
      </c>
      <c r="AC3949">
        <v>-16.183800000000002</v>
      </c>
      <c r="AD3949">
        <v>-1.1095076744979999</v>
      </c>
      <c r="AE3949">
        <v>-1.3171000000000099</v>
      </c>
      <c r="AF3949">
        <v>-1.3144669663859001</v>
      </c>
      <c r="AG3949">
        <v>-1.1095076744979999</v>
      </c>
      <c r="AH3949">
        <v>16.108303238644101</v>
      </c>
      <c r="AI3949">
        <v>93.927182906313107</v>
      </c>
      <c r="AJ3949">
        <v>94.665103828306997</v>
      </c>
      <c r="AK3949">
        <v>16.199884688280999</v>
      </c>
      <c r="AL3949">
        <v>82.992342372942701</v>
      </c>
      <c r="AM3949">
        <v>94.877291957693203</v>
      </c>
      <c r="AN3949">
        <v>1.0000000253396699</v>
      </c>
    </row>
    <row r="3950" spans="1:40" x14ac:dyDescent="0.25">
      <c r="A3950" t="str">
        <f>"20190312151617810"</f>
        <v>20190312151617810</v>
      </c>
      <c r="B3950" t="str">
        <f>"1552374977802275"</f>
        <v>1552374977802275</v>
      </c>
      <c r="C3950" t="s">
        <v>40</v>
      </c>
      <c r="D3950">
        <v>4.5181250000000004</v>
      </c>
      <c r="E3950">
        <v>0.50596649999999999</v>
      </c>
      <c r="F3950" t="s">
        <v>43</v>
      </c>
      <c r="G3950">
        <v>-332.68329999999997</v>
      </c>
      <c r="H3950" s="1">
        <v>-3.5390299999999999E-6</v>
      </c>
      <c r="I3950">
        <v>139.053</v>
      </c>
      <c r="J3950">
        <v>-316.5412</v>
      </c>
      <c r="K3950">
        <v>1.1095010000000001</v>
      </c>
      <c r="L3950">
        <v>140.3109</v>
      </c>
      <c r="M3950">
        <v>-0.99995140000000005</v>
      </c>
      <c r="N3950">
        <v>0</v>
      </c>
      <c r="O3950" s="1">
        <v>1.7964270000000001E-5</v>
      </c>
      <c r="P3950">
        <v>-0.9900603</v>
      </c>
      <c r="Q3950">
        <v>0.1123202</v>
      </c>
      <c r="R3950">
        <v>-8.4647570000000005E-2</v>
      </c>
      <c r="S3950">
        <v>-3.0334780000000001</v>
      </c>
      <c r="T3950">
        <v>-0.2046219</v>
      </c>
      <c r="U3950">
        <v>-0.23200989999999999</v>
      </c>
      <c r="V3950">
        <v>-8.4755520000000001E-2</v>
      </c>
      <c r="W3950">
        <v>0.12201620000000001</v>
      </c>
      <c r="X3950">
        <v>0.98890270000000002</v>
      </c>
      <c r="Y3950">
        <v>-7.6106350000000003E-2</v>
      </c>
      <c r="Z3950">
        <v>-2.56143E-3</v>
      </c>
      <c r="AA3950">
        <v>0.99709639999999999</v>
      </c>
      <c r="AB3950">
        <v>43</v>
      </c>
      <c r="AC3950">
        <v>-16.1420999999999</v>
      </c>
      <c r="AD3950">
        <v>-1.10950453903</v>
      </c>
      <c r="AE3950">
        <v>-1.2579</v>
      </c>
      <c r="AF3950">
        <v>-1.25230941120499</v>
      </c>
      <c r="AG3950">
        <v>-1.10950453903</v>
      </c>
      <c r="AH3950">
        <v>16.066631847829601</v>
      </c>
      <c r="AI3950">
        <v>93.938463571622293</v>
      </c>
      <c r="AJ3950">
        <v>94.456893326769801</v>
      </c>
      <c r="AK3950">
        <v>16.153511634230298</v>
      </c>
      <c r="AL3950">
        <v>82.991522474815397</v>
      </c>
      <c r="AM3950">
        <v>94.898657138223101</v>
      </c>
      <c r="AN3950">
        <v>1.0000000006501</v>
      </c>
    </row>
    <row r="3951" spans="1:40" x14ac:dyDescent="0.25">
      <c r="A3951" t="str">
        <f>"20190312151617824"</f>
        <v>20190312151617824</v>
      </c>
      <c r="B3951" t="str">
        <f>"1552374977821795"</f>
        <v>1552374977821795</v>
      </c>
      <c r="C3951" t="s">
        <v>40</v>
      </c>
      <c r="D3951">
        <v>4.4264950000000001</v>
      </c>
      <c r="E3951">
        <v>0.50802519999999995</v>
      </c>
      <c r="F3951" t="s">
        <v>43</v>
      </c>
      <c r="G3951">
        <v>-333.5034</v>
      </c>
      <c r="H3951" s="1">
        <v>-3.1517210000000002E-6</v>
      </c>
      <c r="I3951">
        <v>139.05109999999999</v>
      </c>
      <c r="J3951">
        <v>-316.80590000000001</v>
      </c>
      <c r="K3951">
        <v>1.1095010000000001</v>
      </c>
      <c r="L3951">
        <v>140.3108</v>
      </c>
      <c r="M3951">
        <v>-0.99995129999999999</v>
      </c>
      <c r="N3951">
        <v>0</v>
      </c>
      <c r="O3951">
        <v>-1.535335E-4</v>
      </c>
      <c r="P3951">
        <v>-0.99004510000000001</v>
      </c>
      <c r="Q3951">
        <v>0.11212859999999999</v>
      </c>
      <c r="R3951">
        <v>-8.5077879999999995E-2</v>
      </c>
      <c r="S3951">
        <v>-3.0333860000000001</v>
      </c>
      <c r="T3951">
        <v>-0.19841529999999999</v>
      </c>
      <c r="U3951">
        <v>-0.225296</v>
      </c>
      <c r="V3951">
        <v>-8.5015900000000005E-2</v>
      </c>
      <c r="W3951">
        <v>0.1218273</v>
      </c>
      <c r="X3951">
        <v>0.98890359999999999</v>
      </c>
      <c r="Y3951">
        <v>-7.3758560000000001E-2</v>
      </c>
      <c r="Z3951">
        <v>-2.3963949999999999E-3</v>
      </c>
      <c r="AA3951">
        <v>0.99727330000000003</v>
      </c>
      <c r="AB3951">
        <v>43</v>
      </c>
      <c r="AC3951">
        <v>-16.697499999999899</v>
      </c>
      <c r="AD3951">
        <v>-1.109504151721</v>
      </c>
      <c r="AE3951">
        <v>-1.2597</v>
      </c>
      <c r="AF3951">
        <v>-1.2516412054970301</v>
      </c>
      <c r="AG3951">
        <v>-1.109504151721</v>
      </c>
      <c r="AH3951">
        <v>16.6247064496878</v>
      </c>
      <c r="AI3951">
        <v>93.8074155612357</v>
      </c>
      <c r="AJ3951">
        <v>94.305562910186794</v>
      </c>
      <c r="AK3951">
        <v>16.708634585395501</v>
      </c>
      <c r="AL3951">
        <v>83.002426727918703</v>
      </c>
      <c r="AM3951">
        <v>94.913628433626997</v>
      </c>
      <c r="AN3951">
        <v>0.999999962185529</v>
      </c>
    </row>
    <row r="3952" spans="1:40" x14ac:dyDescent="0.25">
      <c r="A3952" t="str">
        <f>"20190312151617837"</f>
        <v>20190312151617837</v>
      </c>
      <c r="B3952" t="str">
        <f>"1552374977831555"</f>
        <v>1552374977831555</v>
      </c>
      <c r="C3952" t="s">
        <v>40</v>
      </c>
      <c r="D3952">
        <v>4.4090809999999996</v>
      </c>
      <c r="E3952">
        <v>0.50896359999999996</v>
      </c>
      <c r="F3952" t="s">
        <v>43</v>
      </c>
      <c r="G3952">
        <v>-334.72550000000001</v>
      </c>
      <c r="H3952" s="1">
        <v>-2.570501E-6</v>
      </c>
      <c r="I3952">
        <v>139.071</v>
      </c>
      <c r="J3952">
        <v>-317.05680000000001</v>
      </c>
      <c r="K3952">
        <v>1.109499</v>
      </c>
      <c r="L3952">
        <v>140.31059999999999</v>
      </c>
      <c r="M3952">
        <v>-0.99995140000000005</v>
      </c>
      <c r="N3952">
        <v>0</v>
      </c>
      <c r="O3952">
        <v>-3.1626849999999998E-4</v>
      </c>
      <c r="P3952">
        <v>-0.98996600000000001</v>
      </c>
      <c r="Q3952">
        <v>0.1123801</v>
      </c>
      <c r="R3952">
        <v>-8.5664879999999999E-2</v>
      </c>
      <c r="S3952">
        <v>-3.033417</v>
      </c>
      <c r="T3952">
        <v>-0.1878165</v>
      </c>
      <c r="U3952">
        <v>-0.20986940000000001</v>
      </c>
      <c r="V3952">
        <v>-8.5442790000000005E-2</v>
      </c>
      <c r="W3952">
        <v>0.1220796</v>
      </c>
      <c r="X3952">
        <v>0.98883580000000004</v>
      </c>
      <c r="Y3952">
        <v>-6.8575199999999906E-2</v>
      </c>
      <c r="Z3952">
        <v>-2.0988489999999999E-3</v>
      </c>
      <c r="AA3952">
        <v>0.99764379999999997</v>
      </c>
      <c r="AB3952">
        <v>43</v>
      </c>
      <c r="AC3952">
        <v>-17.668700000000001</v>
      </c>
      <c r="AD3952">
        <v>-1.1095015705010001</v>
      </c>
      <c r="AE3952">
        <v>-1.23959999999999</v>
      </c>
      <c r="AF3952">
        <v>-1.22918844196296</v>
      </c>
      <c r="AG3952">
        <v>-1.1095015705010001</v>
      </c>
      <c r="AH3952">
        <v>17.6000310078383</v>
      </c>
      <c r="AI3952">
        <v>93.598396394665698</v>
      </c>
      <c r="AJ3952">
        <v>93.995057589869802</v>
      </c>
      <c r="AK3952">
        <v>17.677754083527301</v>
      </c>
      <c r="AL3952">
        <v>82.987863044968506</v>
      </c>
      <c r="AM3952">
        <v>94.938516430200195</v>
      </c>
      <c r="AN3952">
        <v>1.0000000692303801</v>
      </c>
    </row>
    <row r="3953" spans="1:40" x14ac:dyDescent="0.25">
      <c r="A3953" t="str">
        <f>"20190312151617849"</f>
        <v>20190312151617849</v>
      </c>
      <c r="B3953" t="str">
        <f>"1552374977841315"</f>
        <v>1552374977841315</v>
      </c>
      <c r="C3953" t="s">
        <v>40</v>
      </c>
      <c r="D3953">
        <v>4.4791730000000003</v>
      </c>
      <c r="E3953">
        <v>0.50995579999999996</v>
      </c>
      <c r="F3953" t="s">
        <v>43</v>
      </c>
      <c r="G3953">
        <v>-335.55239999999998</v>
      </c>
      <c r="H3953" s="1">
        <v>-2.180259E-6</v>
      </c>
      <c r="I3953">
        <v>139.06729999999999</v>
      </c>
      <c r="J3953">
        <v>-317.2921</v>
      </c>
      <c r="K3953">
        <v>1.1094999999999999</v>
      </c>
      <c r="L3953">
        <v>140.31049999999999</v>
      </c>
      <c r="M3953">
        <v>-0.99995140000000005</v>
      </c>
      <c r="N3953">
        <v>0</v>
      </c>
      <c r="O3953">
        <v>-4.6863139999999998E-4</v>
      </c>
      <c r="P3953">
        <v>-0.99000100000000002</v>
      </c>
      <c r="Q3953">
        <v>0.1119385</v>
      </c>
      <c r="R3953">
        <v>-8.5839460000000006E-2</v>
      </c>
      <c r="S3953">
        <v>-3.0333860000000001</v>
      </c>
      <c r="T3953">
        <v>-0.18196399999999999</v>
      </c>
      <c r="U3953">
        <v>-0.2039185</v>
      </c>
      <c r="V3953">
        <v>-8.5465830000000007E-2</v>
      </c>
      <c r="W3953">
        <v>0.12164079999999999</v>
      </c>
      <c r="X3953">
        <v>0.98888779999999998</v>
      </c>
      <c r="Y3953">
        <v>-6.6487539999999998E-2</v>
      </c>
      <c r="Z3953">
        <v>-1.96211E-3</v>
      </c>
      <c r="AA3953">
        <v>0.99778529999999999</v>
      </c>
      <c r="AB3953">
        <v>43</v>
      </c>
      <c r="AC3953">
        <v>-18.260299999999901</v>
      </c>
      <c r="AD3953">
        <v>-1.1095021802589999</v>
      </c>
      <c r="AE3953">
        <v>-1.2432000000000001</v>
      </c>
      <c r="AF3953">
        <v>-1.2301216639547301</v>
      </c>
      <c r="AG3953">
        <v>-1.1095021802589999</v>
      </c>
      <c r="AH3953">
        <v>18.194021479293401</v>
      </c>
      <c r="AI3953">
        <v>93.481742663835405</v>
      </c>
      <c r="AJ3953">
        <v>93.867956147048901</v>
      </c>
      <c r="AK3953">
        <v>18.269280554666601</v>
      </c>
      <c r="AL3953">
        <v>83.013192630429302</v>
      </c>
      <c r="AM3953">
        <v>94.939583059919798</v>
      </c>
      <c r="AN3953">
        <v>0.99999998665553402</v>
      </c>
    </row>
    <row r="3954" spans="1:40" x14ac:dyDescent="0.25">
      <c r="A3954" t="str">
        <f>"20190312151617862"</f>
        <v>20190312151617862</v>
      </c>
      <c r="B3954" t="str">
        <f>"1552374977852051"</f>
        <v>1552374977852051</v>
      </c>
      <c r="C3954" t="s">
        <v>40</v>
      </c>
      <c r="D3954">
        <v>4.5479459999999996</v>
      </c>
      <c r="E3954">
        <v>0.51082649999999996</v>
      </c>
      <c r="F3954" t="s">
        <v>43</v>
      </c>
      <c r="G3954">
        <v>-335.71210000000002</v>
      </c>
      <c r="H3954" s="1">
        <v>-2.095903E-6</v>
      </c>
      <c r="I3954">
        <v>139.1173</v>
      </c>
      <c r="J3954">
        <v>-317.53680000000003</v>
      </c>
      <c r="K3954">
        <v>1.1094980000000001</v>
      </c>
      <c r="L3954">
        <v>140.31020000000001</v>
      </c>
      <c r="M3954">
        <v>-0.99995109999999998</v>
      </c>
      <c r="N3954">
        <v>0</v>
      </c>
      <c r="O3954">
        <v>-6.2719360000000005E-4</v>
      </c>
      <c r="P3954">
        <v>-0.98994599999999999</v>
      </c>
      <c r="Q3954">
        <v>0.112009999999999</v>
      </c>
      <c r="R3954">
        <v>-8.6376069999999999E-2</v>
      </c>
      <c r="S3954">
        <v>-3.0339360000000002</v>
      </c>
      <c r="T3954">
        <v>-0.1827443</v>
      </c>
      <c r="U3954">
        <v>-0.1965179</v>
      </c>
      <c r="V3954">
        <v>-8.5845580000000005E-2</v>
      </c>
      <c r="W3954">
        <v>0.1217147</v>
      </c>
      <c r="X3954">
        <v>0.9888458</v>
      </c>
      <c r="Y3954">
        <v>-6.3897709999999996E-2</v>
      </c>
      <c r="Z3954">
        <v>-1.882933E-3</v>
      </c>
      <c r="AA3954">
        <v>0.99795469999999997</v>
      </c>
      <c r="AB3954">
        <v>43</v>
      </c>
      <c r="AC3954">
        <v>-18.1753</v>
      </c>
      <c r="AD3954">
        <v>-1.1095000959029999</v>
      </c>
      <c r="AE3954">
        <v>-1.1929000000000001</v>
      </c>
      <c r="AF3954">
        <v>-1.17713210718975</v>
      </c>
      <c r="AG3954">
        <v>-1.1095000959029999</v>
      </c>
      <c r="AH3954">
        <v>18.108852935147802</v>
      </c>
      <c r="AI3954">
        <v>93.498671546795407</v>
      </c>
      <c r="AJ3954">
        <v>93.719172509337099</v>
      </c>
      <c r="AK3954">
        <v>18.180956660401499</v>
      </c>
      <c r="AL3954">
        <v>83.008926686511799</v>
      </c>
      <c r="AM3954">
        <v>94.961631457486405</v>
      </c>
      <c r="AN3954">
        <v>0.99999997398963203</v>
      </c>
    </row>
    <row r="3955" spans="1:40" x14ac:dyDescent="0.25">
      <c r="A3955" t="str">
        <f>"20190312151617878"</f>
        <v>20190312151617878</v>
      </c>
      <c r="B3955" t="str">
        <f>"1552374977871575"</f>
        <v>1552374977871575</v>
      </c>
      <c r="C3955" t="s">
        <v>40</v>
      </c>
      <c r="D3955">
        <v>4.4911469999999998</v>
      </c>
      <c r="E3955">
        <v>0.51258230000000005</v>
      </c>
      <c r="F3955" t="s">
        <v>43</v>
      </c>
      <c r="G3955">
        <v>-336.26859999999999</v>
      </c>
      <c r="H3955" s="1">
        <v>-1.8306990000000001E-6</v>
      </c>
      <c r="I3955">
        <v>139.12950000000001</v>
      </c>
      <c r="J3955">
        <v>-317.84440000000001</v>
      </c>
      <c r="K3955">
        <v>1.1094980000000001</v>
      </c>
      <c r="L3955">
        <v>140.3099</v>
      </c>
      <c r="M3955">
        <v>-0.99995089999999998</v>
      </c>
      <c r="N3955">
        <v>0</v>
      </c>
      <c r="O3955">
        <v>-8.2652889999999997E-4</v>
      </c>
      <c r="P3955">
        <v>-0.98993169999999997</v>
      </c>
      <c r="Q3955">
        <v>0.1114636</v>
      </c>
      <c r="R3955">
        <v>-8.7242719999999996E-2</v>
      </c>
      <c r="S3955">
        <v>-3.0341490000000002</v>
      </c>
      <c r="T3955">
        <v>-0.1797156</v>
      </c>
      <c r="U3955">
        <v>-0.1912537</v>
      </c>
      <c r="V3955">
        <v>-8.6514789999999994E-2</v>
      </c>
      <c r="W3955">
        <v>0.1211704</v>
      </c>
      <c r="X3955">
        <v>0.98885429999999996</v>
      </c>
      <c r="Y3955">
        <v>-6.1977150000000002E-2</v>
      </c>
      <c r="Z3955">
        <v>-1.783197E-3</v>
      </c>
      <c r="AA3955">
        <v>0.99807599999999996</v>
      </c>
      <c r="AB3955">
        <v>43</v>
      </c>
      <c r="AC3955">
        <v>-18.4241999999999</v>
      </c>
      <c r="AD3955">
        <v>-1.1094998306989901</v>
      </c>
      <c r="AE3955">
        <v>-1.1803999999999899</v>
      </c>
      <c r="AF3955">
        <v>-1.16097774715307</v>
      </c>
      <c r="AG3955">
        <v>-1.1094998306989901</v>
      </c>
      <c r="AH3955">
        <v>18.358864732588899</v>
      </c>
      <c r="AI3955">
        <v>93.451529703243196</v>
      </c>
      <c r="AJ3955">
        <v>93.618451749584096</v>
      </c>
      <c r="AK3955">
        <v>18.428965610505699</v>
      </c>
      <c r="AL3955">
        <v>83.040345163734997</v>
      </c>
      <c r="AM3955">
        <v>95.000071811890294</v>
      </c>
      <c r="AN3955">
        <v>0.999999950676695</v>
      </c>
    </row>
    <row r="3956" spans="1:40" x14ac:dyDescent="0.25">
      <c r="A3956" t="str">
        <f>"20190312151617891"</f>
        <v>20190312151617891</v>
      </c>
      <c r="B3956" t="str">
        <f>"1552374977882308"</f>
        <v>1552374977882308</v>
      </c>
      <c r="C3956" t="s">
        <v>40</v>
      </c>
      <c r="D3956">
        <v>4.4783400000000002</v>
      </c>
      <c r="E3956">
        <v>0.51330900000000002</v>
      </c>
      <c r="F3956" t="s">
        <v>43</v>
      </c>
      <c r="G3956">
        <v>-336.47179999999997</v>
      </c>
      <c r="H3956" s="1">
        <v>-1.721296E-6</v>
      </c>
      <c r="I3956">
        <v>139.2045</v>
      </c>
      <c r="J3956">
        <v>-318.09739999999999</v>
      </c>
      <c r="K3956">
        <v>1.1094980000000001</v>
      </c>
      <c r="L3956">
        <v>140.30959999999999</v>
      </c>
      <c r="M3956">
        <v>-0.99995080000000003</v>
      </c>
      <c r="N3956">
        <v>0</v>
      </c>
      <c r="O3956">
        <v>-9.9069450000000003E-4</v>
      </c>
      <c r="P3956">
        <v>-0.98991689999999999</v>
      </c>
      <c r="Q3956">
        <v>0.11128739999999999</v>
      </c>
      <c r="R3956">
        <v>-8.7633890000000006E-2</v>
      </c>
      <c r="S3956">
        <v>-3.035034</v>
      </c>
      <c r="T3956">
        <v>-0.1807743</v>
      </c>
      <c r="U3956">
        <v>-0.1800995</v>
      </c>
      <c r="V3956">
        <v>-8.6743440000000005E-2</v>
      </c>
      <c r="W3956">
        <v>0.120996699999999</v>
      </c>
      <c r="X3956">
        <v>0.98885559999999995</v>
      </c>
      <c r="Y3956">
        <v>-5.8146009999999998E-2</v>
      </c>
      <c r="Z3956">
        <v>-1.669706E-3</v>
      </c>
      <c r="AA3956">
        <v>0.99830669999999999</v>
      </c>
      <c r="AB3956">
        <v>43</v>
      </c>
      <c r="AC3956">
        <v>-18.374399999999898</v>
      </c>
      <c r="AD3956">
        <v>-1.1094997212959901</v>
      </c>
      <c r="AE3956">
        <v>-1.10509999999999</v>
      </c>
      <c r="AF3956">
        <v>-1.08296080662952</v>
      </c>
      <c r="AG3956">
        <v>-1.1094997212959901</v>
      </c>
      <c r="AH3956">
        <v>18.308970197463001</v>
      </c>
      <c r="AI3956">
        <v>93.461773162446406</v>
      </c>
      <c r="AJ3956">
        <v>93.385055098798802</v>
      </c>
      <c r="AK3956">
        <v>18.374498181769201</v>
      </c>
      <c r="AL3956">
        <v>83.050371635932194</v>
      </c>
      <c r="AM3956">
        <v>95.0132126937648</v>
      </c>
      <c r="AN3956">
        <v>1.00000001172264</v>
      </c>
    </row>
    <row r="3957" spans="1:40" x14ac:dyDescent="0.25">
      <c r="A3957" t="str">
        <f>"20190312151617906"</f>
        <v>20190312151617906</v>
      </c>
      <c r="B3957" t="str">
        <f>"1552374977901827"</f>
        <v>1552374977901827</v>
      </c>
      <c r="C3957" t="s">
        <v>40</v>
      </c>
      <c r="D3957">
        <v>4.4936379999999998</v>
      </c>
      <c r="E3957">
        <v>0.51488990000000001</v>
      </c>
      <c r="F3957" t="s">
        <v>43</v>
      </c>
      <c r="G3957">
        <v>-336.93220000000002</v>
      </c>
      <c r="H3957" s="1">
        <v>-1.5007300000000001E-6</v>
      </c>
      <c r="I3957">
        <v>139.22120000000001</v>
      </c>
      <c r="J3957">
        <v>-318.38310000000001</v>
      </c>
      <c r="K3957">
        <v>1.109494</v>
      </c>
      <c r="L3957">
        <v>140.3092</v>
      </c>
      <c r="M3957">
        <v>-0.99995060000000002</v>
      </c>
      <c r="N3957">
        <v>0</v>
      </c>
      <c r="O3957">
        <v>-1.175724E-3</v>
      </c>
      <c r="P3957">
        <v>-0.98988830000000005</v>
      </c>
      <c r="Q3957">
        <v>0.1111154</v>
      </c>
      <c r="R3957">
        <v>-8.8174810000000006E-2</v>
      </c>
      <c r="S3957">
        <v>-3.0351560000000002</v>
      </c>
      <c r="T3957">
        <v>-0.17879149999999999</v>
      </c>
      <c r="U3957">
        <v>-0.1753845</v>
      </c>
      <c r="V3957">
        <v>-8.7101239999999996E-2</v>
      </c>
      <c r="W3957">
        <v>0.1208272</v>
      </c>
      <c r="X3957">
        <v>0.98884490000000003</v>
      </c>
      <c r="Y3957">
        <v>-5.6418820000000001E-2</v>
      </c>
      <c r="Z3957">
        <v>-1.5897649999999999E-3</v>
      </c>
      <c r="AA3957">
        <v>0.99840589999999996</v>
      </c>
      <c r="AB3957">
        <v>43</v>
      </c>
      <c r="AC3957">
        <v>-18.549099999999999</v>
      </c>
      <c r="AD3957">
        <v>-1.10949550073</v>
      </c>
      <c r="AE3957">
        <v>-1.0879999999999901</v>
      </c>
      <c r="AF3957">
        <v>-1.06240162837553</v>
      </c>
      <c r="AG3957">
        <v>-1.10949550073</v>
      </c>
      <c r="AH3957">
        <v>18.484461088171301</v>
      </c>
      <c r="AI3957">
        <v>93.429305743964505</v>
      </c>
      <c r="AJ3957">
        <v>93.289478338388406</v>
      </c>
      <c r="AK3957">
        <v>18.5481799432245</v>
      </c>
      <c r="AL3957">
        <v>83.060155227164302</v>
      </c>
      <c r="AM3957">
        <v>95.033839393776901</v>
      </c>
      <c r="AN3957">
        <v>1.00000003726269</v>
      </c>
    </row>
    <row r="3958" spans="1:40" x14ac:dyDescent="0.25">
      <c r="A3958" t="str">
        <f>"20190312151617925"</f>
        <v>20190312151617925</v>
      </c>
      <c r="B3958" t="str">
        <f>"1552374977921348"</f>
        <v>1552374977921348</v>
      </c>
      <c r="C3958" t="s">
        <v>40</v>
      </c>
      <c r="D3958">
        <v>5.6932330000000002</v>
      </c>
      <c r="E3958">
        <v>0.51620949999999999</v>
      </c>
      <c r="F3958" t="s">
        <v>43</v>
      </c>
      <c r="G3958">
        <v>-337.21530000000001</v>
      </c>
      <c r="H3958" s="1">
        <v>-1.3549529999999999E-6</v>
      </c>
      <c r="I3958">
        <v>139.2886</v>
      </c>
      <c r="J3958">
        <v>-318.74020000000002</v>
      </c>
      <c r="K3958">
        <v>1.1094930000000001</v>
      </c>
      <c r="L3958">
        <v>140.30860000000001</v>
      </c>
      <c r="M3958">
        <v>-0.99995009999999995</v>
      </c>
      <c r="N3958">
        <v>0</v>
      </c>
      <c r="O3958">
        <v>-1.40701E-3</v>
      </c>
      <c r="P3958">
        <v>-0.98984519999999998</v>
      </c>
      <c r="Q3958">
        <v>0.11101129999999999</v>
      </c>
      <c r="R3958">
        <v>-8.8787210000000005E-2</v>
      </c>
      <c r="S3958">
        <v>-3.036041</v>
      </c>
      <c r="T3958">
        <v>-0.1788681</v>
      </c>
      <c r="U3958">
        <v>-0.1645355</v>
      </c>
      <c r="V3958">
        <v>-8.7484720000000002E-2</v>
      </c>
      <c r="W3958">
        <v>0.120726399999999</v>
      </c>
      <c r="X3958">
        <v>0.98882340000000002</v>
      </c>
      <c r="Y3958">
        <v>-5.2621090000000002E-2</v>
      </c>
      <c r="Z3958">
        <v>-1.464843E-3</v>
      </c>
      <c r="AA3958">
        <v>0.99861350000000004</v>
      </c>
      <c r="AB3958">
        <v>43</v>
      </c>
      <c r="AC3958">
        <v>-18.475100000000001</v>
      </c>
      <c r="AD3958">
        <v>-1.1094943549529901</v>
      </c>
      <c r="AE3958">
        <v>-1.02000000000001</v>
      </c>
      <c r="AF3958">
        <v>-0.99044197070918505</v>
      </c>
      <c r="AG3958">
        <v>-1.1094943549529901</v>
      </c>
      <c r="AH3958">
        <v>18.410323291628298</v>
      </c>
      <c r="AI3958">
        <v>93.4437793658999</v>
      </c>
      <c r="AJ3958">
        <v>93.079440327051699</v>
      </c>
      <c r="AK3958">
        <v>18.470299313310701</v>
      </c>
      <c r="AL3958">
        <v>83.065973515952194</v>
      </c>
      <c r="AM3958">
        <v>95.055996584073696</v>
      </c>
      <c r="AN3958">
        <v>1.0000000781389899</v>
      </c>
    </row>
    <row r="3959" spans="1:40" x14ac:dyDescent="0.25">
      <c r="A3959" t="str">
        <f>"20190312151617946"</f>
        <v>20190312151617946</v>
      </c>
      <c r="B3959" t="str">
        <f>"1552374977941844"</f>
        <v>1552374977941844</v>
      </c>
      <c r="C3959" t="s">
        <v>40</v>
      </c>
      <c r="D3959">
        <v>4.4579779999999998</v>
      </c>
      <c r="E3959">
        <v>0.51752489999999995</v>
      </c>
      <c r="F3959" t="s">
        <v>43</v>
      </c>
      <c r="G3959">
        <v>-338.0034</v>
      </c>
      <c r="H3959" s="1">
        <v>-9.7656299999999993E-7</v>
      </c>
      <c r="I3959">
        <v>139.32149999999999</v>
      </c>
      <c r="J3959">
        <v>-319.1497</v>
      </c>
      <c r="K3959">
        <v>1.109494</v>
      </c>
      <c r="L3959">
        <v>140.30779999999999</v>
      </c>
      <c r="M3959">
        <v>-0.99994959999999999</v>
      </c>
      <c r="N3959">
        <v>0</v>
      </c>
      <c r="O3959">
        <v>-1.6722729999999999E-3</v>
      </c>
      <c r="P3959">
        <v>-0.98983359999999998</v>
      </c>
      <c r="Q3959">
        <v>0.110689</v>
      </c>
      <c r="R3959">
        <v>-8.9315459999999999E-2</v>
      </c>
      <c r="S3959">
        <v>-3.036438</v>
      </c>
      <c r="T3959">
        <v>-0.17488799999999999</v>
      </c>
      <c r="U3959">
        <v>-0.15559389999999901</v>
      </c>
      <c r="V3959">
        <v>-8.7750270000000005E-2</v>
      </c>
      <c r="W3959">
        <v>0.1204083</v>
      </c>
      <c r="X3959">
        <v>0.98883860000000001</v>
      </c>
      <c r="Y3959">
        <v>-4.9425919999999998E-2</v>
      </c>
      <c r="Z3959">
        <v>-1.3250919999999999E-3</v>
      </c>
      <c r="AA3959">
        <v>0.99877689999999997</v>
      </c>
      <c r="AB3959">
        <v>43</v>
      </c>
      <c r="AC3959">
        <v>-18.8537</v>
      </c>
      <c r="AD3959">
        <v>-1.109494976563</v>
      </c>
      <c r="AE3959">
        <v>-0.98629999999999995</v>
      </c>
      <c r="AF3959">
        <v>-0.95148251320148203</v>
      </c>
      <c r="AG3959">
        <v>-1.109494976563</v>
      </c>
      <c r="AH3959">
        <v>18.790428670216901</v>
      </c>
      <c r="AI3959">
        <v>93.374835107473302</v>
      </c>
      <c r="AJ3959">
        <v>92.898784841298195</v>
      </c>
      <c r="AK3959">
        <v>18.847188323101602</v>
      </c>
      <c r="AL3959">
        <v>83.084332848325602</v>
      </c>
      <c r="AM3959">
        <v>95.071186037775007</v>
      </c>
      <c r="AN3959">
        <v>1.0000000227219601</v>
      </c>
    </row>
    <row r="3960" spans="1:40" x14ac:dyDescent="0.25">
      <c r="A3960" t="str">
        <f>"20190312151617969"</f>
        <v>20190312151617969</v>
      </c>
      <c r="B3960" t="str">
        <f>"1552374977961363"</f>
        <v>1552374977961363</v>
      </c>
      <c r="C3960" t="s">
        <v>40</v>
      </c>
      <c r="D3960">
        <v>4.5602499999999999</v>
      </c>
      <c r="E3960">
        <v>0.5183873</v>
      </c>
      <c r="F3960" t="s">
        <v>43</v>
      </c>
      <c r="G3960">
        <v>-338.77080000000001</v>
      </c>
      <c r="H3960" s="1">
        <v>-6.0727009999999995E-7</v>
      </c>
      <c r="I3960">
        <v>139.35839999999999</v>
      </c>
      <c r="J3960">
        <v>-319.58589999999998</v>
      </c>
      <c r="K3960">
        <v>1.1094930000000001</v>
      </c>
      <c r="L3960">
        <v>140.30690000000001</v>
      </c>
      <c r="M3960">
        <v>-0.99994919999999998</v>
      </c>
      <c r="N3960">
        <v>0</v>
      </c>
      <c r="O3960">
        <v>-1.9545859999999999E-3</v>
      </c>
      <c r="P3960">
        <v>-0.98981090000000005</v>
      </c>
      <c r="Q3960">
        <v>0.110609</v>
      </c>
      <c r="R3960">
        <v>-8.9665549999999997E-2</v>
      </c>
      <c r="S3960">
        <v>-3.036743</v>
      </c>
      <c r="T3960">
        <v>-0.1717157</v>
      </c>
      <c r="U3960">
        <v>-0.14694209999999999</v>
      </c>
      <c r="V3960">
        <v>-8.7821360000000001E-2</v>
      </c>
      <c r="W3960">
        <v>0.1203325</v>
      </c>
      <c r="X3960">
        <v>0.98884150000000004</v>
      </c>
      <c r="Y3960">
        <v>-4.6308349999999998E-2</v>
      </c>
      <c r="Z3960">
        <v>-1.197093E-3</v>
      </c>
      <c r="AA3960">
        <v>0.99892650000000005</v>
      </c>
      <c r="AB3960">
        <v>43</v>
      </c>
      <c r="AC3960">
        <v>-19.184899999999999</v>
      </c>
      <c r="AD3960">
        <v>-1.1094936072701</v>
      </c>
      <c r="AE3960">
        <v>-0.94850000000002399</v>
      </c>
      <c r="AF3960">
        <v>-0.90796852613496204</v>
      </c>
      <c r="AG3960">
        <v>-1.1094936072701</v>
      </c>
      <c r="AH3960">
        <v>19.122916816442299</v>
      </c>
      <c r="AI3960">
        <v>93.316796341567695</v>
      </c>
      <c r="AJ3960">
        <v>92.718399300059502</v>
      </c>
      <c r="AK3960">
        <v>19.1765828675913</v>
      </c>
      <c r="AL3960">
        <v>83.0887075681173</v>
      </c>
      <c r="AM3960">
        <v>95.075258153120998</v>
      </c>
      <c r="AN3960">
        <v>1.0000000069753701</v>
      </c>
    </row>
    <row r="3961" spans="1:40" x14ac:dyDescent="0.25">
      <c r="A3961" t="str">
        <f>"20190312151617992"</f>
        <v>20190312151617992</v>
      </c>
      <c r="B3961" t="str">
        <f>"1552374977981860"</f>
        <v>1552374977981860</v>
      </c>
      <c r="C3961" t="s">
        <v>40</v>
      </c>
      <c r="D3961">
        <v>4.4696290000000003</v>
      </c>
      <c r="E3961">
        <v>0.56510539999999998</v>
      </c>
      <c r="F3961" t="s">
        <v>43</v>
      </c>
      <c r="G3961">
        <v>-339.05180000000001</v>
      </c>
      <c r="H3961" s="1">
        <v>-4.6673489999999998E-7</v>
      </c>
      <c r="I3961">
        <v>139.40180000000001</v>
      </c>
      <c r="J3961">
        <v>-320.0421</v>
      </c>
      <c r="K3961">
        <v>1.109494</v>
      </c>
      <c r="L3961">
        <v>140.3058</v>
      </c>
      <c r="M3961">
        <v>-0.99994859999999997</v>
      </c>
      <c r="N3961">
        <v>0</v>
      </c>
      <c r="O3961">
        <v>-2.2496560000000001E-3</v>
      </c>
      <c r="P3961">
        <v>-0.98979119999999998</v>
      </c>
      <c r="Q3961">
        <v>0.11027339999999999</v>
      </c>
      <c r="R3961">
        <v>-9.0296399999999999E-2</v>
      </c>
      <c r="S3961">
        <v>-3.037445</v>
      </c>
      <c r="T3961">
        <v>-0.17312429999999901</v>
      </c>
      <c r="U3961">
        <v>-0.14122009999999999</v>
      </c>
      <c r="V3961">
        <v>-8.8159699999999994E-2</v>
      </c>
      <c r="W3961">
        <v>0.1200007</v>
      </c>
      <c r="X3961">
        <v>0.9888517</v>
      </c>
      <c r="Y3961">
        <v>-4.4127609999999998E-2</v>
      </c>
      <c r="Z3961">
        <v>-1.1278130000000001E-3</v>
      </c>
      <c r="AA3961">
        <v>0.9990253</v>
      </c>
      <c r="AB3961">
        <v>43</v>
      </c>
      <c r="AC3961">
        <v>-19.009699999999999</v>
      </c>
      <c r="AD3961">
        <v>-1.1094944667348901</v>
      </c>
      <c r="AE3961">
        <v>-0.90399999999999603</v>
      </c>
      <c r="AF3961">
        <v>-0.85831314802674696</v>
      </c>
      <c r="AG3961">
        <v>-1.1094944667348901</v>
      </c>
      <c r="AH3961">
        <v>18.947288655469301</v>
      </c>
      <c r="AI3961">
        <v>93.347810871994199</v>
      </c>
      <c r="AJ3961">
        <v>92.593728528725705</v>
      </c>
      <c r="AK3961">
        <v>18.999142791859502</v>
      </c>
      <c r="AL3961">
        <v>83.107856970767102</v>
      </c>
      <c r="AM3961">
        <v>95.094656077458595</v>
      </c>
      <c r="AN3961">
        <v>0.99999999264873496</v>
      </c>
    </row>
    <row r="3962" spans="1:40" x14ac:dyDescent="0.25">
      <c r="A3962" t="str">
        <f>"20190312151618013"</f>
        <v>20190312151618013</v>
      </c>
      <c r="B3962" t="str">
        <f>"1552374978001381"</f>
        <v>1552374978001381</v>
      </c>
      <c r="C3962" t="s">
        <v>40</v>
      </c>
      <c r="D3962">
        <v>4.504416</v>
      </c>
      <c r="E3962">
        <v>0.56567149999999999</v>
      </c>
      <c r="F3962" t="s">
        <v>43</v>
      </c>
      <c r="G3962">
        <v>-338.0154</v>
      </c>
      <c r="H3962" s="1">
        <v>-1.456557E-6</v>
      </c>
      <c r="I3962">
        <v>141.63810000000001</v>
      </c>
      <c r="J3962">
        <v>-320.44490000000002</v>
      </c>
      <c r="K3962">
        <v>1.109488</v>
      </c>
      <c r="L3962">
        <v>140.3047</v>
      </c>
      <c r="M3962">
        <v>-0.9999479</v>
      </c>
      <c r="N3962">
        <v>0</v>
      </c>
      <c r="O3962">
        <v>-2.5101519999999999E-3</v>
      </c>
      <c r="P3962">
        <v>-0.98971799999999999</v>
      </c>
      <c r="Q3962">
        <v>0.110523</v>
      </c>
      <c r="R3962">
        <v>-9.0792049999999999E-2</v>
      </c>
      <c r="S3962">
        <v>-3.0728149999999999</v>
      </c>
      <c r="T3962">
        <v>-0.1896851</v>
      </c>
      <c r="U3962">
        <v>0.22778319999999999</v>
      </c>
      <c r="V3962">
        <v>-8.8398379999999999E-2</v>
      </c>
      <c r="W3962">
        <v>0.1202535</v>
      </c>
      <c r="X3962">
        <v>0.98879969999999995</v>
      </c>
      <c r="Y3962">
        <v>7.6279700000000006E-2</v>
      </c>
      <c r="Z3962">
        <v>2.5035280000000001E-3</v>
      </c>
      <c r="AA3962">
        <v>0.99708330000000001</v>
      </c>
      <c r="AB3962">
        <v>43</v>
      </c>
      <c r="AC3962">
        <v>-17.5704999999999</v>
      </c>
      <c r="AD3962">
        <v>-1.1094894565569999</v>
      </c>
      <c r="AE3962">
        <v>1.3334000000000099</v>
      </c>
      <c r="AF3962">
        <v>1.3720630927797499</v>
      </c>
      <c r="AG3962">
        <v>-1.1094894565569999</v>
      </c>
      <c r="AH3962">
        <v>17.497728376137001</v>
      </c>
      <c r="AI3962">
        <v>93.617058865440001</v>
      </c>
      <c r="AJ3962">
        <v>85.516395582147993</v>
      </c>
      <c r="AK3962">
        <v>17.586472708017599</v>
      </c>
      <c r="AL3962">
        <v>83.093267080457096</v>
      </c>
      <c r="AM3962">
        <v>95.108643484282396</v>
      </c>
      <c r="AN3962">
        <v>1.0000000122844801</v>
      </c>
    </row>
    <row r="3963" spans="1:40" x14ac:dyDescent="0.25">
      <c r="A3963" t="str">
        <f>"20190312151618036"</f>
        <v>20190312151618036</v>
      </c>
      <c r="B3963" t="str">
        <f>"1552374978031636"</f>
        <v>1552374978031636</v>
      </c>
      <c r="C3963" t="s">
        <v>40</v>
      </c>
      <c r="D3963">
        <v>4.4933779999999999</v>
      </c>
      <c r="E3963">
        <v>0.56622980000000001</v>
      </c>
      <c r="F3963" t="s">
        <v>43</v>
      </c>
      <c r="G3963">
        <v>-338.78230000000002</v>
      </c>
      <c r="H3963" s="1">
        <v>-1.105177E-6</v>
      </c>
      <c r="I3963">
        <v>141.68</v>
      </c>
      <c r="J3963">
        <v>-320.88130000000001</v>
      </c>
      <c r="K3963">
        <v>1.1094919999999999</v>
      </c>
      <c r="L3963">
        <v>140.30340000000001</v>
      </c>
      <c r="M3963">
        <v>-0.99994720000000004</v>
      </c>
      <c r="N3963">
        <v>0</v>
      </c>
      <c r="O3963">
        <v>-2.792344E-3</v>
      </c>
      <c r="P3963">
        <v>-0.98970709999999995</v>
      </c>
      <c r="Q3963">
        <v>0.1102142</v>
      </c>
      <c r="R3963">
        <v>-9.1286800000000001E-2</v>
      </c>
      <c r="S3963">
        <v>-3.0731199999999999</v>
      </c>
      <c r="T3963">
        <v>-0.18593699999999999</v>
      </c>
      <c r="U3963">
        <v>0.23048399999999999</v>
      </c>
      <c r="V3963">
        <v>-8.8613369999999997E-2</v>
      </c>
      <c r="W3963">
        <v>0.1199491</v>
      </c>
      <c r="X3963">
        <v>0.98881739999999996</v>
      </c>
      <c r="Y3963">
        <v>7.7428440000000001E-2</v>
      </c>
      <c r="Z3963">
        <v>2.505536E-3</v>
      </c>
      <c r="AA3963">
        <v>0.99699479999999996</v>
      </c>
      <c r="AB3963">
        <v>43</v>
      </c>
      <c r="AC3963">
        <v>-17.901</v>
      </c>
      <c r="AD3963">
        <v>-1.1094931051769901</v>
      </c>
      <c r="AE3963">
        <v>1.3765999999999901</v>
      </c>
      <c r="AF3963">
        <v>1.42115563069638</v>
      </c>
      <c r="AG3963">
        <v>-1.1094931051769901</v>
      </c>
      <c r="AH3963">
        <v>17.828999597094501</v>
      </c>
      <c r="AI3963">
        <v>93.549676637773899</v>
      </c>
      <c r="AJ3963">
        <v>85.442569839049398</v>
      </c>
      <c r="AK3963">
        <v>17.919929824368499</v>
      </c>
      <c r="AL3963">
        <v>83.110834877984004</v>
      </c>
      <c r="AM3963">
        <v>95.120910839207696</v>
      </c>
      <c r="AN3963">
        <v>0.99999998323816297</v>
      </c>
    </row>
    <row r="3964" spans="1:40" x14ac:dyDescent="0.25">
      <c r="A3964" t="str">
        <f>"20190312151618048"</f>
        <v>20190312151618048</v>
      </c>
      <c r="B3964" t="str">
        <f>"1552374978041396"</f>
        <v>1552374978041396</v>
      </c>
      <c r="C3964" t="s">
        <v>40</v>
      </c>
      <c r="D3964">
        <v>4.4864329999999999</v>
      </c>
      <c r="E3964">
        <v>0.56645249999999903</v>
      </c>
      <c r="F3964" t="s">
        <v>41</v>
      </c>
      <c r="G3964">
        <v>-321.95510000000002</v>
      </c>
      <c r="H3964">
        <v>1.0461279999999999</v>
      </c>
      <c r="I3964">
        <v>140.38499999999999</v>
      </c>
      <c r="J3964">
        <v>-321.14210000000003</v>
      </c>
      <c r="K3964">
        <v>1.1094930000000001</v>
      </c>
      <c r="L3964">
        <v>140.30250000000001</v>
      </c>
      <c r="M3964">
        <v>-0.99994660000000002</v>
      </c>
      <c r="N3964">
        <v>0</v>
      </c>
      <c r="O3964">
        <v>-2.9610389999999999E-3</v>
      </c>
      <c r="P3964">
        <v>-0.98971439999999999</v>
      </c>
      <c r="Q3964">
        <v>0.1099017</v>
      </c>
      <c r="R3964">
        <v>-9.1582159999999996E-2</v>
      </c>
      <c r="S3964">
        <v>-3.0728759999999999</v>
      </c>
      <c r="T3964">
        <v>-0.1813929</v>
      </c>
      <c r="U3964">
        <v>0.23312379999999999</v>
      </c>
      <c r="V3964">
        <v>-8.874166E-2</v>
      </c>
      <c r="W3964">
        <v>0.119639</v>
      </c>
      <c r="X3964">
        <v>0.98884349999999999</v>
      </c>
      <c r="Y3964">
        <v>7.845908E-2</v>
      </c>
      <c r="Z3964">
        <v>2.484811E-3</v>
      </c>
      <c r="AA3964">
        <v>0.99691430000000003</v>
      </c>
      <c r="AB3964">
        <v>43</v>
      </c>
      <c r="AC3964">
        <v>-0.81299999999998795</v>
      </c>
      <c r="AD3964">
        <v>-6.3364999999999894E-2</v>
      </c>
      <c r="AE3964">
        <v>8.2499999999981796E-2</v>
      </c>
      <c r="AF3964">
        <v>8.4399612593408599E-2</v>
      </c>
      <c r="AG3964">
        <v>-6.3364999999999894E-2</v>
      </c>
      <c r="AH3964">
        <v>0.80789452138436701</v>
      </c>
      <c r="AI3964">
        <v>94.460481679489206</v>
      </c>
      <c r="AJ3964">
        <v>84.036023459779699</v>
      </c>
      <c r="AK3964">
        <v>0.814758845004945</v>
      </c>
      <c r="AL3964">
        <v>83.128731428980899</v>
      </c>
      <c r="AM3964">
        <v>95.128150496851305</v>
      </c>
      <c r="AN3964">
        <v>1.0000000200164001</v>
      </c>
    </row>
    <row r="3965" spans="1:40" x14ac:dyDescent="0.25">
      <c r="A3965" t="str">
        <f>"20190312151618061"</f>
        <v>20190312151618061</v>
      </c>
      <c r="B3965" t="str">
        <f>"1552374978052131"</f>
        <v>1552374978052131</v>
      </c>
      <c r="C3965" t="s">
        <v>40</v>
      </c>
      <c r="D3965">
        <v>4.5180569999999998</v>
      </c>
      <c r="E3965">
        <v>0.56666870000000003</v>
      </c>
      <c r="F3965" t="s">
        <v>43</v>
      </c>
      <c r="G3965">
        <v>-339.97550000000001</v>
      </c>
      <c r="H3965" s="1">
        <v>-4.6607819999999901E-6</v>
      </c>
      <c r="I3965">
        <v>141.73840000000001</v>
      </c>
      <c r="J3965">
        <v>-321.38409999999999</v>
      </c>
      <c r="K3965">
        <v>1.1094900000000001</v>
      </c>
      <c r="L3965">
        <v>140.30170000000001</v>
      </c>
      <c r="M3965">
        <v>-0.99994609999999995</v>
      </c>
      <c r="N3965">
        <v>0</v>
      </c>
      <c r="O3965">
        <v>-3.1174549999999999E-3</v>
      </c>
      <c r="P3965">
        <v>-0.98966270000000001</v>
      </c>
      <c r="Q3965">
        <v>0.1099933</v>
      </c>
      <c r="R3965">
        <v>-9.2030349999999997E-2</v>
      </c>
      <c r="S3965">
        <v>-3.0729679999999999</v>
      </c>
      <c r="T3965">
        <v>-0.181033</v>
      </c>
      <c r="U3965">
        <v>0.2342987</v>
      </c>
      <c r="V3965">
        <v>-8.9035340000000004E-2</v>
      </c>
      <c r="W3965">
        <v>0.1197328</v>
      </c>
      <c r="X3965">
        <v>0.98880570000000001</v>
      </c>
      <c r="Y3965">
        <v>7.8991099999999995E-2</v>
      </c>
      <c r="Z3965">
        <v>2.5046090000000001E-3</v>
      </c>
      <c r="AA3965">
        <v>0.99687219999999999</v>
      </c>
      <c r="AB3965">
        <v>43</v>
      </c>
      <c r="AC3965">
        <v>-18.5914</v>
      </c>
      <c r="AD3965">
        <v>-1.10949466078199</v>
      </c>
      <c r="AE3965">
        <v>1.4367000000000001</v>
      </c>
      <c r="AF3965">
        <v>1.48938085394972</v>
      </c>
      <c r="AG3965">
        <v>-1.10949466078199</v>
      </c>
      <c r="AH3965">
        <v>18.521259713728298</v>
      </c>
      <c r="AI3965">
        <v>93.417136367476701</v>
      </c>
      <c r="AJ3965">
        <v>85.402472179903896</v>
      </c>
      <c r="AK3965">
        <v>18.614142341611998</v>
      </c>
      <c r="AL3965">
        <v>83.123317853811102</v>
      </c>
      <c r="AM3965">
        <v>95.145226194993498</v>
      </c>
      <c r="AN3965">
        <v>0.99999997375862204</v>
      </c>
    </row>
    <row r="3966" spans="1:40" x14ac:dyDescent="0.25">
      <c r="A3966" t="str">
        <f>"20190312151618075"</f>
        <v>20190312151618075</v>
      </c>
      <c r="B3966" t="str">
        <f>"1552374978071651"</f>
        <v>1552374978071651</v>
      </c>
      <c r="C3966" t="s">
        <v>40</v>
      </c>
      <c r="D3966">
        <v>4.5451139999999999</v>
      </c>
      <c r="E3966">
        <v>0.56681669999999995</v>
      </c>
      <c r="F3966" t="s">
        <v>41</v>
      </c>
      <c r="G3966">
        <v>-322.35160000000002</v>
      </c>
      <c r="H3966">
        <v>1.054208</v>
      </c>
      <c r="I3966">
        <v>140.37569999999999</v>
      </c>
      <c r="J3966">
        <v>-321.65839999999997</v>
      </c>
      <c r="K3966">
        <v>1.10949599999999</v>
      </c>
      <c r="L3966">
        <v>140.30070000000001</v>
      </c>
      <c r="M3966">
        <v>-0.99994550000000004</v>
      </c>
      <c r="N3966">
        <v>0</v>
      </c>
      <c r="O3966">
        <v>-3.2943780000000001E-3</v>
      </c>
      <c r="P3966">
        <v>-0.98964510000000006</v>
      </c>
      <c r="Q3966">
        <v>0.10978549999999999</v>
      </c>
      <c r="R3966">
        <v>-9.2465640000000002E-2</v>
      </c>
      <c r="S3966">
        <v>-3.0726930000000001</v>
      </c>
      <c r="T3966">
        <v>-0.17563380000000001</v>
      </c>
      <c r="U3966">
        <v>0.23483280000000001</v>
      </c>
      <c r="V3966">
        <v>-8.9295479999999997E-2</v>
      </c>
      <c r="W3966">
        <v>0.1195278</v>
      </c>
      <c r="X3966">
        <v>0.98880710000000005</v>
      </c>
      <c r="Y3966">
        <v>7.9353919999999994E-2</v>
      </c>
      <c r="Z3966">
        <v>2.4506710000000002E-3</v>
      </c>
      <c r="AA3966">
        <v>0.99684349999999999</v>
      </c>
      <c r="AB3966">
        <v>44</v>
      </c>
      <c r="AC3966">
        <v>-0.693200000000047</v>
      </c>
      <c r="AD3966">
        <v>-5.5287999999999698E-2</v>
      </c>
      <c r="AE3966">
        <v>7.4999999999988604E-2</v>
      </c>
      <c r="AF3966">
        <v>7.6800471166100101E-2</v>
      </c>
      <c r="AG3966">
        <v>-5.5287999999999698E-2</v>
      </c>
      <c r="AH3966">
        <v>0.68861933021717203</v>
      </c>
      <c r="AI3966">
        <v>94.562162859064898</v>
      </c>
      <c r="AJ3966">
        <v>83.636203599586693</v>
      </c>
      <c r="AK3966">
        <v>0.69509111436133397</v>
      </c>
      <c r="AL3966">
        <v>83.135148833843203</v>
      </c>
      <c r="AM3966">
        <v>95.160171008612707</v>
      </c>
      <c r="AN3966">
        <v>1.00000002936583</v>
      </c>
    </row>
    <row r="3967" spans="1:40" x14ac:dyDescent="0.25">
      <c r="A3967" t="str">
        <f>"20190312151618090"</f>
        <v>20190312151618090</v>
      </c>
      <c r="B3967" t="str">
        <f>"1552374978081411"</f>
        <v>1552374978081411</v>
      </c>
      <c r="C3967" t="s">
        <v>40</v>
      </c>
      <c r="D3967">
        <v>4.4901949999999999</v>
      </c>
      <c r="E3967">
        <v>0.56710740000000004</v>
      </c>
      <c r="F3967" t="s">
        <v>41</v>
      </c>
      <c r="G3967">
        <v>-322.738</v>
      </c>
      <c r="H3967">
        <v>1.049803</v>
      </c>
      <c r="I3967">
        <v>140.3835</v>
      </c>
      <c r="J3967">
        <v>-321.9479</v>
      </c>
      <c r="K3967">
        <v>1.109499</v>
      </c>
      <c r="L3967">
        <v>140.2996</v>
      </c>
      <c r="M3967">
        <v>-0.99994470000000002</v>
      </c>
      <c r="N3967">
        <v>0</v>
      </c>
      <c r="O3967">
        <v>-3.4815509999999998E-3</v>
      </c>
      <c r="P3967">
        <v>-0.98958190000000001</v>
      </c>
      <c r="Q3967">
        <v>0.1098544</v>
      </c>
      <c r="R3967">
        <v>-9.3057619999999994E-2</v>
      </c>
      <c r="S3967">
        <v>-3.072235</v>
      </c>
      <c r="T3967">
        <v>-0.16991310000000001</v>
      </c>
      <c r="U3967">
        <v>0.2349396</v>
      </c>
      <c r="V3967">
        <v>-8.9702519999999994E-2</v>
      </c>
      <c r="W3967">
        <v>0.1195983</v>
      </c>
      <c r="X3967">
        <v>0.98876169999999997</v>
      </c>
      <c r="Y3967">
        <v>7.9594170000000006E-2</v>
      </c>
      <c r="Z3967">
        <v>2.3882780000000002E-3</v>
      </c>
      <c r="AA3967">
        <v>0.9968245</v>
      </c>
      <c r="AB3967">
        <v>44</v>
      </c>
      <c r="AC3967">
        <v>-0.79009999999999503</v>
      </c>
      <c r="AD3967">
        <v>-5.9695999999999902E-2</v>
      </c>
      <c r="AE3967">
        <v>8.3899999999999794E-2</v>
      </c>
      <c r="AF3967">
        <v>8.6164012752088001E-2</v>
      </c>
      <c r="AG3967">
        <v>-5.9695999999999902E-2</v>
      </c>
      <c r="AH3967">
        <v>0.78536975737177805</v>
      </c>
      <c r="AI3967">
        <v>94.320869848507996</v>
      </c>
      <c r="AJ3967">
        <v>83.73904010135</v>
      </c>
      <c r="AK3967">
        <v>0.792334213134677</v>
      </c>
      <c r="AL3967">
        <v>83.131080075822993</v>
      </c>
      <c r="AM3967">
        <v>95.1838017323619</v>
      </c>
      <c r="AN3967">
        <v>0.99999999742206502</v>
      </c>
    </row>
    <row r="3968" spans="1:40" x14ac:dyDescent="0.25">
      <c r="A3968" t="str">
        <f>"20190312151618106"</f>
        <v>20190312151618106</v>
      </c>
      <c r="B3968" t="str">
        <f>"1552374978101908"</f>
        <v>1552374978101908</v>
      </c>
      <c r="C3968" t="s">
        <v>40</v>
      </c>
      <c r="D3968">
        <v>4.4609639999999997</v>
      </c>
      <c r="E3968">
        <v>0.567478699999999</v>
      </c>
      <c r="F3968" t="s">
        <v>43</v>
      </c>
      <c r="G3968">
        <v>-342.6259</v>
      </c>
      <c r="H3968" s="1">
        <v>-3.7498999999999999E-6</v>
      </c>
      <c r="I3968">
        <v>141.88679999999999</v>
      </c>
      <c r="J3968">
        <v>-322.26130000000001</v>
      </c>
      <c r="K3968">
        <v>1.109497</v>
      </c>
      <c r="L3968">
        <v>140.29839999999999</v>
      </c>
      <c r="M3968">
        <v>-0.9999439</v>
      </c>
      <c r="N3968">
        <v>0</v>
      </c>
      <c r="O3968">
        <v>-3.6838660000000001E-3</v>
      </c>
      <c r="P3968">
        <v>-0.98957510000000004</v>
      </c>
      <c r="Q3968">
        <v>0.10984090000000001</v>
      </c>
      <c r="R3968">
        <v>-9.3145469999999994E-2</v>
      </c>
      <c r="S3968">
        <v>-3.0720209999999999</v>
      </c>
      <c r="T3968">
        <v>-0.16483329999999999</v>
      </c>
      <c r="U3968">
        <v>0.2358093</v>
      </c>
      <c r="V3968">
        <v>-8.9589959999999996E-2</v>
      </c>
      <c r="W3968">
        <v>0.1195884</v>
      </c>
      <c r="X3968">
        <v>0.98877309999999996</v>
      </c>
      <c r="Y3968">
        <v>8.0088080000000006E-2</v>
      </c>
      <c r="Z3968">
        <v>2.341171E-3</v>
      </c>
      <c r="AA3968">
        <v>0.99678500000000003</v>
      </c>
      <c r="AB3968">
        <v>44</v>
      </c>
      <c r="AC3968">
        <v>-20.364599999999999</v>
      </c>
      <c r="AD3968">
        <v>-1.1095007499</v>
      </c>
      <c r="AE3968">
        <v>1.5884</v>
      </c>
      <c r="AF3968">
        <v>1.65852021067685</v>
      </c>
      <c r="AG3968">
        <v>-1.1095007499</v>
      </c>
      <c r="AH3968">
        <v>20.298722308685601</v>
      </c>
      <c r="AI3968">
        <v>93.118226356497999</v>
      </c>
      <c r="AJ3968">
        <v>85.3289871748932</v>
      </c>
      <c r="AK3968">
        <v>20.396563646074899</v>
      </c>
      <c r="AL3968">
        <v>83.131651386501005</v>
      </c>
      <c r="AM3968">
        <v>95.1772730291502</v>
      </c>
      <c r="AN3968">
        <v>0.99999999481548496</v>
      </c>
    </row>
    <row r="3969" spans="1:40" x14ac:dyDescent="0.25">
      <c r="A3969" t="str">
        <f>"20190312151618126"</f>
        <v>20190312151618126</v>
      </c>
      <c r="B3969" t="str">
        <f>"1552374978121427"</f>
        <v>1552374978121427</v>
      </c>
      <c r="C3969" t="s">
        <v>40</v>
      </c>
      <c r="D3969">
        <v>4.4855099999999997</v>
      </c>
      <c r="E3969">
        <v>0.56787369999999904</v>
      </c>
      <c r="F3969" t="s">
        <v>43</v>
      </c>
      <c r="G3969">
        <v>-343.48660000000001</v>
      </c>
      <c r="H3969" s="1">
        <v>-3.3965840000000002E-6</v>
      </c>
      <c r="I3969">
        <v>141.94669999999999</v>
      </c>
      <c r="J3969">
        <v>-322.6404</v>
      </c>
      <c r="K3969">
        <v>1.10949599999999</v>
      </c>
      <c r="L3969">
        <v>140.29679999999999</v>
      </c>
      <c r="M3969">
        <v>-0.99994309999999997</v>
      </c>
      <c r="N3969">
        <v>0</v>
      </c>
      <c r="O3969">
        <v>-3.9290979999999998E-3</v>
      </c>
      <c r="P3969">
        <v>-0.98948809999999998</v>
      </c>
      <c r="Q3969">
        <v>0.11003599999999999</v>
      </c>
      <c r="R3969">
        <v>-9.3836900000000001E-2</v>
      </c>
      <c r="S3969">
        <v>-3.07193</v>
      </c>
      <c r="T3969">
        <v>-0.16057750000000001</v>
      </c>
      <c r="U3969">
        <v>0.23857120000000001</v>
      </c>
      <c r="V3969">
        <v>-9.0039010000000003E-2</v>
      </c>
      <c r="W3969">
        <v>0.1197858</v>
      </c>
      <c r="X3969">
        <v>0.98870840000000004</v>
      </c>
      <c r="Y3969">
        <v>8.1229830000000003E-2</v>
      </c>
      <c r="Z3969">
        <v>2.3233659999999999E-3</v>
      </c>
      <c r="AA3969">
        <v>0.99669269999999999</v>
      </c>
      <c r="AB3969">
        <v>44</v>
      </c>
      <c r="AC3969">
        <v>-20.8462</v>
      </c>
      <c r="AD3969">
        <v>-1.1094993965840001</v>
      </c>
      <c r="AE3969">
        <v>1.6498999999999999</v>
      </c>
      <c r="AF3969">
        <v>1.7269366165315501</v>
      </c>
      <c r="AG3969">
        <v>-1.1094993965840001</v>
      </c>
      <c r="AH3969">
        <v>20.781056123459699</v>
      </c>
      <c r="AI3969">
        <v>93.045638375053997</v>
      </c>
      <c r="AJ3969">
        <v>85.249550899547302</v>
      </c>
      <c r="AK3969">
        <v>20.882183616540701</v>
      </c>
      <c r="AL3969">
        <v>83.120259211993897</v>
      </c>
      <c r="AM3969">
        <v>95.203419509201296</v>
      </c>
      <c r="AN3969">
        <v>0.99999998071698903</v>
      </c>
    </row>
    <row r="3970" spans="1:40" x14ac:dyDescent="0.25">
      <c r="A3970" t="str">
        <f>"20190312151618147"</f>
        <v>20190312151618147</v>
      </c>
      <c r="B3970" t="str">
        <f>"1552374978141924"</f>
        <v>1552374978141924</v>
      </c>
      <c r="C3970" t="s">
        <v>40</v>
      </c>
      <c r="D3970">
        <v>4.7614580000000002</v>
      </c>
      <c r="E3970">
        <v>0.568573</v>
      </c>
      <c r="F3970" t="s">
        <v>43</v>
      </c>
      <c r="G3970">
        <v>-344.44260000000003</v>
      </c>
      <c r="H3970" s="1">
        <v>-2.9998890000000002E-6</v>
      </c>
      <c r="I3970">
        <v>141.99700000000001</v>
      </c>
      <c r="J3970">
        <v>-323.06970000000001</v>
      </c>
      <c r="K3970">
        <v>1.109497</v>
      </c>
      <c r="L3970">
        <v>140.29499999999999</v>
      </c>
      <c r="M3970">
        <v>-0.99994190000000005</v>
      </c>
      <c r="N3970">
        <v>0</v>
      </c>
      <c r="O3970">
        <v>-4.2064030000000001E-3</v>
      </c>
      <c r="P3970">
        <v>-0.98941829999999997</v>
      </c>
      <c r="Q3970">
        <v>0.11006299999999999</v>
      </c>
      <c r="R3970">
        <v>-9.4538170000000005E-2</v>
      </c>
      <c r="S3970">
        <v>-3.0719910000000001</v>
      </c>
      <c r="T3970">
        <v>-0.15633239999999901</v>
      </c>
      <c r="U3970">
        <v>0.23957819999999999</v>
      </c>
      <c r="V3970">
        <v>-9.0467229999999996E-2</v>
      </c>
      <c r="W3970">
        <v>0.11981559999999999</v>
      </c>
      <c r="X3970">
        <v>0.98866569999999998</v>
      </c>
      <c r="Y3970">
        <v>8.1834379999999998E-2</v>
      </c>
      <c r="Z3970">
        <v>2.2913830000000001E-3</v>
      </c>
      <c r="AA3970">
        <v>0.99664330000000001</v>
      </c>
      <c r="AB3970">
        <v>44</v>
      </c>
      <c r="AC3970">
        <v>-21.372900000000001</v>
      </c>
      <c r="AD3970">
        <v>-1.1094999998890001</v>
      </c>
      <c r="AE3970">
        <v>1.7020000000000199</v>
      </c>
      <c r="AF3970">
        <v>1.7871068390593901</v>
      </c>
      <c r="AG3970">
        <v>-1.1094999998890001</v>
      </c>
      <c r="AH3970">
        <v>21.308490819340999</v>
      </c>
      <c r="AI3970">
        <v>92.970201573271595</v>
      </c>
      <c r="AJ3970">
        <v>85.205919880341597</v>
      </c>
      <c r="AK3970">
        <v>21.412064872447601</v>
      </c>
      <c r="AL3970">
        <v>83.118539420754601</v>
      </c>
      <c r="AM3970">
        <v>95.228254386387903</v>
      </c>
      <c r="AN3970">
        <v>0.99999998203186102</v>
      </c>
    </row>
    <row r="3971" spans="1:40" x14ac:dyDescent="0.25">
      <c r="A3971" t="str">
        <f>"20190312151618168"</f>
        <v>20190312151618168</v>
      </c>
      <c r="B3971" t="str">
        <f>"1552374978161447"</f>
        <v>1552374978161447</v>
      </c>
      <c r="C3971" t="s">
        <v>40</v>
      </c>
      <c r="D3971">
        <v>4.7186959999999996</v>
      </c>
      <c r="E3971">
        <v>0.56953480000000001</v>
      </c>
      <c r="F3971" t="s">
        <v>63</v>
      </c>
      <c r="G3971">
        <v>-510.17610000000002</v>
      </c>
      <c r="H3971">
        <v>7.2279999999999998</v>
      </c>
      <c r="I3971">
        <v>155.80680000000001</v>
      </c>
      <c r="J3971">
        <v>-323.48430000000002</v>
      </c>
      <c r="K3971">
        <v>1.1094919999999999</v>
      </c>
      <c r="L3971">
        <v>140.29300000000001</v>
      </c>
      <c r="M3971">
        <v>-0.99994079999999996</v>
      </c>
      <c r="N3971">
        <v>0</v>
      </c>
      <c r="O3971">
        <v>-4.4739330000000002E-3</v>
      </c>
      <c r="P3971">
        <v>-0.98932129999999996</v>
      </c>
      <c r="Q3971">
        <v>0.1103374</v>
      </c>
      <c r="R3971">
        <v>-9.5235169999999994E-2</v>
      </c>
      <c r="S3971">
        <v>-3.045166</v>
      </c>
      <c r="T3971">
        <v>9.9579570000000006E-2</v>
      </c>
      <c r="U3971">
        <v>0.25245669999999998</v>
      </c>
      <c r="V3971">
        <v>-9.0899270000000004E-2</v>
      </c>
      <c r="W3971">
        <v>0.12009350000000001</v>
      </c>
      <c r="X3971">
        <v>0.98859240000000004</v>
      </c>
      <c r="Y3971">
        <v>8.7030079999999996E-2</v>
      </c>
      <c r="Z3971">
        <v>-1.566191E-3</v>
      </c>
      <c r="AA3971">
        <v>0.99620439999999999</v>
      </c>
      <c r="AB3971">
        <v>44</v>
      </c>
      <c r="AC3971">
        <v>-186.6918</v>
      </c>
      <c r="AD3971">
        <v>6.1185080000000003</v>
      </c>
      <c r="AE3971">
        <v>15.5138</v>
      </c>
      <c r="AF3971">
        <v>16.331511205640101</v>
      </c>
      <c r="AG3971">
        <v>6.1185080000000003</v>
      </c>
      <c r="AH3971">
        <v>186.42165987623301</v>
      </c>
      <c r="AI3971">
        <v>88.127348598367604</v>
      </c>
      <c r="AJ3971">
        <v>84.993372394220103</v>
      </c>
      <c r="AK3971">
        <v>187.23565277322601</v>
      </c>
      <c r="AL3971">
        <v>83.102501447127395</v>
      </c>
      <c r="AM3971">
        <v>95.253470667904907</v>
      </c>
      <c r="AN3971">
        <v>1.0000000296832701</v>
      </c>
    </row>
    <row r="3972" spans="1:40" x14ac:dyDescent="0.25">
      <c r="A3972" t="str">
        <f>"20190312151618183"</f>
        <v>20190312151618183</v>
      </c>
      <c r="B3972" t="str">
        <f>"1552374978172180"</f>
        <v>1552374978172180</v>
      </c>
      <c r="C3972" t="s">
        <v>40</v>
      </c>
      <c r="D3972">
        <v>4.4470210000000003</v>
      </c>
      <c r="E3972">
        <v>0.56994309999999904</v>
      </c>
      <c r="F3972" t="s">
        <v>63</v>
      </c>
      <c r="G3972">
        <v>-510.17610000000002</v>
      </c>
      <c r="H3972">
        <v>7.1606110000000003</v>
      </c>
      <c r="I3972">
        <v>156.09460000000001</v>
      </c>
      <c r="J3972">
        <v>-323.76859999999999</v>
      </c>
      <c r="K3972">
        <v>1.1094930000000001</v>
      </c>
      <c r="L3972">
        <v>140.29159999999999</v>
      </c>
      <c r="M3972">
        <v>-0.99994000000000005</v>
      </c>
      <c r="N3972">
        <v>0</v>
      </c>
      <c r="O3972">
        <v>-4.6572920000000004E-3</v>
      </c>
      <c r="P3972">
        <v>-0.98922180000000004</v>
      </c>
      <c r="Q3972">
        <v>0.1106742</v>
      </c>
      <c r="R3972">
        <v>-9.5874730000000005E-2</v>
      </c>
      <c r="S3972">
        <v>-3.046173</v>
      </c>
      <c r="T3972">
        <v>9.8734260000000004E-2</v>
      </c>
      <c r="U3972">
        <v>0.2578278</v>
      </c>
      <c r="V3972">
        <v>-9.1358419999999996E-2</v>
      </c>
      <c r="W3972">
        <v>0.1204315</v>
      </c>
      <c r="X3972">
        <v>0.98850890000000002</v>
      </c>
      <c r="Y3972">
        <v>8.8929560000000005E-2</v>
      </c>
      <c r="Z3972">
        <v>-1.5889299999999999E-3</v>
      </c>
      <c r="AA3972">
        <v>0.99603660000000005</v>
      </c>
      <c r="AB3972">
        <v>44</v>
      </c>
      <c r="AC3972">
        <v>-186.4075</v>
      </c>
      <c r="AD3972">
        <v>6.0511179999999998</v>
      </c>
      <c r="AE3972">
        <v>15.803000000000001</v>
      </c>
      <c r="AF3972">
        <v>16.653601644653499</v>
      </c>
      <c r="AG3972">
        <v>6.0511179999999998</v>
      </c>
      <c r="AH3972">
        <v>186.137129900395</v>
      </c>
      <c r="AI3972">
        <v>88.145434254841504</v>
      </c>
      <c r="AJ3972">
        <v>84.887386312896794</v>
      </c>
      <c r="AK3972">
        <v>186.97858060308801</v>
      </c>
      <c r="AL3972">
        <v>83.082993519288195</v>
      </c>
      <c r="AM3972">
        <v>95.280300849693504</v>
      </c>
      <c r="AN3972">
        <v>0.99999997623817705</v>
      </c>
    </row>
    <row r="3973" spans="1:40" x14ac:dyDescent="0.25">
      <c r="A3973" t="str">
        <f>"20190312151618202"</f>
        <v>20190312151618202</v>
      </c>
      <c r="B3973" t="str">
        <f>"1552374978191700"</f>
        <v>1552374978191700</v>
      </c>
      <c r="C3973" t="s">
        <v>40</v>
      </c>
      <c r="D3973">
        <v>4.4365040000000002</v>
      </c>
      <c r="E3973">
        <v>0.57024560000000002</v>
      </c>
      <c r="F3973" t="s">
        <v>63</v>
      </c>
      <c r="G3973">
        <v>-510.17610000000002</v>
      </c>
      <c r="H3973">
        <v>7.050408</v>
      </c>
      <c r="I3973">
        <v>156.1378</v>
      </c>
      <c r="J3973">
        <v>-324.1465</v>
      </c>
      <c r="K3973">
        <v>1.109504</v>
      </c>
      <c r="L3973">
        <v>140.28970000000001</v>
      </c>
      <c r="M3973">
        <v>-0.99993869999999896</v>
      </c>
      <c r="N3973">
        <v>0</v>
      </c>
      <c r="O3973">
        <v>-4.9005009999999998E-3</v>
      </c>
      <c r="P3973">
        <v>-0.98910189999999998</v>
      </c>
      <c r="Q3973">
        <v>0.1110974</v>
      </c>
      <c r="R3973">
        <v>-9.6617049999999996E-2</v>
      </c>
      <c r="S3973">
        <v>-3.046967</v>
      </c>
      <c r="T3973">
        <v>9.7109200000000007E-2</v>
      </c>
      <c r="U3973">
        <v>0.25901790000000002</v>
      </c>
      <c r="V3973">
        <v>-9.186126E-2</v>
      </c>
      <c r="W3973">
        <v>0.12085700000000001</v>
      </c>
      <c r="X3973">
        <v>0.98841040000000002</v>
      </c>
      <c r="Y3973">
        <v>8.9537469999999994E-2</v>
      </c>
      <c r="Z3973">
        <v>-1.579764E-3</v>
      </c>
      <c r="AA3973">
        <v>0.99598220000000004</v>
      </c>
      <c r="AB3973">
        <v>44</v>
      </c>
      <c r="AC3973">
        <v>-186.02959999999999</v>
      </c>
      <c r="AD3973">
        <v>5.9409039999999997</v>
      </c>
      <c r="AE3973">
        <v>15.848099999999899</v>
      </c>
      <c r="AF3973">
        <v>16.7426407296546</v>
      </c>
      <c r="AG3973">
        <v>5.9409039999999997</v>
      </c>
      <c r="AH3973">
        <v>185.76161259483999</v>
      </c>
      <c r="AI3973">
        <v>88.175618978993199</v>
      </c>
      <c r="AJ3973">
        <v>84.849863266221007</v>
      </c>
      <c r="AK3973">
        <v>186.60918271289501</v>
      </c>
      <c r="AL3973">
        <v>83.058435033307305</v>
      </c>
      <c r="AM3973">
        <v>95.309724248971193</v>
      </c>
      <c r="AN3973">
        <v>1.00000001218297</v>
      </c>
    </row>
    <row r="3974" spans="1:40" x14ac:dyDescent="0.25">
      <c r="A3974" t="str">
        <f>"20190312151618217"</f>
        <v>20190312151618217</v>
      </c>
      <c r="B3974" t="str">
        <f>"1552374978212196"</f>
        <v>1552374978212196</v>
      </c>
      <c r="C3974" t="s">
        <v>40</v>
      </c>
      <c r="D3974">
        <v>5.116816</v>
      </c>
      <c r="E3974">
        <v>0.57058920000000002</v>
      </c>
      <c r="F3974" t="s">
        <v>63</v>
      </c>
      <c r="G3974">
        <v>-510.17610000000002</v>
      </c>
      <c r="H3974">
        <v>6.9617599999999999</v>
      </c>
      <c r="I3974">
        <v>156.10429999999999</v>
      </c>
      <c r="J3974">
        <v>-324.42649999999998</v>
      </c>
      <c r="K3974">
        <v>1.109505</v>
      </c>
      <c r="L3974">
        <v>140.28819999999999</v>
      </c>
      <c r="M3974">
        <v>-0.99993770000000004</v>
      </c>
      <c r="N3974">
        <v>0</v>
      </c>
      <c r="O3974">
        <v>-5.0807609999999996E-3</v>
      </c>
      <c r="P3974">
        <v>-0.98901700000000003</v>
      </c>
      <c r="Q3974">
        <v>0.11142779999999999</v>
      </c>
      <c r="R3974">
        <v>-9.7106910000000005E-2</v>
      </c>
      <c r="S3974">
        <v>-3.047577</v>
      </c>
      <c r="T3974">
        <v>9.5873589999999995E-2</v>
      </c>
      <c r="U3974">
        <v>0.259079</v>
      </c>
      <c r="V3974">
        <v>-9.2173290000000005E-2</v>
      </c>
      <c r="W3974">
        <v>0.1211888</v>
      </c>
      <c r="X3974">
        <v>0.98834069999999996</v>
      </c>
      <c r="Y3974">
        <v>8.9721019999999999E-2</v>
      </c>
      <c r="Z3974">
        <v>-1.5679019999999999E-3</v>
      </c>
      <c r="AA3974">
        <v>0.99596569999999995</v>
      </c>
      <c r="AB3974">
        <v>44</v>
      </c>
      <c r="AC3974">
        <v>-185.74959999999999</v>
      </c>
      <c r="AD3974">
        <v>5.8522550000000004</v>
      </c>
      <c r="AE3974">
        <v>15.8161</v>
      </c>
      <c r="AF3974">
        <v>16.7431914862869</v>
      </c>
      <c r="AG3974">
        <v>5.8522550000000004</v>
      </c>
      <c r="AH3974">
        <v>185.48404730394699</v>
      </c>
      <c r="AI3974">
        <v>88.200158634826494</v>
      </c>
      <c r="AJ3974">
        <v>84.842029193176501</v>
      </c>
      <c r="AK3974">
        <v>186.33012411841599</v>
      </c>
      <c r="AL3974">
        <v>83.039283369287404</v>
      </c>
      <c r="AM3974">
        <v>95.328030018571596</v>
      </c>
      <c r="AN3974">
        <v>0.99999998995567696</v>
      </c>
    </row>
    <row r="3975" spans="1:40" x14ac:dyDescent="0.25">
      <c r="A3975" t="str">
        <f>"20190312151618236"</f>
        <v>20190312151618236</v>
      </c>
      <c r="B3975" t="str">
        <f>"1552374978231715"</f>
        <v>1552374978231715</v>
      </c>
      <c r="C3975" t="s">
        <v>40</v>
      </c>
      <c r="D3975">
        <v>4.4386570000000001</v>
      </c>
      <c r="E3975">
        <v>0.57096639999999999</v>
      </c>
      <c r="F3975" t="s">
        <v>63</v>
      </c>
      <c r="G3975">
        <v>-510.17599999999999</v>
      </c>
      <c r="H3975">
        <v>6.8813409999999999</v>
      </c>
      <c r="I3975">
        <v>156.1465</v>
      </c>
      <c r="J3975">
        <v>-324.80399999999997</v>
      </c>
      <c r="K3975">
        <v>1.1095139999999999</v>
      </c>
      <c r="L3975">
        <v>140.2861</v>
      </c>
      <c r="M3975">
        <v>-0.99993639999999995</v>
      </c>
      <c r="N3975">
        <v>0</v>
      </c>
      <c r="O3975">
        <v>-5.3240859999999996E-3</v>
      </c>
      <c r="P3975">
        <v>-0.98883390000000004</v>
      </c>
      <c r="Q3975">
        <v>0.1122205</v>
      </c>
      <c r="R3975">
        <v>-9.8051799999999995E-2</v>
      </c>
      <c r="S3975">
        <v>-3.048187</v>
      </c>
      <c r="T3975">
        <v>9.4717620000000002E-2</v>
      </c>
      <c r="U3975">
        <v>0.26023859999999999</v>
      </c>
      <c r="V3975">
        <v>-9.2879069999999994E-2</v>
      </c>
      <c r="W3975">
        <v>0.12198299999999999</v>
      </c>
      <c r="X3975">
        <v>0.98817690000000002</v>
      </c>
      <c r="Y3975">
        <v>9.0323440000000005E-2</v>
      </c>
      <c r="Z3975">
        <v>-1.5655599999999999E-3</v>
      </c>
      <c r="AA3975">
        <v>0.9959112</v>
      </c>
      <c r="AB3975">
        <v>44</v>
      </c>
      <c r="AC3975">
        <v>-185.37200000000001</v>
      </c>
      <c r="AD3975">
        <v>5.771827</v>
      </c>
      <c r="AE3975">
        <v>15.860399999999901</v>
      </c>
      <c r="AF3975">
        <v>16.830961761320701</v>
      </c>
      <c r="AG3975">
        <v>5.771827</v>
      </c>
      <c r="AH3975">
        <v>185.10677321132101</v>
      </c>
      <c r="AI3975">
        <v>88.221367553105296</v>
      </c>
      <c r="AJ3975">
        <v>84.804627621580806</v>
      </c>
      <c r="AK3975">
        <v>185.959976203043</v>
      </c>
      <c r="AL3975">
        <v>82.993438864206198</v>
      </c>
      <c r="AM3975">
        <v>95.369474494025397</v>
      </c>
      <c r="AN3975">
        <v>0.99999997981333699</v>
      </c>
    </row>
    <row r="3976" spans="1:40" x14ac:dyDescent="0.25">
      <c r="A3976" t="str">
        <f>"20190312151618250"</f>
        <v>20190312151618250</v>
      </c>
      <c r="B3976" t="str">
        <f>"1552374978241476"</f>
        <v>1552374978241476</v>
      </c>
      <c r="C3976" t="s">
        <v>40</v>
      </c>
      <c r="D3976">
        <v>5.077839</v>
      </c>
      <c r="E3976">
        <v>0.57101569999999902</v>
      </c>
      <c r="F3976" t="s">
        <v>63</v>
      </c>
      <c r="G3976">
        <v>-510.17610000000002</v>
      </c>
      <c r="H3976">
        <v>7.0625580000000001</v>
      </c>
      <c r="I3976">
        <v>156.12129999999999</v>
      </c>
      <c r="J3976">
        <v>-325.09710000000001</v>
      </c>
      <c r="K3976">
        <v>1.1095159999999999</v>
      </c>
      <c r="L3976">
        <v>140.28440000000001</v>
      </c>
      <c r="M3976">
        <v>-0.99993540000000003</v>
      </c>
      <c r="N3976">
        <v>0</v>
      </c>
      <c r="O3976">
        <v>-5.5129289999999997E-3</v>
      </c>
      <c r="P3976">
        <v>-0.98873420000000001</v>
      </c>
      <c r="Q3976">
        <v>0.1126447</v>
      </c>
      <c r="R3976">
        <v>-9.8570340000000006E-2</v>
      </c>
      <c r="S3976">
        <v>-3.048584</v>
      </c>
      <c r="T3976">
        <v>9.7902890000000006E-2</v>
      </c>
      <c r="U3976">
        <v>0.26042179999999998</v>
      </c>
      <c r="V3976">
        <v>-9.3211989999999995E-2</v>
      </c>
      <c r="W3976">
        <v>0.122409</v>
      </c>
      <c r="X3976">
        <v>0.98809290000000005</v>
      </c>
      <c r="Y3976">
        <v>9.0556600000000001E-2</v>
      </c>
      <c r="Z3976">
        <v>-1.6277570000000001E-3</v>
      </c>
      <c r="AA3976">
        <v>0.99589000000000005</v>
      </c>
      <c r="AB3976">
        <v>44</v>
      </c>
      <c r="AC3976">
        <v>-185.07900000000001</v>
      </c>
      <c r="AD3976">
        <v>5.9530419999999999</v>
      </c>
      <c r="AE3976">
        <v>15.836899999999901</v>
      </c>
      <c r="AF3976">
        <v>16.8397417047834</v>
      </c>
      <c r="AG3976">
        <v>5.9530419999999999</v>
      </c>
      <c r="AH3976">
        <v>184.79907566704799</v>
      </c>
      <c r="AI3976">
        <v>88.162543000627494</v>
      </c>
      <c r="AJ3976">
        <v>84.793324825029899</v>
      </c>
      <c r="AK3976">
        <v>185.660211076937</v>
      </c>
      <c r="AL3976">
        <v>82.968846770581294</v>
      </c>
      <c r="AM3976">
        <v>95.389063393238402</v>
      </c>
      <c r="AN3976">
        <v>1.00000000869558</v>
      </c>
    </row>
    <row r="3977" spans="1:40" x14ac:dyDescent="0.25">
      <c r="A3977" t="str">
        <f>"20190312151618264"</f>
        <v>20190312151618264</v>
      </c>
      <c r="B3977" t="str">
        <f>"1552374978261972"</f>
        <v>1552374978261972</v>
      </c>
      <c r="C3977" t="s">
        <v>40</v>
      </c>
      <c r="D3977">
        <v>4.4301690000000002</v>
      </c>
      <c r="E3977">
        <v>0.57115039999999995</v>
      </c>
      <c r="F3977" t="s">
        <v>63</v>
      </c>
      <c r="G3977">
        <v>-510.17610000000002</v>
      </c>
      <c r="H3977">
        <v>7.1409729999999998</v>
      </c>
      <c r="I3977">
        <v>156.0308</v>
      </c>
      <c r="J3977">
        <v>-325.36680000000001</v>
      </c>
      <c r="K3977">
        <v>1.1095159999999999</v>
      </c>
      <c r="L3977">
        <v>140.28280000000001</v>
      </c>
      <c r="M3977">
        <v>-0.9999344</v>
      </c>
      <c r="N3977">
        <v>0</v>
      </c>
      <c r="O3977">
        <v>-5.6867489999999996E-3</v>
      </c>
      <c r="P3977">
        <v>-0.98859269999999999</v>
      </c>
      <c r="Q3977">
        <v>0.1132277</v>
      </c>
      <c r="R3977">
        <v>-9.9320480000000003E-2</v>
      </c>
      <c r="S3977">
        <v>-3.048737</v>
      </c>
      <c r="T3977">
        <v>9.9354509999999993E-2</v>
      </c>
      <c r="U3977">
        <v>0.25938420000000001</v>
      </c>
      <c r="V3977">
        <v>-9.3791280000000005E-2</v>
      </c>
      <c r="W3977">
        <v>0.1229929</v>
      </c>
      <c r="X3977">
        <v>0.9879656</v>
      </c>
      <c r="Y3977">
        <v>9.0387519999999999E-2</v>
      </c>
      <c r="Z3977">
        <v>-1.6547249999999999E-3</v>
      </c>
      <c r="AA3977">
        <v>0.99590529999999999</v>
      </c>
      <c r="AB3977">
        <v>44</v>
      </c>
      <c r="AC3977">
        <v>-184.80930000000001</v>
      </c>
      <c r="AD3977">
        <v>6.0314569999999996</v>
      </c>
      <c r="AE3977">
        <v>15.7479999999999</v>
      </c>
      <c r="AF3977">
        <v>16.781016509462798</v>
      </c>
      <c r="AG3977">
        <v>6.0314569999999996</v>
      </c>
      <c r="AH3977">
        <v>184.52163192893801</v>
      </c>
      <c r="AI3977">
        <v>88.1355288142652</v>
      </c>
      <c r="AJ3977">
        <v>84.803623930810005</v>
      </c>
      <c r="AK3977">
        <v>185.38126560780699</v>
      </c>
      <c r="AL3977">
        <v>82.935137281595999</v>
      </c>
      <c r="AM3977">
        <v>95.423050622256696</v>
      </c>
      <c r="AN3977">
        <v>1.0000000422188999</v>
      </c>
    </row>
    <row r="3978" spans="1:40" x14ac:dyDescent="0.25">
      <c r="A3978" t="str">
        <f>"20190312151618280"</f>
        <v>20190312151618280</v>
      </c>
      <c r="B3978" t="str">
        <f>"1552374978271732"</f>
        <v>1552374978271732</v>
      </c>
      <c r="C3978" t="s">
        <v>40</v>
      </c>
      <c r="D3978">
        <v>4.6053920000000002</v>
      </c>
      <c r="E3978">
        <v>0.57115039999999995</v>
      </c>
      <c r="F3978" t="s">
        <v>63</v>
      </c>
      <c r="G3978">
        <v>-510.17610000000002</v>
      </c>
      <c r="H3978">
        <v>7.0999549999999996</v>
      </c>
      <c r="I3978">
        <v>155.92619999999999</v>
      </c>
      <c r="J3978">
        <v>-325.6703</v>
      </c>
      <c r="K3978">
        <v>1.109521</v>
      </c>
      <c r="L3978">
        <v>140.2809</v>
      </c>
      <c r="M3978">
        <v>-0.99993319999999997</v>
      </c>
      <c r="N3978">
        <v>0</v>
      </c>
      <c r="O3978">
        <v>-5.8822680000000004E-3</v>
      </c>
      <c r="P3978">
        <v>-0.98836679999999999</v>
      </c>
      <c r="Q3978">
        <v>0.1143076</v>
      </c>
      <c r="R3978">
        <v>-0.10032430000000001</v>
      </c>
      <c r="S3978">
        <v>-3.049194</v>
      </c>
      <c r="T3978">
        <v>9.8837729999999999E-2</v>
      </c>
      <c r="U3978">
        <v>0.25810240000000001</v>
      </c>
      <c r="V3978">
        <v>-9.4603789999999993E-2</v>
      </c>
      <c r="W3978">
        <v>0.12407319999999999</v>
      </c>
      <c r="X3978">
        <v>0.98775299999999999</v>
      </c>
      <c r="Y3978">
        <v>9.0154540000000005E-2</v>
      </c>
      <c r="Z3978">
        <v>-1.648463E-3</v>
      </c>
      <c r="AA3978">
        <v>0.99592639999999999</v>
      </c>
      <c r="AB3978">
        <v>44</v>
      </c>
      <c r="AC3978">
        <v>-184.50579999999999</v>
      </c>
      <c r="AD3978">
        <v>5.9904339999999996</v>
      </c>
      <c r="AE3978">
        <v>15.645299999999899</v>
      </c>
      <c r="AF3978">
        <v>16.712903689303801</v>
      </c>
      <c r="AG3978">
        <v>5.9904339999999996</v>
      </c>
      <c r="AH3978">
        <v>184.217768995624</v>
      </c>
      <c r="AI3978">
        <v>88.145112109615397</v>
      </c>
      <c r="AJ3978">
        <v>84.816110612367495</v>
      </c>
      <c r="AK3978">
        <v>185.071318315295</v>
      </c>
      <c r="AL3978">
        <v>82.872762678475596</v>
      </c>
      <c r="AM3978">
        <v>95.470916727105603</v>
      </c>
      <c r="AN3978">
        <v>1.0000000125248001</v>
      </c>
    </row>
    <row r="3979" spans="1:40" x14ac:dyDescent="0.25">
      <c r="A3979" t="str">
        <f>"20190312151618295"</f>
        <v>20190312151618295</v>
      </c>
      <c r="B3979" t="str">
        <f>"1552374978292228"</f>
        <v>1552374978292228</v>
      </c>
      <c r="C3979" t="s">
        <v>40</v>
      </c>
      <c r="D3979">
        <v>4.4502470000000001</v>
      </c>
      <c r="E3979">
        <v>0.5707991</v>
      </c>
      <c r="F3979" t="s">
        <v>63</v>
      </c>
      <c r="G3979">
        <v>-510.17619999999999</v>
      </c>
      <c r="H3979">
        <v>7.3002969999999996</v>
      </c>
      <c r="I3979">
        <v>155.7131</v>
      </c>
      <c r="J3979">
        <v>-325.9554</v>
      </c>
      <c r="K3979">
        <v>1.1095219999999999</v>
      </c>
      <c r="L3979">
        <v>140.2792</v>
      </c>
      <c r="M3979">
        <v>-0.99993220000000005</v>
      </c>
      <c r="N3979">
        <v>0</v>
      </c>
      <c r="O3979">
        <v>-6.0659859999999998E-3</v>
      </c>
      <c r="P3979">
        <v>-0.98822489999999996</v>
      </c>
      <c r="Q3979">
        <v>0.1148782</v>
      </c>
      <c r="R3979">
        <v>-0.1010703</v>
      </c>
      <c r="S3979">
        <v>-3.0493769999999998</v>
      </c>
      <c r="T3979">
        <v>0.1023172</v>
      </c>
      <c r="U3979">
        <v>0.25505070000000002</v>
      </c>
      <c r="V3979">
        <v>-9.5170110000000002E-2</v>
      </c>
      <c r="W3979">
        <v>0.1246443</v>
      </c>
      <c r="X3979">
        <v>0.98762669999999997</v>
      </c>
      <c r="Y3979">
        <v>8.933953E-2</v>
      </c>
      <c r="Z3979">
        <v>-1.6989399999999999E-3</v>
      </c>
      <c r="AA3979">
        <v>0.99599979999999999</v>
      </c>
      <c r="AB3979">
        <v>44</v>
      </c>
      <c r="AC3979">
        <v>-184.2208</v>
      </c>
      <c r="AD3979">
        <v>6.1907750000000004</v>
      </c>
      <c r="AE3979">
        <v>15.4338999999999</v>
      </c>
      <c r="AF3979">
        <v>16.532611725938501</v>
      </c>
      <c r="AG3979">
        <v>6.1907750000000004</v>
      </c>
      <c r="AH3979">
        <v>183.91753186754801</v>
      </c>
      <c r="AI3979">
        <v>88.079853823602505</v>
      </c>
      <c r="AJ3979">
        <v>84.863405571251505</v>
      </c>
      <c r="AK3979">
        <v>184.76285198554299</v>
      </c>
      <c r="AL3979">
        <v>82.839785153585495</v>
      </c>
      <c r="AM3979">
        <v>95.5041658865904</v>
      </c>
      <c r="AN3979">
        <v>1.0000000249563901</v>
      </c>
    </row>
    <row r="3980" spans="1:40" x14ac:dyDescent="0.25">
      <c r="A3980" t="str">
        <f>"20190312151618307"</f>
        <v>20190312151618307</v>
      </c>
      <c r="B3980" t="str">
        <f>"1552374978301988"</f>
        <v>1552374978301988</v>
      </c>
      <c r="C3980" t="s">
        <v>40</v>
      </c>
      <c r="D3980">
        <v>4.5719219999999998</v>
      </c>
      <c r="E3980">
        <v>0.53243629999999997</v>
      </c>
      <c r="F3980" t="s">
        <v>63</v>
      </c>
      <c r="G3980">
        <v>-510.17610000000002</v>
      </c>
      <c r="H3980">
        <v>6.9536259999999999</v>
      </c>
      <c r="I3980">
        <v>155.35720000000001</v>
      </c>
      <c r="J3980">
        <v>-326.21519999999998</v>
      </c>
      <c r="K3980">
        <v>1.109521</v>
      </c>
      <c r="L3980">
        <v>140.2775</v>
      </c>
      <c r="M3980">
        <v>-0.99993100000000001</v>
      </c>
      <c r="N3980">
        <v>0</v>
      </c>
      <c r="O3980">
        <v>-6.2331319999999997E-3</v>
      </c>
      <c r="P3980">
        <v>-0.9881122</v>
      </c>
      <c r="Q3980">
        <v>0.1152822</v>
      </c>
      <c r="R3980">
        <v>-0.1017092</v>
      </c>
      <c r="S3980">
        <v>-3.0499879999999999</v>
      </c>
      <c r="T3980">
        <v>9.6756579999999995E-2</v>
      </c>
      <c r="U3980">
        <v>0.24963379999999999</v>
      </c>
      <c r="V3980">
        <v>-9.564462E-2</v>
      </c>
      <c r="W3980">
        <v>0.12504979999999999</v>
      </c>
      <c r="X3980">
        <v>0.98752960000000001</v>
      </c>
      <c r="Y3980">
        <v>8.7738800000000006E-2</v>
      </c>
      <c r="Z3980">
        <v>-1.586404E-3</v>
      </c>
      <c r="AA3980">
        <v>0.99614230000000004</v>
      </c>
      <c r="AB3980">
        <v>44</v>
      </c>
      <c r="AC3980">
        <v>-183.96090000000001</v>
      </c>
      <c r="AD3980">
        <v>5.8441049999999999</v>
      </c>
      <c r="AE3980">
        <v>15.079700000000001</v>
      </c>
      <c r="AF3980">
        <v>16.209866352245999</v>
      </c>
      <c r="AG3980">
        <v>5.8441049999999999</v>
      </c>
      <c r="AH3980">
        <v>183.67919252081199</v>
      </c>
      <c r="AI3980">
        <v>88.184690470356003</v>
      </c>
      <c r="AJ3980">
        <v>84.956657881002897</v>
      </c>
      <c r="AK3980">
        <v>184.485660948233</v>
      </c>
      <c r="AL3980">
        <v>82.816368528007303</v>
      </c>
      <c r="AM3980">
        <v>95.531979912164502</v>
      </c>
      <c r="AN3980">
        <v>1.0000000283455699</v>
      </c>
    </row>
    <row r="3981" spans="1:40" x14ac:dyDescent="0.25">
      <c r="A3981" t="str">
        <f>"20190312151618326"</f>
        <v>20190312151618326</v>
      </c>
      <c r="B3981" t="str">
        <f>"1552374978321508"</f>
        <v>1552374978321508</v>
      </c>
      <c r="C3981" t="s">
        <v>40</v>
      </c>
      <c r="D3981">
        <v>4.4644709999999996</v>
      </c>
      <c r="E3981">
        <v>0.51303129999999997</v>
      </c>
      <c r="F3981" t="s">
        <v>43</v>
      </c>
      <c r="G3981">
        <v>-463.90960000000001</v>
      </c>
      <c r="H3981" s="1">
        <v>-2.3712970000000002E-6</v>
      </c>
      <c r="I3981">
        <v>137.4958</v>
      </c>
      <c r="J3981">
        <v>-326.58120000000002</v>
      </c>
      <c r="K3981">
        <v>1.109526</v>
      </c>
      <c r="L3981">
        <v>140.27500000000001</v>
      </c>
      <c r="M3981">
        <v>-0.99992950000000003</v>
      </c>
      <c r="N3981">
        <v>0</v>
      </c>
      <c r="O3981">
        <v>-6.4689459999999997E-3</v>
      </c>
      <c r="P3981">
        <v>-0.98787789999999998</v>
      </c>
      <c r="Q3981">
        <v>0.1160933</v>
      </c>
      <c r="R3981">
        <v>-0.103052</v>
      </c>
      <c r="S3981">
        <v>-3.0326230000000001</v>
      </c>
      <c r="T3981">
        <v>-2.4436469999999998E-2</v>
      </c>
      <c r="U3981">
        <v>-6.1264039999999999E-2</v>
      </c>
      <c r="V3981">
        <v>-9.675665E-2</v>
      </c>
      <c r="W3981">
        <v>0.12586149999999999</v>
      </c>
      <c r="X3981">
        <v>0.98731809999999998</v>
      </c>
      <c r="Y3981">
        <v>-1.372894E-2</v>
      </c>
      <c r="Z3981" s="1">
        <v>-3.1852399999999998E-6</v>
      </c>
      <c r="AA3981">
        <v>0.99990579999999996</v>
      </c>
      <c r="AB3981">
        <v>44</v>
      </c>
      <c r="AC3981">
        <v>-137.32839999999999</v>
      </c>
      <c r="AD3981">
        <v>-1.1095283712970001</v>
      </c>
      <c r="AE3981">
        <v>-2.7791999999999999</v>
      </c>
      <c r="AF3981">
        <v>-1.8906044342756001</v>
      </c>
      <c r="AG3981">
        <v>-1.1095283712970001</v>
      </c>
      <c r="AH3981">
        <v>137.33454462958699</v>
      </c>
      <c r="AI3981">
        <v>90.462839757161404</v>
      </c>
      <c r="AJ3981">
        <v>90.788707698604597</v>
      </c>
      <c r="AK3981">
        <v>137.35203888894301</v>
      </c>
      <c r="AL3981">
        <v>82.769490959902498</v>
      </c>
      <c r="AM3981">
        <v>95.597083717700698</v>
      </c>
      <c r="AN3981">
        <v>0.99999999854454102</v>
      </c>
    </row>
    <row r="3982" spans="1:40" x14ac:dyDescent="0.25">
      <c r="A3982" t="str">
        <f>"20190312151618347"</f>
        <v>20190312151618347</v>
      </c>
      <c r="B3982" t="str">
        <f>"1552374978342003"</f>
        <v>1552374978342003</v>
      </c>
      <c r="C3982" t="s">
        <v>40</v>
      </c>
      <c r="D3982">
        <v>4.5258830000000003</v>
      </c>
      <c r="E3982">
        <v>0.50631859999999995</v>
      </c>
      <c r="F3982" t="s">
        <v>43</v>
      </c>
      <c r="G3982">
        <v>-398.07810000000001</v>
      </c>
      <c r="H3982" s="1">
        <v>-1.854417E-6</v>
      </c>
      <c r="I3982">
        <v>135.0523</v>
      </c>
      <c r="J3982">
        <v>-326.99619999999999</v>
      </c>
      <c r="K3982">
        <v>1.109524</v>
      </c>
      <c r="L3982">
        <v>140.2722</v>
      </c>
      <c r="M3982">
        <v>-0.99992760000000003</v>
      </c>
      <c r="N3982">
        <v>0</v>
      </c>
      <c r="O3982">
        <v>-6.7356409999999997E-3</v>
      </c>
      <c r="P3982">
        <v>-0.98765619999999998</v>
      </c>
      <c r="Q3982">
        <v>0.1166156</v>
      </c>
      <c r="R3982">
        <v>-0.1045763</v>
      </c>
      <c r="S3982">
        <v>-3.0192869999999998</v>
      </c>
      <c r="T3982">
        <v>-4.6854970000000003E-2</v>
      </c>
      <c r="U3982">
        <v>-0.22055050000000001</v>
      </c>
      <c r="V3982">
        <v>-9.8019259999999997E-2</v>
      </c>
      <c r="W3982">
        <v>0.12638469999999999</v>
      </c>
      <c r="X3982">
        <v>0.98712670000000002</v>
      </c>
      <c r="Y3982">
        <v>-6.6126270000000001E-2</v>
      </c>
      <c r="Z3982">
        <v>-4.0799849999999997E-4</v>
      </c>
      <c r="AA3982">
        <v>0.99781120000000001</v>
      </c>
      <c r="AB3982">
        <v>44</v>
      </c>
      <c r="AC3982">
        <v>-71.081900000000005</v>
      </c>
      <c r="AD3982">
        <v>-1.1095258544169999</v>
      </c>
      <c r="AE3982">
        <v>-5.2198999999999902</v>
      </c>
      <c r="AF3982">
        <v>-4.7398269739805396</v>
      </c>
      <c r="AG3982">
        <v>-1.1095258544169999</v>
      </c>
      <c r="AH3982">
        <v>71.098218707168101</v>
      </c>
      <c r="AI3982">
        <v>90.892078977956402</v>
      </c>
      <c r="AJ3982">
        <v>93.814031290808401</v>
      </c>
      <c r="AK3982">
        <v>71.264673651797594</v>
      </c>
      <c r="AL3982">
        <v>82.739272473711594</v>
      </c>
      <c r="AM3982">
        <v>95.670741277467499</v>
      </c>
      <c r="AN3982">
        <v>0.99999999478896295</v>
      </c>
    </row>
    <row r="3983" spans="1:40" x14ac:dyDescent="0.25">
      <c r="A3983" t="str">
        <f>"20190312151618361"</f>
        <v>20190312151618361</v>
      </c>
      <c r="B3983" t="str">
        <f>"1552374978351764"</f>
        <v>1552374978351764</v>
      </c>
      <c r="C3983" t="s">
        <v>40</v>
      </c>
      <c r="D3983">
        <v>4.4592049999999999</v>
      </c>
      <c r="E3983">
        <v>0.50449279999999996</v>
      </c>
      <c r="F3983" t="s">
        <v>43</v>
      </c>
      <c r="G3983">
        <v>-385.23970000000003</v>
      </c>
      <c r="H3983" s="1">
        <v>-2.86509E-6</v>
      </c>
      <c r="I3983">
        <v>134.88419999999999</v>
      </c>
      <c r="J3983">
        <v>-327.27100000000002</v>
      </c>
      <c r="K3983">
        <v>1.1095269999999999</v>
      </c>
      <c r="L3983">
        <v>140.27019999999999</v>
      </c>
      <c r="M3983">
        <v>-0.99992639999999999</v>
      </c>
      <c r="N3983">
        <v>0</v>
      </c>
      <c r="O3983">
        <v>-6.9123240000000001E-3</v>
      </c>
      <c r="P3983">
        <v>-0.98756920000000004</v>
      </c>
      <c r="Q3983">
        <v>0.11677800000000001</v>
      </c>
      <c r="R3983">
        <v>-0.10521419999999999</v>
      </c>
      <c r="S3983">
        <v>-3.0147710000000001</v>
      </c>
      <c r="T3983">
        <v>-5.743086E-2</v>
      </c>
      <c r="U3983">
        <v>-0.27888489999999999</v>
      </c>
      <c r="V3983">
        <v>-9.8483630000000003E-2</v>
      </c>
      <c r="W3983">
        <v>0.12654879999999999</v>
      </c>
      <c r="X3983">
        <v>0.98705949999999998</v>
      </c>
      <c r="Y3983">
        <v>-8.5213330000000004E-2</v>
      </c>
      <c r="Z3983">
        <v>-6.7846629999999996E-4</v>
      </c>
      <c r="AA3983">
        <v>0.99636250000000004</v>
      </c>
      <c r="AB3983">
        <v>44</v>
      </c>
      <c r="AC3983">
        <v>-57.968699999999998</v>
      </c>
      <c r="AD3983">
        <v>-1.1095298650900001</v>
      </c>
      <c r="AE3983">
        <v>-5.3859999999999904</v>
      </c>
      <c r="AF3983">
        <v>-4.9833429580363102</v>
      </c>
      <c r="AG3983">
        <v>-1.1095298650900001</v>
      </c>
      <c r="AH3983">
        <v>57.983486410843398</v>
      </c>
      <c r="AI3983">
        <v>91.092211266475204</v>
      </c>
      <c r="AJ3983">
        <v>94.912167871624305</v>
      </c>
      <c r="AK3983">
        <v>58.2078127051292</v>
      </c>
      <c r="AL3983">
        <v>82.729794466211601</v>
      </c>
      <c r="AM3983">
        <v>95.697815630206307</v>
      </c>
      <c r="AN3983">
        <v>1.0000000403498299</v>
      </c>
    </row>
    <row r="3984" spans="1:40" x14ac:dyDescent="0.25">
      <c r="A3984" t="str">
        <f>"20190312151618374"</f>
        <v>20190312151618374</v>
      </c>
      <c r="B3984" t="str">
        <f>"1552374978361524"</f>
        <v>1552374978361524</v>
      </c>
      <c r="C3984" t="s">
        <v>40</v>
      </c>
      <c r="D3984">
        <v>4.4494999999999996</v>
      </c>
      <c r="E3984">
        <v>0.50315339999999997</v>
      </c>
      <c r="F3984" t="s">
        <v>43</v>
      </c>
      <c r="G3984">
        <v>-383.91550000000001</v>
      </c>
      <c r="H3984" s="1">
        <v>-3.462081E-6</v>
      </c>
      <c r="I3984">
        <v>134.71420000000001</v>
      </c>
      <c r="J3984">
        <v>-327.52539999999999</v>
      </c>
      <c r="K3984">
        <v>1.1095299999999999</v>
      </c>
      <c r="L3984">
        <v>140.26830000000001</v>
      </c>
      <c r="M3984">
        <v>-0.99992530000000002</v>
      </c>
      <c r="N3984">
        <v>0</v>
      </c>
      <c r="O3984">
        <v>-7.0760119999999996E-3</v>
      </c>
      <c r="P3984">
        <v>-0.98746140000000004</v>
      </c>
      <c r="Q3984">
        <v>0.1169969</v>
      </c>
      <c r="R3984">
        <v>-0.1059808</v>
      </c>
      <c r="S3984">
        <v>-3.0132140000000001</v>
      </c>
      <c r="T3984">
        <v>-5.9021709999999998E-2</v>
      </c>
      <c r="U3984">
        <v>-0.29554750000000002</v>
      </c>
      <c r="V3984">
        <v>-9.9088910000000002E-2</v>
      </c>
      <c r="W3984">
        <v>0.12676879999999999</v>
      </c>
      <c r="X3984">
        <v>0.98697069999999998</v>
      </c>
      <c r="Y3984">
        <v>-9.0554529999999994E-2</v>
      </c>
      <c r="Z3984">
        <v>-7.464158E-4</v>
      </c>
      <c r="AA3984">
        <v>0.99589119999999998</v>
      </c>
      <c r="AB3984">
        <v>44</v>
      </c>
      <c r="AC3984">
        <v>-56.390099999999997</v>
      </c>
      <c r="AD3984">
        <v>-1.109533462081</v>
      </c>
      <c r="AE3984">
        <v>-5.5541</v>
      </c>
      <c r="AF3984">
        <v>-5.1529483183914602</v>
      </c>
      <c r="AG3984">
        <v>-1.109533462081</v>
      </c>
      <c r="AH3984">
        <v>56.406363247297499</v>
      </c>
      <c r="AI3984">
        <v>91.122211467603606</v>
      </c>
      <c r="AJ3984">
        <v>95.219711779780297</v>
      </c>
      <c r="AK3984">
        <v>56.652111661098502</v>
      </c>
      <c r="AL3984">
        <v>82.717087137175298</v>
      </c>
      <c r="AM3984">
        <v>95.7331141894811</v>
      </c>
      <c r="AN3984">
        <v>1.00000005169845</v>
      </c>
    </row>
    <row r="3985" spans="1:40" x14ac:dyDescent="0.25">
      <c r="A3985" t="str">
        <f>"20190312151618385"</f>
        <v>20190312151618385</v>
      </c>
      <c r="B3985" t="str">
        <f>"1552374978382020"</f>
        <v>1552374978382020</v>
      </c>
      <c r="C3985" t="s">
        <v>40</v>
      </c>
      <c r="D3985">
        <v>4.4368349999999896</v>
      </c>
      <c r="E3985">
        <v>0.50133720000000004</v>
      </c>
      <c r="F3985" t="s">
        <v>43</v>
      </c>
      <c r="G3985">
        <v>-384.3954</v>
      </c>
      <c r="H3985" s="1">
        <v>-3.3046999999999999E-6</v>
      </c>
      <c r="I3985">
        <v>134.44059999999999</v>
      </c>
      <c r="J3985">
        <v>-327.76929999999999</v>
      </c>
      <c r="K3985">
        <v>1.109531</v>
      </c>
      <c r="L3985">
        <v>140.26650000000001</v>
      </c>
      <c r="M3985">
        <v>-0.99992409999999998</v>
      </c>
      <c r="N3985">
        <v>0</v>
      </c>
      <c r="O3985">
        <v>-7.2325469999999998E-3</v>
      </c>
      <c r="P3985">
        <v>-0.98739809999999995</v>
      </c>
      <c r="Q3985">
        <v>0.11708689999999999</v>
      </c>
      <c r="R3985">
        <v>-0.1064687</v>
      </c>
      <c r="S3985">
        <v>-3.0119020000000001</v>
      </c>
      <c r="T3985">
        <v>-5.8762189999999999E-2</v>
      </c>
      <c r="U3985">
        <v>-0.30863950000000001</v>
      </c>
      <c r="V3985">
        <v>-9.942281E-2</v>
      </c>
      <c r="W3985">
        <v>0.1268601</v>
      </c>
      <c r="X3985">
        <v>0.98692539999999995</v>
      </c>
      <c r="Y3985">
        <v>-9.4725100000000007E-2</v>
      </c>
      <c r="Z3985">
        <v>-7.8082480000000001E-4</v>
      </c>
      <c r="AA3985">
        <v>0.99550320000000003</v>
      </c>
      <c r="AB3985">
        <v>44</v>
      </c>
      <c r="AC3985">
        <v>-56.626100000000001</v>
      </c>
      <c r="AD3985">
        <v>-1.1095343046999999</v>
      </c>
      <c r="AE3985">
        <v>-5.8259000000000096</v>
      </c>
      <c r="AF3985">
        <v>-5.4141194516012403</v>
      </c>
      <c r="AG3985">
        <v>-1.1095343046999999</v>
      </c>
      <c r="AH3985">
        <v>56.645237153643798</v>
      </c>
      <c r="AI3985">
        <v>91.117043822592805</v>
      </c>
      <c r="AJ3985">
        <v>95.459712625708207</v>
      </c>
      <c r="AK3985">
        <v>56.914204272765303</v>
      </c>
      <c r="AL3985">
        <v>82.711813535677393</v>
      </c>
      <c r="AM3985">
        <v>95.752565991287298</v>
      </c>
      <c r="AN3985">
        <v>1.0000000626427299</v>
      </c>
    </row>
    <row r="3986" spans="1:40" x14ac:dyDescent="0.25">
      <c r="A3986" t="str">
        <f>"20190312151618403"</f>
        <v>20190312151618403</v>
      </c>
      <c r="B3986" t="str">
        <f>"1552374978391780"</f>
        <v>1552374978391780</v>
      </c>
      <c r="C3986" t="s">
        <v>40</v>
      </c>
      <c r="D3986">
        <v>4.4987539999999999</v>
      </c>
      <c r="E3986">
        <v>0.50056990000000001</v>
      </c>
      <c r="F3986" t="s">
        <v>43</v>
      </c>
      <c r="G3986">
        <v>-383.80079999999998</v>
      </c>
      <c r="H3986" s="1">
        <v>-3.5983240000000002E-6</v>
      </c>
      <c r="I3986">
        <v>134.2235</v>
      </c>
      <c r="J3986">
        <v>-328.1</v>
      </c>
      <c r="K3986">
        <v>1.109532</v>
      </c>
      <c r="L3986">
        <v>140.26400000000001</v>
      </c>
      <c r="M3986">
        <v>-0.99992259999999999</v>
      </c>
      <c r="N3986">
        <v>0</v>
      </c>
      <c r="O3986">
        <v>-7.4452340000000002E-3</v>
      </c>
      <c r="P3986">
        <v>-0.98726999999999998</v>
      </c>
      <c r="Q3986">
        <v>0.11713229999999999</v>
      </c>
      <c r="R3986">
        <v>-0.1076019</v>
      </c>
      <c r="S3986">
        <v>-3.010345</v>
      </c>
      <c r="T3986">
        <v>-5.9610839999999998E-2</v>
      </c>
      <c r="U3986">
        <v>-0.32466129999999999</v>
      </c>
      <c r="V3986">
        <v>-0.1003469</v>
      </c>
      <c r="W3986">
        <v>0.12690689999999999</v>
      </c>
      <c r="X3986">
        <v>0.98682579999999998</v>
      </c>
      <c r="Y3986">
        <v>-9.9803169999999997E-2</v>
      </c>
      <c r="Z3986">
        <v>-8.3821690000000001E-4</v>
      </c>
      <c r="AA3986">
        <v>0.99500690000000003</v>
      </c>
      <c r="AB3986">
        <v>44</v>
      </c>
      <c r="AC3986">
        <v>-55.700799999999902</v>
      </c>
      <c r="AD3986">
        <v>-1.1095355983239901</v>
      </c>
      <c r="AE3986">
        <v>-6.0404999999999998</v>
      </c>
      <c r="AF3986">
        <v>-5.6234011018124797</v>
      </c>
      <c r="AG3986">
        <v>-1.1095355983239901</v>
      </c>
      <c r="AH3986">
        <v>55.722378180437701</v>
      </c>
      <c r="AI3986">
        <v>91.134950905066006</v>
      </c>
      <c r="AJ3986">
        <v>95.762675470104199</v>
      </c>
      <c r="AK3986">
        <v>56.016400627669199</v>
      </c>
      <c r="AL3986">
        <v>82.709109862684102</v>
      </c>
      <c r="AM3986">
        <v>95.806251882242705</v>
      </c>
      <c r="AN3986">
        <v>1.00000001057643</v>
      </c>
    </row>
    <row r="3987" spans="1:40" x14ac:dyDescent="0.25">
      <c r="A3987" t="str">
        <f>"20190312151618417"</f>
        <v>20190312151618417</v>
      </c>
      <c r="B3987" t="str">
        <f>"1552374978412276"</f>
        <v>1552374978412276</v>
      </c>
      <c r="C3987" t="s">
        <v>40</v>
      </c>
      <c r="D3987">
        <v>4.5204259999999996</v>
      </c>
      <c r="E3987">
        <v>0.49953419999999998</v>
      </c>
      <c r="F3987" t="s">
        <v>43</v>
      </c>
      <c r="G3987">
        <v>-374.60700000000003</v>
      </c>
      <c r="H3987" s="1">
        <v>-3.0986260000000002E-6</v>
      </c>
      <c r="I3987">
        <v>135.0909</v>
      </c>
      <c r="J3987">
        <v>-328.3818</v>
      </c>
      <c r="K3987">
        <v>1.109531</v>
      </c>
      <c r="L3987">
        <v>140.26179999999999</v>
      </c>
      <c r="M3987">
        <v>-0.99992119999999995</v>
      </c>
      <c r="N3987">
        <v>0</v>
      </c>
      <c r="O3987">
        <v>-7.6263279999999999E-3</v>
      </c>
      <c r="P3987">
        <v>-0.98719469999999998</v>
      </c>
      <c r="Q3987">
        <v>0.1172265</v>
      </c>
      <c r="R3987">
        <v>-0.1081891</v>
      </c>
      <c r="S3987">
        <v>-3.0107119999999998</v>
      </c>
      <c r="T3987">
        <v>-7.1827769999999999E-2</v>
      </c>
      <c r="U3987">
        <v>-0.33488459999999998</v>
      </c>
      <c r="V3987">
        <v>-0.100756</v>
      </c>
      <c r="W3987">
        <v>0.12700339999999999</v>
      </c>
      <c r="X3987">
        <v>0.98677170000000003</v>
      </c>
      <c r="Y3987">
        <v>-0.1029393</v>
      </c>
      <c r="Z3987">
        <v>-1.0426369999999999E-3</v>
      </c>
      <c r="AA3987">
        <v>0.99468710000000005</v>
      </c>
      <c r="AB3987">
        <v>44</v>
      </c>
      <c r="AC3987">
        <v>-46.225199999999901</v>
      </c>
      <c r="AD3987">
        <v>-1.1095340986260001</v>
      </c>
      <c r="AE3987">
        <v>-5.1708999999999801</v>
      </c>
      <c r="AF3987">
        <v>-4.8154634799241496</v>
      </c>
      <c r="AG3987">
        <v>-1.1095340986260001</v>
      </c>
      <c r="AH3987">
        <v>46.236983047982399</v>
      </c>
      <c r="AI3987">
        <v>91.367252430772197</v>
      </c>
      <c r="AJ3987">
        <v>95.945773346044007</v>
      </c>
      <c r="AK3987">
        <v>46.5003049003112</v>
      </c>
      <c r="AL3987">
        <v>82.703535723609903</v>
      </c>
      <c r="AM3987">
        <v>95.830077849613403</v>
      </c>
      <c r="AN3987">
        <v>1.00000001153422</v>
      </c>
    </row>
    <row r="3988" spans="1:40" x14ac:dyDescent="0.25">
      <c r="A3988" t="str">
        <f>"20190312151618428"</f>
        <v>20190312151618428</v>
      </c>
      <c r="B3988" t="str">
        <f>"1552374978422036"</f>
        <v>1552374978422036</v>
      </c>
      <c r="C3988" t="s">
        <v>40</v>
      </c>
      <c r="D3988">
        <v>4.4131939999999998</v>
      </c>
      <c r="E3988">
        <v>0.49923240000000002</v>
      </c>
      <c r="F3988" t="s">
        <v>43</v>
      </c>
      <c r="G3988">
        <v>-364.54669999999999</v>
      </c>
      <c r="H3988" s="1">
        <v>-2.943704E-6</v>
      </c>
      <c r="I3988">
        <v>136.10990000000001</v>
      </c>
      <c r="J3988">
        <v>-328.61700000000002</v>
      </c>
      <c r="K3988">
        <v>1.109529</v>
      </c>
      <c r="L3988">
        <v>140.25989999999999</v>
      </c>
      <c r="M3988">
        <v>-0.99992000000000003</v>
      </c>
      <c r="N3988">
        <v>0</v>
      </c>
      <c r="O3988">
        <v>-7.7772600000000002E-3</v>
      </c>
      <c r="P3988">
        <v>-0.98717520000000003</v>
      </c>
      <c r="Q3988">
        <v>0.11717950000000001</v>
      </c>
      <c r="R3988">
        <v>-0.10841679999999999</v>
      </c>
      <c r="S3988">
        <v>-3.0119929999999999</v>
      </c>
      <c r="T3988">
        <v>-9.2407699999999995E-2</v>
      </c>
      <c r="U3988">
        <v>-0.34577940000000001</v>
      </c>
      <c r="V3988">
        <v>-0.1008351</v>
      </c>
      <c r="W3988">
        <v>0.1269585</v>
      </c>
      <c r="X3988">
        <v>0.98676940000000002</v>
      </c>
      <c r="Y3988">
        <v>-0.1062757</v>
      </c>
      <c r="Z3988">
        <v>-1.3867969999999999E-3</v>
      </c>
      <c r="AA3988">
        <v>0.99433570000000004</v>
      </c>
      <c r="AB3988">
        <v>44</v>
      </c>
      <c r="AC3988">
        <v>-35.929699999999997</v>
      </c>
      <c r="AD3988">
        <v>-1.1095319437040001</v>
      </c>
      <c r="AE3988">
        <v>-4.1499999999999702</v>
      </c>
      <c r="AF3988">
        <v>-3.8667870805341198</v>
      </c>
      <c r="AG3988">
        <v>-1.1095319437040001</v>
      </c>
      <c r="AH3988">
        <v>35.9270809925194</v>
      </c>
      <c r="AI3988">
        <v>91.758745955083697</v>
      </c>
      <c r="AJ3988">
        <v>96.143026210669305</v>
      </c>
      <c r="AK3988">
        <v>36.151600961829303</v>
      </c>
      <c r="AL3988">
        <v>82.706129312680801</v>
      </c>
      <c r="AM3988">
        <v>95.834636780329603</v>
      </c>
      <c r="AN3988">
        <v>1.00000001344531</v>
      </c>
    </row>
    <row r="3989" spans="1:40" x14ac:dyDescent="0.25">
      <c r="A3989" t="str">
        <f>"20190312151618441"</f>
        <v>20190312151618441</v>
      </c>
      <c r="B3989" t="str">
        <f>"1552374978431796"</f>
        <v>1552374978431796</v>
      </c>
      <c r="C3989" t="s">
        <v>40</v>
      </c>
      <c r="D3989">
        <v>4.526681</v>
      </c>
      <c r="E3989">
        <v>0.49895650000000002</v>
      </c>
      <c r="F3989" t="s">
        <v>43</v>
      </c>
      <c r="G3989">
        <v>-360.96839999999997</v>
      </c>
      <c r="H3989" s="1">
        <v>-4.4078829999999999E-6</v>
      </c>
      <c r="I3989">
        <v>136.50970000000001</v>
      </c>
      <c r="J3989">
        <v>-328.8571</v>
      </c>
      <c r="K3989">
        <v>1.109537</v>
      </c>
      <c r="L3989">
        <v>140.25790000000001</v>
      </c>
      <c r="M3989">
        <v>-0.99991859999999999</v>
      </c>
      <c r="N3989">
        <v>0</v>
      </c>
      <c r="O3989">
        <v>-7.9315289999999997E-3</v>
      </c>
      <c r="P3989">
        <v>-0.98713430000000002</v>
      </c>
      <c r="Q3989">
        <v>0.1171603</v>
      </c>
      <c r="R3989">
        <v>-0.108807399999999</v>
      </c>
      <c r="S3989">
        <v>-3.0128780000000002</v>
      </c>
      <c r="T3989">
        <v>-0.1033307</v>
      </c>
      <c r="U3989">
        <v>-0.34924319999999998</v>
      </c>
      <c r="V3989">
        <v>-0.10107339999999999</v>
      </c>
      <c r="W3989">
        <v>0.126941</v>
      </c>
      <c r="X3989">
        <v>0.98674729999999999</v>
      </c>
      <c r="Y3989">
        <v>-0.10720540000000001</v>
      </c>
      <c r="Z3989">
        <v>-1.5606929999999999E-3</v>
      </c>
      <c r="AA3989">
        <v>0.99423569999999994</v>
      </c>
      <c r="AB3989">
        <v>44</v>
      </c>
      <c r="AC3989">
        <v>-32.1112999999999</v>
      </c>
      <c r="AD3989">
        <v>-1.1095414078829999</v>
      </c>
      <c r="AE3989">
        <v>-3.74819999999999</v>
      </c>
      <c r="AF3989">
        <v>-3.4892677880131902</v>
      </c>
      <c r="AG3989">
        <v>-1.1095414078829999</v>
      </c>
      <c r="AH3989">
        <v>32.1022083394734</v>
      </c>
      <c r="AI3989">
        <v>91.967931865390497</v>
      </c>
      <c r="AJ3989">
        <v>96.203266772584996</v>
      </c>
      <c r="AK3989">
        <v>32.310336613895402</v>
      </c>
      <c r="AL3989">
        <v>82.707140375855801</v>
      </c>
      <c r="AM3989">
        <v>95.848460181183498</v>
      </c>
      <c r="AN3989">
        <v>1.00000004186292</v>
      </c>
    </row>
    <row r="3990" spans="1:40" x14ac:dyDescent="0.25">
      <c r="A3990" t="str">
        <f>"20190312151618455"</f>
        <v>20190312151618455</v>
      </c>
      <c r="B3990" t="str">
        <f>"1552374978452292"</f>
        <v>1552374978452292</v>
      </c>
      <c r="C3990" t="s">
        <v>40</v>
      </c>
      <c r="D3990">
        <v>4.4311369999999997</v>
      </c>
      <c r="E3990">
        <v>0.49859130000000002</v>
      </c>
      <c r="F3990" t="s">
        <v>43</v>
      </c>
      <c r="G3990">
        <v>-358.65460000000002</v>
      </c>
      <c r="H3990" s="1">
        <v>-1.2019770000000001E-6</v>
      </c>
      <c r="I3990">
        <v>136.7672</v>
      </c>
      <c r="J3990">
        <v>-329.12520000000001</v>
      </c>
      <c r="K3990">
        <v>1.109537</v>
      </c>
      <c r="L3990">
        <v>140.25569999999999</v>
      </c>
      <c r="M3990">
        <v>-0.99991739999999996</v>
      </c>
      <c r="N3990">
        <v>0</v>
      </c>
      <c r="O3990">
        <v>-8.1037999999999995E-3</v>
      </c>
      <c r="P3990">
        <v>-0.98709800000000003</v>
      </c>
      <c r="Q3990">
        <v>0.1172006</v>
      </c>
      <c r="R3990">
        <v>-0.1090956</v>
      </c>
      <c r="S3990">
        <v>-3.01355</v>
      </c>
      <c r="T3990">
        <v>-0.11221250000000001</v>
      </c>
      <c r="U3990">
        <v>-0.35302729999999999</v>
      </c>
      <c r="V3990">
        <v>-0.1011919</v>
      </c>
      <c r="W3990">
        <v>0.12698299999999901</v>
      </c>
      <c r="X3990">
        <v>0.98672969999999904</v>
      </c>
      <c r="Y3990">
        <v>-0.1082296</v>
      </c>
      <c r="Z3990">
        <v>-1.706866E-3</v>
      </c>
      <c r="AA3990">
        <v>0.99412449999999997</v>
      </c>
      <c r="AB3990">
        <v>44</v>
      </c>
      <c r="AC3990">
        <v>-29.529399999999999</v>
      </c>
      <c r="AD3990">
        <v>-1.1095382019769999</v>
      </c>
      <c r="AE3990">
        <v>-3.4884999999999802</v>
      </c>
      <c r="AF3990">
        <v>-3.2445555422464101</v>
      </c>
      <c r="AG3990">
        <v>-1.1095382019769999</v>
      </c>
      <c r="AH3990">
        <v>29.515605003493398</v>
      </c>
      <c r="AI3990">
        <v>92.139946611445296</v>
      </c>
      <c r="AJ3990">
        <v>96.273153653368894</v>
      </c>
      <c r="AK3990">
        <v>29.714123820342</v>
      </c>
      <c r="AL3990">
        <v>82.704713954002202</v>
      </c>
      <c r="AM3990">
        <v>95.855373105816994</v>
      </c>
      <c r="AN3990">
        <v>0.99999999188834898</v>
      </c>
    </row>
    <row r="3991" spans="1:40" x14ac:dyDescent="0.25">
      <c r="A3991" t="str">
        <f>"20190312151618469"</f>
        <v>20190312151618469</v>
      </c>
      <c r="B3991" t="str">
        <f>"1552374978462052"</f>
        <v>1552374978462052</v>
      </c>
      <c r="C3991" t="s">
        <v>40</v>
      </c>
      <c r="D3991">
        <v>4.40787</v>
      </c>
      <c r="E3991">
        <v>0.49847609999999998</v>
      </c>
      <c r="F3991" t="s">
        <v>43</v>
      </c>
      <c r="G3991">
        <v>-355.63220000000001</v>
      </c>
      <c r="H3991" s="1">
        <v>-2.2998640000000001E-6</v>
      </c>
      <c r="I3991">
        <v>137.11449999999999</v>
      </c>
      <c r="J3991">
        <v>-329.43169999999998</v>
      </c>
      <c r="K3991">
        <v>1.10954</v>
      </c>
      <c r="L3991">
        <v>140.25309999999999</v>
      </c>
      <c r="M3991">
        <v>-0.99991580000000002</v>
      </c>
      <c r="N3991">
        <v>0</v>
      </c>
      <c r="O3991">
        <v>-8.3005130000000007E-3</v>
      </c>
      <c r="P3991">
        <v>-0.98705200000000004</v>
      </c>
      <c r="Q3991">
        <v>0.1172329</v>
      </c>
      <c r="R3991">
        <v>-0.1094765</v>
      </c>
      <c r="S3991">
        <v>-3.0147400000000002</v>
      </c>
      <c r="T3991">
        <v>-0.12619250000000001</v>
      </c>
      <c r="U3991">
        <v>-0.35725400000000002</v>
      </c>
      <c r="V3991">
        <v>-0.1013787</v>
      </c>
      <c r="W3991">
        <v>0.12701799999999999</v>
      </c>
      <c r="X3991">
        <v>0.98670599999999997</v>
      </c>
      <c r="Y3991">
        <v>-0.1093445</v>
      </c>
      <c r="Z3991">
        <v>-1.9334739999999999E-3</v>
      </c>
      <c r="AA3991">
        <v>0.99400200000000005</v>
      </c>
      <c r="AB3991">
        <v>44</v>
      </c>
      <c r="AC3991">
        <v>-26.200500000000002</v>
      </c>
      <c r="AD3991">
        <v>-1.1095422998640001</v>
      </c>
      <c r="AE3991">
        <v>-3.1385999999999901</v>
      </c>
      <c r="AF3991">
        <v>-2.9158482529145302</v>
      </c>
      <c r="AG3991">
        <v>-1.1095422998640001</v>
      </c>
      <c r="AH3991">
        <v>26.179365638496101</v>
      </c>
      <c r="AI3991">
        <v>92.411978842980702</v>
      </c>
      <c r="AJ3991">
        <v>96.355389095175397</v>
      </c>
      <c r="AK3991">
        <v>26.3646058264349</v>
      </c>
      <c r="AL3991">
        <v>82.702692083625607</v>
      </c>
      <c r="AM3991">
        <v>95.866246719222801</v>
      </c>
      <c r="AN3991">
        <v>0.99999997178684397</v>
      </c>
    </row>
    <row r="3992" spans="1:40" x14ac:dyDescent="0.25">
      <c r="A3992" t="str">
        <f>"20190312151618485"</f>
        <v>20190312151618485</v>
      </c>
      <c r="B3992" t="str">
        <f>"1552374978481572"</f>
        <v>1552374978481572</v>
      </c>
      <c r="C3992" t="s">
        <v>40</v>
      </c>
      <c r="D3992">
        <v>4.4159899999999999</v>
      </c>
      <c r="E3992">
        <v>0.49821080000000001</v>
      </c>
      <c r="F3992" t="s">
        <v>43</v>
      </c>
      <c r="G3992">
        <v>-354.85329999999999</v>
      </c>
      <c r="H3992" s="1">
        <v>-2.6152570000000001E-6</v>
      </c>
      <c r="I3992">
        <v>137.2201</v>
      </c>
      <c r="J3992">
        <v>-329.72129999999999</v>
      </c>
      <c r="K3992">
        <v>1.1095410000000001</v>
      </c>
      <c r="L3992">
        <v>140.25049999999999</v>
      </c>
      <c r="M3992">
        <v>-0.99991410000000003</v>
      </c>
      <c r="N3992">
        <v>0</v>
      </c>
      <c r="O3992">
        <v>-8.4863750000000009E-3</v>
      </c>
      <c r="P3992">
        <v>-0.98705339999999997</v>
      </c>
      <c r="Q3992">
        <v>0.1169326</v>
      </c>
      <c r="R3992">
        <v>-0.1097834</v>
      </c>
      <c r="S3992">
        <v>-3.0150760000000001</v>
      </c>
      <c r="T3992">
        <v>-0.13159499999999999</v>
      </c>
      <c r="U3992">
        <v>-0.35971069999999999</v>
      </c>
      <c r="V3992">
        <v>-0.1015017</v>
      </c>
      <c r="W3992">
        <v>0.12672050000000001</v>
      </c>
      <c r="X3992">
        <v>0.98673160000000004</v>
      </c>
      <c r="Y3992">
        <v>-0.1099374</v>
      </c>
      <c r="Z3992">
        <v>-2.020665E-3</v>
      </c>
      <c r="AA3992">
        <v>0.9939365</v>
      </c>
      <c r="AB3992">
        <v>44</v>
      </c>
      <c r="AC3992">
        <v>-25.132000000000001</v>
      </c>
      <c r="AD3992">
        <v>-1.109543615257</v>
      </c>
      <c r="AE3992">
        <v>-3.0303999999999802</v>
      </c>
      <c r="AF3992">
        <v>-2.81159908823245</v>
      </c>
      <c r="AG3992">
        <v>-1.109543615257</v>
      </c>
      <c r="AH3992">
        <v>25.108575465539001</v>
      </c>
      <c r="AI3992">
        <v>92.514549009407204</v>
      </c>
      <c r="AJ3992">
        <v>96.389230193209301</v>
      </c>
      <c r="AK3992">
        <v>25.289854455409099</v>
      </c>
      <c r="AL3992">
        <v>82.719876390379596</v>
      </c>
      <c r="AM3992">
        <v>95.873163037112107</v>
      </c>
      <c r="AN3992">
        <v>0.99999996533084901</v>
      </c>
    </row>
    <row r="3993" spans="1:40" x14ac:dyDescent="0.25">
      <c r="A3993" t="str">
        <f>"20190312151618498"</f>
        <v>20190312151618498</v>
      </c>
      <c r="B3993" t="str">
        <f>"1552374978492308"</f>
        <v>1552374978492308</v>
      </c>
      <c r="C3993" t="s">
        <v>40</v>
      </c>
      <c r="D3993">
        <v>4.4086619999999996</v>
      </c>
      <c r="E3993">
        <v>0.49808989999999997</v>
      </c>
      <c r="F3993" t="s">
        <v>43</v>
      </c>
      <c r="G3993">
        <v>-353.36529999999999</v>
      </c>
      <c r="H3993" s="1">
        <v>-3.221217E-6</v>
      </c>
      <c r="I3993">
        <v>137.40270000000001</v>
      </c>
      <c r="J3993">
        <v>-329.98950000000002</v>
      </c>
      <c r="K3993">
        <v>1.10954</v>
      </c>
      <c r="L3993">
        <v>140.2482</v>
      </c>
      <c r="M3993">
        <v>-0.99991260000000004</v>
      </c>
      <c r="N3993">
        <v>0</v>
      </c>
      <c r="O3993">
        <v>-8.6586479999999997E-3</v>
      </c>
      <c r="P3993">
        <v>-0.98704950000000002</v>
      </c>
      <c r="Q3993">
        <v>0.1167407</v>
      </c>
      <c r="R3993">
        <v>-0.1100225</v>
      </c>
      <c r="S3993">
        <v>-3.015717</v>
      </c>
      <c r="T3993">
        <v>-0.14151900000000001</v>
      </c>
      <c r="U3993">
        <v>-0.36322019999999999</v>
      </c>
      <c r="V3993">
        <v>-0.10157099999999999</v>
      </c>
      <c r="W3993">
        <v>0.12653130000000001</v>
      </c>
      <c r="X3993">
        <v>0.98674879999999998</v>
      </c>
      <c r="Y3993">
        <v>-0.11086600000000001</v>
      </c>
      <c r="Z3993">
        <v>-2.1859290000000001E-3</v>
      </c>
      <c r="AA3993">
        <v>0.99383290000000002</v>
      </c>
      <c r="AB3993">
        <v>44</v>
      </c>
      <c r="AC3993">
        <v>-23.375799999999899</v>
      </c>
      <c r="AD3993">
        <v>-1.109543221217</v>
      </c>
      <c r="AE3993">
        <v>-2.8454999999999799</v>
      </c>
      <c r="AF3993">
        <v>-2.63712578036268</v>
      </c>
      <c r="AG3993">
        <v>-1.109543221217</v>
      </c>
      <c r="AH3993">
        <v>23.3477293605103</v>
      </c>
      <c r="AI3993">
        <v>92.703627926782005</v>
      </c>
      <c r="AJ3993">
        <v>96.444245709555204</v>
      </c>
      <c r="AK3993">
        <v>23.5223720069392</v>
      </c>
      <c r="AL3993">
        <v>82.730805090492296</v>
      </c>
      <c r="AM3993">
        <v>95.877043136594807</v>
      </c>
      <c r="AN3993">
        <v>1.00000001611106</v>
      </c>
    </row>
    <row r="3994" spans="1:40" x14ac:dyDescent="0.25">
      <c r="A3994" t="str">
        <f>"20190312151618517"</f>
        <v>20190312151618517</v>
      </c>
      <c r="B3994" t="str">
        <f>"1552374978511828"</f>
        <v>1552374978511828</v>
      </c>
      <c r="C3994" t="s">
        <v>40</v>
      </c>
      <c r="D3994">
        <v>4.4583690000000002</v>
      </c>
      <c r="E3994">
        <v>0.49785859999999899</v>
      </c>
      <c r="F3994" t="s">
        <v>43</v>
      </c>
      <c r="G3994">
        <v>-352.84469999999999</v>
      </c>
      <c r="H3994" s="1">
        <v>-3.4305820000000002E-6</v>
      </c>
      <c r="I3994">
        <v>137.48159999999999</v>
      </c>
      <c r="J3994">
        <v>-330.35579999999999</v>
      </c>
      <c r="K3994">
        <v>1.1095389999999901</v>
      </c>
      <c r="L3994">
        <v>140.2449</v>
      </c>
      <c r="M3994">
        <v>-0.99991050000000004</v>
      </c>
      <c r="N3994">
        <v>0</v>
      </c>
      <c r="O3994">
        <v>-8.8938679999999992E-3</v>
      </c>
      <c r="P3994">
        <v>-0.98706939999999999</v>
      </c>
      <c r="Q3994">
        <v>0.11648699999999999</v>
      </c>
      <c r="R3994">
        <v>-0.1101148</v>
      </c>
      <c r="S3994">
        <v>-3.0159910000000001</v>
      </c>
      <c r="T3994">
        <v>-0.1464165</v>
      </c>
      <c r="U3994">
        <v>-0.36506650000000002</v>
      </c>
      <c r="V3994">
        <v>-0.1014302</v>
      </c>
      <c r="W3994">
        <v>0.12628200000000001</v>
      </c>
      <c r="X3994">
        <v>0.98679519999999998</v>
      </c>
      <c r="Y3994">
        <v>-0.1112132</v>
      </c>
      <c r="Z3994">
        <v>-2.25823E-3</v>
      </c>
      <c r="AA3994">
        <v>0.99379399999999996</v>
      </c>
      <c r="AB3994">
        <v>44</v>
      </c>
      <c r="AC3994">
        <v>-22.488900000000001</v>
      </c>
      <c r="AD3994">
        <v>-1.1095424305820001</v>
      </c>
      <c r="AE3994">
        <v>-2.7633000000000099</v>
      </c>
      <c r="AF3994">
        <v>-2.5570357081576298</v>
      </c>
      <c r="AG3994">
        <v>-1.1095424305820001</v>
      </c>
      <c r="AH3994">
        <v>22.458732772555699</v>
      </c>
      <c r="AI3994">
        <v>92.810192558307193</v>
      </c>
      <c r="AJ3994">
        <v>96.495432288864507</v>
      </c>
      <c r="AK3994">
        <v>22.631044911075701</v>
      </c>
      <c r="AL3994">
        <v>82.745204299296503</v>
      </c>
      <c r="AM3994">
        <v>95.868679116851297</v>
      </c>
      <c r="AN3994">
        <v>0.99999999786953997</v>
      </c>
    </row>
    <row r="3995" spans="1:40" x14ac:dyDescent="0.25">
      <c r="A3995" t="str">
        <f>"20190312151618538"</f>
        <v>20190312151618538</v>
      </c>
      <c r="B3995" t="str">
        <f>"1552374978532324"</f>
        <v>1552374978532324</v>
      </c>
      <c r="C3995" t="s">
        <v>40</v>
      </c>
      <c r="D3995">
        <v>4.542605</v>
      </c>
      <c r="E3995">
        <v>0.49765179999999998</v>
      </c>
      <c r="F3995" t="s">
        <v>43</v>
      </c>
      <c r="G3995">
        <v>-352.12369999999999</v>
      </c>
      <c r="H3995" s="1">
        <v>-3.7201050000000001E-6</v>
      </c>
      <c r="I3995">
        <v>137.59299999999999</v>
      </c>
      <c r="J3995">
        <v>-330.77480000000003</v>
      </c>
      <c r="K3995">
        <v>1.1095349999999999</v>
      </c>
      <c r="L3995">
        <v>140.24090000000001</v>
      </c>
      <c r="M3995">
        <v>-0.99990800000000002</v>
      </c>
      <c r="N3995">
        <v>0</v>
      </c>
      <c r="O3995">
        <v>-9.1628270000000001E-3</v>
      </c>
      <c r="P3995">
        <v>-0.98708960000000001</v>
      </c>
      <c r="Q3995">
        <v>0.11619409999999999</v>
      </c>
      <c r="R3995">
        <v>-0.1102421</v>
      </c>
      <c r="S3995">
        <v>-3.0164490000000002</v>
      </c>
      <c r="T3995">
        <v>-0.15375320000000001</v>
      </c>
      <c r="U3995">
        <v>-0.36746220000000002</v>
      </c>
      <c r="V3995">
        <v>-0.1012919</v>
      </c>
      <c r="W3995">
        <v>0.12599399999999999</v>
      </c>
      <c r="X3995">
        <v>0.98684620000000001</v>
      </c>
      <c r="Y3995">
        <v>-0.11169320000000001</v>
      </c>
      <c r="Z3995">
        <v>-2.369309E-3</v>
      </c>
      <c r="AA3995">
        <v>0.99373990000000001</v>
      </c>
      <c r="AB3995">
        <v>44</v>
      </c>
      <c r="AC3995">
        <v>-21.348899999999901</v>
      </c>
      <c r="AD3995">
        <v>-1.109538720105</v>
      </c>
      <c r="AE3995">
        <v>-2.6479000000000199</v>
      </c>
      <c r="AF3995">
        <v>-2.44565698838707</v>
      </c>
      <c r="AG3995">
        <v>-1.109538720105</v>
      </c>
      <c r="AH3995">
        <v>21.315564851358801</v>
      </c>
      <c r="AI3995">
        <v>92.960340145348098</v>
      </c>
      <c r="AJ3995">
        <v>96.545252281903501</v>
      </c>
      <c r="AK3995">
        <v>21.4840782722634</v>
      </c>
      <c r="AL3995">
        <v>82.761838213069794</v>
      </c>
      <c r="AM3995">
        <v>95.860432141498293</v>
      </c>
      <c r="AN3995">
        <v>0.99999997974802401</v>
      </c>
    </row>
    <row r="3996" spans="1:40" x14ac:dyDescent="0.25">
      <c r="A3996" t="str">
        <f>"20190312151618560"</f>
        <v>20190312151618560</v>
      </c>
      <c r="B3996" t="str">
        <f>"1552374978551844"</f>
        <v>1552374978551844</v>
      </c>
      <c r="C3996" t="s">
        <v>40</v>
      </c>
      <c r="D3996">
        <v>4.4765940000000004</v>
      </c>
      <c r="E3996">
        <v>0.49755260000000001</v>
      </c>
      <c r="F3996" t="s">
        <v>43</v>
      </c>
      <c r="G3996">
        <v>-351.56299999999999</v>
      </c>
      <c r="H3996" s="1">
        <v>-3.9429930000000002E-6</v>
      </c>
      <c r="I3996">
        <v>137.6926</v>
      </c>
      <c r="J3996">
        <v>-331.21289999999999</v>
      </c>
      <c r="K3996">
        <v>1.1095349999999999</v>
      </c>
      <c r="L3996">
        <v>140.23670000000001</v>
      </c>
      <c r="M3996">
        <v>-0.99990540000000006</v>
      </c>
      <c r="N3996">
        <v>0</v>
      </c>
      <c r="O3996">
        <v>-9.4438290000000008E-3</v>
      </c>
      <c r="P3996">
        <v>-0.98704099999999995</v>
      </c>
      <c r="Q3996">
        <v>0.11633640000000001</v>
      </c>
      <c r="R3996">
        <v>-0.110526399999999</v>
      </c>
      <c r="S3996">
        <v>-3.0168759999999999</v>
      </c>
      <c r="T3996">
        <v>-0.16102159999999999</v>
      </c>
      <c r="U3996">
        <v>-0.36981199999999997</v>
      </c>
      <c r="V3996">
        <v>-0.1012994</v>
      </c>
      <c r="W3996">
        <v>0.1261401</v>
      </c>
      <c r="X3996">
        <v>0.9868268</v>
      </c>
      <c r="Y3996">
        <v>-0.11214689999999999</v>
      </c>
      <c r="Z3996">
        <v>-2.4778199999999999E-3</v>
      </c>
      <c r="AA3996">
        <v>0.99368849999999997</v>
      </c>
      <c r="AB3996">
        <v>45</v>
      </c>
      <c r="AC3996">
        <v>-20.350100000000001</v>
      </c>
      <c r="AD3996">
        <v>-1.109538942993</v>
      </c>
      <c r="AE3996">
        <v>-2.54410000000001</v>
      </c>
      <c r="AF3996">
        <v>-2.3449305434287502</v>
      </c>
      <c r="AG3996">
        <v>-1.109538942993</v>
      </c>
      <c r="AH3996">
        <v>20.3137620872958</v>
      </c>
      <c r="AI3996">
        <v>93.105808688553793</v>
      </c>
      <c r="AJ3996">
        <v>96.584825313863107</v>
      </c>
      <c r="AK3996">
        <v>20.4787379019992</v>
      </c>
      <c r="AL3996">
        <v>82.753400220873999</v>
      </c>
      <c r="AM3996">
        <v>95.860977463986998</v>
      </c>
      <c r="AN3996">
        <v>1.0000000132333</v>
      </c>
    </row>
    <row r="3997" spans="1:40" x14ac:dyDescent="0.25">
      <c r="A3997" t="str">
        <f>"20190312151618575"</f>
        <v>20190312151618575</v>
      </c>
      <c r="B3997" t="str">
        <f>"1552374978572340"</f>
        <v>1552374978572340</v>
      </c>
      <c r="C3997" t="s">
        <v>40</v>
      </c>
      <c r="D3997">
        <v>4.4635530000000001</v>
      </c>
      <c r="E3997">
        <v>0.49733369999999999</v>
      </c>
      <c r="F3997" t="s">
        <v>43</v>
      </c>
      <c r="G3997">
        <v>-351.71800000000002</v>
      </c>
      <c r="H3997" s="1">
        <v>-3.8732410000000001E-6</v>
      </c>
      <c r="I3997">
        <v>137.71080000000001</v>
      </c>
      <c r="J3997">
        <v>-331.5224</v>
      </c>
      <c r="K3997">
        <v>1.109529</v>
      </c>
      <c r="L3997">
        <v>140.2337</v>
      </c>
      <c r="M3997">
        <v>-0.99990349999999995</v>
      </c>
      <c r="N3997">
        <v>0</v>
      </c>
      <c r="O3997">
        <v>-9.6423310000000005E-3</v>
      </c>
      <c r="P3997">
        <v>-0.98704190000000003</v>
      </c>
      <c r="Q3997">
        <v>0.1161524</v>
      </c>
      <c r="R3997">
        <v>-0.11071259999999999</v>
      </c>
      <c r="S3997">
        <v>-3.017029</v>
      </c>
      <c r="T3997">
        <v>-0.1632526</v>
      </c>
      <c r="U3997">
        <v>-0.3716431</v>
      </c>
      <c r="V3997">
        <v>-0.1012895</v>
      </c>
      <c r="W3997">
        <v>0.1259594</v>
      </c>
      <c r="X3997">
        <v>0.98685089999999998</v>
      </c>
      <c r="Y3997">
        <v>-0.11253339999999901</v>
      </c>
      <c r="Z3997">
        <v>-2.5116029999999998E-3</v>
      </c>
      <c r="AA3997">
        <v>0.99364479999999999</v>
      </c>
      <c r="AB3997">
        <v>45</v>
      </c>
      <c r="AC3997">
        <v>-20.195599999999999</v>
      </c>
      <c r="AD3997">
        <v>-1.1095328732409999</v>
      </c>
      <c r="AE3997">
        <v>-2.5228999999999902</v>
      </c>
      <c r="AF3997">
        <v>-2.3211419836444702</v>
      </c>
      <c r="AG3997">
        <v>-1.1095328732409999</v>
      </c>
      <c r="AH3997">
        <v>20.1590771096865</v>
      </c>
      <c r="AI3997">
        <v>93.129680531513202</v>
      </c>
      <c r="AJ3997">
        <v>96.568185481137405</v>
      </c>
      <c r="AK3997">
        <v>20.322577425595501</v>
      </c>
      <c r="AL3997">
        <v>82.763836831625497</v>
      </c>
      <c r="AM3997">
        <v>95.860266535299999</v>
      </c>
      <c r="AN3997">
        <v>1.0000000160447</v>
      </c>
    </row>
    <row r="3998" spans="1:40" x14ac:dyDescent="0.25">
      <c r="A3998" t="str">
        <f>"20190312151618592"</f>
        <v>20190312151618592</v>
      </c>
      <c r="B3998" t="str">
        <f>"1552374978582100"</f>
        <v>1552374978582100</v>
      </c>
      <c r="C3998" t="s">
        <v>40</v>
      </c>
      <c r="D3998">
        <v>4.5595840000000001</v>
      </c>
      <c r="E3998">
        <v>0.49723699999999998</v>
      </c>
      <c r="F3998" t="s">
        <v>43</v>
      </c>
      <c r="G3998">
        <v>-351.315</v>
      </c>
      <c r="H3998" s="1">
        <v>-4.0339909999999901E-6</v>
      </c>
      <c r="I3998">
        <v>137.77930000000001</v>
      </c>
      <c r="J3998">
        <v>-331.87299999999999</v>
      </c>
      <c r="K3998">
        <v>1.109529</v>
      </c>
      <c r="L3998">
        <v>140.2302</v>
      </c>
      <c r="M3998">
        <v>-0.99990120000000005</v>
      </c>
      <c r="N3998">
        <v>0</v>
      </c>
      <c r="O3998">
        <v>-9.8669410000000006E-3</v>
      </c>
      <c r="P3998">
        <v>-0.986985</v>
      </c>
      <c r="Q3998">
        <v>0.1163028</v>
      </c>
      <c r="R3998">
        <v>-0.1110598</v>
      </c>
      <c r="S3998">
        <v>-3.0173649999999999</v>
      </c>
      <c r="T3998">
        <v>-0.16914770000000001</v>
      </c>
      <c r="U3998">
        <v>-0.37416080000000002</v>
      </c>
      <c r="V3998">
        <v>-0.10141500000000001</v>
      </c>
      <c r="W3998">
        <v>0.12611269999999999</v>
      </c>
      <c r="X3998">
        <v>0.98681839999999998</v>
      </c>
      <c r="Y3998">
        <v>-0.11310199999999999</v>
      </c>
      <c r="Z3998">
        <v>-2.6050769999999999E-3</v>
      </c>
      <c r="AA3998">
        <v>0.99358000000000002</v>
      </c>
      <c r="AB3998">
        <v>45</v>
      </c>
      <c r="AC3998">
        <v>-19.441999999999901</v>
      </c>
      <c r="AD3998">
        <v>-1.1095330339909999</v>
      </c>
      <c r="AE3998">
        <v>-2.4508999999999901</v>
      </c>
      <c r="AF3998">
        <v>-2.2517191908818899</v>
      </c>
      <c r="AG3998">
        <v>-1.1095330339909999</v>
      </c>
      <c r="AH3998">
        <v>19.403033216822099</v>
      </c>
      <c r="AI3998">
        <v>93.251036779046302</v>
      </c>
      <c r="AJ3998">
        <v>96.619556435012299</v>
      </c>
      <c r="AK3998">
        <v>19.564738712316299</v>
      </c>
      <c r="AL3998">
        <v>82.754982557116094</v>
      </c>
      <c r="AM3998">
        <v>95.867668803647405</v>
      </c>
      <c r="AN3998">
        <v>0.99999998495242404</v>
      </c>
    </row>
    <row r="3999" spans="1:40" x14ac:dyDescent="0.25">
      <c r="A3999" t="str">
        <f>"20190312151618607"</f>
        <v>20190312151618607</v>
      </c>
      <c r="B3999" t="str">
        <f>"1552374978601619"</f>
        <v>1552374978601619</v>
      </c>
      <c r="C3999" t="s">
        <v>40</v>
      </c>
      <c r="D3999">
        <v>4.729635</v>
      </c>
      <c r="E3999">
        <v>0.49712580000000001</v>
      </c>
      <c r="F3999" t="s">
        <v>43</v>
      </c>
      <c r="G3999">
        <v>-351.39830000000001</v>
      </c>
      <c r="H3999" s="1">
        <v>-3.9954580000000002E-6</v>
      </c>
      <c r="I3999">
        <v>137.79499999999999</v>
      </c>
      <c r="J3999">
        <v>-332.16629999999998</v>
      </c>
      <c r="K3999">
        <v>1.1095299999999999</v>
      </c>
      <c r="L3999">
        <v>140.22710000000001</v>
      </c>
      <c r="M3999">
        <v>-0.99989930000000005</v>
      </c>
      <c r="N3999">
        <v>0</v>
      </c>
      <c r="O3999">
        <v>-1.005471E-2</v>
      </c>
      <c r="P3999">
        <v>-0.98695449999999996</v>
      </c>
      <c r="Q3999">
        <v>0.1163173</v>
      </c>
      <c r="R3999">
        <v>-0.11131679999999999</v>
      </c>
      <c r="S3999">
        <v>-3.0174560000000001</v>
      </c>
      <c r="T3999">
        <v>-0.17146829999999999</v>
      </c>
      <c r="U3999">
        <v>-0.37632749999999998</v>
      </c>
      <c r="V3999">
        <v>-0.1014868</v>
      </c>
      <c r="W3999">
        <v>0.12612970000000001</v>
      </c>
      <c r="X3999">
        <v>0.98680880000000004</v>
      </c>
      <c r="Y3999">
        <v>-0.1136094</v>
      </c>
      <c r="Z3999">
        <v>-2.6442969999999999E-3</v>
      </c>
      <c r="AA3999">
        <v>0.99352200000000002</v>
      </c>
      <c r="AB3999">
        <v>45</v>
      </c>
      <c r="AC3999">
        <v>-19.231999999999999</v>
      </c>
      <c r="AD3999">
        <v>-1.1095339954579999</v>
      </c>
      <c r="AE3999">
        <v>-2.4321000000000201</v>
      </c>
      <c r="AF3999">
        <v>-2.2312855078294902</v>
      </c>
      <c r="AG3999">
        <v>-1.1095339954579999</v>
      </c>
      <c r="AH3999">
        <v>19.1926083230858</v>
      </c>
      <c r="AI3999">
        <v>93.2865277303586</v>
      </c>
      <c r="AJ3999">
        <v>96.631297733391804</v>
      </c>
      <c r="AK3999">
        <v>19.3537054578163</v>
      </c>
      <c r="AL3999">
        <v>82.754000359372995</v>
      </c>
      <c r="AM3999">
        <v>95.8718507160646</v>
      </c>
      <c r="AN3999">
        <v>0.99999993977688295</v>
      </c>
    </row>
    <row r="4000" spans="1:40" x14ac:dyDescent="0.25">
      <c r="A4000" t="str">
        <f>"20190312151618619"</f>
        <v>20190312151618619</v>
      </c>
      <c r="B4000" t="str">
        <f>"1552374978612356"</f>
        <v>1552374978612356</v>
      </c>
      <c r="C4000" t="s">
        <v>40</v>
      </c>
      <c r="D4000">
        <v>4.5264170000000004</v>
      </c>
      <c r="E4000">
        <v>0.47135569999999999</v>
      </c>
      <c r="F4000" t="s">
        <v>43</v>
      </c>
      <c r="G4000">
        <v>-351.42540000000002</v>
      </c>
      <c r="H4000" s="1">
        <v>-3.9806590000000002E-6</v>
      </c>
      <c r="I4000">
        <v>137.81309999999999</v>
      </c>
      <c r="J4000">
        <v>-332.40539999999999</v>
      </c>
      <c r="K4000">
        <v>1.109529</v>
      </c>
      <c r="L4000">
        <v>140.22460000000001</v>
      </c>
      <c r="M4000">
        <v>-0.99989779999999995</v>
      </c>
      <c r="N4000">
        <v>0</v>
      </c>
      <c r="O4000">
        <v>-1.0207910000000001E-2</v>
      </c>
      <c r="P4000">
        <v>-0.98693019999999998</v>
      </c>
      <c r="Q4000">
        <v>0.11635239999999999</v>
      </c>
      <c r="R4000">
        <v>-0.11149539999999999</v>
      </c>
      <c r="S4000">
        <v>-3.017487</v>
      </c>
      <c r="T4000">
        <v>-0.173840299999999</v>
      </c>
      <c r="U4000">
        <v>-0.37821959999999999</v>
      </c>
      <c r="V4000">
        <v>-0.10151499999999999</v>
      </c>
      <c r="W4000">
        <v>0.1261671</v>
      </c>
      <c r="X4000">
        <v>0.98680120000000004</v>
      </c>
      <c r="Y4000">
        <v>-0.11406429999999999</v>
      </c>
      <c r="Z4000">
        <v>-2.6849489999999998E-3</v>
      </c>
      <c r="AA4000">
        <v>0.99346970000000001</v>
      </c>
      <c r="AB4000">
        <v>45</v>
      </c>
      <c r="AC4000">
        <v>-19.02</v>
      </c>
      <c r="AD4000">
        <v>-1.109532980659</v>
      </c>
      <c r="AE4000">
        <v>-2.41150000000001</v>
      </c>
      <c r="AF4000">
        <v>-2.2098092028635401</v>
      </c>
      <c r="AG4000">
        <v>-1.109532980659</v>
      </c>
      <c r="AH4000">
        <v>18.9800596069311</v>
      </c>
      <c r="AI4000">
        <v>93.3231820802839</v>
      </c>
      <c r="AJ4000">
        <v>96.640930204275904</v>
      </c>
      <c r="AK4000">
        <v>19.140454091553998</v>
      </c>
      <c r="AL4000">
        <v>82.751840827753</v>
      </c>
      <c r="AM4000">
        <v>95.873515833478805</v>
      </c>
      <c r="AN4000">
        <v>1.0000000203344199</v>
      </c>
    </row>
    <row r="4001" spans="1:40" x14ac:dyDescent="0.25">
      <c r="A4001" t="str">
        <f>"20190312151618632"</f>
        <v>20190312151618632</v>
      </c>
      <c r="B4001" t="str">
        <f>"1552374978622116"</f>
        <v>1552374978622116</v>
      </c>
      <c r="C4001" t="s">
        <v>40</v>
      </c>
      <c r="D4001">
        <v>4.5129910000000004</v>
      </c>
      <c r="E4001">
        <v>0.4689429</v>
      </c>
      <c r="F4001" t="s">
        <v>43</v>
      </c>
      <c r="G4001">
        <v>-345.70839999999998</v>
      </c>
      <c r="H4001" s="1">
        <v>-2.1761589999999999E-6</v>
      </c>
      <c r="I4001">
        <v>137.6276</v>
      </c>
      <c r="J4001">
        <v>-332.66910000000001</v>
      </c>
      <c r="K4001">
        <v>1.1095269999999999</v>
      </c>
      <c r="L4001">
        <v>140.2218</v>
      </c>
      <c r="M4001">
        <v>-0.99989600000000001</v>
      </c>
      <c r="N4001">
        <v>0</v>
      </c>
      <c r="O4001">
        <v>-1.0376369999999999E-2</v>
      </c>
      <c r="P4001">
        <v>-0.98694119999999996</v>
      </c>
      <c r="Q4001">
        <v>0.11599420000000001</v>
      </c>
      <c r="R4001">
        <v>-0.11177089999999899</v>
      </c>
      <c r="S4001">
        <v>-3.0029910000000002</v>
      </c>
      <c r="T4001">
        <v>-0.25046459999999998</v>
      </c>
      <c r="U4001">
        <v>-0.58624270000000001</v>
      </c>
      <c r="V4001">
        <v>-0.10162359999999999</v>
      </c>
      <c r="W4001">
        <v>0.1258119</v>
      </c>
      <c r="X4001">
        <v>0.98683540000000003</v>
      </c>
      <c r="Y4001">
        <v>-0.1808379</v>
      </c>
      <c r="Z4001">
        <v>-6.602569E-3</v>
      </c>
      <c r="AA4001">
        <v>0.9834908</v>
      </c>
      <c r="AB4001">
        <v>45</v>
      </c>
      <c r="AC4001">
        <v>-13.0392999999999</v>
      </c>
      <c r="AD4001">
        <v>-1.109529176159</v>
      </c>
      <c r="AE4001">
        <v>-2.5941999999999998</v>
      </c>
      <c r="AF4001">
        <v>-2.4417466016953</v>
      </c>
      <c r="AG4001">
        <v>-1.109529176159</v>
      </c>
      <c r="AH4001">
        <v>12.975148057532</v>
      </c>
      <c r="AI4001">
        <v>94.803665457609696</v>
      </c>
      <c r="AJ4001">
        <v>100.657643558679</v>
      </c>
      <c r="AK4001">
        <v>13.249439556996901</v>
      </c>
      <c r="AL4001">
        <v>82.772355964509899</v>
      </c>
      <c r="AM4001">
        <v>95.8795529365904</v>
      </c>
      <c r="AN4001">
        <v>1.00000004847586</v>
      </c>
    </row>
    <row r="4002" spans="1:40" x14ac:dyDescent="0.25">
      <c r="A4002" t="str">
        <f>"20190312151618649"</f>
        <v>20190312151618649</v>
      </c>
      <c r="B4002" t="str">
        <f>"1552374978641639"</f>
        <v>1552374978641639</v>
      </c>
      <c r="C4002" t="s">
        <v>40</v>
      </c>
      <c r="D4002">
        <v>4.4561140000000004</v>
      </c>
      <c r="E4002">
        <v>0.46577849999999998</v>
      </c>
      <c r="F4002" t="s">
        <v>43</v>
      </c>
      <c r="G4002">
        <v>-345.81259999999997</v>
      </c>
      <c r="H4002" s="1">
        <v>-2.1424009999999998E-6</v>
      </c>
      <c r="I4002">
        <v>137.5658</v>
      </c>
      <c r="J4002">
        <v>-332.99340000000001</v>
      </c>
      <c r="K4002">
        <v>1.109515</v>
      </c>
      <c r="L4002">
        <v>140.2183</v>
      </c>
      <c r="M4002">
        <v>-0.99989380000000005</v>
      </c>
      <c r="N4002">
        <v>0</v>
      </c>
      <c r="O4002">
        <v>-1.058417E-2</v>
      </c>
      <c r="P4002">
        <v>-0.98688659999999995</v>
      </c>
      <c r="Q4002">
        <v>0.115679</v>
      </c>
      <c r="R4002">
        <v>-0.1125752</v>
      </c>
      <c r="S4002">
        <v>-3.0008240000000002</v>
      </c>
      <c r="T4002">
        <v>-0.25331900000000002</v>
      </c>
      <c r="U4002">
        <v>-0.60638429999999999</v>
      </c>
      <c r="V4002">
        <v>-0.10222290000000001</v>
      </c>
      <c r="W4002">
        <v>0.12549869999999999</v>
      </c>
      <c r="X4002">
        <v>0.9868133</v>
      </c>
      <c r="Y4002">
        <v>-0.1870802</v>
      </c>
      <c r="Z4002">
        <v>-6.921043E-3</v>
      </c>
      <c r="AA4002">
        <v>0.98232019999999998</v>
      </c>
      <c r="AB4002">
        <v>45</v>
      </c>
      <c r="AC4002">
        <v>-12.819199999999899</v>
      </c>
      <c r="AD4002">
        <v>-1.109517142401</v>
      </c>
      <c r="AE4002">
        <v>-2.6524999999999999</v>
      </c>
      <c r="AF4002">
        <v>-2.4987143637990101</v>
      </c>
      <c r="AG4002">
        <v>-1.109517142401</v>
      </c>
      <c r="AH4002">
        <v>12.7549320839345</v>
      </c>
      <c r="AI4002">
        <v>94.8792071401584</v>
      </c>
      <c r="AJ4002">
        <v>101.08397804615301</v>
      </c>
      <c r="AK4002">
        <v>13.0446500231673</v>
      </c>
      <c r="AL4002">
        <v>82.790443780882399</v>
      </c>
      <c r="AM4002">
        <v>95.914112613095597</v>
      </c>
      <c r="AN4002">
        <v>0.99999996702149396</v>
      </c>
    </row>
    <row r="4003" spans="1:40" x14ac:dyDescent="0.25">
      <c r="A4003" t="str">
        <f>"20190312151618663"</f>
        <v>20190312151618663</v>
      </c>
      <c r="B4003" t="str">
        <f>"1552374978652372"</f>
        <v>1552374978652372</v>
      </c>
      <c r="C4003" t="s">
        <v>40</v>
      </c>
      <c r="D4003">
        <v>4.4894160000000003</v>
      </c>
      <c r="E4003">
        <v>0.46551120000000001</v>
      </c>
      <c r="F4003" t="s">
        <v>43</v>
      </c>
      <c r="G4003">
        <v>-344.6345</v>
      </c>
      <c r="H4003" s="1">
        <v>-2.61465E-6</v>
      </c>
      <c r="I4003">
        <v>137.75290000000001</v>
      </c>
      <c r="J4003">
        <v>-333.26369999999997</v>
      </c>
      <c r="K4003">
        <v>1.1095139999999999</v>
      </c>
      <c r="L4003">
        <v>140.21539999999999</v>
      </c>
      <c r="M4003">
        <v>-0.999892</v>
      </c>
      <c r="N4003">
        <v>0</v>
      </c>
      <c r="O4003">
        <v>-1.075715E-2</v>
      </c>
      <c r="P4003">
        <v>-0.98689680000000002</v>
      </c>
      <c r="Q4003">
        <v>0.1153657</v>
      </c>
      <c r="R4003">
        <v>-0.1128093</v>
      </c>
      <c r="S4003">
        <v>-3.0008539999999999</v>
      </c>
      <c r="T4003">
        <v>-0.28601539999999998</v>
      </c>
      <c r="U4003">
        <v>-0.6355286</v>
      </c>
      <c r="V4003">
        <v>-0.1022853</v>
      </c>
      <c r="W4003">
        <v>0.12518879999999999</v>
      </c>
      <c r="X4003">
        <v>0.98684620000000001</v>
      </c>
      <c r="Y4003">
        <v>-0.19584850000000001</v>
      </c>
      <c r="Z4003">
        <v>-8.1991559999999904E-3</v>
      </c>
      <c r="AA4003">
        <v>0.98059989999999997</v>
      </c>
      <c r="AB4003">
        <v>45</v>
      </c>
      <c r="AC4003">
        <v>-11.370799999999999</v>
      </c>
      <c r="AD4003">
        <v>-1.10951661465</v>
      </c>
      <c r="AE4003">
        <v>-2.4624999999999702</v>
      </c>
      <c r="AF4003">
        <v>-2.3189442526614301</v>
      </c>
      <c r="AG4003">
        <v>-1.10951661465</v>
      </c>
      <c r="AH4003">
        <v>11.293919884945501</v>
      </c>
      <c r="AI4003">
        <v>95.496793910262696</v>
      </c>
      <c r="AJ4003">
        <v>101.603093317502</v>
      </c>
      <c r="AK4003">
        <v>11.5827956872555</v>
      </c>
      <c r="AL4003">
        <v>82.808340915513995</v>
      </c>
      <c r="AM4003">
        <v>95.917501270229096</v>
      </c>
      <c r="AN4003">
        <v>0.99999997034798405</v>
      </c>
    </row>
    <row r="4004" spans="1:40" x14ac:dyDescent="0.25">
      <c r="A4004" t="str">
        <f>"20190312151618682"</f>
        <v>20190312151618682</v>
      </c>
      <c r="B4004" t="str">
        <f>"1552374978671892"</f>
        <v>1552374978671892</v>
      </c>
      <c r="C4004" t="s">
        <v>40</v>
      </c>
      <c r="D4004">
        <v>4.4230869999999998</v>
      </c>
      <c r="E4004">
        <v>0.46414830000000001</v>
      </c>
      <c r="F4004" t="s">
        <v>43</v>
      </c>
      <c r="G4004">
        <v>-344.86770000000001</v>
      </c>
      <c r="H4004" s="1">
        <v>-2.5157100000000002E-6</v>
      </c>
      <c r="I4004">
        <v>137.7466</v>
      </c>
      <c r="J4004">
        <v>-333.66500000000002</v>
      </c>
      <c r="K4004">
        <v>1.1095200000000001</v>
      </c>
      <c r="L4004">
        <v>140.21080000000001</v>
      </c>
      <c r="M4004">
        <v>-0.99988909999999998</v>
      </c>
      <c r="N4004">
        <v>0</v>
      </c>
      <c r="O4004">
        <v>-1.101419E-2</v>
      </c>
      <c r="P4004">
        <v>-0.98688629999999999</v>
      </c>
      <c r="Q4004">
        <v>0.1150326</v>
      </c>
      <c r="R4004">
        <v>-0.1132396</v>
      </c>
      <c r="S4004">
        <v>-3.000397</v>
      </c>
      <c r="T4004">
        <v>-0.28688469999999999</v>
      </c>
      <c r="U4004">
        <v>-0.63830569999999998</v>
      </c>
      <c r="V4004">
        <v>-0.10246230000000001</v>
      </c>
      <c r="W4004">
        <v>0.1248595</v>
      </c>
      <c r="X4004">
        <v>0.98686960000000001</v>
      </c>
      <c r="Y4004">
        <v>-0.19648860000000001</v>
      </c>
      <c r="Z4004">
        <v>-8.2303710000000002E-3</v>
      </c>
      <c r="AA4004">
        <v>0.9804716</v>
      </c>
      <c r="AB4004">
        <v>45</v>
      </c>
      <c r="AC4004">
        <v>-11.202699999999901</v>
      </c>
      <c r="AD4004">
        <v>-1.1095225157099999</v>
      </c>
      <c r="AE4004">
        <v>-2.4641999999999999</v>
      </c>
      <c r="AF4004">
        <v>-2.3189586686813</v>
      </c>
      <c r="AG4004">
        <v>-1.1095225157099999</v>
      </c>
      <c r="AH4004">
        <v>11.1250729088166</v>
      </c>
      <c r="AI4004">
        <v>95.576298266575506</v>
      </c>
      <c r="AJ4004">
        <v>101.774385374061</v>
      </c>
      <c r="AK4004">
        <v>11.4182247633511</v>
      </c>
      <c r="AL4004">
        <v>82.827357931383304</v>
      </c>
      <c r="AM4004">
        <v>95.927528831494399</v>
      </c>
      <c r="AN4004">
        <v>1.0000000125328501</v>
      </c>
    </row>
    <row r="4005" spans="1:40" x14ac:dyDescent="0.25">
      <c r="A4005" t="str">
        <f>"20190312151618706"</f>
        <v>20190312151618706</v>
      </c>
      <c r="B4005" t="str">
        <f>"1552374978702147"</f>
        <v>1552374978702147</v>
      </c>
      <c r="C4005" t="s">
        <v>40</v>
      </c>
      <c r="D4005">
        <v>4.4695900000000002</v>
      </c>
      <c r="E4005">
        <v>0.46365299999999998</v>
      </c>
      <c r="F4005" t="s">
        <v>43</v>
      </c>
      <c r="G4005">
        <v>-345.07369999999997</v>
      </c>
      <c r="H4005" s="1">
        <v>-2.4291850000000002E-6</v>
      </c>
      <c r="I4005">
        <v>137.73609999999999</v>
      </c>
      <c r="J4005">
        <v>-334.1293</v>
      </c>
      <c r="K4005">
        <v>1.109523</v>
      </c>
      <c r="L4005">
        <v>140.2055</v>
      </c>
      <c r="M4005">
        <v>-0.99988569999999999</v>
      </c>
      <c r="N4005">
        <v>0</v>
      </c>
      <c r="O4005">
        <v>-1.1311170000000001E-2</v>
      </c>
      <c r="P4005">
        <v>-0.98681949999999996</v>
      </c>
      <c r="Q4005">
        <v>0.114968</v>
      </c>
      <c r="R4005">
        <v>-0.11388479999999999</v>
      </c>
      <c r="S4005">
        <v>-2.9992369999999999</v>
      </c>
      <c r="T4005">
        <v>-0.29168270000000002</v>
      </c>
      <c r="U4005">
        <v>-0.65057369999999903</v>
      </c>
      <c r="V4005">
        <v>-0.10281460000000001</v>
      </c>
      <c r="W4005">
        <v>0.12479850000000001</v>
      </c>
      <c r="X4005">
        <v>0.98684070000000002</v>
      </c>
      <c r="Y4005">
        <v>-0.20006499999999999</v>
      </c>
      <c r="Z4005">
        <v>-8.5100790000000003E-3</v>
      </c>
      <c r="AA4005">
        <v>0.97974570000000005</v>
      </c>
      <c r="AB4005">
        <v>45</v>
      </c>
      <c r="AC4005">
        <v>-10.9443999999999</v>
      </c>
      <c r="AD4005">
        <v>-1.1095254291850001</v>
      </c>
      <c r="AE4005">
        <v>-2.4693999999999998</v>
      </c>
      <c r="AF4005">
        <v>-2.3227262565559701</v>
      </c>
      <c r="AG4005">
        <v>-1.1095254291850001</v>
      </c>
      <c r="AH4005">
        <v>10.865372962356799</v>
      </c>
      <c r="AI4005">
        <v>95.702621192047005</v>
      </c>
      <c r="AJ4005">
        <v>102.066681992727</v>
      </c>
      <c r="AK4005">
        <v>11.166128852562</v>
      </c>
      <c r="AL4005">
        <v>82.830880705715103</v>
      </c>
      <c r="AM4005">
        <v>95.947936756928797</v>
      </c>
      <c r="AN4005">
        <v>1.0000000373759399</v>
      </c>
    </row>
    <row r="4006" spans="1:40" x14ac:dyDescent="0.25">
      <c r="A4006" t="str">
        <f>"20190312151618728"</f>
        <v>20190312151618728</v>
      </c>
      <c r="B4006" t="str">
        <f>"1552374978721668"</f>
        <v>1552374978721668</v>
      </c>
      <c r="C4006" t="s">
        <v>40</v>
      </c>
      <c r="D4006">
        <v>4.4750059999999996</v>
      </c>
      <c r="E4006">
        <v>0.46278259999999999</v>
      </c>
      <c r="F4006" t="s">
        <v>43</v>
      </c>
      <c r="G4006">
        <v>-345.28460000000001</v>
      </c>
      <c r="H4006" s="1">
        <v>-2.3337440000000001E-6</v>
      </c>
      <c r="I4006">
        <v>137.76410000000001</v>
      </c>
      <c r="J4006">
        <v>-334.58659999999998</v>
      </c>
      <c r="K4006">
        <v>1.1095200000000001</v>
      </c>
      <c r="L4006">
        <v>140.20009999999999</v>
      </c>
      <c r="M4006">
        <v>-0.9998823</v>
      </c>
      <c r="N4006">
        <v>0</v>
      </c>
      <c r="O4006">
        <v>-1.1604089999999999E-2</v>
      </c>
      <c r="P4006">
        <v>-0.98680089999999998</v>
      </c>
      <c r="Q4006">
        <v>0.1147072</v>
      </c>
      <c r="R4006">
        <v>-0.11430849999999999</v>
      </c>
      <c r="S4006">
        <v>-2.9990839999999999</v>
      </c>
      <c r="T4006">
        <v>-0.29829440000000002</v>
      </c>
      <c r="U4006">
        <v>-0.65634159999999997</v>
      </c>
      <c r="V4006">
        <v>-0.1029492</v>
      </c>
      <c r="W4006">
        <v>0.1245426</v>
      </c>
      <c r="X4006">
        <v>0.98685900000000004</v>
      </c>
      <c r="Y4006">
        <v>-0.2015429</v>
      </c>
      <c r="Z4006">
        <v>-8.7445179999999997E-3</v>
      </c>
      <c r="AA4006">
        <v>0.97944059999999999</v>
      </c>
      <c r="AB4006">
        <v>45</v>
      </c>
      <c r="AC4006">
        <v>-10.698</v>
      </c>
      <c r="AD4006">
        <v>-1.1095223337440001</v>
      </c>
      <c r="AE4006">
        <v>-2.4359999999999702</v>
      </c>
      <c r="AF4006">
        <v>-2.2882887277926298</v>
      </c>
      <c r="AG4006">
        <v>-1.1095223337440001</v>
      </c>
      <c r="AH4006">
        <v>10.6169775884225</v>
      </c>
      <c r="AI4006">
        <v>95.833023806662098</v>
      </c>
      <c r="AJ4006">
        <v>102.16296164059401</v>
      </c>
      <c r="AK4006">
        <v>10.917303615082099</v>
      </c>
      <c r="AL4006">
        <v>82.845658013873106</v>
      </c>
      <c r="AM4006">
        <v>95.955557935343094</v>
      </c>
      <c r="AN4006">
        <v>1.00000004143819</v>
      </c>
    </row>
    <row r="4007" spans="1:40" x14ac:dyDescent="0.25">
      <c r="A4007" t="str">
        <f>"20190312151618749"</f>
        <v>20190312151618749</v>
      </c>
      <c r="B4007" t="str">
        <f>"1552374978742164"</f>
        <v>1552374978742164</v>
      </c>
      <c r="C4007" t="s">
        <v>40</v>
      </c>
      <c r="D4007">
        <v>4.4341839999999904</v>
      </c>
      <c r="E4007">
        <v>0.46247969999999999</v>
      </c>
      <c r="F4007" t="s">
        <v>43</v>
      </c>
      <c r="G4007">
        <v>-345.3442</v>
      </c>
      <c r="H4007" s="1">
        <v>-2.2992229999999999E-6</v>
      </c>
      <c r="I4007">
        <v>137.81460000000001</v>
      </c>
      <c r="J4007">
        <v>-335.0147</v>
      </c>
      <c r="K4007">
        <v>1.1095189999999999</v>
      </c>
      <c r="L4007">
        <v>140.19499999999999</v>
      </c>
      <c r="M4007">
        <v>-0.99987910000000002</v>
      </c>
      <c r="N4007">
        <v>0</v>
      </c>
      <c r="O4007">
        <v>-1.1878069999999999E-2</v>
      </c>
      <c r="P4007">
        <v>-0.98678239999999995</v>
      </c>
      <c r="Q4007">
        <v>0.1145167</v>
      </c>
      <c r="R4007">
        <v>-0.11465939999999999</v>
      </c>
      <c r="S4007">
        <v>-2.9990540000000001</v>
      </c>
      <c r="T4007">
        <v>-0.3093185</v>
      </c>
      <c r="U4007">
        <v>-0.66502380000000005</v>
      </c>
      <c r="V4007">
        <v>-0.1030297</v>
      </c>
      <c r="W4007">
        <v>0.124359</v>
      </c>
      <c r="X4007">
        <v>0.98687369999999996</v>
      </c>
      <c r="Y4007">
        <v>-0.20390340000000001</v>
      </c>
      <c r="Z4007">
        <v>-9.1555270000000001E-3</v>
      </c>
      <c r="AA4007">
        <v>0.97894820000000005</v>
      </c>
      <c r="AB4007">
        <v>45</v>
      </c>
      <c r="AC4007">
        <v>-10.3294999999999</v>
      </c>
      <c r="AD4007">
        <v>-1.1095212992229999</v>
      </c>
      <c r="AE4007">
        <v>-2.3803999999999799</v>
      </c>
      <c r="AF4007">
        <v>-2.2330665118183801</v>
      </c>
      <c r="AG4007">
        <v>-1.1095212992229999</v>
      </c>
      <c r="AH4007">
        <v>10.244808001086</v>
      </c>
      <c r="AI4007">
        <v>96.040348409874099</v>
      </c>
      <c r="AJ4007">
        <v>102.29646098946399</v>
      </c>
      <c r="AK4007">
        <v>10.543894657039701</v>
      </c>
      <c r="AL4007">
        <v>82.856259569872293</v>
      </c>
      <c r="AM4007">
        <v>95.9600931680652</v>
      </c>
      <c r="AN4007">
        <v>0.99999998985738903</v>
      </c>
    </row>
    <row r="4008" spans="1:40" x14ac:dyDescent="0.25">
      <c r="A4008" t="str">
        <f>"20190312151618764"</f>
        <v>20190312151618764</v>
      </c>
      <c r="B4008" t="str">
        <f>"1552374978751924"</f>
        <v>1552374978751924</v>
      </c>
      <c r="C4008" t="s">
        <v>40</v>
      </c>
      <c r="D4008">
        <v>4.4669089999999896</v>
      </c>
      <c r="E4008">
        <v>0.46263369999999998</v>
      </c>
      <c r="F4008" t="s">
        <v>43</v>
      </c>
      <c r="G4008">
        <v>-345.6936</v>
      </c>
      <c r="H4008" s="1">
        <v>-2.1492370000000001E-6</v>
      </c>
      <c r="I4008">
        <v>137.8151</v>
      </c>
      <c r="J4008">
        <v>-335.31169999999997</v>
      </c>
      <c r="K4008">
        <v>1.1095219999999999</v>
      </c>
      <c r="L4008">
        <v>140.19130000000001</v>
      </c>
      <c r="M4008">
        <v>-0.9998766</v>
      </c>
      <c r="N4008">
        <v>0</v>
      </c>
      <c r="O4008">
        <v>-1.206789E-2</v>
      </c>
      <c r="P4008">
        <v>-0.98675670000000004</v>
      </c>
      <c r="Q4008">
        <v>0.1143213</v>
      </c>
      <c r="R4008">
        <v>-0.1150732</v>
      </c>
      <c r="S4008">
        <v>-2.998688</v>
      </c>
      <c r="T4008">
        <v>-0.31156109999999998</v>
      </c>
      <c r="U4008">
        <v>-0.66825869999999998</v>
      </c>
      <c r="V4008">
        <v>-0.10325620000000001</v>
      </c>
      <c r="W4008">
        <v>0.124170699999999</v>
      </c>
      <c r="X4008">
        <v>0.98687369999999996</v>
      </c>
      <c r="Y4008">
        <v>-0.20473179999999999</v>
      </c>
      <c r="Z4008">
        <v>-9.2445849999999996E-3</v>
      </c>
      <c r="AA4008">
        <v>0.97877440000000004</v>
      </c>
      <c r="AB4008">
        <v>45</v>
      </c>
      <c r="AC4008">
        <v>-10.3819</v>
      </c>
      <c r="AD4008">
        <v>-1.1095241492369901</v>
      </c>
      <c r="AE4008">
        <v>-2.3762000000000101</v>
      </c>
      <c r="AF4008">
        <v>-2.2265683101575302</v>
      </c>
      <c r="AG4008">
        <v>-1.1095241492369901</v>
      </c>
      <c r="AH4008">
        <v>10.2980575262351</v>
      </c>
      <c r="AI4008">
        <v>96.011533960000605</v>
      </c>
      <c r="AJ4008">
        <v>102.200262906812</v>
      </c>
      <c r="AK4008">
        <v>10.5942738822057</v>
      </c>
      <c r="AL4008">
        <v>82.867132374862507</v>
      </c>
      <c r="AM4008">
        <v>95.973101183176894</v>
      </c>
      <c r="AN4008">
        <v>0.99999995266430797</v>
      </c>
    </row>
    <row r="4009" spans="1:40" x14ac:dyDescent="0.25">
      <c r="A4009" t="str">
        <f>"20190312151618777"</f>
        <v>20190312151618777</v>
      </c>
      <c r="B4009" t="str">
        <f>"1552374978771444"</f>
        <v>1552374978771444</v>
      </c>
      <c r="C4009" t="s">
        <v>40</v>
      </c>
      <c r="D4009">
        <v>4.4258579999999998</v>
      </c>
      <c r="E4009">
        <v>0.46241779999999999</v>
      </c>
      <c r="F4009" t="s">
        <v>43</v>
      </c>
      <c r="G4009">
        <v>-345.96039999999999</v>
      </c>
      <c r="H4009" s="1">
        <v>-2.0341090000000002E-6</v>
      </c>
      <c r="I4009">
        <v>137.81890000000001</v>
      </c>
      <c r="J4009">
        <v>-335.55869999999999</v>
      </c>
      <c r="K4009">
        <v>1.1095200000000001</v>
      </c>
      <c r="L4009">
        <v>140.18819999999999</v>
      </c>
      <c r="M4009">
        <v>-0.99987479999999995</v>
      </c>
      <c r="N4009">
        <v>0</v>
      </c>
      <c r="O4009">
        <v>-1.2226000000000001E-2</v>
      </c>
      <c r="P4009">
        <v>-0.98671710000000001</v>
      </c>
      <c r="Q4009">
        <v>0.11445379999999999</v>
      </c>
      <c r="R4009">
        <v>-0.1152832</v>
      </c>
      <c r="S4009">
        <v>-2.9985659999999998</v>
      </c>
      <c r="T4009">
        <v>-0.31243090000000001</v>
      </c>
      <c r="U4009">
        <v>-0.66802980000000001</v>
      </c>
      <c r="V4009">
        <v>-0.1033104</v>
      </c>
      <c r="W4009">
        <v>0.1243093</v>
      </c>
      <c r="X4009">
        <v>0.98685060000000002</v>
      </c>
      <c r="Y4009">
        <v>-0.20451069999999999</v>
      </c>
      <c r="Z4009">
        <v>-9.2431309999999999E-3</v>
      </c>
      <c r="AA4009">
        <v>0.97882069999999999</v>
      </c>
      <c r="AB4009">
        <v>45</v>
      </c>
      <c r="AC4009">
        <v>-10.4017</v>
      </c>
      <c r="AD4009">
        <v>-1.109522034109</v>
      </c>
      <c r="AE4009">
        <v>-2.36929999999998</v>
      </c>
      <c r="AF4009">
        <v>-2.2179543148554401</v>
      </c>
      <c r="AG4009">
        <v>-1.109522034109</v>
      </c>
      <c r="AH4009">
        <v>10.3182810928758</v>
      </c>
      <c r="AI4009">
        <v>96.0013706796463</v>
      </c>
      <c r="AJ4009">
        <v>102.131353138118</v>
      </c>
      <c r="AK4009">
        <v>10.6121291548189</v>
      </c>
      <c r="AL4009">
        <v>82.859129323676001</v>
      </c>
      <c r="AM4009">
        <v>95.976352703898996</v>
      </c>
      <c r="AN4009">
        <v>0.99999997376750405</v>
      </c>
    </row>
    <row r="4010" spans="1:40" x14ac:dyDescent="0.25">
      <c r="A4010" t="str">
        <f>"20190312151618789"</f>
        <v>20190312151618789</v>
      </c>
      <c r="B4010" t="str">
        <f>"1552374978782180"</f>
        <v>1552374978782180</v>
      </c>
      <c r="C4010" t="s">
        <v>40</v>
      </c>
      <c r="D4010">
        <v>4.4265730000000003</v>
      </c>
      <c r="E4010">
        <v>0.46225690000000003</v>
      </c>
      <c r="F4010" t="s">
        <v>43</v>
      </c>
      <c r="G4010">
        <v>-346.238</v>
      </c>
      <c r="H4010" s="1">
        <v>-1.9182239999999999E-6</v>
      </c>
      <c r="I4010">
        <v>137.80080000000001</v>
      </c>
      <c r="J4010">
        <v>-335.8177</v>
      </c>
      <c r="K4010">
        <v>1.1095200000000001</v>
      </c>
      <c r="L4010">
        <v>140.185</v>
      </c>
      <c r="M4010">
        <v>-0.99987250000000005</v>
      </c>
      <c r="N4010">
        <v>0</v>
      </c>
      <c r="O4010">
        <v>-1.239138E-2</v>
      </c>
      <c r="P4010">
        <v>-0.98670460000000004</v>
      </c>
      <c r="Q4010">
        <v>0.1140712</v>
      </c>
      <c r="R4010">
        <v>-0.1157677</v>
      </c>
      <c r="S4010">
        <v>-2.9981990000000001</v>
      </c>
      <c r="T4010">
        <v>-0.31149729999999998</v>
      </c>
      <c r="U4010">
        <v>-0.67024229999999996</v>
      </c>
      <c r="V4010">
        <v>-0.103631</v>
      </c>
      <c r="W4010">
        <v>0.1239336</v>
      </c>
      <c r="X4010">
        <v>0.98686430000000003</v>
      </c>
      <c r="Y4010">
        <v>-0.2050661</v>
      </c>
      <c r="Z4010">
        <v>-9.2275299999999994E-3</v>
      </c>
      <c r="AA4010">
        <v>0.97870460000000004</v>
      </c>
      <c r="AB4010">
        <v>45</v>
      </c>
      <c r="AC4010">
        <v>-10.420299999999999</v>
      </c>
      <c r="AD4010">
        <v>-1.1095219182239999</v>
      </c>
      <c r="AE4010">
        <v>-2.3841999999999901</v>
      </c>
      <c r="AF4010">
        <v>-2.2308547100318199</v>
      </c>
      <c r="AG4010">
        <v>-1.1095219182239999</v>
      </c>
      <c r="AH4010">
        <v>10.3376735549038</v>
      </c>
      <c r="AI4010">
        <v>95.989160232688903</v>
      </c>
      <c r="AJ4010">
        <v>102.17760367592</v>
      </c>
      <c r="AK4010">
        <v>10.633684505008</v>
      </c>
      <c r="AL4010">
        <v>82.880823537011395</v>
      </c>
      <c r="AM4010">
        <v>95.994681471696595</v>
      </c>
      <c r="AN4010">
        <v>1.0000000339922199</v>
      </c>
    </row>
    <row r="4011" spans="1:40" x14ac:dyDescent="0.25">
      <c r="A4011" t="str">
        <f>"20190312151618805"</f>
        <v>20190312151618805</v>
      </c>
      <c r="B4011" t="str">
        <f>"1552374978801700"</f>
        <v>1552374978801700</v>
      </c>
      <c r="C4011" t="s">
        <v>40</v>
      </c>
      <c r="D4011">
        <v>4.6186360000000004</v>
      </c>
      <c r="E4011">
        <v>0.46179179999999997</v>
      </c>
      <c r="F4011" t="s">
        <v>43</v>
      </c>
      <c r="G4011">
        <v>-346.44170000000003</v>
      </c>
      <c r="H4011" s="1">
        <v>-1.8307939999999999E-6</v>
      </c>
      <c r="I4011">
        <v>137.80099999999999</v>
      </c>
      <c r="J4011">
        <v>-336.13819999999998</v>
      </c>
      <c r="K4011">
        <v>1.1095159999999999</v>
      </c>
      <c r="L4011">
        <v>140.18090000000001</v>
      </c>
      <c r="M4011">
        <v>-0.99987000000000004</v>
      </c>
      <c r="N4011">
        <v>0</v>
      </c>
      <c r="O4011">
        <v>-1.259623E-2</v>
      </c>
      <c r="P4011">
        <v>-0.98674810000000002</v>
      </c>
      <c r="Q4011">
        <v>0.11318209999999999</v>
      </c>
      <c r="R4011">
        <v>-0.11626930000000001</v>
      </c>
      <c r="S4011">
        <v>-2.9977109999999998</v>
      </c>
      <c r="T4011">
        <v>-0.31306830000000002</v>
      </c>
      <c r="U4011">
        <v>-0.67263790000000001</v>
      </c>
      <c r="V4011">
        <v>-0.1039291</v>
      </c>
      <c r="W4011">
        <v>0.123053</v>
      </c>
      <c r="X4011">
        <v>0.98694309999999996</v>
      </c>
      <c r="Y4011">
        <v>-0.20563229999999999</v>
      </c>
      <c r="Z4011">
        <v>-9.2825679999999997E-3</v>
      </c>
      <c r="AA4011">
        <v>0.97858529999999999</v>
      </c>
      <c r="AB4011">
        <v>45</v>
      </c>
      <c r="AC4011">
        <v>-10.3035</v>
      </c>
      <c r="AD4011">
        <v>-1.1095178307939999</v>
      </c>
      <c r="AE4011">
        <v>-2.3798999999999899</v>
      </c>
      <c r="AF4011">
        <v>-2.2254209338578801</v>
      </c>
      <c r="AG4011">
        <v>-1.1095178307939999</v>
      </c>
      <c r="AH4011">
        <v>10.220153854303501</v>
      </c>
      <c r="AI4011">
        <v>96.055070529524997</v>
      </c>
      <c r="AJ4011">
        <v>102.28430255755001</v>
      </c>
      <c r="AK4011">
        <v>10.5183208239403</v>
      </c>
      <c r="AL4011">
        <v>82.931667081472895</v>
      </c>
      <c r="AM4011">
        <v>96.011322897925595</v>
      </c>
      <c r="AN4011">
        <v>0.99999999063670997</v>
      </c>
    </row>
    <row r="4012" spans="1:40" x14ac:dyDescent="0.25">
      <c r="A4012" t="str">
        <f>"20190312151618820"</f>
        <v>20190312151618820</v>
      </c>
      <c r="B4012" t="str">
        <f>"1552374978812436"</f>
        <v>1552374978812436</v>
      </c>
      <c r="C4012" t="s">
        <v>40</v>
      </c>
      <c r="D4012">
        <v>4.46943</v>
      </c>
      <c r="E4012">
        <v>0.46185199999999998</v>
      </c>
      <c r="F4012" t="s">
        <v>43</v>
      </c>
      <c r="G4012">
        <v>-346.5421</v>
      </c>
      <c r="H4012" s="1">
        <v>-1.783295E-6</v>
      </c>
      <c r="I4012">
        <v>137.8262</v>
      </c>
      <c r="J4012">
        <v>-336.43439999999998</v>
      </c>
      <c r="K4012">
        <v>1.1095189999999999</v>
      </c>
      <c r="L4012">
        <v>140.17699999999999</v>
      </c>
      <c r="M4012">
        <v>-0.99986739999999996</v>
      </c>
      <c r="N4012">
        <v>0</v>
      </c>
      <c r="O4012">
        <v>-1.278523E-2</v>
      </c>
      <c r="P4012">
        <v>-0.98677360000000003</v>
      </c>
      <c r="Q4012">
        <v>0.1127601</v>
      </c>
      <c r="R4012">
        <v>-0.116463</v>
      </c>
      <c r="S4012">
        <v>-2.9970400000000001</v>
      </c>
      <c r="T4012">
        <v>-0.31962160000000001</v>
      </c>
      <c r="U4012">
        <v>-0.67829899999999999</v>
      </c>
      <c r="V4012">
        <v>-0.1039354</v>
      </c>
      <c r="W4012">
        <v>0.12264079999999999</v>
      </c>
      <c r="X4012">
        <v>0.98699369999999997</v>
      </c>
      <c r="Y4012">
        <v>-0.20720350000000001</v>
      </c>
      <c r="Z4012">
        <v>-9.5386370000000009E-3</v>
      </c>
      <c r="AA4012">
        <v>0.97825130000000005</v>
      </c>
      <c r="AB4012">
        <v>45</v>
      </c>
      <c r="AC4012">
        <v>-10.107699999999999</v>
      </c>
      <c r="AD4012">
        <v>-1.109520783295</v>
      </c>
      <c r="AE4012">
        <v>-2.35080000000002</v>
      </c>
      <c r="AF4012">
        <v>-2.19626625866798</v>
      </c>
      <c r="AG4012">
        <v>-1.109520783295</v>
      </c>
      <c r="AH4012">
        <v>10.022364174331599</v>
      </c>
      <c r="AI4012">
        <v>96.171895806417794</v>
      </c>
      <c r="AJ4012">
        <v>102.360221582317</v>
      </c>
      <c r="AK4012">
        <v>10.3200002660103</v>
      </c>
      <c r="AL4012">
        <v>82.955464355505001</v>
      </c>
      <c r="AM4012">
        <v>96.011378682383395</v>
      </c>
      <c r="AN4012">
        <v>0.99999994851874296</v>
      </c>
    </row>
    <row r="4013" spans="1:40" x14ac:dyDescent="0.25">
      <c r="A4013" t="str">
        <f>"20190312151618838"</f>
        <v>20190312151618838</v>
      </c>
      <c r="B4013" t="str">
        <f>"1552374978831957"</f>
        <v>1552374978831957</v>
      </c>
      <c r="C4013" t="s">
        <v>40</v>
      </c>
      <c r="D4013">
        <v>4.4549320000000003</v>
      </c>
      <c r="E4013">
        <v>0.46163959999999998</v>
      </c>
      <c r="F4013" t="s">
        <v>43</v>
      </c>
      <c r="G4013">
        <v>-346.77480000000003</v>
      </c>
      <c r="H4013" s="1">
        <v>-1.6818309999999999E-6</v>
      </c>
      <c r="I4013">
        <v>137.83529999999999</v>
      </c>
      <c r="J4013">
        <v>-336.80439999999999</v>
      </c>
      <c r="K4013">
        <v>1.1095189999999999</v>
      </c>
      <c r="L4013">
        <v>140.1721</v>
      </c>
      <c r="M4013">
        <v>-0.99986430000000004</v>
      </c>
      <c r="N4013">
        <v>0</v>
      </c>
      <c r="O4013">
        <v>-1.302122E-2</v>
      </c>
      <c r="P4013">
        <v>-0.98673999999999995</v>
      </c>
      <c r="Q4013">
        <v>0.1124493</v>
      </c>
      <c r="R4013">
        <v>-0.1170446</v>
      </c>
      <c r="S4013">
        <v>-2.9968569999999999</v>
      </c>
      <c r="T4013">
        <v>-0.32156309999999999</v>
      </c>
      <c r="U4013">
        <v>-0.67866519999999997</v>
      </c>
      <c r="V4013">
        <v>-0.10428469999999999</v>
      </c>
      <c r="W4013">
        <v>0.122342699999999</v>
      </c>
      <c r="X4013">
        <v>0.98699389999999998</v>
      </c>
      <c r="Y4013">
        <v>-0.20708840000000001</v>
      </c>
      <c r="Z4013">
        <v>-9.5657050000000007E-3</v>
      </c>
      <c r="AA4013">
        <v>0.97827549999999996</v>
      </c>
      <c r="AB4013">
        <v>45</v>
      </c>
      <c r="AC4013">
        <v>-9.9704000000000299</v>
      </c>
      <c r="AD4013">
        <v>-1.1095206818309999</v>
      </c>
      <c r="AE4013">
        <v>-2.33680000000001</v>
      </c>
      <c r="AF4013">
        <v>-2.1811643581675901</v>
      </c>
      <c r="AG4013">
        <v>-1.1095206818309999</v>
      </c>
      <c r="AH4013">
        <v>9.88395891755893</v>
      </c>
      <c r="AI4013">
        <v>96.255633522549502</v>
      </c>
      <c r="AJ4013">
        <v>102.444422594215</v>
      </c>
      <c r="AK4013">
        <v>10.182394511348701</v>
      </c>
      <c r="AL4013">
        <v>82.972674164462504</v>
      </c>
      <c r="AM4013">
        <v>96.031431485471202</v>
      </c>
      <c r="AN4013">
        <v>0.99999999676729401</v>
      </c>
    </row>
    <row r="4014" spans="1:40" x14ac:dyDescent="0.25">
      <c r="A4014" t="str">
        <f>"20190312151618861"</f>
        <v>20190312151618861</v>
      </c>
      <c r="B4014" t="str">
        <f>"1552374978851476"</f>
        <v>1552374978851476</v>
      </c>
      <c r="C4014" t="s">
        <v>40</v>
      </c>
      <c r="D4014">
        <v>4.5829519999999997</v>
      </c>
      <c r="E4014">
        <v>0.46126929999999999</v>
      </c>
      <c r="F4014" t="s">
        <v>43</v>
      </c>
      <c r="G4014">
        <v>-347.12</v>
      </c>
      <c r="H4014" s="1">
        <v>-1.5357890000000001E-6</v>
      </c>
      <c r="I4014">
        <v>137.8237</v>
      </c>
      <c r="J4014">
        <v>-337.24979999999999</v>
      </c>
      <c r="K4014">
        <v>1.1095170000000001</v>
      </c>
      <c r="L4014">
        <v>140.1661</v>
      </c>
      <c r="M4014">
        <v>-0.99986030000000004</v>
      </c>
      <c r="N4014">
        <v>0</v>
      </c>
      <c r="O4014">
        <v>-1.3305040000000001E-2</v>
      </c>
      <c r="P4014">
        <v>-0.9866992</v>
      </c>
      <c r="Q4014">
        <v>0.1119985</v>
      </c>
      <c r="R4014">
        <v>-0.11781999999999999</v>
      </c>
      <c r="S4014">
        <v>-2.996124</v>
      </c>
      <c r="T4014">
        <v>-0.32225540000000003</v>
      </c>
      <c r="U4014">
        <v>-0.68206789999999995</v>
      </c>
      <c r="V4014">
        <v>-0.10477980000000001</v>
      </c>
      <c r="W4014">
        <v>0.121909199999999</v>
      </c>
      <c r="X4014">
        <v>0.98699510000000001</v>
      </c>
      <c r="Y4014">
        <v>-0.20791100000000001</v>
      </c>
      <c r="Z4014">
        <v>-9.6008039999999992E-3</v>
      </c>
      <c r="AA4014">
        <v>0.97810059999999999</v>
      </c>
      <c r="AB4014">
        <v>45</v>
      </c>
      <c r="AC4014">
        <v>-9.8702000000000094</v>
      </c>
      <c r="AD4014">
        <v>-1.1095185357889901</v>
      </c>
      <c r="AE4014">
        <v>-2.3423999999999898</v>
      </c>
      <c r="AF4014">
        <v>-2.18472774454992</v>
      </c>
      <c r="AG4014">
        <v>-1.1095185357889901</v>
      </c>
      <c r="AH4014">
        <v>9.7834591036956802</v>
      </c>
      <c r="AI4014">
        <v>96.315876334680098</v>
      </c>
      <c r="AJ4014">
        <v>102.58809405612899</v>
      </c>
      <c r="AK4014">
        <v>10.085640224237199</v>
      </c>
      <c r="AL4014">
        <v>82.997699184213602</v>
      </c>
      <c r="AM4014">
        <v>96.059846312733498</v>
      </c>
      <c r="AN4014">
        <v>0.99999999347834501</v>
      </c>
    </row>
    <row r="4015" spans="1:40" x14ac:dyDescent="0.25">
      <c r="A4015" t="str">
        <f>"20190312151618875"</f>
        <v>20190312151618875</v>
      </c>
      <c r="B4015" t="str">
        <f>"1552374978871972"</f>
        <v>1552374978871972</v>
      </c>
      <c r="C4015" t="s">
        <v>40</v>
      </c>
      <c r="D4015">
        <v>4.4186940000000003</v>
      </c>
      <c r="E4015">
        <v>0.46093970000000001</v>
      </c>
      <c r="F4015" t="s">
        <v>43</v>
      </c>
      <c r="G4015">
        <v>-347.40690000000001</v>
      </c>
      <c r="H4015" s="1">
        <v>-1.410742E-6</v>
      </c>
      <c r="I4015">
        <v>137.8348</v>
      </c>
      <c r="J4015">
        <v>-337.55309999999997</v>
      </c>
      <c r="K4015">
        <v>1.1095170000000001</v>
      </c>
      <c r="L4015">
        <v>140.16200000000001</v>
      </c>
      <c r="M4015">
        <v>-0.99985769999999996</v>
      </c>
      <c r="N4015">
        <v>0</v>
      </c>
      <c r="O4015">
        <v>-1.349822E-2</v>
      </c>
      <c r="P4015">
        <v>-0.98669220000000002</v>
      </c>
      <c r="Q4015">
        <v>0.1117306</v>
      </c>
      <c r="R4015">
        <v>-0.11813220000000001</v>
      </c>
      <c r="S4015">
        <v>-2.9954830000000001</v>
      </c>
      <c r="T4015">
        <v>-0.32721699999999998</v>
      </c>
      <c r="U4015">
        <v>-0.68751530000000005</v>
      </c>
      <c r="V4015">
        <v>-0.1049007</v>
      </c>
      <c r="W4015">
        <v>0.1216531</v>
      </c>
      <c r="X4015">
        <v>0.9870139</v>
      </c>
      <c r="Y4015">
        <v>-0.2094172</v>
      </c>
      <c r="Z4015">
        <v>-9.8081000000000002E-3</v>
      </c>
      <c r="AA4015">
        <v>0.97777720000000001</v>
      </c>
      <c r="AB4015">
        <v>45</v>
      </c>
      <c r="AC4015">
        <v>-9.8538000000000299</v>
      </c>
      <c r="AD4015">
        <v>-1.109518410742</v>
      </c>
      <c r="AE4015">
        <v>-2.3271999999999999</v>
      </c>
      <c r="AF4015">
        <v>-2.1679386778412999</v>
      </c>
      <c r="AG4015">
        <v>-1.109518410742</v>
      </c>
      <c r="AH4015">
        <v>9.7670293812147602</v>
      </c>
      <c r="AI4015">
        <v>96.328202202565706</v>
      </c>
      <c r="AJ4015">
        <v>102.514762744666</v>
      </c>
      <c r="AK4015">
        <v>10.0660743166424</v>
      </c>
      <c r="AL4015">
        <v>83.012482967282907</v>
      </c>
      <c r="AM4015">
        <v>96.066671646128498</v>
      </c>
      <c r="AN4015">
        <v>1.0000000361966499</v>
      </c>
    </row>
    <row r="4016" spans="1:40" x14ac:dyDescent="0.25">
      <c r="A4016" t="str">
        <f>"20190312151618889"</f>
        <v>20190312151618889</v>
      </c>
      <c r="B4016" t="str">
        <f>"1552374978881732"</f>
        <v>1552374978881732</v>
      </c>
      <c r="C4016" t="s">
        <v>40</v>
      </c>
      <c r="D4016">
        <v>4.4433509999999998</v>
      </c>
      <c r="E4016">
        <v>0.4609762</v>
      </c>
      <c r="F4016" t="s">
        <v>43</v>
      </c>
      <c r="G4016">
        <v>-347.673</v>
      </c>
      <c r="H4016" s="1">
        <v>-1.29798E-6</v>
      </c>
      <c r="I4016">
        <v>137.827</v>
      </c>
      <c r="J4016">
        <v>-337.83609999999999</v>
      </c>
      <c r="K4016">
        <v>1.1095170000000001</v>
      </c>
      <c r="L4016">
        <v>140.15809999999999</v>
      </c>
      <c r="M4016">
        <v>-0.99985500000000005</v>
      </c>
      <c r="N4016">
        <v>0</v>
      </c>
      <c r="O4016">
        <v>-1.367817E-2</v>
      </c>
      <c r="P4016">
        <v>-0.98667990000000005</v>
      </c>
      <c r="Q4016">
        <v>0.1113919</v>
      </c>
      <c r="R4016">
        <v>-0.1185517</v>
      </c>
      <c r="S4016">
        <v>-2.994904</v>
      </c>
      <c r="T4016">
        <v>-0.32835540000000002</v>
      </c>
      <c r="U4016">
        <v>-0.69100950000000005</v>
      </c>
      <c r="V4016">
        <v>-0.10514270000000001</v>
      </c>
      <c r="W4016">
        <v>0.12132469999999999</v>
      </c>
      <c r="X4016">
        <v>0.98702849999999998</v>
      </c>
      <c r="Y4016">
        <v>-0.21035380000000001</v>
      </c>
      <c r="Z4016">
        <v>-9.8737489999999994E-3</v>
      </c>
      <c r="AA4016">
        <v>0.97757550000000004</v>
      </c>
      <c r="AB4016">
        <v>45</v>
      </c>
      <c r="AC4016">
        <v>-9.8369000000000106</v>
      </c>
      <c r="AD4016">
        <v>-1.10951829798</v>
      </c>
      <c r="AE4016">
        <v>-2.33109999999999</v>
      </c>
      <c r="AF4016">
        <v>-2.1701833041213998</v>
      </c>
      <c r="AG4016">
        <v>-1.10951829798</v>
      </c>
      <c r="AH4016">
        <v>9.7504180799286502</v>
      </c>
      <c r="AI4016">
        <v>96.338084831832404</v>
      </c>
      <c r="AJ4016">
        <v>102.547978180432</v>
      </c>
      <c r="AK4016">
        <v>10.0504417395674</v>
      </c>
      <c r="AL4016">
        <v>83.031438815733296</v>
      </c>
      <c r="AM4016">
        <v>96.080473117662393</v>
      </c>
      <c r="AN4016">
        <v>0.99999996500281396</v>
      </c>
    </row>
    <row r="4017" spans="1:40" x14ac:dyDescent="0.25">
      <c r="A4017" t="str">
        <f>"20190312151618906"</f>
        <v>20190312151618906</v>
      </c>
      <c r="B4017" t="str">
        <f>"1552374978902228"</f>
        <v>1552374978902228</v>
      </c>
      <c r="C4017" t="s">
        <v>40</v>
      </c>
      <c r="D4017">
        <v>4.3826769999999904</v>
      </c>
      <c r="E4017">
        <v>0.46073710000000001</v>
      </c>
      <c r="F4017" t="s">
        <v>43</v>
      </c>
      <c r="G4017">
        <v>-347.92039999999997</v>
      </c>
      <c r="H4017" s="1">
        <v>-1.191787E-6</v>
      </c>
      <c r="I4017">
        <v>137.82740000000001</v>
      </c>
      <c r="J4017">
        <v>-338.16419999999999</v>
      </c>
      <c r="K4017">
        <v>1.1095120000000001</v>
      </c>
      <c r="L4017">
        <v>140.1534</v>
      </c>
      <c r="M4017">
        <v>-0.99985199999999996</v>
      </c>
      <c r="N4017">
        <v>0</v>
      </c>
      <c r="O4017">
        <v>-1.388733E-2</v>
      </c>
      <c r="P4017">
        <v>-0.98662680000000003</v>
      </c>
      <c r="Q4017">
        <v>0.11107119999999999</v>
      </c>
      <c r="R4017">
        <v>-0.1192935</v>
      </c>
      <c r="S4017">
        <v>-2.9945369999999998</v>
      </c>
      <c r="T4017">
        <v>-0.32947340000000003</v>
      </c>
      <c r="U4017">
        <v>-0.69206239999999997</v>
      </c>
      <c r="V4017">
        <v>-0.10567849999999999</v>
      </c>
      <c r="W4017">
        <v>0.1210151</v>
      </c>
      <c r="X4017">
        <v>0.98700929999999998</v>
      </c>
      <c r="Y4017">
        <v>-0.2104945</v>
      </c>
      <c r="Z4017">
        <v>-9.8929489999999998E-3</v>
      </c>
      <c r="AA4017">
        <v>0.977545</v>
      </c>
      <c r="AB4017">
        <v>45</v>
      </c>
      <c r="AC4017">
        <v>-9.7561999999999696</v>
      </c>
      <c r="AD4017">
        <v>-1.109513191787</v>
      </c>
      <c r="AE4017">
        <v>-2.3259999999999899</v>
      </c>
      <c r="AF4017">
        <v>-2.1638015112430402</v>
      </c>
      <c r="AG4017">
        <v>-1.109513191787</v>
      </c>
      <c r="AH4017">
        <v>9.6692350298942902</v>
      </c>
      <c r="AI4017">
        <v>96.389203449126995</v>
      </c>
      <c r="AJ4017">
        <v>102.613946900603</v>
      </c>
      <c r="AK4017">
        <v>9.9703140655719498</v>
      </c>
      <c r="AL4017">
        <v>83.0493093611598</v>
      </c>
      <c r="AM4017">
        <v>96.111342886877694</v>
      </c>
      <c r="AN4017">
        <v>0.99999997903837401</v>
      </c>
    </row>
    <row r="4018" spans="1:40" x14ac:dyDescent="0.25">
      <c r="A4018" t="str">
        <f>"20190312151618928"</f>
        <v>20190312151618928</v>
      </c>
      <c r="B4018" t="str">
        <f>"1552374978921748"</f>
        <v>1552374978921748</v>
      </c>
      <c r="C4018" t="s">
        <v>40</v>
      </c>
      <c r="D4018">
        <v>4.4195690000000001</v>
      </c>
      <c r="E4018">
        <v>0.46052080000000001</v>
      </c>
      <c r="F4018" t="s">
        <v>43</v>
      </c>
      <c r="G4018">
        <v>-348.19850000000002</v>
      </c>
      <c r="H4018" s="1">
        <v>-1.0775569999999999E-6</v>
      </c>
      <c r="I4018">
        <v>137.81819999999999</v>
      </c>
      <c r="J4018">
        <v>-338.62549999999999</v>
      </c>
      <c r="K4018">
        <v>1.109513</v>
      </c>
      <c r="L4018">
        <v>140.14680000000001</v>
      </c>
      <c r="M4018">
        <v>-0.99984779999999995</v>
      </c>
      <c r="N4018">
        <v>0</v>
      </c>
      <c r="O4018">
        <v>-1.418152E-2</v>
      </c>
      <c r="P4018">
        <v>-0.98652960000000001</v>
      </c>
      <c r="Q4018">
        <v>0.1108823</v>
      </c>
      <c r="R4018">
        <v>-0.1202691</v>
      </c>
      <c r="S4018">
        <v>-2.9936829999999999</v>
      </c>
      <c r="T4018">
        <v>-0.33102019999999999</v>
      </c>
      <c r="U4018">
        <v>-0.69668580000000002</v>
      </c>
      <c r="V4018">
        <v>-0.1063646</v>
      </c>
      <c r="W4018">
        <v>0.1208438</v>
      </c>
      <c r="X4018">
        <v>0.98695659999999996</v>
      </c>
      <c r="Y4018">
        <v>-0.21168480000000001</v>
      </c>
      <c r="Z4018">
        <v>-9.9729550000000004E-3</v>
      </c>
      <c r="AA4018">
        <v>0.97728709999999996</v>
      </c>
      <c r="AB4018">
        <v>45</v>
      </c>
      <c r="AC4018">
        <v>-9.5730000000000306</v>
      </c>
      <c r="AD4018">
        <v>-1.109514077557</v>
      </c>
      <c r="AE4018">
        <v>-2.3286000000000202</v>
      </c>
      <c r="AF4018">
        <v>-2.1651397564044901</v>
      </c>
      <c r="AG4018">
        <v>-1.109514077557</v>
      </c>
      <c r="AH4018">
        <v>9.48477155216837</v>
      </c>
      <c r="AI4018">
        <v>96.506175274822397</v>
      </c>
      <c r="AJ4018">
        <v>102.85887996044499</v>
      </c>
      <c r="AK4018">
        <v>9.7918202112724106</v>
      </c>
      <c r="AL4018">
        <v>83.0591967753696</v>
      </c>
      <c r="AM4018">
        <v>96.151042512697302</v>
      </c>
      <c r="AN4018">
        <v>0.99999999120757999</v>
      </c>
    </row>
    <row r="4019" spans="1:40" x14ac:dyDescent="0.25">
      <c r="A4019" t="str">
        <f>"20190312151618951"</f>
        <v>20190312151618951</v>
      </c>
      <c r="B4019" t="str">
        <f>"1552374978942244"</f>
        <v>1552374978942244</v>
      </c>
      <c r="C4019" t="s">
        <v>40</v>
      </c>
      <c r="D4019">
        <v>4.3896600000000001</v>
      </c>
      <c r="E4019">
        <v>0.46036939999999998</v>
      </c>
      <c r="F4019" t="s">
        <v>43</v>
      </c>
      <c r="G4019">
        <v>-348.62909999999999</v>
      </c>
      <c r="H4019" s="1">
        <v>-9.3550460000000004E-7</v>
      </c>
      <c r="I4019">
        <v>137.8014</v>
      </c>
      <c r="J4019">
        <v>-339.06760000000003</v>
      </c>
      <c r="K4019">
        <v>1.1095060000000001</v>
      </c>
      <c r="L4019">
        <v>140.1404</v>
      </c>
      <c r="M4019">
        <v>-0.9998435</v>
      </c>
      <c r="N4019">
        <v>0</v>
      </c>
      <c r="O4019">
        <v>-1.446308E-2</v>
      </c>
      <c r="P4019">
        <v>-0.98648530000000001</v>
      </c>
      <c r="Q4019">
        <v>0.110609</v>
      </c>
      <c r="R4019">
        <v>-0.12088309999999999</v>
      </c>
      <c r="S4019">
        <v>-2.992737</v>
      </c>
      <c r="T4019">
        <v>-0.33193329999999999</v>
      </c>
      <c r="U4019">
        <v>-0.70166019999999996</v>
      </c>
      <c r="V4019">
        <v>-0.10670060000000001</v>
      </c>
      <c r="W4019">
        <v>0.1205905</v>
      </c>
      <c r="X4019">
        <v>0.98695129999999998</v>
      </c>
      <c r="Y4019">
        <v>-0.21300549999999999</v>
      </c>
      <c r="Z4019">
        <v>-1.0042870000000001E-2</v>
      </c>
      <c r="AA4019">
        <v>0.97699939999999996</v>
      </c>
      <c r="AB4019">
        <v>45</v>
      </c>
      <c r="AC4019">
        <v>-9.5614999999999597</v>
      </c>
      <c r="AD4019">
        <v>-1.1095069355045999</v>
      </c>
      <c r="AE4019">
        <v>-2.3389999999999902</v>
      </c>
      <c r="AF4019">
        <v>-2.1728538053289901</v>
      </c>
      <c r="AG4019">
        <v>-1.1095069355045999</v>
      </c>
      <c r="AH4019">
        <v>9.4739661638273098</v>
      </c>
      <c r="AI4019">
        <v>96.511981881500205</v>
      </c>
      <c r="AJ4019">
        <v>102.917386449668</v>
      </c>
      <c r="AK4019">
        <v>9.7830636394030606</v>
      </c>
      <c r="AL4019">
        <v>83.073816618551703</v>
      </c>
      <c r="AM4019">
        <v>96.170356548205007</v>
      </c>
      <c r="AN4019">
        <v>0.99999997765114901</v>
      </c>
    </row>
    <row r="4020" spans="1:40" x14ac:dyDescent="0.25">
      <c r="A4020" t="str">
        <f>"20190312151618974"</f>
        <v>20190312151618974</v>
      </c>
      <c r="B4020" t="str">
        <f>"1552374978961764"</f>
        <v>1552374978961764</v>
      </c>
      <c r="C4020" t="s">
        <v>40</v>
      </c>
      <c r="D4020">
        <v>4.4376499999999997</v>
      </c>
      <c r="E4020">
        <v>0.4605494</v>
      </c>
      <c r="F4020" t="s">
        <v>43</v>
      </c>
      <c r="G4020">
        <v>-349.00209999999998</v>
      </c>
      <c r="H4020" s="1">
        <v>-8.0909899999999998E-7</v>
      </c>
      <c r="I4020">
        <v>137.79939999999999</v>
      </c>
      <c r="J4020">
        <v>-339.53190000000001</v>
      </c>
      <c r="K4020">
        <v>1.109513</v>
      </c>
      <c r="L4020">
        <v>140.13339999999999</v>
      </c>
      <c r="M4020">
        <v>-0.99983889999999997</v>
      </c>
      <c r="N4020">
        <v>0</v>
      </c>
      <c r="O4020">
        <v>-1.4759069999999999E-2</v>
      </c>
      <c r="P4020">
        <v>-0.98643670000000006</v>
      </c>
      <c r="Q4020">
        <v>0.11028839999999999</v>
      </c>
      <c r="R4020">
        <v>-0.1215702</v>
      </c>
      <c r="S4020">
        <v>-2.9921880000000001</v>
      </c>
      <c r="T4020">
        <v>-0.3341769</v>
      </c>
      <c r="U4020">
        <v>-0.70506289999999905</v>
      </c>
      <c r="V4020">
        <v>-0.1070956</v>
      </c>
      <c r="W4020">
        <v>0.12029140000000001</v>
      </c>
      <c r="X4020">
        <v>0.98694499999999996</v>
      </c>
      <c r="Y4020">
        <v>-0.21379039999999999</v>
      </c>
      <c r="Z4020">
        <v>-1.012149E-2</v>
      </c>
      <c r="AA4020">
        <v>0.97682709999999995</v>
      </c>
      <c r="AB4020">
        <v>45</v>
      </c>
      <c r="AC4020">
        <v>-9.47019999999997</v>
      </c>
      <c r="AD4020">
        <v>-1.109513809099</v>
      </c>
      <c r="AE4020">
        <v>-2.3340000000000001</v>
      </c>
      <c r="AF4020">
        <v>-2.16593963571288</v>
      </c>
      <c r="AG4020">
        <v>-1.109513809099</v>
      </c>
      <c r="AH4020">
        <v>9.38221109166758</v>
      </c>
      <c r="AI4020">
        <v>96.573007713430997</v>
      </c>
      <c r="AJ4020">
        <v>102.999336333778</v>
      </c>
      <c r="AK4020">
        <v>9.6926879845966099</v>
      </c>
      <c r="AL4020">
        <v>83.091079334157996</v>
      </c>
      <c r="AM4020">
        <v>96.193060932948697</v>
      </c>
      <c r="AN4020">
        <v>0.99999996073915898</v>
      </c>
    </row>
    <row r="4021" spans="1:40" x14ac:dyDescent="0.25">
      <c r="A4021" t="str">
        <f>"20190312151618995"</f>
        <v>20190312151618995</v>
      </c>
      <c r="B4021" t="str">
        <f>"1552374978992020"</f>
        <v>1552374978992020</v>
      </c>
      <c r="C4021" t="s">
        <v>40</v>
      </c>
      <c r="D4021">
        <v>4.5973230000000003</v>
      </c>
      <c r="E4021">
        <v>0.4981585</v>
      </c>
      <c r="F4021" t="s">
        <v>43</v>
      </c>
      <c r="G4021">
        <v>-349.43619999999999</v>
      </c>
      <c r="H4021" s="1">
        <v>-6.6220740000000004E-7</v>
      </c>
      <c r="I4021">
        <v>137.7962</v>
      </c>
      <c r="J4021">
        <v>-339.98759999999999</v>
      </c>
      <c r="K4021">
        <v>1.1095159999999999</v>
      </c>
      <c r="L4021">
        <v>140.12649999999999</v>
      </c>
      <c r="M4021">
        <v>-0.99983449999999996</v>
      </c>
      <c r="N4021">
        <v>0</v>
      </c>
      <c r="O4021">
        <v>-1.504922E-2</v>
      </c>
      <c r="P4021">
        <v>-0.98638099999999995</v>
      </c>
      <c r="Q4021">
        <v>0.10989119999999999</v>
      </c>
      <c r="R4021">
        <v>-0.1223789</v>
      </c>
      <c r="S4021">
        <v>-2.9916689999999999</v>
      </c>
      <c r="T4021">
        <v>-0.33513959999999998</v>
      </c>
      <c r="U4021">
        <v>-0.70594789999999996</v>
      </c>
      <c r="V4021">
        <v>-0.1076182</v>
      </c>
      <c r="W4021">
        <v>0.11991309999999999</v>
      </c>
      <c r="X4021">
        <v>0.98693419999999998</v>
      </c>
      <c r="Y4021">
        <v>-0.21381320000000001</v>
      </c>
      <c r="Z4021">
        <v>-1.0121150000000001E-2</v>
      </c>
      <c r="AA4021">
        <v>0.97682210000000003</v>
      </c>
      <c r="AB4021">
        <v>45</v>
      </c>
      <c r="AC4021">
        <v>-9.4486000000000008</v>
      </c>
      <c r="AD4021">
        <v>-1.1095166622074</v>
      </c>
      <c r="AE4021">
        <v>-2.33029999999999</v>
      </c>
      <c r="AF4021">
        <v>-2.1597612288496202</v>
      </c>
      <c r="AG4021">
        <v>-1.1095166622074</v>
      </c>
      <c r="AH4021">
        <v>9.3609242274541806</v>
      </c>
      <c r="AI4021">
        <v>96.588033606968807</v>
      </c>
      <c r="AJ4021">
        <v>102.991989756612</v>
      </c>
      <c r="AK4021">
        <v>9.6707030862030106</v>
      </c>
      <c r="AL4021">
        <v>83.1129124430893</v>
      </c>
      <c r="AM4021">
        <v>96.223112560268106</v>
      </c>
      <c r="AN4021">
        <v>0.99999997182624401</v>
      </c>
    </row>
    <row r="4022" spans="1:40" x14ac:dyDescent="0.25">
      <c r="A4022" t="str">
        <f>"20190312151619018"</f>
        <v>20190312151619018</v>
      </c>
      <c r="B4022" t="str">
        <f>"1552374979011540"</f>
        <v>1552374979011540</v>
      </c>
      <c r="C4022" t="s">
        <v>40</v>
      </c>
      <c r="D4022">
        <v>4.3904629999999996</v>
      </c>
      <c r="E4022">
        <v>0.49977709999999997</v>
      </c>
      <c r="F4022" t="s">
        <v>43</v>
      </c>
      <c r="G4022">
        <v>-354.99810000000002</v>
      </c>
      <c r="H4022" s="1">
        <v>-2.3960609999999998E-6</v>
      </c>
      <c r="I4022">
        <v>138.10570000000001</v>
      </c>
      <c r="J4022">
        <v>-340.44170000000003</v>
      </c>
      <c r="K4022">
        <v>1.1095189999999999</v>
      </c>
      <c r="L4022">
        <v>140.11949999999999</v>
      </c>
      <c r="M4022">
        <v>-0.99982990000000005</v>
      </c>
      <c r="N4022">
        <v>0</v>
      </c>
      <c r="O4022">
        <v>-1.533817E-2</v>
      </c>
      <c r="P4022">
        <v>-0.9863113</v>
      </c>
      <c r="Q4022">
        <v>0.1099238</v>
      </c>
      <c r="R4022">
        <v>-0.12291000000000001</v>
      </c>
      <c r="S4022">
        <v>-3.01593</v>
      </c>
      <c r="T4022">
        <v>-0.2229266</v>
      </c>
      <c r="U4022">
        <v>-0.40600589999999998</v>
      </c>
      <c r="V4022">
        <v>-0.10786510000000001</v>
      </c>
      <c r="W4022">
        <v>0.1199638</v>
      </c>
      <c r="X4022">
        <v>0.98690109999999998</v>
      </c>
      <c r="Y4022">
        <v>-0.11792469999999999</v>
      </c>
      <c r="Z4022">
        <v>-3.20601E-3</v>
      </c>
      <c r="AA4022">
        <v>0.99301740000000005</v>
      </c>
      <c r="AB4022">
        <v>45</v>
      </c>
      <c r="AC4022">
        <v>-14.556399999999901</v>
      </c>
      <c r="AD4022">
        <v>-1.109521396061</v>
      </c>
      <c r="AE4022">
        <v>-2.0137999999999701</v>
      </c>
      <c r="AF4022">
        <v>-1.78013477422226</v>
      </c>
      <c r="AG4022">
        <v>-1.109521396061</v>
      </c>
      <c r="AH4022">
        <v>14.5029000771434</v>
      </c>
      <c r="AI4022">
        <v>94.3423388575724</v>
      </c>
      <c r="AJ4022">
        <v>96.997674757504299</v>
      </c>
      <c r="AK4022">
        <v>14.653805928505999</v>
      </c>
      <c r="AL4022">
        <v>83.109986531081304</v>
      </c>
      <c r="AM4022">
        <v>96.2374849022288</v>
      </c>
      <c r="AN4022">
        <v>0.99999998714482896</v>
      </c>
    </row>
    <row r="4023" spans="1:40" x14ac:dyDescent="0.25">
      <c r="A4023" t="str">
        <f>"20190312151619038"</f>
        <v>20190312151619038</v>
      </c>
      <c r="B4023" t="str">
        <f>"1552374979032036"</f>
        <v>1552374979032036</v>
      </c>
      <c r="C4023" t="s">
        <v>40</v>
      </c>
      <c r="D4023">
        <v>4.4057769999999996</v>
      </c>
      <c r="E4023">
        <v>0.5000947</v>
      </c>
      <c r="F4023" t="s">
        <v>43</v>
      </c>
      <c r="G4023">
        <v>-354.82150000000001</v>
      </c>
      <c r="H4023" s="1">
        <v>-2.4487829999999999E-6</v>
      </c>
      <c r="I4023">
        <v>138.23560000000001</v>
      </c>
      <c r="J4023">
        <v>-340.87439999999998</v>
      </c>
      <c r="K4023">
        <v>1.1095189999999999</v>
      </c>
      <c r="L4023">
        <v>140.11259999999999</v>
      </c>
      <c r="M4023">
        <v>-0.99982539999999998</v>
      </c>
      <c r="N4023">
        <v>0</v>
      </c>
      <c r="O4023">
        <v>-1.561295E-2</v>
      </c>
      <c r="P4023">
        <v>-0.9862533</v>
      </c>
      <c r="Q4023">
        <v>0.1100126</v>
      </c>
      <c r="R4023">
        <v>-0.1232964</v>
      </c>
      <c r="S4023">
        <v>-3.0183110000000002</v>
      </c>
      <c r="T4023">
        <v>-0.23288880000000001</v>
      </c>
      <c r="U4023">
        <v>-0.395401</v>
      </c>
      <c r="V4023">
        <v>-0.1079808</v>
      </c>
      <c r="W4023">
        <v>0.1200731</v>
      </c>
      <c r="X4023">
        <v>0.98687519999999995</v>
      </c>
      <c r="Y4023">
        <v>-0.114106</v>
      </c>
      <c r="Z4023">
        <v>-3.1794689999999999E-3</v>
      </c>
      <c r="AA4023">
        <v>0.99346350000000005</v>
      </c>
      <c r="AB4023">
        <v>45</v>
      </c>
      <c r="AC4023">
        <v>-13.947100000000001</v>
      </c>
      <c r="AD4023">
        <v>-1.1095214487829901</v>
      </c>
      <c r="AE4023">
        <v>-1.87699999999998</v>
      </c>
      <c r="AF4023">
        <v>-1.6487557395152499</v>
      </c>
      <c r="AG4023">
        <v>-1.1095214487829901</v>
      </c>
      <c r="AH4023">
        <v>13.8883772874764</v>
      </c>
      <c r="AI4023">
        <v>94.535856376983304</v>
      </c>
      <c r="AJ4023">
        <v>96.7701704081163</v>
      </c>
      <c r="AK4023">
        <v>14.029841660303401</v>
      </c>
      <c r="AL4023">
        <v>83.103678812735296</v>
      </c>
      <c r="AM4023">
        <v>96.244285211766098</v>
      </c>
      <c r="AN4023">
        <v>1.0000000314436399</v>
      </c>
    </row>
    <row r="4024" spans="1:40" x14ac:dyDescent="0.25">
      <c r="A4024" t="str">
        <f>"20190312151619053"</f>
        <v>20190312151619053</v>
      </c>
      <c r="B4024" t="str">
        <f>"1552374979041796"</f>
        <v>1552374979041796</v>
      </c>
      <c r="C4024" t="s">
        <v>40</v>
      </c>
      <c r="D4024">
        <v>4.3855740000000001</v>
      </c>
      <c r="E4024">
        <v>0.50035099999999999</v>
      </c>
      <c r="F4024" t="s">
        <v>43</v>
      </c>
      <c r="G4024">
        <v>-355.26960000000003</v>
      </c>
      <c r="H4024" s="1">
        <v>-2.2567840000000001E-6</v>
      </c>
      <c r="I4024">
        <v>138.23429999999999</v>
      </c>
      <c r="J4024">
        <v>-341.161</v>
      </c>
      <c r="K4024">
        <v>1.109521</v>
      </c>
      <c r="L4024">
        <v>140.108</v>
      </c>
      <c r="M4024">
        <v>-0.99982230000000005</v>
      </c>
      <c r="N4024">
        <v>0</v>
      </c>
      <c r="O4024">
        <v>-1.5795179999999999E-2</v>
      </c>
      <c r="P4024">
        <v>-0.98617180000000004</v>
      </c>
      <c r="Q4024">
        <v>0.1102027</v>
      </c>
      <c r="R4024">
        <v>-0.12377730000000001</v>
      </c>
      <c r="S4024">
        <v>-3.0185550000000001</v>
      </c>
      <c r="T4024">
        <v>-0.23265839999999999</v>
      </c>
      <c r="U4024">
        <v>-0.39385989999999999</v>
      </c>
      <c r="V4024">
        <v>-0.10828309999999999</v>
      </c>
      <c r="W4024">
        <v>0.1202767</v>
      </c>
      <c r="X4024">
        <v>0.98681719999999895</v>
      </c>
      <c r="Y4024">
        <v>-0.11341900000000001</v>
      </c>
      <c r="Z4024">
        <v>-3.1358979999999998E-3</v>
      </c>
      <c r="AA4024">
        <v>0.99354229999999999</v>
      </c>
      <c r="AB4024">
        <v>46</v>
      </c>
      <c r="AC4024">
        <v>-14.108599999999999</v>
      </c>
      <c r="AD4024">
        <v>-1.1095232567840001</v>
      </c>
      <c r="AE4024">
        <v>-1.8737000000000099</v>
      </c>
      <c r="AF4024">
        <v>-1.6406358870409701</v>
      </c>
      <c r="AG4024">
        <v>-1.1095232567840001</v>
      </c>
      <c r="AH4024">
        <v>14.0510440759116</v>
      </c>
      <c r="AI4024">
        <v>94.484580524773904</v>
      </c>
      <c r="AJ4024">
        <v>96.659845530850404</v>
      </c>
      <c r="AK4024">
        <v>14.1899460039283</v>
      </c>
      <c r="AL4024">
        <v>83.091927669273105</v>
      </c>
      <c r="AM4024">
        <v>96.261992970952704</v>
      </c>
      <c r="AN4024">
        <v>0.99999995026216804</v>
      </c>
    </row>
    <row r="4025" spans="1:40" x14ac:dyDescent="0.25">
      <c r="A4025" t="str">
        <f>"20190312151619066"</f>
        <v>20190312151619066</v>
      </c>
      <c r="B4025" t="str">
        <f>"1552374979062292"</f>
        <v>1552374979062292</v>
      </c>
      <c r="C4025" t="s">
        <v>40</v>
      </c>
      <c r="D4025">
        <v>4.4244009999999996</v>
      </c>
      <c r="E4025">
        <v>0.50047699999999995</v>
      </c>
      <c r="F4025" t="s">
        <v>43</v>
      </c>
      <c r="G4025">
        <v>-355.61259999999999</v>
      </c>
      <c r="H4025" s="1">
        <v>-2.1112510000000001E-6</v>
      </c>
      <c r="I4025">
        <v>138.2251</v>
      </c>
      <c r="J4025">
        <v>-341.42880000000002</v>
      </c>
      <c r="K4025">
        <v>1.1095219999999999</v>
      </c>
      <c r="L4025">
        <v>140.1037</v>
      </c>
      <c r="M4025">
        <v>-0.99981949999999997</v>
      </c>
      <c r="N4025">
        <v>0</v>
      </c>
      <c r="O4025">
        <v>-1.5965360000000001E-2</v>
      </c>
      <c r="P4025">
        <v>-0.98612049999999996</v>
      </c>
      <c r="Q4025">
        <v>0.1104946</v>
      </c>
      <c r="R4025">
        <v>-0.1239258</v>
      </c>
      <c r="S4025">
        <v>-3.0186160000000002</v>
      </c>
      <c r="T4025">
        <v>-0.23175499999999999</v>
      </c>
      <c r="U4025">
        <v>-0.39328000000000002</v>
      </c>
      <c r="V4025">
        <v>-0.108264899999999</v>
      </c>
      <c r="W4025">
        <v>0.12058199999999999</v>
      </c>
      <c r="X4025">
        <v>0.98678200000000005</v>
      </c>
      <c r="Y4025">
        <v>-0.11306330000000001</v>
      </c>
      <c r="Z4025">
        <v>-3.0971729999999999E-3</v>
      </c>
      <c r="AA4025">
        <v>0.99358299999999999</v>
      </c>
      <c r="AB4025">
        <v>46</v>
      </c>
      <c r="AC4025">
        <v>-14.1837999999999</v>
      </c>
      <c r="AD4025">
        <v>-1.1095241112509999</v>
      </c>
      <c r="AE4025">
        <v>-1.8786</v>
      </c>
      <c r="AF4025">
        <v>-1.6420245450448301</v>
      </c>
      <c r="AG4025">
        <v>-1.1095241112509999</v>
      </c>
      <c r="AH4025">
        <v>14.127031557339601</v>
      </c>
      <c r="AI4025">
        <v>94.460830084680595</v>
      </c>
      <c r="AJ4025">
        <v>96.629899351198205</v>
      </c>
      <c r="AK4025">
        <v>14.2653534474981</v>
      </c>
      <c r="AL4025">
        <v>83.0743074475741</v>
      </c>
      <c r="AM4025">
        <v>96.261170391047003</v>
      </c>
      <c r="AN4025">
        <v>1.0000000114100001</v>
      </c>
    </row>
    <row r="4026" spans="1:40" x14ac:dyDescent="0.25">
      <c r="A4026" t="str">
        <f>"20190312151619078"</f>
        <v>20190312151619078</v>
      </c>
      <c r="B4026" t="str">
        <f>"1552374979072052"</f>
        <v>1552374979072052</v>
      </c>
      <c r="C4026" t="s">
        <v>40</v>
      </c>
      <c r="D4026">
        <v>4.484591</v>
      </c>
      <c r="E4026">
        <v>0.50052390000000002</v>
      </c>
      <c r="F4026" t="s">
        <v>43</v>
      </c>
      <c r="G4026">
        <v>-356.55070000000001</v>
      </c>
      <c r="H4026" s="1">
        <v>-1.724424E-6</v>
      </c>
      <c r="I4026">
        <v>138.13720000000001</v>
      </c>
      <c r="J4026">
        <v>-341.67759999999998</v>
      </c>
      <c r="K4026">
        <v>1.109521</v>
      </c>
      <c r="L4026">
        <v>140.09960000000001</v>
      </c>
      <c r="M4026">
        <v>-0.99981679999999995</v>
      </c>
      <c r="N4026">
        <v>0</v>
      </c>
      <c r="O4026">
        <v>-1.612363E-2</v>
      </c>
      <c r="P4026">
        <v>-0.98605980000000004</v>
      </c>
      <c r="Q4026">
        <v>0.1107472</v>
      </c>
      <c r="R4026">
        <v>-0.12418220000000001</v>
      </c>
      <c r="S4026">
        <v>-3.0177</v>
      </c>
      <c r="T4026">
        <v>-0.2214161</v>
      </c>
      <c r="U4026">
        <v>-0.39241029999999999</v>
      </c>
      <c r="V4026">
        <v>-0.1083658</v>
      </c>
      <c r="W4026">
        <v>0.120848</v>
      </c>
      <c r="X4026">
        <v>0.98673840000000002</v>
      </c>
      <c r="Y4026">
        <v>-0.11268880000000001</v>
      </c>
      <c r="Z4026">
        <v>-2.9351109999999998E-3</v>
      </c>
      <c r="AA4026">
        <v>0.99362600000000001</v>
      </c>
      <c r="AB4026">
        <v>46</v>
      </c>
      <c r="AC4026">
        <v>-14.873100000000001</v>
      </c>
      <c r="AD4026">
        <v>-1.109522724424</v>
      </c>
      <c r="AE4026">
        <v>-1.9623999999999999</v>
      </c>
      <c r="AF4026">
        <v>-1.7129541838159601</v>
      </c>
      <c r="AG4026">
        <v>-1.109522724424</v>
      </c>
      <c r="AH4026">
        <v>14.8217366866311</v>
      </c>
      <c r="AI4026">
        <v>94.252849302352701</v>
      </c>
      <c r="AJ4026">
        <v>96.592449808050603</v>
      </c>
      <c r="AK4026">
        <v>14.961588522603201</v>
      </c>
      <c r="AL4026">
        <v>83.0589546122294</v>
      </c>
      <c r="AM4026">
        <v>96.267233934664105</v>
      </c>
      <c r="AN4026">
        <v>1.0000000278740899</v>
      </c>
    </row>
    <row r="4027" spans="1:40" x14ac:dyDescent="0.25">
      <c r="A4027" t="str">
        <f>"20190312151619091"</f>
        <v>20190312151619091</v>
      </c>
      <c r="B4027" t="str">
        <f>"1552374979081812"</f>
        <v>1552374979081812</v>
      </c>
      <c r="C4027" t="s">
        <v>40</v>
      </c>
      <c r="D4027">
        <v>4.4173799999999996</v>
      </c>
      <c r="E4027">
        <v>0.50051380000000001</v>
      </c>
      <c r="F4027" t="s">
        <v>43</v>
      </c>
      <c r="G4027">
        <v>-356.55369999999999</v>
      </c>
      <c r="H4027" s="1">
        <v>-1.7186970000000001E-6</v>
      </c>
      <c r="I4027">
        <v>138.16220000000001</v>
      </c>
      <c r="J4027">
        <v>-341.9332</v>
      </c>
      <c r="K4027">
        <v>1.109523</v>
      </c>
      <c r="L4027">
        <v>140.09540000000001</v>
      </c>
      <c r="M4027">
        <v>-0.99981399999999998</v>
      </c>
      <c r="N4027">
        <v>0</v>
      </c>
      <c r="O4027">
        <v>-1.6286809999999999E-2</v>
      </c>
      <c r="P4027">
        <v>-0.98607940000000005</v>
      </c>
      <c r="Q4027">
        <v>0.1107122</v>
      </c>
      <c r="R4027">
        <v>-0.1240593</v>
      </c>
      <c r="S4027">
        <v>-3.0182500000000001</v>
      </c>
      <c r="T4027">
        <v>-0.22511490000000001</v>
      </c>
      <c r="U4027">
        <v>-0.39308169999999998</v>
      </c>
      <c r="V4027">
        <v>-0.10808139999999899</v>
      </c>
      <c r="W4027">
        <v>0.1208296</v>
      </c>
      <c r="X4027">
        <v>0.98677179999999998</v>
      </c>
      <c r="Y4027">
        <v>-0.1127127</v>
      </c>
      <c r="Z4027">
        <v>-2.9722250000000002E-3</v>
      </c>
      <c r="AA4027">
        <v>0.99362320000000004</v>
      </c>
      <c r="AB4027">
        <v>46</v>
      </c>
      <c r="AC4027">
        <v>-14.6204999999999</v>
      </c>
      <c r="AD4027">
        <v>-1.1095247186970001</v>
      </c>
      <c r="AE4027">
        <v>-1.9332</v>
      </c>
      <c r="AF4027">
        <v>-1.68527078639205</v>
      </c>
      <c r="AG4027">
        <v>-1.1095247186970001</v>
      </c>
      <c r="AH4027">
        <v>14.5675942227615</v>
      </c>
      <c r="AI4027">
        <v>94.3267148176853</v>
      </c>
      <c r="AJ4027">
        <v>96.599001096168706</v>
      </c>
      <c r="AK4027">
        <v>14.706664617237299</v>
      </c>
      <c r="AL4027">
        <v>83.060016325823398</v>
      </c>
      <c r="AM4027">
        <v>96.250706398940494</v>
      </c>
      <c r="AN4027">
        <v>0.999999983268679</v>
      </c>
    </row>
    <row r="4028" spans="1:40" x14ac:dyDescent="0.25">
      <c r="A4028" t="str">
        <f>"20190312151619107"</f>
        <v>20190312151619107</v>
      </c>
      <c r="B4028" t="str">
        <f>"1552374979102309"</f>
        <v>1552374979102309</v>
      </c>
      <c r="C4028" t="s">
        <v>40</v>
      </c>
      <c r="D4028">
        <v>4.5096069999999999</v>
      </c>
      <c r="E4028">
        <v>0.50057659999999904</v>
      </c>
      <c r="F4028" t="s">
        <v>43</v>
      </c>
      <c r="G4028">
        <v>-356.75060000000002</v>
      </c>
      <c r="H4028" s="1">
        <v>-1.6335089999999999E-6</v>
      </c>
      <c r="I4028">
        <v>138.1661</v>
      </c>
      <c r="J4028">
        <v>-342.25299999999999</v>
      </c>
      <c r="K4028">
        <v>1.1095330000000001</v>
      </c>
      <c r="L4028">
        <v>140.09010000000001</v>
      </c>
      <c r="M4028">
        <v>-0.99981039999999999</v>
      </c>
      <c r="N4028">
        <v>0</v>
      </c>
      <c r="O4028">
        <v>-1.6492380000000001E-2</v>
      </c>
      <c r="P4028">
        <v>-0.98604499999999995</v>
      </c>
      <c r="Q4028">
        <v>0.11060680000000001</v>
      </c>
      <c r="R4028">
        <v>-0.12442540000000001</v>
      </c>
      <c r="S4028">
        <v>-3.0183110000000002</v>
      </c>
      <c r="T4028">
        <v>-0.22601080000000001</v>
      </c>
      <c r="U4028">
        <v>-0.39299010000000001</v>
      </c>
      <c r="V4028">
        <v>-0.1082457</v>
      </c>
      <c r="W4028">
        <v>0.120752399999999</v>
      </c>
      <c r="X4028">
        <v>0.98676319999999995</v>
      </c>
      <c r="Y4028">
        <v>-0.1124754</v>
      </c>
      <c r="Z4028">
        <v>-2.9598300000000001E-3</v>
      </c>
      <c r="AA4028">
        <v>0.99365009999999998</v>
      </c>
      <c r="AB4028">
        <v>46</v>
      </c>
      <c r="AC4028">
        <v>-14.497599999999901</v>
      </c>
      <c r="AD4028">
        <v>-1.1095346335089999</v>
      </c>
      <c r="AE4028">
        <v>-1.9239999999999999</v>
      </c>
      <c r="AF4028">
        <v>-1.6749846423092001</v>
      </c>
      <c r="AG4028">
        <v>-1.1095346335089999</v>
      </c>
      <c r="AH4028">
        <v>14.444222700698299</v>
      </c>
      <c r="AI4028">
        <v>94.363429925755</v>
      </c>
      <c r="AJ4028">
        <v>96.614603997780407</v>
      </c>
      <c r="AK4028">
        <v>14.5832852979806</v>
      </c>
      <c r="AL4028">
        <v>83.064471907315095</v>
      </c>
      <c r="AM4028">
        <v>96.260187155083599</v>
      </c>
      <c r="AN4028">
        <v>0.99999994327424302</v>
      </c>
    </row>
    <row r="4029" spans="1:40" x14ac:dyDescent="0.25">
      <c r="A4029" t="str">
        <f>"20190312151619129"</f>
        <v>20190312151619129</v>
      </c>
      <c r="B4029" t="str">
        <f>"1552374979121828"</f>
        <v>1552374979121828</v>
      </c>
      <c r="C4029" t="s">
        <v>40</v>
      </c>
      <c r="D4029">
        <v>4.4280470000000003</v>
      </c>
      <c r="E4029">
        <v>0.50067019999999995</v>
      </c>
      <c r="F4029" t="s">
        <v>43</v>
      </c>
      <c r="G4029">
        <v>-356.70819999999998</v>
      </c>
      <c r="H4029" s="1">
        <v>-1.6449539999999999E-6</v>
      </c>
      <c r="I4029">
        <v>138.20429999999999</v>
      </c>
      <c r="J4029">
        <v>-342.709</v>
      </c>
      <c r="K4029">
        <v>1.1095440000000001</v>
      </c>
      <c r="L4029">
        <v>140.08240000000001</v>
      </c>
      <c r="M4029">
        <v>-0.9998049</v>
      </c>
      <c r="N4029">
        <v>0</v>
      </c>
      <c r="O4029">
        <v>-1.6787010000000002E-2</v>
      </c>
      <c r="P4029">
        <v>-0.98601269999999996</v>
      </c>
      <c r="Q4029">
        <v>0.11043020000000001</v>
      </c>
      <c r="R4029">
        <v>-0.1248377</v>
      </c>
      <c r="S4029">
        <v>-3.0187680000000001</v>
      </c>
      <c r="T4029">
        <v>-0.2317109</v>
      </c>
      <c r="U4029">
        <v>-0.3938141</v>
      </c>
      <c r="V4029">
        <v>-0.1083679</v>
      </c>
      <c r="W4029">
        <v>0.1206241</v>
      </c>
      <c r="X4029">
        <v>0.98676560000000002</v>
      </c>
      <c r="Y4029">
        <v>-0.11241760000000001</v>
      </c>
      <c r="Z4029">
        <v>-3.0090770000000002E-3</v>
      </c>
      <c r="AA4029">
        <v>0.99365650000000005</v>
      </c>
      <c r="AB4029">
        <v>46</v>
      </c>
      <c r="AC4029">
        <v>-13.999199999999901</v>
      </c>
      <c r="AD4029">
        <v>-1.109545644954</v>
      </c>
      <c r="AE4029">
        <v>-1.8781000000000101</v>
      </c>
      <c r="AF4029">
        <v>-1.63274265955429</v>
      </c>
      <c r="AG4029">
        <v>-1.109545644954</v>
      </c>
      <c r="AH4029">
        <v>13.942719703286301</v>
      </c>
      <c r="AI4029">
        <v>94.519192297704905</v>
      </c>
      <c r="AJ4029">
        <v>96.679122020952306</v>
      </c>
      <c r="AK4029">
        <v>14.0817744924059</v>
      </c>
      <c r="AL4029">
        <v>83.071877913355706</v>
      </c>
      <c r="AM4029">
        <v>96.267183036033799</v>
      </c>
      <c r="AN4029">
        <v>1.00000006229728</v>
      </c>
    </row>
    <row r="4030" spans="1:40" x14ac:dyDescent="0.25">
      <c r="A4030" t="str">
        <f>"20190312151619151"</f>
        <v>20190312151619151</v>
      </c>
      <c r="B4030" t="str">
        <f>"1552374979142325"</f>
        <v>1552374979142325</v>
      </c>
      <c r="C4030" t="s">
        <v>40</v>
      </c>
      <c r="D4030">
        <v>4.4997879999999997</v>
      </c>
      <c r="E4030">
        <v>0.50071520000000003</v>
      </c>
      <c r="F4030" t="s">
        <v>43</v>
      </c>
      <c r="G4030">
        <v>-357.16269999999997</v>
      </c>
      <c r="H4030" s="1">
        <v>-1.451545E-6</v>
      </c>
      <c r="I4030">
        <v>138.19540000000001</v>
      </c>
      <c r="J4030">
        <v>-343.15289999999999</v>
      </c>
      <c r="K4030">
        <v>1.109551</v>
      </c>
      <c r="L4030">
        <v>140.07470000000001</v>
      </c>
      <c r="M4030">
        <v>-0.99979929999999995</v>
      </c>
      <c r="N4030">
        <v>0</v>
      </c>
      <c r="O4030">
        <v>-1.707527E-2</v>
      </c>
      <c r="P4030">
        <v>-0.9859734</v>
      </c>
      <c r="Q4030">
        <v>0.1102852</v>
      </c>
      <c r="R4030">
        <v>-0.1252741</v>
      </c>
      <c r="S4030">
        <v>-3.0185849999999999</v>
      </c>
      <c r="T4030">
        <v>-0.23172319999999999</v>
      </c>
      <c r="U4030">
        <v>-0.39405820000000003</v>
      </c>
      <c r="V4030">
        <v>-0.10852100000000001</v>
      </c>
      <c r="W4030">
        <v>0.12053800000000001</v>
      </c>
      <c r="X4030">
        <v>0.98675919999999895</v>
      </c>
      <c r="Y4030">
        <v>-0.11221920000000001</v>
      </c>
      <c r="Z4030">
        <v>-2.9798390000000002E-3</v>
      </c>
      <c r="AA4030">
        <v>0.99367899999999998</v>
      </c>
      <c r="AB4030">
        <v>46</v>
      </c>
      <c r="AC4030">
        <v>-14.009799999999901</v>
      </c>
      <c r="AD4030">
        <v>-1.1095524515449999</v>
      </c>
      <c r="AE4030">
        <v>-1.8793</v>
      </c>
      <c r="AF4030">
        <v>-1.6297500221124701</v>
      </c>
      <c r="AG4030">
        <v>-1.1095524515449999</v>
      </c>
      <c r="AH4030">
        <v>13.953871756072701</v>
      </c>
      <c r="AI4030">
        <v>94.515782879641606</v>
      </c>
      <c r="AJ4030">
        <v>96.6617098254127</v>
      </c>
      <c r="AK4030">
        <v>14.0924706408149</v>
      </c>
      <c r="AL4030">
        <v>83.076846681968604</v>
      </c>
      <c r="AM4030">
        <v>96.276006963518</v>
      </c>
      <c r="AN4030">
        <v>0.99999996783481904</v>
      </c>
    </row>
    <row r="4031" spans="1:40" x14ac:dyDescent="0.25">
      <c r="A4031" t="str">
        <f>"20190312151619165"</f>
        <v>20190312151619165</v>
      </c>
      <c r="B4031" t="str">
        <f>"1552374979161845"</f>
        <v>1552374979161845</v>
      </c>
      <c r="C4031" t="s">
        <v>40</v>
      </c>
      <c r="D4031">
        <v>4.5009329999999999</v>
      </c>
      <c r="E4031">
        <v>0.50071009999999905</v>
      </c>
      <c r="F4031" t="s">
        <v>43</v>
      </c>
      <c r="G4031">
        <v>-357.15089999999998</v>
      </c>
      <c r="H4031" s="1">
        <v>-1.4481529999999999E-6</v>
      </c>
      <c r="I4031">
        <v>138.24299999999999</v>
      </c>
      <c r="J4031">
        <v>-343.4434</v>
      </c>
      <c r="K4031">
        <v>1.109559</v>
      </c>
      <c r="L4031">
        <v>140.06960000000001</v>
      </c>
      <c r="M4031">
        <v>-0.99979560000000001</v>
      </c>
      <c r="N4031">
        <v>0</v>
      </c>
      <c r="O4031">
        <v>-1.7264979999999999E-2</v>
      </c>
      <c r="P4031">
        <v>-0.98597869999999999</v>
      </c>
      <c r="Q4031">
        <v>0.11011369999999999</v>
      </c>
      <c r="R4031">
        <v>-0.12538379999999999</v>
      </c>
      <c r="S4031">
        <v>-3.0192260000000002</v>
      </c>
      <c r="T4031">
        <v>-0.2393187</v>
      </c>
      <c r="U4031">
        <v>-0.39506530000000001</v>
      </c>
      <c r="V4031">
        <v>-0.1084431</v>
      </c>
      <c r="W4031">
        <v>0.12041300000000001</v>
      </c>
      <c r="X4031">
        <v>0.98678299999999997</v>
      </c>
      <c r="Y4031">
        <v>-0.1123116</v>
      </c>
      <c r="Z4031">
        <v>-3.0652050000000001E-3</v>
      </c>
      <c r="AA4031">
        <v>0.99366829999999995</v>
      </c>
      <c r="AB4031">
        <v>46</v>
      </c>
      <c r="AC4031">
        <v>-13.7074999999999</v>
      </c>
      <c r="AD4031">
        <v>-1.1095604481529999</v>
      </c>
      <c r="AE4031">
        <v>-1.82660000000001</v>
      </c>
      <c r="AF4031">
        <v>-1.5794863952454301</v>
      </c>
      <c r="AG4031">
        <v>-1.1095604481529999</v>
      </c>
      <c r="AH4031">
        <v>13.6491235139026</v>
      </c>
      <c r="AI4031">
        <v>94.616776988156602</v>
      </c>
      <c r="AJ4031">
        <v>96.6009482651545</v>
      </c>
      <c r="AK4031">
        <v>13.784936501799301</v>
      </c>
      <c r="AL4031">
        <v>83.084061029047405</v>
      </c>
      <c r="AM4031">
        <v>96.271387690815502</v>
      </c>
      <c r="AN4031">
        <v>0.99999994279780302</v>
      </c>
    </row>
    <row r="4032" spans="1:40" x14ac:dyDescent="0.25">
      <c r="A4032" t="str">
        <f>"20190312151619177"</f>
        <v>20190312151619177</v>
      </c>
      <c r="B4032" t="str">
        <f>"1552374979171605"</f>
        <v>1552374979171605</v>
      </c>
      <c r="C4032" t="s">
        <v>40</v>
      </c>
      <c r="D4032">
        <v>4.4792319999999997</v>
      </c>
      <c r="E4032">
        <v>0.50067839999999997</v>
      </c>
      <c r="F4032" t="s">
        <v>43</v>
      </c>
      <c r="G4032">
        <v>-357.27460000000002</v>
      </c>
      <c r="H4032" s="1">
        <v>-1.392475E-6</v>
      </c>
      <c r="I4032">
        <v>138.2578</v>
      </c>
      <c r="J4032">
        <v>-343.69279999999998</v>
      </c>
      <c r="K4032">
        <v>1.109569</v>
      </c>
      <c r="L4032">
        <v>140.0652</v>
      </c>
      <c r="M4032">
        <v>-0.99979229999999997</v>
      </c>
      <c r="N4032">
        <v>0</v>
      </c>
      <c r="O4032">
        <v>-1.7427959999999999E-2</v>
      </c>
      <c r="P4032">
        <v>-0.98597650000000003</v>
      </c>
      <c r="Q4032">
        <v>0.1098802</v>
      </c>
      <c r="R4032">
        <v>-0.125607</v>
      </c>
      <c r="S4032">
        <v>-3.0193789999999998</v>
      </c>
      <c r="T4032">
        <v>-0.24222050000000001</v>
      </c>
      <c r="U4032">
        <v>-0.39550780000000002</v>
      </c>
      <c r="V4032">
        <v>-0.1085059</v>
      </c>
      <c r="W4032">
        <v>0.1202218</v>
      </c>
      <c r="X4032">
        <v>0.98679950000000005</v>
      </c>
      <c r="Y4032">
        <v>-0.1122798</v>
      </c>
      <c r="Z4032">
        <v>-3.087813E-3</v>
      </c>
      <c r="AA4032">
        <v>0.99367179999999999</v>
      </c>
      <c r="AB4032">
        <v>46</v>
      </c>
      <c r="AC4032">
        <v>-13.581799999999999</v>
      </c>
      <c r="AD4032">
        <v>-1.109570392475</v>
      </c>
      <c r="AE4032">
        <v>-1.8073999999999999</v>
      </c>
      <c r="AF4032">
        <v>-1.5601775402153799</v>
      </c>
      <c r="AG4032">
        <v>-1.109570392475</v>
      </c>
      <c r="AH4032">
        <v>13.5225571042462</v>
      </c>
      <c r="AI4032">
        <v>94.660022970817806</v>
      </c>
      <c r="AJ4032">
        <v>96.581453299245993</v>
      </c>
      <c r="AK4032">
        <v>13.6574101150419</v>
      </c>
      <c r="AL4032">
        <v>83.0950967691046</v>
      </c>
      <c r="AM4032">
        <v>96.274886437663</v>
      </c>
      <c r="AN4032">
        <v>1.0000000323651399</v>
      </c>
    </row>
    <row r="4033" spans="1:40" x14ac:dyDescent="0.25">
      <c r="A4033" t="str">
        <f>"20190312151619189"</f>
        <v>20190312151619189</v>
      </c>
      <c r="B4033" t="str">
        <f>"1552374979182341"</f>
        <v>1552374979182341</v>
      </c>
      <c r="C4033" t="s">
        <v>40</v>
      </c>
      <c r="D4033">
        <v>4.4962070000000001</v>
      </c>
      <c r="E4033">
        <v>0.50070689999999995</v>
      </c>
      <c r="F4033" t="s">
        <v>43</v>
      </c>
      <c r="G4033">
        <v>-357.30489999999998</v>
      </c>
      <c r="H4033" s="1">
        <v>-1.3759659999999999E-6</v>
      </c>
      <c r="I4033">
        <v>138.27770000000001</v>
      </c>
      <c r="J4033">
        <v>-343.95229999999998</v>
      </c>
      <c r="K4033">
        <v>1.109578</v>
      </c>
      <c r="L4033">
        <v>140.06059999999999</v>
      </c>
      <c r="M4033">
        <v>-0.99978880000000003</v>
      </c>
      <c r="N4033">
        <v>0</v>
      </c>
      <c r="O4033">
        <v>-1.7597769999999999E-2</v>
      </c>
      <c r="P4033">
        <v>-0.98595739999999998</v>
      </c>
      <c r="Q4033">
        <v>0.1098561</v>
      </c>
      <c r="R4033">
        <v>-0.1257761</v>
      </c>
      <c r="S4033">
        <v>-3.0196230000000002</v>
      </c>
      <c r="T4033">
        <v>-0.2461411</v>
      </c>
      <c r="U4033">
        <v>-0.3965302</v>
      </c>
      <c r="V4033">
        <v>-0.1085079</v>
      </c>
      <c r="W4033">
        <v>0.1202464</v>
      </c>
      <c r="X4033">
        <v>0.98679629999999996</v>
      </c>
      <c r="Y4033">
        <v>-0.1124218</v>
      </c>
      <c r="Z4033">
        <v>-3.1293150000000001E-3</v>
      </c>
      <c r="AA4033">
        <v>0.99365559999999997</v>
      </c>
      <c r="AB4033">
        <v>46</v>
      </c>
      <c r="AC4033">
        <v>-13.352599999999899</v>
      </c>
      <c r="AD4033">
        <v>-1.109579375966</v>
      </c>
      <c r="AE4033">
        <v>-1.7828999999999799</v>
      </c>
      <c r="AF4033">
        <v>-1.53720566781704</v>
      </c>
      <c r="AG4033">
        <v>-1.109579375966</v>
      </c>
      <c r="AH4033">
        <v>13.291732711291299</v>
      </c>
      <c r="AI4033">
        <v>94.740473383029595</v>
      </c>
      <c r="AJ4033">
        <v>96.597021217282702</v>
      </c>
      <c r="AK4033">
        <v>13.426255104277899</v>
      </c>
      <c r="AL4033">
        <v>83.093677111420604</v>
      </c>
      <c r="AM4033">
        <v>96.275021361208502</v>
      </c>
      <c r="AN4033">
        <v>1.00000004938452</v>
      </c>
    </row>
    <row r="4034" spans="1:40" x14ac:dyDescent="0.25">
      <c r="A4034" t="str">
        <f>"20190312151619203"</f>
        <v>20190312151619203</v>
      </c>
      <c r="B4034" t="str">
        <f>"1552374979191522"</f>
        <v>1552374979191522</v>
      </c>
      <c r="C4034" t="s">
        <v>40</v>
      </c>
      <c r="D4034">
        <v>4.4301769999999996</v>
      </c>
      <c r="E4034">
        <v>0.50068579999999996</v>
      </c>
      <c r="F4034" t="s">
        <v>43</v>
      </c>
      <c r="G4034">
        <v>-357.40120000000002</v>
      </c>
      <c r="H4034" s="1">
        <v>-1.3320469999999999E-6</v>
      </c>
      <c r="I4034">
        <v>138.29220000000001</v>
      </c>
      <c r="J4034">
        <v>-344.20940000000002</v>
      </c>
      <c r="K4034">
        <v>1.1095889999999999</v>
      </c>
      <c r="L4034">
        <v>140.05600000000001</v>
      </c>
      <c r="M4034">
        <v>-0.99978529999999999</v>
      </c>
      <c r="N4034">
        <v>0</v>
      </c>
      <c r="O4034">
        <v>-1.776664E-2</v>
      </c>
      <c r="P4034">
        <v>-0.98595730000000004</v>
      </c>
      <c r="Q4034">
        <v>0.10952720000000001</v>
      </c>
      <c r="R4034">
        <v>-0.12606510000000001</v>
      </c>
      <c r="S4034">
        <v>-3.0198360000000002</v>
      </c>
      <c r="T4034">
        <v>-0.24914610000000001</v>
      </c>
      <c r="U4034">
        <v>-0.39706419999999998</v>
      </c>
      <c r="V4034">
        <v>-0.10863009999999999</v>
      </c>
      <c r="W4034">
        <v>0.11996900000000001</v>
      </c>
      <c r="X4034">
        <v>0.98681660000000004</v>
      </c>
      <c r="Y4034">
        <v>-0.11241080000000001</v>
      </c>
      <c r="Z4034">
        <v>-3.1528390000000002E-3</v>
      </c>
      <c r="AA4034">
        <v>0.99365680000000001</v>
      </c>
      <c r="AB4034">
        <v>46</v>
      </c>
      <c r="AC4034">
        <v>-13.191800000000001</v>
      </c>
      <c r="AD4034">
        <v>-1.109590332047</v>
      </c>
      <c r="AE4034">
        <v>-1.7638</v>
      </c>
      <c r="AF4034">
        <v>-1.51857925531801</v>
      </c>
      <c r="AG4034">
        <v>-1.109590332047</v>
      </c>
      <c r="AH4034">
        <v>13.1297962653673</v>
      </c>
      <c r="AI4034">
        <v>94.7987116109732</v>
      </c>
      <c r="AJ4034">
        <v>96.597459338054193</v>
      </c>
      <c r="AK4034">
        <v>13.263816329763699</v>
      </c>
      <c r="AL4034">
        <v>83.109686727982705</v>
      </c>
      <c r="AM4034">
        <v>96.281903534026895</v>
      </c>
      <c r="AN4034">
        <v>1.00000003081128</v>
      </c>
    </row>
    <row r="4035" spans="1:40" x14ac:dyDescent="0.25">
      <c r="A4035" t="str">
        <f>"20190312151619218"</f>
        <v>20190312151619218</v>
      </c>
      <c r="B4035" t="str">
        <f>"1552374979212022"</f>
        <v>1552374979212022</v>
      </c>
      <c r="C4035" t="s">
        <v>40</v>
      </c>
      <c r="D4035">
        <v>4.4765059999999997</v>
      </c>
      <c r="E4035">
        <v>0.50071509999999997</v>
      </c>
      <c r="F4035" t="s">
        <v>43</v>
      </c>
      <c r="G4035">
        <v>-357.61430000000001</v>
      </c>
      <c r="H4035" s="1">
        <v>-1.2413319999999999E-6</v>
      </c>
      <c r="I4035">
        <v>138.28829999999999</v>
      </c>
      <c r="J4035">
        <v>-344.53449999999998</v>
      </c>
      <c r="K4035">
        <v>1.1096090000000001</v>
      </c>
      <c r="L4035">
        <v>140.05000000000001</v>
      </c>
      <c r="M4035">
        <v>-0.99978069999999997</v>
      </c>
      <c r="N4035">
        <v>0</v>
      </c>
      <c r="O4035">
        <v>-1.797984E-2</v>
      </c>
      <c r="P4035">
        <v>-0.9859038</v>
      </c>
      <c r="Q4035">
        <v>0.1093479</v>
      </c>
      <c r="R4035">
        <v>-0.1266379</v>
      </c>
      <c r="S4035">
        <v>-3.0196230000000002</v>
      </c>
      <c r="T4035">
        <v>-0.24995039999999999</v>
      </c>
      <c r="U4035">
        <v>-0.39817809999999998</v>
      </c>
      <c r="V4035">
        <v>-0.10899349999999999</v>
      </c>
      <c r="W4035">
        <v>0.1198573</v>
      </c>
      <c r="X4035">
        <v>0.9867901</v>
      </c>
      <c r="Y4035">
        <v>-0.1125664</v>
      </c>
      <c r="Z4035">
        <v>-3.1520010000000002E-3</v>
      </c>
      <c r="AA4035">
        <v>0.99363919999999994</v>
      </c>
      <c r="AB4035">
        <v>46</v>
      </c>
      <c r="AC4035">
        <v>-13.079800000000001</v>
      </c>
      <c r="AD4035">
        <v>-1.1096102413319999</v>
      </c>
      <c r="AE4035">
        <v>-1.76170000000001</v>
      </c>
      <c r="AF4035">
        <v>-1.5155164059736099</v>
      </c>
      <c r="AG4035">
        <v>-1.1096102413319999</v>
      </c>
      <c r="AH4035">
        <v>13.017348440601401</v>
      </c>
      <c r="AI4035">
        <v>94.839633436455202</v>
      </c>
      <c r="AJ4035">
        <v>96.640640850510394</v>
      </c>
      <c r="AK4035">
        <v>13.1521627608721</v>
      </c>
      <c r="AL4035">
        <v>83.1161331650204</v>
      </c>
      <c r="AM4035">
        <v>96.302917423624393</v>
      </c>
      <c r="AN4035">
        <v>1.00000002843177</v>
      </c>
    </row>
    <row r="4036" spans="1:40" x14ac:dyDescent="0.25">
      <c r="A4036" t="str">
        <f>"20190312151619233"</f>
        <v>20190312151619233</v>
      </c>
      <c r="B4036" t="str">
        <f>"1552374979221783"</f>
        <v>1552374979221783</v>
      </c>
      <c r="C4036" t="s">
        <v>40</v>
      </c>
      <c r="D4036">
        <v>4.4295859999999996</v>
      </c>
      <c r="E4036">
        <v>0.50070379999999903</v>
      </c>
      <c r="F4036" t="s">
        <v>43</v>
      </c>
      <c r="G4036">
        <v>-358.50830000000002</v>
      </c>
      <c r="H4036" s="1">
        <v>-8.732299E-7</v>
      </c>
      <c r="I4036">
        <v>138.20140000000001</v>
      </c>
      <c r="J4036">
        <v>-344.83710000000002</v>
      </c>
      <c r="K4036">
        <v>1.109621</v>
      </c>
      <c r="L4036">
        <v>140.0445</v>
      </c>
      <c r="M4036">
        <v>-0.99977640000000001</v>
      </c>
      <c r="N4036">
        <v>0</v>
      </c>
      <c r="O4036">
        <v>-1.8178730000000001E-2</v>
      </c>
      <c r="P4036">
        <v>-0.98587999999999998</v>
      </c>
      <c r="Q4036">
        <v>0.1091883</v>
      </c>
      <c r="R4036">
        <v>-0.1269602</v>
      </c>
      <c r="S4036">
        <v>-3.0181879999999999</v>
      </c>
      <c r="T4036">
        <v>-0.23966399999999999</v>
      </c>
      <c r="U4036">
        <v>-0.39926149999999999</v>
      </c>
      <c r="V4036">
        <v>-0.10911989999999901</v>
      </c>
      <c r="W4036">
        <v>0.11976349999999999</v>
      </c>
      <c r="X4036">
        <v>0.98678750000000004</v>
      </c>
      <c r="Y4036">
        <v>-0.11280560000000001</v>
      </c>
      <c r="Z4036">
        <v>-3.017797E-3</v>
      </c>
      <c r="AA4036">
        <v>0.99361250000000001</v>
      </c>
      <c r="AB4036">
        <v>46</v>
      </c>
      <c r="AC4036">
        <v>-13.671200000000001</v>
      </c>
      <c r="AD4036">
        <v>-1.1096218732298999</v>
      </c>
      <c r="AE4036">
        <v>-1.84309999999999</v>
      </c>
      <c r="AF4036">
        <v>-1.58400708548602</v>
      </c>
      <c r="AG4036">
        <v>-1.1096218732298999</v>
      </c>
      <c r="AH4036">
        <v>13.614360873397001</v>
      </c>
      <c r="AI4036">
        <v>94.628438230298102</v>
      </c>
      <c r="AJ4036">
        <v>96.636425536930702</v>
      </c>
      <c r="AK4036">
        <v>13.7510421837584</v>
      </c>
      <c r="AL4036">
        <v>83.121546370376706</v>
      </c>
      <c r="AM4036">
        <v>96.310184493397102</v>
      </c>
      <c r="AN4036">
        <v>1.0000000093322501</v>
      </c>
    </row>
    <row r="4037" spans="1:40" x14ac:dyDescent="0.25">
      <c r="A4037" t="str">
        <f>"20190312151619251"</f>
        <v>20190312151619251</v>
      </c>
      <c r="B4037" t="str">
        <f>"1552374979242278"</f>
        <v>1552374979242278</v>
      </c>
      <c r="C4037" t="s">
        <v>40</v>
      </c>
      <c r="D4037">
        <v>4.4336359999999999</v>
      </c>
      <c r="E4037">
        <v>0.50074300000000005</v>
      </c>
      <c r="F4037" t="s">
        <v>43</v>
      </c>
      <c r="G4037">
        <v>-359.00959999999998</v>
      </c>
      <c r="H4037" s="1">
        <v>-7.0921240000000001E-7</v>
      </c>
      <c r="I4037">
        <v>138.1651</v>
      </c>
      <c r="J4037">
        <v>-345.2038</v>
      </c>
      <c r="K4037">
        <v>1.109632</v>
      </c>
      <c r="L4037">
        <v>140.0377</v>
      </c>
      <c r="M4037">
        <v>-0.99977099999999997</v>
      </c>
      <c r="N4037">
        <v>0</v>
      </c>
      <c r="O4037">
        <v>-1.8419439999999999E-2</v>
      </c>
      <c r="P4037">
        <v>-0.98580809999999996</v>
      </c>
      <c r="Q4037">
        <v>0.10916679999999999</v>
      </c>
      <c r="R4037">
        <v>-0.1275347</v>
      </c>
      <c r="S4037">
        <v>-3.0176090000000002</v>
      </c>
      <c r="T4037">
        <v>-0.2362611</v>
      </c>
      <c r="U4037">
        <v>-0.40014650000000002</v>
      </c>
      <c r="V4037">
        <v>-0.10945779999999999</v>
      </c>
      <c r="W4037">
        <v>0.1198255</v>
      </c>
      <c r="X4037">
        <v>0.98674260000000003</v>
      </c>
      <c r="Y4037">
        <v>-0.11288620000000001</v>
      </c>
      <c r="Z4037">
        <v>-2.9599990000000001E-3</v>
      </c>
      <c r="AA4037">
        <v>0.99360349999999997</v>
      </c>
      <c r="AB4037">
        <v>46</v>
      </c>
      <c r="AC4037">
        <v>-13.8057999999999</v>
      </c>
      <c r="AD4037">
        <v>-1.1096327092124001</v>
      </c>
      <c r="AE4037">
        <v>-1.8726</v>
      </c>
      <c r="AF4037">
        <v>-1.6077734257402501</v>
      </c>
      <c r="AG4037">
        <v>-1.1096327092124001</v>
      </c>
      <c r="AH4037">
        <v>13.7507263176176</v>
      </c>
      <c r="AI4037">
        <v>94.582477542040294</v>
      </c>
      <c r="AJ4037">
        <v>96.668902923106401</v>
      </c>
      <c r="AK4037">
        <v>13.8887974425395</v>
      </c>
      <c r="AL4037">
        <v>83.117968612327601</v>
      </c>
      <c r="AM4037">
        <v>96.329851900338497</v>
      </c>
      <c r="AN4037">
        <v>1.0000000595429199</v>
      </c>
    </row>
    <row r="4038" spans="1:40" x14ac:dyDescent="0.25">
      <c r="A4038" t="str">
        <f>"20190312151619267"</f>
        <v>20190312151619267</v>
      </c>
      <c r="B4038" t="str">
        <f>"1552374979261799"</f>
        <v>1552374979261799</v>
      </c>
      <c r="C4038" t="s">
        <v>40</v>
      </c>
      <c r="D4038">
        <v>4.4601920000000002</v>
      </c>
      <c r="E4038">
        <v>0.5006969</v>
      </c>
      <c r="F4038" t="s">
        <v>43</v>
      </c>
      <c r="G4038">
        <v>-359.8288</v>
      </c>
      <c r="H4038" s="1">
        <v>-4.4983660000000001E-7</v>
      </c>
      <c r="I4038">
        <v>138.09219999999999</v>
      </c>
      <c r="J4038">
        <v>-345.52140000000003</v>
      </c>
      <c r="K4038">
        <v>1.1096429999999999</v>
      </c>
      <c r="L4038">
        <v>140.0316</v>
      </c>
      <c r="M4038">
        <v>-0.99976640000000006</v>
      </c>
      <c r="N4038">
        <v>0</v>
      </c>
      <c r="O4038">
        <v>-1.8628260000000001E-2</v>
      </c>
      <c r="P4038">
        <v>-0.98578750000000004</v>
      </c>
      <c r="Q4038">
        <v>0.1090898</v>
      </c>
      <c r="R4038">
        <v>-0.12776170000000001</v>
      </c>
      <c r="S4038">
        <v>-3.016632</v>
      </c>
      <c r="T4038">
        <v>-0.22888</v>
      </c>
      <c r="U4038">
        <v>-0.40126040000000002</v>
      </c>
      <c r="V4038">
        <v>-0.10947900000000001</v>
      </c>
      <c r="W4038">
        <v>0.1198222</v>
      </c>
      <c r="X4038">
        <v>0.98674059999999997</v>
      </c>
      <c r="Y4038">
        <v>-0.1130984</v>
      </c>
      <c r="Z4038">
        <v>-2.8609009999999999E-3</v>
      </c>
      <c r="AA4038">
        <v>0.99357969999999896</v>
      </c>
      <c r="AB4038">
        <v>46</v>
      </c>
      <c r="AC4038">
        <v>-14.3073999999999</v>
      </c>
      <c r="AD4038">
        <v>-1.1096434498365999</v>
      </c>
      <c r="AE4038">
        <v>-1.9394</v>
      </c>
      <c r="AF4038">
        <v>-1.6627045148535999</v>
      </c>
      <c r="AG4038">
        <v>-1.1096434498365999</v>
      </c>
      <c r="AH4038">
        <v>14.256837364455301</v>
      </c>
      <c r="AI4038">
        <v>94.420651938002493</v>
      </c>
      <c r="AJ4038">
        <v>96.652073167165497</v>
      </c>
      <c r="AK4038">
        <v>14.396294888825</v>
      </c>
      <c r="AL4038">
        <v>83.118158727421701</v>
      </c>
      <c r="AM4038">
        <v>96.331080652466099</v>
      </c>
      <c r="AN4038">
        <v>1.0000000113710901</v>
      </c>
    </row>
    <row r="4039" spans="1:40" x14ac:dyDescent="0.25">
      <c r="A4039" t="str">
        <f>"20190312151619279"</f>
        <v>20190312151619279</v>
      </c>
      <c r="B4039" t="str">
        <f>"1552374979271558"</f>
        <v>1552374979271558</v>
      </c>
      <c r="C4039" t="s">
        <v>40</v>
      </c>
      <c r="D4039">
        <v>4.3940060000000001</v>
      </c>
      <c r="E4039">
        <v>0.50072289999999997</v>
      </c>
      <c r="F4039" t="s">
        <v>43</v>
      </c>
      <c r="G4039">
        <v>-360.54790000000003</v>
      </c>
      <c r="H4039" s="1">
        <v>-4.3189579999999998E-6</v>
      </c>
      <c r="I4039">
        <v>138.02799999999999</v>
      </c>
      <c r="J4039">
        <v>-345.76650000000001</v>
      </c>
      <c r="K4039">
        <v>1.109653</v>
      </c>
      <c r="L4039">
        <v>140.02699999999999</v>
      </c>
      <c r="M4039">
        <v>-0.99976279999999995</v>
      </c>
      <c r="N4039">
        <v>0</v>
      </c>
      <c r="O4039">
        <v>-1.8789429999999999E-2</v>
      </c>
      <c r="P4039">
        <v>-0.98572490000000001</v>
      </c>
      <c r="Q4039">
        <v>0.1091897</v>
      </c>
      <c r="R4039">
        <v>-0.1281561</v>
      </c>
      <c r="S4039">
        <v>-3.0157780000000001</v>
      </c>
      <c r="T4039">
        <v>-0.2227044</v>
      </c>
      <c r="U4039">
        <v>-0.4021149</v>
      </c>
      <c r="V4039">
        <v>-0.10971590000000001</v>
      </c>
      <c r="W4039">
        <v>0.1199808</v>
      </c>
      <c r="X4039">
        <v>0.98669499999999999</v>
      </c>
      <c r="Y4039">
        <v>-0.1132657</v>
      </c>
      <c r="Z4039">
        <v>-2.7789609999999999E-3</v>
      </c>
      <c r="AA4039">
        <v>0.99356089999999997</v>
      </c>
      <c r="AB4039">
        <v>46</v>
      </c>
      <c r="AC4039">
        <v>-14.7814</v>
      </c>
      <c r="AD4039">
        <v>-1.1096573189579999</v>
      </c>
      <c r="AE4039">
        <v>-1.9990000000000201</v>
      </c>
      <c r="AF4039">
        <v>-1.7114243183819</v>
      </c>
      <c r="AG4039">
        <v>-1.1096573189579999</v>
      </c>
      <c r="AH4039">
        <v>14.7348033447948</v>
      </c>
      <c r="AI4039">
        <v>94.278083011819206</v>
      </c>
      <c r="AJ4039">
        <v>96.625129418856602</v>
      </c>
      <c r="AK4039">
        <v>14.875306456434499</v>
      </c>
      <c r="AL4039">
        <v>83.109005485070796</v>
      </c>
      <c r="AM4039">
        <v>96.344959611460396</v>
      </c>
      <c r="AN4039">
        <v>0.99999999705322495</v>
      </c>
    </row>
    <row r="4040" spans="1:40" x14ac:dyDescent="0.25">
      <c r="A4040" t="str">
        <f>"20190312151619291"</f>
        <v>20190312151619291</v>
      </c>
      <c r="B4040" t="str">
        <f>"1552374979282294"</f>
        <v>1552374979282294</v>
      </c>
      <c r="C4040" t="s">
        <v>40</v>
      </c>
      <c r="D4040">
        <v>4.4203929999999998</v>
      </c>
      <c r="E4040">
        <v>0.50077269999999996</v>
      </c>
      <c r="F4040" t="s">
        <v>43</v>
      </c>
      <c r="G4040">
        <v>-361.00749999999999</v>
      </c>
      <c r="H4040" s="1">
        <v>-4.1285759999999999E-6</v>
      </c>
      <c r="I4040">
        <v>137.9897</v>
      </c>
      <c r="J4040">
        <v>-346.02269999999999</v>
      </c>
      <c r="K4040">
        <v>1.109666</v>
      </c>
      <c r="L4040">
        <v>140.02199999999999</v>
      </c>
      <c r="M4040">
        <v>-0.99975879999999995</v>
      </c>
      <c r="N4040">
        <v>0</v>
      </c>
      <c r="O4040">
        <v>-1.8958139999999998E-2</v>
      </c>
      <c r="P4040">
        <v>-0.9857283</v>
      </c>
      <c r="Q4040">
        <v>0.1087355</v>
      </c>
      <c r="R4040">
        <v>-0.1285153</v>
      </c>
      <c r="S4040">
        <v>-3.0153810000000001</v>
      </c>
      <c r="T4040">
        <v>-0.2195423</v>
      </c>
      <c r="U4040">
        <v>-0.40304570000000001</v>
      </c>
      <c r="V4040">
        <v>-0.1099084</v>
      </c>
      <c r="W4040">
        <v>0.11959119999999999</v>
      </c>
      <c r="X4040">
        <v>0.98672090000000001</v>
      </c>
      <c r="Y4040">
        <v>-0.1134235</v>
      </c>
      <c r="Z4040">
        <v>-2.733418E-3</v>
      </c>
      <c r="AA4040">
        <v>0.99354299999999995</v>
      </c>
      <c r="AB4040">
        <v>46</v>
      </c>
      <c r="AC4040">
        <v>-14.9848</v>
      </c>
      <c r="AD4040">
        <v>-1.109670128576</v>
      </c>
      <c r="AE4040">
        <v>-2.0323000000000202</v>
      </c>
      <c r="AF4040">
        <v>-1.7384719723345401</v>
      </c>
      <c r="AG4040">
        <v>-1.109670128576</v>
      </c>
      <c r="AH4040">
        <v>14.940187552714001</v>
      </c>
      <c r="AI4040">
        <v>94.219431149886802</v>
      </c>
      <c r="AJ4040">
        <v>96.637209804334304</v>
      </c>
      <c r="AK4040">
        <v>15.081871790435001</v>
      </c>
      <c r="AL4040">
        <v>83.131489993199196</v>
      </c>
      <c r="AM4040">
        <v>96.355835543875401</v>
      </c>
      <c r="AN4040">
        <v>1.0000000230024</v>
      </c>
    </row>
    <row r="4041" spans="1:40" x14ac:dyDescent="0.25">
      <c r="A4041" t="str">
        <f>"20190312151619304"</f>
        <v>20190312151619304</v>
      </c>
      <c r="B4041" t="str">
        <f>"1552374979301814"</f>
        <v>1552374979301814</v>
      </c>
      <c r="C4041" t="s">
        <v>40</v>
      </c>
      <c r="D4041">
        <v>4.4132699999999998</v>
      </c>
      <c r="E4041">
        <v>0.5008243</v>
      </c>
      <c r="F4041" t="s">
        <v>43</v>
      </c>
      <c r="G4041">
        <v>-361.00810000000001</v>
      </c>
      <c r="H4041" s="1">
        <v>-4.1236260000000001E-6</v>
      </c>
      <c r="I4041">
        <v>138.01609999999999</v>
      </c>
      <c r="J4041">
        <v>-346.2851</v>
      </c>
      <c r="K4041">
        <v>1.109675</v>
      </c>
      <c r="L4041">
        <v>140.017</v>
      </c>
      <c r="M4041">
        <v>-0.9997547</v>
      </c>
      <c r="N4041">
        <v>0</v>
      </c>
      <c r="O4041">
        <v>-1.9130939999999999E-2</v>
      </c>
      <c r="P4041">
        <v>-0.98567059999999995</v>
      </c>
      <c r="Q4041">
        <v>0.1088962</v>
      </c>
      <c r="R4041">
        <v>-0.12882289999999999</v>
      </c>
      <c r="S4041">
        <v>-3.0154420000000002</v>
      </c>
      <c r="T4041">
        <v>-0.2232941</v>
      </c>
      <c r="U4041">
        <v>-0.40364070000000002</v>
      </c>
      <c r="V4041">
        <v>-0.110046</v>
      </c>
      <c r="W4041">
        <v>0.11982080000000001</v>
      </c>
      <c r="X4041">
        <v>0.98667769999999999</v>
      </c>
      <c r="Y4041">
        <v>-0.1134338</v>
      </c>
      <c r="Z4041">
        <v>-2.7675769999999998E-3</v>
      </c>
      <c r="AA4041">
        <v>0.99354169999999997</v>
      </c>
      <c r="AB4041">
        <v>46</v>
      </c>
      <c r="AC4041">
        <v>-14.723000000000001</v>
      </c>
      <c r="AD4041">
        <v>-1.109679123626</v>
      </c>
      <c r="AE4041">
        <v>-2.0009000000000001</v>
      </c>
      <c r="AF4041">
        <v>-1.70931735493224</v>
      </c>
      <c r="AG4041">
        <v>-1.109679123626</v>
      </c>
      <c r="AH4041">
        <v>14.676724470587899</v>
      </c>
      <c r="AI4041">
        <v>94.294877944467302</v>
      </c>
      <c r="AJ4041">
        <v>96.642996942483904</v>
      </c>
      <c r="AK4041">
        <v>14.817536730605299</v>
      </c>
      <c r="AL4041">
        <v>83.118239548380899</v>
      </c>
      <c r="AM4041">
        <v>96.364003842547405</v>
      </c>
      <c r="AN4041">
        <v>1.00000001495296</v>
      </c>
    </row>
    <row r="4042" spans="1:40" x14ac:dyDescent="0.25">
      <c r="A4042" t="str">
        <f>"20190312151619320"</f>
        <v>20190312151619320</v>
      </c>
      <c r="B4042" t="str">
        <f>"1552374979311576"</f>
        <v>1552374979311576</v>
      </c>
      <c r="C4042" t="s">
        <v>40</v>
      </c>
      <c r="D4042">
        <v>4.3935810000000002</v>
      </c>
      <c r="E4042">
        <v>0.5008437</v>
      </c>
      <c r="F4042" t="s">
        <v>43</v>
      </c>
      <c r="G4042">
        <v>-361.13330000000002</v>
      </c>
      <c r="H4042" s="1">
        <v>-4.0683459999999997E-6</v>
      </c>
      <c r="I4042">
        <v>138.02510000000001</v>
      </c>
      <c r="J4042">
        <v>-346.59269999999998</v>
      </c>
      <c r="K4042">
        <v>1.1096900000000001</v>
      </c>
      <c r="L4042">
        <v>140.01089999999999</v>
      </c>
      <c r="M4042">
        <v>-0.99974980000000002</v>
      </c>
      <c r="N4042">
        <v>0</v>
      </c>
      <c r="O4042">
        <v>-1.933412E-2</v>
      </c>
      <c r="P4042">
        <v>-0.98562309999999997</v>
      </c>
      <c r="Q4042">
        <v>0.1086616</v>
      </c>
      <c r="R4042">
        <v>-0.12938239999999901</v>
      </c>
      <c r="S4042">
        <v>-3.0155940000000001</v>
      </c>
      <c r="T4042">
        <v>-0.22537080000000001</v>
      </c>
      <c r="U4042">
        <v>-0.40452579999999999</v>
      </c>
      <c r="V4042">
        <v>-0.11040609999999999</v>
      </c>
      <c r="W4042">
        <v>0.11966980000000001</v>
      </c>
      <c r="X4042">
        <v>0.98665579999999997</v>
      </c>
      <c r="Y4042">
        <v>-0.113507399999999</v>
      </c>
      <c r="Z4042">
        <v>-2.7806990000000002E-3</v>
      </c>
      <c r="AA4042">
        <v>0.99353329999999995</v>
      </c>
      <c r="AB4042">
        <v>46</v>
      </c>
      <c r="AC4042">
        <v>-14.5406</v>
      </c>
      <c r="AD4042">
        <v>-1.1096940683459999</v>
      </c>
      <c r="AE4042">
        <v>-1.98579999999998</v>
      </c>
      <c r="AF4042">
        <v>-1.6945922129526301</v>
      </c>
      <c r="AG4042">
        <v>-1.1096940683459999</v>
      </c>
      <c r="AH4042">
        <v>14.4934098106979</v>
      </c>
      <c r="AI4042">
        <v>94.348823422094497</v>
      </c>
      <c r="AJ4042">
        <v>96.668833323449405</v>
      </c>
      <c r="AK4042">
        <v>14.6342745510106</v>
      </c>
      <c r="AL4042">
        <v>83.126953933659806</v>
      </c>
      <c r="AM4042">
        <v>96.384797425269298</v>
      </c>
      <c r="AN4042">
        <v>1.0000000178114401</v>
      </c>
    </row>
    <row r="4043" spans="1:40" x14ac:dyDescent="0.25">
      <c r="A4043" t="str">
        <f>"20190312151619342"</f>
        <v>20190312151619342</v>
      </c>
      <c r="B4043" t="str">
        <f>"1552374979331719"</f>
        <v>1552374979331719</v>
      </c>
      <c r="C4043" t="s">
        <v>40</v>
      </c>
      <c r="D4043">
        <v>4.4148969999999998</v>
      </c>
      <c r="E4043">
        <v>0.50095699999999999</v>
      </c>
      <c r="F4043" t="s">
        <v>43</v>
      </c>
      <c r="G4043">
        <v>-361.37610000000001</v>
      </c>
      <c r="H4043" s="1">
        <v>-3.9650829999999997E-6</v>
      </c>
      <c r="I4043">
        <v>138.01990000000001</v>
      </c>
      <c r="J4043">
        <v>-347.04629999999997</v>
      </c>
      <c r="K4043">
        <v>1.10971</v>
      </c>
      <c r="L4043">
        <v>140.00190000000001</v>
      </c>
      <c r="M4043">
        <v>-0.99974249999999998</v>
      </c>
      <c r="N4043">
        <v>0</v>
      </c>
      <c r="O4043">
        <v>-1.9634889999999999E-2</v>
      </c>
      <c r="P4043">
        <v>-0.98553999999999997</v>
      </c>
      <c r="Q4043">
        <v>0.10836610000000001</v>
      </c>
      <c r="R4043">
        <v>-0.1302613</v>
      </c>
      <c r="S4043">
        <v>-3.0154109999999998</v>
      </c>
      <c r="T4043">
        <v>-0.2263473</v>
      </c>
      <c r="U4043">
        <v>-0.4060974</v>
      </c>
      <c r="V4043">
        <v>-0.1109902</v>
      </c>
      <c r="W4043">
        <v>0.119505</v>
      </c>
      <c r="X4043">
        <v>0.98661019999999999</v>
      </c>
      <c r="Y4043">
        <v>-0.113723</v>
      </c>
      <c r="Z4043">
        <v>-2.7784060000000002E-3</v>
      </c>
      <c r="AA4043">
        <v>0.99350859999999996</v>
      </c>
      <c r="AB4043">
        <v>46</v>
      </c>
      <c r="AC4043">
        <v>-14.329800000000001</v>
      </c>
      <c r="AD4043">
        <v>-1.1097139650829999</v>
      </c>
      <c r="AE4043">
        <v>-1.98199999999999</v>
      </c>
      <c r="AF4043">
        <v>-1.6902890388487699</v>
      </c>
      <c r="AG4043">
        <v>-1.1097139650829999</v>
      </c>
      <c r="AH4043">
        <v>14.281913572882599</v>
      </c>
      <c r="AI4043">
        <v>94.412320651835898</v>
      </c>
      <c r="AJ4043">
        <v>96.749656484612501</v>
      </c>
      <c r="AK4043">
        <v>14.424340450171099</v>
      </c>
      <c r="AL4043">
        <v>83.136464255420293</v>
      </c>
      <c r="AM4043">
        <v>96.418589024431</v>
      </c>
      <c r="AN4043">
        <v>0.99999997813253905</v>
      </c>
    </row>
    <row r="4044" spans="1:40" x14ac:dyDescent="0.25">
      <c r="A4044" t="str">
        <f>"20190312151619363"</f>
        <v>20190312151619363</v>
      </c>
      <c r="B4044" t="str">
        <f>"1552374979352215"</f>
        <v>1552374979352215</v>
      </c>
      <c r="C4044" t="s">
        <v>40</v>
      </c>
      <c r="D4044">
        <v>4.3892329999999999</v>
      </c>
      <c r="E4044">
        <v>0.50102040000000003</v>
      </c>
      <c r="F4044" t="s">
        <v>43</v>
      </c>
      <c r="G4044">
        <v>-361.54020000000003</v>
      </c>
      <c r="H4044" s="1">
        <v>-3.891044E-6</v>
      </c>
      <c r="I4044">
        <v>138.04050000000001</v>
      </c>
      <c r="J4044">
        <v>-347.49959999999999</v>
      </c>
      <c r="K4044">
        <v>1.109731</v>
      </c>
      <c r="L4044">
        <v>139.99279999999999</v>
      </c>
      <c r="M4044">
        <v>-0.99973489999999998</v>
      </c>
      <c r="N4044">
        <v>0</v>
      </c>
      <c r="O4044">
        <v>-1.9937259999999998E-2</v>
      </c>
      <c r="P4044">
        <v>-0.98545590000000005</v>
      </c>
      <c r="Q4044">
        <v>0.1077265</v>
      </c>
      <c r="R4044">
        <v>-0.1314226</v>
      </c>
      <c r="S4044">
        <v>-3.0154719999999999</v>
      </c>
      <c r="T4044">
        <v>-0.2308781</v>
      </c>
      <c r="U4044">
        <v>-0.40806579999999998</v>
      </c>
      <c r="V4044">
        <v>-0.1118552</v>
      </c>
      <c r="W4044">
        <v>0.11899709999999999</v>
      </c>
      <c r="X4044">
        <v>0.9865739</v>
      </c>
      <c r="Y4044">
        <v>-0.1140463</v>
      </c>
      <c r="Z4044">
        <v>-2.8229879999999998E-3</v>
      </c>
      <c r="AA4044">
        <v>0.9934714</v>
      </c>
      <c r="AB4044">
        <v>46</v>
      </c>
      <c r="AC4044">
        <v>-14.0406</v>
      </c>
      <c r="AD4044">
        <v>-1.1097348910439999</v>
      </c>
      <c r="AE4044">
        <v>-1.9522999999999799</v>
      </c>
      <c r="AF4044">
        <v>-1.66177811304999</v>
      </c>
      <c r="AG4044">
        <v>-1.1097348910439999</v>
      </c>
      <c r="AH4044">
        <v>13.9909918254963</v>
      </c>
      <c r="AI4044">
        <v>94.503557310802606</v>
      </c>
      <c r="AJ4044">
        <v>96.773564600060098</v>
      </c>
      <c r="AK4044">
        <v>14.132971035366801</v>
      </c>
      <c r="AL4044">
        <v>83.165773930949598</v>
      </c>
      <c r="AM4044">
        <v>96.468425837035397</v>
      </c>
      <c r="AN4044">
        <v>0.99999997786832895</v>
      </c>
    </row>
    <row r="4045" spans="1:40" x14ac:dyDescent="0.25">
      <c r="A4045" t="str">
        <f>"20190312151619379"</f>
        <v>20190312151619379</v>
      </c>
      <c r="B4045" t="str">
        <f>"1552374979371735"</f>
        <v>1552374979371735</v>
      </c>
      <c r="C4045" t="s">
        <v>40</v>
      </c>
      <c r="D4045">
        <v>4.3642919999999998</v>
      </c>
      <c r="E4045">
        <v>0.50103240000000004</v>
      </c>
      <c r="F4045" t="s">
        <v>43</v>
      </c>
      <c r="G4045">
        <v>-361.95370000000003</v>
      </c>
      <c r="H4045" s="1">
        <v>-3.7169010000000002E-6</v>
      </c>
      <c r="I4045">
        <v>138.02209999999999</v>
      </c>
      <c r="J4045">
        <v>-347.81009999999998</v>
      </c>
      <c r="K4045">
        <v>1.1097459999999999</v>
      </c>
      <c r="L4045">
        <v>139.9864</v>
      </c>
      <c r="M4045">
        <v>-0.99972969999999906</v>
      </c>
      <c r="N4045">
        <v>0</v>
      </c>
      <c r="O4045">
        <v>-2.0148570000000001E-2</v>
      </c>
      <c r="P4045">
        <v>-0.98541590000000001</v>
      </c>
      <c r="Q4045">
        <v>0.1074292</v>
      </c>
      <c r="R4045">
        <v>-0.13196569999999999</v>
      </c>
      <c r="S4045">
        <v>-3.0148320000000002</v>
      </c>
      <c r="T4045">
        <v>-0.23146820000000001</v>
      </c>
      <c r="U4045">
        <v>-0.41101070000000001</v>
      </c>
      <c r="V4045">
        <v>-0.112191</v>
      </c>
      <c r="W4045">
        <v>0.11879389999999899</v>
      </c>
      <c r="X4045">
        <v>0.98656029999999995</v>
      </c>
      <c r="Y4045">
        <v>-0.1148141</v>
      </c>
      <c r="Z4045">
        <v>-2.8437779999999999E-3</v>
      </c>
      <c r="AA4045">
        <v>0.99338289999999996</v>
      </c>
      <c r="AB4045">
        <v>46</v>
      </c>
      <c r="AC4045">
        <v>-14.143599999999999</v>
      </c>
      <c r="AD4045">
        <v>-1.109749716901</v>
      </c>
      <c r="AE4045">
        <v>-1.9642999999999999</v>
      </c>
      <c r="AF4045">
        <v>-1.6688290595419399</v>
      </c>
      <c r="AG4045">
        <v>-1.109749716901</v>
      </c>
      <c r="AH4045">
        <v>14.095174818856099</v>
      </c>
      <c r="AI4045">
        <v>94.470661300054701</v>
      </c>
      <c r="AJ4045">
        <v>96.752225585368294</v>
      </c>
      <c r="AK4045">
        <v>14.236940964906999</v>
      </c>
      <c r="AL4045">
        <v>83.177499883985902</v>
      </c>
      <c r="AM4045">
        <v>96.487768027317799</v>
      </c>
      <c r="AN4045">
        <v>1.00000001834714</v>
      </c>
    </row>
    <row r="4046" spans="1:40" x14ac:dyDescent="0.25">
      <c r="A4046" t="str">
        <f>"20190312151619392"</f>
        <v>20190312151619392</v>
      </c>
      <c r="B4046" t="str">
        <f>"1552374979381495"</f>
        <v>1552374979381495</v>
      </c>
      <c r="C4046" t="s">
        <v>40</v>
      </c>
      <c r="D4046">
        <v>4.3886390000000004</v>
      </c>
      <c r="E4046">
        <v>0.50103109999999995</v>
      </c>
      <c r="F4046" t="s">
        <v>43</v>
      </c>
      <c r="G4046">
        <v>-362.06369999999998</v>
      </c>
      <c r="H4046" s="1">
        <v>-3.6673520000000002E-6</v>
      </c>
      <c r="I4046">
        <v>138.03559999999999</v>
      </c>
      <c r="J4046">
        <v>-348.08940000000001</v>
      </c>
      <c r="K4046">
        <v>1.1097619999999999</v>
      </c>
      <c r="L4046">
        <v>139.98060000000001</v>
      </c>
      <c r="M4046">
        <v>-0.99972470000000002</v>
      </c>
      <c r="N4046">
        <v>0</v>
      </c>
      <c r="O4046">
        <v>-2.034234E-2</v>
      </c>
      <c r="P4046">
        <v>-0.9853613</v>
      </c>
      <c r="Q4046">
        <v>0.1071143</v>
      </c>
      <c r="R4046">
        <v>-0.13262779999999999</v>
      </c>
      <c r="S4046">
        <v>-3.0147400000000002</v>
      </c>
      <c r="T4046">
        <v>-0.23472180000000001</v>
      </c>
      <c r="U4046">
        <v>-0.41258240000000002</v>
      </c>
      <c r="V4046">
        <v>-0.1126645</v>
      </c>
      <c r="W4046">
        <v>0.1185681</v>
      </c>
      <c r="X4046">
        <v>0.98653349999999995</v>
      </c>
      <c r="Y4046">
        <v>-0.1151259</v>
      </c>
      <c r="Z4046">
        <v>-2.880699E-3</v>
      </c>
      <c r="AA4046">
        <v>0.99334679999999997</v>
      </c>
      <c r="AB4046">
        <v>46</v>
      </c>
      <c r="AC4046">
        <v>-13.9742999999999</v>
      </c>
      <c r="AD4046">
        <v>-1.109765667352</v>
      </c>
      <c r="AE4046">
        <v>-1.94500000000002</v>
      </c>
      <c r="AF4046">
        <v>-1.6500991590765</v>
      </c>
      <c r="AG4046">
        <v>-1.109765667352</v>
      </c>
      <c r="AH4046">
        <v>13.9248256817587</v>
      </c>
      <c r="AI4046">
        <v>94.525137656457403</v>
      </c>
      <c r="AJ4046">
        <v>96.758064474306906</v>
      </c>
      <c r="AK4046">
        <v>14.0661002889423</v>
      </c>
      <c r="AL4046">
        <v>83.190529336319301</v>
      </c>
      <c r="AM4046">
        <v>96.515090074588201</v>
      </c>
      <c r="AN4046">
        <v>1.0000000152600499</v>
      </c>
    </row>
    <row r="4047" spans="1:40" x14ac:dyDescent="0.25">
      <c r="A4047" t="str">
        <f>"20190312151619408"</f>
        <v>20190312151619408</v>
      </c>
      <c r="B4047" t="str">
        <f>"1552374979401995"</f>
        <v>1552374979401995</v>
      </c>
      <c r="C4047" t="s">
        <v>40</v>
      </c>
      <c r="D4047">
        <v>4.553013</v>
      </c>
      <c r="E4047">
        <v>0.50070379999999903</v>
      </c>
      <c r="F4047" t="s">
        <v>43</v>
      </c>
      <c r="G4047">
        <v>-362.32389999999998</v>
      </c>
      <c r="H4047" s="1">
        <v>-3.5578839999999998E-6</v>
      </c>
      <c r="I4047">
        <v>138.0232</v>
      </c>
      <c r="J4047">
        <v>-348.4128</v>
      </c>
      <c r="K4047">
        <v>1.1097889999999999</v>
      </c>
      <c r="L4047">
        <v>139.97380000000001</v>
      </c>
      <c r="M4047">
        <v>-0.99971840000000001</v>
      </c>
      <c r="N4047">
        <v>0</v>
      </c>
      <c r="O4047">
        <v>-2.057645E-2</v>
      </c>
      <c r="P4047">
        <v>-0.98524670000000003</v>
      </c>
      <c r="Q4047">
        <v>0.1066143</v>
      </c>
      <c r="R4047">
        <v>-0.13387460000000001</v>
      </c>
      <c r="S4047">
        <v>-3.0143430000000002</v>
      </c>
      <c r="T4047">
        <v>-0.23500850000000001</v>
      </c>
      <c r="U4047">
        <v>-0.41448970000000002</v>
      </c>
      <c r="V4047">
        <v>-0.1136848</v>
      </c>
      <c r="W4047">
        <v>0.1181884</v>
      </c>
      <c r="X4047">
        <v>0.98646199999999995</v>
      </c>
      <c r="Y4047">
        <v>-0.1155265</v>
      </c>
      <c r="Z4047">
        <v>-2.8818559999999999E-3</v>
      </c>
      <c r="AA4047">
        <v>0.99330019999999997</v>
      </c>
      <c r="AB4047">
        <v>46</v>
      </c>
      <c r="AC4047">
        <v>-13.9110999999999</v>
      </c>
      <c r="AD4047">
        <v>-1.109792557884</v>
      </c>
      <c r="AE4047">
        <v>-1.9505999999999999</v>
      </c>
      <c r="AF4047">
        <v>-1.65360456517548</v>
      </c>
      <c r="AG4047">
        <v>-1.109792557884</v>
      </c>
      <c r="AH4047">
        <v>13.8617722059863</v>
      </c>
      <c r="AI4047">
        <v>94.545324652706</v>
      </c>
      <c r="AJ4047">
        <v>96.802805102955602</v>
      </c>
      <c r="AK4047">
        <v>14.0040985525723</v>
      </c>
      <c r="AL4047">
        <v>83.212438523863298</v>
      </c>
      <c r="AM4047">
        <v>96.574049502611302</v>
      </c>
      <c r="AN4047">
        <v>1.0000000045447901</v>
      </c>
    </row>
    <row r="4048" spans="1:40" x14ac:dyDescent="0.25">
      <c r="A4048" t="str">
        <f>"20190312151619424"</f>
        <v>20190312151619424</v>
      </c>
      <c r="B4048" t="str">
        <f>"1552374979411751"</f>
        <v>1552374979411751</v>
      </c>
      <c r="C4048" t="s">
        <v>40</v>
      </c>
      <c r="D4048">
        <v>4.374231</v>
      </c>
      <c r="E4048">
        <v>0.50070379999999903</v>
      </c>
      <c r="F4048" t="s">
        <v>43</v>
      </c>
      <c r="G4048">
        <v>-362.62849999999997</v>
      </c>
      <c r="H4048" s="1">
        <v>-3.4333459999999998E-6</v>
      </c>
      <c r="I4048">
        <v>137.98869999999999</v>
      </c>
      <c r="J4048">
        <v>-348.7312</v>
      </c>
      <c r="K4048">
        <v>1.109829</v>
      </c>
      <c r="L4048">
        <v>139.96709999999999</v>
      </c>
      <c r="M4048">
        <v>-0.99971140000000003</v>
      </c>
      <c r="N4048">
        <v>0</v>
      </c>
      <c r="O4048">
        <v>-2.0826879999999999E-2</v>
      </c>
      <c r="P4048">
        <v>-0.98520750000000001</v>
      </c>
      <c r="Q4048">
        <v>0.10620209999999999</v>
      </c>
      <c r="R4048">
        <v>-0.13448950000000001</v>
      </c>
      <c r="S4048">
        <v>-3.013245</v>
      </c>
      <c r="T4048">
        <v>-0.23523859999999999</v>
      </c>
      <c r="U4048">
        <v>-0.4207611</v>
      </c>
      <c r="V4048">
        <v>-0.1140568</v>
      </c>
      <c r="W4048">
        <v>0.1179161</v>
      </c>
      <c r="X4048">
        <v>0.98645159999999998</v>
      </c>
      <c r="Y4048">
        <v>-0.11734940000000001</v>
      </c>
      <c r="Z4048">
        <v>-2.936597E-3</v>
      </c>
      <c r="AA4048">
        <v>0.99308629999999998</v>
      </c>
      <c r="AB4048">
        <v>46</v>
      </c>
      <c r="AC4048">
        <v>-13.8972999999999</v>
      </c>
      <c r="AD4048">
        <v>-1.1098324333459999</v>
      </c>
      <c r="AE4048">
        <v>-1.9783999999999899</v>
      </c>
      <c r="AF4048">
        <v>-1.67802356003495</v>
      </c>
      <c r="AG4048">
        <v>-1.1098324333459999</v>
      </c>
      <c r="AH4048">
        <v>13.8489242117881</v>
      </c>
      <c r="AI4048">
        <v>94.548680468899505</v>
      </c>
      <c r="AJ4048">
        <v>96.908642424942997</v>
      </c>
      <c r="AK4048">
        <v>13.9942914405121</v>
      </c>
      <c r="AL4048">
        <v>83.228149724037195</v>
      </c>
      <c r="AM4048">
        <v>96.595440843841203</v>
      </c>
      <c r="AN4048">
        <v>0.99999995970400402</v>
      </c>
    </row>
    <row r="4049" spans="1:40" x14ac:dyDescent="0.25">
      <c r="A4049" t="str">
        <f>"20190312151619437"</f>
        <v>20190312151619437</v>
      </c>
      <c r="B4049" t="str">
        <f>"1552374979431869"</f>
        <v>1552374979431869</v>
      </c>
      <c r="C4049" t="s">
        <v>40</v>
      </c>
      <c r="D4049">
        <v>4.4220240000000004</v>
      </c>
      <c r="E4049">
        <v>0.4717768</v>
      </c>
      <c r="F4049" t="s">
        <v>43</v>
      </c>
      <c r="G4049">
        <v>-362.8664</v>
      </c>
      <c r="H4049" s="1">
        <v>-3.3322029999999999E-6</v>
      </c>
      <c r="I4049">
        <v>137.98349999999999</v>
      </c>
      <c r="J4049">
        <v>-349.005</v>
      </c>
      <c r="K4049">
        <v>1.1098680000000001</v>
      </c>
      <c r="L4049">
        <v>139.96119999999999</v>
      </c>
      <c r="M4049">
        <v>-0.99970479999999995</v>
      </c>
      <c r="N4049">
        <v>0</v>
      </c>
      <c r="O4049">
        <v>-2.106216E-2</v>
      </c>
      <c r="P4049">
        <v>-0.98513329999999999</v>
      </c>
      <c r="Q4049">
        <v>0.1061739</v>
      </c>
      <c r="R4049">
        <v>-0.1350536</v>
      </c>
      <c r="S4049">
        <v>-3.012848</v>
      </c>
      <c r="T4049">
        <v>-0.23655519999999999</v>
      </c>
      <c r="U4049">
        <v>-0.42276000000000002</v>
      </c>
      <c r="V4049">
        <v>-0.1143945</v>
      </c>
      <c r="W4049">
        <v>0.11801929999999999</v>
      </c>
      <c r="X4049">
        <v>0.98640019999999995</v>
      </c>
      <c r="Y4049">
        <v>-0.1177759</v>
      </c>
      <c r="Z4049">
        <v>-2.9515309999999999E-3</v>
      </c>
      <c r="AA4049">
        <v>0.99303580000000002</v>
      </c>
      <c r="AB4049">
        <v>46</v>
      </c>
      <c r="AC4049">
        <v>-13.8614</v>
      </c>
      <c r="AD4049">
        <v>-1.109871332203</v>
      </c>
      <c r="AE4049">
        <v>-1.97769999999999</v>
      </c>
      <c r="AF4049">
        <v>-1.6747659320071699</v>
      </c>
      <c r="AG4049">
        <v>-1.109871332203</v>
      </c>
      <c r="AH4049">
        <v>13.813191654458899</v>
      </c>
      <c r="AI4049">
        <v>94.560514688680399</v>
      </c>
      <c r="AJ4049">
        <v>96.913024417594201</v>
      </c>
      <c r="AK4049">
        <v>13.958542867501199</v>
      </c>
      <c r="AL4049">
        <v>83.222195534721095</v>
      </c>
      <c r="AM4049">
        <v>96.615137488204695</v>
      </c>
      <c r="AN4049">
        <v>1.00000000568138</v>
      </c>
    </row>
    <row r="4050" spans="1:40" x14ac:dyDescent="0.25">
      <c r="A4050" t="str">
        <f>"20190312151619452"</f>
        <v>20190312151619452</v>
      </c>
      <c r="B4050" t="str">
        <f>"1552374979441629"</f>
        <v>1552374979441629</v>
      </c>
      <c r="C4050" t="s">
        <v>40</v>
      </c>
      <c r="D4050">
        <v>4.465497</v>
      </c>
      <c r="E4050">
        <v>0.46958290000000003</v>
      </c>
      <c r="F4050" t="s">
        <v>43</v>
      </c>
      <c r="G4050">
        <v>-363.71339999999998</v>
      </c>
      <c r="H4050" s="1">
        <v>-3.189349E-6</v>
      </c>
      <c r="I4050">
        <v>136.74039999999999</v>
      </c>
      <c r="J4050">
        <v>-349.31420000000003</v>
      </c>
      <c r="K4050">
        <v>1.1099209999999999</v>
      </c>
      <c r="L4050">
        <v>139.95439999999999</v>
      </c>
      <c r="M4050">
        <v>-0.99969649999999999</v>
      </c>
      <c r="N4050">
        <v>0</v>
      </c>
      <c r="O4050">
        <v>-2.1356190000000001E-2</v>
      </c>
      <c r="P4050">
        <v>-0.98502610000000002</v>
      </c>
      <c r="Q4050">
        <v>0.10575039999999999</v>
      </c>
      <c r="R4050">
        <v>-0.13616310000000001</v>
      </c>
      <c r="S4050">
        <v>-2.9800719999999998</v>
      </c>
      <c r="T4050">
        <v>-0.22487180000000001</v>
      </c>
      <c r="U4050">
        <v>-0.65254209999999901</v>
      </c>
      <c r="V4050">
        <v>-0.11522259999999999</v>
      </c>
      <c r="W4050">
        <v>0.1177556</v>
      </c>
      <c r="X4050">
        <v>0.98633530000000003</v>
      </c>
      <c r="Y4050">
        <v>-0.19252449999999999</v>
      </c>
      <c r="Z4050">
        <v>-5.5793539999999999E-3</v>
      </c>
      <c r="AA4050">
        <v>0.98127629999999999</v>
      </c>
      <c r="AB4050">
        <v>46</v>
      </c>
      <c r="AC4050">
        <v>-14.399199999999899</v>
      </c>
      <c r="AD4050">
        <v>-1.1099241893489999</v>
      </c>
      <c r="AE4050">
        <v>-3.2139999999999902</v>
      </c>
      <c r="AF4050">
        <v>-2.88937857303902</v>
      </c>
      <c r="AG4050">
        <v>-1.1099241893489999</v>
      </c>
      <c r="AH4050">
        <v>14.3831549076416</v>
      </c>
      <c r="AI4050">
        <v>94.326576319158505</v>
      </c>
      <c r="AJ4050">
        <v>101.35875150488801</v>
      </c>
      <c r="AK4050">
        <v>14.712429620618501</v>
      </c>
      <c r="AL4050">
        <v>83.237410327863898</v>
      </c>
      <c r="AM4050">
        <v>96.663029822548197</v>
      </c>
      <c r="AN4050">
        <v>0.99999997645410399</v>
      </c>
    </row>
    <row r="4051" spans="1:40" x14ac:dyDescent="0.25">
      <c r="A4051" t="str">
        <f>"20190312151619475"</f>
        <v>20190312151619475</v>
      </c>
      <c r="B4051" t="str">
        <f>"1552374979471886"</f>
        <v>1552374979471886</v>
      </c>
      <c r="C4051" t="s">
        <v>40</v>
      </c>
      <c r="D4051">
        <v>4.4315499999999997</v>
      </c>
      <c r="E4051">
        <v>0.46854810000000002</v>
      </c>
      <c r="F4051" t="s">
        <v>43</v>
      </c>
      <c r="G4051">
        <v>-361.34829999999999</v>
      </c>
      <c r="H4051" s="1">
        <v>-4.1175430000000001E-6</v>
      </c>
      <c r="I4051">
        <v>137.2277</v>
      </c>
      <c r="J4051">
        <v>-349.7688</v>
      </c>
      <c r="K4051">
        <v>1.1100049999999999</v>
      </c>
      <c r="L4051">
        <v>139.9443</v>
      </c>
      <c r="M4051">
        <v>-0.99968210000000002</v>
      </c>
      <c r="N4051">
        <v>0</v>
      </c>
      <c r="O4051">
        <v>-2.18724E-2</v>
      </c>
      <c r="P4051">
        <v>-0.98490949999999999</v>
      </c>
      <c r="Q4051">
        <v>0.1052413</v>
      </c>
      <c r="R4051">
        <v>-0.1373955</v>
      </c>
      <c r="S4051">
        <v>-2.9817200000000001</v>
      </c>
      <c r="T4051">
        <v>-0.27501009999999998</v>
      </c>
      <c r="U4051">
        <v>-0.67559809999999998</v>
      </c>
      <c r="V4051">
        <v>-0.115962</v>
      </c>
      <c r="W4051">
        <v>0.1174814</v>
      </c>
      <c r="X4051">
        <v>0.98628139999999997</v>
      </c>
      <c r="Y4051">
        <v>-0.19887859999999999</v>
      </c>
      <c r="Z4051">
        <v>-7.0513800000000003E-3</v>
      </c>
      <c r="AA4051">
        <v>0.97999879999999995</v>
      </c>
      <c r="AB4051">
        <v>46</v>
      </c>
      <c r="AC4051">
        <v>-11.5794999999999</v>
      </c>
      <c r="AD4051">
        <v>-1.11000911754299</v>
      </c>
      <c r="AE4051">
        <v>-2.7166000000000001</v>
      </c>
      <c r="AF4051">
        <v>-2.4413947300921501</v>
      </c>
      <c r="AG4051">
        <v>-1.11000911754299</v>
      </c>
      <c r="AH4051">
        <v>11.5356799355477</v>
      </c>
      <c r="AI4051">
        <v>95.377906801241593</v>
      </c>
      <c r="AJ4051">
        <v>101.949666836185</v>
      </c>
      <c r="AK4051">
        <v>11.8433289257939</v>
      </c>
      <c r="AL4051">
        <v>83.253231021263801</v>
      </c>
      <c r="AM4051">
        <v>96.705762431105796</v>
      </c>
      <c r="AN4051">
        <v>1.0000000323879501</v>
      </c>
    </row>
    <row r="4052" spans="1:40" x14ac:dyDescent="0.25">
      <c r="A4052" t="str">
        <f>"20190312151619491"</f>
        <v>20190312151619491</v>
      </c>
      <c r="B4052" t="str">
        <f>"1552374979481645"</f>
        <v>1552374979481645</v>
      </c>
      <c r="C4052" t="s">
        <v>40</v>
      </c>
      <c r="D4052">
        <v>4.4026050000000003</v>
      </c>
      <c r="E4052">
        <v>0.46871879999999999</v>
      </c>
      <c r="F4052" t="s">
        <v>43</v>
      </c>
      <c r="G4052">
        <v>-361.6628</v>
      </c>
      <c r="H4052" s="1">
        <v>-3.9876729999999901E-6</v>
      </c>
      <c r="I4052">
        <v>137.19919999999999</v>
      </c>
      <c r="J4052">
        <v>-350.10430000000002</v>
      </c>
      <c r="K4052">
        <v>1.110082</v>
      </c>
      <c r="L4052">
        <v>139.9366</v>
      </c>
      <c r="M4052">
        <v>-0.99967010000000001</v>
      </c>
      <c r="N4052">
        <v>0</v>
      </c>
      <c r="O4052">
        <v>-2.23194E-2</v>
      </c>
      <c r="P4052">
        <v>-0.98483750000000003</v>
      </c>
      <c r="Q4052">
        <v>0.104936</v>
      </c>
      <c r="R4052">
        <v>-0.13814470000000001</v>
      </c>
      <c r="S4052">
        <v>-2.9797669999999998</v>
      </c>
      <c r="T4052">
        <v>-0.2780881</v>
      </c>
      <c r="U4052">
        <v>-0.68769840000000004</v>
      </c>
      <c r="V4052">
        <v>-0.11628520000000001</v>
      </c>
      <c r="W4052">
        <v>0.11733789999999999</v>
      </c>
      <c r="X4052">
        <v>0.98626040000000004</v>
      </c>
      <c r="Y4052">
        <v>-0.20233080000000001</v>
      </c>
      <c r="Z4052">
        <v>-7.2489969999999897E-3</v>
      </c>
      <c r="AA4052">
        <v>0.97929040000000001</v>
      </c>
      <c r="AB4052">
        <v>46</v>
      </c>
      <c r="AC4052">
        <v>-11.558499999999899</v>
      </c>
      <c r="AD4052">
        <v>-1.110085987673</v>
      </c>
      <c r="AE4052">
        <v>-2.7374000000000001</v>
      </c>
      <c r="AF4052">
        <v>-2.4572568324936599</v>
      </c>
      <c r="AG4052">
        <v>-1.110085987673</v>
      </c>
      <c r="AH4052">
        <v>11.516141036608801</v>
      </c>
      <c r="AI4052">
        <v>95.385457912128402</v>
      </c>
      <c r="AJ4052">
        <v>102.04485966375699</v>
      </c>
      <c r="AK4052">
        <v>11.827590896540601</v>
      </c>
      <c r="AL4052">
        <v>83.261510032781501</v>
      </c>
      <c r="AM4052">
        <v>96.724423151124498</v>
      </c>
      <c r="AN4052">
        <v>1.0000000035618</v>
      </c>
    </row>
    <row r="4053" spans="1:40" x14ac:dyDescent="0.25">
      <c r="A4053" t="str">
        <f>"20190312151619505"</f>
        <v>20190312151619505</v>
      </c>
      <c r="B4053" t="str">
        <f>"1552374979502141"</f>
        <v>1552374979502141</v>
      </c>
      <c r="C4053" t="s">
        <v>40</v>
      </c>
      <c r="D4053">
        <v>4.3964869999999996</v>
      </c>
      <c r="E4053">
        <v>0.46870610000000001</v>
      </c>
      <c r="F4053" t="s">
        <v>43</v>
      </c>
      <c r="G4053">
        <v>-361.666</v>
      </c>
      <c r="H4053" s="1">
        <v>-3.9747420000000001E-6</v>
      </c>
      <c r="I4053">
        <v>137.26439999999999</v>
      </c>
      <c r="J4053">
        <v>-350.37060000000002</v>
      </c>
      <c r="K4053">
        <v>1.110147</v>
      </c>
      <c r="L4053">
        <v>139.93039999999999</v>
      </c>
      <c r="M4053">
        <v>-0.99965930000000003</v>
      </c>
      <c r="N4053">
        <v>0</v>
      </c>
      <c r="O4053">
        <v>-2.271836E-2</v>
      </c>
      <c r="P4053">
        <v>-0.9848112</v>
      </c>
      <c r="Q4053">
        <v>0.1044865</v>
      </c>
      <c r="R4053">
        <v>-0.13867199999999999</v>
      </c>
      <c r="S4053">
        <v>-2.9800719999999998</v>
      </c>
      <c r="T4053">
        <v>-0.28613</v>
      </c>
      <c r="U4053">
        <v>-0.68875120000000001</v>
      </c>
      <c r="V4053">
        <v>-0.1164327</v>
      </c>
      <c r="W4053">
        <v>0.117006</v>
      </c>
      <c r="X4053">
        <v>0.9862824</v>
      </c>
      <c r="Y4053">
        <v>-0.20220560000000001</v>
      </c>
      <c r="Z4053">
        <v>-7.4130890000000003E-3</v>
      </c>
      <c r="AA4053">
        <v>0.97931500000000005</v>
      </c>
      <c r="AB4053">
        <v>46</v>
      </c>
      <c r="AC4053">
        <v>-11.2953999999999</v>
      </c>
      <c r="AD4053">
        <v>-1.110150974742</v>
      </c>
      <c r="AE4053">
        <v>-2.6659999999999902</v>
      </c>
      <c r="AF4053">
        <v>-2.3868382790634799</v>
      </c>
      <c r="AG4053">
        <v>-1.110150974742</v>
      </c>
      <c r="AH4053">
        <v>11.2501187458369</v>
      </c>
      <c r="AI4053">
        <v>95.5137025903976</v>
      </c>
      <c r="AJ4053">
        <v>101.978322892739</v>
      </c>
      <c r="AK4053">
        <v>11.553986496121301</v>
      </c>
      <c r="AL4053">
        <v>83.280658210771804</v>
      </c>
      <c r="AM4053">
        <v>96.7327255717464</v>
      </c>
      <c r="AN4053">
        <v>0.99999997510752403</v>
      </c>
    </row>
    <row r="4054" spans="1:40" x14ac:dyDescent="0.25">
      <c r="A4054" t="str">
        <f>"20190312151619520"</f>
        <v>20190312151619520</v>
      </c>
      <c r="B4054" t="str">
        <f>"1552374979511901"</f>
        <v>1552374979511901</v>
      </c>
      <c r="C4054" t="s">
        <v>40</v>
      </c>
      <c r="D4054">
        <v>4.4133420000000001</v>
      </c>
      <c r="E4054">
        <v>0.4688119</v>
      </c>
      <c r="F4054" t="s">
        <v>43</v>
      </c>
      <c r="G4054">
        <v>-361.92230000000001</v>
      </c>
      <c r="H4054" s="1">
        <v>-3.86666999999999E-6</v>
      </c>
      <c r="I4054">
        <v>137.25380000000001</v>
      </c>
      <c r="J4054">
        <v>-350.69260000000003</v>
      </c>
      <c r="K4054">
        <v>1.110233</v>
      </c>
      <c r="L4054">
        <v>139.92269999999999</v>
      </c>
      <c r="M4054">
        <v>-0.99964520000000001</v>
      </c>
      <c r="N4054">
        <v>0</v>
      </c>
      <c r="O4054">
        <v>-2.324321E-2</v>
      </c>
      <c r="P4054">
        <v>-0.98460159999999997</v>
      </c>
      <c r="Q4054">
        <v>0.1046501</v>
      </c>
      <c r="R4054">
        <v>-0.14002970000000001</v>
      </c>
      <c r="S4054">
        <v>-2.9794619999999998</v>
      </c>
      <c r="T4054">
        <v>-0.2863349</v>
      </c>
      <c r="U4054">
        <v>-0.69033809999999995</v>
      </c>
      <c r="V4054">
        <v>-0.11729580000000001</v>
      </c>
      <c r="W4054">
        <v>0.1172991</v>
      </c>
      <c r="X4054">
        <v>0.9861453</v>
      </c>
      <c r="Y4054">
        <v>-0.20223140000000001</v>
      </c>
      <c r="Z4054">
        <v>-7.3710349999999997E-3</v>
      </c>
      <c r="AA4054">
        <v>0.97931000000000001</v>
      </c>
      <c r="AB4054">
        <v>46</v>
      </c>
      <c r="AC4054">
        <v>-11.2296999999999</v>
      </c>
      <c r="AD4054">
        <v>-1.11023686667</v>
      </c>
      <c r="AE4054">
        <v>-2.6688999999999701</v>
      </c>
      <c r="AF4054">
        <v>-2.3850759510135799</v>
      </c>
      <c r="AG4054">
        <v>-1.11023686667</v>
      </c>
      <c r="AH4054">
        <v>11.185219956035599</v>
      </c>
      <c r="AI4054">
        <v>95.544717928463797</v>
      </c>
      <c r="AJ4054">
        <v>102.03716451410401</v>
      </c>
      <c r="AK4054">
        <v>11.490446408086701</v>
      </c>
      <c r="AL4054">
        <v>83.263748327829603</v>
      </c>
      <c r="AM4054">
        <v>96.783105262106304</v>
      </c>
      <c r="AN4054">
        <v>0.99999996813526904</v>
      </c>
    </row>
    <row r="4055" spans="1:40" x14ac:dyDescent="0.25">
      <c r="A4055" t="str">
        <f>"20190312151619542"</f>
        <v>20190312151619542</v>
      </c>
      <c r="B4055" t="str">
        <f>"1552374979532033"</f>
        <v>1552374979532033</v>
      </c>
      <c r="C4055" t="s">
        <v>40</v>
      </c>
      <c r="D4055">
        <v>4.4935679999999998</v>
      </c>
      <c r="E4055">
        <v>0.4685415</v>
      </c>
      <c r="F4055" t="s">
        <v>43</v>
      </c>
      <c r="G4055">
        <v>-362.1105</v>
      </c>
      <c r="H4055" s="1">
        <v>-3.7841490000000002E-6</v>
      </c>
      <c r="I4055">
        <v>137.26390000000001</v>
      </c>
      <c r="J4055">
        <v>-351.1542</v>
      </c>
      <c r="K4055">
        <v>1.1103620000000001</v>
      </c>
      <c r="L4055">
        <v>139.91120000000001</v>
      </c>
      <c r="M4055">
        <v>-0.99962209999999996</v>
      </c>
      <c r="N4055">
        <v>0</v>
      </c>
      <c r="O4055">
        <v>-2.410557E-2</v>
      </c>
      <c r="P4055">
        <v>-0.98440859999999997</v>
      </c>
      <c r="Q4055">
        <v>0.1043637</v>
      </c>
      <c r="R4055">
        <v>-0.14159140000000001</v>
      </c>
      <c r="S4055">
        <v>-2.9790649999999999</v>
      </c>
      <c r="T4055">
        <v>-0.28967490000000001</v>
      </c>
      <c r="U4055">
        <v>-0.69367979999999996</v>
      </c>
      <c r="V4055">
        <v>-0.1180414</v>
      </c>
      <c r="W4055">
        <v>0.1171769</v>
      </c>
      <c r="X4055">
        <v>0.98607089999999997</v>
      </c>
      <c r="Y4055">
        <v>-0.20244229999999999</v>
      </c>
      <c r="Z4055">
        <v>-7.3843229999999999E-3</v>
      </c>
      <c r="AA4055">
        <v>0.97926630000000003</v>
      </c>
      <c r="AB4055">
        <v>46</v>
      </c>
      <c r="AC4055">
        <v>-10.956300000000001</v>
      </c>
      <c r="AD4055">
        <v>-1.110365784149</v>
      </c>
      <c r="AE4055">
        <v>-2.6473</v>
      </c>
      <c r="AF4055">
        <v>-2.3595024982612798</v>
      </c>
      <c r="AG4055">
        <v>-1.110365784149</v>
      </c>
      <c r="AH4055">
        <v>10.9110524328227</v>
      </c>
      <c r="AI4055">
        <v>95.680304708267599</v>
      </c>
      <c r="AJ4055">
        <v>102.20225477239499</v>
      </c>
      <c r="AK4055">
        <v>11.2183434341135</v>
      </c>
      <c r="AL4055">
        <v>83.270798767020096</v>
      </c>
      <c r="AM4055">
        <v>96.826327215549895</v>
      </c>
      <c r="AN4055">
        <v>1.0000000089171801</v>
      </c>
    </row>
    <row r="4056" spans="1:40" x14ac:dyDescent="0.25">
      <c r="A4056" t="str">
        <f>"20190312151619558"</f>
        <v>20190312151619558</v>
      </c>
      <c r="B4056" t="str">
        <f>"1552374979551553"</f>
        <v>1552374979551553</v>
      </c>
      <c r="C4056" t="s">
        <v>40</v>
      </c>
      <c r="D4056">
        <v>4.443314</v>
      </c>
      <c r="E4056">
        <v>0.46877439999999998</v>
      </c>
      <c r="F4056" t="s">
        <v>43</v>
      </c>
      <c r="G4056">
        <v>-362.32839999999999</v>
      </c>
      <c r="H4056" s="1">
        <v>-3.687352E-6</v>
      </c>
      <c r="I4056">
        <v>137.2825</v>
      </c>
      <c r="J4056">
        <v>-351.4624</v>
      </c>
      <c r="K4056">
        <v>1.1104529999999999</v>
      </c>
      <c r="L4056">
        <v>139.9033</v>
      </c>
      <c r="M4056">
        <v>-0.99960479999999996</v>
      </c>
      <c r="N4056">
        <v>0</v>
      </c>
      <c r="O4056">
        <v>-2.4751599999999999E-2</v>
      </c>
      <c r="P4056">
        <v>-0.98425119999999999</v>
      </c>
      <c r="Q4056">
        <v>0.1041189</v>
      </c>
      <c r="R4056">
        <v>-0.1428605</v>
      </c>
      <c r="S4056">
        <v>-2.978119</v>
      </c>
      <c r="T4056">
        <v>-0.29593190000000003</v>
      </c>
      <c r="U4056">
        <v>-0.7005768</v>
      </c>
      <c r="V4056">
        <v>-0.1186984</v>
      </c>
      <c r="W4056">
        <v>0.1170287</v>
      </c>
      <c r="X4056">
        <v>0.98600960000000004</v>
      </c>
      <c r="Y4056">
        <v>-0.20398910000000001</v>
      </c>
      <c r="Z4056">
        <v>-7.5560239999999997E-3</v>
      </c>
      <c r="AA4056">
        <v>0.97894400000000004</v>
      </c>
      <c r="AB4056">
        <v>46</v>
      </c>
      <c r="AC4056">
        <v>-10.8659999999999</v>
      </c>
      <c r="AD4056">
        <v>-1.1104566873520001</v>
      </c>
      <c r="AE4056">
        <v>-2.6208</v>
      </c>
      <c r="AF4056">
        <v>-2.32804490179198</v>
      </c>
      <c r="AG4056">
        <v>-1.1104566873520001</v>
      </c>
      <c r="AH4056">
        <v>10.820746946446301</v>
      </c>
      <c r="AI4056">
        <v>95.729155059860901</v>
      </c>
      <c r="AJ4056">
        <v>102.141898186798</v>
      </c>
      <c r="AK4056">
        <v>11.123914400887401</v>
      </c>
      <c r="AL4056">
        <v>83.279348625889298</v>
      </c>
      <c r="AM4056">
        <v>96.864382653881194</v>
      </c>
      <c r="AN4056">
        <v>0.99999997903920401</v>
      </c>
    </row>
    <row r="4057" spans="1:40" x14ac:dyDescent="0.25">
      <c r="A4057" t="str">
        <f>"20190312151619571"</f>
        <v>20190312151619571</v>
      </c>
      <c r="B4057" t="str">
        <f>"1552374979562289"</f>
        <v>1552374979562289</v>
      </c>
      <c r="C4057" t="s">
        <v>40</v>
      </c>
      <c r="D4057">
        <v>4.4354189999999996</v>
      </c>
      <c r="E4057">
        <v>0.46877370000000002</v>
      </c>
      <c r="F4057" t="s">
        <v>43</v>
      </c>
      <c r="G4057">
        <v>-362.4701</v>
      </c>
      <c r="H4057" s="1">
        <v>-3.6222170000000001E-6</v>
      </c>
      <c r="I4057">
        <v>137.30709999999999</v>
      </c>
      <c r="J4057">
        <v>-351.73200000000003</v>
      </c>
      <c r="K4057">
        <v>1.1105339999999999</v>
      </c>
      <c r="L4057">
        <v>139.89619999999999</v>
      </c>
      <c r="M4057">
        <v>-0.99958809999999998</v>
      </c>
      <c r="N4057">
        <v>0</v>
      </c>
      <c r="O4057">
        <v>-2.5361729999999999E-2</v>
      </c>
      <c r="P4057">
        <v>-0.98409820000000003</v>
      </c>
      <c r="Q4057">
        <v>0.1039038</v>
      </c>
      <c r="R4057">
        <v>-0.1440661</v>
      </c>
      <c r="S4057">
        <v>-2.977814</v>
      </c>
      <c r="T4057">
        <v>-0.300404</v>
      </c>
      <c r="U4057">
        <v>-0.7023315</v>
      </c>
      <c r="V4057">
        <v>-0.11932570000000001</v>
      </c>
      <c r="W4057">
        <v>0.1168899</v>
      </c>
      <c r="X4057">
        <v>0.9859504</v>
      </c>
      <c r="Y4057">
        <v>-0.20393839999999999</v>
      </c>
      <c r="Z4057">
        <v>-7.6069229999999998E-3</v>
      </c>
      <c r="AA4057">
        <v>0.9789542</v>
      </c>
      <c r="AB4057">
        <v>45</v>
      </c>
      <c r="AC4057">
        <v>-10.738099999999999</v>
      </c>
      <c r="AD4057">
        <v>-1.11053762221699</v>
      </c>
      <c r="AE4057">
        <v>-2.5891000000000002</v>
      </c>
      <c r="AF4057">
        <v>-2.2927304855869699</v>
      </c>
      <c r="AG4057">
        <v>-1.11053762221699</v>
      </c>
      <c r="AH4057">
        <v>10.692236941246801</v>
      </c>
      <c r="AI4057">
        <v>95.798814884855702</v>
      </c>
      <c r="AJ4057">
        <v>102.102630733464</v>
      </c>
      <c r="AK4057">
        <v>10.9915348199267</v>
      </c>
      <c r="AL4057">
        <v>83.287356591475202</v>
      </c>
      <c r="AM4057">
        <v>96.900721166810897</v>
      </c>
      <c r="AN4057">
        <v>1.00000003133132</v>
      </c>
    </row>
    <row r="4058" spans="1:40" x14ac:dyDescent="0.25">
      <c r="A4058" t="str">
        <f>"20190312151619586"</f>
        <v>20190312151619586</v>
      </c>
      <c r="B4058" t="str">
        <f>"1552374979581814"</f>
        <v>1552374979581814</v>
      </c>
      <c r="C4058" t="s">
        <v>40</v>
      </c>
      <c r="D4058">
        <v>4.4634830000000001</v>
      </c>
      <c r="E4058">
        <v>0.46867950000000003</v>
      </c>
      <c r="F4058" t="s">
        <v>43</v>
      </c>
      <c r="G4058">
        <v>-362.60550000000001</v>
      </c>
      <c r="H4058" s="1">
        <v>-3.56237E-6</v>
      </c>
      <c r="I4058">
        <v>137.31700000000001</v>
      </c>
      <c r="J4058">
        <v>-352.03919999999999</v>
      </c>
      <c r="K4058">
        <v>1.1106240000000001</v>
      </c>
      <c r="L4058">
        <v>139.8878</v>
      </c>
      <c r="M4058">
        <v>-0.99956690000000004</v>
      </c>
      <c r="N4058">
        <v>0</v>
      </c>
      <c r="O4058">
        <v>-2.613122E-2</v>
      </c>
      <c r="P4058">
        <v>-0.98394959999999998</v>
      </c>
      <c r="Q4058">
        <v>0.10313310000000001</v>
      </c>
      <c r="R4058">
        <v>-0.14562620000000001</v>
      </c>
      <c r="S4058">
        <v>-2.9771730000000001</v>
      </c>
      <c r="T4058">
        <v>-0.30406830000000001</v>
      </c>
      <c r="U4058">
        <v>-0.70617680000000005</v>
      </c>
      <c r="V4058">
        <v>-0.1201526</v>
      </c>
      <c r="W4058">
        <v>0.116194699999999</v>
      </c>
      <c r="X4058">
        <v>0.98593209999999998</v>
      </c>
      <c r="Y4058">
        <v>-0.2044097</v>
      </c>
      <c r="Z4058">
        <v>-7.6462319999999898E-3</v>
      </c>
      <c r="AA4058">
        <v>0.97885560000000005</v>
      </c>
      <c r="AB4058">
        <v>45</v>
      </c>
      <c r="AC4058">
        <v>-10.5663</v>
      </c>
      <c r="AD4058">
        <v>-1.1106275623699999</v>
      </c>
      <c r="AE4058">
        <v>-2.57079999999999</v>
      </c>
      <c r="AF4058">
        <v>-2.2701074823053502</v>
      </c>
      <c r="AG4058">
        <v>-1.1106275623699999</v>
      </c>
      <c r="AH4058">
        <v>10.5201426797361</v>
      </c>
      <c r="AI4058">
        <v>95.891853903452301</v>
      </c>
      <c r="AJ4058">
        <v>102.176959447119</v>
      </c>
      <c r="AK4058">
        <v>10.8194400763403</v>
      </c>
      <c r="AL4058">
        <v>83.3274615660943</v>
      </c>
      <c r="AM4058">
        <v>96.948203441194593</v>
      </c>
      <c r="AN4058">
        <v>0.99999998070262897</v>
      </c>
    </row>
    <row r="4059" spans="1:40" x14ac:dyDescent="0.25">
      <c r="A4059" t="str">
        <f>"20190312151619602"</f>
        <v>20190312151619602</v>
      </c>
      <c r="B4059" t="str">
        <f>"1552374979591569"</f>
        <v>1552374979591569</v>
      </c>
      <c r="C4059" t="s">
        <v>40</v>
      </c>
      <c r="D4059">
        <v>4.537928</v>
      </c>
      <c r="E4059">
        <v>0.46850619999999998</v>
      </c>
      <c r="F4059" t="s">
        <v>43</v>
      </c>
      <c r="G4059">
        <v>-362.94369999999998</v>
      </c>
      <c r="H4059" s="1">
        <v>-3.423688E-6</v>
      </c>
      <c r="I4059">
        <v>137.2809</v>
      </c>
      <c r="J4059">
        <v>-352.35199999999998</v>
      </c>
      <c r="K4059">
        <v>1.110724</v>
      </c>
      <c r="L4059">
        <v>139.87909999999999</v>
      </c>
      <c r="M4059">
        <v>-0.99954310000000002</v>
      </c>
      <c r="N4059">
        <v>0</v>
      </c>
      <c r="O4059">
        <v>-2.6977839999999999E-2</v>
      </c>
      <c r="P4059">
        <v>-0.98383120000000002</v>
      </c>
      <c r="Q4059">
        <v>0.10287259999999999</v>
      </c>
      <c r="R4059">
        <v>-0.14660709999999999</v>
      </c>
      <c r="S4059">
        <v>-2.9754640000000001</v>
      </c>
      <c r="T4059">
        <v>-0.30305539999999997</v>
      </c>
      <c r="U4059">
        <v>-0.71131899999999904</v>
      </c>
      <c r="V4059">
        <v>-0.120326</v>
      </c>
      <c r="W4059">
        <v>0.11600480000000001</v>
      </c>
      <c r="X4059">
        <v>0.98593339999999996</v>
      </c>
      <c r="Y4059">
        <v>-0.20531279999999999</v>
      </c>
      <c r="Z4059">
        <v>-7.5842080000000003E-3</v>
      </c>
      <c r="AA4059">
        <v>0.97866699999999995</v>
      </c>
      <c r="AB4059">
        <v>45</v>
      </c>
      <c r="AC4059">
        <v>-10.591699999999999</v>
      </c>
      <c r="AD4059">
        <v>-1.110727423688</v>
      </c>
      <c r="AE4059">
        <v>-2.5981999999999901</v>
      </c>
      <c r="AF4059">
        <v>-2.2877554392890702</v>
      </c>
      <c r="AG4059">
        <v>-1.110727423688</v>
      </c>
      <c r="AH4059">
        <v>10.548524272238399</v>
      </c>
      <c r="AI4059">
        <v>95.875319849192294</v>
      </c>
      <c r="AJ4059">
        <v>102.236753062207</v>
      </c>
      <c r="AK4059">
        <v>10.8507559497821</v>
      </c>
      <c r="AL4059">
        <v>83.338416675545702</v>
      </c>
      <c r="AM4059">
        <v>96.958123528077607</v>
      </c>
      <c r="AN4059">
        <v>1.00000006456729</v>
      </c>
    </row>
    <row r="4060" spans="1:40" x14ac:dyDescent="0.25">
      <c r="A4060" t="str">
        <f>"20190312151619619"</f>
        <v>20190312151619619</v>
      </c>
      <c r="B4060" t="str">
        <f>"1552374979612065"</f>
        <v>1552374979612065</v>
      </c>
      <c r="C4060" t="s">
        <v>40</v>
      </c>
      <c r="D4060">
        <v>4.5178649999999996</v>
      </c>
      <c r="E4060">
        <v>0.46824850000000001</v>
      </c>
      <c r="F4060" t="s">
        <v>43</v>
      </c>
      <c r="G4060">
        <v>-363.06880000000001</v>
      </c>
      <c r="H4060" s="1">
        <v>-3.3668629999999999E-6</v>
      </c>
      <c r="I4060">
        <v>137.2987</v>
      </c>
      <c r="J4060">
        <v>-352.71379999999999</v>
      </c>
      <c r="K4060">
        <v>1.1108469999999999</v>
      </c>
      <c r="L4060">
        <v>139.86850000000001</v>
      </c>
      <c r="M4060">
        <v>-0.99951219999999996</v>
      </c>
      <c r="N4060">
        <v>0</v>
      </c>
      <c r="O4060">
        <v>-2.804274E-2</v>
      </c>
      <c r="P4060">
        <v>-0.9836009</v>
      </c>
      <c r="Q4060">
        <v>0.1027391</v>
      </c>
      <c r="R4060">
        <v>-0.1482369</v>
      </c>
      <c r="S4060">
        <v>-2.9748230000000002</v>
      </c>
      <c r="T4060">
        <v>-0.30832159999999997</v>
      </c>
      <c r="U4060">
        <v>-0.71624759999999998</v>
      </c>
      <c r="V4060">
        <v>-0.1209413</v>
      </c>
      <c r="W4060">
        <v>0.115939899999999</v>
      </c>
      <c r="X4060">
        <v>0.98586569999999996</v>
      </c>
      <c r="Y4060">
        <v>-0.20582349999999999</v>
      </c>
      <c r="Z4060">
        <v>-7.633173E-3</v>
      </c>
      <c r="AA4060">
        <v>0.97855939999999997</v>
      </c>
      <c r="AB4060">
        <v>45</v>
      </c>
      <c r="AC4060">
        <v>-10.355</v>
      </c>
      <c r="AD4060">
        <v>-1.1108503668630001</v>
      </c>
      <c r="AE4060">
        <v>-2.5698000000000101</v>
      </c>
      <c r="AF4060">
        <v>-2.25394496000174</v>
      </c>
      <c r="AG4060">
        <v>-1.1108503668630001</v>
      </c>
      <c r="AH4060">
        <v>10.3112177474246</v>
      </c>
      <c r="AI4060">
        <v>96.008095244610203</v>
      </c>
      <c r="AJ4060">
        <v>102.330422476016</v>
      </c>
      <c r="AK4060">
        <v>10.6129858124413</v>
      </c>
      <c r="AL4060">
        <v>83.342160124160003</v>
      </c>
      <c r="AM4060">
        <v>96.9938286701599</v>
      </c>
      <c r="AN4060">
        <v>1.0000000184470901</v>
      </c>
    </row>
    <row r="4061" spans="1:40" x14ac:dyDescent="0.25">
      <c r="A4061" t="str">
        <f>"20190312151619635"</f>
        <v>20190312151619635</v>
      </c>
      <c r="B4061" t="str">
        <f>"1552374979632295"</f>
        <v>1552374979632295</v>
      </c>
      <c r="C4061" t="s">
        <v>40</v>
      </c>
      <c r="D4061">
        <v>4.5068349999999997</v>
      </c>
      <c r="E4061">
        <v>0.46829189999999998</v>
      </c>
      <c r="F4061" t="s">
        <v>43</v>
      </c>
      <c r="G4061">
        <v>-363.39179999999999</v>
      </c>
      <c r="H4061" s="1">
        <v>-3.2333340000000001E-6</v>
      </c>
      <c r="I4061">
        <v>137.27019999999999</v>
      </c>
      <c r="J4061">
        <v>-353.02170000000001</v>
      </c>
      <c r="K4061">
        <v>1.110951</v>
      </c>
      <c r="L4061">
        <v>139.85919999999999</v>
      </c>
      <c r="M4061">
        <v>-0.99948329999999996</v>
      </c>
      <c r="N4061">
        <v>0</v>
      </c>
      <c r="O4061">
        <v>-2.9017230000000001E-2</v>
      </c>
      <c r="P4061">
        <v>-0.9834368</v>
      </c>
      <c r="Q4061">
        <v>0.10255980000000001</v>
      </c>
      <c r="R4061">
        <v>-0.14944569999999999</v>
      </c>
      <c r="S4061">
        <v>-2.9732970000000001</v>
      </c>
      <c r="T4061">
        <v>-0.30931639999999999</v>
      </c>
      <c r="U4061">
        <v>-0.72348020000000002</v>
      </c>
      <c r="V4061">
        <v>-0.1212196</v>
      </c>
      <c r="W4061">
        <v>0.115811999999999</v>
      </c>
      <c r="X4061">
        <v>0.98584649999999996</v>
      </c>
      <c r="Y4061">
        <v>-0.20722409999999999</v>
      </c>
      <c r="Z4061">
        <v>-7.6315009999999997E-3</v>
      </c>
      <c r="AA4061">
        <v>0.97826369999999896</v>
      </c>
      <c r="AB4061">
        <v>45</v>
      </c>
      <c r="AC4061">
        <v>-10.3700999999999</v>
      </c>
      <c r="AD4061">
        <v>-1.1109542333339999</v>
      </c>
      <c r="AE4061">
        <v>-2.5889999999999902</v>
      </c>
      <c r="AF4061">
        <v>-2.2625259181018098</v>
      </c>
      <c r="AG4061">
        <v>-1.1109542333339999</v>
      </c>
      <c r="AH4061">
        <v>10.329272298624</v>
      </c>
      <c r="AI4061">
        <v>95.997669157162207</v>
      </c>
      <c r="AJ4061">
        <v>102.35495450046901</v>
      </c>
      <c r="AK4061">
        <v>10.632361405528201</v>
      </c>
      <c r="AL4061">
        <v>83.349537604281593</v>
      </c>
      <c r="AM4061">
        <v>97.0098975139705</v>
      </c>
      <c r="AN4061">
        <v>0.99999996616520404</v>
      </c>
    </row>
    <row r="4062" spans="1:40" x14ac:dyDescent="0.25">
      <c r="A4062" t="str">
        <f>"20190312151619647"</f>
        <v>20190312151619647</v>
      </c>
      <c r="B4062" t="str">
        <f>"1552374979642055"</f>
        <v>1552374979642055</v>
      </c>
      <c r="C4062" t="s">
        <v>40</v>
      </c>
      <c r="D4062">
        <v>4.4920530000000003</v>
      </c>
      <c r="E4062">
        <v>0.46827180000000002</v>
      </c>
      <c r="F4062" t="s">
        <v>43</v>
      </c>
      <c r="G4062">
        <v>-363.54129999999998</v>
      </c>
      <c r="H4062" s="1">
        <v>-3.1662989999999998E-6</v>
      </c>
      <c r="I4062">
        <v>137.2867</v>
      </c>
      <c r="J4062">
        <v>-353.28660000000002</v>
      </c>
      <c r="K4062">
        <v>1.1110409999999999</v>
      </c>
      <c r="L4062">
        <v>139.8509</v>
      </c>
      <c r="M4062">
        <v>-0.99945580000000001</v>
      </c>
      <c r="N4062">
        <v>0</v>
      </c>
      <c r="O4062">
        <v>-2.9919100000000001E-2</v>
      </c>
      <c r="P4062">
        <v>-0.98331630000000003</v>
      </c>
      <c r="Q4062">
        <v>0.1023888</v>
      </c>
      <c r="R4062">
        <v>-0.1503524</v>
      </c>
      <c r="S4062">
        <v>-2.9727779999999999</v>
      </c>
      <c r="T4062">
        <v>-0.31395279999999998</v>
      </c>
      <c r="U4062">
        <v>-0.72694399999999904</v>
      </c>
      <c r="V4062">
        <v>-0.12126240000000001</v>
      </c>
      <c r="W4062">
        <v>0.1156789</v>
      </c>
      <c r="X4062">
        <v>0.98585690000000004</v>
      </c>
      <c r="Y4062">
        <v>-0.2074329</v>
      </c>
      <c r="Z4062">
        <v>-7.6629710000000002E-3</v>
      </c>
      <c r="AA4062">
        <v>0.97821930000000001</v>
      </c>
      <c r="AB4062">
        <v>45</v>
      </c>
      <c r="AC4062">
        <v>-10.2546999999999</v>
      </c>
      <c r="AD4062">
        <v>-1.1110441662989901</v>
      </c>
      <c r="AE4062">
        <v>-2.5642</v>
      </c>
      <c r="AF4062">
        <v>-2.23155696610073</v>
      </c>
      <c r="AG4062">
        <v>-1.1110441662989901</v>
      </c>
      <c r="AH4062">
        <v>10.213991751301799</v>
      </c>
      <c r="AI4062">
        <v>96.066051225895094</v>
      </c>
      <c r="AJ4062">
        <v>102.32434471251401</v>
      </c>
      <c r="AK4062">
        <v>10.5137953721804</v>
      </c>
      <c r="AL4062">
        <v>83.357215517034007</v>
      </c>
      <c r="AM4062">
        <v>97.012274680424497</v>
      </c>
      <c r="AN4062">
        <v>1.00000000241829</v>
      </c>
    </row>
    <row r="4063" spans="1:40" x14ac:dyDescent="0.25">
      <c r="A4063" t="str">
        <f>"20190312151619660"</f>
        <v>20190312151619660</v>
      </c>
      <c r="B4063" t="str">
        <f>"1552374979651815"</f>
        <v>1552374979651815</v>
      </c>
      <c r="C4063" t="s">
        <v>40</v>
      </c>
      <c r="D4063">
        <v>4.4852759999999998</v>
      </c>
      <c r="E4063">
        <v>0.46821669999999999</v>
      </c>
      <c r="F4063" t="s">
        <v>43</v>
      </c>
      <c r="G4063">
        <v>-363.8175</v>
      </c>
      <c r="H4063" s="1">
        <v>-3.0516429999999998E-6</v>
      </c>
      <c r="I4063">
        <v>137.26499999999999</v>
      </c>
      <c r="J4063">
        <v>-353.53769999999997</v>
      </c>
      <c r="K4063">
        <v>1.1111230000000001</v>
      </c>
      <c r="L4063">
        <v>139.84270000000001</v>
      </c>
      <c r="M4063">
        <v>-0.99942790000000004</v>
      </c>
      <c r="N4063">
        <v>0</v>
      </c>
      <c r="O4063">
        <v>-3.081441E-2</v>
      </c>
      <c r="P4063">
        <v>-0.9831512</v>
      </c>
      <c r="Q4063">
        <v>0.1022757</v>
      </c>
      <c r="R4063">
        <v>-0.151505</v>
      </c>
      <c r="S4063">
        <v>-2.971924</v>
      </c>
      <c r="T4063">
        <v>-0.31354870000000001</v>
      </c>
      <c r="U4063">
        <v>-0.72975159999999994</v>
      </c>
      <c r="V4063">
        <v>-0.12155829999999999</v>
      </c>
      <c r="W4063">
        <v>0.1155965</v>
      </c>
      <c r="X4063">
        <v>0.98583010000000004</v>
      </c>
      <c r="Y4063">
        <v>-0.20749989999999999</v>
      </c>
      <c r="Z4063">
        <v>-7.565291E-3</v>
      </c>
      <c r="AA4063">
        <v>0.97820580000000001</v>
      </c>
      <c r="AB4063">
        <v>45</v>
      </c>
      <c r="AC4063">
        <v>-10.2798</v>
      </c>
      <c r="AD4063">
        <v>-1.1111260516429999</v>
      </c>
      <c r="AE4063">
        <v>-2.5777000000000201</v>
      </c>
      <c r="AF4063">
        <v>-2.2351107257137399</v>
      </c>
      <c r="AG4063">
        <v>-1.1111260516429999</v>
      </c>
      <c r="AH4063">
        <v>10.241778485700101</v>
      </c>
      <c r="AI4063">
        <v>96.050465954569106</v>
      </c>
      <c r="AJ4063">
        <v>102.31090411512101</v>
      </c>
      <c r="AK4063">
        <v>10.541553377419801</v>
      </c>
      <c r="AL4063">
        <v>83.361968416448704</v>
      </c>
      <c r="AM4063">
        <v>97.029403978582593</v>
      </c>
      <c r="AN4063">
        <v>0.99999997858857403</v>
      </c>
    </row>
    <row r="4064" spans="1:40" x14ac:dyDescent="0.25">
      <c r="A4064" t="str">
        <f>"20190312151619677"</f>
        <v>20190312151619677</v>
      </c>
      <c r="B4064" t="str">
        <f>"1552374979672311"</f>
        <v>1552374979672311</v>
      </c>
      <c r="C4064" t="s">
        <v>40</v>
      </c>
      <c r="D4064">
        <v>4.4755649999999996</v>
      </c>
      <c r="E4064">
        <v>0.46812369999999998</v>
      </c>
      <c r="F4064" t="s">
        <v>43</v>
      </c>
      <c r="G4064">
        <v>-364.09109999999998</v>
      </c>
      <c r="H4064" s="1">
        <v>-2.9393329999999998E-6</v>
      </c>
      <c r="I4064">
        <v>137.23650000000001</v>
      </c>
      <c r="J4064">
        <v>-353.86239999999998</v>
      </c>
      <c r="K4064">
        <v>1.1112310000000001</v>
      </c>
      <c r="L4064">
        <v>139.83189999999999</v>
      </c>
      <c r="M4064">
        <v>-0.99938879999999997</v>
      </c>
      <c r="N4064">
        <v>0</v>
      </c>
      <c r="O4064">
        <v>-3.2025310000000001E-2</v>
      </c>
      <c r="P4064">
        <v>-0.98297460000000003</v>
      </c>
      <c r="Q4064">
        <v>0.10206899999999999</v>
      </c>
      <c r="R4064">
        <v>-0.1527847</v>
      </c>
      <c r="S4064">
        <v>-2.970825</v>
      </c>
      <c r="T4064">
        <v>-0.31278719999999999</v>
      </c>
      <c r="U4064">
        <v>-0.73364259999999903</v>
      </c>
      <c r="V4064">
        <v>-0.1216754</v>
      </c>
      <c r="W4064">
        <v>0.1154255</v>
      </c>
      <c r="X4064">
        <v>0.98583569999999998</v>
      </c>
      <c r="Y4064">
        <v>-0.20761640000000001</v>
      </c>
      <c r="Z4064">
        <v>-7.4295949999999998E-3</v>
      </c>
      <c r="AA4064">
        <v>0.97818210000000005</v>
      </c>
      <c r="AB4064">
        <v>45</v>
      </c>
      <c r="AC4064">
        <v>-10.2287</v>
      </c>
      <c r="AD4064">
        <v>-1.111233939333</v>
      </c>
      <c r="AE4064">
        <v>-2.5953999999999802</v>
      </c>
      <c r="AF4064">
        <v>-2.24160299557045</v>
      </c>
      <c r="AG4064">
        <v>-1.111233939333</v>
      </c>
      <c r="AH4064">
        <v>10.193547845304201</v>
      </c>
      <c r="AI4064">
        <v>96.077360253646603</v>
      </c>
      <c r="AJ4064">
        <v>102.402177586486</v>
      </c>
      <c r="AK4064">
        <v>10.496096537865</v>
      </c>
      <c r="AL4064">
        <v>83.371832083975093</v>
      </c>
      <c r="AM4064">
        <v>97.036068160059799</v>
      </c>
      <c r="AN4064">
        <v>0.99999998820494895</v>
      </c>
    </row>
    <row r="4065" spans="1:40" x14ac:dyDescent="0.25">
      <c r="A4065" t="str">
        <f>"20190312151619699"</f>
        <v>20190312151619699</v>
      </c>
      <c r="B4065" t="str">
        <f>"1552374979691831"</f>
        <v>1552374979691831</v>
      </c>
      <c r="C4065" t="s">
        <v>40</v>
      </c>
      <c r="D4065">
        <v>4.5021469999999999</v>
      </c>
      <c r="E4065">
        <v>0.46801330000000002</v>
      </c>
      <c r="F4065" t="s">
        <v>43</v>
      </c>
      <c r="G4065">
        <v>-364.30840000000001</v>
      </c>
      <c r="H4065" s="1">
        <v>-2.846747E-6</v>
      </c>
      <c r="I4065">
        <v>137.233</v>
      </c>
      <c r="J4065">
        <v>-354.31290000000001</v>
      </c>
      <c r="K4065">
        <v>1.1113820000000001</v>
      </c>
      <c r="L4065">
        <v>139.816</v>
      </c>
      <c r="M4065">
        <v>-0.99932810000000005</v>
      </c>
      <c r="N4065">
        <v>0</v>
      </c>
      <c r="O4065">
        <v>-3.3828940000000002E-2</v>
      </c>
      <c r="P4065">
        <v>-0.98264589999999996</v>
      </c>
      <c r="Q4065">
        <v>0.1020742</v>
      </c>
      <c r="R4065">
        <v>-0.15487960000000001</v>
      </c>
      <c r="S4065">
        <v>-2.9699399999999998</v>
      </c>
      <c r="T4065">
        <v>-0.31594100000000003</v>
      </c>
      <c r="U4065">
        <v>-0.73889159999999998</v>
      </c>
      <c r="V4065">
        <v>-0.1220401</v>
      </c>
      <c r="W4065">
        <v>0.11546770000000001</v>
      </c>
      <c r="X4065">
        <v>0.98578569999999999</v>
      </c>
      <c r="Y4065">
        <v>-0.20753949999999999</v>
      </c>
      <c r="Z4065">
        <v>-7.3126609999999998E-3</v>
      </c>
      <c r="AA4065">
        <v>0.97819929999999999</v>
      </c>
      <c r="AB4065">
        <v>45</v>
      </c>
      <c r="AC4065">
        <v>-9.9954999999999892</v>
      </c>
      <c r="AD4065">
        <v>-1.11138484674699</v>
      </c>
      <c r="AE4065">
        <v>-2.58299999999999</v>
      </c>
      <c r="AF4065">
        <v>-2.2176501652497702</v>
      </c>
      <c r="AG4065">
        <v>-1.11138484674699</v>
      </c>
      <c r="AH4065">
        <v>9.9617204178364407</v>
      </c>
      <c r="AI4065">
        <v>96.215004089606595</v>
      </c>
      <c r="AJ4065">
        <v>102.550370722031</v>
      </c>
      <c r="AK4065">
        <v>10.265915556644201</v>
      </c>
      <c r="AL4065">
        <v>83.369398078589697</v>
      </c>
      <c r="AM4065">
        <v>97.057299501295205</v>
      </c>
      <c r="AN4065">
        <v>1.0000000110378899</v>
      </c>
    </row>
    <row r="4066" spans="1:40" x14ac:dyDescent="0.25">
      <c r="A4066" t="str">
        <f>"20190312151619722"</f>
        <v>20190312151619722</v>
      </c>
      <c r="B4066" t="str">
        <f>"1552374979712327"</f>
        <v>1552374979712327</v>
      </c>
      <c r="C4066" t="s">
        <v>40</v>
      </c>
      <c r="D4066">
        <v>4.5105000000000004</v>
      </c>
      <c r="E4066">
        <v>0.46789120000000001</v>
      </c>
      <c r="F4066" t="s">
        <v>43</v>
      </c>
      <c r="G4066">
        <v>-364.71510000000001</v>
      </c>
      <c r="H4066" s="1">
        <v>-2.678161E-6</v>
      </c>
      <c r="I4066">
        <v>137.19990000000001</v>
      </c>
      <c r="J4066">
        <v>-354.7654</v>
      </c>
      <c r="K4066">
        <v>1.111529</v>
      </c>
      <c r="L4066">
        <v>139.79920000000001</v>
      </c>
      <c r="M4066">
        <v>-0.99925989999999998</v>
      </c>
      <c r="N4066">
        <v>0</v>
      </c>
      <c r="O4066">
        <v>-3.5761130000000002E-2</v>
      </c>
      <c r="P4066">
        <v>-0.98227169999999997</v>
      </c>
      <c r="Q4066">
        <v>0.1017974</v>
      </c>
      <c r="R4066">
        <v>-0.1574169</v>
      </c>
      <c r="S4066">
        <v>-2.9682309999999998</v>
      </c>
      <c r="T4066">
        <v>-0.31713380000000002</v>
      </c>
      <c r="U4066">
        <v>-0.74650569999999905</v>
      </c>
      <c r="V4066">
        <v>-0.1227191</v>
      </c>
      <c r="W4066">
        <v>0.11521670000000001</v>
      </c>
      <c r="X4066">
        <v>0.98573080000000002</v>
      </c>
      <c r="Y4066">
        <v>-0.20814170000000001</v>
      </c>
      <c r="Z4066">
        <v>-7.1713769999999996E-3</v>
      </c>
      <c r="AA4066">
        <v>0.97807239999999995</v>
      </c>
      <c r="AB4066">
        <v>45</v>
      </c>
      <c r="AC4066">
        <v>-9.9497</v>
      </c>
      <c r="AD4066">
        <v>-1.1115316781610001</v>
      </c>
      <c r="AE4066">
        <v>-2.5992999999999902</v>
      </c>
      <c r="AF4066">
        <v>-2.2159006307676199</v>
      </c>
      <c r="AG4066">
        <v>-1.1115316781610001</v>
      </c>
      <c r="AH4066">
        <v>9.9203985629719895</v>
      </c>
      <c r="AI4066">
        <v>96.2405181560042</v>
      </c>
      <c r="AJ4066">
        <v>102.59135715758499</v>
      </c>
      <c r="AK4066">
        <v>10.2254596926108</v>
      </c>
      <c r="AL4066">
        <v>83.383876124711193</v>
      </c>
      <c r="AM4066">
        <v>97.096556496490194</v>
      </c>
      <c r="AN4066">
        <v>1.00000003776616</v>
      </c>
    </row>
    <row r="4067" spans="1:40" x14ac:dyDescent="0.25">
      <c r="A4067" t="str">
        <f>"20190312151619744"</f>
        <v>20190312151619744</v>
      </c>
      <c r="B4067" t="str">
        <f>"1552374979731847"</f>
        <v>1552374979731847</v>
      </c>
      <c r="C4067" t="s">
        <v>40</v>
      </c>
      <c r="D4067">
        <v>4.4910620000000003</v>
      </c>
      <c r="E4067">
        <v>0.46795530000000002</v>
      </c>
      <c r="F4067" t="s">
        <v>43</v>
      </c>
      <c r="G4067">
        <v>-365.04140000000001</v>
      </c>
      <c r="H4067" s="1">
        <v>-2.5412630000000002E-6</v>
      </c>
      <c r="I4067">
        <v>137.1824</v>
      </c>
      <c r="J4067">
        <v>-355.22300000000001</v>
      </c>
      <c r="K4067">
        <v>1.1116740000000001</v>
      </c>
      <c r="L4067">
        <v>139.78129999999999</v>
      </c>
      <c r="M4067">
        <v>-0.99918309999999999</v>
      </c>
      <c r="N4067">
        <v>0</v>
      </c>
      <c r="O4067">
        <v>-3.7823860000000001E-2</v>
      </c>
      <c r="P4067">
        <v>-0.98178920000000003</v>
      </c>
      <c r="Q4067">
        <v>0.1016904</v>
      </c>
      <c r="R4067">
        <v>-0.16046529999999901</v>
      </c>
      <c r="S4067">
        <v>-2.9663390000000001</v>
      </c>
      <c r="T4067">
        <v>-0.32086619999999999</v>
      </c>
      <c r="U4067">
        <v>-0.75537109999999996</v>
      </c>
      <c r="V4067">
        <v>-0.12378409999999999</v>
      </c>
      <c r="W4067">
        <v>0.1151243</v>
      </c>
      <c r="X4067">
        <v>0.98560840000000005</v>
      </c>
      <c r="Y4067">
        <v>-0.2090022</v>
      </c>
      <c r="Z4067">
        <v>-7.0844870000000004E-3</v>
      </c>
      <c r="AA4067">
        <v>0.97788949999999997</v>
      </c>
      <c r="AB4067">
        <v>45</v>
      </c>
      <c r="AC4067">
        <v>-9.8183999999999898</v>
      </c>
      <c r="AD4067">
        <v>-1.1116765412630001</v>
      </c>
      <c r="AE4067">
        <v>-2.59889999999998</v>
      </c>
      <c r="AF4067">
        <v>-2.1992845591737802</v>
      </c>
      <c r="AG4067">
        <v>-1.1116765412630001</v>
      </c>
      <c r="AH4067">
        <v>9.7923682091688597</v>
      </c>
      <c r="AI4067">
        <v>96.320634373242797</v>
      </c>
      <c r="AJ4067">
        <v>102.65811457037501</v>
      </c>
      <c r="AK4067">
        <v>10.097680547955299</v>
      </c>
      <c r="AL4067">
        <v>83.389205554644306</v>
      </c>
      <c r="AM4067">
        <v>97.158386562403606</v>
      </c>
      <c r="AN4067">
        <v>1.00000001300693</v>
      </c>
    </row>
    <row r="4068" spans="1:40" x14ac:dyDescent="0.25">
      <c r="A4068" t="str">
        <f>"20190312151619766"</f>
        <v>20190312151619766</v>
      </c>
      <c r="B4068" t="str">
        <f>"1552374979762103"</f>
        <v>1552374979762103</v>
      </c>
      <c r="C4068" t="s">
        <v>40</v>
      </c>
      <c r="D4068">
        <v>4.5756329999999998</v>
      </c>
      <c r="E4068">
        <v>0.46799239999999998</v>
      </c>
      <c r="F4068" t="s">
        <v>43</v>
      </c>
      <c r="G4068">
        <v>-365.48329999999999</v>
      </c>
      <c r="H4068" s="1">
        <v>-2.3599029999999999E-6</v>
      </c>
      <c r="I4068">
        <v>137.136</v>
      </c>
      <c r="J4068">
        <v>-355.6696</v>
      </c>
      <c r="K4068">
        <v>1.1118079999999999</v>
      </c>
      <c r="L4068">
        <v>139.7628</v>
      </c>
      <c r="M4068">
        <v>-0.99909999999999999</v>
      </c>
      <c r="N4068">
        <v>0</v>
      </c>
      <c r="O4068">
        <v>-3.9935690000000003E-2</v>
      </c>
      <c r="P4068">
        <v>-0.98132929999999996</v>
      </c>
      <c r="Q4068">
        <v>0.10145510000000001</v>
      </c>
      <c r="R4068">
        <v>-0.1634013</v>
      </c>
      <c r="S4068">
        <v>-2.9640499999999999</v>
      </c>
      <c r="T4068">
        <v>-0.32114740000000003</v>
      </c>
      <c r="U4068">
        <v>-0.76416019999999996</v>
      </c>
      <c r="V4068">
        <v>-0.1246845</v>
      </c>
      <c r="W4068">
        <v>0.1148974</v>
      </c>
      <c r="X4068">
        <v>0.98552139999999999</v>
      </c>
      <c r="Y4068">
        <v>-0.20984179999999999</v>
      </c>
      <c r="Z4068">
        <v>-6.9142250000000004E-3</v>
      </c>
      <c r="AA4068">
        <v>0.97771090000000005</v>
      </c>
      <c r="AB4068">
        <v>45</v>
      </c>
      <c r="AC4068">
        <v>-9.8136999999999794</v>
      </c>
      <c r="AD4068">
        <v>-1.11181035990299</v>
      </c>
      <c r="AE4068">
        <v>-2.6267999999999998</v>
      </c>
      <c r="AF4068">
        <v>-2.2063221990092501</v>
      </c>
      <c r="AG4068">
        <v>-1.11181035990299</v>
      </c>
      <c r="AH4068">
        <v>9.7934876169801797</v>
      </c>
      <c r="AI4068">
        <v>96.319742288725195</v>
      </c>
      <c r="AJ4068">
        <v>102.69590463157</v>
      </c>
      <c r="AK4068">
        <v>10.1003158181401</v>
      </c>
      <c r="AL4068">
        <v>83.402292946383199</v>
      </c>
      <c r="AM4068">
        <v>97.210540129416799</v>
      </c>
      <c r="AN4068">
        <v>1.0000000334624799</v>
      </c>
    </row>
    <row r="4069" spans="1:40" x14ac:dyDescent="0.25">
      <c r="A4069" t="str">
        <f>"20190312151619783"</f>
        <v>20190312151619783</v>
      </c>
      <c r="B4069" t="str">
        <f>"1552374979771863"</f>
        <v>1552374979771863</v>
      </c>
      <c r="C4069" t="s">
        <v>40</v>
      </c>
      <c r="D4069">
        <v>4.5323320000000002</v>
      </c>
      <c r="E4069">
        <v>0.46797339999999998</v>
      </c>
      <c r="F4069" t="s">
        <v>43</v>
      </c>
      <c r="G4069">
        <v>-365.85199999999998</v>
      </c>
      <c r="H4069" s="1">
        <v>-2.2072330000000001E-6</v>
      </c>
      <c r="I4069">
        <v>137.10509999999999</v>
      </c>
      <c r="J4069">
        <v>-356.01639999999998</v>
      </c>
      <c r="K4069">
        <v>1.1119049999999999</v>
      </c>
      <c r="L4069">
        <v>139.74780000000001</v>
      </c>
      <c r="M4069">
        <v>-0.99902990000000003</v>
      </c>
      <c r="N4069">
        <v>0</v>
      </c>
      <c r="O4069">
        <v>-4.1639379999999997E-2</v>
      </c>
      <c r="P4069">
        <v>-0.98094619999999999</v>
      </c>
      <c r="Q4069">
        <v>0.1016094</v>
      </c>
      <c r="R4069">
        <v>-0.165590299999999</v>
      </c>
      <c r="S4069">
        <v>-2.961792</v>
      </c>
      <c r="T4069">
        <v>-0.32339679999999998</v>
      </c>
      <c r="U4069">
        <v>-0.77305599999999997</v>
      </c>
      <c r="V4069">
        <v>-0.12523199999999901</v>
      </c>
      <c r="W4069">
        <v>0.11505509999999999</v>
      </c>
      <c r="X4069">
        <v>0.98543349999999996</v>
      </c>
      <c r="Y4069">
        <v>-0.21109530000000001</v>
      </c>
      <c r="Z4069">
        <v>-6.8502320000000004E-3</v>
      </c>
      <c r="AA4069">
        <v>0.97744149999999996</v>
      </c>
      <c r="AB4069">
        <v>45</v>
      </c>
      <c r="AC4069">
        <v>-9.8355999999999995</v>
      </c>
      <c r="AD4069">
        <v>-1.1119072072330001</v>
      </c>
      <c r="AE4069">
        <v>-2.6427000000000098</v>
      </c>
      <c r="AF4069">
        <v>-2.2045398889400598</v>
      </c>
      <c r="AG4069">
        <v>-1.1119072072330001</v>
      </c>
      <c r="AH4069">
        <v>9.8200680742622808</v>
      </c>
      <c r="AI4069">
        <v>96.304377964586706</v>
      </c>
      <c r="AJ4069">
        <v>102.65274986291701</v>
      </c>
      <c r="AK4069">
        <v>10.1257133448745</v>
      </c>
      <c r="AL4069">
        <v>83.393196569195595</v>
      </c>
      <c r="AM4069">
        <v>97.242505906533793</v>
      </c>
      <c r="AN4069">
        <v>0.99999995639112904</v>
      </c>
    </row>
    <row r="4070" spans="1:40" x14ac:dyDescent="0.25">
      <c r="A4070" t="str">
        <f>"20190312151619801"</f>
        <v>20190312151619801</v>
      </c>
      <c r="B4070" t="str">
        <f>"1552374979792359"</f>
        <v>1552374979792359</v>
      </c>
      <c r="C4070" t="s">
        <v>40</v>
      </c>
      <c r="D4070">
        <v>4.5380219999999998</v>
      </c>
      <c r="E4070">
        <v>0.46806229999999999</v>
      </c>
      <c r="F4070" t="s">
        <v>43</v>
      </c>
      <c r="G4070">
        <v>-366.25330000000002</v>
      </c>
      <c r="H4070" s="1">
        <v>-2.0446490000000002E-6</v>
      </c>
      <c r="I4070">
        <v>137.05099999999999</v>
      </c>
      <c r="J4070">
        <v>-356.34800000000001</v>
      </c>
      <c r="K4070">
        <v>1.1119939999999999</v>
      </c>
      <c r="L4070">
        <v>139.7328</v>
      </c>
      <c r="M4070">
        <v>-0.99895849999999997</v>
      </c>
      <c r="N4070">
        <v>0</v>
      </c>
      <c r="O4070">
        <v>-4.3313299999999999E-2</v>
      </c>
      <c r="P4070">
        <v>-0.98057380000000005</v>
      </c>
      <c r="Q4070">
        <v>0.10132389999999999</v>
      </c>
      <c r="R4070">
        <v>-0.16795560000000001</v>
      </c>
      <c r="S4070">
        <v>-2.9599609999999998</v>
      </c>
      <c r="T4070">
        <v>-0.321503599999999</v>
      </c>
      <c r="U4070">
        <v>-0.77972410000000003</v>
      </c>
      <c r="V4070">
        <v>-0.12597949999999999</v>
      </c>
      <c r="W4070">
        <v>0.1147695</v>
      </c>
      <c r="X4070">
        <v>0.98537160000000001</v>
      </c>
      <c r="Y4070">
        <v>-0.21168219999999999</v>
      </c>
      <c r="Z4070">
        <v>-6.6661359999999996E-3</v>
      </c>
      <c r="AA4070">
        <v>0.97731579999999996</v>
      </c>
      <c r="AB4070">
        <v>45</v>
      </c>
      <c r="AC4070">
        <v>-9.9053000000000093</v>
      </c>
      <c r="AD4070">
        <v>-1.111996044649</v>
      </c>
      <c r="AE4070">
        <v>-2.68179999999998</v>
      </c>
      <c r="AF4070">
        <v>-2.2240916056728</v>
      </c>
      <c r="AG4070">
        <v>-1.111996044649</v>
      </c>
      <c r="AH4070">
        <v>9.8959715164471298</v>
      </c>
      <c r="AI4070">
        <v>96.256566454131999</v>
      </c>
      <c r="AJ4070">
        <v>102.666594746011</v>
      </c>
      <c r="AK4070">
        <v>10.203595980245</v>
      </c>
      <c r="AL4070">
        <v>83.409669862320698</v>
      </c>
      <c r="AM4070">
        <v>97.285725501063695</v>
      </c>
      <c r="AN4070">
        <v>1.00000003131852</v>
      </c>
    </row>
    <row r="4071" spans="1:40" x14ac:dyDescent="0.25">
      <c r="A4071" t="str">
        <f>"20190312151619822"</f>
        <v>20190312151619822</v>
      </c>
      <c r="B4071" t="str">
        <f>"1552374979811879"</f>
        <v>1552374979811879</v>
      </c>
      <c r="C4071" t="s">
        <v>40</v>
      </c>
      <c r="D4071">
        <v>4.5641689999999997</v>
      </c>
      <c r="E4071">
        <v>0.46812019999999999</v>
      </c>
      <c r="F4071" t="s">
        <v>43</v>
      </c>
      <c r="G4071">
        <v>-366.5283</v>
      </c>
      <c r="H4071" s="1">
        <v>-1.9310630000000001E-6</v>
      </c>
      <c r="I4071">
        <v>137.02629999999999</v>
      </c>
      <c r="J4071">
        <v>-356.78140000000002</v>
      </c>
      <c r="K4071">
        <v>1.1121049999999999</v>
      </c>
      <c r="L4071">
        <v>139.7123</v>
      </c>
      <c r="M4071">
        <v>-0.99885769999999996</v>
      </c>
      <c r="N4071">
        <v>0</v>
      </c>
      <c r="O4071">
        <v>-4.5561980000000002E-2</v>
      </c>
      <c r="P4071">
        <v>-0.98001119999999997</v>
      </c>
      <c r="Q4071">
        <v>0.1008621</v>
      </c>
      <c r="R4071">
        <v>-0.17147760000000001</v>
      </c>
      <c r="S4071">
        <v>-2.9581300000000001</v>
      </c>
      <c r="T4071">
        <v>-0.32311770000000001</v>
      </c>
      <c r="U4071">
        <v>-0.78642270000000003</v>
      </c>
      <c r="V4071">
        <v>-0.1273292</v>
      </c>
      <c r="W4071">
        <v>0.1143015</v>
      </c>
      <c r="X4071">
        <v>0.98525249999999998</v>
      </c>
      <c r="Y4071">
        <v>-0.21170249999999999</v>
      </c>
      <c r="Z4071">
        <v>-6.4627490000000003E-3</v>
      </c>
      <c r="AA4071">
        <v>0.97731279999999998</v>
      </c>
      <c r="AB4071">
        <v>45</v>
      </c>
      <c r="AC4071">
        <v>-9.7468999999999806</v>
      </c>
      <c r="AD4071">
        <v>-1.1121069310629901</v>
      </c>
      <c r="AE4071">
        <v>-2.6859999999999999</v>
      </c>
      <c r="AF4071">
        <v>-2.2123078591071201</v>
      </c>
      <c r="AG4071">
        <v>-1.1121069310629901</v>
      </c>
      <c r="AH4071">
        <v>9.7413020776564796</v>
      </c>
      <c r="AI4071">
        <v>96.352532950366395</v>
      </c>
      <c r="AJ4071">
        <v>102.79518053690801</v>
      </c>
      <c r="AK4071">
        <v>10.051072283977399</v>
      </c>
      <c r="AL4071">
        <v>83.436661864946899</v>
      </c>
      <c r="AM4071">
        <v>97.363810416153697</v>
      </c>
      <c r="AN4071">
        <v>1.0000000234155599</v>
      </c>
    </row>
    <row r="4072" spans="1:40" x14ac:dyDescent="0.25">
      <c r="A4072" t="str">
        <f>"20190312151619837"</f>
        <v>20190312151619837</v>
      </c>
      <c r="B4072" t="str">
        <f>"1552374979832375"</f>
        <v>1552374979832375</v>
      </c>
      <c r="C4072" t="s">
        <v>40</v>
      </c>
      <c r="D4072">
        <v>4.6058649999999997</v>
      </c>
      <c r="E4072">
        <v>0.46813399999999999</v>
      </c>
      <c r="F4072" t="s">
        <v>43</v>
      </c>
      <c r="G4072">
        <v>-366.87900000000002</v>
      </c>
      <c r="H4072" s="1">
        <v>-1.7870079999999901E-6</v>
      </c>
      <c r="I4072">
        <v>136.99019999999999</v>
      </c>
      <c r="J4072">
        <v>-357.08960000000002</v>
      </c>
      <c r="K4072">
        <v>1.112177</v>
      </c>
      <c r="L4072">
        <v>139.69720000000001</v>
      </c>
      <c r="M4072">
        <v>-0.99878160000000005</v>
      </c>
      <c r="N4072">
        <v>0</v>
      </c>
      <c r="O4072">
        <v>-4.7195889999999997E-2</v>
      </c>
      <c r="P4072">
        <v>-0.97963650000000002</v>
      </c>
      <c r="Q4072">
        <v>0.1007537</v>
      </c>
      <c r="R4072">
        <v>-0.17366980000000001</v>
      </c>
      <c r="S4072">
        <v>-2.955292</v>
      </c>
      <c r="T4072">
        <v>-0.32548310000000003</v>
      </c>
      <c r="U4072">
        <v>-0.79666139999999996</v>
      </c>
      <c r="V4072">
        <v>-0.12794059999999999</v>
      </c>
      <c r="W4072">
        <v>0.11418970000000001</v>
      </c>
      <c r="X4072">
        <v>0.98518620000000001</v>
      </c>
      <c r="Y4072">
        <v>-0.21348120000000001</v>
      </c>
      <c r="Z4072">
        <v>-6.4333760000000002E-3</v>
      </c>
      <c r="AA4072">
        <v>0.97692599999999996</v>
      </c>
      <c r="AB4072">
        <v>45</v>
      </c>
      <c r="AC4072">
        <v>-9.7894000000000005</v>
      </c>
      <c r="AD4072">
        <v>-1.112178787008</v>
      </c>
      <c r="AE4072">
        <v>-2.7070000000000198</v>
      </c>
      <c r="AF4072">
        <v>-2.2153521992448</v>
      </c>
      <c r="AG4072">
        <v>-1.112178787008</v>
      </c>
      <c r="AH4072">
        <v>9.7888879074928195</v>
      </c>
      <c r="AI4072">
        <v>96.323380172686797</v>
      </c>
      <c r="AJ4072">
        <v>102.751965542058</v>
      </c>
      <c r="AK4072">
        <v>10.0978737111546</v>
      </c>
      <c r="AL4072">
        <v>83.443109376680098</v>
      </c>
      <c r="AM4072">
        <v>97.399270963912599</v>
      </c>
      <c r="AN4072">
        <v>0.99999996669244395</v>
      </c>
    </row>
    <row r="4073" spans="1:40" x14ac:dyDescent="0.25">
      <c r="A4073" t="str">
        <f>"20190312151619855"</f>
        <v>20190312151619855</v>
      </c>
      <c r="B4073" t="str">
        <f>"1552374979851895"</f>
        <v>1552374979851895</v>
      </c>
      <c r="C4073" t="s">
        <v>40</v>
      </c>
      <c r="D4073">
        <v>4.5344249999999997</v>
      </c>
      <c r="E4073">
        <v>0.46819250000000001</v>
      </c>
      <c r="F4073" t="s">
        <v>43</v>
      </c>
      <c r="G4073">
        <v>-367.13740000000001</v>
      </c>
      <c r="H4073" s="1">
        <v>-1.6806080000000001E-6</v>
      </c>
      <c r="I4073">
        <v>136.96510000000001</v>
      </c>
      <c r="J4073">
        <v>-357.44900000000001</v>
      </c>
      <c r="K4073">
        <v>1.1122510000000001</v>
      </c>
      <c r="L4073">
        <v>139.6789</v>
      </c>
      <c r="M4073">
        <v>-0.99868769999999996</v>
      </c>
      <c r="N4073">
        <v>0</v>
      </c>
      <c r="O4073">
        <v>-4.9136930000000002E-2</v>
      </c>
      <c r="P4073">
        <v>-0.9791145</v>
      </c>
      <c r="Q4073">
        <v>0.1003989</v>
      </c>
      <c r="R4073">
        <v>-0.17679049999999999</v>
      </c>
      <c r="S4073">
        <v>-2.9536129999999998</v>
      </c>
      <c r="T4073">
        <v>-0.32693179999999999</v>
      </c>
      <c r="U4073">
        <v>-0.8030853</v>
      </c>
      <c r="V4073">
        <v>-0.12918479999999999</v>
      </c>
      <c r="W4073">
        <v>0.11382490000000001</v>
      </c>
      <c r="X4073">
        <v>0.98506609999999994</v>
      </c>
      <c r="Y4073">
        <v>-0.21370320000000001</v>
      </c>
      <c r="Z4073">
        <v>-6.2660980000000003E-3</v>
      </c>
      <c r="AA4073">
        <v>0.97687849999999998</v>
      </c>
      <c r="AB4073">
        <v>45</v>
      </c>
      <c r="AC4073">
        <v>-9.6883999999999997</v>
      </c>
      <c r="AD4073">
        <v>-1.112252680608</v>
      </c>
      <c r="AE4073">
        <v>-2.7137999999999902</v>
      </c>
      <c r="AF4073">
        <v>-2.2074367564485402</v>
      </c>
      <c r="AG4073">
        <v>-1.112252680608</v>
      </c>
      <c r="AH4073">
        <v>9.6916171595750296</v>
      </c>
      <c r="AI4073">
        <v>96.384755273810697</v>
      </c>
      <c r="AJ4073">
        <v>102.83122677302499</v>
      </c>
      <c r="AK4073">
        <v>10.001866137226999</v>
      </c>
      <c r="AL4073">
        <v>83.464148407660204</v>
      </c>
      <c r="AM4073">
        <v>97.471319204126601</v>
      </c>
      <c r="AN4073">
        <v>1.0000000208901201</v>
      </c>
    </row>
    <row r="4074" spans="1:40" x14ac:dyDescent="0.25">
      <c r="A4074" t="str">
        <f>"20190312151619870"</f>
        <v>20190312151619870</v>
      </c>
      <c r="B4074" t="str">
        <f>"1552374979861655"</f>
        <v>1552374979861655</v>
      </c>
      <c r="C4074" t="s">
        <v>40</v>
      </c>
      <c r="D4074">
        <v>4.5409050000000004</v>
      </c>
      <c r="E4074">
        <v>0.46821699999999999</v>
      </c>
      <c r="F4074" t="s">
        <v>43</v>
      </c>
      <c r="G4074">
        <v>-367.4332</v>
      </c>
      <c r="H4074" s="1">
        <v>-1.574081E-6</v>
      </c>
      <c r="I4074">
        <v>136.9308</v>
      </c>
      <c r="J4074">
        <v>-357.75839999999999</v>
      </c>
      <c r="K4074">
        <v>1.112314</v>
      </c>
      <c r="L4074">
        <v>139.66249999999999</v>
      </c>
      <c r="M4074">
        <v>-0.9986024</v>
      </c>
      <c r="N4074">
        <v>0</v>
      </c>
      <c r="O4074">
        <v>-5.0835529999999997E-2</v>
      </c>
      <c r="P4074">
        <v>-0.97868500000000003</v>
      </c>
      <c r="Q4074">
        <v>0.1006093</v>
      </c>
      <c r="R4074">
        <v>-0.17903549999999999</v>
      </c>
      <c r="S4074">
        <v>-2.9510800000000001</v>
      </c>
      <c r="T4074">
        <v>-0.32875759999999998</v>
      </c>
      <c r="U4074">
        <v>-0.81224059999999998</v>
      </c>
      <c r="V4074">
        <v>-0.12978809999999999</v>
      </c>
      <c r="W4074">
        <v>0.11402859999999999</v>
      </c>
      <c r="X4074">
        <v>0.98496320000000004</v>
      </c>
      <c r="Y4074">
        <v>-0.21506439999999999</v>
      </c>
      <c r="Z4074">
        <v>-6.1934340000000003E-3</v>
      </c>
      <c r="AA4074">
        <v>0.97658020000000001</v>
      </c>
      <c r="AB4074">
        <v>45</v>
      </c>
      <c r="AC4074">
        <v>-9.6747999999999994</v>
      </c>
      <c r="AD4074">
        <v>-1.112315574081</v>
      </c>
      <c r="AE4074">
        <v>-2.73169999999998</v>
      </c>
      <c r="AF4074">
        <v>-2.2092462347958999</v>
      </c>
      <c r="AG4074">
        <v>-1.112315574081</v>
      </c>
      <c r="AH4074">
        <v>9.6826333441315402</v>
      </c>
      <c r="AI4074">
        <v>96.390441699200693</v>
      </c>
      <c r="AJ4074">
        <v>102.8529152767</v>
      </c>
      <c r="AK4074">
        <v>9.9935680984916999</v>
      </c>
      <c r="AL4074">
        <v>83.452400560389904</v>
      </c>
      <c r="AM4074">
        <v>97.5065889530714</v>
      </c>
      <c r="AN4074">
        <v>0.99999998893690401</v>
      </c>
    </row>
    <row r="4075" spans="1:40" x14ac:dyDescent="0.25">
      <c r="A4075" t="str">
        <f>"20190312151619884"</f>
        <v>20190312151619884</v>
      </c>
      <c r="B4075" t="str">
        <f>"1552374979872392"</f>
        <v>1552374979872392</v>
      </c>
      <c r="C4075" t="s">
        <v>40</v>
      </c>
      <c r="D4075">
        <v>5.0926179999999999</v>
      </c>
      <c r="E4075">
        <v>0.46828049999999999</v>
      </c>
      <c r="F4075" t="s">
        <v>43</v>
      </c>
      <c r="G4075">
        <v>-367.7833</v>
      </c>
      <c r="H4075" s="1">
        <v>-1.468754E-6</v>
      </c>
      <c r="I4075">
        <v>136.87889999999999</v>
      </c>
      <c r="J4075">
        <v>-358.02319999999997</v>
      </c>
      <c r="K4075">
        <v>1.1123639999999999</v>
      </c>
      <c r="L4075">
        <v>139.648</v>
      </c>
      <c r="M4075">
        <v>-0.99852620000000003</v>
      </c>
      <c r="N4075">
        <v>0</v>
      </c>
      <c r="O4075">
        <v>-5.2308830000000001E-2</v>
      </c>
      <c r="P4075">
        <v>-0.97838380000000003</v>
      </c>
      <c r="Q4075">
        <v>0.1005997</v>
      </c>
      <c r="R4075">
        <v>-0.1806798</v>
      </c>
      <c r="S4075">
        <v>-2.9492189999999998</v>
      </c>
      <c r="T4075">
        <v>-0.327235099999999</v>
      </c>
      <c r="U4075">
        <v>-0.818878199999999</v>
      </c>
      <c r="V4075">
        <v>-0.13000329999999999</v>
      </c>
      <c r="W4075">
        <v>0.1140168</v>
      </c>
      <c r="X4075">
        <v>0.98493620000000004</v>
      </c>
      <c r="Y4075">
        <v>-0.21583559999999999</v>
      </c>
      <c r="Z4075">
        <v>-6.0495189999999997E-3</v>
      </c>
      <c r="AA4075">
        <v>0.97641100000000003</v>
      </c>
      <c r="AB4075">
        <v>45</v>
      </c>
      <c r="AC4075">
        <v>-9.7601000000000209</v>
      </c>
      <c r="AD4075">
        <v>-1.1123654687540001</v>
      </c>
      <c r="AE4075">
        <v>-2.7690999999999999</v>
      </c>
      <c r="AF4075">
        <v>-2.2279319646554701</v>
      </c>
      <c r="AG4075">
        <v>-1.1123654687540001</v>
      </c>
      <c r="AH4075">
        <v>9.7740980449555295</v>
      </c>
      <c r="AI4075">
        <v>96.3317144635364</v>
      </c>
      <c r="AJ4075">
        <v>102.840748987548</v>
      </c>
      <c r="AK4075">
        <v>10.0863288845651</v>
      </c>
      <c r="AL4075">
        <v>83.453081183887406</v>
      </c>
      <c r="AM4075">
        <v>97.5190970001983</v>
      </c>
      <c r="AN4075">
        <v>1.00000000338178</v>
      </c>
    </row>
    <row r="4076" spans="1:40" x14ac:dyDescent="0.25">
      <c r="A4076" t="str">
        <f>"20190312151619899"</f>
        <v>20190312151619899</v>
      </c>
      <c r="B4076" t="str">
        <f>"1552374979891915"</f>
        <v>1552374979891915</v>
      </c>
      <c r="C4076" t="s">
        <v>40</v>
      </c>
      <c r="D4076">
        <v>4.6432869999999999</v>
      </c>
      <c r="E4076">
        <v>0.46831420000000001</v>
      </c>
      <c r="F4076" t="s">
        <v>43</v>
      </c>
      <c r="G4076">
        <v>-368.12599999999998</v>
      </c>
      <c r="H4076" s="1">
        <v>-1.3664099999999901E-6</v>
      </c>
      <c r="I4076">
        <v>136.8252</v>
      </c>
      <c r="J4076">
        <v>-358.33909999999997</v>
      </c>
      <c r="K4076">
        <v>1.1124210000000001</v>
      </c>
      <c r="L4076">
        <v>139.6302</v>
      </c>
      <c r="M4076">
        <v>-0.99843130000000002</v>
      </c>
      <c r="N4076">
        <v>0</v>
      </c>
      <c r="O4076">
        <v>-5.4084159999999999E-2</v>
      </c>
      <c r="P4076">
        <v>-0.97782139999999995</v>
      </c>
      <c r="Q4076">
        <v>0.1011673</v>
      </c>
      <c r="R4076">
        <v>-0.18338760000000001</v>
      </c>
      <c r="S4076">
        <v>-2.9475709999999999</v>
      </c>
      <c r="T4076">
        <v>-0.32454349999999998</v>
      </c>
      <c r="U4076">
        <v>-0.82354740000000004</v>
      </c>
      <c r="V4076">
        <v>-0.13100220000000001</v>
      </c>
      <c r="W4076">
        <v>0.11457290000000001</v>
      </c>
      <c r="X4076">
        <v>0.98473929999999998</v>
      </c>
      <c r="Y4076">
        <v>-0.21570130000000001</v>
      </c>
      <c r="Z4076">
        <v>-5.8044619999999998E-3</v>
      </c>
      <c r="AA4076">
        <v>0.97644219999999904</v>
      </c>
      <c r="AB4076">
        <v>45</v>
      </c>
      <c r="AC4076">
        <v>-9.7868999999999993</v>
      </c>
      <c r="AD4076">
        <v>-1.1124223664099999</v>
      </c>
      <c r="AE4076">
        <v>-2.8050000000000002</v>
      </c>
      <c r="AF4076">
        <v>-2.2447223721704499</v>
      </c>
      <c r="AG4076">
        <v>-1.1124223664099999</v>
      </c>
      <c r="AH4076">
        <v>9.8072074732909194</v>
      </c>
      <c r="AI4076">
        <v>96.309550631578006</v>
      </c>
      <c r="AJ4076">
        <v>102.892072948926</v>
      </c>
      <c r="AK4076">
        <v>10.122133197779201</v>
      </c>
      <c r="AL4076">
        <v>83.421008852807702</v>
      </c>
      <c r="AM4076">
        <v>97.577699809822093</v>
      </c>
      <c r="AN4076">
        <v>1.00000000739187</v>
      </c>
    </row>
    <row r="4077" spans="1:40" x14ac:dyDescent="0.25">
      <c r="A4077" t="str">
        <f>"20190312151619915"</f>
        <v>20190312151619915</v>
      </c>
      <c r="B4077" t="str">
        <f>"1552374979911431"</f>
        <v>1552374979911431</v>
      </c>
      <c r="C4077" t="s">
        <v>40</v>
      </c>
      <c r="D4077">
        <v>4.5818510000000003</v>
      </c>
      <c r="E4077">
        <v>0.46837899999999999</v>
      </c>
      <c r="F4077" t="s">
        <v>43</v>
      </c>
      <c r="G4077">
        <v>-368.48869999999999</v>
      </c>
      <c r="H4077" s="1">
        <v>-1.2595219999999999E-6</v>
      </c>
      <c r="I4077">
        <v>136.76310000000001</v>
      </c>
      <c r="J4077">
        <v>-358.65440000000001</v>
      </c>
      <c r="K4077">
        <v>1.112484</v>
      </c>
      <c r="L4077">
        <v>139.61199999999999</v>
      </c>
      <c r="M4077">
        <v>-0.99833240000000001</v>
      </c>
      <c r="N4077">
        <v>0</v>
      </c>
      <c r="O4077">
        <v>-5.5877410000000002E-2</v>
      </c>
      <c r="P4077">
        <v>-0.97738979999999998</v>
      </c>
      <c r="Q4077">
        <v>0.1010412</v>
      </c>
      <c r="R4077">
        <v>-0.18574289999999999</v>
      </c>
      <c r="S4077">
        <v>-2.9453740000000002</v>
      </c>
      <c r="T4077">
        <v>-0.32282420000000001</v>
      </c>
      <c r="U4077">
        <v>-0.83201599999999998</v>
      </c>
      <c r="V4077">
        <v>-0.13161989999999901</v>
      </c>
      <c r="W4077">
        <v>0.1144384</v>
      </c>
      <c r="X4077">
        <v>0.98467249999999995</v>
      </c>
      <c r="Y4077">
        <v>-0.21675169999999999</v>
      </c>
      <c r="Z4077">
        <v>-5.6409320000000004E-3</v>
      </c>
      <c r="AA4077">
        <v>0.97621049999999998</v>
      </c>
      <c r="AB4077">
        <v>45</v>
      </c>
      <c r="AC4077">
        <v>-9.8342999999999794</v>
      </c>
      <c r="AD4077">
        <v>-1.1124852595220001</v>
      </c>
      <c r="AE4077">
        <v>-2.84889999999998</v>
      </c>
      <c r="AF4077">
        <v>-2.26809783663386</v>
      </c>
      <c r="AG4077">
        <v>-1.1124852595220001</v>
      </c>
      <c r="AH4077">
        <v>9.8617101620839396</v>
      </c>
      <c r="AI4077">
        <v>96.273810878038901</v>
      </c>
      <c r="AJ4077">
        <v>102.952237537786</v>
      </c>
      <c r="AK4077">
        <v>10.180138435706301</v>
      </c>
      <c r="AL4077">
        <v>83.428765705722199</v>
      </c>
      <c r="AM4077">
        <v>97.6135223983553</v>
      </c>
      <c r="AN4077">
        <v>0.99999993886340799</v>
      </c>
    </row>
    <row r="4078" spans="1:40" x14ac:dyDescent="0.25">
      <c r="A4078" t="str">
        <f>"20190312151619928"</f>
        <v>20190312151619928</v>
      </c>
      <c r="B4078" t="str">
        <f>"1552374979922169"</f>
        <v>1552374979922169</v>
      </c>
      <c r="C4078" t="s">
        <v>40</v>
      </c>
      <c r="D4078">
        <v>4.606344</v>
      </c>
      <c r="E4078">
        <v>0.46841650000000001</v>
      </c>
      <c r="F4078" t="s">
        <v>43</v>
      </c>
      <c r="G4078">
        <v>-368.8075</v>
      </c>
      <c r="H4078" s="1">
        <v>-1.1629149999999999E-6</v>
      </c>
      <c r="I4078">
        <v>136.7184</v>
      </c>
      <c r="J4078">
        <v>-358.93459999999999</v>
      </c>
      <c r="K4078">
        <v>1.11253</v>
      </c>
      <c r="L4078">
        <v>139.59520000000001</v>
      </c>
      <c r="M4078">
        <v>-0.99824049999999998</v>
      </c>
      <c r="N4078">
        <v>0</v>
      </c>
      <c r="O4078">
        <v>-5.7492710000000002E-2</v>
      </c>
      <c r="P4078">
        <v>-0.97703660000000003</v>
      </c>
      <c r="Q4078">
        <v>0.1010161</v>
      </c>
      <c r="R4078">
        <v>-0.1876053</v>
      </c>
      <c r="S4078">
        <v>-2.9433289999999999</v>
      </c>
      <c r="T4078">
        <v>-0.32250519999999999</v>
      </c>
      <c r="U4078">
        <v>-0.83880619999999995</v>
      </c>
      <c r="V4078">
        <v>-0.13191520000000001</v>
      </c>
      <c r="W4078">
        <v>0.1144071</v>
      </c>
      <c r="X4078">
        <v>0.98463670000000003</v>
      </c>
      <c r="Y4078">
        <v>-0.21744040000000001</v>
      </c>
      <c r="Z4078">
        <v>-5.5022209999999998E-3</v>
      </c>
      <c r="AA4078">
        <v>0.97605810000000004</v>
      </c>
      <c r="AB4078">
        <v>45</v>
      </c>
      <c r="AC4078">
        <v>-9.8729000000000102</v>
      </c>
      <c r="AD4078">
        <v>-1.1125311629150001</v>
      </c>
      <c r="AE4078">
        <v>-2.8767999999999998</v>
      </c>
      <c r="AF4078">
        <v>-2.2777022440719801</v>
      </c>
      <c r="AG4078">
        <v>-1.1125311629150001</v>
      </c>
      <c r="AH4078">
        <v>9.9060358095227503</v>
      </c>
      <c r="AI4078">
        <v>96.246296696447899</v>
      </c>
      <c r="AJ4078">
        <v>102.948996075951</v>
      </c>
      <c r="AK4078">
        <v>10.225223643551899</v>
      </c>
      <c r="AL4078">
        <v>83.430571440662007</v>
      </c>
      <c r="AM4078">
        <v>97.630677086433593</v>
      </c>
      <c r="AN4078">
        <v>1.0000000177541699</v>
      </c>
    </row>
    <row r="4079" spans="1:40" x14ac:dyDescent="0.25">
      <c r="A4079" t="str">
        <f>"20190312151619945"</f>
        <v>20190312151619945</v>
      </c>
      <c r="B4079" t="str">
        <f>"1552374979941689"</f>
        <v>1552374979941689</v>
      </c>
      <c r="C4079" t="s">
        <v>40</v>
      </c>
      <c r="D4079">
        <v>4.5948960000000003</v>
      </c>
      <c r="E4079">
        <v>0.46851029999999999</v>
      </c>
      <c r="F4079" t="s">
        <v>43</v>
      </c>
      <c r="G4079">
        <v>-369.0752</v>
      </c>
      <c r="H4079" s="1">
        <v>-1.0809300000000001E-6</v>
      </c>
      <c r="I4079">
        <v>136.6841</v>
      </c>
      <c r="J4079">
        <v>-359.25360000000001</v>
      </c>
      <c r="K4079">
        <v>1.1125830000000001</v>
      </c>
      <c r="L4079">
        <v>139.57550000000001</v>
      </c>
      <c r="M4079">
        <v>-0.99813149999999995</v>
      </c>
      <c r="N4079">
        <v>0</v>
      </c>
      <c r="O4079">
        <v>-5.9351899999999999E-2</v>
      </c>
      <c r="P4079">
        <v>-0.97653999999999996</v>
      </c>
      <c r="Q4079">
        <v>0.10071189999999999</v>
      </c>
      <c r="R4079">
        <v>-0.19033430000000001</v>
      </c>
      <c r="S4079">
        <v>-2.941681</v>
      </c>
      <c r="T4079">
        <v>-0.32273580000000002</v>
      </c>
      <c r="U4079">
        <v>-0.84445190000000003</v>
      </c>
      <c r="V4079">
        <v>-0.13284360000000001</v>
      </c>
      <c r="W4079">
        <v>0.1140907</v>
      </c>
      <c r="X4079">
        <v>0.9845486</v>
      </c>
      <c r="Y4079">
        <v>-0.2175069</v>
      </c>
      <c r="Z4079">
        <v>-5.3129910000000004E-3</v>
      </c>
      <c r="AA4079">
        <v>0.97604440000000003</v>
      </c>
      <c r="AB4079">
        <v>45</v>
      </c>
      <c r="AC4079">
        <v>-9.8215999999999894</v>
      </c>
      <c r="AD4079">
        <v>-1.1125840809300001</v>
      </c>
      <c r="AE4079">
        <v>-2.8914</v>
      </c>
      <c r="AF4079">
        <v>-2.2764278242009302</v>
      </c>
      <c r="AG4079">
        <v>-1.1125840809300001</v>
      </c>
      <c r="AH4079">
        <v>9.8594818344490101</v>
      </c>
      <c r="AI4079">
        <v>96.274548816221298</v>
      </c>
      <c r="AJ4079">
        <v>103.001032190153</v>
      </c>
      <c r="AK4079">
        <v>10.1798501472155</v>
      </c>
      <c r="AL4079">
        <v>83.448819375489293</v>
      </c>
      <c r="AM4079">
        <v>97.684420649259806</v>
      </c>
      <c r="AN4079">
        <v>1.0000000278247001</v>
      </c>
    </row>
    <row r="4080" spans="1:40" x14ac:dyDescent="0.25">
      <c r="A4080" t="str">
        <f>"20190312151619969"</f>
        <v>20190312151619969</v>
      </c>
      <c r="B4080" t="str">
        <f>"1552374979962183"</f>
        <v>1552374979962183</v>
      </c>
      <c r="C4080" t="s">
        <v>40</v>
      </c>
      <c r="D4080">
        <v>4.6008259999999996</v>
      </c>
      <c r="E4080">
        <v>0.4686843</v>
      </c>
      <c r="F4080" t="s">
        <v>43</v>
      </c>
      <c r="G4080">
        <v>-369.40809999999999</v>
      </c>
      <c r="H4080" s="1">
        <v>-9.8188470000000006E-7</v>
      </c>
      <c r="I4080">
        <v>136.63059999999999</v>
      </c>
      <c r="J4080">
        <v>-359.70589999999999</v>
      </c>
      <c r="K4080">
        <v>1.1126549999999999</v>
      </c>
      <c r="L4080">
        <v>139.54660000000001</v>
      </c>
      <c r="M4080">
        <v>-0.99796870000000004</v>
      </c>
      <c r="N4080">
        <v>0</v>
      </c>
      <c r="O4080">
        <v>-6.2026890000000001E-2</v>
      </c>
      <c r="P4080">
        <v>-0.97597239999999996</v>
      </c>
      <c r="Q4080">
        <v>0.1005538</v>
      </c>
      <c r="R4080">
        <v>-0.19330600000000001</v>
      </c>
      <c r="S4080">
        <v>-2.9391479999999999</v>
      </c>
      <c r="T4080">
        <v>-0.32203090000000001</v>
      </c>
      <c r="U4080">
        <v>-0.852356</v>
      </c>
      <c r="V4080">
        <v>-0.133218899999999</v>
      </c>
      <c r="W4080">
        <v>0.113922</v>
      </c>
      <c r="X4080">
        <v>0.98451739999999999</v>
      </c>
      <c r="Y4080">
        <v>-0.2175551</v>
      </c>
      <c r="Z4080">
        <v>-5.021831E-3</v>
      </c>
      <c r="AA4080">
        <v>0.97603510000000004</v>
      </c>
      <c r="AB4080">
        <v>45</v>
      </c>
      <c r="AC4080">
        <v>-9.7021999999999995</v>
      </c>
      <c r="AD4080">
        <v>-1.1126559818846999</v>
      </c>
      <c r="AE4080">
        <v>-2.9160000000000199</v>
      </c>
      <c r="AF4080">
        <v>-2.2810093790200798</v>
      </c>
      <c r="AG4080">
        <v>-1.1126559818846999</v>
      </c>
      <c r="AH4080">
        <v>9.7468363785552299</v>
      </c>
      <c r="AI4080">
        <v>96.342527358911397</v>
      </c>
      <c r="AJ4080">
        <v>103.171633338482</v>
      </c>
      <c r="AK4080">
        <v>10.071833324252699</v>
      </c>
      <c r="AL4080">
        <v>83.458548452091506</v>
      </c>
      <c r="AM4080">
        <v>97.706110895013794</v>
      </c>
      <c r="AN4080">
        <v>1.0000000041519801</v>
      </c>
    </row>
    <row r="4081" spans="1:40" x14ac:dyDescent="0.25">
      <c r="A4081" t="str">
        <f>"20190312151619991"</f>
        <v>20190312151619991</v>
      </c>
      <c r="B4081" t="str">
        <f>"1552374979981703"</f>
        <v>1552374979981703</v>
      </c>
      <c r="C4081" t="s">
        <v>40</v>
      </c>
      <c r="D4081">
        <v>4.6023930000000002</v>
      </c>
      <c r="E4081">
        <v>0.46885640000000001</v>
      </c>
      <c r="F4081" t="s">
        <v>43</v>
      </c>
      <c r="G4081">
        <v>-369.9853</v>
      </c>
      <c r="H4081" s="1">
        <v>-4.8251050000000001E-6</v>
      </c>
      <c r="I4081">
        <v>136.53530000000001</v>
      </c>
      <c r="J4081">
        <v>-360.15769999999998</v>
      </c>
      <c r="K4081">
        <v>1.1127260000000001</v>
      </c>
      <c r="L4081">
        <v>139.51650000000001</v>
      </c>
      <c r="M4081">
        <v>-0.99779530000000005</v>
      </c>
      <c r="N4081">
        <v>0</v>
      </c>
      <c r="O4081">
        <v>-6.4750150000000006E-2</v>
      </c>
      <c r="P4081">
        <v>-0.97539469999999995</v>
      </c>
      <c r="Q4081">
        <v>0.10061730000000001</v>
      </c>
      <c r="R4081">
        <v>-0.1961666</v>
      </c>
      <c r="S4081">
        <v>-2.9362490000000001</v>
      </c>
      <c r="T4081">
        <v>-0.31782709999999997</v>
      </c>
      <c r="U4081">
        <v>-0.86015319999999995</v>
      </c>
      <c r="V4081">
        <v>-0.13343829999999901</v>
      </c>
      <c r="W4081">
        <v>0.1139737</v>
      </c>
      <c r="X4081">
        <v>0.98448170000000002</v>
      </c>
      <c r="Y4081">
        <v>-0.2175743</v>
      </c>
      <c r="Z4081">
        <v>-4.6744610000000004E-3</v>
      </c>
      <c r="AA4081">
        <v>0.97603260000000003</v>
      </c>
      <c r="AB4081">
        <v>45</v>
      </c>
      <c r="AC4081">
        <v>-9.8276000000000092</v>
      </c>
      <c r="AD4081">
        <v>-1.1127308251050001</v>
      </c>
      <c r="AE4081">
        <v>-2.9811999999999999</v>
      </c>
      <c r="AF4081">
        <v>-2.3114016307527301</v>
      </c>
      <c r="AG4081">
        <v>-1.1127308251050001</v>
      </c>
      <c r="AH4081">
        <v>9.8839917130492605</v>
      </c>
      <c r="AI4081">
        <v>96.255872685350496</v>
      </c>
      <c r="AJ4081">
        <v>103.162259237588</v>
      </c>
      <c r="AK4081">
        <v>10.211466083350199</v>
      </c>
      <c r="AL4081">
        <v>83.455566819001703</v>
      </c>
      <c r="AM4081">
        <v>97.718925846677095</v>
      </c>
      <c r="AN4081">
        <v>1.00000000091673</v>
      </c>
    </row>
    <row r="4082" spans="1:40" x14ac:dyDescent="0.25">
      <c r="A4082" t="str">
        <f>"20190312151620012"</f>
        <v>20190312151620012</v>
      </c>
      <c r="B4082" t="str">
        <f>"1552374980002200"</f>
        <v>1552374980002200</v>
      </c>
      <c r="C4082" t="s">
        <v>40</v>
      </c>
      <c r="D4082">
        <v>4.6082260000000002</v>
      </c>
      <c r="E4082">
        <v>0.46902899999999997</v>
      </c>
      <c r="F4082" t="s">
        <v>43</v>
      </c>
      <c r="G4082">
        <v>-370.57639999999998</v>
      </c>
      <c r="H4082" s="1">
        <v>-4.5893820000000004E-6</v>
      </c>
      <c r="I4082">
        <v>136.43459999999999</v>
      </c>
      <c r="J4082">
        <v>-360.58120000000002</v>
      </c>
      <c r="K4082">
        <v>1.1127929999999999</v>
      </c>
      <c r="L4082">
        <v>139.4872</v>
      </c>
      <c r="M4082">
        <v>-0.99762280000000003</v>
      </c>
      <c r="N4082">
        <v>0</v>
      </c>
      <c r="O4082">
        <v>-6.7354949999999997E-2</v>
      </c>
      <c r="P4082">
        <v>-0.97485949999999999</v>
      </c>
      <c r="Q4082">
        <v>0.10072200000000001</v>
      </c>
      <c r="R4082">
        <v>-0.1987564</v>
      </c>
      <c r="S4082">
        <v>-2.9334720000000001</v>
      </c>
      <c r="T4082">
        <v>-0.31329859999999998</v>
      </c>
      <c r="U4082">
        <v>-0.86773679999999997</v>
      </c>
      <c r="V4082">
        <v>-0.13350209999999901</v>
      </c>
      <c r="W4082">
        <v>0.1140675</v>
      </c>
      <c r="X4082">
        <v>0.98446219999999995</v>
      </c>
      <c r="Y4082">
        <v>-0.21763350000000001</v>
      </c>
      <c r="Z4082">
        <v>-4.3440409999999999E-3</v>
      </c>
      <c r="AA4082">
        <v>0.97602089999999997</v>
      </c>
      <c r="AB4082">
        <v>45</v>
      </c>
      <c r="AC4082">
        <v>-9.9951999999999508</v>
      </c>
      <c r="AD4082">
        <v>-1.1127975893819999</v>
      </c>
      <c r="AE4082">
        <v>-3.0526000000000102</v>
      </c>
      <c r="AF4082">
        <v>-2.3457733064953299</v>
      </c>
      <c r="AG4082">
        <v>-1.1127975893819999</v>
      </c>
      <c r="AH4082">
        <v>10.064024606645299</v>
      </c>
      <c r="AI4082">
        <v>96.146229669949307</v>
      </c>
      <c r="AJ4082">
        <v>103.120528482743</v>
      </c>
      <c r="AK4082">
        <v>10.393534632816801</v>
      </c>
      <c r="AL4082">
        <v>83.450157283086099</v>
      </c>
      <c r="AM4082">
        <v>97.722723043176799</v>
      </c>
      <c r="AN4082">
        <v>1.0000000142447401</v>
      </c>
    </row>
    <row r="4083" spans="1:40" x14ac:dyDescent="0.25">
      <c r="A4083" t="str">
        <f>"20190312151620034"</f>
        <v>20190312151620034</v>
      </c>
      <c r="B4083" t="str">
        <f>"1552374980031479"</f>
        <v>1552374980031479</v>
      </c>
      <c r="C4083" t="s">
        <v>40</v>
      </c>
      <c r="D4083">
        <v>4.625121</v>
      </c>
      <c r="E4083">
        <v>0.46970479999999998</v>
      </c>
      <c r="F4083" t="s">
        <v>43</v>
      </c>
      <c r="G4083">
        <v>-371.14179999999999</v>
      </c>
      <c r="H4083" s="1">
        <v>-4.3642020000000001E-6</v>
      </c>
      <c r="I4083">
        <v>136.33670000000001</v>
      </c>
      <c r="J4083">
        <v>-361.02190000000002</v>
      </c>
      <c r="K4083">
        <v>1.1128640000000001</v>
      </c>
      <c r="L4083">
        <v>139.45529999999999</v>
      </c>
      <c r="M4083">
        <v>-0.99743210000000004</v>
      </c>
      <c r="N4083">
        <v>0</v>
      </c>
      <c r="O4083">
        <v>-7.0122050000000005E-2</v>
      </c>
      <c r="P4083">
        <v>-0.97434580000000004</v>
      </c>
      <c r="Q4083">
        <v>0.10098849999999999</v>
      </c>
      <c r="R4083">
        <v>-0.20112569999999999</v>
      </c>
      <c r="S4083">
        <v>-2.9310299999999998</v>
      </c>
      <c r="T4083">
        <v>-0.30885220000000002</v>
      </c>
      <c r="U4083">
        <v>-0.87438959999999999</v>
      </c>
      <c r="V4083">
        <v>-0.13318640000000001</v>
      </c>
      <c r="W4083">
        <v>0.1143242</v>
      </c>
      <c r="X4083">
        <v>0.98447510000000005</v>
      </c>
      <c r="Y4083">
        <v>-0.21722079999999999</v>
      </c>
      <c r="Z4083">
        <v>-3.9809440000000001E-3</v>
      </c>
      <c r="AA4083">
        <v>0.97611440000000005</v>
      </c>
      <c r="AB4083">
        <v>45</v>
      </c>
      <c r="AC4083">
        <v>-10.1198999999999</v>
      </c>
      <c r="AD4083">
        <v>-1.1128683642020001</v>
      </c>
      <c r="AE4083">
        <v>-3.1185999999999798</v>
      </c>
      <c r="AF4083">
        <v>-2.3749884118682201</v>
      </c>
      <c r="AG4083">
        <v>-1.1128683642020001</v>
      </c>
      <c r="AH4083">
        <v>10.2010272996329</v>
      </c>
      <c r="AI4083">
        <v>96.065040539171804</v>
      </c>
      <c r="AJ4083">
        <v>103.106047275382</v>
      </c>
      <c r="AK4083">
        <v>10.5328060800722</v>
      </c>
      <c r="AL4083">
        <v>83.4353520606183</v>
      </c>
      <c r="AM4083">
        <v>97.704580551905593</v>
      </c>
      <c r="AN4083">
        <v>0.99999993118530195</v>
      </c>
    </row>
    <row r="4084" spans="1:40" x14ac:dyDescent="0.25">
      <c r="A4084" t="str">
        <f>"20190312151620055"</f>
        <v>20190312151620055</v>
      </c>
      <c r="B4084" t="str">
        <f>"1552374980051975"</f>
        <v>1552374980051975</v>
      </c>
      <c r="C4084" t="s">
        <v>40</v>
      </c>
      <c r="D4084">
        <v>4.6002650000000003</v>
      </c>
      <c r="E4084">
        <v>0.47034530000000002</v>
      </c>
      <c r="F4084" t="s">
        <v>43</v>
      </c>
      <c r="G4084">
        <v>-371.59609999999998</v>
      </c>
      <c r="H4084" s="1">
        <v>-4.1773260000000001E-6</v>
      </c>
      <c r="I4084">
        <v>136.29140000000001</v>
      </c>
      <c r="J4084">
        <v>-361.44409999999999</v>
      </c>
      <c r="K4084">
        <v>1.11293</v>
      </c>
      <c r="L4084">
        <v>139.42359999999999</v>
      </c>
      <c r="M4084">
        <v>-0.99723799999999996</v>
      </c>
      <c r="N4084">
        <v>0</v>
      </c>
      <c r="O4084">
        <v>-7.2825150000000005E-2</v>
      </c>
      <c r="P4084">
        <v>-0.97388339999999995</v>
      </c>
      <c r="Q4084">
        <v>0.1008328</v>
      </c>
      <c r="R4084">
        <v>-0.20343020000000001</v>
      </c>
      <c r="S4084">
        <v>-2.9299930000000001</v>
      </c>
      <c r="T4084">
        <v>-0.3083651</v>
      </c>
      <c r="U4084">
        <v>-0.87666319999999998</v>
      </c>
      <c r="V4084">
        <v>-0.13286129999999999</v>
      </c>
      <c r="W4084">
        <v>0.11415980000000001</v>
      </c>
      <c r="X4084">
        <v>0.98453820000000003</v>
      </c>
      <c r="Y4084">
        <v>-0.21539030000000001</v>
      </c>
      <c r="Z4084">
        <v>-3.6059180000000001E-3</v>
      </c>
      <c r="AA4084">
        <v>0.97652139999999998</v>
      </c>
      <c r="AB4084">
        <v>45</v>
      </c>
      <c r="AC4084">
        <v>-10.1519999999999</v>
      </c>
      <c r="AD4084">
        <v>-1.112934177326</v>
      </c>
      <c r="AE4084">
        <v>-3.1321999999999801</v>
      </c>
      <c r="AF4084">
        <v>-2.3585996096583099</v>
      </c>
      <c r="AG4084">
        <v>-1.112934177326</v>
      </c>
      <c r="AH4084">
        <v>10.2407876338238</v>
      </c>
      <c r="AI4084">
        <v>96.045323655713901</v>
      </c>
      <c r="AJ4084">
        <v>102.96986543865501</v>
      </c>
      <c r="AK4084">
        <v>10.567655651222699</v>
      </c>
      <c r="AL4084">
        <v>83.444834188322005</v>
      </c>
      <c r="AM4084">
        <v>97.685512493825698</v>
      </c>
      <c r="AN4084">
        <v>1.0000000261164801</v>
      </c>
    </row>
    <row r="4085" spans="1:40" x14ac:dyDescent="0.25">
      <c r="A4085" t="str">
        <f>"20190312151620069"</f>
        <v>20190312151620069</v>
      </c>
      <c r="B4085" t="str">
        <f>"1552374980061735"</f>
        <v>1552374980061735</v>
      </c>
      <c r="C4085" t="s">
        <v>40</v>
      </c>
      <c r="D4085">
        <v>4.9548240000000003</v>
      </c>
      <c r="E4085">
        <v>0.47065030000000002</v>
      </c>
      <c r="F4085" t="s">
        <v>43</v>
      </c>
      <c r="G4085">
        <v>-372.03100000000001</v>
      </c>
      <c r="H4085" s="1">
        <v>-3.998642E-6</v>
      </c>
      <c r="I4085">
        <v>136.24690000000001</v>
      </c>
      <c r="J4085">
        <v>-361.72590000000002</v>
      </c>
      <c r="K4085">
        <v>1.1129690000000001</v>
      </c>
      <c r="L4085">
        <v>139.40180000000001</v>
      </c>
      <c r="M4085">
        <v>-0.99710279999999996</v>
      </c>
      <c r="N4085">
        <v>0</v>
      </c>
      <c r="O4085">
        <v>-7.4653689999999995E-2</v>
      </c>
      <c r="P4085">
        <v>-0.97357059999999995</v>
      </c>
      <c r="Q4085">
        <v>0.1008806</v>
      </c>
      <c r="R4085">
        <v>-0.204899</v>
      </c>
      <c r="S4085">
        <v>-2.9288020000000001</v>
      </c>
      <c r="T4085">
        <v>-0.30788670000000001</v>
      </c>
      <c r="U4085">
        <v>-0.87879940000000001</v>
      </c>
      <c r="V4085">
        <v>-0.13255169999999999</v>
      </c>
      <c r="W4085">
        <v>0.114203</v>
      </c>
      <c r="X4085">
        <v>0.98457490000000003</v>
      </c>
      <c r="Y4085">
        <v>-0.2143785</v>
      </c>
      <c r="Z4085">
        <v>-3.3633080000000002E-3</v>
      </c>
      <c r="AA4085">
        <v>0.97674490000000003</v>
      </c>
      <c r="AB4085">
        <v>45</v>
      </c>
      <c r="AC4085">
        <v>-10.3050999999999</v>
      </c>
      <c r="AD4085">
        <v>-1.1129729986420001</v>
      </c>
      <c r="AE4085">
        <v>-3.1548999999999898</v>
      </c>
      <c r="AF4085">
        <v>-2.3516190949323001</v>
      </c>
      <c r="AG4085">
        <v>-1.1129729986420001</v>
      </c>
      <c r="AH4085">
        <v>10.4009627314373</v>
      </c>
      <c r="AI4085">
        <v>95.958515273741497</v>
      </c>
      <c r="AJ4085">
        <v>102.74015560155701</v>
      </c>
      <c r="AK4085">
        <v>10.7214200087537</v>
      </c>
      <c r="AL4085">
        <v>83.442342584086504</v>
      </c>
      <c r="AM4085">
        <v>97.667534229676093</v>
      </c>
      <c r="AN4085">
        <v>1.00000000604595</v>
      </c>
    </row>
    <row r="4086" spans="1:40" x14ac:dyDescent="0.25">
      <c r="A4086" t="str">
        <f>"20190312151620090"</f>
        <v>20190312151620090</v>
      </c>
      <c r="B4086" t="str">
        <f>"1552374980082231"</f>
        <v>1552374980082231</v>
      </c>
      <c r="C4086" t="s">
        <v>40</v>
      </c>
      <c r="D4086">
        <v>4.6103839999999998</v>
      </c>
      <c r="E4086">
        <v>0.47123320000000002</v>
      </c>
      <c r="F4086" t="s">
        <v>43</v>
      </c>
      <c r="G4086">
        <v>-372.37389999999999</v>
      </c>
      <c r="H4086" s="1">
        <v>-3.8600079999999997E-6</v>
      </c>
      <c r="I4086">
        <v>136.19919999999999</v>
      </c>
      <c r="J4086">
        <v>-362.1157</v>
      </c>
      <c r="K4086">
        <v>1.113013</v>
      </c>
      <c r="L4086">
        <v>139.3707</v>
      </c>
      <c r="M4086">
        <v>-0.99690789999999996</v>
      </c>
      <c r="N4086">
        <v>0</v>
      </c>
      <c r="O4086">
        <v>-7.7211450000000001E-2</v>
      </c>
      <c r="P4086">
        <v>-0.97315130000000005</v>
      </c>
      <c r="Q4086">
        <v>0.10075820000000001</v>
      </c>
      <c r="R4086">
        <v>-0.20694100000000001</v>
      </c>
      <c r="S4086">
        <v>-2.927826</v>
      </c>
      <c r="T4086">
        <v>-0.306029</v>
      </c>
      <c r="U4086">
        <v>-0.88056950000000001</v>
      </c>
      <c r="V4086">
        <v>-0.1321029</v>
      </c>
      <c r="W4086">
        <v>0.114075</v>
      </c>
      <c r="X4086">
        <v>0.98465000000000003</v>
      </c>
      <c r="Y4086">
        <v>-0.2125341</v>
      </c>
      <c r="Z4086">
        <v>-2.990969E-3</v>
      </c>
      <c r="AA4086">
        <v>0.97714909999999999</v>
      </c>
      <c r="AB4086">
        <v>45</v>
      </c>
      <c r="AC4086">
        <v>-10.258199999999899</v>
      </c>
      <c r="AD4086">
        <v>-1.1130168600079999</v>
      </c>
      <c r="AE4086">
        <v>-3.1715</v>
      </c>
      <c r="AF4086">
        <v>-2.34470102388546</v>
      </c>
      <c r="AG4086">
        <v>-1.1130168600079999</v>
      </c>
      <c r="AH4086">
        <v>10.361139548387801</v>
      </c>
      <c r="AI4086">
        <v>95.981227978578502</v>
      </c>
      <c r="AJ4086">
        <v>102.75112840160899</v>
      </c>
      <c r="AK4086">
        <v>10.6812753060315</v>
      </c>
      <c r="AL4086">
        <v>83.449724332885793</v>
      </c>
      <c r="AM4086">
        <v>97.641304455714106</v>
      </c>
      <c r="AN4086">
        <v>0.99999995215670301</v>
      </c>
    </row>
    <row r="4087" spans="1:40" x14ac:dyDescent="0.25">
      <c r="A4087" t="str">
        <f>"20190312151620103"</f>
        <v>20190312151620103</v>
      </c>
      <c r="B4087" t="str">
        <f>"1552374980091991"</f>
        <v>1552374980091991</v>
      </c>
      <c r="C4087" t="s">
        <v>40</v>
      </c>
      <c r="D4087">
        <v>4.615056</v>
      </c>
      <c r="E4087">
        <v>0.47152690000000003</v>
      </c>
      <c r="F4087" t="s">
        <v>43</v>
      </c>
      <c r="G4087">
        <v>-372.85989999999998</v>
      </c>
      <c r="H4087" s="1">
        <v>-3.6632419999999998E-6</v>
      </c>
      <c r="I4087">
        <v>136.13319999999999</v>
      </c>
      <c r="J4087">
        <v>-362.39409999999998</v>
      </c>
      <c r="K4087">
        <v>1.1130439999999999</v>
      </c>
      <c r="L4087">
        <v>139.34790000000001</v>
      </c>
      <c r="M4087">
        <v>-0.99676339999999997</v>
      </c>
      <c r="N4087">
        <v>0</v>
      </c>
      <c r="O4087">
        <v>-7.9055840000000002E-2</v>
      </c>
      <c r="P4087">
        <v>-0.9728156</v>
      </c>
      <c r="Q4087">
        <v>0.1005316</v>
      </c>
      <c r="R4087">
        <v>-0.20862269999999999</v>
      </c>
      <c r="S4087">
        <v>-2.9266359999999998</v>
      </c>
      <c r="T4087">
        <v>-0.3031797</v>
      </c>
      <c r="U4087">
        <v>-0.8818665</v>
      </c>
      <c r="V4087">
        <v>-0.1319872</v>
      </c>
      <c r="W4087">
        <v>0.113842899999999</v>
      </c>
      <c r="X4087">
        <v>0.98469240000000002</v>
      </c>
      <c r="Y4087">
        <v>-0.21126010000000001</v>
      </c>
      <c r="Z4087">
        <v>-2.7148939999999998E-3</v>
      </c>
      <c r="AA4087">
        <v>0.97742609999999996</v>
      </c>
      <c r="AB4087">
        <v>45</v>
      </c>
      <c r="AC4087">
        <v>-10.4658</v>
      </c>
      <c r="AD4087">
        <v>-1.1130476632420001</v>
      </c>
      <c r="AE4087">
        <v>-3.2147000000000201</v>
      </c>
      <c r="AF4087">
        <v>-2.3528481464210498</v>
      </c>
      <c r="AG4087">
        <v>-1.1130476632420001</v>
      </c>
      <c r="AH4087">
        <v>10.5778783937242</v>
      </c>
      <c r="AI4087">
        <v>95.864504318234495</v>
      </c>
      <c r="AJ4087">
        <v>102.54020676851199</v>
      </c>
      <c r="AK4087">
        <v>10.893405381843801</v>
      </c>
      <c r="AL4087">
        <v>83.463110032919104</v>
      </c>
      <c r="AM4087">
        <v>97.634366060974003</v>
      </c>
      <c r="AN4087">
        <v>0.99999997473100399</v>
      </c>
    </row>
    <row r="4088" spans="1:40" x14ac:dyDescent="0.25">
      <c r="A4088" t="str">
        <f>"20190312151620123"</f>
        <v>20190312151620123</v>
      </c>
      <c r="B4088" t="str">
        <f>"1552374980111512"</f>
        <v>1552374980111512</v>
      </c>
      <c r="C4088" t="s">
        <v>40</v>
      </c>
      <c r="D4088">
        <v>4.5734649999999997</v>
      </c>
      <c r="E4088">
        <v>0.4720837</v>
      </c>
      <c r="F4088" t="s">
        <v>43</v>
      </c>
      <c r="G4088">
        <v>-373.15989999999999</v>
      </c>
      <c r="H4088" s="1">
        <v>-3.5417389999999999E-6</v>
      </c>
      <c r="I4088">
        <v>136.0924</v>
      </c>
      <c r="J4088">
        <v>-362.78629999999998</v>
      </c>
      <c r="K4088">
        <v>1.1130799999999901</v>
      </c>
      <c r="L4088">
        <v>139.31479999999999</v>
      </c>
      <c r="M4088">
        <v>-0.9965524</v>
      </c>
      <c r="N4088">
        <v>0</v>
      </c>
      <c r="O4088">
        <v>-8.1670619999999999E-2</v>
      </c>
      <c r="P4088">
        <v>-0.97240139999999997</v>
      </c>
      <c r="Q4088">
        <v>0.10006039999999999</v>
      </c>
      <c r="R4088">
        <v>-0.2107685</v>
      </c>
      <c r="S4088">
        <v>-2.925354</v>
      </c>
      <c r="T4088">
        <v>-0.30244549999999998</v>
      </c>
      <c r="U4088">
        <v>-0.88456729999999995</v>
      </c>
      <c r="V4088">
        <v>-0.13157839999999901</v>
      </c>
      <c r="W4088">
        <v>0.1133682</v>
      </c>
      <c r="X4088">
        <v>0.98480190000000001</v>
      </c>
      <c r="Y4088">
        <v>-0.2096645</v>
      </c>
      <c r="Z4088">
        <v>-2.3671299999999998E-3</v>
      </c>
      <c r="AA4088">
        <v>0.97777049999999999</v>
      </c>
      <c r="AB4088">
        <v>45</v>
      </c>
      <c r="AC4088">
        <v>-10.3736</v>
      </c>
      <c r="AD4088">
        <v>-1.1130835417389999</v>
      </c>
      <c r="AE4088">
        <v>-3.2223999999999902</v>
      </c>
      <c r="AF4088">
        <v>-2.33975668674988</v>
      </c>
      <c r="AG4088">
        <v>-1.1130835417389999</v>
      </c>
      <c r="AH4088">
        <v>10.4919757575578</v>
      </c>
      <c r="AI4088">
        <v>95.911655992173195</v>
      </c>
      <c r="AJ4088">
        <v>102.571506776154</v>
      </c>
      <c r="AK4088">
        <v>10.8071722305727</v>
      </c>
      <c r="AL4088">
        <v>83.490485757492095</v>
      </c>
      <c r="AM4088">
        <v>97.610161625464997</v>
      </c>
      <c r="AN4088">
        <v>1.0000000031806999</v>
      </c>
    </row>
    <row r="4089" spans="1:40" x14ac:dyDescent="0.25">
      <c r="A4089" t="str">
        <f>"20190312151620146"</f>
        <v>20190312151620146</v>
      </c>
      <c r="B4089" t="str">
        <f>"1552374980141767"</f>
        <v>1552374980141767</v>
      </c>
      <c r="C4089" t="s">
        <v>40</v>
      </c>
      <c r="D4089">
        <v>4.602894</v>
      </c>
      <c r="E4089">
        <v>0.47288279999999999</v>
      </c>
      <c r="F4089" t="s">
        <v>43</v>
      </c>
      <c r="G4089">
        <v>-373.60250000000002</v>
      </c>
      <c r="H4089" s="1">
        <v>-3.36207E-6</v>
      </c>
      <c r="I4089">
        <v>136.035</v>
      </c>
      <c r="J4089">
        <v>-363.23680000000002</v>
      </c>
      <c r="K4089">
        <v>1.1131150000000001</v>
      </c>
      <c r="L4089">
        <v>139.2756</v>
      </c>
      <c r="M4089">
        <v>-0.99629979999999996</v>
      </c>
      <c r="N4089">
        <v>0</v>
      </c>
      <c r="O4089">
        <v>-8.4696240000000006E-2</v>
      </c>
      <c r="P4089">
        <v>-0.97188140000000001</v>
      </c>
      <c r="Q4089">
        <v>9.9790669999999998E-2</v>
      </c>
      <c r="R4089">
        <v>-0.21327950000000001</v>
      </c>
      <c r="S4089">
        <v>-2.923889</v>
      </c>
      <c r="T4089">
        <v>-0.30089460000000001</v>
      </c>
      <c r="U4089">
        <v>-0.88659669999999902</v>
      </c>
      <c r="V4089">
        <v>-0.13113629999999901</v>
      </c>
      <c r="W4089">
        <v>0.1130958</v>
      </c>
      <c r="X4089">
        <v>0.9848922</v>
      </c>
      <c r="Y4089">
        <v>-0.20748369999999999</v>
      </c>
      <c r="Z4089">
        <v>-1.9453859999999999E-3</v>
      </c>
      <c r="AA4089">
        <v>0.97823660000000001</v>
      </c>
      <c r="AB4089">
        <v>45</v>
      </c>
      <c r="AC4089">
        <v>-10.3657</v>
      </c>
      <c r="AD4089">
        <v>-1.11311836206999</v>
      </c>
      <c r="AE4089">
        <v>-3.2406000000000001</v>
      </c>
      <c r="AF4089">
        <v>-2.3264847573158498</v>
      </c>
      <c r="AG4089">
        <v>-1.11311836206999</v>
      </c>
      <c r="AH4089">
        <v>10.4927182405849</v>
      </c>
      <c r="AI4089">
        <v>95.913017182577306</v>
      </c>
      <c r="AJ4089">
        <v>102.50158809061401</v>
      </c>
      <c r="AK4089">
        <v>10.8050312304178</v>
      </c>
      <c r="AL4089">
        <v>83.506194247863206</v>
      </c>
      <c r="AM4089">
        <v>97.584202539888807</v>
      </c>
      <c r="AN4089">
        <v>1.0000000173880801</v>
      </c>
    </row>
    <row r="4090" spans="1:40" x14ac:dyDescent="0.25">
      <c r="A4090" t="str">
        <f>"20190312151620169"</f>
        <v>20190312151620169</v>
      </c>
      <c r="B4090" t="str">
        <f>"1552374980162263"</f>
        <v>1552374980162263</v>
      </c>
      <c r="C4090" t="s">
        <v>40</v>
      </c>
      <c r="D4090">
        <v>4.5999889999999999</v>
      </c>
      <c r="E4090">
        <v>0.47337839999999998</v>
      </c>
      <c r="F4090" t="s">
        <v>43</v>
      </c>
      <c r="G4090">
        <v>-374.16180000000003</v>
      </c>
      <c r="H4090" s="1">
        <v>-3.1360440000000001E-6</v>
      </c>
      <c r="I4090">
        <v>135.9564</v>
      </c>
      <c r="J4090">
        <v>-363.68430000000001</v>
      </c>
      <c r="K4090">
        <v>1.11314</v>
      </c>
      <c r="L4090">
        <v>139.2353</v>
      </c>
      <c r="M4090">
        <v>-0.99603850000000005</v>
      </c>
      <c r="N4090">
        <v>0</v>
      </c>
      <c r="O4090">
        <v>-8.7716420000000003E-2</v>
      </c>
      <c r="P4090">
        <v>-0.97126849999999998</v>
      </c>
      <c r="Q4090">
        <v>9.9846379999999998E-2</v>
      </c>
      <c r="R4090">
        <v>-0.2160289</v>
      </c>
      <c r="S4090">
        <v>-2.9225159999999999</v>
      </c>
      <c r="T4090">
        <v>-0.297766799999999</v>
      </c>
      <c r="U4090">
        <v>-0.88789370000000001</v>
      </c>
      <c r="V4090">
        <v>-0.13094539999999999</v>
      </c>
      <c r="W4090">
        <v>0.113147</v>
      </c>
      <c r="X4090">
        <v>0.98491169999999995</v>
      </c>
      <c r="Y4090">
        <v>-0.20508019999999999</v>
      </c>
      <c r="Z4090">
        <v>-1.5091099999999999E-3</v>
      </c>
      <c r="AA4090">
        <v>0.97874399999999995</v>
      </c>
      <c r="AB4090">
        <v>44</v>
      </c>
      <c r="AC4090">
        <v>-10.477499999999999</v>
      </c>
      <c r="AD4090">
        <v>-1.1131431360439901</v>
      </c>
      <c r="AE4090">
        <v>-3.2788999999999899</v>
      </c>
      <c r="AF4090">
        <v>-2.3232282843108298</v>
      </c>
      <c r="AG4090">
        <v>-1.1131431360439901</v>
      </c>
      <c r="AH4090">
        <v>10.615616999292399</v>
      </c>
      <c r="AI4090">
        <v>95.848672656368507</v>
      </c>
      <c r="AJ4090">
        <v>102.34455768916099</v>
      </c>
      <c r="AK4090">
        <v>10.9237265426231</v>
      </c>
      <c r="AL4090">
        <v>83.503241633081103</v>
      </c>
      <c r="AM4090">
        <v>97.573141970858998</v>
      </c>
      <c r="AN4090">
        <v>0.99999999909352399</v>
      </c>
    </row>
    <row r="4091" spans="1:40" x14ac:dyDescent="0.25">
      <c r="A4091" t="str">
        <f>"20190312151620189"</f>
        <v>20190312151620189</v>
      </c>
      <c r="B4091" t="str">
        <f>"1552374980181787"</f>
        <v>1552374980181787</v>
      </c>
      <c r="C4091" t="s">
        <v>40</v>
      </c>
      <c r="D4091">
        <v>4.6017700000000001</v>
      </c>
      <c r="E4091">
        <v>0.47386600000000001</v>
      </c>
      <c r="F4091" t="s">
        <v>43</v>
      </c>
      <c r="G4091">
        <v>-374.70010000000002</v>
      </c>
      <c r="H4091" s="1">
        <v>-2.9206399999999999E-6</v>
      </c>
      <c r="I4091">
        <v>135.869</v>
      </c>
      <c r="J4091">
        <v>-364.09019999999998</v>
      </c>
      <c r="K4091">
        <v>1.113165</v>
      </c>
      <c r="L4091">
        <v>139.19759999999999</v>
      </c>
      <c r="M4091">
        <v>-0.99579269999999998</v>
      </c>
      <c r="N4091">
        <v>0</v>
      </c>
      <c r="O4091">
        <v>-9.0464349999999999E-2</v>
      </c>
      <c r="P4091">
        <v>-0.97063730000000004</v>
      </c>
      <c r="Q4091">
        <v>0.10005169999999999</v>
      </c>
      <c r="R4091">
        <v>-0.21875349999999999</v>
      </c>
      <c r="S4091">
        <v>-2.920563</v>
      </c>
      <c r="T4091">
        <v>-0.29512169999999999</v>
      </c>
      <c r="U4091">
        <v>-0.89247129999999997</v>
      </c>
      <c r="V4091">
        <v>-0.13100200000000001</v>
      </c>
      <c r="W4091">
        <v>0.113346</v>
      </c>
      <c r="X4091">
        <v>0.98488129999999996</v>
      </c>
      <c r="Y4091">
        <v>-0.2039927</v>
      </c>
      <c r="Z4091">
        <v>-1.1746860000000001E-3</v>
      </c>
      <c r="AA4091">
        <v>0.9789717</v>
      </c>
      <c r="AB4091">
        <v>44</v>
      </c>
      <c r="AC4091">
        <v>-10.6099</v>
      </c>
      <c r="AD4091">
        <v>-1.11316792064</v>
      </c>
      <c r="AE4091">
        <v>-3.32859999999999</v>
      </c>
      <c r="AF4091">
        <v>-2.3316622736805201</v>
      </c>
      <c r="AG4091">
        <v>-1.11316792064</v>
      </c>
      <c r="AH4091">
        <v>10.759711131092301</v>
      </c>
      <c r="AI4091">
        <v>95.773566321921706</v>
      </c>
      <c r="AJ4091">
        <v>102.227114076256</v>
      </c>
      <c r="AK4091">
        <v>11.0655851812093</v>
      </c>
      <c r="AL4091">
        <v>83.491766003292696</v>
      </c>
      <c r="AM4091">
        <v>97.576608518815604</v>
      </c>
      <c r="AN4091">
        <v>1.0000000074048401</v>
      </c>
    </row>
    <row r="4092" spans="1:40" x14ac:dyDescent="0.25">
      <c r="A4092" t="str">
        <f>"20190312151620203"</f>
        <v>20190312151620203</v>
      </c>
      <c r="B4092" t="str">
        <f>"1552374980191544"</f>
        <v>1552374980191544</v>
      </c>
      <c r="C4092" t="s">
        <v>40</v>
      </c>
      <c r="D4092">
        <v>4.6090790000000004</v>
      </c>
      <c r="E4092">
        <v>0.47410089999999999</v>
      </c>
      <c r="F4092" t="s">
        <v>43</v>
      </c>
      <c r="G4092">
        <v>-375.12790000000001</v>
      </c>
      <c r="H4092" s="1">
        <v>-2.7488069999999998E-6</v>
      </c>
      <c r="I4092">
        <v>135.8031</v>
      </c>
      <c r="J4092">
        <v>-364.35770000000002</v>
      </c>
      <c r="K4092">
        <v>1.113181</v>
      </c>
      <c r="L4092">
        <v>139.172</v>
      </c>
      <c r="M4092">
        <v>-0.99562620000000002</v>
      </c>
      <c r="N4092">
        <v>0</v>
      </c>
      <c r="O4092">
        <v>-9.227863E-2</v>
      </c>
      <c r="P4092">
        <v>-0.97025410000000001</v>
      </c>
      <c r="Q4092">
        <v>0.1000548</v>
      </c>
      <c r="R4092">
        <v>-0.22044649999999999</v>
      </c>
      <c r="S4092">
        <v>-2.9187620000000001</v>
      </c>
      <c r="T4092">
        <v>-0.2943617</v>
      </c>
      <c r="U4092">
        <v>-0.89759829999999996</v>
      </c>
      <c r="V4092">
        <v>-0.1309283</v>
      </c>
      <c r="W4092">
        <v>0.1133474</v>
      </c>
      <c r="X4092">
        <v>0.98489090000000001</v>
      </c>
      <c r="Y4092">
        <v>-0.20396069999999999</v>
      </c>
      <c r="Z4092">
        <v>-9.9401080000000009E-4</v>
      </c>
      <c r="AA4092">
        <v>0.97897860000000003</v>
      </c>
      <c r="AB4092">
        <v>44</v>
      </c>
      <c r="AC4092">
        <v>-10.7701999999999</v>
      </c>
      <c r="AD4092">
        <v>-1.113183748807</v>
      </c>
      <c r="AE4092">
        <v>-3.3688999999999898</v>
      </c>
      <c r="AF4092">
        <v>-2.3378087460094399</v>
      </c>
      <c r="AG4092">
        <v>-1.113183748807</v>
      </c>
      <c r="AH4092">
        <v>10.9288014016674</v>
      </c>
      <c r="AI4092">
        <v>95.688151428265797</v>
      </c>
      <c r="AJ4092">
        <v>102.074318304353</v>
      </c>
      <c r="AK4092">
        <v>11.2313502246441</v>
      </c>
      <c r="AL4092">
        <v>83.491685016996598</v>
      </c>
      <c r="AM4092">
        <v>97.572322541218597</v>
      </c>
      <c r="AN4092">
        <v>0.99999996886522902</v>
      </c>
    </row>
    <row r="4093" spans="1:40" x14ac:dyDescent="0.25">
      <c r="A4093" t="str">
        <f>"20190312151620216"</f>
        <v>20190312151620216</v>
      </c>
      <c r="B4093" t="str">
        <f>"1552374980212040"</f>
        <v>1552374980212040</v>
      </c>
      <c r="C4093" t="s">
        <v>40</v>
      </c>
      <c r="D4093">
        <v>4.579809</v>
      </c>
      <c r="E4093">
        <v>0.47452630000000001</v>
      </c>
      <c r="F4093" t="s">
        <v>43</v>
      </c>
      <c r="G4093">
        <v>-375.39350000000002</v>
      </c>
      <c r="H4093" s="1">
        <v>-2.641928E-6</v>
      </c>
      <c r="I4093">
        <v>135.76329999999999</v>
      </c>
      <c r="J4093">
        <v>-364.62209999999999</v>
      </c>
      <c r="K4093">
        <v>1.1131930000000001</v>
      </c>
      <c r="L4093">
        <v>139.1463</v>
      </c>
      <c r="M4093">
        <v>-0.99545819999999996</v>
      </c>
      <c r="N4093">
        <v>0</v>
      </c>
      <c r="O4093">
        <v>-9.4071539999999995E-2</v>
      </c>
      <c r="P4093">
        <v>-0.96982040000000003</v>
      </c>
      <c r="Q4093">
        <v>0.1002383</v>
      </c>
      <c r="R4093">
        <v>-0.22226190000000001</v>
      </c>
      <c r="S4093">
        <v>-2.9175420000000001</v>
      </c>
      <c r="T4093">
        <v>-0.29429509999999998</v>
      </c>
      <c r="U4093">
        <v>-0.90113829999999995</v>
      </c>
      <c r="V4093">
        <v>-0.1310045</v>
      </c>
      <c r="W4093">
        <v>0.1135264</v>
      </c>
      <c r="X4093">
        <v>0.98486019999999996</v>
      </c>
      <c r="Y4093">
        <v>-0.20340849999999999</v>
      </c>
      <c r="Z4093">
        <v>-7.9245209999999995E-4</v>
      </c>
      <c r="AA4093">
        <v>0.97909369999999996</v>
      </c>
      <c r="AB4093">
        <v>44</v>
      </c>
      <c r="AC4093">
        <v>-10.7714</v>
      </c>
      <c r="AD4093">
        <v>-1.113195641928</v>
      </c>
      <c r="AE4093">
        <v>-3.383</v>
      </c>
      <c r="AF4093">
        <v>-2.3319339061752902</v>
      </c>
      <c r="AG4093">
        <v>-1.113195641928</v>
      </c>
      <c r="AH4093">
        <v>10.935588729301699</v>
      </c>
      <c r="AI4093">
        <v>95.685477384252707</v>
      </c>
      <c r="AJ4093">
        <v>102.037605381682</v>
      </c>
      <c r="AK4093">
        <v>11.2367353415664</v>
      </c>
      <c r="AL4093">
        <v>83.481362763877598</v>
      </c>
      <c r="AM4093">
        <v>97.576911869798096</v>
      </c>
      <c r="AN4093">
        <v>1.0000000180306201</v>
      </c>
    </row>
    <row r="4094" spans="1:40" x14ac:dyDescent="0.25">
      <c r="A4094" t="str">
        <f>"20190312151620234"</f>
        <v>20190312151620234</v>
      </c>
      <c r="B4094" t="str">
        <f>"1552374980231559"</f>
        <v>1552374980231559</v>
      </c>
      <c r="C4094" t="s">
        <v>40</v>
      </c>
      <c r="D4094">
        <v>4.5793679999999997</v>
      </c>
      <c r="E4094">
        <v>0.47493819999999998</v>
      </c>
      <c r="F4094" t="s">
        <v>43</v>
      </c>
      <c r="G4094">
        <v>-375.6549</v>
      </c>
      <c r="H4094" s="1">
        <v>-2.5358439999999999E-6</v>
      </c>
      <c r="I4094">
        <v>135.72909999999999</v>
      </c>
      <c r="J4094">
        <v>-364.98180000000002</v>
      </c>
      <c r="K4094">
        <v>1.11321</v>
      </c>
      <c r="L4094">
        <v>139.11060000000001</v>
      </c>
      <c r="M4094">
        <v>-0.99522449999999996</v>
      </c>
      <c r="N4094">
        <v>0</v>
      </c>
      <c r="O4094">
        <v>-9.6513210000000002E-2</v>
      </c>
      <c r="P4094">
        <v>-0.96926570000000001</v>
      </c>
      <c r="Q4094">
        <v>0.1000683</v>
      </c>
      <c r="R4094">
        <v>-0.22474559999999999</v>
      </c>
      <c r="S4094">
        <v>-2.916779</v>
      </c>
      <c r="T4094">
        <v>-0.29429840000000002</v>
      </c>
      <c r="U4094">
        <v>-0.90341190000000005</v>
      </c>
      <c r="V4094">
        <v>-0.1311118</v>
      </c>
      <c r="W4094">
        <v>0.1133526</v>
      </c>
      <c r="X4094">
        <v>0.98486589999999996</v>
      </c>
      <c r="Y4094">
        <v>-0.201794</v>
      </c>
      <c r="Z4094">
        <v>-4.7562180000000002E-4</v>
      </c>
      <c r="AA4094">
        <v>0.97942790000000002</v>
      </c>
      <c r="AB4094">
        <v>44</v>
      </c>
      <c r="AC4094">
        <v>-10.6730999999999</v>
      </c>
      <c r="AD4094">
        <v>-1.1132125358439999</v>
      </c>
      <c r="AE4094">
        <v>-3.3815000000000102</v>
      </c>
      <c r="AF4094">
        <v>-2.3126422662536301</v>
      </c>
      <c r="AG4094">
        <v>-1.1132125358439999</v>
      </c>
      <c r="AH4094">
        <v>10.8424666588253</v>
      </c>
      <c r="AI4094">
        <v>95.734009693268206</v>
      </c>
      <c r="AJ4094">
        <v>102.040466005816</v>
      </c>
      <c r="AK4094">
        <v>11.142111094822299</v>
      </c>
      <c r="AL4094">
        <v>83.491385209312199</v>
      </c>
      <c r="AM4094">
        <v>97.583002219555098</v>
      </c>
      <c r="AN4094">
        <v>0.99999997850440403</v>
      </c>
    </row>
    <row r="4095" spans="1:40" x14ac:dyDescent="0.25">
      <c r="A4095" t="str">
        <f>"20190312151620248"</f>
        <v>20190312151620248</v>
      </c>
      <c r="B4095" t="str">
        <f>"1552374980242297"</f>
        <v>1552374980242297</v>
      </c>
      <c r="C4095" t="s">
        <v>40</v>
      </c>
      <c r="D4095">
        <v>4.5968589999999896</v>
      </c>
      <c r="E4095">
        <v>0.47514980000000001</v>
      </c>
      <c r="F4095" t="s">
        <v>43</v>
      </c>
      <c r="G4095">
        <v>-375.97230000000002</v>
      </c>
      <c r="H4095" s="1">
        <v>-2.4072719999999999E-6</v>
      </c>
      <c r="I4095">
        <v>135.6865</v>
      </c>
      <c r="J4095">
        <v>-365.25049999999999</v>
      </c>
      <c r="K4095">
        <v>1.113219</v>
      </c>
      <c r="L4095">
        <v>139.08330000000001</v>
      </c>
      <c r="M4095">
        <v>-0.99504590000000004</v>
      </c>
      <c r="N4095">
        <v>0</v>
      </c>
      <c r="O4095">
        <v>-9.8338700000000001E-2</v>
      </c>
      <c r="P4095">
        <v>-0.96878920000000002</v>
      </c>
      <c r="Q4095">
        <v>0.1000381</v>
      </c>
      <c r="R4095">
        <v>-0.22680439999999999</v>
      </c>
      <c r="S4095">
        <v>-2.9150390000000002</v>
      </c>
      <c r="T4095">
        <v>-0.29526190000000002</v>
      </c>
      <c r="U4095">
        <v>-0.90818790000000005</v>
      </c>
      <c r="V4095">
        <v>-0.1313993</v>
      </c>
      <c r="W4095">
        <v>0.1133171</v>
      </c>
      <c r="X4095">
        <v>0.98483169999999998</v>
      </c>
      <c r="Y4095">
        <v>-0.2016319</v>
      </c>
      <c r="Z4095">
        <v>-2.9127580000000002E-4</v>
      </c>
      <c r="AA4095">
        <v>0.97946129999999998</v>
      </c>
      <c r="AB4095">
        <v>44</v>
      </c>
      <c r="AC4095">
        <v>-10.7218</v>
      </c>
      <c r="AD4095">
        <v>-1.1132214072719999</v>
      </c>
      <c r="AE4095">
        <v>-3.39680000000001</v>
      </c>
      <c r="AF4095">
        <v>-2.3032868559616499</v>
      </c>
      <c r="AG4095">
        <v>-1.1132214072719999</v>
      </c>
      <c r="AH4095">
        <v>10.8971346744791</v>
      </c>
      <c r="AI4095">
        <v>95.707700362417995</v>
      </c>
      <c r="AJ4095">
        <v>101.93473431895301</v>
      </c>
      <c r="AK4095">
        <v>11.1933880642185</v>
      </c>
      <c r="AL4095">
        <v>83.493432600858597</v>
      </c>
      <c r="AM4095">
        <v>97.599696813743805</v>
      </c>
      <c r="AN4095">
        <v>1.0000000092588901</v>
      </c>
    </row>
    <row r="4096" spans="1:40" x14ac:dyDescent="0.25">
      <c r="A4096" t="str">
        <f>"20190312151620259"</f>
        <v>20190312151620259</v>
      </c>
      <c r="B4096" t="str">
        <f>"1552374980252055"</f>
        <v>1552374980252055</v>
      </c>
      <c r="C4096" t="s">
        <v>40</v>
      </c>
      <c r="D4096">
        <v>4.5656160000000003</v>
      </c>
      <c r="E4096">
        <v>0.47536780000000001</v>
      </c>
      <c r="F4096" t="s">
        <v>43</v>
      </c>
      <c r="G4096">
        <v>-376.23020000000002</v>
      </c>
      <c r="H4096" s="1">
        <v>-2.326114E-6</v>
      </c>
      <c r="I4096">
        <v>135.643</v>
      </c>
      <c r="J4096">
        <v>-365.48840000000001</v>
      </c>
      <c r="K4096">
        <v>1.1132249999999999</v>
      </c>
      <c r="L4096">
        <v>139.05869999999999</v>
      </c>
      <c r="M4096">
        <v>-0.99488480000000001</v>
      </c>
      <c r="N4096">
        <v>0</v>
      </c>
      <c r="O4096">
        <v>-9.9954340000000003E-2</v>
      </c>
      <c r="P4096">
        <v>-0.96834439999999999</v>
      </c>
      <c r="Q4096">
        <v>9.9996660000000001E-2</v>
      </c>
      <c r="R4096">
        <v>-0.22871379999999999</v>
      </c>
      <c r="S4096">
        <v>-2.9134519999999999</v>
      </c>
      <c r="T4096">
        <v>-0.2953944</v>
      </c>
      <c r="U4096">
        <v>-0.91287229999999997</v>
      </c>
      <c r="V4096">
        <v>-0.13174330000000001</v>
      </c>
      <c r="W4096">
        <v>0.1132702</v>
      </c>
      <c r="X4096">
        <v>0.98479119999999998</v>
      </c>
      <c r="Y4096">
        <v>-0.2016346</v>
      </c>
      <c r="Z4096">
        <v>-1.3399780000000001E-4</v>
      </c>
      <c r="AA4096">
        <v>0.97946080000000002</v>
      </c>
      <c r="AB4096">
        <v>44</v>
      </c>
      <c r="AC4096">
        <v>-10.7418</v>
      </c>
      <c r="AD4096">
        <v>-1.113227326114</v>
      </c>
      <c r="AE4096">
        <v>-3.4156999999999802</v>
      </c>
      <c r="AF4096">
        <v>-2.3023296318241502</v>
      </c>
      <c r="AG4096">
        <v>-1.113227326114</v>
      </c>
      <c r="AH4096">
        <v>10.922902521510499</v>
      </c>
      <c r="AI4096">
        <v>95.695024384835094</v>
      </c>
      <c r="AJ4096">
        <v>101.90257668773</v>
      </c>
      <c r="AK4096">
        <v>11.218279560948799</v>
      </c>
      <c r="AL4096">
        <v>83.496137592466894</v>
      </c>
      <c r="AM4096">
        <v>97.619668856830501</v>
      </c>
      <c r="AN4096">
        <v>1.00000007145018</v>
      </c>
    </row>
    <row r="4097" spans="1:40" x14ac:dyDescent="0.25">
      <c r="A4097" t="str">
        <f>"20190312151620279"</f>
        <v>20190312151620279</v>
      </c>
      <c r="B4097" t="str">
        <f>"1552374980271579"</f>
        <v>1552374980271579</v>
      </c>
      <c r="C4097" t="s">
        <v>40</v>
      </c>
      <c r="D4097">
        <v>4.5906669999999998</v>
      </c>
      <c r="E4097">
        <v>0.4757709</v>
      </c>
      <c r="F4097" t="s">
        <v>43</v>
      </c>
      <c r="G4097">
        <v>-376.45030000000003</v>
      </c>
      <c r="H4097" s="1">
        <v>-2.2608680000000002E-6</v>
      </c>
      <c r="I4097">
        <v>135.60659999999999</v>
      </c>
      <c r="J4097">
        <v>-365.84870000000001</v>
      </c>
      <c r="K4097">
        <v>1.11324</v>
      </c>
      <c r="L4097">
        <v>139.02070000000001</v>
      </c>
      <c r="M4097">
        <v>-0.99463590000000002</v>
      </c>
      <c r="N4097">
        <v>0</v>
      </c>
      <c r="O4097">
        <v>-0.10240109999999999</v>
      </c>
      <c r="P4097">
        <v>-0.96764300000000003</v>
      </c>
      <c r="Q4097">
        <v>0.1001649</v>
      </c>
      <c r="R4097">
        <v>-0.2315904</v>
      </c>
      <c r="S4097">
        <v>-2.9120180000000002</v>
      </c>
      <c r="T4097">
        <v>-0.29572690000000001</v>
      </c>
      <c r="U4097">
        <v>-0.91700740000000003</v>
      </c>
      <c r="V4097">
        <v>-0.13225309999999901</v>
      </c>
      <c r="W4097">
        <v>0.1134303</v>
      </c>
      <c r="X4097">
        <v>0.98470440000000004</v>
      </c>
      <c r="Y4097">
        <v>-0.20064389999999999</v>
      </c>
      <c r="Z4097">
        <v>1.5389639999999999E-4</v>
      </c>
      <c r="AA4097">
        <v>0.97966419999999999</v>
      </c>
      <c r="AB4097">
        <v>44</v>
      </c>
      <c r="AC4097">
        <v>-10.601599999999999</v>
      </c>
      <c r="AD4097">
        <v>-1.1132422608679999</v>
      </c>
      <c r="AE4097">
        <v>-3.4141000000000101</v>
      </c>
      <c r="AF4097">
        <v>-2.2875638436446701</v>
      </c>
      <c r="AG4097">
        <v>-1.1132422608679999</v>
      </c>
      <c r="AH4097">
        <v>10.787728733909701</v>
      </c>
      <c r="AI4097">
        <v>95.764509360709894</v>
      </c>
      <c r="AJ4097">
        <v>101.972359891295</v>
      </c>
      <c r="AK4097">
        <v>11.0836522819219</v>
      </c>
      <c r="AL4097">
        <v>83.486904800017896</v>
      </c>
      <c r="AM4097">
        <v>97.649472119947106</v>
      </c>
      <c r="AN4097">
        <v>1.0000000353985199</v>
      </c>
    </row>
    <row r="4098" spans="1:40" x14ac:dyDescent="0.25">
      <c r="A4098" t="str">
        <f>"20190312151620293"</f>
        <v>20190312151620293</v>
      </c>
      <c r="B4098" t="str">
        <f>"1552374980282312"</f>
        <v>1552374980282312</v>
      </c>
      <c r="C4098" t="s">
        <v>40</v>
      </c>
      <c r="D4098">
        <v>4.5757539999999999</v>
      </c>
      <c r="E4098">
        <v>0.4757709</v>
      </c>
      <c r="F4098" t="s">
        <v>43</v>
      </c>
      <c r="G4098">
        <v>-376.8186</v>
      </c>
      <c r="H4098" s="1">
        <v>-2.1527839999999999E-6</v>
      </c>
      <c r="I4098">
        <v>135.54179999999999</v>
      </c>
      <c r="J4098">
        <v>-366.12270000000001</v>
      </c>
      <c r="K4098">
        <v>1.113245</v>
      </c>
      <c r="L4098">
        <v>138.9913</v>
      </c>
      <c r="M4098">
        <v>-0.99444270000000001</v>
      </c>
      <c r="N4098">
        <v>0</v>
      </c>
      <c r="O4098">
        <v>-0.1042607</v>
      </c>
      <c r="P4098">
        <v>-0.96717969999999998</v>
      </c>
      <c r="Q4098">
        <v>0.1001272</v>
      </c>
      <c r="R4098">
        <v>-0.23353360000000001</v>
      </c>
      <c r="S4098">
        <v>-2.9100039999999998</v>
      </c>
      <c r="T4098">
        <v>-0.29531109999999999</v>
      </c>
      <c r="U4098">
        <v>-0.92283630000000005</v>
      </c>
      <c r="V4098">
        <v>-0.13239089999999901</v>
      </c>
      <c r="W4098">
        <v>0.11339</v>
      </c>
      <c r="X4098">
        <v>0.98469050000000002</v>
      </c>
      <c r="Y4098">
        <v>-0.20079949999999999</v>
      </c>
      <c r="Z4098">
        <v>3.2736549999999999E-4</v>
      </c>
      <c r="AA4098">
        <v>0.97963230000000001</v>
      </c>
      <c r="AB4098">
        <v>44</v>
      </c>
      <c r="AC4098">
        <v>-10.6958999999999</v>
      </c>
      <c r="AD4098">
        <v>-1.113247152784</v>
      </c>
      <c r="AE4098">
        <v>-3.4495</v>
      </c>
      <c r="AF4098">
        <v>-2.2929161549995101</v>
      </c>
      <c r="AG4098">
        <v>-1.113247152784</v>
      </c>
      <c r="AH4098">
        <v>10.8904193993482</v>
      </c>
      <c r="AI4098">
        <v>95.712269730303305</v>
      </c>
      <c r="AJ4098">
        <v>101.889646869469</v>
      </c>
      <c r="AK4098">
        <v>11.184722545094299</v>
      </c>
      <c r="AL4098">
        <v>83.4892286584777</v>
      </c>
      <c r="AM4098">
        <v>97.657454712647805</v>
      </c>
      <c r="AN4098">
        <v>1.00000001164653</v>
      </c>
    </row>
    <row r="4099" spans="1:40" x14ac:dyDescent="0.25">
      <c r="A4099" t="str">
        <f>"20190312151620305"</f>
        <v>20190312151620305</v>
      </c>
      <c r="B4099" t="str">
        <f>"1552374980301831"</f>
        <v>1552374980301831</v>
      </c>
      <c r="C4099" t="s">
        <v>40</v>
      </c>
      <c r="D4099">
        <v>4.598789</v>
      </c>
      <c r="E4099">
        <v>0.5003242</v>
      </c>
      <c r="F4099" t="s">
        <v>43</v>
      </c>
      <c r="G4099">
        <v>-377.08</v>
      </c>
      <c r="H4099" s="1">
        <v>-2.0769200000000001E-6</v>
      </c>
      <c r="I4099">
        <v>135.49270000000001</v>
      </c>
      <c r="J4099">
        <v>-366.37630000000001</v>
      </c>
      <c r="K4099">
        <v>1.1132500000000001</v>
      </c>
      <c r="L4099">
        <v>138.96350000000001</v>
      </c>
      <c r="M4099">
        <v>-0.99426110000000001</v>
      </c>
      <c r="N4099">
        <v>0</v>
      </c>
      <c r="O4099">
        <v>-0.1059793</v>
      </c>
      <c r="P4099">
        <v>-0.96672089999999999</v>
      </c>
      <c r="Q4099">
        <v>0.10010090000000001</v>
      </c>
      <c r="R4099">
        <v>-0.23543649999999999</v>
      </c>
      <c r="S4099">
        <v>-2.9082029999999999</v>
      </c>
      <c r="T4099">
        <v>-0.2954696</v>
      </c>
      <c r="U4099">
        <v>-0.9285736</v>
      </c>
      <c r="V4099">
        <v>-0.13262699999999999</v>
      </c>
      <c r="W4099">
        <v>0.11336060000000001</v>
      </c>
      <c r="X4099">
        <v>0.98466209999999998</v>
      </c>
      <c r="Y4099">
        <v>-0.20104230000000001</v>
      </c>
      <c r="Z4099">
        <v>4.8325959999999998E-4</v>
      </c>
      <c r="AA4099">
        <v>0.97958239999999996</v>
      </c>
      <c r="AB4099">
        <v>44</v>
      </c>
      <c r="AC4099">
        <v>-10.7036999999999</v>
      </c>
      <c r="AD4099">
        <v>-1.1132520769200001</v>
      </c>
      <c r="AE4099">
        <v>-3.4707999999999899</v>
      </c>
      <c r="AF4099">
        <v>-2.29430092171574</v>
      </c>
      <c r="AG4099">
        <v>-1.1132520769200001</v>
      </c>
      <c r="AH4099">
        <v>10.904544566412399</v>
      </c>
      <c r="AI4099">
        <v>95.705110733274694</v>
      </c>
      <c r="AJ4099">
        <v>101.881650900662</v>
      </c>
      <c r="AK4099">
        <v>11.1987606058451</v>
      </c>
      <c r="AL4099">
        <v>83.490924003219803</v>
      </c>
      <c r="AM4099">
        <v>97.671166827855401</v>
      </c>
      <c r="AN4099">
        <v>0.99999999896888503</v>
      </c>
    </row>
    <row r="4100" spans="1:40" x14ac:dyDescent="0.25">
      <c r="A4100" t="str">
        <f>"20190312151620325"</f>
        <v>20190312151620325</v>
      </c>
      <c r="B4100" t="str">
        <f>"1552374980322327"</f>
        <v>1552374980322327</v>
      </c>
      <c r="C4100" t="s">
        <v>40</v>
      </c>
      <c r="D4100">
        <v>4.710852</v>
      </c>
      <c r="E4100">
        <v>0.50179229999999997</v>
      </c>
      <c r="F4100" t="s">
        <v>43</v>
      </c>
      <c r="G4100">
        <v>-377.34730000000002</v>
      </c>
      <c r="H4100" s="1">
        <v>-1.7978559999999901E-6</v>
      </c>
      <c r="I4100">
        <v>136.1996</v>
      </c>
      <c r="J4100">
        <v>-366.7441</v>
      </c>
      <c r="K4100">
        <v>1.113248</v>
      </c>
      <c r="L4100">
        <v>138.92240000000001</v>
      </c>
      <c r="M4100">
        <v>-0.99399320000000002</v>
      </c>
      <c r="N4100">
        <v>0</v>
      </c>
      <c r="O4100">
        <v>-0.10846310000000001</v>
      </c>
      <c r="P4100">
        <v>-0.96605510000000006</v>
      </c>
      <c r="Q4100">
        <v>9.9850060000000004E-2</v>
      </c>
      <c r="R4100">
        <v>-0.2382599</v>
      </c>
      <c r="S4100">
        <v>-2.9530940000000001</v>
      </c>
      <c r="T4100">
        <v>-0.29965770000000003</v>
      </c>
      <c r="U4100">
        <v>-0.743927</v>
      </c>
      <c r="V4100">
        <v>-0.13303799999999999</v>
      </c>
      <c r="W4100">
        <v>0.11310580000000001</v>
      </c>
      <c r="X4100">
        <v>0.98463590000000001</v>
      </c>
      <c r="Y4100">
        <v>-0.13751169999999999</v>
      </c>
      <c r="Z4100">
        <v>3.9066049999999996E-3</v>
      </c>
      <c r="AA4100">
        <v>0.9904925</v>
      </c>
      <c r="AB4100">
        <v>44</v>
      </c>
      <c r="AC4100">
        <v>-10.603199999999999</v>
      </c>
      <c r="AD4100">
        <v>-1.1132497978560001</v>
      </c>
      <c r="AE4100">
        <v>-2.7227999999999999</v>
      </c>
      <c r="AF4100">
        <v>-1.54062259120086</v>
      </c>
      <c r="AG4100">
        <v>-1.1132497978560001</v>
      </c>
      <c r="AH4100">
        <v>10.7250756388377</v>
      </c>
      <c r="AI4100">
        <v>95.866222735439194</v>
      </c>
      <c r="AJ4100">
        <v>98.174435517006401</v>
      </c>
      <c r="AK4100">
        <v>10.8922031995246</v>
      </c>
      <c r="AL4100">
        <v>83.5056171080616</v>
      </c>
      <c r="AM4100">
        <v>97.694857053391402</v>
      </c>
      <c r="AN4100">
        <v>0.99999994350322297</v>
      </c>
    </row>
    <row r="4101" spans="1:40" x14ac:dyDescent="0.25">
      <c r="A4101" t="str">
        <f>"20190312151620346"</f>
        <v>20190312151620346</v>
      </c>
      <c r="B4101" t="str">
        <f>"1552374980341848"</f>
        <v>1552374980341848</v>
      </c>
      <c r="C4101" t="s">
        <v>40</v>
      </c>
      <c r="D4101">
        <v>4.7614130000000001</v>
      </c>
      <c r="E4101">
        <v>0.50275519999999996</v>
      </c>
      <c r="F4101" t="s">
        <v>43</v>
      </c>
      <c r="G4101">
        <v>-377.61840000000001</v>
      </c>
      <c r="H4101" s="1">
        <v>-1.707204E-6</v>
      </c>
      <c r="I4101">
        <v>136.1935</v>
      </c>
      <c r="J4101">
        <v>-367.17450000000002</v>
      </c>
      <c r="K4101">
        <v>1.1132359999999999</v>
      </c>
      <c r="L4101">
        <v>138.8732</v>
      </c>
      <c r="M4101">
        <v>-0.99367399999999995</v>
      </c>
      <c r="N4101">
        <v>0</v>
      </c>
      <c r="O4101">
        <v>-0.1113488</v>
      </c>
      <c r="P4101">
        <v>-0.96535300000000002</v>
      </c>
      <c r="Q4101">
        <v>9.94091E-2</v>
      </c>
      <c r="R4101">
        <v>-0.24127119999999999</v>
      </c>
      <c r="S4101">
        <v>-2.9538570000000002</v>
      </c>
      <c r="T4101">
        <v>-0.30240109999999998</v>
      </c>
      <c r="U4101">
        <v>-0.7412415</v>
      </c>
      <c r="V4101">
        <v>-0.1332372</v>
      </c>
      <c r="W4101">
        <v>0.11266610000000001</v>
      </c>
      <c r="X4101">
        <v>0.98465939999999996</v>
      </c>
      <c r="Y4101">
        <v>-0.13375699999999999</v>
      </c>
      <c r="Z4101">
        <v>4.417504E-3</v>
      </c>
      <c r="AA4101">
        <v>0.99100429999999995</v>
      </c>
      <c r="AB4101">
        <v>44</v>
      </c>
      <c r="AC4101">
        <v>-10.4438999999999</v>
      </c>
      <c r="AD4101">
        <v>-1.1132377072040001</v>
      </c>
      <c r="AE4101">
        <v>-2.6796999999999902</v>
      </c>
      <c r="AF4101">
        <v>-1.48417115878357</v>
      </c>
      <c r="AG4101">
        <v>-1.1132377072040001</v>
      </c>
      <c r="AH4101">
        <v>10.564731708859901</v>
      </c>
      <c r="AI4101">
        <v>95.957161517476607</v>
      </c>
      <c r="AJ4101">
        <v>97.9967821391147</v>
      </c>
      <c r="AK4101">
        <v>10.726398197973801</v>
      </c>
      <c r="AL4101">
        <v>83.530972292237095</v>
      </c>
      <c r="AM4101">
        <v>97.706058634194207</v>
      </c>
      <c r="AN4101">
        <v>0.99999996778070399</v>
      </c>
    </row>
    <row r="4102" spans="1:40" x14ac:dyDescent="0.25">
      <c r="A4102" t="str">
        <f>"20190312151620369"</f>
        <v>20190312151620369</v>
      </c>
      <c r="B4102" t="str">
        <f>"1552374980362343"</f>
        <v>1552374980362343</v>
      </c>
      <c r="C4102" t="s">
        <v>40</v>
      </c>
      <c r="D4102">
        <v>4.5680540000000001</v>
      </c>
      <c r="E4102">
        <v>0.50263979999999997</v>
      </c>
      <c r="F4102" t="s">
        <v>43</v>
      </c>
      <c r="G4102">
        <v>-377.94380000000001</v>
      </c>
      <c r="H4102" s="1">
        <v>-1.604282E-6</v>
      </c>
      <c r="I4102">
        <v>136.16409999999999</v>
      </c>
      <c r="J4102">
        <v>-367.60340000000002</v>
      </c>
      <c r="K4102">
        <v>1.113213</v>
      </c>
      <c r="L4102">
        <v>138.82299999999901</v>
      </c>
      <c r="M4102">
        <v>-0.99335130000000005</v>
      </c>
      <c r="N4102">
        <v>0</v>
      </c>
      <c r="O4102">
        <v>-0.1141934</v>
      </c>
      <c r="P4102">
        <v>-0.96456430000000004</v>
      </c>
      <c r="Q4102">
        <v>9.9287630000000002E-2</v>
      </c>
      <c r="R4102">
        <v>-0.244454</v>
      </c>
      <c r="S4102">
        <v>-2.95343</v>
      </c>
      <c r="T4102">
        <v>-0.30529990000000001</v>
      </c>
      <c r="U4102">
        <v>-0.74293520000000002</v>
      </c>
      <c r="V4102">
        <v>-0.1336582</v>
      </c>
      <c r="W4102">
        <v>0.112545699999999</v>
      </c>
      <c r="X4102">
        <v>0.98461620000000005</v>
      </c>
      <c r="Y4102">
        <v>-0.13151079999999901</v>
      </c>
      <c r="Z4102">
        <v>4.8593389999999998E-3</v>
      </c>
      <c r="AA4102">
        <v>0.99130280000000004</v>
      </c>
      <c r="AB4102">
        <v>44</v>
      </c>
      <c r="AC4102">
        <v>-10.340399999999899</v>
      </c>
      <c r="AD4102">
        <v>-1.1132146042819999</v>
      </c>
      <c r="AE4102">
        <v>-2.6588999999999801</v>
      </c>
      <c r="AF4102">
        <v>-1.4448645403234499</v>
      </c>
      <c r="AG4102">
        <v>-1.1132146042819999</v>
      </c>
      <c r="AH4102">
        <v>10.462663744107299</v>
      </c>
      <c r="AI4102">
        <v>96.016675545973598</v>
      </c>
      <c r="AJ4102">
        <v>97.862655780842005</v>
      </c>
      <c r="AK4102">
        <v>10.6204619917087</v>
      </c>
      <c r="AL4102">
        <v>83.537915427990399</v>
      </c>
      <c r="AM4102">
        <v>97.730449179004196</v>
      </c>
      <c r="AN4102">
        <v>1.00000005515908</v>
      </c>
    </row>
    <row r="4103" spans="1:40" x14ac:dyDescent="0.25">
      <c r="A4103" t="str">
        <f>"20190312151620383"</f>
        <v>20190312151620383</v>
      </c>
      <c r="B4103" t="str">
        <f>"1552374980372104"</f>
        <v>1552374980372104</v>
      </c>
      <c r="C4103" t="s">
        <v>40</v>
      </c>
      <c r="D4103">
        <v>4.5158379999999996</v>
      </c>
      <c r="E4103">
        <v>0.50269160000000002</v>
      </c>
      <c r="F4103" t="s">
        <v>43</v>
      </c>
      <c r="G4103">
        <v>-378.26459999999997</v>
      </c>
      <c r="H4103" s="1">
        <v>-1.5115379999999901E-6</v>
      </c>
      <c r="I4103">
        <v>136.10249999999999</v>
      </c>
      <c r="J4103">
        <v>-367.88229999999999</v>
      </c>
      <c r="K4103">
        <v>1.113191</v>
      </c>
      <c r="L4103">
        <v>138.78960000000001</v>
      </c>
      <c r="M4103">
        <v>-0.99314009999999997</v>
      </c>
      <c r="N4103">
        <v>0</v>
      </c>
      <c r="O4103">
        <v>-0.1160168</v>
      </c>
      <c r="P4103">
        <v>-0.96404599999999996</v>
      </c>
      <c r="Q4103">
        <v>9.9062140000000007E-2</v>
      </c>
      <c r="R4103">
        <v>-0.24658160000000001</v>
      </c>
      <c r="S4103">
        <v>-2.95105</v>
      </c>
      <c r="T4103">
        <v>-0.30814249999999999</v>
      </c>
      <c r="U4103">
        <v>-0.75302119999999995</v>
      </c>
      <c r="V4103">
        <v>-0.1340124</v>
      </c>
      <c r="W4103">
        <v>0.11232259999999999</v>
      </c>
      <c r="X4103">
        <v>0.98459350000000001</v>
      </c>
      <c r="Y4103">
        <v>-0.13306319999999999</v>
      </c>
      <c r="Z4103">
        <v>5.0106760000000004E-3</v>
      </c>
      <c r="AA4103">
        <v>0.9910949</v>
      </c>
      <c r="AB4103">
        <v>44</v>
      </c>
      <c r="AC4103">
        <v>-10.382299999999899</v>
      </c>
      <c r="AD4103">
        <v>-1.1131925115379999</v>
      </c>
      <c r="AE4103">
        <v>-2.6871000000000098</v>
      </c>
      <c r="AF4103">
        <v>-1.44869252434549</v>
      </c>
      <c r="AG4103">
        <v>-1.1131925115379999</v>
      </c>
      <c r="AH4103">
        <v>10.510710811169</v>
      </c>
      <c r="AI4103">
        <v>95.989469202043594</v>
      </c>
      <c r="AJ4103">
        <v>97.847639155682401</v>
      </c>
      <c r="AK4103">
        <v>10.6683152069042</v>
      </c>
      <c r="AL4103">
        <v>83.550779490570505</v>
      </c>
      <c r="AM4103">
        <v>97.750863040093805</v>
      </c>
      <c r="AN4103">
        <v>1.00000002503338</v>
      </c>
    </row>
    <row r="4104" spans="1:40" x14ac:dyDescent="0.25">
      <c r="A4104" t="str">
        <f>"20190312151620402"</f>
        <v>20190312151620402</v>
      </c>
      <c r="B4104" t="str">
        <f>"1552374980391623"</f>
        <v>1552374980391623</v>
      </c>
      <c r="C4104" t="s">
        <v>40</v>
      </c>
      <c r="D4104">
        <v>4.5603499999999997</v>
      </c>
      <c r="E4104">
        <v>0.50278089999999998</v>
      </c>
      <c r="F4104" t="s">
        <v>43</v>
      </c>
      <c r="G4104">
        <v>-378.36290000000002</v>
      </c>
      <c r="H4104" s="1">
        <v>-1.480812E-6</v>
      </c>
      <c r="I4104">
        <v>136.09219999999999</v>
      </c>
      <c r="J4104">
        <v>-368.25319999999999</v>
      </c>
      <c r="K4104">
        <v>1.1131500000000001</v>
      </c>
      <c r="L4104">
        <v>138.74449999999999</v>
      </c>
      <c r="M4104">
        <v>-0.99285809999999997</v>
      </c>
      <c r="N4104">
        <v>0</v>
      </c>
      <c r="O4104">
        <v>-0.1184047</v>
      </c>
      <c r="P4104">
        <v>-0.96340720000000002</v>
      </c>
      <c r="Q4104">
        <v>9.8540440000000007E-2</v>
      </c>
      <c r="R4104">
        <v>-0.2492713</v>
      </c>
      <c r="S4104">
        <v>-2.9499209999999998</v>
      </c>
      <c r="T4104">
        <v>-0.3133243</v>
      </c>
      <c r="U4104">
        <v>-0.75921629999999996</v>
      </c>
      <c r="V4104">
        <v>-0.13437189999999999</v>
      </c>
      <c r="W4104">
        <v>0.1118075</v>
      </c>
      <c r="X4104">
        <v>0.98460309999999995</v>
      </c>
      <c r="Y4104">
        <v>-0.13273479999999999</v>
      </c>
      <c r="Z4104">
        <v>5.3576309999999999E-3</v>
      </c>
      <c r="AA4104">
        <v>0.99113709999999999</v>
      </c>
      <c r="AB4104">
        <v>44</v>
      </c>
      <c r="AC4104">
        <v>-10.1097</v>
      </c>
      <c r="AD4104">
        <v>-1.113151480812</v>
      </c>
      <c r="AE4104">
        <v>-2.6522999999999901</v>
      </c>
      <c r="AF4104">
        <v>-1.42036358586845</v>
      </c>
      <c r="AG4104">
        <v>-1.113151480812</v>
      </c>
      <c r="AH4104">
        <v>10.2365336224817</v>
      </c>
      <c r="AI4104">
        <v>96.147689187244097</v>
      </c>
      <c r="AJ4104">
        <v>97.899600030254206</v>
      </c>
      <c r="AK4104">
        <v>10.3943811523098</v>
      </c>
      <c r="AL4104">
        <v>83.580479434630107</v>
      </c>
      <c r="AM4104">
        <v>97.771326817520702</v>
      </c>
      <c r="AN4104">
        <v>0.99999999454773503</v>
      </c>
    </row>
    <row r="4105" spans="1:40" x14ac:dyDescent="0.25">
      <c r="A4105" t="str">
        <f>"20190312151620416"</f>
        <v>20190312151620416</v>
      </c>
      <c r="B4105" t="str">
        <f>"1552374980412119"</f>
        <v>1552374980412119</v>
      </c>
      <c r="C4105" t="s">
        <v>40</v>
      </c>
      <c r="D4105">
        <v>4.5114010000000002</v>
      </c>
      <c r="E4105">
        <v>0.50283900000000004</v>
      </c>
      <c r="F4105" t="s">
        <v>43</v>
      </c>
      <c r="G4105">
        <v>-378.72399999999999</v>
      </c>
      <c r="H4105" s="1">
        <v>-1.3767479999999999E-6</v>
      </c>
      <c r="I4105">
        <v>136.0215</v>
      </c>
      <c r="J4105">
        <v>-368.5213</v>
      </c>
      <c r="K4105">
        <v>1.1131180000000001</v>
      </c>
      <c r="L4105">
        <v>138.7114</v>
      </c>
      <c r="M4105">
        <v>-0.99265429999999999</v>
      </c>
      <c r="N4105">
        <v>0</v>
      </c>
      <c r="O4105">
        <v>-0.1201033</v>
      </c>
      <c r="P4105">
        <v>-0.96295390000000003</v>
      </c>
      <c r="Q4105">
        <v>9.8398239999999998E-2</v>
      </c>
      <c r="R4105">
        <v>-0.25107420000000003</v>
      </c>
      <c r="S4105">
        <v>-2.947632</v>
      </c>
      <c r="T4105">
        <v>-0.31336449999999999</v>
      </c>
      <c r="U4105">
        <v>-0.76652529999999997</v>
      </c>
      <c r="V4105">
        <v>-0.134519</v>
      </c>
      <c r="W4105">
        <v>0.11167340000000001</v>
      </c>
      <c r="X4105">
        <v>0.98459819999999998</v>
      </c>
      <c r="Y4105">
        <v>-0.1335327</v>
      </c>
      <c r="Z4105">
        <v>5.4935110000000004E-3</v>
      </c>
      <c r="AA4105">
        <v>0.99102920000000005</v>
      </c>
      <c r="AB4105">
        <v>44</v>
      </c>
      <c r="AC4105">
        <v>-10.202699999999901</v>
      </c>
      <c r="AD4105">
        <v>-1.1131193767479901</v>
      </c>
      <c r="AE4105">
        <v>-2.68989999999999</v>
      </c>
      <c r="AF4105">
        <v>-1.4290125507852001</v>
      </c>
      <c r="AG4105">
        <v>-1.1131193767479901</v>
      </c>
      <c r="AH4105">
        <v>10.336888619905899</v>
      </c>
      <c r="AI4105">
        <v>96.088700043143305</v>
      </c>
      <c r="AJ4105">
        <v>97.870907859602696</v>
      </c>
      <c r="AK4105">
        <v>10.4943974556681</v>
      </c>
      <c r="AL4105">
        <v>83.588211013472502</v>
      </c>
      <c r="AM4105">
        <v>97.779768384442406</v>
      </c>
      <c r="AN4105">
        <v>0.99999996253589896</v>
      </c>
    </row>
    <row r="4106" spans="1:40" x14ac:dyDescent="0.25">
      <c r="A4106" t="str">
        <f>"20190312151620428"</f>
        <v>20190312151620428</v>
      </c>
      <c r="B4106" t="str">
        <f>"1552374980421880"</f>
        <v>1552374980421880</v>
      </c>
      <c r="C4106" t="s">
        <v>40</v>
      </c>
      <c r="D4106">
        <v>4.5374480000000004</v>
      </c>
      <c r="E4106">
        <v>0.50287219999999999</v>
      </c>
      <c r="F4106" t="s">
        <v>43</v>
      </c>
      <c r="G4106">
        <v>-378.82810000000001</v>
      </c>
      <c r="H4106" s="1">
        <v>-1.3441350000000001E-6</v>
      </c>
      <c r="I4106">
        <v>136.01089999999999</v>
      </c>
      <c r="J4106">
        <v>-368.78820000000002</v>
      </c>
      <c r="K4106">
        <v>1.113081</v>
      </c>
      <c r="L4106">
        <v>138.678</v>
      </c>
      <c r="M4106">
        <v>-0.99245229999999995</v>
      </c>
      <c r="N4106">
        <v>0</v>
      </c>
      <c r="O4106">
        <v>-0.1217598</v>
      </c>
      <c r="P4106">
        <v>-0.96247389999999999</v>
      </c>
      <c r="Q4106">
        <v>9.8139450000000003E-2</v>
      </c>
      <c r="R4106">
        <v>-0.25300719999999999</v>
      </c>
      <c r="S4106">
        <v>-2.946625</v>
      </c>
      <c r="T4106">
        <v>-0.31823210000000002</v>
      </c>
      <c r="U4106">
        <v>-0.77203369999999905</v>
      </c>
      <c r="V4106">
        <v>-0.13483689999999901</v>
      </c>
      <c r="W4106">
        <v>0.1114218</v>
      </c>
      <c r="X4106">
        <v>0.98458330000000005</v>
      </c>
      <c r="Y4106">
        <v>-0.1337014</v>
      </c>
      <c r="Z4106">
        <v>5.7427869999999897E-3</v>
      </c>
      <c r="AA4106">
        <v>0.99100500000000002</v>
      </c>
      <c r="AB4106">
        <v>44</v>
      </c>
      <c r="AC4106">
        <v>-10.0398999999999</v>
      </c>
      <c r="AD4106">
        <v>-1.113082344135</v>
      </c>
      <c r="AE4106">
        <v>-2.6671</v>
      </c>
      <c r="AF4106">
        <v>-1.40849407686623</v>
      </c>
      <c r="AG4106">
        <v>-1.113082344135</v>
      </c>
      <c r="AH4106">
        <v>10.173164875558999</v>
      </c>
      <c r="AI4106">
        <v>96.185558472727607</v>
      </c>
      <c r="AJ4106">
        <v>97.882597852503196</v>
      </c>
      <c r="AK4106">
        <v>10.330348080035799</v>
      </c>
      <c r="AL4106">
        <v>83.602717667002807</v>
      </c>
      <c r="AM4106">
        <v>97.798044426031396</v>
      </c>
      <c r="AN4106">
        <v>1.00000004087786</v>
      </c>
    </row>
    <row r="4107" spans="1:40" x14ac:dyDescent="0.25">
      <c r="A4107" t="str">
        <f>"20190312151620447"</f>
        <v>20190312151620447</v>
      </c>
      <c r="B4107" t="str">
        <f>"1552374980442375"</f>
        <v>1552374980442375</v>
      </c>
      <c r="C4107" t="s">
        <v>40</v>
      </c>
      <c r="D4107">
        <v>4.547885</v>
      </c>
      <c r="E4107">
        <v>0.50307679999999999</v>
      </c>
      <c r="F4107" t="s">
        <v>43</v>
      </c>
      <c r="G4107">
        <v>-378.95179999999999</v>
      </c>
      <c r="H4107" s="1">
        <v>-1.306712E-6</v>
      </c>
      <c r="I4107">
        <v>135.9933</v>
      </c>
      <c r="J4107">
        <v>-369.12779999999998</v>
      </c>
      <c r="K4107">
        <v>1.113024</v>
      </c>
      <c r="L4107">
        <v>138.63480000000001</v>
      </c>
      <c r="M4107">
        <v>-0.99219769999999896</v>
      </c>
      <c r="N4107">
        <v>0</v>
      </c>
      <c r="O4107">
        <v>-0.1238187</v>
      </c>
      <c r="P4107">
        <v>-0.96182579999999995</v>
      </c>
      <c r="Q4107">
        <v>9.8140539999999998E-2</v>
      </c>
      <c r="R4107">
        <v>-0.25546039999999998</v>
      </c>
      <c r="S4107">
        <v>-2.9453429999999998</v>
      </c>
      <c r="T4107">
        <v>-0.32256439999999997</v>
      </c>
      <c r="U4107">
        <v>-0.77796940000000003</v>
      </c>
      <c r="V4107">
        <v>-0.13528979999999999</v>
      </c>
      <c r="W4107">
        <v>0.1114337</v>
      </c>
      <c r="X4107">
        <v>0.98451979999999994</v>
      </c>
      <c r="Y4107">
        <v>-0.13362859999999999</v>
      </c>
      <c r="Z4107">
        <v>6.0430889999999998E-3</v>
      </c>
      <c r="AA4107">
        <v>0.99101309999999998</v>
      </c>
      <c r="AB4107">
        <v>44</v>
      </c>
      <c r="AC4107">
        <v>-9.8240000000000105</v>
      </c>
      <c r="AD4107">
        <v>-1.113025306712</v>
      </c>
      <c r="AE4107">
        <v>-2.6415000000000002</v>
      </c>
      <c r="AF4107">
        <v>-1.3880290551376699</v>
      </c>
      <c r="AG4107">
        <v>-1.113025306712</v>
      </c>
      <c r="AH4107">
        <v>9.9563051370478597</v>
      </c>
      <c r="AI4107">
        <v>96.3180671744406</v>
      </c>
      <c r="AJ4107">
        <v>97.936569072374496</v>
      </c>
      <c r="AK4107">
        <v>10.114023036027399</v>
      </c>
      <c r="AL4107">
        <v>83.602031427887695</v>
      </c>
      <c r="AM4107">
        <v>97.824411585101402</v>
      </c>
      <c r="AN4107">
        <v>1.0000000180358799</v>
      </c>
    </row>
    <row r="4108" spans="1:40" x14ac:dyDescent="0.25">
      <c r="A4108" t="str">
        <f>"20190312151620468"</f>
        <v>20190312151620468</v>
      </c>
      <c r="B4108" t="str">
        <f>"1552374980461895"</f>
        <v>1552374980461895</v>
      </c>
      <c r="C4108" t="s">
        <v>40</v>
      </c>
      <c r="D4108">
        <v>4.5229749999999997</v>
      </c>
      <c r="E4108">
        <v>0.50330969999999997</v>
      </c>
      <c r="F4108" t="s">
        <v>43</v>
      </c>
      <c r="G4108">
        <v>-379.2509</v>
      </c>
      <c r="H4108" s="1">
        <v>-1.2194009999999999E-6</v>
      </c>
      <c r="I4108">
        <v>135.93899999999999</v>
      </c>
      <c r="J4108">
        <v>-369.55709999999999</v>
      </c>
      <c r="K4108">
        <v>1.112927</v>
      </c>
      <c r="L4108">
        <v>138.57919999999999</v>
      </c>
      <c r="M4108">
        <v>-0.99188089999999995</v>
      </c>
      <c r="N4108">
        <v>0</v>
      </c>
      <c r="O4108">
        <v>-0.12633179999999999</v>
      </c>
      <c r="P4108">
        <v>-0.96106709999999995</v>
      </c>
      <c r="Q4108">
        <v>9.7936369999999995E-2</v>
      </c>
      <c r="R4108">
        <v>-0.25837759999999999</v>
      </c>
      <c r="S4108">
        <v>-2.9438780000000002</v>
      </c>
      <c r="T4108">
        <v>-0.32368140000000001</v>
      </c>
      <c r="U4108">
        <v>-0.78392030000000001</v>
      </c>
      <c r="V4108">
        <v>-0.1357554</v>
      </c>
      <c r="W4108">
        <v>0.11124879999999999</v>
      </c>
      <c r="X4108">
        <v>0.98447660000000003</v>
      </c>
      <c r="Y4108">
        <v>-0.13312779999999999</v>
      </c>
      <c r="Z4108">
        <v>6.35887E-3</v>
      </c>
      <c r="AA4108">
        <v>0.99107849999999997</v>
      </c>
      <c r="AB4108">
        <v>44</v>
      </c>
      <c r="AC4108">
        <v>-9.6938000000000102</v>
      </c>
      <c r="AD4108">
        <v>-1.112928219401</v>
      </c>
      <c r="AE4108">
        <v>-2.6401999999999899</v>
      </c>
      <c r="AF4108">
        <v>-1.37737558040983</v>
      </c>
      <c r="AG4108">
        <v>-1.112928219401</v>
      </c>
      <c r="AH4108">
        <v>9.8290840686537599</v>
      </c>
      <c r="AI4108">
        <v>96.397989526873502</v>
      </c>
      <c r="AJ4108">
        <v>97.977064343322795</v>
      </c>
      <c r="AK4108">
        <v>9.98732528456501</v>
      </c>
      <c r="AL4108">
        <v>83.612691585006303</v>
      </c>
      <c r="AM4108">
        <v>97.851344284363293</v>
      </c>
      <c r="AN4108">
        <v>1.0000000000390701</v>
      </c>
    </row>
    <row r="4109" spans="1:40" x14ac:dyDescent="0.25">
      <c r="A4109" t="str">
        <f>"20190312151620483"</f>
        <v>20190312151620483</v>
      </c>
      <c r="B4109" t="str">
        <f>"1552374980471656"</f>
        <v>1552374980471656</v>
      </c>
      <c r="C4109" t="s">
        <v>40</v>
      </c>
      <c r="D4109">
        <v>4.5340119999999997</v>
      </c>
      <c r="E4109">
        <v>0.50345320000000005</v>
      </c>
      <c r="F4109" t="s">
        <v>43</v>
      </c>
      <c r="G4109">
        <v>-379.52190000000002</v>
      </c>
      <c r="H4109" s="1">
        <v>-1.137904E-6</v>
      </c>
      <c r="I4109">
        <v>135.89859999999999</v>
      </c>
      <c r="J4109">
        <v>-369.83330000000001</v>
      </c>
      <c r="K4109">
        <v>1.1128610000000001</v>
      </c>
      <c r="L4109">
        <v>138.5429</v>
      </c>
      <c r="M4109">
        <v>-0.99168270000000003</v>
      </c>
      <c r="N4109">
        <v>0</v>
      </c>
      <c r="O4109">
        <v>-0.127878399999999</v>
      </c>
      <c r="P4109">
        <v>-0.96065440000000002</v>
      </c>
      <c r="Q4109">
        <v>9.7535759999999999E-2</v>
      </c>
      <c r="R4109">
        <v>-0.2600577</v>
      </c>
      <c r="S4109">
        <v>-2.9422000000000001</v>
      </c>
      <c r="T4109">
        <v>-0.32860220000000001</v>
      </c>
      <c r="U4109">
        <v>-0.79145810000000005</v>
      </c>
      <c r="V4109">
        <v>-0.1359167</v>
      </c>
      <c r="W4109">
        <v>0.1108654</v>
      </c>
      <c r="X4109">
        <v>0.98449759999999997</v>
      </c>
      <c r="Y4109">
        <v>-0.1340942</v>
      </c>
      <c r="Z4109">
        <v>6.5698110000000001E-3</v>
      </c>
      <c r="AA4109">
        <v>0.99094680000000002</v>
      </c>
      <c r="AB4109">
        <v>44</v>
      </c>
      <c r="AC4109">
        <v>-9.6885999999999992</v>
      </c>
      <c r="AD4109">
        <v>-1.112862137904</v>
      </c>
      <c r="AE4109">
        <v>-2.6443000000000101</v>
      </c>
      <c r="AF4109">
        <v>-1.3667092888230301</v>
      </c>
      <c r="AG4109">
        <v>-1.112862137904</v>
      </c>
      <c r="AH4109">
        <v>9.8265639479416507</v>
      </c>
      <c r="AI4109">
        <v>96.400152041991106</v>
      </c>
      <c r="AJ4109">
        <v>97.918081090865101</v>
      </c>
      <c r="AK4109">
        <v>9.9833719474495197</v>
      </c>
      <c r="AL4109">
        <v>83.634795555185306</v>
      </c>
      <c r="AM4109">
        <v>97.860390864809204</v>
      </c>
      <c r="AN4109">
        <v>1.0000000053308999</v>
      </c>
    </row>
    <row r="4110" spans="1:40" x14ac:dyDescent="0.25">
      <c r="A4110" t="str">
        <f>"20190312151620502"</f>
        <v>20190312151620502</v>
      </c>
      <c r="B4110" t="str">
        <f>"1552374980492152"</f>
        <v>1552374980492152</v>
      </c>
      <c r="C4110" t="s">
        <v>40</v>
      </c>
      <c r="D4110">
        <v>4.5281520000000004</v>
      </c>
      <c r="E4110">
        <v>0.50359909999999997</v>
      </c>
      <c r="F4110" t="s">
        <v>43</v>
      </c>
      <c r="G4110">
        <v>-379.73500000000001</v>
      </c>
      <c r="H4110" s="1">
        <v>-1.0744020000000001E-6</v>
      </c>
      <c r="I4110">
        <v>135.8648</v>
      </c>
      <c r="J4110">
        <v>-370.21019999999999</v>
      </c>
      <c r="K4110">
        <v>1.112762</v>
      </c>
      <c r="L4110">
        <v>138.49279999999999</v>
      </c>
      <c r="M4110">
        <v>-0.99141939999999995</v>
      </c>
      <c r="N4110">
        <v>0</v>
      </c>
      <c r="O4110">
        <v>-0.12990460000000001</v>
      </c>
      <c r="P4110">
        <v>-0.96005510000000005</v>
      </c>
      <c r="Q4110">
        <v>9.7128720000000002E-2</v>
      </c>
      <c r="R4110">
        <v>-0.26241310000000001</v>
      </c>
      <c r="S4110">
        <v>-2.9411010000000002</v>
      </c>
      <c r="T4110">
        <v>-0.33055679999999998</v>
      </c>
      <c r="U4110">
        <v>-0.79545589999999999</v>
      </c>
      <c r="V4110">
        <v>-0.1362844</v>
      </c>
      <c r="W4110">
        <v>0.1104844</v>
      </c>
      <c r="X4110">
        <v>0.98448959999999996</v>
      </c>
      <c r="Y4110">
        <v>-0.13343269999999999</v>
      </c>
      <c r="Z4110">
        <v>6.8657639999999999E-3</v>
      </c>
      <c r="AA4110">
        <v>0.99103410000000003</v>
      </c>
      <c r="AB4110">
        <v>44</v>
      </c>
      <c r="AC4110">
        <v>-9.5248000000000204</v>
      </c>
      <c r="AD4110">
        <v>-1.1127630744020001</v>
      </c>
      <c r="AE4110">
        <v>-2.6279999999999801</v>
      </c>
      <c r="AF4110">
        <v>-1.3511432750373999</v>
      </c>
      <c r="AG4110">
        <v>-1.1127630744020001</v>
      </c>
      <c r="AH4110">
        <v>9.6629425123343395</v>
      </c>
      <c r="AI4110">
        <v>96.506372035840599</v>
      </c>
      <c r="AJ4110">
        <v>97.959906056584998</v>
      </c>
      <c r="AK4110">
        <v>9.8201979514727604</v>
      </c>
      <c r="AL4110">
        <v>83.656760190234607</v>
      </c>
      <c r="AM4110">
        <v>97.881452203237004</v>
      </c>
      <c r="AN4110">
        <v>1.0000000064174399</v>
      </c>
    </row>
    <row r="4111" spans="1:40" x14ac:dyDescent="0.25">
      <c r="A4111" t="str">
        <f>"20190312151620525"</f>
        <v>20190312151620525</v>
      </c>
      <c r="B4111" t="str">
        <f>"1552374980522408"</f>
        <v>1552374980522408</v>
      </c>
      <c r="C4111" t="s">
        <v>40</v>
      </c>
      <c r="D4111">
        <v>4.5626089999999904</v>
      </c>
      <c r="E4111">
        <v>0.50428640000000002</v>
      </c>
      <c r="F4111" t="s">
        <v>43</v>
      </c>
      <c r="G4111">
        <v>-380.0367</v>
      </c>
      <c r="H4111" s="1">
        <v>-4.9313480000000002E-6</v>
      </c>
      <c r="I4111">
        <v>135.81190000000001</v>
      </c>
      <c r="J4111">
        <v>-370.64400000000001</v>
      </c>
      <c r="K4111">
        <v>1.1126309999999999</v>
      </c>
      <c r="L4111">
        <v>138.4342</v>
      </c>
      <c r="M4111">
        <v>-0.99112909999999999</v>
      </c>
      <c r="N4111">
        <v>0</v>
      </c>
      <c r="O4111">
        <v>-0.132102</v>
      </c>
      <c r="P4111">
        <v>-0.95938990000000002</v>
      </c>
      <c r="Q4111">
        <v>9.6823469999999995E-2</v>
      </c>
      <c r="R4111">
        <v>-0.26494600000000001</v>
      </c>
      <c r="S4111">
        <v>-2.9393310000000001</v>
      </c>
      <c r="T4111">
        <v>-0.33285569999999998</v>
      </c>
      <c r="U4111">
        <v>-0.80191040000000002</v>
      </c>
      <c r="V4111">
        <v>-0.136659</v>
      </c>
      <c r="W4111">
        <v>0.1102138</v>
      </c>
      <c r="X4111">
        <v>0.98446800000000001</v>
      </c>
      <c r="Y4111">
        <v>-0.1334253</v>
      </c>
      <c r="Z4111">
        <v>7.1551449999999999E-3</v>
      </c>
      <c r="AA4111">
        <v>0.9910331</v>
      </c>
      <c r="AB4111">
        <v>44</v>
      </c>
      <c r="AC4111">
        <v>-9.3926999999999907</v>
      </c>
      <c r="AD4111">
        <v>-1.1126359313480001</v>
      </c>
      <c r="AE4111">
        <v>-2.6222999999999899</v>
      </c>
      <c r="AF4111">
        <v>-1.34093185852948</v>
      </c>
      <c r="AG4111">
        <v>-1.1126359313480001</v>
      </c>
      <c r="AH4111">
        <v>9.5327212673347699</v>
      </c>
      <c r="AI4111">
        <v>96.592973434790494</v>
      </c>
      <c r="AJ4111">
        <v>98.007044727806303</v>
      </c>
      <c r="AK4111">
        <v>9.6906569295194096</v>
      </c>
      <c r="AL4111">
        <v>83.672359677535894</v>
      </c>
      <c r="AM4111">
        <v>97.9030135177738</v>
      </c>
      <c r="AN4111">
        <v>1.0000000035077199</v>
      </c>
    </row>
    <row r="4112" spans="1:40" x14ac:dyDescent="0.25">
      <c r="A4112" t="str">
        <f>"20190312151620547"</f>
        <v>20190312151620547</v>
      </c>
      <c r="B4112" t="str">
        <f>"1552374980541927"</f>
        <v>1552374980541927</v>
      </c>
      <c r="C4112" t="s">
        <v>40</v>
      </c>
      <c r="D4112">
        <v>4.5766830000000001</v>
      </c>
      <c r="E4112">
        <v>0.50463459999999905</v>
      </c>
      <c r="F4112" t="s">
        <v>43</v>
      </c>
      <c r="G4112">
        <v>-380.34469999999999</v>
      </c>
      <c r="H4112" s="1">
        <v>-4.8051090000000004E-6</v>
      </c>
      <c r="I4112">
        <v>135.77869999999999</v>
      </c>
      <c r="J4112">
        <v>-371.08249999999998</v>
      </c>
      <c r="K4112">
        <v>1.11249</v>
      </c>
      <c r="L4112">
        <v>138.3741</v>
      </c>
      <c r="M4112">
        <v>-0.99085129999999999</v>
      </c>
      <c r="N4112">
        <v>0</v>
      </c>
      <c r="O4112">
        <v>-0.1341705</v>
      </c>
      <c r="P4112">
        <v>-0.95878419999999998</v>
      </c>
      <c r="Q4112">
        <v>9.6486550000000004E-2</v>
      </c>
      <c r="R4112">
        <v>-0.26725149999999998</v>
      </c>
      <c r="S4112">
        <v>-2.938812</v>
      </c>
      <c r="T4112">
        <v>-0.33707579999999998</v>
      </c>
      <c r="U4112">
        <v>-0.80447389999999996</v>
      </c>
      <c r="V4112">
        <v>-0.1369254</v>
      </c>
      <c r="W4112">
        <v>0.1099181</v>
      </c>
      <c r="X4112">
        <v>0.98446400000000001</v>
      </c>
      <c r="Y4112">
        <v>-0.1322246</v>
      </c>
      <c r="Z4112">
        <v>7.541575E-3</v>
      </c>
      <c r="AA4112">
        <v>0.99119109999999999</v>
      </c>
      <c r="AB4112">
        <v>44</v>
      </c>
      <c r="AC4112">
        <v>-9.2622</v>
      </c>
      <c r="AD4112">
        <v>-1.112494805109</v>
      </c>
      <c r="AE4112">
        <v>-2.5954000000000099</v>
      </c>
      <c r="AF4112">
        <v>-1.31153865985922</v>
      </c>
      <c r="AG4112">
        <v>-1.112494805109</v>
      </c>
      <c r="AH4112">
        <v>9.4009479020115805</v>
      </c>
      <c r="AI4112">
        <v>96.684767558718306</v>
      </c>
      <c r="AJ4112">
        <v>97.942147541596796</v>
      </c>
      <c r="AK4112">
        <v>9.5569660355175294</v>
      </c>
      <c r="AL4112">
        <v>83.689405333751694</v>
      </c>
      <c r="AM4112">
        <v>97.918256015715002</v>
      </c>
      <c r="AN4112">
        <v>0.99999996058438401</v>
      </c>
    </row>
    <row r="4113" spans="1:40" x14ac:dyDescent="0.25">
      <c r="A4113" t="str">
        <f>"20190312151620569"</f>
        <v>20190312151620569</v>
      </c>
      <c r="B4113" t="str">
        <f>"1552374980562424"</f>
        <v>1552374980562424</v>
      </c>
      <c r="C4113" t="s">
        <v>40</v>
      </c>
      <c r="D4113">
        <v>4.5876229999999998</v>
      </c>
      <c r="E4113">
        <v>0.50494899999999998</v>
      </c>
      <c r="F4113" t="s">
        <v>43</v>
      </c>
      <c r="G4113">
        <v>-380.70690000000002</v>
      </c>
      <c r="H4113" s="1">
        <v>-4.6594639999999999E-6</v>
      </c>
      <c r="I4113">
        <v>135.72370000000001</v>
      </c>
      <c r="J4113">
        <v>-371.5068</v>
      </c>
      <c r="K4113">
        <v>1.1123369999999999</v>
      </c>
      <c r="L4113">
        <v>138.3152</v>
      </c>
      <c r="M4113">
        <v>-0.99060009999999998</v>
      </c>
      <c r="N4113">
        <v>0</v>
      </c>
      <c r="O4113">
        <v>-0.136013299999999</v>
      </c>
      <c r="P4113">
        <v>-0.95820950000000005</v>
      </c>
      <c r="Q4113">
        <v>9.6199740000000006E-2</v>
      </c>
      <c r="R4113">
        <v>-0.26940740000000002</v>
      </c>
      <c r="S4113">
        <v>-2.9376530000000001</v>
      </c>
      <c r="T4113">
        <v>-0.33956720000000001</v>
      </c>
      <c r="U4113">
        <v>-0.80897519999999901</v>
      </c>
      <c r="V4113">
        <v>-0.137262</v>
      </c>
      <c r="W4113">
        <v>0.1096731</v>
      </c>
      <c r="X4113">
        <v>0.98444449999999994</v>
      </c>
      <c r="Y4113">
        <v>-0.1319061</v>
      </c>
      <c r="Z4113">
        <v>7.8211329999999992E-3</v>
      </c>
      <c r="AA4113">
        <v>0.99123139999999998</v>
      </c>
      <c r="AB4113">
        <v>44</v>
      </c>
      <c r="AC4113">
        <v>-9.2001000000000097</v>
      </c>
      <c r="AD4113">
        <v>-1.1123416594640001</v>
      </c>
      <c r="AE4113">
        <v>-2.5914999999999901</v>
      </c>
      <c r="AF4113">
        <v>-1.29835923987345</v>
      </c>
      <c r="AG4113">
        <v>-1.1123416594640001</v>
      </c>
      <c r="AH4113">
        <v>9.3405967274803103</v>
      </c>
      <c r="AI4113">
        <v>96.727110682629998</v>
      </c>
      <c r="AJ4113">
        <v>97.913506383829798</v>
      </c>
      <c r="AK4113">
        <v>9.4957773725250991</v>
      </c>
      <c r="AL4113">
        <v>83.703528493960306</v>
      </c>
      <c r="AM4113">
        <v>97.937628673933403</v>
      </c>
      <c r="AN4113">
        <v>1.0000000095439201</v>
      </c>
    </row>
    <row r="4114" spans="1:40" x14ac:dyDescent="0.25">
      <c r="A4114" t="str">
        <f>"20190312151620582"</f>
        <v>20190312151620582</v>
      </c>
      <c r="B4114" t="str">
        <f>"1552374980572184"</f>
        <v>1552374980572184</v>
      </c>
      <c r="C4114" t="s">
        <v>40</v>
      </c>
      <c r="D4114">
        <v>4.5862980000000002</v>
      </c>
      <c r="E4114">
        <v>0.50511620000000002</v>
      </c>
      <c r="F4114" t="s">
        <v>43</v>
      </c>
      <c r="G4114">
        <v>-381.10879999999997</v>
      </c>
      <c r="H4114" s="1">
        <v>-4.4988809999999999E-6</v>
      </c>
      <c r="I4114">
        <v>135.65710000000001</v>
      </c>
      <c r="J4114">
        <v>-371.77120000000002</v>
      </c>
      <c r="K4114">
        <v>1.112236</v>
      </c>
      <c r="L4114">
        <v>138.27809999999999</v>
      </c>
      <c r="M4114">
        <v>-0.99045490000000003</v>
      </c>
      <c r="N4114">
        <v>0</v>
      </c>
      <c r="O4114">
        <v>-0.13706740000000001</v>
      </c>
      <c r="P4114">
        <v>-0.95789930000000001</v>
      </c>
      <c r="Q4114">
        <v>9.6187400000000006E-2</v>
      </c>
      <c r="R4114">
        <v>-0.2705129</v>
      </c>
      <c r="S4114">
        <v>-2.9364620000000001</v>
      </c>
      <c r="T4114">
        <v>-0.3401767</v>
      </c>
      <c r="U4114">
        <v>-0.81286619999999998</v>
      </c>
      <c r="V4114">
        <v>-0.13732320000000001</v>
      </c>
      <c r="W4114">
        <v>0.1096906</v>
      </c>
      <c r="X4114">
        <v>0.98443400000000003</v>
      </c>
      <c r="Y4114">
        <v>-0.1321793</v>
      </c>
      <c r="Z4114">
        <v>7.9384929999999996E-3</v>
      </c>
      <c r="AA4114">
        <v>0.99119400000000002</v>
      </c>
      <c r="AB4114">
        <v>44</v>
      </c>
      <c r="AC4114">
        <v>-9.3375999999999504</v>
      </c>
      <c r="AD4114">
        <v>-1.112240498881</v>
      </c>
      <c r="AE4114">
        <v>-2.62099999999998</v>
      </c>
      <c r="AF4114">
        <v>-1.2991545860464699</v>
      </c>
      <c r="AG4114">
        <v>-1.112240498881</v>
      </c>
      <c r="AH4114">
        <v>9.4840087637793804</v>
      </c>
      <c r="AI4114">
        <v>96.627495923052194</v>
      </c>
      <c r="AJ4114">
        <v>97.800041432287699</v>
      </c>
      <c r="AK4114">
        <v>9.6369758636846594</v>
      </c>
      <c r="AL4114">
        <v>83.702519637670406</v>
      </c>
      <c r="AM4114">
        <v>97.941206246423604</v>
      </c>
      <c r="AN4114">
        <v>0.99999999467129996</v>
      </c>
    </row>
    <row r="4115" spans="1:40" x14ac:dyDescent="0.25">
      <c r="A4115" t="str">
        <f>"20190312151620597"</f>
        <v>20190312151620597</v>
      </c>
      <c r="B4115" t="str">
        <f>"1552374980591704"</f>
        <v>1552374980591704</v>
      </c>
      <c r="C4115" t="s">
        <v>40</v>
      </c>
      <c r="D4115">
        <v>4.5955300000000001</v>
      </c>
      <c r="E4115">
        <v>0.50548879999999996</v>
      </c>
      <c r="F4115" t="s">
        <v>43</v>
      </c>
      <c r="G4115">
        <v>-381.3922</v>
      </c>
      <c r="H4115" s="1">
        <v>-4.385975E-6</v>
      </c>
      <c r="I4115">
        <v>135.60810000000001</v>
      </c>
      <c r="J4115">
        <v>-372.05020000000002</v>
      </c>
      <c r="K4115">
        <v>1.112125</v>
      </c>
      <c r="L4115">
        <v>138.23869999999999</v>
      </c>
      <c r="M4115">
        <v>-0.99030859999999998</v>
      </c>
      <c r="N4115">
        <v>0</v>
      </c>
      <c r="O4115">
        <v>-0.1381193</v>
      </c>
      <c r="P4115">
        <v>-0.95756220000000003</v>
      </c>
      <c r="Q4115">
        <v>9.6026059999999996E-2</v>
      </c>
      <c r="R4115">
        <v>-0.27176050000000002</v>
      </c>
      <c r="S4115">
        <v>-2.9358520000000001</v>
      </c>
      <c r="T4115">
        <v>-0.33940419999999999</v>
      </c>
      <c r="U4115">
        <v>-0.81471249999999995</v>
      </c>
      <c r="V4115">
        <v>-0.13752700000000001</v>
      </c>
      <c r="W4115">
        <v>0.1095617</v>
      </c>
      <c r="X4115">
        <v>0.98441990000000001</v>
      </c>
      <c r="Y4115">
        <v>-0.1317671</v>
      </c>
      <c r="Z4115">
        <v>8.0616850000000007E-3</v>
      </c>
      <c r="AA4115">
        <v>0.99124789999999996</v>
      </c>
      <c r="AB4115">
        <v>44</v>
      </c>
      <c r="AC4115">
        <v>-9.3419999999999792</v>
      </c>
      <c r="AD4115">
        <v>-1.1121293859749899</v>
      </c>
      <c r="AE4115">
        <v>-2.6305999999999798</v>
      </c>
      <c r="AF4115">
        <v>-1.29789225871603</v>
      </c>
      <c r="AG4115">
        <v>-1.1121293859749899</v>
      </c>
      <c r="AH4115">
        <v>9.4911914493626099</v>
      </c>
      <c r="AI4115">
        <v>96.622077941485998</v>
      </c>
      <c r="AJ4115">
        <v>97.786730830385196</v>
      </c>
      <c r="AK4115">
        <v>9.6438618413391897</v>
      </c>
      <c r="AL4115">
        <v>83.709949821143198</v>
      </c>
      <c r="AM4115">
        <v>97.952953480641895</v>
      </c>
      <c r="AN4115">
        <v>0.99999999067595002</v>
      </c>
    </row>
    <row r="4116" spans="1:40" x14ac:dyDescent="0.25">
      <c r="A4116" t="str">
        <f>"20190312151620615"</f>
        <v>20190312151620615</v>
      </c>
      <c r="B4116" t="str">
        <f>"1552374980612200"</f>
        <v>1552374980612200</v>
      </c>
      <c r="C4116" t="s">
        <v>40</v>
      </c>
      <c r="D4116">
        <v>4.7269329999999998</v>
      </c>
      <c r="E4116">
        <v>0.50597899999999996</v>
      </c>
      <c r="F4116" t="s">
        <v>43</v>
      </c>
      <c r="G4116">
        <v>-381.64729999999997</v>
      </c>
      <c r="H4116" s="1">
        <v>-4.2828160000000003E-6</v>
      </c>
      <c r="I4116">
        <v>135.5728</v>
      </c>
      <c r="J4116">
        <v>-372.3766</v>
      </c>
      <c r="K4116">
        <v>1.1119950000000001</v>
      </c>
      <c r="L4116">
        <v>138.19239999999999</v>
      </c>
      <c r="M4116">
        <v>-0.99014970000000002</v>
      </c>
      <c r="N4116">
        <v>0</v>
      </c>
      <c r="O4116">
        <v>-0.13925570000000001</v>
      </c>
      <c r="P4116">
        <v>-0.95720660000000002</v>
      </c>
      <c r="Q4116">
        <v>9.6048149999999999E-2</v>
      </c>
      <c r="R4116">
        <v>-0.27300340000000001</v>
      </c>
      <c r="S4116">
        <v>-2.935638</v>
      </c>
      <c r="T4116">
        <v>-0.34018890000000002</v>
      </c>
      <c r="U4116">
        <v>-0.81546019999999997</v>
      </c>
      <c r="V4116">
        <v>-0.1376396</v>
      </c>
      <c r="W4116">
        <v>0.1096242</v>
      </c>
      <c r="X4116">
        <v>0.98439719999999997</v>
      </c>
      <c r="Y4116">
        <v>-0.13089489999999901</v>
      </c>
      <c r="Z4116">
        <v>8.2565769999999993E-3</v>
      </c>
      <c r="AA4116">
        <v>0.99136190000000002</v>
      </c>
      <c r="AB4116">
        <v>44</v>
      </c>
      <c r="AC4116">
        <v>-9.2706999999999695</v>
      </c>
      <c r="AD4116">
        <v>-1.1119992828159999</v>
      </c>
      <c r="AE4116">
        <v>-2.6195999999999899</v>
      </c>
      <c r="AF4116">
        <v>-1.2858044874063099</v>
      </c>
      <c r="AG4116">
        <v>-1.1119992828159999</v>
      </c>
      <c r="AH4116">
        <v>9.41967975751359</v>
      </c>
      <c r="AI4116">
        <v>96.671343285481996</v>
      </c>
      <c r="AJ4116">
        <v>97.772944987951206</v>
      </c>
      <c r="AK4116">
        <v>9.5718442485724093</v>
      </c>
      <c r="AL4116">
        <v>83.706347105001399</v>
      </c>
      <c r="AM4116">
        <v>97.959562721109606</v>
      </c>
      <c r="AN4116">
        <v>0.99999998604081897</v>
      </c>
    </row>
    <row r="4117" spans="1:40" x14ac:dyDescent="0.25">
      <c r="A4117" t="str">
        <f>"20190312151620636"</f>
        <v>20190312151620636</v>
      </c>
      <c r="B4117" t="str">
        <f>"1552374980631723"</f>
        <v>1552374980631723</v>
      </c>
      <c r="C4117" t="s">
        <v>40</v>
      </c>
      <c r="D4117">
        <v>4.5931360000000003</v>
      </c>
      <c r="E4117">
        <v>0.50633809999999901</v>
      </c>
      <c r="F4117" t="s">
        <v>43</v>
      </c>
      <c r="G4117">
        <v>-381.96460000000002</v>
      </c>
      <c r="H4117" s="1">
        <v>-4.1545029999999997E-6</v>
      </c>
      <c r="I4117">
        <v>135.52869999999999</v>
      </c>
      <c r="J4117">
        <v>-372.8039</v>
      </c>
      <c r="K4117">
        <v>1.11182</v>
      </c>
      <c r="L4117">
        <v>138.1311</v>
      </c>
      <c r="M4117">
        <v>-0.98996260000000003</v>
      </c>
      <c r="N4117">
        <v>0</v>
      </c>
      <c r="O4117">
        <v>-0.1405795</v>
      </c>
      <c r="P4117">
        <v>-0.95681609999999995</v>
      </c>
      <c r="Q4117">
        <v>9.6035999999999996E-2</v>
      </c>
      <c r="R4117">
        <v>-0.27437270000000002</v>
      </c>
      <c r="S4117">
        <v>-2.93573</v>
      </c>
      <c r="T4117">
        <v>-0.34048129999999999</v>
      </c>
      <c r="U4117">
        <v>-0.81555180000000005</v>
      </c>
      <c r="V4117">
        <v>-0.13768269999999999</v>
      </c>
      <c r="W4117">
        <v>0.109666899999999</v>
      </c>
      <c r="X4117">
        <v>0.98438639999999999</v>
      </c>
      <c r="Y4117">
        <v>-0.129606</v>
      </c>
      <c r="Z4117">
        <v>8.4841529999999995E-3</v>
      </c>
      <c r="AA4117">
        <v>0.99152929999999995</v>
      </c>
      <c r="AB4117">
        <v>44</v>
      </c>
      <c r="AC4117">
        <v>-9.1607000000000198</v>
      </c>
      <c r="AD4117">
        <v>-1.1118241545029901</v>
      </c>
      <c r="AE4117">
        <v>-2.60240000000001</v>
      </c>
      <c r="AF4117">
        <v>-1.2712802408534001</v>
      </c>
      <c r="AG4117">
        <v>-1.1118241545029901</v>
      </c>
      <c r="AH4117">
        <v>9.3087107275915297</v>
      </c>
      <c r="AI4117">
        <v>96.749029417958198</v>
      </c>
      <c r="AJ4117">
        <v>97.776710874062701</v>
      </c>
      <c r="AK4117">
        <v>9.4606766043078601</v>
      </c>
      <c r="AL4117">
        <v>83.703885631478101</v>
      </c>
      <c r="AM4117">
        <v>97.9621094264986</v>
      </c>
      <c r="AN4117">
        <v>0.99999996966992899</v>
      </c>
    </row>
    <row r="4118" spans="1:40" x14ac:dyDescent="0.25">
      <c r="A4118" t="str">
        <f>"20190312151620649"</f>
        <v>20190312151620649</v>
      </c>
      <c r="B4118" t="str">
        <f>"1552374980642456"</f>
        <v>1552374980642456</v>
      </c>
      <c r="C4118" t="s">
        <v>40</v>
      </c>
      <c r="D4118">
        <v>4.6170289999999996</v>
      </c>
      <c r="E4118">
        <v>0.50652180000000002</v>
      </c>
      <c r="F4118" t="s">
        <v>43</v>
      </c>
      <c r="G4118">
        <v>-382.34899999999999</v>
      </c>
      <c r="H4118" s="1">
        <v>-3.9991030000000003E-6</v>
      </c>
      <c r="I4118">
        <v>135.4753</v>
      </c>
      <c r="J4118">
        <v>-373.05990000000003</v>
      </c>
      <c r="K4118">
        <v>1.1117140000000001</v>
      </c>
      <c r="L4118">
        <v>138.0942</v>
      </c>
      <c r="M4118">
        <v>-0.98985999999999996</v>
      </c>
      <c r="N4118">
        <v>0</v>
      </c>
      <c r="O4118">
        <v>-0.1413015</v>
      </c>
      <c r="P4118">
        <v>-0.95656949999999996</v>
      </c>
      <c r="Q4118">
        <v>9.6020099999999997E-2</v>
      </c>
      <c r="R4118">
        <v>-0.27523740000000002</v>
      </c>
      <c r="S4118">
        <v>-2.9355470000000001</v>
      </c>
      <c r="T4118">
        <v>-0.34193869999999998</v>
      </c>
      <c r="U4118">
        <v>-0.81677250000000001</v>
      </c>
      <c r="V4118">
        <v>-0.13782510000000001</v>
      </c>
      <c r="W4118">
        <v>0.1096835</v>
      </c>
      <c r="X4118">
        <v>0.98436469999999998</v>
      </c>
      <c r="Y4118">
        <v>-0.1292884</v>
      </c>
      <c r="Z4118">
        <v>8.6191489999999996E-3</v>
      </c>
      <c r="AA4118">
        <v>0.99156960000000005</v>
      </c>
      <c r="AB4118">
        <v>44</v>
      </c>
      <c r="AC4118">
        <v>-9.2890999999999604</v>
      </c>
      <c r="AD4118">
        <v>-1.111717999103</v>
      </c>
      <c r="AE4118">
        <v>-2.6188999999999898</v>
      </c>
      <c r="AF4118">
        <v>-1.2631553720880999</v>
      </c>
      <c r="AG4118">
        <v>-1.111717999103</v>
      </c>
      <c r="AH4118">
        <v>9.4407076643719492</v>
      </c>
      <c r="AI4118">
        <v>96.657315185260202</v>
      </c>
      <c r="AJ4118">
        <v>97.620845297738697</v>
      </c>
      <c r="AK4118">
        <v>9.5894963166839897</v>
      </c>
      <c r="AL4118">
        <v>83.702929228435707</v>
      </c>
      <c r="AM4118">
        <v>97.970412007581103</v>
      </c>
      <c r="AN4118">
        <v>1.00000004548417</v>
      </c>
    </row>
    <row r="4119" spans="1:40" x14ac:dyDescent="0.25">
      <c r="A4119" t="str">
        <f>"20190312151620669"</f>
        <v>20190312151620669</v>
      </c>
      <c r="B4119" t="str">
        <f>"1552374980661979"</f>
        <v>1552374980661979</v>
      </c>
      <c r="C4119" t="s">
        <v>40</v>
      </c>
      <c r="D4119">
        <v>4.6228400000000001</v>
      </c>
      <c r="E4119">
        <v>0.50679289999999999</v>
      </c>
      <c r="F4119" t="s">
        <v>43</v>
      </c>
      <c r="G4119">
        <v>-382.58620000000002</v>
      </c>
      <c r="H4119" s="1">
        <v>-3.9035939999999996E-6</v>
      </c>
      <c r="I4119">
        <v>135.43979999999999</v>
      </c>
      <c r="J4119">
        <v>-373.4418</v>
      </c>
      <c r="K4119">
        <v>1.111556</v>
      </c>
      <c r="L4119">
        <v>138.03890000000001</v>
      </c>
      <c r="M4119">
        <v>-0.98972079999999996</v>
      </c>
      <c r="N4119">
        <v>0</v>
      </c>
      <c r="O4119">
        <v>-0.14227329999999999</v>
      </c>
      <c r="P4119">
        <v>-0.95606040000000003</v>
      </c>
      <c r="Q4119">
        <v>9.6511009999999994E-2</v>
      </c>
      <c r="R4119">
        <v>-0.2768292</v>
      </c>
      <c r="S4119">
        <v>-2.9353030000000002</v>
      </c>
      <c r="T4119">
        <v>-0.34255059999999998</v>
      </c>
      <c r="U4119">
        <v>-0.81785580000000002</v>
      </c>
      <c r="V4119">
        <v>-0.13846410000000001</v>
      </c>
      <c r="W4119">
        <v>0.1102181</v>
      </c>
      <c r="X4119">
        <v>0.98421530000000002</v>
      </c>
      <c r="Y4119">
        <v>-0.12868569999999999</v>
      </c>
      <c r="Z4119">
        <v>8.7780730000000008E-3</v>
      </c>
      <c r="AA4119">
        <v>0.99164660000000004</v>
      </c>
      <c r="AB4119">
        <v>44</v>
      </c>
      <c r="AC4119">
        <v>-9.1444000000000099</v>
      </c>
      <c r="AD4119">
        <v>-1.111559903594</v>
      </c>
      <c r="AE4119">
        <v>-2.5991000000000199</v>
      </c>
      <c r="AF4119">
        <v>-1.2543645238350001</v>
      </c>
      <c r="AG4119">
        <v>-1.111559903594</v>
      </c>
      <c r="AH4119">
        <v>9.2941152772011595</v>
      </c>
      <c r="AI4119">
        <v>96.759371604438599</v>
      </c>
      <c r="AJ4119">
        <v>97.686382977208893</v>
      </c>
      <c r="AK4119">
        <v>9.4440232191496492</v>
      </c>
      <c r="AL4119">
        <v>83.672112069652499</v>
      </c>
      <c r="AM4119">
        <v>98.008086811840101</v>
      </c>
      <c r="AN4119">
        <v>1.0000000466552501</v>
      </c>
    </row>
    <row r="4120" spans="1:40" x14ac:dyDescent="0.25">
      <c r="A4120" t="str">
        <f>"20190312151620692"</f>
        <v>20190312151620692</v>
      </c>
      <c r="B4120" t="str">
        <f>"1552374980682471"</f>
        <v>1552374980682471</v>
      </c>
      <c r="C4120" t="s">
        <v>40</v>
      </c>
      <c r="D4120">
        <v>4.6359209999999997</v>
      </c>
      <c r="E4120">
        <v>0.50716720000000004</v>
      </c>
      <c r="F4120" t="s">
        <v>43</v>
      </c>
      <c r="G4120">
        <v>-382.99579999999997</v>
      </c>
      <c r="H4120" s="1">
        <v>-3.7407550000000001E-6</v>
      </c>
      <c r="I4120">
        <v>135.3674</v>
      </c>
      <c r="J4120">
        <v>-373.87720000000002</v>
      </c>
      <c r="K4120">
        <v>1.1113740000000001</v>
      </c>
      <c r="L4120">
        <v>137.97550000000001</v>
      </c>
      <c r="M4120">
        <v>-0.98958330000000005</v>
      </c>
      <c r="N4120">
        <v>0</v>
      </c>
      <c r="O4120">
        <v>-0.14322760000000001</v>
      </c>
      <c r="P4120">
        <v>-0.95569510000000002</v>
      </c>
      <c r="Q4120">
        <v>9.6772960000000005E-2</v>
      </c>
      <c r="R4120">
        <v>-0.27799679999999999</v>
      </c>
      <c r="S4120">
        <v>-2.9347530000000002</v>
      </c>
      <c r="T4120">
        <v>-0.34144829999999998</v>
      </c>
      <c r="U4120">
        <v>-0.82060239999999995</v>
      </c>
      <c r="V4120">
        <v>-0.1386722</v>
      </c>
      <c r="W4120">
        <v>0.1105361</v>
      </c>
      <c r="X4120">
        <v>0.98415030000000003</v>
      </c>
      <c r="Y4120">
        <v>-0.12864389999999901</v>
      </c>
      <c r="Z4120">
        <v>8.8593309999999998E-3</v>
      </c>
      <c r="AA4120">
        <v>0.99165130000000001</v>
      </c>
      <c r="AB4120">
        <v>44</v>
      </c>
      <c r="AC4120">
        <v>-9.1185999999999492</v>
      </c>
      <c r="AD4120">
        <v>-1.1113777407550001</v>
      </c>
      <c r="AE4120">
        <v>-2.6080999999999999</v>
      </c>
      <c r="AF4120">
        <v>-1.25776046837707</v>
      </c>
      <c r="AG4120">
        <v>-1.1113777407550001</v>
      </c>
      <c r="AH4120">
        <v>9.2708540644946194</v>
      </c>
      <c r="AI4120">
        <v>96.774444950473693</v>
      </c>
      <c r="AJ4120">
        <v>97.7260465538387</v>
      </c>
      <c r="AK4120">
        <v>9.4215634033643401</v>
      </c>
      <c r="AL4120">
        <v>83.6537797706047</v>
      </c>
      <c r="AM4120">
        <v>98.020488622416707</v>
      </c>
      <c r="AN4120">
        <v>1.00000001072307</v>
      </c>
    </row>
    <row r="4121" spans="1:40" x14ac:dyDescent="0.25">
      <c r="A4121" t="str">
        <f>"20190312151620705"</f>
        <v>20190312151620705</v>
      </c>
      <c r="B4121" t="str">
        <f>"1552374980701991"</f>
        <v>1552374980701991</v>
      </c>
      <c r="C4121" t="s">
        <v>40</v>
      </c>
      <c r="D4121">
        <v>4.6557959999999996</v>
      </c>
      <c r="E4121">
        <v>0.50751859999999904</v>
      </c>
      <c r="F4121" t="s">
        <v>43</v>
      </c>
      <c r="G4121">
        <v>-383.41019999999997</v>
      </c>
      <c r="H4121" s="1">
        <v>-3.5738450000000002E-6</v>
      </c>
      <c r="I4121">
        <v>135.30619999999999</v>
      </c>
      <c r="J4121">
        <v>-374.13479999999998</v>
      </c>
      <c r="K4121">
        <v>1.1112569999999999</v>
      </c>
      <c r="L4121">
        <v>137.93770000000001</v>
      </c>
      <c r="M4121">
        <v>-0.98951560000000005</v>
      </c>
      <c r="N4121">
        <v>0</v>
      </c>
      <c r="O4121">
        <v>-0.14369470000000001</v>
      </c>
      <c r="P4121">
        <v>-0.95551010000000003</v>
      </c>
      <c r="Q4121">
        <v>9.6708359999999993E-2</v>
      </c>
      <c r="R4121">
        <v>-0.27865450000000003</v>
      </c>
      <c r="S4121">
        <v>-2.9346920000000001</v>
      </c>
      <c r="T4121">
        <v>-0.34213830000000001</v>
      </c>
      <c r="U4121">
        <v>-0.82170100000000001</v>
      </c>
      <c r="V4121">
        <v>-0.13885339999999999</v>
      </c>
      <c r="W4121">
        <v>0.1105048</v>
      </c>
      <c r="X4121">
        <v>0.98412820000000001</v>
      </c>
      <c r="Y4121">
        <v>-0.12852939999999999</v>
      </c>
      <c r="Z4121">
        <v>8.9356090000000006E-3</v>
      </c>
      <c r="AA4121">
        <v>0.99166540000000003</v>
      </c>
      <c r="AB4121">
        <v>44</v>
      </c>
      <c r="AC4121">
        <v>-9.2753999999999905</v>
      </c>
      <c r="AD4121">
        <v>-1.1112605738450001</v>
      </c>
      <c r="AE4121">
        <v>-2.6315000000000102</v>
      </c>
      <c r="AF4121">
        <v>-1.2545522951125201</v>
      </c>
      <c r="AG4121">
        <v>-1.1112605738450001</v>
      </c>
      <c r="AH4121">
        <v>9.4319930817809805</v>
      </c>
      <c r="AI4121">
        <v>96.661376002887394</v>
      </c>
      <c r="AJ4121">
        <v>97.576457836804096</v>
      </c>
      <c r="AK4121">
        <v>9.5797335567811501</v>
      </c>
      <c r="AL4121">
        <v>83.655583768831605</v>
      </c>
      <c r="AM4121">
        <v>98.031010176872201</v>
      </c>
      <c r="AN4121">
        <v>0.99999994577491802</v>
      </c>
    </row>
    <row r="4122" spans="1:40" x14ac:dyDescent="0.25">
      <c r="A4122" t="str">
        <f>"20190312151620726"</f>
        <v>20190312151620726</v>
      </c>
      <c r="B4122" t="str">
        <f>"1552374980722488"</f>
        <v>1552374980722488</v>
      </c>
      <c r="C4122" t="s">
        <v>40</v>
      </c>
      <c r="D4122">
        <v>4.6325580000000004</v>
      </c>
      <c r="E4122">
        <v>0.50772689999999998</v>
      </c>
      <c r="F4122" t="s">
        <v>43</v>
      </c>
      <c r="G4122">
        <v>-383.63229999999999</v>
      </c>
      <c r="H4122" s="1">
        <v>-3.4829620000000002E-6</v>
      </c>
      <c r="I4122">
        <v>135.28120000000001</v>
      </c>
      <c r="J4122">
        <v>-374.52699999999999</v>
      </c>
      <c r="K4122">
        <v>1.1110850000000001</v>
      </c>
      <c r="L4122">
        <v>137.8802</v>
      </c>
      <c r="M4122">
        <v>-0.98942470000000005</v>
      </c>
      <c r="N4122">
        <v>0</v>
      </c>
      <c r="O4122">
        <v>-0.14431859999999999</v>
      </c>
      <c r="P4122">
        <v>-0.95532729999999999</v>
      </c>
      <c r="Q4122">
        <v>9.6739790000000006E-2</v>
      </c>
      <c r="R4122">
        <v>-0.27926960000000001</v>
      </c>
      <c r="S4122">
        <v>-2.935028</v>
      </c>
      <c r="T4122">
        <v>-0.34341739999999998</v>
      </c>
      <c r="U4122">
        <v>-0.82092289999999901</v>
      </c>
      <c r="V4122">
        <v>-0.13882059999999999</v>
      </c>
      <c r="W4122">
        <v>0.1105896</v>
      </c>
      <c r="X4122">
        <v>0.98412330000000003</v>
      </c>
      <c r="Y4122">
        <v>-0.1276408</v>
      </c>
      <c r="Z4122">
        <v>9.0892109999999998E-3</v>
      </c>
      <c r="AA4122">
        <v>0.99177879999999996</v>
      </c>
      <c r="AB4122">
        <v>44</v>
      </c>
      <c r="AC4122">
        <v>-9.1052999999999997</v>
      </c>
      <c r="AD4122">
        <v>-1.111088482962</v>
      </c>
      <c r="AE4122">
        <v>-2.5989999999999802</v>
      </c>
      <c r="AF4122">
        <v>-1.24050317728773</v>
      </c>
      <c r="AG4122">
        <v>-1.111088482962</v>
      </c>
      <c r="AH4122">
        <v>9.2576173211835293</v>
      </c>
      <c r="AI4122">
        <v>96.783777974574505</v>
      </c>
      <c r="AJ4122">
        <v>97.632063408586404</v>
      </c>
      <c r="AK4122">
        <v>9.4062130645286306</v>
      </c>
      <c r="AL4122">
        <v>83.650695112713095</v>
      </c>
      <c r="AM4122">
        <v>98.029177286825799</v>
      </c>
      <c r="AN4122">
        <v>0.99999994410770299</v>
      </c>
    </row>
    <row r="4123" spans="1:40" x14ac:dyDescent="0.25">
      <c r="A4123" t="str">
        <f>"20190312151620749"</f>
        <v>20190312151620749</v>
      </c>
      <c r="B4123" t="str">
        <f>"1552374980742007"</f>
        <v>1552374980742007</v>
      </c>
      <c r="C4123" t="s">
        <v>40</v>
      </c>
      <c r="D4123">
        <v>4.7820229999999997</v>
      </c>
      <c r="E4123">
        <v>0.50783880000000003</v>
      </c>
      <c r="F4123" t="s">
        <v>43</v>
      </c>
      <c r="G4123">
        <v>-383.99950000000001</v>
      </c>
      <c r="H4123" s="1">
        <v>-3.334369E-6</v>
      </c>
      <c r="I4123">
        <v>135.2311</v>
      </c>
      <c r="J4123">
        <v>-374.97390000000001</v>
      </c>
      <c r="K4123">
        <v>1.1109039999999999</v>
      </c>
      <c r="L4123">
        <v>137.81440000000001</v>
      </c>
      <c r="M4123">
        <v>-0.98934089999999997</v>
      </c>
      <c r="N4123">
        <v>0</v>
      </c>
      <c r="O4123">
        <v>-0.14489389999999999</v>
      </c>
      <c r="P4123">
        <v>-0.95510300000000004</v>
      </c>
      <c r="Q4123">
        <v>9.6565189999999995E-2</v>
      </c>
      <c r="R4123">
        <v>-0.28009620000000002</v>
      </c>
      <c r="S4123">
        <v>-2.9352109999999998</v>
      </c>
      <c r="T4123">
        <v>-0.34429539999999997</v>
      </c>
      <c r="U4123">
        <v>-0.82086179999999997</v>
      </c>
      <c r="V4123">
        <v>-0.13904629999999901</v>
      </c>
      <c r="W4123">
        <v>0.1104726</v>
      </c>
      <c r="X4123">
        <v>0.9841046</v>
      </c>
      <c r="Y4123">
        <v>-0.12703680000000001</v>
      </c>
      <c r="Z4123">
        <v>9.2112649999999997E-3</v>
      </c>
      <c r="AA4123">
        <v>0.9918553</v>
      </c>
      <c r="AB4123">
        <v>44</v>
      </c>
      <c r="AC4123">
        <v>-9.0255999999999901</v>
      </c>
      <c r="AD4123">
        <v>-1.1109073343689999</v>
      </c>
      <c r="AE4123">
        <v>-2.5832999999999999</v>
      </c>
      <c r="AF4123">
        <v>-1.2309053977732001</v>
      </c>
      <c r="AG4123">
        <v>-1.1109073343689999</v>
      </c>
      <c r="AH4123">
        <v>9.1761880458657306</v>
      </c>
      <c r="AI4123">
        <v>96.842175706372402</v>
      </c>
      <c r="AJ4123">
        <v>97.640120585051903</v>
      </c>
      <c r="AK4123">
        <v>9.3247879470211696</v>
      </c>
      <c r="AL4123">
        <v>83.657440189217496</v>
      </c>
      <c r="AM4123">
        <v>98.042211612215993</v>
      </c>
      <c r="AN4123">
        <v>0.99999996631780397</v>
      </c>
    </row>
    <row r="4124" spans="1:40" x14ac:dyDescent="0.25">
      <c r="A4124" t="str">
        <f>"20190312151620771"</f>
        <v>20190312151620771</v>
      </c>
      <c r="B4124" t="str">
        <f>"1552374980762504"</f>
        <v>1552374980762504</v>
      </c>
      <c r="C4124" t="s">
        <v>40</v>
      </c>
      <c r="D4124">
        <v>4.6433059999999999</v>
      </c>
      <c r="E4124">
        <v>0.50813770000000003</v>
      </c>
      <c r="F4124" t="s">
        <v>43</v>
      </c>
      <c r="G4124">
        <v>-384.36349999999999</v>
      </c>
      <c r="H4124" s="1">
        <v>-3.1865880000000002E-6</v>
      </c>
      <c r="I4124">
        <v>135.18379999999999</v>
      </c>
      <c r="J4124">
        <v>-375.38589999999999</v>
      </c>
      <c r="K4124">
        <v>1.110744</v>
      </c>
      <c r="L4124">
        <v>137.75370000000001</v>
      </c>
      <c r="M4124">
        <v>-0.98927929999999997</v>
      </c>
      <c r="N4124">
        <v>0</v>
      </c>
      <c r="O4124">
        <v>-0.14531279999999999</v>
      </c>
      <c r="P4124">
        <v>-0.95509509999999997</v>
      </c>
      <c r="Q4124">
        <v>9.6149799999999994E-2</v>
      </c>
      <c r="R4124">
        <v>-0.28026450000000003</v>
      </c>
      <c r="S4124">
        <v>-2.9349669999999999</v>
      </c>
      <c r="T4124">
        <v>-0.34724899999999997</v>
      </c>
      <c r="U4124">
        <v>-0.82225040000000005</v>
      </c>
      <c r="V4124">
        <v>-0.1387525</v>
      </c>
      <c r="W4124">
        <v>0.1101091</v>
      </c>
      <c r="X4124">
        <v>0.98418680000000003</v>
      </c>
      <c r="Y4124">
        <v>-0.12707760000000001</v>
      </c>
      <c r="Z4124">
        <v>9.3350429999999995E-3</v>
      </c>
      <c r="AA4124">
        <v>0.99184879999999997</v>
      </c>
      <c r="AB4124">
        <v>43</v>
      </c>
      <c r="AC4124">
        <v>-8.97759999999999</v>
      </c>
      <c r="AD4124">
        <v>-1.1107471865880001</v>
      </c>
      <c r="AE4124">
        <v>-2.5699000000000098</v>
      </c>
      <c r="AF4124">
        <v>-1.2206489161790599</v>
      </c>
      <c r="AG4124">
        <v>-1.1107471865880001</v>
      </c>
      <c r="AH4124">
        <v>9.1266413110283207</v>
      </c>
      <c r="AI4124">
        <v>96.878337963355406</v>
      </c>
      <c r="AJ4124">
        <v>97.617855579634394</v>
      </c>
      <c r="AK4124">
        <v>9.2746603554659099</v>
      </c>
      <c r="AL4124">
        <v>83.678395027578503</v>
      </c>
      <c r="AM4124">
        <v>98.024778762729497</v>
      </c>
      <c r="AN4124">
        <v>0.99999996372664901</v>
      </c>
    </row>
    <row r="4125" spans="1:40" x14ac:dyDescent="0.25">
      <c r="A4125" t="str">
        <f>"20190312151620793"</f>
        <v>20190312151620793</v>
      </c>
      <c r="B4125" t="str">
        <f>"1552374980782024"</f>
        <v>1552374980782024</v>
      </c>
      <c r="C4125" t="s">
        <v>40</v>
      </c>
      <c r="D4125">
        <v>4.687926</v>
      </c>
      <c r="E4125">
        <v>0.50841689999999995</v>
      </c>
      <c r="F4125" t="s">
        <v>43</v>
      </c>
      <c r="G4125">
        <v>-384.7124</v>
      </c>
      <c r="H4125" s="1">
        <v>-3.0435639999999998E-6</v>
      </c>
      <c r="I4125">
        <v>135.14619999999999</v>
      </c>
      <c r="J4125">
        <v>-375.81400000000002</v>
      </c>
      <c r="K4125">
        <v>1.1105969999999901</v>
      </c>
      <c r="L4125">
        <v>137.69040000000001</v>
      </c>
      <c r="M4125">
        <v>-0.98922810000000005</v>
      </c>
      <c r="N4125">
        <v>0</v>
      </c>
      <c r="O4125">
        <v>-0.14566209999999999</v>
      </c>
      <c r="P4125">
        <v>-0.9550419</v>
      </c>
      <c r="Q4125">
        <v>9.5736210000000002E-2</v>
      </c>
      <c r="R4125">
        <v>-0.28058860000000002</v>
      </c>
      <c r="S4125">
        <v>-2.9353940000000001</v>
      </c>
      <c r="T4125">
        <v>-0.34959649999999998</v>
      </c>
      <c r="U4125">
        <v>-0.82064820000000005</v>
      </c>
      <c r="V4125">
        <v>-0.13869300000000001</v>
      </c>
      <c r="W4125">
        <v>0.1097408</v>
      </c>
      <c r="X4125">
        <v>0.98423640000000001</v>
      </c>
      <c r="Y4125">
        <v>-0.12619720000000001</v>
      </c>
      <c r="Z4125">
        <v>9.4884909999999999E-3</v>
      </c>
      <c r="AA4125">
        <v>0.99195979999999995</v>
      </c>
      <c r="AB4125">
        <v>43</v>
      </c>
      <c r="AC4125">
        <v>-8.8983999999999792</v>
      </c>
      <c r="AD4125">
        <v>-1.11060004356399</v>
      </c>
      <c r="AE4125">
        <v>-2.5442000000000098</v>
      </c>
      <c r="AF4125">
        <v>-1.20343333046887</v>
      </c>
      <c r="AG4125">
        <v>-1.11060004356399</v>
      </c>
      <c r="AH4125">
        <v>9.0438730179198092</v>
      </c>
      <c r="AI4125">
        <v>96.940377933661694</v>
      </c>
      <c r="AJ4125">
        <v>97.579601555934701</v>
      </c>
      <c r="AK4125">
        <v>9.1909370252388207</v>
      </c>
      <c r="AL4125">
        <v>83.699626214889904</v>
      </c>
      <c r="AM4125">
        <v>98.020983394524606</v>
      </c>
      <c r="AN4125">
        <v>1.00000004125929</v>
      </c>
    </row>
    <row r="4126" spans="1:40" x14ac:dyDescent="0.25">
      <c r="A4126" t="str">
        <f>"20190312151620816"</f>
        <v>20190312151620816</v>
      </c>
      <c r="B4126" t="str">
        <f>"1552374980812280"</f>
        <v>1552374980812280</v>
      </c>
      <c r="C4126" t="s">
        <v>40</v>
      </c>
      <c r="D4126">
        <v>4.6773600000000002</v>
      </c>
      <c r="E4126">
        <v>0.50877299999999903</v>
      </c>
      <c r="F4126" t="s">
        <v>43</v>
      </c>
      <c r="G4126">
        <v>-385.0745</v>
      </c>
      <c r="H4126" s="1">
        <v>-2.8955909999999998E-6</v>
      </c>
      <c r="I4126">
        <v>135.10480000000001</v>
      </c>
      <c r="J4126">
        <v>-376.2482</v>
      </c>
      <c r="K4126">
        <v>1.110473</v>
      </c>
      <c r="L4126">
        <v>137.62610000000001</v>
      </c>
      <c r="M4126">
        <v>-0.98918649999999997</v>
      </c>
      <c r="N4126">
        <v>0</v>
      </c>
      <c r="O4126">
        <v>-0.1459462</v>
      </c>
      <c r="P4126">
        <v>-0.95500620000000003</v>
      </c>
      <c r="Q4126">
        <v>9.5648200000000003E-2</v>
      </c>
      <c r="R4126">
        <v>-0.28073979999999998</v>
      </c>
      <c r="S4126">
        <v>-2.9356689999999999</v>
      </c>
      <c r="T4126">
        <v>-0.35207699999999997</v>
      </c>
      <c r="U4126">
        <v>-0.81964110000000001</v>
      </c>
      <c r="V4126">
        <v>-0.138531399999999</v>
      </c>
      <c r="W4126">
        <v>0.1096901</v>
      </c>
      <c r="X4126">
        <v>0.98426480000000005</v>
      </c>
      <c r="Y4126">
        <v>-0.1255801</v>
      </c>
      <c r="Z4126">
        <v>9.6239480000000002E-3</v>
      </c>
      <c r="AA4126">
        <v>0.99203680000000005</v>
      </c>
      <c r="AB4126">
        <v>43</v>
      </c>
      <c r="AC4126">
        <v>-8.8262999999999998</v>
      </c>
      <c r="AD4126">
        <v>-1.1104758955909999</v>
      </c>
      <c r="AE4126">
        <v>-2.5212999999999899</v>
      </c>
      <c r="AF4126">
        <v>-1.1886022290390099</v>
      </c>
      <c r="AG4126">
        <v>-1.1104758955909999</v>
      </c>
      <c r="AH4126">
        <v>8.9685305992987292</v>
      </c>
      <c r="AI4126">
        <v>96.997816495317494</v>
      </c>
      <c r="AJ4126">
        <v>97.549432994852594</v>
      </c>
      <c r="AK4126">
        <v>9.1148490434083893</v>
      </c>
      <c r="AL4126">
        <v>83.702548693426394</v>
      </c>
      <c r="AM4126">
        <v>98.011530886694004</v>
      </c>
      <c r="AN4126">
        <v>1.0000000316715001</v>
      </c>
    </row>
    <row r="4127" spans="1:40" x14ac:dyDescent="0.25">
      <c r="A4127" t="str">
        <f>"20190312151620838"</f>
        <v>20190312151620838</v>
      </c>
      <c r="B4127" t="str">
        <f>"1552374980831799"</f>
        <v>1552374980831799</v>
      </c>
      <c r="C4127" t="s">
        <v>40</v>
      </c>
      <c r="D4127">
        <v>4.6811530000000001</v>
      </c>
      <c r="E4127">
        <v>0.50903319999999996</v>
      </c>
      <c r="F4127" t="s">
        <v>43</v>
      </c>
      <c r="G4127">
        <v>-385.45510000000002</v>
      </c>
      <c r="H4127" s="1">
        <v>-2.7446599999999999E-6</v>
      </c>
      <c r="I4127">
        <v>135.06120000000001</v>
      </c>
      <c r="J4127">
        <v>-376.67349999999999</v>
      </c>
      <c r="K4127">
        <v>1.110371</v>
      </c>
      <c r="L4127">
        <v>137.56299999999999</v>
      </c>
      <c r="M4127">
        <v>-0.98915129999999996</v>
      </c>
      <c r="N4127">
        <v>0</v>
      </c>
      <c r="O4127">
        <v>-0.14618410000000001</v>
      </c>
      <c r="P4127">
        <v>-0.95494219999999996</v>
      </c>
      <c r="Q4127">
        <v>9.5530500000000004E-2</v>
      </c>
      <c r="R4127">
        <v>-0.28099740000000001</v>
      </c>
      <c r="S4127">
        <v>-2.93634</v>
      </c>
      <c r="T4127">
        <v>-0.35416350000000002</v>
      </c>
      <c r="U4127">
        <v>-0.81800839999999997</v>
      </c>
      <c r="V4127">
        <v>-0.1385323</v>
      </c>
      <c r="W4127">
        <v>0.1096015</v>
      </c>
      <c r="X4127">
        <v>0.98427450000000005</v>
      </c>
      <c r="Y4127">
        <v>-0.1247793</v>
      </c>
      <c r="Z4127">
        <v>9.7541469999999995E-3</v>
      </c>
      <c r="AA4127">
        <v>0.99213660000000004</v>
      </c>
      <c r="AB4127">
        <v>43</v>
      </c>
      <c r="AC4127">
        <v>-8.7816000000000205</v>
      </c>
      <c r="AD4127">
        <v>-1.1103737446599999</v>
      </c>
      <c r="AE4127">
        <v>-2.50179999999997</v>
      </c>
      <c r="AF4127">
        <v>-1.17369719305305</v>
      </c>
      <c r="AG4127">
        <v>-1.1103737446599999</v>
      </c>
      <c r="AH4127">
        <v>8.9210825931606603</v>
      </c>
      <c r="AI4127">
        <v>97.034895764090393</v>
      </c>
      <c r="AJ4127">
        <v>97.495040304703707</v>
      </c>
      <c r="AK4127">
        <v>9.0662125271694904</v>
      </c>
      <c r="AL4127">
        <v>83.707655623390394</v>
      </c>
      <c r="AM4127">
        <v>98.011504330764694</v>
      </c>
      <c r="AN4127">
        <v>0.99999998914789501</v>
      </c>
    </row>
    <row r="4128" spans="1:40" x14ac:dyDescent="0.25">
      <c r="A4128" t="str">
        <f>"20190312151620860"</f>
        <v>20190312151620860</v>
      </c>
      <c r="B4128" t="str">
        <f>"1552374980852296"</f>
        <v>1552374980852296</v>
      </c>
      <c r="C4128" t="s">
        <v>40</v>
      </c>
      <c r="D4128">
        <v>4.6482760000000001</v>
      </c>
      <c r="E4128">
        <v>0.50922619999999996</v>
      </c>
      <c r="F4128" t="s">
        <v>43</v>
      </c>
      <c r="G4128">
        <v>-385.83479999999997</v>
      </c>
      <c r="H4128" s="1">
        <v>-2.6277459999999998E-6</v>
      </c>
      <c r="I4128">
        <v>135.01499999999999</v>
      </c>
      <c r="J4128">
        <v>-377.08839999999998</v>
      </c>
      <c r="K4128">
        <v>1.1102920000000001</v>
      </c>
      <c r="L4128">
        <v>137.50149999999999</v>
      </c>
      <c r="M4128">
        <v>-0.9891202</v>
      </c>
      <c r="N4128">
        <v>0</v>
      </c>
      <c r="O4128">
        <v>-0.146394</v>
      </c>
      <c r="P4128">
        <v>-0.95483929999999995</v>
      </c>
      <c r="Q4128">
        <v>9.5130850000000003E-2</v>
      </c>
      <c r="R4128">
        <v>-0.28148260000000003</v>
      </c>
      <c r="S4128">
        <v>-2.936798</v>
      </c>
      <c r="T4128">
        <v>-0.35594999999999999</v>
      </c>
      <c r="U4128">
        <v>-0.81680299999999995</v>
      </c>
      <c r="V4128">
        <v>-0.13879620000000001</v>
      </c>
      <c r="W4128">
        <v>0.10922370000000001</v>
      </c>
      <c r="X4128">
        <v>0.98427929999999997</v>
      </c>
      <c r="Y4128">
        <v>-0.1241577</v>
      </c>
      <c r="Z4128">
        <v>9.8634789999999996E-3</v>
      </c>
      <c r="AA4128">
        <v>0.99221349999999997</v>
      </c>
      <c r="AB4128">
        <v>43</v>
      </c>
      <c r="AC4128">
        <v>-8.7463999999999906</v>
      </c>
      <c r="AD4128">
        <v>-1.110294627746</v>
      </c>
      <c r="AE4128">
        <v>-2.4864999999999999</v>
      </c>
      <c r="AF4128">
        <v>-1.1618283925627899</v>
      </c>
      <c r="AG4128">
        <v>-1.110294627746</v>
      </c>
      <c r="AH4128">
        <v>8.8837438632842698</v>
      </c>
      <c r="AI4128">
        <v>97.064373431254893</v>
      </c>
      <c r="AJ4128">
        <v>97.450934164697799</v>
      </c>
      <c r="AK4128">
        <v>9.0279291314568706</v>
      </c>
      <c r="AL4128">
        <v>83.729432596070495</v>
      </c>
      <c r="AM4128">
        <v>98.026528672165199</v>
      </c>
      <c r="AN4128">
        <v>0.99999997109230898</v>
      </c>
    </row>
    <row r="4129" spans="1:40" x14ac:dyDescent="0.25">
      <c r="A4129" t="str">
        <f>"20190312151620882"</f>
        <v>20190312151620882</v>
      </c>
      <c r="B4129" t="str">
        <f>"1552374980871816"</f>
        <v>1552374980871816</v>
      </c>
      <c r="C4129" t="s">
        <v>40</v>
      </c>
      <c r="D4129">
        <v>4.6888959999999997</v>
      </c>
      <c r="E4129">
        <v>0.50938220000000001</v>
      </c>
      <c r="F4129" t="s">
        <v>43</v>
      </c>
      <c r="G4129">
        <v>-386.18709999999999</v>
      </c>
      <c r="H4129" s="1">
        <v>-2.5193129999999999E-6</v>
      </c>
      <c r="I4129">
        <v>134.97200000000001</v>
      </c>
      <c r="J4129">
        <v>-377.52190000000002</v>
      </c>
      <c r="K4129">
        <v>1.110222</v>
      </c>
      <c r="L4129">
        <v>137.43700000000001</v>
      </c>
      <c r="M4129">
        <v>-0.98908949999999995</v>
      </c>
      <c r="N4129">
        <v>0</v>
      </c>
      <c r="O4129">
        <v>-0.1466025</v>
      </c>
      <c r="P4129">
        <v>-0.95466329999999999</v>
      </c>
      <c r="Q4129">
        <v>9.4351370000000004E-2</v>
      </c>
      <c r="R4129">
        <v>-0.2823407</v>
      </c>
      <c r="S4129">
        <v>-2.9369200000000002</v>
      </c>
      <c r="T4129">
        <v>-0.35838940000000002</v>
      </c>
      <c r="U4129">
        <v>-0.81645199999999996</v>
      </c>
      <c r="V4129">
        <v>-0.13944379999999901</v>
      </c>
      <c r="W4129">
        <v>0.108462</v>
      </c>
      <c r="X4129">
        <v>0.98427200000000004</v>
      </c>
      <c r="Y4129">
        <v>-0.123833399999999</v>
      </c>
      <c r="Z4129">
        <v>9.9742010000000002E-3</v>
      </c>
      <c r="AA4129">
        <v>0.99225289999999999</v>
      </c>
      <c r="AB4129">
        <v>43</v>
      </c>
      <c r="AC4129">
        <v>-8.6651999999999703</v>
      </c>
      <c r="AD4129">
        <v>-1.110224519313</v>
      </c>
      <c r="AE4129">
        <v>-2.4649999999999999</v>
      </c>
      <c r="AF4129">
        <v>-1.15041680212568</v>
      </c>
      <c r="AG4129">
        <v>-1.110224519313</v>
      </c>
      <c r="AH4129">
        <v>8.7993353371228409</v>
      </c>
      <c r="AI4129">
        <v>97.1310374364556</v>
      </c>
      <c r="AJ4129">
        <v>97.448549286087299</v>
      </c>
      <c r="AK4129">
        <v>8.9433975466282192</v>
      </c>
      <c r="AL4129">
        <v>83.773335643583593</v>
      </c>
      <c r="AM4129">
        <v>98.063546713302898</v>
      </c>
      <c r="AN4129">
        <v>0.99999997439321897</v>
      </c>
    </row>
    <row r="4130" spans="1:40" x14ac:dyDescent="0.25">
      <c r="A4130" t="str">
        <f>"20190312151620905"</f>
        <v>20190312151620905</v>
      </c>
      <c r="B4130" t="str">
        <f>"1552374980902073"</f>
        <v>1552374980902073</v>
      </c>
      <c r="C4130" t="s">
        <v>40</v>
      </c>
      <c r="D4130">
        <v>4.6940540000000004</v>
      </c>
      <c r="E4130">
        <v>0.50957799999999998</v>
      </c>
      <c r="F4130" t="s">
        <v>43</v>
      </c>
      <c r="G4130">
        <v>-386.54579999999999</v>
      </c>
      <c r="H4130" s="1">
        <v>-2.409877E-6</v>
      </c>
      <c r="I4130">
        <v>134.92449999999999</v>
      </c>
      <c r="J4130">
        <v>-377.95400000000001</v>
      </c>
      <c r="K4130">
        <v>1.1101669999999999</v>
      </c>
      <c r="L4130">
        <v>137.37270000000001</v>
      </c>
      <c r="M4130">
        <v>-0.98905920000000003</v>
      </c>
      <c r="N4130">
        <v>0</v>
      </c>
      <c r="O4130">
        <v>-0.14680770000000001</v>
      </c>
      <c r="P4130">
        <v>-0.95434249999999998</v>
      </c>
      <c r="Q4130">
        <v>9.4104359999999998E-2</v>
      </c>
      <c r="R4130">
        <v>-0.28350530000000002</v>
      </c>
      <c r="S4130">
        <v>-2.936401</v>
      </c>
      <c r="T4130">
        <v>-0.36127189999999998</v>
      </c>
      <c r="U4130">
        <v>-0.81756589999999996</v>
      </c>
      <c r="V4130">
        <v>-0.14042270000000001</v>
      </c>
      <c r="W4130">
        <v>0.1082278</v>
      </c>
      <c r="X4130">
        <v>0.98415859999999999</v>
      </c>
      <c r="Y4130">
        <v>-0.1240247</v>
      </c>
      <c r="Z4130">
        <v>1.0067670000000001E-2</v>
      </c>
      <c r="AA4130">
        <v>0.99222809999999995</v>
      </c>
      <c r="AB4130">
        <v>43</v>
      </c>
      <c r="AC4130">
        <v>-8.5917999999999708</v>
      </c>
      <c r="AD4130">
        <v>-1.1101694098770001</v>
      </c>
      <c r="AE4130">
        <v>-2.4482000000000101</v>
      </c>
      <c r="AF4130">
        <v>-1.14255043235524</v>
      </c>
      <c r="AG4130">
        <v>-1.1101694098770001</v>
      </c>
      <c r="AH4130">
        <v>8.7234327832359195</v>
      </c>
      <c r="AI4130">
        <v>97.191868354015099</v>
      </c>
      <c r="AJ4130">
        <v>97.461832652520997</v>
      </c>
      <c r="AK4130">
        <v>8.8677041635779101</v>
      </c>
      <c r="AL4130">
        <v>83.786833750811795</v>
      </c>
      <c r="AM4130">
        <v>98.120323931180707</v>
      </c>
      <c r="AN4130">
        <v>0.99999997066104396</v>
      </c>
    </row>
    <row r="4131" spans="1:40" x14ac:dyDescent="0.25">
      <c r="A4131" t="str">
        <f>"20190312151620927"</f>
        <v>20190312151620927</v>
      </c>
      <c r="B4131" t="str">
        <f>"1552374980921592"</f>
        <v>1552374980921592</v>
      </c>
      <c r="C4131" t="s">
        <v>40</v>
      </c>
      <c r="D4131">
        <v>4.6422780000000001</v>
      </c>
      <c r="E4131">
        <v>0.50973049999999998</v>
      </c>
      <c r="F4131" t="s">
        <v>43</v>
      </c>
      <c r="G4131">
        <v>-386.9357</v>
      </c>
      <c r="H4131" s="1">
        <v>-2.2925449999999998E-6</v>
      </c>
      <c r="I4131">
        <v>134.86680000000001</v>
      </c>
      <c r="J4131">
        <v>-378.37740000000002</v>
      </c>
      <c r="K4131">
        <v>1.1101209999999999</v>
      </c>
      <c r="L4131">
        <v>137.30959999999999</v>
      </c>
      <c r="M4131">
        <v>-0.98902909999999999</v>
      </c>
      <c r="N4131">
        <v>0</v>
      </c>
      <c r="O4131">
        <v>-0.14701020000000001</v>
      </c>
      <c r="P4131">
        <v>-0.95400439999999997</v>
      </c>
      <c r="Q4131">
        <v>9.3578430000000004E-2</v>
      </c>
      <c r="R4131">
        <v>-0.28481440000000002</v>
      </c>
      <c r="S4131">
        <v>-2.9359739999999999</v>
      </c>
      <c r="T4131">
        <v>-0.3628999</v>
      </c>
      <c r="U4131">
        <v>-0.81910709999999998</v>
      </c>
      <c r="V4131">
        <v>-0.14155299999999901</v>
      </c>
      <c r="W4131">
        <v>0.1077111</v>
      </c>
      <c r="X4131">
        <v>0.98405339999999997</v>
      </c>
      <c r="Y4131">
        <v>-0.1243427</v>
      </c>
      <c r="Z4131">
        <v>1.011808E-2</v>
      </c>
      <c r="AA4131">
        <v>0.99218770000000001</v>
      </c>
      <c r="AB4131">
        <v>43</v>
      </c>
      <c r="AC4131">
        <v>-8.5582999999999707</v>
      </c>
      <c r="AD4131">
        <v>-1.110123292545</v>
      </c>
      <c r="AE4131">
        <v>-2.4427999999999699</v>
      </c>
      <c r="AF4131">
        <v>-1.1402245885350999</v>
      </c>
      <c r="AG4131">
        <v>-1.110123292545</v>
      </c>
      <c r="AH4131">
        <v>8.6892612133121698</v>
      </c>
      <c r="AI4131">
        <v>97.219328847085904</v>
      </c>
      <c r="AJ4131">
        <v>97.475768443998405</v>
      </c>
      <c r="AK4131">
        <v>8.8337843685547597</v>
      </c>
      <c r="AL4131">
        <v>83.816612827603606</v>
      </c>
      <c r="AM4131">
        <v>98.185667596165104</v>
      </c>
      <c r="AN4131">
        <v>1.0000000134618801</v>
      </c>
    </row>
    <row r="4132" spans="1:40" x14ac:dyDescent="0.25">
      <c r="A4132" t="str">
        <f>"20190312151620950"</f>
        <v>20190312151620950</v>
      </c>
      <c r="B4132" t="str">
        <f>"1552374980941651"</f>
        <v>1552374980941651</v>
      </c>
      <c r="C4132" t="s">
        <v>40</v>
      </c>
      <c r="D4132">
        <v>4.6214009999999996</v>
      </c>
      <c r="E4132">
        <v>0.50987499999999997</v>
      </c>
      <c r="F4132" t="s">
        <v>43</v>
      </c>
      <c r="G4132">
        <v>-387.31180000000001</v>
      </c>
      <c r="H4132" s="1">
        <v>-2.1805640000000002E-6</v>
      </c>
      <c r="I4132">
        <v>134.80670000000001</v>
      </c>
      <c r="J4132">
        <v>-378.82089999999999</v>
      </c>
      <c r="K4132">
        <v>1.110087</v>
      </c>
      <c r="L4132">
        <v>137.24340000000001</v>
      </c>
      <c r="M4132">
        <v>-0.98899630000000005</v>
      </c>
      <c r="N4132">
        <v>0</v>
      </c>
      <c r="O4132">
        <v>-0.14722959999999999</v>
      </c>
      <c r="P4132">
        <v>-0.95344070000000003</v>
      </c>
      <c r="Q4132">
        <v>9.4061580000000006E-2</v>
      </c>
      <c r="R4132">
        <v>-0.28653590000000001</v>
      </c>
      <c r="S4132">
        <v>-2.9349669999999999</v>
      </c>
      <c r="T4132">
        <v>-0.36468089999999997</v>
      </c>
      <c r="U4132">
        <v>-0.82220459999999995</v>
      </c>
      <c r="V4132">
        <v>-0.14311199999999999</v>
      </c>
      <c r="W4132">
        <v>0.108197</v>
      </c>
      <c r="X4132">
        <v>0.9837745</v>
      </c>
      <c r="Y4132">
        <v>-0.12517899999999901</v>
      </c>
      <c r="Z4132">
        <v>1.014433E-2</v>
      </c>
      <c r="AA4132">
        <v>0.99208229999999997</v>
      </c>
      <c r="AB4132">
        <v>43</v>
      </c>
      <c r="AC4132">
        <v>-8.4908999999999999</v>
      </c>
      <c r="AD4132">
        <v>-1.1100891805640001</v>
      </c>
      <c r="AE4132">
        <v>-2.4367000000000001</v>
      </c>
      <c r="AF4132">
        <v>-1.1418647656271099</v>
      </c>
      <c r="AG4132">
        <v>-1.1100891805640001</v>
      </c>
      <c r="AH4132">
        <v>8.6209984679005398</v>
      </c>
      <c r="AI4132">
        <v>97.274515024030606</v>
      </c>
      <c r="AJ4132">
        <v>97.544998690020407</v>
      </c>
      <c r="AK4132">
        <v>8.7668562047822594</v>
      </c>
      <c r="AL4132">
        <v>83.788608762851297</v>
      </c>
      <c r="AM4132">
        <v>98.276892476646495</v>
      </c>
      <c r="AN4132">
        <v>0.99999995110162299</v>
      </c>
    </row>
    <row r="4133" spans="1:40" x14ac:dyDescent="0.25">
      <c r="A4133" t="str">
        <f>"20190312151620971"</f>
        <v>20190312151620971</v>
      </c>
      <c r="B4133" t="str">
        <f>"1552374980962147"</f>
        <v>1552374980962147</v>
      </c>
      <c r="C4133" t="s">
        <v>40</v>
      </c>
      <c r="D4133">
        <v>4.6249370000000001</v>
      </c>
      <c r="E4133">
        <v>0.50972839999999997</v>
      </c>
      <c r="F4133" t="s">
        <v>43</v>
      </c>
      <c r="G4133">
        <v>-387.76740000000001</v>
      </c>
      <c r="H4133" s="1">
        <v>-2.0475720000000002E-6</v>
      </c>
      <c r="I4133">
        <v>134.72370000000001</v>
      </c>
      <c r="J4133">
        <v>-379.23200000000003</v>
      </c>
      <c r="K4133">
        <v>1.11007099999999</v>
      </c>
      <c r="L4133">
        <v>137.18199999999999</v>
      </c>
      <c r="M4133">
        <v>-0.98896379999999995</v>
      </c>
      <c r="N4133">
        <v>0</v>
      </c>
      <c r="O4133">
        <v>-0.14744989999999999</v>
      </c>
      <c r="P4133">
        <v>-0.9530151</v>
      </c>
      <c r="Q4133">
        <v>9.3918130000000002E-2</v>
      </c>
      <c r="R4133">
        <v>-0.28799629999999998</v>
      </c>
      <c r="S4133">
        <v>-2.9340519999999999</v>
      </c>
      <c r="T4133">
        <v>-0.3640602</v>
      </c>
      <c r="U4133">
        <v>-0.82632450000000002</v>
      </c>
      <c r="V4133">
        <v>-0.14439440000000001</v>
      </c>
      <c r="W4133">
        <v>0.10805240000000001</v>
      </c>
      <c r="X4133">
        <v>0.98360309999999995</v>
      </c>
      <c r="Y4133">
        <v>-0.12632260000000001</v>
      </c>
      <c r="Z4133">
        <v>1.008477E-2</v>
      </c>
      <c r="AA4133">
        <v>0.99193790000000004</v>
      </c>
      <c r="AB4133">
        <v>43</v>
      </c>
      <c r="AC4133">
        <v>-8.5354000000000294</v>
      </c>
      <c r="AD4133">
        <v>-1.11007304757199</v>
      </c>
      <c r="AE4133">
        <v>-2.4582999999999999</v>
      </c>
      <c r="AF4133">
        <v>-1.1547132791010599</v>
      </c>
      <c r="AG4133">
        <v>-1.11007304757199</v>
      </c>
      <c r="AH4133">
        <v>8.6691963175453495</v>
      </c>
      <c r="AI4133">
        <v>97.233700155744003</v>
      </c>
      <c r="AJ4133">
        <v>97.586983526826501</v>
      </c>
      <c r="AK4133">
        <v>8.8159281825579701</v>
      </c>
      <c r="AL4133">
        <v>83.796943276483901</v>
      </c>
      <c r="AM4133">
        <v>98.351453538610301</v>
      </c>
      <c r="AN4133">
        <v>1.0000000611133599</v>
      </c>
    </row>
    <row r="4134" spans="1:40" x14ac:dyDescent="0.25">
      <c r="A4134" t="str">
        <f>"20190312151620995"</f>
        <v>20190312151620995</v>
      </c>
      <c r="B4134" t="str">
        <f>"1552374980992403"</f>
        <v>1552374980992403</v>
      </c>
      <c r="C4134" t="s">
        <v>40</v>
      </c>
      <c r="D4134">
        <v>4.6154279999999996</v>
      </c>
      <c r="E4134">
        <v>0.49751859999999998</v>
      </c>
      <c r="F4134" t="s">
        <v>43</v>
      </c>
      <c r="G4134">
        <v>-388.15910000000002</v>
      </c>
      <c r="H4134" s="1">
        <v>-1.9342699999999999E-6</v>
      </c>
      <c r="I4134">
        <v>134.64859999999999</v>
      </c>
      <c r="J4134">
        <v>-379.66719999999998</v>
      </c>
      <c r="K4134">
        <v>1.1100749999999999</v>
      </c>
      <c r="L4134">
        <v>137.11689999999999</v>
      </c>
      <c r="M4134">
        <v>-0.98892279999999999</v>
      </c>
      <c r="N4134">
        <v>0</v>
      </c>
      <c r="O4134">
        <v>-0.14772379999999999</v>
      </c>
      <c r="P4134">
        <v>-0.95267559999999996</v>
      </c>
      <c r="Q4134">
        <v>9.3415899999999996E-2</v>
      </c>
      <c r="R4134">
        <v>-0.28928039999999999</v>
      </c>
      <c r="S4134">
        <v>-2.932404</v>
      </c>
      <c r="T4134">
        <v>-0.36464249999999998</v>
      </c>
      <c r="U4134">
        <v>-0.83216859999999904</v>
      </c>
      <c r="V4134">
        <v>-0.14544219999999999</v>
      </c>
      <c r="W4134">
        <v>0.10754379999999999</v>
      </c>
      <c r="X4134">
        <v>0.98350439999999995</v>
      </c>
      <c r="Y4134">
        <v>-0.12801409999999999</v>
      </c>
      <c r="Z4134">
        <v>1.003282E-2</v>
      </c>
      <c r="AA4134">
        <v>0.99172159999999998</v>
      </c>
      <c r="AB4134">
        <v>43</v>
      </c>
      <c r="AC4134">
        <v>-8.4919000000000402</v>
      </c>
      <c r="AD4134">
        <v>-1.1100769342700001</v>
      </c>
      <c r="AE4134">
        <v>-2.4683000000000002</v>
      </c>
      <c r="AF4134">
        <v>-1.16821906341205</v>
      </c>
      <c r="AG4134">
        <v>-1.1100769342700001</v>
      </c>
      <c r="AH4134">
        <v>8.6274355106427798</v>
      </c>
      <c r="AI4134">
        <v>97.266269953706697</v>
      </c>
      <c r="AJ4134">
        <v>97.711373981377406</v>
      </c>
      <c r="AK4134">
        <v>8.7766536943426008</v>
      </c>
      <c r="AL4134">
        <v>83.826254355660694</v>
      </c>
      <c r="AM4134">
        <v>98.412024107539594</v>
      </c>
      <c r="AN4134">
        <v>1.00000000363932</v>
      </c>
    </row>
    <row r="4135" spans="1:40" x14ac:dyDescent="0.25">
      <c r="A4135" t="str">
        <f>"20190312151621017"</f>
        <v>20190312151621017</v>
      </c>
      <c r="B4135" t="str">
        <f>"1552374981011923"</f>
        <v>1552374981011923</v>
      </c>
      <c r="C4135" t="s">
        <v>40</v>
      </c>
      <c r="D4135">
        <v>4.5669069999999996</v>
      </c>
      <c r="E4135">
        <v>0.49775429999999998</v>
      </c>
      <c r="F4135" t="s">
        <v>43</v>
      </c>
      <c r="G4135">
        <v>-390.01190000000003</v>
      </c>
      <c r="H4135" s="1">
        <v>-5.2966880000000001E-6</v>
      </c>
      <c r="I4135">
        <v>133.81219999999999</v>
      </c>
      <c r="J4135">
        <v>-380.09129999999999</v>
      </c>
      <c r="K4135">
        <v>1.1100989999999999</v>
      </c>
      <c r="L4135">
        <v>137.0532</v>
      </c>
      <c r="M4135">
        <v>-0.98887369999999997</v>
      </c>
      <c r="N4135">
        <v>0</v>
      </c>
      <c r="O4135">
        <v>-0.1480543</v>
      </c>
      <c r="P4135">
        <v>-0.95229059999999999</v>
      </c>
      <c r="Q4135">
        <v>9.3036140000000003E-2</v>
      </c>
      <c r="R4135">
        <v>-0.29066769999999997</v>
      </c>
      <c r="S4135">
        <v>-2.8983460000000001</v>
      </c>
      <c r="T4135">
        <v>-0.31102000000000002</v>
      </c>
      <c r="U4135">
        <v>-0.9258575</v>
      </c>
      <c r="V4135">
        <v>-0.14654909999999999</v>
      </c>
      <c r="W4135">
        <v>0.1071488</v>
      </c>
      <c r="X4135">
        <v>0.98338320000000001</v>
      </c>
      <c r="Y4135">
        <v>-0.15982759999999999</v>
      </c>
      <c r="Z4135">
        <v>6.9862550000000002E-3</v>
      </c>
      <c r="AA4135">
        <v>0.9871202</v>
      </c>
      <c r="AB4135">
        <v>43</v>
      </c>
      <c r="AC4135">
        <v>-9.9206000000000305</v>
      </c>
      <c r="AD4135">
        <v>-1.1101042966879999</v>
      </c>
      <c r="AE4135">
        <v>-3.2410000000000099</v>
      </c>
      <c r="AF4135">
        <v>-1.7169085486540401</v>
      </c>
      <c r="AG4135">
        <v>-1.1101042966879999</v>
      </c>
      <c r="AH4135">
        <v>10.176008666187901</v>
      </c>
      <c r="AI4135">
        <v>96.139698170744296</v>
      </c>
      <c r="AJ4135">
        <v>99.576819332200003</v>
      </c>
      <c r="AK4135">
        <v>10.3793669791706</v>
      </c>
      <c r="AL4135">
        <v>83.849017768136207</v>
      </c>
      <c r="AM4135">
        <v>98.4761475541398</v>
      </c>
      <c r="AN4135">
        <v>1.00000001104724</v>
      </c>
    </row>
    <row r="4136" spans="1:40" x14ac:dyDescent="0.25">
      <c r="A4136" t="str">
        <f>"20190312151621039"</f>
        <v>20190312151621039</v>
      </c>
      <c r="B4136" t="str">
        <f>"1552374981032419"</f>
        <v>1552374981032419</v>
      </c>
      <c r="C4136" t="s">
        <v>40</v>
      </c>
      <c r="D4136">
        <v>4.5141780000000002</v>
      </c>
      <c r="E4136">
        <v>0.49778329999999998</v>
      </c>
      <c r="F4136" t="s">
        <v>43</v>
      </c>
      <c r="G4136">
        <v>-390.11540000000002</v>
      </c>
      <c r="H4136" s="1">
        <v>-5.2474599999999999E-6</v>
      </c>
      <c r="I4136">
        <v>133.83949999999999</v>
      </c>
      <c r="J4136">
        <v>-380.5086</v>
      </c>
      <c r="K4136">
        <v>1.1101369999999999</v>
      </c>
      <c r="L4136">
        <v>136.99039999999999</v>
      </c>
      <c r="M4136">
        <v>-0.98881540000000001</v>
      </c>
      <c r="N4136">
        <v>0</v>
      </c>
      <c r="O4136">
        <v>-0.14844199999999999</v>
      </c>
      <c r="P4136">
        <v>-0.95181329999999997</v>
      </c>
      <c r="Q4136">
        <v>9.3121110000000007E-2</v>
      </c>
      <c r="R4136">
        <v>-0.29219830000000002</v>
      </c>
      <c r="S4136">
        <v>-2.8980410000000001</v>
      </c>
      <c r="T4136">
        <v>-0.32094139999999999</v>
      </c>
      <c r="U4136">
        <v>-0.92907709999999999</v>
      </c>
      <c r="V4136">
        <v>-0.14775869999999999</v>
      </c>
      <c r="W4136">
        <v>0.107211</v>
      </c>
      <c r="X4136">
        <v>0.98319540000000005</v>
      </c>
      <c r="Y4136">
        <v>-0.16045989999999999</v>
      </c>
      <c r="Z4136">
        <v>7.2140099999999999E-3</v>
      </c>
      <c r="AA4136">
        <v>0.987016</v>
      </c>
      <c r="AB4136">
        <v>43</v>
      </c>
      <c r="AC4136">
        <v>-9.6068000000000193</v>
      </c>
      <c r="AD4136">
        <v>-1.11014224746</v>
      </c>
      <c r="AE4136">
        <v>-3.1509</v>
      </c>
      <c r="AF4136">
        <v>-1.6696520876910299</v>
      </c>
      <c r="AG4136">
        <v>-1.11014224746</v>
      </c>
      <c r="AH4136">
        <v>9.8493694114694499</v>
      </c>
      <c r="AI4136">
        <v>96.341069601868696</v>
      </c>
      <c r="AJ4136">
        <v>99.621240110506207</v>
      </c>
      <c r="AK4136">
        <v>10.0513795922309</v>
      </c>
      <c r="AL4136">
        <v>83.845433336703906</v>
      </c>
      <c r="AM4136">
        <v>98.546688145243394</v>
      </c>
      <c r="AN4136">
        <v>1.00000001326392</v>
      </c>
    </row>
    <row r="4137" spans="1:40" x14ac:dyDescent="0.25">
      <c r="A4137" t="str">
        <f>"20190312151621060"</f>
        <v>20190312151621060</v>
      </c>
      <c r="B4137" t="str">
        <f>"1552374981051940"</f>
        <v>1552374981051940</v>
      </c>
      <c r="C4137" t="s">
        <v>40</v>
      </c>
      <c r="D4137">
        <v>4.5913529999999998</v>
      </c>
      <c r="E4137">
        <v>0.49773430000000002</v>
      </c>
      <c r="F4137" t="s">
        <v>43</v>
      </c>
      <c r="G4137">
        <v>-390.476</v>
      </c>
      <c r="H4137" s="1">
        <v>-5.1037480000000004E-6</v>
      </c>
      <c r="I4137">
        <v>133.77760000000001</v>
      </c>
      <c r="J4137">
        <v>-380.91660000000002</v>
      </c>
      <c r="K4137">
        <v>1.110198</v>
      </c>
      <c r="L4137">
        <v>136.92869999999999</v>
      </c>
      <c r="M4137">
        <v>-0.98874519999999999</v>
      </c>
      <c r="N4137">
        <v>0</v>
      </c>
      <c r="O4137">
        <v>-0.1489087</v>
      </c>
      <c r="P4137">
        <v>-0.95121940000000005</v>
      </c>
      <c r="Q4137">
        <v>9.319479E-2</v>
      </c>
      <c r="R4137">
        <v>-0.294103</v>
      </c>
      <c r="S4137">
        <v>-2.8967900000000002</v>
      </c>
      <c r="T4137">
        <v>-0.32263989999999998</v>
      </c>
      <c r="U4137">
        <v>-0.93368530000000005</v>
      </c>
      <c r="V4137">
        <v>-0.14928239999999901</v>
      </c>
      <c r="W4137">
        <v>0.107255</v>
      </c>
      <c r="X4137">
        <v>0.98296039999999996</v>
      </c>
      <c r="Y4137">
        <v>-0.16153679999999901</v>
      </c>
      <c r="Z4137">
        <v>7.2439849999999997E-3</v>
      </c>
      <c r="AA4137">
        <v>0.9868401</v>
      </c>
      <c r="AB4137">
        <v>43</v>
      </c>
      <c r="AC4137">
        <v>-9.5593999999999806</v>
      </c>
      <c r="AD4137">
        <v>-1.110203103748</v>
      </c>
      <c r="AE4137">
        <v>-3.15109999999998</v>
      </c>
      <c r="AF4137">
        <v>-1.67199276668293</v>
      </c>
      <c r="AG4137">
        <v>-1.110203103748</v>
      </c>
      <c r="AH4137">
        <v>9.8028141140656793</v>
      </c>
      <c r="AI4137">
        <v>96.370193824185407</v>
      </c>
      <c r="AJ4137">
        <v>99.679367640333894</v>
      </c>
      <c r="AK4137">
        <v>10.006161866486901</v>
      </c>
      <c r="AL4137">
        <v>83.842897675228599</v>
      </c>
      <c r="AM4137">
        <v>98.635533816798599</v>
      </c>
      <c r="AN4137">
        <v>1.00000000897145</v>
      </c>
    </row>
    <row r="4138" spans="1:40" x14ac:dyDescent="0.25">
      <c r="A4138" t="str">
        <f>"20190312151621083"</f>
        <v>20190312151621083</v>
      </c>
      <c r="B4138" t="str">
        <f>"1552374981072435"</f>
        <v>1552374981072435</v>
      </c>
      <c r="C4138" t="s">
        <v>40</v>
      </c>
      <c r="D4138">
        <v>4.5774179999999998</v>
      </c>
      <c r="E4138">
        <v>0.49771650000000001</v>
      </c>
      <c r="F4138" t="s">
        <v>43</v>
      </c>
      <c r="G4138">
        <v>-390.83949999999999</v>
      </c>
      <c r="H4138" s="1">
        <v>-4.9603949999999996E-6</v>
      </c>
      <c r="I4138">
        <v>133.7064</v>
      </c>
      <c r="J4138">
        <v>-381.34800000000001</v>
      </c>
      <c r="K4138">
        <v>1.110295</v>
      </c>
      <c r="L4138">
        <v>136.8631</v>
      </c>
      <c r="M4138">
        <v>-0.98865099999999995</v>
      </c>
      <c r="N4138">
        <v>0</v>
      </c>
      <c r="O4138">
        <v>-0.14953369999999999</v>
      </c>
      <c r="P4138">
        <v>-0.95043350000000004</v>
      </c>
      <c r="Q4138">
        <v>9.2403360000000004E-2</v>
      </c>
      <c r="R4138">
        <v>-0.2968808</v>
      </c>
      <c r="S4138">
        <v>-2.8949579999999999</v>
      </c>
      <c r="T4138">
        <v>-0.3238974</v>
      </c>
      <c r="U4138">
        <v>-0.9400482</v>
      </c>
      <c r="V4138">
        <v>-0.1515474</v>
      </c>
      <c r="W4138">
        <v>0.1064211</v>
      </c>
      <c r="X4138">
        <v>0.98270440000000003</v>
      </c>
      <c r="Y4138">
        <v>-0.163052799999999</v>
      </c>
      <c r="Z4138">
        <v>7.2575490000000003E-3</v>
      </c>
      <c r="AA4138">
        <v>0.98659059999999998</v>
      </c>
      <c r="AB4138">
        <v>43</v>
      </c>
      <c r="AC4138">
        <v>-9.4914999999999701</v>
      </c>
      <c r="AD4138">
        <v>-1.1102999603949999</v>
      </c>
      <c r="AE4138">
        <v>-3.1566999999999998</v>
      </c>
      <c r="AF4138">
        <v>-1.6810409760027201</v>
      </c>
      <c r="AG4138">
        <v>-1.1102999603949999</v>
      </c>
      <c r="AH4138">
        <v>9.7368745608518594</v>
      </c>
      <c r="AI4138">
        <v>96.411320886343205</v>
      </c>
      <c r="AJ4138">
        <v>99.795375670498203</v>
      </c>
      <c r="AK4138">
        <v>9.9431077123209999</v>
      </c>
      <c r="AL4138">
        <v>83.890951620299504</v>
      </c>
      <c r="AM4138">
        <v>98.766785365767404</v>
      </c>
      <c r="AN4138">
        <v>1.00000000137566</v>
      </c>
    </row>
    <row r="4139" spans="1:40" x14ac:dyDescent="0.25">
      <c r="A4139" t="str">
        <f>"20190312151621105"</f>
        <v>20190312151621105</v>
      </c>
      <c r="B4139" t="str">
        <f>"1552374981101715"</f>
        <v>1552374981101715</v>
      </c>
      <c r="C4139" t="s">
        <v>40</v>
      </c>
      <c r="D4139">
        <v>4.5505909999999998</v>
      </c>
      <c r="E4139">
        <v>0.4976757</v>
      </c>
      <c r="F4139" t="s">
        <v>43</v>
      </c>
      <c r="G4139">
        <v>-391.53629999999998</v>
      </c>
      <c r="H4139" s="1">
        <v>-4.693666E-6</v>
      </c>
      <c r="I4139">
        <v>133.52500000000001</v>
      </c>
      <c r="J4139">
        <v>-381.77010000000001</v>
      </c>
      <c r="K4139">
        <v>1.110414</v>
      </c>
      <c r="L4139">
        <v>136.79859999999999</v>
      </c>
      <c r="M4139">
        <v>-0.98853340000000001</v>
      </c>
      <c r="N4139">
        <v>0</v>
      </c>
      <c r="O4139">
        <v>-0.15030979999999999</v>
      </c>
      <c r="P4139">
        <v>-0.94960580000000006</v>
      </c>
      <c r="Q4139">
        <v>9.1539809999999999E-2</v>
      </c>
      <c r="R4139">
        <v>-0.29978250000000001</v>
      </c>
      <c r="S4139">
        <v>-2.8911739999999999</v>
      </c>
      <c r="T4139">
        <v>-0.31507420000000003</v>
      </c>
      <c r="U4139">
        <v>-0.94725040000000005</v>
      </c>
      <c r="V4139">
        <v>-0.1537982</v>
      </c>
      <c r="W4139">
        <v>0.1055027</v>
      </c>
      <c r="X4139">
        <v>0.98245369999999999</v>
      </c>
      <c r="Y4139">
        <v>-0.1648771</v>
      </c>
      <c r="Z4139">
        <v>7.0501770000000004E-3</v>
      </c>
      <c r="AA4139">
        <v>0.98628890000000002</v>
      </c>
      <c r="AB4139">
        <v>43</v>
      </c>
      <c r="AC4139">
        <v>-9.7661999999999694</v>
      </c>
      <c r="AD4139">
        <v>-1.1104186936660001</v>
      </c>
      <c r="AE4139">
        <v>-3.2735999999999801</v>
      </c>
      <c r="AF4139">
        <v>-1.74797702324694</v>
      </c>
      <c r="AG4139">
        <v>-1.1104186936660001</v>
      </c>
      <c r="AH4139">
        <v>10.030751232275399</v>
      </c>
      <c r="AI4139">
        <v>96.223962360599799</v>
      </c>
      <c r="AJ4139">
        <v>99.885202872807</v>
      </c>
      <c r="AK4139">
        <v>10.242286055018999</v>
      </c>
      <c r="AL4139">
        <v>83.943869913205603</v>
      </c>
      <c r="AM4139">
        <v>98.897157020887704</v>
      </c>
      <c r="AN4139">
        <v>0.99999998933710998</v>
      </c>
    </row>
    <row r="4140" spans="1:40" x14ac:dyDescent="0.25">
      <c r="A4140" t="str">
        <f>"20190312151621128"</f>
        <v>20190312151621128</v>
      </c>
      <c r="B4140" t="str">
        <f>"1552374981122211"</f>
        <v>1552374981122211</v>
      </c>
      <c r="C4140" t="s">
        <v>40</v>
      </c>
      <c r="D4140">
        <v>4.5332970000000001</v>
      </c>
      <c r="E4140">
        <v>0.49790839999999997</v>
      </c>
      <c r="F4140" t="s">
        <v>43</v>
      </c>
      <c r="G4140">
        <v>-391.96170000000001</v>
      </c>
      <c r="H4140" s="1">
        <v>-4.528939E-6</v>
      </c>
      <c r="I4140">
        <v>133.42500000000001</v>
      </c>
      <c r="J4140">
        <v>-382.19420000000002</v>
      </c>
      <c r="K4140">
        <v>1.1105719999999999</v>
      </c>
      <c r="L4140">
        <v>136.73330000000001</v>
      </c>
      <c r="M4140">
        <v>-0.9883847</v>
      </c>
      <c r="N4140">
        <v>0</v>
      </c>
      <c r="O4140">
        <v>-0.15128339999999901</v>
      </c>
      <c r="P4140">
        <v>-0.94858500000000001</v>
      </c>
      <c r="Q4140">
        <v>9.072094E-2</v>
      </c>
      <c r="R4140">
        <v>-0.30324240000000002</v>
      </c>
      <c r="S4140">
        <v>-2.887756</v>
      </c>
      <c r="T4140">
        <v>-0.31463750000000001</v>
      </c>
      <c r="U4140">
        <v>-0.95590209999999998</v>
      </c>
      <c r="V4140">
        <v>-0.15644249999999901</v>
      </c>
      <c r="W4140">
        <v>0.1046131</v>
      </c>
      <c r="X4140">
        <v>0.98213130000000004</v>
      </c>
      <c r="Y4140">
        <v>-0.16691059999999999</v>
      </c>
      <c r="Z4140">
        <v>7.0375660000000003E-3</v>
      </c>
      <c r="AA4140">
        <v>0.98594689999999996</v>
      </c>
      <c r="AB4140">
        <v>43</v>
      </c>
      <c r="AC4140">
        <v>-9.7674999999999805</v>
      </c>
      <c r="AD4140">
        <v>-1.1105765289389999</v>
      </c>
      <c r="AE4140">
        <v>-3.3083</v>
      </c>
      <c r="AF4140">
        <v>-1.7718508052266499</v>
      </c>
      <c r="AG4140">
        <v>-1.1105765289389999</v>
      </c>
      <c r="AH4140">
        <v>10.0391706664893</v>
      </c>
      <c r="AI4140">
        <v>96.217317551361205</v>
      </c>
      <c r="AJ4140">
        <v>100.00926638658299</v>
      </c>
      <c r="AK4140">
        <v>10.2546469063304</v>
      </c>
      <c r="AL4140">
        <v>83.995124080624805</v>
      </c>
      <c r="AM4140">
        <v>99.050539966920496</v>
      </c>
      <c r="AN4140">
        <v>1.00000002346877</v>
      </c>
    </row>
    <row r="4141" spans="1:40" x14ac:dyDescent="0.25">
      <c r="A4141" t="str">
        <f>"20190312151621151"</f>
        <v>20190312151621151</v>
      </c>
      <c r="B4141" t="str">
        <f>"1552374981141731"</f>
        <v>1552374981141731</v>
      </c>
      <c r="C4141" t="s">
        <v>40</v>
      </c>
      <c r="D4141">
        <v>4.520295</v>
      </c>
      <c r="E4141">
        <v>0.4981969</v>
      </c>
      <c r="F4141" t="s">
        <v>43</v>
      </c>
      <c r="G4141">
        <v>-392.48590000000002</v>
      </c>
      <c r="H4141" s="1">
        <v>-4.3273050000000004E-6</v>
      </c>
      <c r="I4141">
        <v>133.29390000000001</v>
      </c>
      <c r="J4141">
        <v>-382.61669999999998</v>
      </c>
      <c r="K4141">
        <v>1.1107659999999999</v>
      </c>
      <c r="L4141">
        <v>136.66759999999999</v>
      </c>
      <c r="M4141">
        <v>-0.988201</v>
      </c>
      <c r="N4141">
        <v>0</v>
      </c>
      <c r="O4141">
        <v>-0.15247839999999999</v>
      </c>
      <c r="P4141">
        <v>-0.94732629999999995</v>
      </c>
      <c r="Q4141">
        <v>9.045272E-2</v>
      </c>
      <c r="R4141">
        <v>-0.30723129999999998</v>
      </c>
      <c r="S4141">
        <v>-2.8842159999999999</v>
      </c>
      <c r="T4141">
        <v>-0.31123729999999999</v>
      </c>
      <c r="U4141">
        <v>-0.96386719999999904</v>
      </c>
      <c r="V4141">
        <v>-0.15943460000000001</v>
      </c>
      <c r="W4141">
        <v>0.1042593</v>
      </c>
      <c r="X4141">
        <v>0.98168759999999999</v>
      </c>
      <c r="Y4141">
        <v>-0.16853000000000001</v>
      </c>
      <c r="Z4141">
        <v>7.0039509999999996E-3</v>
      </c>
      <c r="AA4141">
        <v>0.98567159999999998</v>
      </c>
      <c r="AB4141">
        <v>43</v>
      </c>
      <c r="AC4141">
        <v>-9.8692000000000295</v>
      </c>
      <c r="AD4141">
        <v>-1.110770327305</v>
      </c>
      <c r="AE4141">
        <v>-3.3736999999999799</v>
      </c>
      <c r="AF4141">
        <v>-1.80873063583683</v>
      </c>
      <c r="AG4141">
        <v>-1.110770327305</v>
      </c>
      <c r="AH4141">
        <v>10.1530876013504</v>
      </c>
      <c r="AI4141">
        <v>96.147428665181906</v>
      </c>
      <c r="AJ4141">
        <v>100.101040754512</v>
      </c>
      <c r="AK4141">
        <v>10.3725843006326</v>
      </c>
      <c r="AL4141">
        <v>84.015506458843305</v>
      </c>
      <c r="AM4141">
        <v>99.224789251880196</v>
      </c>
      <c r="AN4141">
        <v>0.999999968653704</v>
      </c>
    </row>
    <row r="4142" spans="1:40" x14ac:dyDescent="0.25">
      <c r="A4142" t="str">
        <f>"20190312151621172"</f>
        <v>20190312151621172</v>
      </c>
      <c r="B4142" t="str">
        <f>"1552374981162227"</f>
        <v>1552374981162227</v>
      </c>
      <c r="C4142" t="s">
        <v>40</v>
      </c>
      <c r="D4142">
        <v>4.5183519999999904</v>
      </c>
      <c r="E4142">
        <v>0.49836150000000001</v>
      </c>
      <c r="F4142" t="s">
        <v>43</v>
      </c>
      <c r="G4142">
        <v>-393.02859999999998</v>
      </c>
      <c r="H4142" s="1">
        <v>-4.1197539999999999E-6</v>
      </c>
      <c r="I4142">
        <v>133.1515</v>
      </c>
      <c r="J4142">
        <v>-383.03660000000002</v>
      </c>
      <c r="K4142">
        <v>1.1109800000000001</v>
      </c>
      <c r="L4142">
        <v>136.60159999999999</v>
      </c>
      <c r="M4142">
        <v>-0.98797789999999996</v>
      </c>
      <c r="N4142">
        <v>0</v>
      </c>
      <c r="O4142">
        <v>-0.15391840000000001</v>
      </c>
      <c r="P4142">
        <v>-0.94616</v>
      </c>
      <c r="Q4142">
        <v>9.0001659999999997E-2</v>
      </c>
      <c r="R4142">
        <v>-0.31093569999999998</v>
      </c>
      <c r="S4142">
        <v>-2.880646</v>
      </c>
      <c r="T4142">
        <v>-0.30731839999999999</v>
      </c>
      <c r="U4142">
        <v>-0.97279360000000004</v>
      </c>
      <c r="V4142">
        <v>-0.16189579999999901</v>
      </c>
      <c r="W4142">
        <v>0.103711999999999</v>
      </c>
      <c r="X4142">
        <v>0.98134270000000001</v>
      </c>
      <c r="Y4142">
        <v>-0.17020569999999999</v>
      </c>
      <c r="Z4142">
        <v>6.9792309999999998E-3</v>
      </c>
      <c r="AA4142">
        <v>0.98538380000000003</v>
      </c>
      <c r="AB4142">
        <v>43</v>
      </c>
      <c r="AC4142">
        <v>-9.99199999999996</v>
      </c>
      <c r="AD4142">
        <v>-1.11098411975399</v>
      </c>
      <c r="AE4142">
        <v>-3.4500999999999902</v>
      </c>
      <c r="AF4142">
        <v>-1.85042592060671</v>
      </c>
      <c r="AG4142">
        <v>-1.11098411975399</v>
      </c>
      <c r="AH4142">
        <v>10.290331048476499</v>
      </c>
      <c r="AI4142">
        <v>96.065463799939593</v>
      </c>
      <c r="AJ4142">
        <v>100.19408410382</v>
      </c>
      <c r="AK4142">
        <v>10.5142415270545</v>
      </c>
      <c r="AL4142">
        <v>84.047035324739596</v>
      </c>
      <c r="AM4142">
        <v>99.3679217757864</v>
      </c>
      <c r="AN4142">
        <v>0.99999996192246399</v>
      </c>
    </row>
    <row r="4143" spans="1:40" x14ac:dyDescent="0.25">
      <c r="A4143" t="str">
        <f>"20190312151621195"</f>
        <v>20190312151621195</v>
      </c>
      <c r="B4143" t="str">
        <f>"1552374981192484"</f>
        <v>1552374981192484</v>
      </c>
      <c r="C4143" t="s">
        <v>40</v>
      </c>
      <c r="D4143">
        <v>4.4646839999999903</v>
      </c>
      <c r="E4143">
        <v>0.4986719</v>
      </c>
      <c r="F4143" t="s">
        <v>43</v>
      </c>
      <c r="G4143">
        <v>-393.54520000000002</v>
      </c>
      <c r="H4143" s="1">
        <v>-3.9388279999999901E-6</v>
      </c>
      <c r="I4143">
        <v>133.01589999999999</v>
      </c>
      <c r="J4143">
        <v>-383.45400000000001</v>
      </c>
      <c r="K4143">
        <v>1.1112280000000001</v>
      </c>
      <c r="L4143">
        <v>136.5351</v>
      </c>
      <c r="M4143">
        <v>-0.98770800000000003</v>
      </c>
      <c r="N4143">
        <v>0</v>
      </c>
      <c r="O4143">
        <v>-0.15564149999999999</v>
      </c>
      <c r="P4143">
        <v>-0.94503369999999998</v>
      </c>
      <c r="Q4143">
        <v>8.9942480000000005E-2</v>
      </c>
      <c r="R4143">
        <v>-0.3143589</v>
      </c>
      <c r="S4143">
        <v>-2.877075</v>
      </c>
      <c r="T4143">
        <v>-0.30417100000000002</v>
      </c>
      <c r="U4143">
        <v>-0.98168949999999999</v>
      </c>
      <c r="V4143">
        <v>-0.16379859999999999</v>
      </c>
      <c r="W4143">
        <v>0.1035493</v>
      </c>
      <c r="X4143">
        <v>0.98104409999999997</v>
      </c>
      <c r="Y4143">
        <v>-0.171592299999999</v>
      </c>
      <c r="Z4143">
        <v>7.0137079999999996E-3</v>
      </c>
      <c r="AA4143">
        <v>0.98514310000000005</v>
      </c>
      <c r="AB4143">
        <v>43</v>
      </c>
      <c r="AC4143">
        <v>-10.091200000000001</v>
      </c>
      <c r="AD4143">
        <v>-1.1112319388280001</v>
      </c>
      <c r="AE4143">
        <v>-3.5192000000000099</v>
      </c>
      <c r="AF4143">
        <v>-1.8851503286671201</v>
      </c>
      <c r="AG4143">
        <v>-1.1112319388280001</v>
      </c>
      <c r="AH4143">
        <v>10.403513946995201</v>
      </c>
      <c r="AI4143">
        <v>95.999849874221397</v>
      </c>
      <c r="AJ4143">
        <v>100.27073611978</v>
      </c>
      <c r="AK4143">
        <v>10.631167886402199</v>
      </c>
      <c r="AL4143">
        <v>84.056407934169002</v>
      </c>
      <c r="AM4143">
        <v>99.478871518107894</v>
      </c>
      <c r="AN4143">
        <v>0.99999998251862898</v>
      </c>
    </row>
    <row r="4144" spans="1:40" x14ac:dyDescent="0.25">
      <c r="A4144" t="str">
        <f>"20190312151621217"</f>
        <v>20190312151621217</v>
      </c>
      <c r="B4144" t="str">
        <f>"1552374981212007"</f>
        <v>1552374981212007</v>
      </c>
      <c r="C4144" t="s">
        <v>40</v>
      </c>
      <c r="D4144">
        <v>4.4648510000000003</v>
      </c>
      <c r="E4144">
        <v>0.50179220000000002</v>
      </c>
      <c r="F4144" t="s">
        <v>43</v>
      </c>
      <c r="G4144">
        <v>-394.16419999999999</v>
      </c>
      <c r="H4144" s="1">
        <v>-3.7727450000000001E-6</v>
      </c>
      <c r="I4144">
        <v>132.84829999999999</v>
      </c>
      <c r="J4144">
        <v>-383.87950000000001</v>
      </c>
      <c r="K4144">
        <v>1.11149599999999</v>
      </c>
      <c r="L4144">
        <v>136.46629999999999</v>
      </c>
      <c r="M4144">
        <v>-0.98738349999999997</v>
      </c>
      <c r="N4144">
        <v>0</v>
      </c>
      <c r="O4144">
        <v>-0.15768660000000001</v>
      </c>
      <c r="P4144">
        <v>-0.94375799999999999</v>
      </c>
      <c r="Q4144">
        <v>9.1067220000000004E-2</v>
      </c>
      <c r="R4144">
        <v>-0.31784839999999998</v>
      </c>
      <c r="S4144">
        <v>-2.8738100000000002</v>
      </c>
      <c r="T4144">
        <v>-0.29817059999999901</v>
      </c>
      <c r="U4144">
        <v>-0.98924259999999997</v>
      </c>
      <c r="V4144">
        <v>-0.16548119999999999</v>
      </c>
      <c r="W4144">
        <v>0.1045614</v>
      </c>
      <c r="X4144">
        <v>0.98065429999999998</v>
      </c>
      <c r="Y4144">
        <v>-0.1722207</v>
      </c>
      <c r="Z4144">
        <v>7.0493099999999996E-3</v>
      </c>
      <c r="AA4144">
        <v>0.98503320000000005</v>
      </c>
      <c r="AB4144">
        <v>43</v>
      </c>
      <c r="AC4144">
        <v>-10.2846999999999</v>
      </c>
      <c r="AD4144">
        <v>-1.11149977274499</v>
      </c>
      <c r="AE4144">
        <v>-3.6179999999999901</v>
      </c>
      <c r="AF4144">
        <v>-1.9307305751419299</v>
      </c>
      <c r="AG4144">
        <v>-1.11149977274499</v>
      </c>
      <c r="AH4144">
        <v>10.616232321663</v>
      </c>
      <c r="AI4144">
        <v>95.881208581108595</v>
      </c>
      <c r="AJ4144">
        <v>100.307492638276</v>
      </c>
      <c r="AK4144">
        <v>10.8474670318062</v>
      </c>
      <c r="AL4144">
        <v>83.998102375808202</v>
      </c>
      <c r="AM4144">
        <v>99.578183578545804</v>
      </c>
      <c r="AN4144">
        <v>0.999999985015944</v>
      </c>
    </row>
    <row r="4145" spans="1:40" x14ac:dyDescent="0.25">
      <c r="A4145" t="str">
        <f>"20190312151621239"</f>
        <v>20190312151621239</v>
      </c>
      <c r="B4145" t="str">
        <f>"1552374981232504"</f>
        <v>1552374981232504</v>
      </c>
      <c r="C4145" t="s">
        <v>40</v>
      </c>
      <c r="D4145">
        <v>4.4481250000000001</v>
      </c>
      <c r="E4145">
        <v>0.50216749999999999</v>
      </c>
      <c r="F4145" t="s">
        <v>58</v>
      </c>
      <c r="G4145">
        <v>-401.62349999999998</v>
      </c>
      <c r="H4145" s="1">
        <v>-1.4509599999999999E-6</v>
      </c>
      <c r="I4145">
        <v>130.4769</v>
      </c>
      <c r="J4145">
        <v>-384.28859999999997</v>
      </c>
      <c r="K4145">
        <v>1.11174</v>
      </c>
      <c r="L4145">
        <v>136.3991</v>
      </c>
      <c r="M4145">
        <v>-0.98702970000000001</v>
      </c>
      <c r="N4145">
        <v>0</v>
      </c>
      <c r="O4145">
        <v>-0.15988579999999999</v>
      </c>
      <c r="P4145">
        <v>-0.94227240000000001</v>
      </c>
      <c r="Q4145">
        <v>9.1199669999999997E-2</v>
      </c>
      <c r="R4145">
        <v>-0.32218859999999999</v>
      </c>
      <c r="S4145">
        <v>-2.8698730000000001</v>
      </c>
      <c r="T4145">
        <v>-0.17977119999999999</v>
      </c>
      <c r="U4145">
        <v>-0.96871949999999996</v>
      </c>
      <c r="V4145">
        <v>-0.16787779999999899</v>
      </c>
      <c r="W4145">
        <v>0.1045813</v>
      </c>
      <c r="X4145">
        <v>0.98024480000000003</v>
      </c>
      <c r="Y4145">
        <v>-0.16419069999999999</v>
      </c>
      <c r="Z4145">
        <v>4.6435909999999999E-3</v>
      </c>
      <c r="AA4145">
        <v>0.98641769999999995</v>
      </c>
      <c r="AB4145">
        <v>43</v>
      </c>
      <c r="AC4145">
        <v>-17.334900000000001</v>
      </c>
      <c r="AD4145">
        <v>-1.1117414509600001</v>
      </c>
      <c r="AE4145">
        <v>-5.9222000000000001</v>
      </c>
      <c r="AF4145">
        <v>-3.0628231175895402</v>
      </c>
      <c r="AG4145">
        <v>-1.1117414509600001</v>
      </c>
      <c r="AH4145">
        <v>17.992553388018699</v>
      </c>
      <c r="AI4145">
        <v>93.485735755546699</v>
      </c>
      <c r="AJ4145">
        <v>99.660700308319605</v>
      </c>
      <c r="AK4145">
        <v>18.2852080087738</v>
      </c>
      <c r="AL4145">
        <v>83.996956211210502</v>
      </c>
      <c r="AM4145">
        <v>99.718256668204205</v>
      </c>
      <c r="AN4145">
        <v>1.00000003598478</v>
      </c>
    </row>
    <row r="4146" spans="1:40" x14ac:dyDescent="0.25">
      <c r="A4146" t="str">
        <f>"20190312151621262"</f>
        <v>20190312151621262</v>
      </c>
      <c r="B4146" t="str">
        <f>"1552374981252019"</f>
        <v>1552374981252019</v>
      </c>
      <c r="C4146" t="s">
        <v>40</v>
      </c>
      <c r="D4146">
        <v>4.4284730000000003</v>
      </c>
      <c r="E4146">
        <v>0.50226930000000003</v>
      </c>
      <c r="F4146" t="s">
        <v>58</v>
      </c>
      <c r="G4146">
        <v>-402.65320000000003</v>
      </c>
      <c r="H4146" s="1">
        <v>-1.8541580000000001E-6</v>
      </c>
      <c r="I4146">
        <v>130.1302</v>
      </c>
      <c r="J4146">
        <v>-384.71550000000002</v>
      </c>
      <c r="K4146">
        <v>1.111996</v>
      </c>
      <c r="L4146">
        <v>136.3278</v>
      </c>
      <c r="M4146">
        <v>-0.98661449999999995</v>
      </c>
      <c r="N4146">
        <v>0</v>
      </c>
      <c r="O4146">
        <v>-0.16242690000000001</v>
      </c>
      <c r="P4146">
        <v>-0.94077710000000003</v>
      </c>
      <c r="Q4146">
        <v>9.0892550000000003E-2</v>
      </c>
      <c r="R4146">
        <v>-0.32661410000000002</v>
      </c>
      <c r="S4146">
        <v>-2.866028</v>
      </c>
      <c r="T4146">
        <v>-0.17350160000000001</v>
      </c>
      <c r="U4146">
        <v>-0.97834779999999999</v>
      </c>
      <c r="V4146">
        <v>-0.17002149999999999</v>
      </c>
      <c r="W4146">
        <v>0.1041588</v>
      </c>
      <c r="X4146">
        <v>0.97992020000000002</v>
      </c>
      <c r="Y4146">
        <v>-0.165025799999999</v>
      </c>
      <c r="Z4146">
        <v>4.6060900000000002E-3</v>
      </c>
      <c r="AA4146">
        <v>0.98627849999999995</v>
      </c>
      <c r="AB4146">
        <v>43</v>
      </c>
      <c r="AC4146">
        <v>-17.9377</v>
      </c>
      <c r="AD4146">
        <v>-1.111997854158</v>
      </c>
      <c r="AE4146">
        <v>-6.1975999999999898</v>
      </c>
      <c r="AF4146">
        <v>-3.19045864128673</v>
      </c>
      <c r="AG4146">
        <v>-1.111997854158</v>
      </c>
      <c r="AH4146">
        <v>18.6422074887052</v>
      </c>
      <c r="AI4146">
        <v>93.364811982326898</v>
      </c>
      <c r="AJ4146">
        <v>99.7116091952592</v>
      </c>
      <c r="AK4146">
        <v>18.945908941545898</v>
      </c>
      <c r="AL4146">
        <v>84.021296289075494</v>
      </c>
      <c r="AM4146">
        <v>99.843137871200099</v>
      </c>
      <c r="AN4146">
        <v>0.99999998222386499</v>
      </c>
    </row>
    <row r="4147" spans="1:40" x14ac:dyDescent="0.25">
      <c r="A4147" t="str">
        <f>"20190312151621284"</f>
        <v>20190312151621284</v>
      </c>
      <c r="B4147" t="str">
        <f>"1552374981272520"</f>
        <v>1552374981272520</v>
      </c>
      <c r="C4147" t="s">
        <v>40</v>
      </c>
      <c r="D4147">
        <v>4.5789679999999997</v>
      </c>
      <c r="E4147">
        <v>0.50122990000000001</v>
      </c>
      <c r="F4147" t="s">
        <v>58</v>
      </c>
      <c r="G4147">
        <v>-403.01089999999999</v>
      </c>
      <c r="H4147" s="1">
        <v>-1.9848730000000001E-6</v>
      </c>
      <c r="I4147">
        <v>129.99209999999999</v>
      </c>
      <c r="J4147">
        <v>-385.13470000000001</v>
      </c>
      <c r="K4147">
        <v>1.1122479999999999</v>
      </c>
      <c r="L4147">
        <v>136.25649999999999</v>
      </c>
      <c r="M4147">
        <v>-0.98615830000000004</v>
      </c>
      <c r="N4147">
        <v>0</v>
      </c>
      <c r="O4147">
        <v>-0.1651743</v>
      </c>
      <c r="P4147">
        <v>-0.93924459999999999</v>
      </c>
      <c r="Q4147">
        <v>8.9626750000000005E-2</v>
      </c>
      <c r="R4147">
        <v>-0.3313412</v>
      </c>
      <c r="S4147">
        <v>-2.8615719999999998</v>
      </c>
      <c r="T4147">
        <v>-0.17392639999999901</v>
      </c>
      <c r="U4147">
        <v>-0.99096680000000004</v>
      </c>
      <c r="V4147">
        <v>-0.17225889999999999</v>
      </c>
      <c r="W4147">
        <v>0.1027762</v>
      </c>
      <c r="X4147">
        <v>0.97967539999999997</v>
      </c>
      <c r="Y4147">
        <v>-0.1666386</v>
      </c>
      <c r="Z4147">
        <v>4.730761E-3</v>
      </c>
      <c r="AA4147">
        <v>0.98600670000000001</v>
      </c>
      <c r="AB4147">
        <v>43</v>
      </c>
      <c r="AC4147">
        <v>-17.876199999999901</v>
      </c>
      <c r="AD4147">
        <v>-1.1122499848730001</v>
      </c>
      <c r="AE4147">
        <v>-6.2643999999999904</v>
      </c>
      <c r="AF4147">
        <v>-3.2142563761163898</v>
      </c>
      <c r="AG4147">
        <v>-1.1122499848730001</v>
      </c>
      <c r="AH4147">
        <v>18.6012990728651</v>
      </c>
      <c r="AI4147">
        <v>93.372027197652102</v>
      </c>
      <c r="AJ4147">
        <v>99.803750993549102</v>
      </c>
      <c r="AK4147">
        <v>18.909703098632399</v>
      </c>
      <c r="AL4147">
        <v>84.100940910114403</v>
      </c>
      <c r="AM4147">
        <v>99.9725274290915</v>
      </c>
      <c r="AN4147">
        <v>0.99999998264040402</v>
      </c>
    </row>
    <row r="4148" spans="1:40" x14ac:dyDescent="0.25">
      <c r="A4148" t="str">
        <f>"20190312151621306"</f>
        <v>20190312151621306</v>
      </c>
      <c r="B4148" t="str">
        <f>"1552374981301798"</f>
        <v>1552374981301798</v>
      </c>
      <c r="C4148" t="s">
        <v>40</v>
      </c>
      <c r="D4148">
        <v>4.6524260000000002</v>
      </c>
      <c r="E4148">
        <v>0.50416229999999995</v>
      </c>
      <c r="F4148" t="s">
        <v>43</v>
      </c>
      <c r="G4148">
        <v>-396.42500000000001</v>
      </c>
      <c r="H4148" s="1">
        <v>-3.1668759999999999E-6</v>
      </c>
      <c r="I4148">
        <v>132.2338</v>
      </c>
      <c r="J4148">
        <v>-385.54750000000001</v>
      </c>
      <c r="K4148">
        <v>1.112495</v>
      </c>
      <c r="L4148">
        <v>136.185</v>
      </c>
      <c r="M4148">
        <v>-0.98565950000000002</v>
      </c>
      <c r="N4148">
        <v>0</v>
      </c>
      <c r="O4148">
        <v>-0.168124</v>
      </c>
      <c r="P4148">
        <v>-0.93746580000000002</v>
      </c>
      <c r="Q4148">
        <v>8.7937550000000003E-2</v>
      </c>
      <c r="R4148">
        <v>-0.33678639999999999</v>
      </c>
      <c r="S4148">
        <v>-2.8613279999999999</v>
      </c>
      <c r="T4148">
        <v>-0.2818792</v>
      </c>
      <c r="U4148">
        <v>-1.019455</v>
      </c>
      <c r="V4148">
        <v>-0.175042</v>
      </c>
      <c r="W4148">
        <v>0.10096090000000001</v>
      </c>
      <c r="X4148">
        <v>0.97937079999999999</v>
      </c>
      <c r="Y4148">
        <v>-0.172431</v>
      </c>
      <c r="Z4148">
        <v>7.640333E-3</v>
      </c>
      <c r="AA4148">
        <v>0.98499199999999998</v>
      </c>
      <c r="AB4148">
        <v>43</v>
      </c>
      <c r="AC4148">
        <v>-10.8774999999999</v>
      </c>
      <c r="AD4148">
        <v>-1.1124981668759999</v>
      </c>
      <c r="AE4148">
        <v>-3.9512</v>
      </c>
      <c r="AF4148">
        <v>-2.0470688465448101</v>
      </c>
      <c r="AG4148">
        <v>-1.1124981668759999</v>
      </c>
      <c r="AH4148">
        <v>11.2827339604732</v>
      </c>
      <c r="AI4148">
        <v>95.541375137108005</v>
      </c>
      <c r="AJ4148">
        <v>100.283524108306</v>
      </c>
      <c r="AK4148">
        <v>11.520773787233701</v>
      </c>
      <c r="AL4148">
        <v>84.205493864338393</v>
      </c>
      <c r="AM4148">
        <v>100.13342265985101</v>
      </c>
      <c r="AN4148">
        <v>0.99999998449272398</v>
      </c>
    </row>
    <row r="4149" spans="1:40" x14ac:dyDescent="0.25">
      <c r="A4149" t="str">
        <f>"20190312151621328"</f>
        <v>20190312151621328</v>
      </c>
      <c r="B4149" t="str">
        <f>"1552374981322291"</f>
        <v>1552374981322291</v>
      </c>
      <c r="C4149" t="s">
        <v>40</v>
      </c>
      <c r="D4149">
        <v>4.4144540000000001</v>
      </c>
      <c r="E4149">
        <v>0.50439799999999901</v>
      </c>
      <c r="F4149" t="s">
        <v>43</v>
      </c>
      <c r="G4149">
        <v>-398.59089999999998</v>
      </c>
      <c r="H4149" s="1">
        <v>-2.6052539999999999E-6</v>
      </c>
      <c r="I4149">
        <v>131.5745</v>
      </c>
      <c r="J4149">
        <v>-385.95920000000001</v>
      </c>
      <c r="K4149">
        <v>1.112754</v>
      </c>
      <c r="L4149">
        <v>136.1123</v>
      </c>
      <c r="M4149">
        <v>-0.98511170000000003</v>
      </c>
      <c r="N4149">
        <v>0</v>
      </c>
      <c r="O4149">
        <v>-0.17130509999999999</v>
      </c>
      <c r="P4149">
        <v>-0.93573729999999999</v>
      </c>
      <c r="Q4149">
        <v>8.6833770000000005E-2</v>
      </c>
      <c r="R4149">
        <v>-0.34184239999999999</v>
      </c>
      <c r="S4149">
        <v>-2.8598330000000001</v>
      </c>
      <c r="T4149">
        <v>-0.2439202</v>
      </c>
      <c r="U4149">
        <v>-1.010864</v>
      </c>
      <c r="V4149">
        <v>-0.17720949999999999</v>
      </c>
      <c r="W4149">
        <v>9.9730680000000002E-2</v>
      </c>
      <c r="X4149">
        <v>0.97910699999999995</v>
      </c>
      <c r="Y4149">
        <v>-0.16681689999999999</v>
      </c>
      <c r="Z4149">
        <v>7.1105409999999997E-3</v>
      </c>
      <c r="AA4149">
        <v>0.98596229999999996</v>
      </c>
      <c r="AB4149">
        <v>43</v>
      </c>
      <c r="AC4149">
        <v>-12.631699999999899</v>
      </c>
      <c r="AD4149">
        <v>-1.1127566052539899</v>
      </c>
      <c r="AE4149">
        <v>-4.5377999999999998</v>
      </c>
      <c r="AF4149">
        <v>-2.29086119546169</v>
      </c>
      <c r="AG4149">
        <v>-1.1127566052539899</v>
      </c>
      <c r="AH4149">
        <v>13.1321085191412</v>
      </c>
      <c r="AI4149">
        <v>94.771698683648495</v>
      </c>
      <c r="AJ4149">
        <v>99.895517602944594</v>
      </c>
      <c r="AK4149">
        <v>13.3767913356645</v>
      </c>
      <c r="AL4149">
        <v>84.276337756589001</v>
      </c>
      <c r="AM4149">
        <v>100.258959261857</v>
      </c>
      <c r="AN4149">
        <v>0.99999996643625499</v>
      </c>
    </row>
    <row r="4150" spans="1:40" x14ac:dyDescent="0.25">
      <c r="A4150" t="str">
        <f>"20190312151621351"</f>
        <v>20190312151621351</v>
      </c>
      <c r="B4150" t="str">
        <f>"1552374981341811"</f>
        <v>1552374981341811</v>
      </c>
      <c r="C4150" t="s">
        <v>40</v>
      </c>
      <c r="D4150">
        <v>4.4044840000000001</v>
      </c>
      <c r="E4150">
        <v>0.50451759999999901</v>
      </c>
      <c r="F4150" t="s">
        <v>43</v>
      </c>
      <c r="G4150">
        <v>-399.76580000000001</v>
      </c>
      <c r="H4150" s="1">
        <v>-2.315289E-6</v>
      </c>
      <c r="I4150">
        <v>131.1617</v>
      </c>
      <c r="J4150">
        <v>-386.38600000000002</v>
      </c>
      <c r="K4150">
        <v>1.113029</v>
      </c>
      <c r="L4150">
        <v>136.0352</v>
      </c>
      <c r="M4150">
        <v>-0.98448829999999998</v>
      </c>
      <c r="N4150">
        <v>0</v>
      </c>
      <c r="O4150">
        <v>-0.17485110000000001</v>
      </c>
      <c r="P4150">
        <v>-0.93402890000000005</v>
      </c>
      <c r="Q4150">
        <v>8.6338509999999993E-2</v>
      </c>
      <c r="R4150">
        <v>-0.34660619999999998</v>
      </c>
      <c r="S4150">
        <v>-2.8536069999999998</v>
      </c>
      <c r="T4150">
        <v>-0.22998940000000001</v>
      </c>
      <c r="U4150">
        <v>-1.023193</v>
      </c>
      <c r="V4150">
        <v>-0.17873139999999901</v>
      </c>
      <c r="W4150">
        <v>9.9105319999999997E-2</v>
      </c>
      <c r="X4150">
        <v>0.97889389999999998</v>
      </c>
      <c r="Y4150">
        <v>-0.16772819999999999</v>
      </c>
      <c r="Z4150">
        <v>6.9473779999999997E-3</v>
      </c>
      <c r="AA4150">
        <v>0.98580880000000004</v>
      </c>
      <c r="AB4150">
        <v>43</v>
      </c>
      <c r="AC4150">
        <v>-13.379799999999999</v>
      </c>
      <c r="AD4150">
        <v>-1.1130313152889999</v>
      </c>
      <c r="AE4150">
        <v>-4.8734999999999999</v>
      </c>
      <c r="AF4150">
        <v>-2.4437586851161801</v>
      </c>
      <c r="AG4150">
        <v>-1.1130313152889999</v>
      </c>
      <c r="AH4150">
        <v>13.940693638673901</v>
      </c>
      <c r="AI4150">
        <v>94.496561025071202</v>
      </c>
      <c r="AJ4150">
        <v>99.942743552993093</v>
      </c>
      <c r="AK4150">
        <v>14.1969621520683</v>
      </c>
      <c r="AL4150">
        <v>84.312346964466499</v>
      </c>
      <c r="AM4150">
        <v>100.34737347701601</v>
      </c>
      <c r="AN4150">
        <v>1.0000000226277299</v>
      </c>
    </row>
    <row r="4151" spans="1:40" x14ac:dyDescent="0.25">
      <c r="A4151" t="str">
        <f>"20190312151621374"</f>
        <v>20190312151621374</v>
      </c>
      <c r="B4151" t="str">
        <f>"1552374981372067"</f>
        <v>1552374981372067</v>
      </c>
      <c r="C4151" t="s">
        <v>40</v>
      </c>
      <c r="D4151">
        <v>4.4401190000000001</v>
      </c>
      <c r="E4151">
        <v>0.50491459999999999</v>
      </c>
      <c r="F4151" t="s">
        <v>58</v>
      </c>
      <c r="G4151">
        <v>-400.697</v>
      </c>
      <c r="H4151" s="1">
        <v>-1.1088089999999999E-6</v>
      </c>
      <c r="I4151">
        <v>130.82769999999999</v>
      </c>
      <c r="J4151">
        <v>-386.81270000000001</v>
      </c>
      <c r="K4151">
        <v>1.113308</v>
      </c>
      <c r="L4151">
        <v>135.9564</v>
      </c>
      <c r="M4151">
        <v>-0.98380400000000001</v>
      </c>
      <c r="N4151">
        <v>0</v>
      </c>
      <c r="O4151">
        <v>-0.1786597</v>
      </c>
      <c r="P4151">
        <v>-0.93233339999999998</v>
      </c>
      <c r="Q4151">
        <v>8.5529859999999999E-2</v>
      </c>
      <c r="R4151">
        <v>-0.35133890000000001</v>
      </c>
      <c r="S4151">
        <v>-2.8478089999999998</v>
      </c>
      <c r="T4151">
        <v>-0.22148689999999999</v>
      </c>
      <c r="U4151">
        <v>-1.03627</v>
      </c>
      <c r="V4151">
        <v>-0.1799579</v>
      </c>
      <c r="W4151">
        <v>9.8169099999999995E-2</v>
      </c>
      <c r="X4151">
        <v>0.97876350000000001</v>
      </c>
      <c r="Y4151">
        <v>-0.1685604</v>
      </c>
      <c r="Z4151">
        <v>6.9451629999999999E-3</v>
      </c>
      <c r="AA4151">
        <v>0.98566690000000001</v>
      </c>
      <c r="AB4151">
        <v>43</v>
      </c>
      <c r="AC4151">
        <v>-13.8842999999999</v>
      </c>
      <c r="AD4151">
        <v>-1.1133091088089999</v>
      </c>
      <c r="AE4151">
        <v>-5.1287000000000003</v>
      </c>
      <c r="AF4151">
        <v>-2.5509085116068699</v>
      </c>
      <c r="AG4151">
        <v>-1.1133091088089999</v>
      </c>
      <c r="AH4151">
        <v>14.4952468474713</v>
      </c>
      <c r="AI4151">
        <v>94.325771084901305</v>
      </c>
      <c r="AJ4151">
        <v>99.980851877783607</v>
      </c>
      <c r="AK4151">
        <v>14.7600397213379</v>
      </c>
      <c r="AL4151">
        <v>84.366251178157995</v>
      </c>
      <c r="AM4151">
        <v>100.41818793104601</v>
      </c>
      <c r="AN4151">
        <v>1.0000000034497301</v>
      </c>
    </row>
    <row r="4152" spans="1:40" x14ac:dyDescent="0.25">
      <c r="A4152" t="str">
        <f>"20190312151621395"</f>
        <v>20190312151621395</v>
      </c>
      <c r="B4152" t="str">
        <f>"1552374981391587"</f>
        <v>1552374981391587</v>
      </c>
      <c r="C4152" t="s">
        <v>40</v>
      </c>
      <c r="D4152">
        <v>4.4284160000000004</v>
      </c>
      <c r="E4152">
        <v>0.50526229999999905</v>
      </c>
      <c r="F4152" t="s">
        <v>58</v>
      </c>
      <c r="G4152">
        <v>-401.46510000000001</v>
      </c>
      <c r="H4152" s="1">
        <v>-1.4048929999999999E-6</v>
      </c>
      <c r="I4152">
        <v>130.56030000000001</v>
      </c>
      <c r="J4152">
        <v>-387.20699999999999</v>
      </c>
      <c r="K4152">
        <v>1.113564</v>
      </c>
      <c r="L4152">
        <v>135.8817</v>
      </c>
      <c r="M4152">
        <v>-0.98311599999999999</v>
      </c>
      <c r="N4152">
        <v>0</v>
      </c>
      <c r="O4152">
        <v>-0.18240790000000001</v>
      </c>
      <c r="P4152">
        <v>-0.93124180000000001</v>
      </c>
      <c r="Q4152">
        <v>8.4031339999999996E-2</v>
      </c>
      <c r="R4152">
        <v>-0.35458109999999998</v>
      </c>
      <c r="S4152">
        <v>-2.843048</v>
      </c>
      <c r="T4152">
        <v>-0.21601870000000001</v>
      </c>
      <c r="U4152">
        <v>-1.0470120000000001</v>
      </c>
      <c r="V4152">
        <v>-0.1796557</v>
      </c>
      <c r="W4152">
        <v>9.6572179999999994E-2</v>
      </c>
      <c r="X4152">
        <v>0.97897789999999996</v>
      </c>
      <c r="Y4152">
        <v>-0.16862539999999901</v>
      </c>
      <c r="Z4152">
        <v>7.0446220000000004E-3</v>
      </c>
      <c r="AA4152">
        <v>0.98565499999999995</v>
      </c>
      <c r="AB4152">
        <v>42</v>
      </c>
      <c r="AC4152">
        <v>-14.258100000000001</v>
      </c>
      <c r="AD4152">
        <v>-1.1135654048929999</v>
      </c>
      <c r="AE4152">
        <v>-5.3213999999999801</v>
      </c>
      <c r="AF4152">
        <v>-2.6170286643876999</v>
      </c>
      <c r="AG4152">
        <v>-1.1135654048929999</v>
      </c>
      <c r="AH4152">
        <v>14.909781841377599</v>
      </c>
      <c r="AI4152">
        <v>94.207232081764303</v>
      </c>
      <c r="AJ4152">
        <v>99.955389114526696</v>
      </c>
      <c r="AK4152">
        <v>15.178618563580599</v>
      </c>
      <c r="AL4152">
        <v>84.4581850329795</v>
      </c>
      <c r="AM4152">
        <v>100.398846824467</v>
      </c>
      <c r="AN4152">
        <v>1.0000000425904201</v>
      </c>
    </row>
    <row r="4153" spans="1:40" x14ac:dyDescent="0.25">
      <c r="A4153" t="str">
        <f>"20190312151621417"</f>
        <v>20190312151621417</v>
      </c>
      <c r="B4153" t="str">
        <f>"1552374981412084"</f>
        <v>1552374981412084</v>
      </c>
      <c r="C4153" t="s">
        <v>40</v>
      </c>
      <c r="D4153">
        <v>4.4884919999999999</v>
      </c>
      <c r="E4153">
        <v>0.50562109999999905</v>
      </c>
      <c r="F4153" t="s">
        <v>58</v>
      </c>
      <c r="G4153">
        <v>-401.84910000000002</v>
      </c>
      <c r="H4153" s="1">
        <v>-1.5626509999999901E-6</v>
      </c>
      <c r="I4153">
        <v>130.44489999999999</v>
      </c>
      <c r="J4153">
        <v>-387.62810000000002</v>
      </c>
      <c r="K4153">
        <v>1.113812</v>
      </c>
      <c r="L4153">
        <v>135.80009999999999</v>
      </c>
      <c r="M4153">
        <v>-0.98232629999999999</v>
      </c>
      <c r="N4153">
        <v>0</v>
      </c>
      <c r="O4153">
        <v>-0.1866129</v>
      </c>
      <c r="P4153">
        <v>-0.92966740000000003</v>
      </c>
      <c r="Q4153">
        <v>8.2554539999999996E-2</v>
      </c>
      <c r="R4153">
        <v>-0.35903119999999999</v>
      </c>
      <c r="S4153">
        <v>-2.8395389999999998</v>
      </c>
      <c r="T4153">
        <v>-0.2159536</v>
      </c>
      <c r="U4153">
        <v>-1.054352</v>
      </c>
      <c r="V4153">
        <v>-0.18017059999999999</v>
      </c>
      <c r="W4153">
        <v>9.4988279999999994E-2</v>
      </c>
      <c r="X4153">
        <v>0.97903819999999997</v>
      </c>
      <c r="Y4153">
        <v>-0.1670575</v>
      </c>
      <c r="Z4153">
        <v>7.4044590000000004E-3</v>
      </c>
      <c r="AA4153">
        <v>0.9859194</v>
      </c>
      <c r="AB4153">
        <v>42</v>
      </c>
      <c r="AC4153">
        <v>-14.221</v>
      </c>
      <c r="AD4153">
        <v>-1.113813562651</v>
      </c>
      <c r="AE4153">
        <v>-5.3551999999999902</v>
      </c>
      <c r="AF4153">
        <v>-2.59307518738752</v>
      </c>
      <c r="AG4153">
        <v>-1.113813562651</v>
      </c>
      <c r="AH4153">
        <v>14.8905896602004</v>
      </c>
      <c r="AI4153">
        <v>94.214555319522105</v>
      </c>
      <c r="AJ4153">
        <v>99.878532559902794</v>
      </c>
      <c r="AK4153">
        <v>15.155668246839401</v>
      </c>
      <c r="AL4153">
        <v>84.549354786951398</v>
      </c>
      <c r="AM4153">
        <v>100.42736921511801</v>
      </c>
      <c r="AN4153">
        <v>1.00000000775047</v>
      </c>
    </row>
    <row r="4154" spans="1:40" x14ac:dyDescent="0.25">
      <c r="A4154" t="str">
        <f>"20190312151621440"</f>
        <v>20190312151621440</v>
      </c>
      <c r="B4154" t="str">
        <f>"1552374981431603"</f>
        <v>1552374981431603</v>
      </c>
      <c r="C4154" t="s">
        <v>40</v>
      </c>
      <c r="D4154">
        <v>4.4980699999999896</v>
      </c>
      <c r="E4154">
        <v>0.50585720000000001</v>
      </c>
      <c r="F4154" t="s">
        <v>58</v>
      </c>
      <c r="G4154">
        <v>-402.11040000000003</v>
      </c>
      <c r="H4154" s="1">
        <v>-1.6655779999999901E-6</v>
      </c>
      <c r="I4154">
        <v>130.35810000000001</v>
      </c>
      <c r="J4154">
        <v>-388.0326</v>
      </c>
      <c r="K4154">
        <v>1.1140350000000001</v>
      </c>
      <c r="L4154">
        <v>135.71979999999999</v>
      </c>
      <c r="M4154">
        <v>-0.98151440000000001</v>
      </c>
      <c r="N4154">
        <v>0</v>
      </c>
      <c r="O4154">
        <v>-0.1908368</v>
      </c>
      <c r="P4154">
        <v>-0.92795810000000001</v>
      </c>
      <c r="Q4154">
        <v>8.1118529999999994E-2</v>
      </c>
      <c r="R4154">
        <v>-0.36375000000000002</v>
      </c>
      <c r="S4154">
        <v>-2.8349299999999999</v>
      </c>
      <c r="T4154">
        <v>-0.21802959999999999</v>
      </c>
      <c r="U4154">
        <v>-1.065277</v>
      </c>
      <c r="V4154">
        <v>-0.18094759999999999</v>
      </c>
      <c r="W4154">
        <v>9.3452099999999996E-2</v>
      </c>
      <c r="X4154">
        <v>0.97904270000000004</v>
      </c>
      <c r="Y4154">
        <v>-0.1666851</v>
      </c>
      <c r="Z4154">
        <v>7.79869999999999E-3</v>
      </c>
      <c r="AA4154">
        <v>0.9859793</v>
      </c>
      <c r="AB4154">
        <v>42</v>
      </c>
      <c r="AC4154">
        <v>-14.0778</v>
      </c>
      <c r="AD4154">
        <v>-1.1140366655779901</v>
      </c>
      <c r="AE4154">
        <v>-5.3616999999999804</v>
      </c>
      <c r="AF4154">
        <v>-2.5622820573094001</v>
      </c>
      <c r="AG4154">
        <v>-1.1140366655779901</v>
      </c>
      <c r="AH4154">
        <v>14.761607285469101</v>
      </c>
      <c r="AI4154">
        <v>94.252498356948607</v>
      </c>
      <c r="AJ4154">
        <v>99.847141939646207</v>
      </c>
      <c r="AK4154">
        <v>15.023695174086701</v>
      </c>
      <c r="AL4154">
        <v>84.637764517675805</v>
      </c>
      <c r="AM4154">
        <v>100.471298398169</v>
      </c>
      <c r="AN4154">
        <v>0.99999996868172902</v>
      </c>
    </row>
    <row r="4155" spans="1:40" x14ac:dyDescent="0.25">
      <c r="A4155" t="str">
        <f>"20190312151621455"</f>
        <v>20190312151621455</v>
      </c>
      <c r="B4155" t="str">
        <f>"1552374981452099"</f>
        <v>1552374981452099</v>
      </c>
      <c r="C4155" t="s">
        <v>40</v>
      </c>
      <c r="D4155">
        <v>4.472035</v>
      </c>
      <c r="E4155">
        <v>0.50611519999999999</v>
      </c>
      <c r="F4155" t="s">
        <v>58</v>
      </c>
      <c r="G4155">
        <v>-402.29790000000003</v>
      </c>
      <c r="H4155" s="1">
        <v>-1.7345479999999999E-6</v>
      </c>
      <c r="I4155">
        <v>130.28659999999999</v>
      </c>
      <c r="J4155">
        <v>-388.30650000000003</v>
      </c>
      <c r="K4155">
        <v>1.114182</v>
      </c>
      <c r="L4155">
        <v>135.6645</v>
      </c>
      <c r="M4155">
        <v>-0.98093660000000005</v>
      </c>
      <c r="N4155">
        <v>0</v>
      </c>
      <c r="O4155">
        <v>-0.1937837</v>
      </c>
      <c r="P4155">
        <v>-0.926651</v>
      </c>
      <c r="Q4155">
        <v>8.0714270000000005E-2</v>
      </c>
      <c r="R4155">
        <v>-0.36715560000000003</v>
      </c>
      <c r="S4155">
        <v>-2.829742</v>
      </c>
      <c r="T4155">
        <v>-0.22098719999999999</v>
      </c>
      <c r="U4155">
        <v>-1.0777589999999999</v>
      </c>
      <c r="V4155">
        <v>-0.1816256</v>
      </c>
      <c r="W4155">
        <v>9.2979720000000002E-2</v>
      </c>
      <c r="X4155">
        <v>0.9789622</v>
      </c>
      <c r="Y4155">
        <v>-0.16812769999999999</v>
      </c>
      <c r="Z4155">
        <v>8.070977E-3</v>
      </c>
      <c r="AA4155">
        <v>0.98573219999999995</v>
      </c>
      <c r="AB4155">
        <v>42</v>
      </c>
      <c r="AC4155">
        <v>-13.991400000000001</v>
      </c>
      <c r="AD4155">
        <v>-1.1141837345479999</v>
      </c>
      <c r="AE4155">
        <v>-5.3779000000000101</v>
      </c>
      <c r="AF4155">
        <v>-2.5502539381868199</v>
      </c>
      <c r="AG4155">
        <v>-1.1141837345479999</v>
      </c>
      <c r="AH4155">
        <v>14.6872360531361</v>
      </c>
      <c r="AI4155">
        <v>94.274471070068302</v>
      </c>
      <c r="AJ4155">
        <v>99.850478405578997</v>
      </c>
      <c r="AK4155">
        <v>14.948581987068501</v>
      </c>
      <c r="AL4155">
        <v>84.664948630073297</v>
      </c>
      <c r="AM4155">
        <v>100.51050609332199</v>
      </c>
      <c r="AN4155">
        <v>1.0000000379677301</v>
      </c>
    </row>
    <row r="4156" spans="1:40" x14ac:dyDescent="0.25">
      <c r="A4156" t="str">
        <f>"20190312151621474"</f>
        <v>20190312151621474</v>
      </c>
      <c r="B4156" t="str">
        <f>"1552374981471619"</f>
        <v>1552374981471619</v>
      </c>
      <c r="C4156" t="s">
        <v>40</v>
      </c>
      <c r="D4156">
        <v>4.5145520000000001</v>
      </c>
      <c r="E4156">
        <v>0.50630589999999998</v>
      </c>
      <c r="F4156" t="s">
        <v>58</v>
      </c>
      <c r="G4156">
        <v>-402.57389999999998</v>
      </c>
      <c r="H4156" s="1">
        <v>-1.8364699999999999E-6</v>
      </c>
      <c r="I4156">
        <v>130.18209999999999</v>
      </c>
      <c r="J4156">
        <v>-388.66219999999998</v>
      </c>
      <c r="K4156">
        <v>1.114363</v>
      </c>
      <c r="L4156">
        <v>135.59119999999999</v>
      </c>
      <c r="M4156">
        <v>-0.9801474</v>
      </c>
      <c r="N4156">
        <v>0</v>
      </c>
      <c r="O4156">
        <v>-0.19773669999999999</v>
      </c>
      <c r="P4156">
        <v>-0.92457809999999996</v>
      </c>
      <c r="Q4156">
        <v>8.0535629999999997E-2</v>
      </c>
      <c r="R4156">
        <v>-0.37238339999999998</v>
      </c>
      <c r="S4156">
        <v>-2.8263850000000001</v>
      </c>
      <c r="T4156">
        <v>-0.22072079999999999</v>
      </c>
      <c r="U4156">
        <v>-1.0860749999999999</v>
      </c>
      <c r="V4156">
        <v>-0.18324660000000001</v>
      </c>
      <c r="W4156">
        <v>9.2704330000000001E-2</v>
      </c>
      <c r="X4156">
        <v>0.97868619999999995</v>
      </c>
      <c r="Y4156">
        <v>-0.16708529999999999</v>
      </c>
      <c r="Z4156">
        <v>8.3923360000000002E-3</v>
      </c>
      <c r="AA4156">
        <v>0.98590670000000002</v>
      </c>
      <c r="AB4156">
        <v>42</v>
      </c>
      <c r="AC4156">
        <v>-13.9116999999999</v>
      </c>
      <c r="AD4156">
        <v>-1.1143648364700001</v>
      </c>
      <c r="AE4156">
        <v>-5.4090999999999898</v>
      </c>
      <c r="AF4156">
        <v>-2.53699046681065</v>
      </c>
      <c r="AG4156">
        <v>-1.1143648364700001</v>
      </c>
      <c r="AH4156">
        <v>14.6251301753842</v>
      </c>
      <c r="AI4156">
        <v>94.293372273606295</v>
      </c>
      <c r="AJ4156">
        <v>99.841048429810996</v>
      </c>
      <c r="AK4156">
        <v>14.885313643466899</v>
      </c>
      <c r="AL4156">
        <v>84.680795790613104</v>
      </c>
      <c r="AM4156">
        <v>100.60511633966701</v>
      </c>
      <c r="AN4156">
        <v>1.0000000436413701</v>
      </c>
    </row>
    <row r="4157" spans="1:40" x14ac:dyDescent="0.25">
      <c r="A4157" t="str">
        <f>"20190312151621496"</f>
        <v>20190312151621496</v>
      </c>
      <c r="B4157" t="str">
        <f>"1552374981492115"</f>
        <v>1552374981492115</v>
      </c>
      <c r="C4157" t="s">
        <v>40</v>
      </c>
      <c r="D4157">
        <v>4.5085169999999897</v>
      </c>
      <c r="E4157">
        <v>0.50662689999999999</v>
      </c>
      <c r="F4157" t="s">
        <v>58</v>
      </c>
      <c r="G4157">
        <v>-402.94740000000002</v>
      </c>
      <c r="H4157" s="1">
        <v>-1.9617690000000002E-6</v>
      </c>
      <c r="I4157">
        <v>130.01679999999999</v>
      </c>
      <c r="J4157">
        <v>-389.06900000000002</v>
      </c>
      <c r="K4157">
        <v>1.114557</v>
      </c>
      <c r="L4157">
        <v>135.50530000000001</v>
      </c>
      <c r="M4157">
        <v>-0.97919319999999999</v>
      </c>
      <c r="N4157">
        <v>0</v>
      </c>
      <c r="O4157">
        <v>-0.2024087</v>
      </c>
      <c r="P4157">
        <v>-0.9221374</v>
      </c>
      <c r="Q4157">
        <v>8.1404130000000005E-2</v>
      </c>
      <c r="R4157">
        <v>-0.37820110000000001</v>
      </c>
      <c r="S4157">
        <v>-2.8205870000000002</v>
      </c>
      <c r="T4157">
        <v>-0.22002959999999999</v>
      </c>
      <c r="U4157">
        <v>-1.1006469999999999</v>
      </c>
      <c r="V4157">
        <v>-0.18481700000000001</v>
      </c>
      <c r="W4157">
        <v>9.3468250000000003E-2</v>
      </c>
      <c r="X4157">
        <v>0.97831820000000003</v>
      </c>
      <c r="Y4157">
        <v>-0.16750019999999999</v>
      </c>
      <c r="Z4157">
        <v>8.6963700000000001E-3</v>
      </c>
      <c r="AA4157">
        <v>0.98583370000000003</v>
      </c>
      <c r="AB4157">
        <v>42</v>
      </c>
      <c r="AC4157">
        <v>-13.878399999999999</v>
      </c>
      <c r="AD4157">
        <v>-1.1145589617689999</v>
      </c>
      <c r="AE4157">
        <v>-5.4885000000000099</v>
      </c>
      <c r="AF4157">
        <v>-2.5512352700794398</v>
      </c>
      <c r="AG4157">
        <v>-1.1145589617689999</v>
      </c>
      <c r="AH4157">
        <v>14.6205665226235</v>
      </c>
      <c r="AI4157">
        <v>94.294709587560305</v>
      </c>
      <c r="AJ4157">
        <v>99.898242732257899</v>
      </c>
      <c r="AK4157">
        <v>14.8832794949573</v>
      </c>
      <c r="AL4157">
        <v>84.636835661652697</v>
      </c>
      <c r="AM4157">
        <v>100.697843126696</v>
      </c>
      <c r="AN4157">
        <v>1.0000000688491399</v>
      </c>
    </row>
    <row r="4158" spans="1:40" x14ac:dyDescent="0.25">
      <c r="A4158" t="str">
        <f>"20190312151621510"</f>
        <v>20190312151621510</v>
      </c>
      <c r="B4158" t="str">
        <f>"1552374981501875"</f>
        <v>1552374981501875</v>
      </c>
      <c r="C4158" t="s">
        <v>40</v>
      </c>
      <c r="D4158">
        <v>4.5543529999999999</v>
      </c>
      <c r="E4158">
        <v>0.50662689999999999</v>
      </c>
      <c r="F4158" t="s">
        <v>58</v>
      </c>
      <c r="G4158">
        <v>-403.53250000000003</v>
      </c>
      <c r="H4158" s="1">
        <v>-2.164248E-6</v>
      </c>
      <c r="I4158">
        <v>129.7696</v>
      </c>
      <c r="J4158">
        <v>-389.33960000000002</v>
      </c>
      <c r="K4158">
        <v>1.114684</v>
      </c>
      <c r="L4158">
        <v>135.44710000000001</v>
      </c>
      <c r="M4158">
        <v>-0.9785317</v>
      </c>
      <c r="N4158">
        <v>0</v>
      </c>
      <c r="O4158">
        <v>-0.2055825</v>
      </c>
      <c r="P4158">
        <v>-0.92064729999999995</v>
      </c>
      <c r="Q4158">
        <v>8.1755820000000007E-2</v>
      </c>
      <c r="R4158">
        <v>-0.3817391</v>
      </c>
      <c r="S4158">
        <v>-2.8146360000000001</v>
      </c>
      <c r="T4158">
        <v>-0.2168968</v>
      </c>
      <c r="U4158">
        <v>-1.1161799999999999</v>
      </c>
      <c r="V4158">
        <v>-0.18544160000000001</v>
      </c>
      <c r="W4158">
        <v>9.3759259999999997E-2</v>
      </c>
      <c r="X4158">
        <v>0.97817209999999999</v>
      </c>
      <c r="Y4158">
        <v>-0.16971900000000001</v>
      </c>
      <c r="Z4158">
        <v>8.7241360000000004E-3</v>
      </c>
      <c r="AA4158">
        <v>0.98545389999999999</v>
      </c>
      <c r="AB4158">
        <v>42</v>
      </c>
      <c r="AC4158">
        <v>-14.1929</v>
      </c>
      <c r="AD4158">
        <v>-1.1146861642479999</v>
      </c>
      <c r="AE4158">
        <v>-5.6775000000000002</v>
      </c>
      <c r="AF4158">
        <v>-2.62412743226901</v>
      </c>
      <c r="AG4158">
        <v>-1.1146861642479999</v>
      </c>
      <c r="AH4158">
        <v>14.977349656414299</v>
      </c>
      <c r="AI4158">
        <v>94.192745843319599</v>
      </c>
      <c r="AJ4158">
        <v>99.937719241940599</v>
      </c>
      <c r="AK4158">
        <v>15.246297017834999</v>
      </c>
      <c r="AL4158">
        <v>84.620088218879701</v>
      </c>
      <c r="AM4158">
        <v>100.73472444301601</v>
      </c>
      <c r="AN4158">
        <v>1.0000000215323499</v>
      </c>
    </row>
    <row r="4159" spans="1:40" x14ac:dyDescent="0.25">
      <c r="A4159" t="str">
        <f>"20190312151621529"</f>
        <v>20190312151621529</v>
      </c>
      <c r="B4159" t="str">
        <f>"1552374981522375"</f>
        <v>1552374981522375</v>
      </c>
      <c r="C4159" t="s">
        <v>40</v>
      </c>
      <c r="D4159">
        <v>4.5267210000000002</v>
      </c>
      <c r="E4159">
        <v>0.51683769999999996</v>
      </c>
      <c r="F4159" t="s">
        <v>58</v>
      </c>
      <c r="G4159">
        <v>-403.8544</v>
      </c>
      <c r="H4159" s="1">
        <v>-2.271602E-6</v>
      </c>
      <c r="I4159">
        <v>129.626</v>
      </c>
      <c r="J4159">
        <v>-389.67169999999999</v>
      </c>
      <c r="K4159">
        <v>1.114822</v>
      </c>
      <c r="L4159">
        <v>135.37430000000001</v>
      </c>
      <c r="M4159">
        <v>-0.97768860000000002</v>
      </c>
      <c r="N4159">
        <v>0</v>
      </c>
      <c r="O4159">
        <v>-0.2095552</v>
      </c>
      <c r="P4159">
        <v>-0.91913909999999999</v>
      </c>
      <c r="Q4159">
        <v>8.2667379999999999E-2</v>
      </c>
      <c r="R4159">
        <v>-0.3851617</v>
      </c>
      <c r="S4159">
        <v>-2.8103940000000001</v>
      </c>
      <c r="T4159">
        <v>-0.21582879999999999</v>
      </c>
      <c r="U4159">
        <v>-1.1271059999999999</v>
      </c>
      <c r="V4159">
        <v>-0.1851681</v>
      </c>
      <c r="W4159">
        <v>9.4615649999999996E-2</v>
      </c>
      <c r="X4159">
        <v>0.97814140000000005</v>
      </c>
      <c r="Y4159">
        <v>-0.16953969999999999</v>
      </c>
      <c r="Z4159">
        <v>8.9752970000000001E-3</v>
      </c>
      <c r="AA4159">
        <v>0.98548250000000004</v>
      </c>
      <c r="AB4159">
        <v>42</v>
      </c>
      <c r="AC4159">
        <v>-14.182700000000001</v>
      </c>
      <c r="AD4159">
        <v>-1.114824271602</v>
      </c>
      <c r="AE4159">
        <v>-5.7483000000000004</v>
      </c>
      <c r="AF4159">
        <v>-2.6342891628996701</v>
      </c>
      <c r="AG4159">
        <v>-1.114824271602</v>
      </c>
      <c r="AH4159">
        <v>14.9928794486296</v>
      </c>
      <c r="AI4159">
        <v>94.188582913909499</v>
      </c>
      <c r="AJ4159">
        <v>99.9653053287511</v>
      </c>
      <c r="AK4159">
        <v>15.263313752637799</v>
      </c>
      <c r="AL4159">
        <v>84.570801313715194</v>
      </c>
      <c r="AM4159">
        <v>100.719588004672</v>
      </c>
      <c r="AN4159">
        <v>0.99999997243824501</v>
      </c>
    </row>
    <row r="4160" spans="1:40" x14ac:dyDescent="0.25">
      <c r="A4160" t="str">
        <f>"20190312151621544"</f>
        <v>20190312151621544</v>
      </c>
      <c r="B4160" t="str">
        <f>"1552374981541892"</f>
        <v>1552374981541892</v>
      </c>
      <c r="C4160" t="s">
        <v>40</v>
      </c>
      <c r="D4160">
        <v>4.7699530000000001</v>
      </c>
      <c r="E4160">
        <v>0.51757589999999998</v>
      </c>
      <c r="F4160" t="s">
        <v>58</v>
      </c>
      <c r="G4160">
        <v>-400.50720000000001</v>
      </c>
      <c r="H4160" s="1">
        <v>-1.250946E-6</v>
      </c>
      <c r="I4160">
        <v>131.29990000000001</v>
      </c>
      <c r="J4160">
        <v>-389.95190000000002</v>
      </c>
      <c r="K4160">
        <v>1.1149260000000001</v>
      </c>
      <c r="L4160">
        <v>135.3116</v>
      </c>
      <c r="M4160">
        <v>-0.97695299999999996</v>
      </c>
      <c r="N4160">
        <v>0</v>
      </c>
      <c r="O4160">
        <v>-0.2129576</v>
      </c>
      <c r="P4160">
        <v>-0.91795700000000002</v>
      </c>
      <c r="Q4160">
        <v>8.2889790000000005E-2</v>
      </c>
      <c r="R4160">
        <v>-0.38792320000000002</v>
      </c>
      <c r="S4160">
        <v>-2.842346</v>
      </c>
      <c r="T4160">
        <v>-0.29243960000000002</v>
      </c>
      <c r="U4160">
        <v>-1.0687869999999999</v>
      </c>
      <c r="V4160">
        <v>-0.1847348</v>
      </c>
      <c r="W4160">
        <v>9.4800309999999999E-2</v>
      </c>
      <c r="X4160">
        <v>0.9782054</v>
      </c>
      <c r="Y4160">
        <v>-0.14483260000000001</v>
      </c>
      <c r="Z4160">
        <v>1.3627719999999999E-2</v>
      </c>
      <c r="AA4160">
        <v>0.98936230000000003</v>
      </c>
      <c r="AB4160">
        <v>42</v>
      </c>
      <c r="AC4160">
        <v>-10.5552999999999</v>
      </c>
      <c r="AD4160">
        <v>-1.114927250946</v>
      </c>
      <c r="AE4160">
        <v>-4.0116999999999896</v>
      </c>
      <c r="AF4160">
        <v>-1.65544930777567</v>
      </c>
      <c r="AG4160">
        <v>-1.114927250946</v>
      </c>
      <c r="AH4160">
        <v>11.059717247850299</v>
      </c>
      <c r="AI4160">
        <v>95.693520417810802</v>
      </c>
      <c r="AJ4160">
        <v>98.512989789218906</v>
      </c>
      <c r="AK4160">
        <v>11.2383682440074</v>
      </c>
      <c r="AL4160">
        <v>84.560173043222093</v>
      </c>
      <c r="AM4160">
        <v>100.694399477624</v>
      </c>
      <c r="AN4160">
        <v>0.99999992484814504</v>
      </c>
    </row>
    <row r="4161" spans="1:40" x14ac:dyDescent="0.25">
      <c r="A4161" t="str">
        <f>"20190312151621560"</f>
        <v>20190312151621560</v>
      </c>
      <c r="B4161" t="str">
        <f>"1552374981552628"</f>
        <v>1552374981552628</v>
      </c>
      <c r="C4161" t="s">
        <v>40</v>
      </c>
      <c r="D4161">
        <v>4.566967</v>
      </c>
      <c r="E4161">
        <v>0.5176904</v>
      </c>
      <c r="F4161" t="s">
        <v>58</v>
      </c>
      <c r="G4161">
        <v>-400.63319999999999</v>
      </c>
      <c r="H4161" s="1">
        <v>-1.311987E-6</v>
      </c>
      <c r="I4161">
        <v>131.27950000000001</v>
      </c>
      <c r="J4161">
        <v>-390.22930000000002</v>
      </c>
      <c r="K4161">
        <v>1.1150249999999999</v>
      </c>
      <c r="L4161">
        <v>135.24870000000001</v>
      </c>
      <c r="M4161">
        <v>-0.97620490000000004</v>
      </c>
      <c r="N4161">
        <v>0</v>
      </c>
      <c r="O4161">
        <v>-0.2163611</v>
      </c>
      <c r="P4161">
        <v>-0.91685649999999996</v>
      </c>
      <c r="Q4161">
        <v>8.2617300000000005E-2</v>
      </c>
      <c r="R4161">
        <v>-0.39057530000000001</v>
      </c>
      <c r="S4161">
        <v>-2.841583</v>
      </c>
      <c r="T4161">
        <v>-0.29660819999999999</v>
      </c>
      <c r="U4161">
        <v>-1.072678</v>
      </c>
      <c r="V4161">
        <v>-0.18416689999999999</v>
      </c>
      <c r="W4161">
        <v>9.4496499999999997E-2</v>
      </c>
      <c r="X4161">
        <v>0.97834189999999999</v>
      </c>
      <c r="Y4161">
        <v>-0.14269129999999899</v>
      </c>
      <c r="Z4161">
        <v>1.425829E-2</v>
      </c>
      <c r="AA4161">
        <v>0.98966460000000001</v>
      </c>
      <c r="AB4161">
        <v>42</v>
      </c>
      <c r="AC4161">
        <v>-10.403899999999901</v>
      </c>
      <c r="AD4161">
        <v>-1.1150263119870001</v>
      </c>
      <c r="AE4161">
        <v>-3.9691999999999998</v>
      </c>
      <c r="AF4161">
        <v>-1.6078040996788601</v>
      </c>
      <c r="AG4161">
        <v>-1.1150263119870001</v>
      </c>
      <c r="AH4161">
        <v>10.906923822224901</v>
      </c>
      <c r="AI4161">
        <v>95.775147896729493</v>
      </c>
      <c r="AJ4161">
        <v>98.385654467643207</v>
      </c>
      <c r="AK4161">
        <v>11.081033569265299</v>
      </c>
      <c r="AL4161">
        <v>84.577658732959705</v>
      </c>
      <c r="AM4161">
        <v>100.660824796003</v>
      </c>
      <c r="AN4161">
        <v>0.99999995443173395</v>
      </c>
    </row>
    <row r="4162" spans="1:40" x14ac:dyDescent="0.25">
      <c r="A4162" t="str">
        <f>"20190312151621577"</f>
        <v>20190312151621577</v>
      </c>
      <c r="B4162" t="str">
        <f>"1552374981572147"</f>
        <v>1552374981572147</v>
      </c>
      <c r="C4162" t="s">
        <v>40</v>
      </c>
      <c r="D4162">
        <v>4.5733769999999998</v>
      </c>
      <c r="E4162">
        <v>0.51772200000000002</v>
      </c>
      <c r="F4162" t="s">
        <v>58</v>
      </c>
      <c r="G4162">
        <v>-400.88279999999997</v>
      </c>
      <c r="H4162" s="1">
        <v>-1.4090810000000001E-6</v>
      </c>
      <c r="I4162">
        <v>131.1943</v>
      </c>
      <c r="J4162">
        <v>-390.52949999999998</v>
      </c>
      <c r="K4162">
        <v>1.115119</v>
      </c>
      <c r="L4162">
        <v>135.17939999999999</v>
      </c>
      <c r="M4162">
        <v>-0.9753733</v>
      </c>
      <c r="N4162">
        <v>0</v>
      </c>
      <c r="O4162">
        <v>-0.22007959999999999</v>
      </c>
      <c r="P4162">
        <v>-0.91601410000000005</v>
      </c>
      <c r="Q4162">
        <v>8.1470979999999998E-2</v>
      </c>
      <c r="R4162">
        <v>-0.39278629999999998</v>
      </c>
      <c r="S4162">
        <v>-2.8386230000000001</v>
      </c>
      <c r="T4162">
        <v>-0.29709819999999998</v>
      </c>
      <c r="U4162">
        <v>-1.080292</v>
      </c>
      <c r="V4162">
        <v>-0.1827821</v>
      </c>
      <c r="W4162">
        <v>9.3334360000000005E-2</v>
      </c>
      <c r="X4162">
        <v>0.97871319999999995</v>
      </c>
      <c r="Y4162">
        <v>-0.14160420000000001</v>
      </c>
      <c r="Z4162">
        <v>1.47032E-2</v>
      </c>
      <c r="AA4162">
        <v>0.98981419999999998</v>
      </c>
      <c r="AB4162">
        <v>42</v>
      </c>
      <c r="AC4162">
        <v>-10.3532999999999</v>
      </c>
      <c r="AD4162">
        <v>-1.1151204090809901</v>
      </c>
      <c r="AE4162">
        <v>-3.9850999999999801</v>
      </c>
      <c r="AF4162">
        <v>-1.59249024347291</v>
      </c>
      <c r="AG4162">
        <v>-1.1151204090809901</v>
      </c>
      <c r="AH4162">
        <v>10.866739219609601</v>
      </c>
      <c r="AI4162">
        <v>95.797560561992697</v>
      </c>
      <c r="AJ4162">
        <v>98.337190869504994</v>
      </c>
      <c r="AK4162">
        <v>11.0392726195753</v>
      </c>
      <c r="AL4162">
        <v>84.644540645617894</v>
      </c>
      <c r="AM4162">
        <v>100.578556399992</v>
      </c>
      <c r="AN4162">
        <v>1.0000000633456201</v>
      </c>
    </row>
    <row r="4163" spans="1:40" x14ac:dyDescent="0.25">
      <c r="A4163" t="str">
        <f>"20190312151621596"</f>
        <v>20190312151621596</v>
      </c>
      <c r="B4163" t="str">
        <f>"1552374981591669"</f>
        <v>1552374981591669</v>
      </c>
      <c r="C4163" t="s">
        <v>40</v>
      </c>
      <c r="D4163">
        <v>4.5292770000000004</v>
      </c>
      <c r="E4163">
        <v>0.51730259999999995</v>
      </c>
      <c r="F4163" t="s">
        <v>58</v>
      </c>
      <c r="G4163">
        <v>-401.02480000000003</v>
      </c>
      <c r="H4163" s="1">
        <v>-1.469644E-6</v>
      </c>
      <c r="I4163">
        <v>131.1558</v>
      </c>
      <c r="J4163">
        <v>-390.90550000000002</v>
      </c>
      <c r="K4163">
        <v>1.115216</v>
      </c>
      <c r="L4163">
        <v>135.0908</v>
      </c>
      <c r="M4163">
        <v>-0.97430000000000005</v>
      </c>
      <c r="N4163">
        <v>0</v>
      </c>
      <c r="O4163">
        <v>-0.2247827</v>
      </c>
      <c r="P4163">
        <v>-0.91478340000000002</v>
      </c>
      <c r="Q4163">
        <v>7.9963129999999993E-2</v>
      </c>
      <c r="R4163">
        <v>-0.39595089999999999</v>
      </c>
      <c r="S4163">
        <v>-2.8357540000000001</v>
      </c>
      <c r="T4163">
        <v>-0.3012995</v>
      </c>
      <c r="U4163">
        <v>-1.087143</v>
      </c>
      <c r="V4163">
        <v>-0.1814152</v>
      </c>
      <c r="W4163">
        <v>9.180932E-2</v>
      </c>
      <c r="X4163">
        <v>0.97911159999999997</v>
      </c>
      <c r="Y4163">
        <v>-0.1392902</v>
      </c>
      <c r="Z4163">
        <v>1.549736E-2</v>
      </c>
      <c r="AA4163">
        <v>0.99013030000000002</v>
      </c>
      <c r="AB4163">
        <v>42</v>
      </c>
      <c r="AC4163">
        <v>-10.119300000000001</v>
      </c>
      <c r="AD4163">
        <v>-1.115217469644</v>
      </c>
      <c r="AE4163">
        <v>-3.9350000000000001</v>
      </c>
      <c r="AF4163">
        <v>-1.54311220834024</v>
      </c>
      <c r="AG4163">
        <v>-1.115217469644</v>
      </c>
      <c r="AH4163">
        <v>10.632716492290299</v>
      </c>
      <c r="AI4163">
        <v>95.925968880990297</v>
      </c>
      <c r="AJ4163">
        <v>98.257608618775393</v>
      </c>
      <c r="AK4163">
        <v>10.8018315714303</v>
      </c>
      <c r="AL4163">
        <v>84.732295361116698</v>
      </c>
      <c r="AM4163">
        <v>100.49703495510801</v>
      </c>
      <c r="AN4163">
        <v>0.99999997564222998</v>
      </c>
    </row>
    <row r="4164" spans="1:40" x14ac:dyDescent="0.25">
      <c r="A4164" t="str">
        <f>"20190312151621618"</f>
        <v>20190312151621618</v>
      </c>
      <c r="B4164" t="str">
        <f>"1552374981612164"</f>
        <v>1552374981612164</v>
      </c>
      <c r="C4164" t="s">
        <v>40</v>
      </c>
      <c r="D4164">
        <v>4.5000080000000002</v>
      </c>
      <c r="E4164">
        <v>0.51840079999999999</v>
      </c>
      <c r="F4164" t="s">
        <v>43</v>
      </c>
      <c r="G4164">
        <v>-398.93689999999998</v>
      </c>
      <c r="H4164" s="1">
        <v>-2.3854850000000001E-6</v>
      </c>
      <c r="I4164">
        <v>131.958</v>
      </c>
      <c r="J4164">
        <v>-391.3048</v>
      </c>
      <c r="K4164">
        <v>1.1153029999999999</v>
      </c>
      <c r="L4164">
        <v>134.99459999999999</v>
      </c>
      <c r="M4164">
        <v>-0.97312540000000003</v>
      </c>
      <c r="N4164">
        <v>0</v>
      </c>
      <c r="O4164">
        <v>-0.22981480000000001</v>
      </c>
      <c r="P4164">
        <v>-0.91314399999999996</v>
      </c>
      <c r="Q4164">
        <v>7.8984990000000005E-2</v>
      </c>
      <c r="R4164">
        <v>-0.39991209999999999</v>
      </c>
      <c r="S4164">
        <v>-2.835175</v>
      </c>
      <c r="T4164">
        <v>-0.3936868</v>
      </c>
      <c r="U4164">
        <v>-1.105896</v>
      </c>
      <c r="V4164">
        <v>-0.18058479999999999</v>
      </c>
      <c r="W4164">
        <v>9.0809790000000001E-2</v>
      </c>
      <c r="X4164">
        <v>0.97935830000000001</v>
      </c>
      <c r="Y4164">
        <v>-0.1402457</v>
      </c>
      <c r="Z4164">
        <v>2.0769449999999998E-2</v>
      </c>
      <c r="AA4164">
        <v>0.98989890000000003</v>
      </c>
      <c r="AB4164">
        <v>42</v>
      </c>
      <c r="AC4164">
        <v>-7.6320999999999799</v>
      </c>
      <c r="AD4164">
        <v>-1.1153053854849999</v>
      </c>
      <c r="AE4164">
        <v>-3.0365999999999902</v>
      </c>
      <c r="AF4164">
        <v>-1.17940637004602</v>
      </c>
      <c r="AG4164">
        <v>-1.1153053854849999</v>
      </c>
      <c r="AH4164">
        <v>7.9786104657623396</v>
      </c>
      <c r="AI4164">
        <v>97.873172624788495</v>
      </c>
      <c r="AJ4164">
        <v>98.408627856233196</v>
      </c>
      <c r="AK4164">
        <v>8.1420593496344296</v>
      </c>
      <c r="AL4164">
        <v>84.789804499408604</v>
      </c>
      <c r="AM4164">
        <v>100.447472855217</v>
      </c>
      <c r="AN4164">
        <v>0.99999998386488698</v>
      </c>
    </row>
    <row r="4165" spans="1:40" x14ac:dyDescent="0.25">
      <c r="A4165" t="str">
        <f>"20190312151621634"</f>
        <v>20190312151621634</v>
      </c>
      <c r="B4165" t="str">
        <f>"1552374981621923"</f>
        <v>1552374981621923</v>
      </c>
      <c r="C4165" t="s">
        <v>40</v>
      </c>
      <c r="D4165">
        <v>4.5901699999999996</v>
      </c>
      <c r="E4165">
        <v>0.51840079999999999</v>
      </c>
      <c r="F4165" t="s">
        <v>43</v>
      </c>
      <c r="G4165">
        <v>-398.09969999999998</v>
      </c>
      <c r="H4165" s="1">
        <v>-2.5729139999999999E-6</v>
      </c>
      <c r="I4165">
        <v>132.32429999999999</v>
      </c>
      <c r="J4165">
        <v>-391.58499999999998</v>
      </c>
      <c r="K4165">
        <v>1.1153550000000001</v>
      </c>
      <c r="L4165">
        <v>134.92590000000001</v>
      </c>
      <c r="M4165">
        <v>-0.97228099999999995</v>
      </c>
      <c r="N4165">
        <v>0</v>
      </c>
      <c r="O4165">
        <v>-0.23336019999999999</v>
      </c>
      <c r="P4165">
        <v>-0.91184259999999995</v>
      </c>
      <c r="Q4165">
        <v>7.8996960000000005E-2</v>
      </c>
      <c r="R4165">
        <v>-0.40286729999999998</v>
      </c>
      <c r="S4165">
        <v>-2.8373409999999999</v>
      </c>
      <c r="T4165">
        <v>-0.46572210000000003</v>
      </c>
      <c r="U4165">
        <v>-1.1149899999999999</v>
      </c>
      <c r="V4165">
        <v>-0.18019959999999999</v>
      </c>
      <c r="W4165">
        <v>9.0806919999999999E-2</v>
      </c>
      <c r="X4165">
        <v>0.97942949999999995</v>
      </c>
      <c r="Y4165">
        <v>-0.13945569999999999</v>
      </c>
      <c r="Z4165">
        <v>2.509111E-2</v>
      </c>
      <c r="AA4165">
        <v>0.98991039999999997</v>
      </c>
      <c r="AB4165">
        <v>42</v>
      </c>
      <c r="AC4165">
        <v>-6.5147000000000004</v>
      </c>
      <c r="AD4165">
        <v>-1.115357572914</v>
      </c>
      <c r="AE4165">
        <v>-2.6016000000000101</v>
      </c>
      <c r="AF4165">
        <v>-0.98443530709169103</v>
      </c>
      <c r="AG4165">
        <v>-1.115357572914</v>
      </c>
      <c r="AH4165">
        <v>6.7708009152391098</v>
      </c>
      <c r="AI4165">
        <v>99.2587153523247</v>
      </c>
      <c r="AJ4165">
        <v>98.272507926843701</v>
      </c>
      <c r="AK4165">
        <v>6.9323070058320502</v>
      </c>
      <c r="AL4165">
        <v>84.789969542933605</v>
      </c>
      <c r="AM4165">
        <v>100.42493555402</v>
      </c>
      <c r="AN4165">
        <v>0.99999996901514698</v>
      </c>
    </row>
    <row r="4166" spans="1:40" x14ac:dyDescent="0.25">
      <c r="A4166" t="str">
        <f>"20190312151621652"</f>
        <v>20190312151621652</v>
      </c>
      <c r="B4166" t="str">
        <f>"1552374981642420"</f>
        <v>1552374981642420</v>
      </c>
      <c r="C4166" t="s">
        <v>40</v>
      </c>
      <c r="D4166">
        <v>4.569</v>
      </c>
      <c r="E4166">
        <v>0.51736359999999904</v>
      </c>
      <c r="F4166" t="s">
        <v>43</v>
      </c>
      <c r="G4166">
        <v>-398.37119999999999</v>
      </c>
      <c r="H4166" s="1">
        <v>-2.504794E-6</v>
      </c>
      <c r="I4166">
        <v>132.233</v>
      </c>
      <c r="J4166">
        <v>-391.91430000000003</v>
      </c>
      <c r="K4166">
        <v>1.1154139999999999</v>
      </c>
      <c r="L4166">
        <v>134.84370000000001</v>
      </c>
      <c r="M4166">
        <v>-0.97126789999999996</v>
      </c>
      <c r="N4166">
        <v>0</v>
      </c>
      <c r="O4166">
        <v>-0.237542</v>
      </c>
      <c r="P4166">
        <v>-0.91038229999999998</v>
      </c>
      <c r="Q4166">
        <v>7.9346189999999997E-2</v>
      </c>
      <c r="R4166">
        <v>-0.40608899999999998</v>
      </c>
      <c r="S4166">
        <v>-2.833618</v>
      </c>
      <c r="T4166">
        <v>-0.465723</v>
      </c>
      <c r="U4166">
        <v>-1.124374</v>
      </c>
      <c r="V4166">
        <v>-0.17947050000000001</v>
      </c>
      <c r="W4166">
        <v>9.1146469999999993E-2</v>
      </c>
      <c r="X4166">
        <v>0.97953190000000001</v>
      </c>
      <c r="Y4166">
        <v>-0.13852879999999901</v>
      </c>
      <c r="Z4166">
        <v>2.5806099999999998E-2</v>
      </c>
      <c r="AA4166">
        <v>0.99002210000000002</v>
      </c>
      <c r="AB4166">
        <v>42</v>
      </c>
      <c r="AC4166">
        <v>-6.4568999999999601</v>
      </c>
      <c r="AD4166">
        <v>-1.1154165047939999</v>
      </c>
      <c r="AE4166">
        <v>-2.6107</v>
      </c>
      <c r="AF4166">
        <v>-0.97695295476396504</v>
      </c>
      <c r="AG4166">
        <v>-1.1154165047939999</v>
      </c>
      <c r="AH4166">
        <v>6.7199053651340304</v>
      </c>
      <c r="AI4166">
        <v>99.328111703589201</v>
      </c>
      <c r="AJ4166">
        <v>98.271819624210096</v>
      </c>
      <c r="AK4166">
        <v>6.88154918396621</v>
      </c>
      <c r="AL4166">
        <v>84.770434124530397</v>
      </c>
      <c r="AM4166">
        <v>100.382612975214</v>
      </c>
      <c r="AN4166">
        <v>1.00000004124065</v>
      </c>
    </row>
    <row r="4167" spans="1:40" x14ac:dyDescent="0.25">
      <c r="A4167" t="str">
        <f>"20190312151621668"</f>
        <v>20190312151621668</v>
      </c>
      <c r="B4167" t="str">
        <f>"1552374981661940"</f>
        <v>1552374981661940</v>
      </c>
      <c r="C4167" t="s">
        <v>40</v>
      </c>
      <c r="D4167">
        <v>4.5092280000000002</v>
      </c>
      <c r="E4167">
        <v>0.51750799999999997</v>
      </c>
      <c r="F4167" t="s">
        <v>43</v>
      </c>
      <c r="G4167">
        <v>-399.81020000000001</v>
      </c>
      <c r="H4167" s="1">
        <v>-2.1671789999999998E-6</v>
      </c>
      <c r="I4167">
        <v>131.66159999999999</v>
      </c>
      <c r="J4167">
        <v>-392.20119999999997</v>
      </c>
      <c r="K4167">
        <v>1.1154550000000001</v>
      </c>
      <c r="L4167">
        <v>134.7706</v>
      </c>
      <c r="M4167">
        <v>-0.97036770000000006</v>
      </c>
      <c r="N4167">
        <v>0</v>
      </c>
      <c r="O4167">
        <v>-0.24119360000000001</v>
      </c>
      <c r="P4167">
        <v>-0.90873300000000001</v>
      </c>
      <c r="Q4167">
        <v>7.9944630000000003E-2</v>
      </c>
      <c r="R4167">
        <v>-0.40965010000000002</v>
      </c>
      <c r="S4167">
        <v>-2.8226619999999998</v>
      </c>
      <c r="T4167">
        <v>-0.3987484</v>
      </c>
      <c r="U4167">
        <v>-1.137527</v>
      </c>
      <c r="V4167">
        <v>-0.17965110000000001</v>
      </c>
      <c r="W4167">
        <v>9.1725290000000001E-2</v>
      </c>
      <c r="X4167">
        <v>0.97944469999999995</v>
      </c>
      <c r="Y4167">
        <v>-0.13983010000000001</v>
      </c>
      <c r="Z4167">
        <v>2.2569769999999999E-2</v>
      </c>
      <c r="AA4167">
        <v>0.98991819999999997</v>
      </c>
      <c r="AB4167">
        <v>42</v>
      </c>
      <c r="AC4167">
        <v>-7.6090000000000302</v>
      </c>
      <c r="AD4167">
        <v>-1.1154571671789999</v>
      </c>
      <c r="AE4167">
        <v>-3.109</v>
      </c>
      <c r="AF4167">
        <v>-1.16038662032881</v>
      </c>
      <c r="AG4167">
        <v>-1.1154571671789999</v>
      </c>
      <c r="AH4167">
        <v>7.9871689654814304</v>
      </c>
      <c r="AI4167">
        <v>97.868729530429405</v>
      </c>
      <c r="AJ4167">
        <v>98.266174328601295</v>
      </c>
      <c r="AK4167">
        <v>8.1477364883505405</v>
      </c>
      <c r="AL4167">
        <v>84.737130368076294</v>
      </c>
      <c r="AM4167">
        <v>100.393738481754</v>
      </c>
      <c r="AN4167">
        <v>0.99999998345744101</v>
      </c>
    </row>
    <row r="4168" spans="1:40" x14ac:dyDescent="0.25">
      <c r="A4168" t="str">
        <f>"20190312151621686"</f>
        <v>20190312151621686</v>
      </c>
      <c r="B4168" t="str">
        <f>"1552374981682436"</f>
        <v>1552374981682436</v>
      </c>
      <c r="C4168" t="s">
        <v>40</v>
      </c>
      <c r="D4168">
        <v>4.5368269999999997</v>
      </c>
      <c r="E4168">
        <v>0.51764619999999995</v>
      </c>
      <c r="F4168" t="s">
        <v>58</v>
      </c>
      <c r="G4168">
        <v>-400.09039999999999</v>
      </c>
      <c r="H4168" s="1">
        <v>-1.150599E-6</v>
      </c>
      <c r="I4168">
        <v>131.55869999999999</v>
      </c>
      <c r="J4168">
        <v>-392.52330000000001</v>
      </c>
      <c r="K4168">
        <v>1.1154919999999999</v>
      </c>
      <c r="L4168">
        <v>134.68729999999999</v>
      </c>
      <c r="M4168">
        <v>-0.96933820000000004</v>
      </c>
      <c r="N4168">
        <v>0</v>
      </c>
      <c r="O4168">
        <v>-0.24529780000000001</v>
      </c>
      <c r="P4168">
        <v>-0.90705340000000001</v>
      </c>
      <c r="Q4168">
        <v>8.087809E-2</v>
      </c>
      <c r="R4168">
        <v>-0.4131746</v>
      </c>
      <c r="S4168">
        <v>-2.819</v>
      </c>
      <c r="T4168">
        <v>-0.39857920000000002</v>
      </c>
      <c r="U4168">
        <v>-1.1476900000000001</v>
      </c>
      <c r="V4168">
        <v>-0.179349799999999</v>
      </c>
      <c r="W4168">
        <v>9.2647839999999995E-2</v>
      </c>
      <c r="X4168">
        <v>0.97941310000000004</v>
      </c>
      <c r="Y4168">
        <v>-0.13918800000000001</v>
      </c>
      <c r="Z4168">
        <v>2.3142670000000001E-2</v>
      </c>
      <c r="AA4168">
        <v>0.98999550000000003</v>
      </c>
      <c r="AB4168">
        <v>42</v>
      </c>
      <c r="AC4168">
        <v>-7.5670999999999804</v>
      </c>
      <c r="AD4168">
        <v>-1.115493150599</v>
      </c>
      <c r="AE4168">
        <v>-3.1286</v>
      </c>
      <c r="AF4168">
        <v>-1.1551654711970101</v>
      </c>
      <c r="AG4168">
        <v>-1.115493150599</v>
      </c>
      <c r="AH4168">
        <v>7.9557328930726898</v>
      </c>
      <c r="AI4168">
        <v>97.899772885664007</v>
      </c>
      <c r="AJ4168">
        <v>98.261561115298207</v>
      </c>
      <c r="AK4168">
        <v>8.1161824832120306</v>
      </c>
      <c r="AL4168">
        <v>84.684046168674598</v>
      </c>
      <c r="AM4168">
        <v>100.377013239349</v>
      </c>
      <c r="AN4168">
        <v>0.99999999673415696</v>
      </c>
    </row>
    <row r="4169" spans="1:40" x14ac:dyDescent="0.25">
      <c r="A4169" t="str">
        <f>"20190312151621708"</f>
        <v>20190312151621708</v>
      </c>
      <c r="B4169" t="str">
        <f>"1552374981701959"</f>
        <v>1552374981701959</v>
      </c>
      <c r="C4169" t="s">
        <v>40</v>
      </c>
      <c r="D4169">
        <v>4.5485600000000002</v>
      </c>
      <c r="E4169">
        <v>0.51766069999999997</v>
      </c>
      <c r="F4169" t="s">
        <v>43</v>
      </c>
      <c r="G4169">
        <v>-399.22739999999999</v>
      </c>
      <c r="H4169" s="1">
        <v>-2.296355E-6</v>
      </c>
      <c r="I4169">
        <v>131.92140000000001</v>
      </c>
      <c r="J4169">
        <v>-392.92779999999999</v>
      </c>
      <c r="K4169">
        <v>1.115529</v>
      </c>
      <c r="L4169">
        <v>134.58080000000001</v>
      </c>
      <c r="M4169">
        <v>-0.96801820000000005</v>
      </c>
      <c r="N4169">
        <v>0</v>
      </c>
      <c r="O4169">
        <v>-0.25045669999999998</v>
      </c>
      <c r="P4169">
        <v>-0.90487379999999995</v>
      </c>
      <c r="Q4169">
        <v>8.0687780000000001E-2</v>
      </c>
      <c r="R4169">
        <v>-0.41796359999999999</v>
      </c>
      <c r="S4169">
        <v>-2.8193969999999999</v>
      </c>
      <c r="T4169">
        <v>-0.46912229999999999</v>
      </c>
      <c r="U4169">
        <v>-1.1631929999999999</v>
      </c>
      <c r="V4169">
        <v>-0.1793131</v>
      </c>
      <c r="W4169">
        <v>9.2442730000000001E-2</v>
      </c>
      <c r="X4169">
        <v>0.97943919999999995</v>
      </c>
      <c r="Y4169">
        <v>-0.13890739999999999</v>
      </c>
      <c r="Z4169">
        <v>2.7959910000000001E-2</v>
      </c>
      <c r="AA4169">
        <v>0.98991059999999997</v>
      </c>
      <c r="AB4169">
        <v>42</v>
      </c>
      <c r="AC4169">
        <v>-6.2995999999999901</v>
      </c>
      <c r="AD4169">
        <v>-1.1155312963549999</v>
      </c>
      <c r="AE4169">
        <v>-2.6594000000000002</v>
      </c>
      <c r="AF4169">
        <v>-0.97083824406522201</v>
      </c>
      <c r="AG4169">
        <v>-1.1155312963549999</v>
      </c>
      <c r="AH4169">
        <v>6.58953460737147</v>
      </c>
      <c r="AI4169">
        <v>99.507679754649104</v>
      </c>
      <c r="AJ4169">
        <v>98.381111856333106</v>
      </c>
      <c r="AK4169">
        <v>6.7534364075656601</v>
      </c>
      <c r="AL4169">
        <v>84.695848755001094</v>
      </c>
      <c r="AM4169">
        <v>100.374665462317</v>
      </c>
      <c r="AN4169">
        <v>0.99999999632905101</v>
      </c>
    </row>
    <row r="4170" spans="1:40" x14ac:dyDescent="0.25">
      <c r="A4170" t="str">
        <f>"20190312151621731"</f>
        <v>20190312151621731</v>
      </c>
      <c r="B4170" t="str">
        <f>"1552374981722457"</f>
        <v>1552374981722457</v>
      </c>
      <c r="C4170" t="s">
        <v>40</v>
      </c>
      <c r="D4170">
        <v>4.5757110000000001</v>
      </c>
      <c r="E4170">
        <v>0.51770379999999905</v>
      </c>
      <c r="F4170" t="s">
        <v>43</v>
      </c>
      <c r="G4170">
        <v>-399.68009999999998</v>
      </c>
      <c r="H4170" s="1">
        <v>-2.1867320000000002E-6</v>
      </c>
      <c r="I4170">
        <v>131.7543</v>
      </c>
      <c r="J4170">
        <v>-393.32229999999998</v>
      </c>
      <c r="K4170">
        <v>1.1155550000000001</v>
      </c>
      <c r="L4170">
        <v>134.47460000000001</v>
      </c>
      <c r="M4170">
        <v>-0.96670140000000004</v>
      </c>
      <c r="N4170">
        <v>0</v>
      </c>
      <c r="O4170">
        <v>-0.25549129999999998</v>
      </c>
      <c r="P4170">
        <v>-0.90279790000000004</v>
      </c>
      <c r="Q4170">
        <v>8.0336920000000006E-2</v>
      </c>
      <c r="R4170">
        <v>-0.4224947</v>
      </c>
      <c r="S4170">
        <v>-2.8129580000000001</v>
      </c>
      <c r="T4170">
        <v>-0.464721</v>
      </c>
      <c r="U4170">
        <v>-1.1774439999999999</v>
      </c>
      <c r="V4170">
        <v>-0.17911969999999999</v>
      </c>
      <c r="W4170">
        <v>9.2082339999999999E-2</v>
      </c>
      <c r="X4170">
        <v>0.9795085</v>
      </c>
      <c r="Y4170">
        <v>-0.13885989999999901</v>
      </c>
      <c r="Z4170">
        <v>2.848469E-2</v>
      </c>
      <c r="AA4170">
        <v>0.98990230000000001</v>
      </c>
      <c r="AB4170">
        <v>42</v>
      </c>
      <c r="AC4170">
        <v>-6.3577999999999903</v>
      </c>
      <c r="AD4170">
        <v>-1.11555718673199</v>
      </c>
      <c r="AE4170">
        <v>-2.7202999999999999</v>
      </c>
      <c r="AF4170">
        <v>-0.97996050314405603</v>
      </c>
      <c r="AG4170">
        <v>-1.11555718673199</v>
      </c>
      <c r="AH4170">
        <v>6.6683044864300598</v>
      </c>
      <c r="AI4170">
        <v>99.398093730439797</v>
      </c>
      <c r="AJ4170">
        <v>98.360229987081496</v>
      </c>
      <c r="AK4170">
        <v>6.8316231708383199</v>
      </c>
      <c r="AL4170">
        <v>84.716585854530607</v>
      </c>
      <c r="AM4170">
        <v>100.363001019656</v>
      </c>
      <c r="AN4170">
        <v>0.99999996292010696</v>
      </c>
    </row>
    <row r="4171" spans="1:40" x14ac:dyDescent="0.25">
      <c r="A4171" t="str">
        <f>"20190312151621754"</f>
        <v>20190312151621754</v>
      </c>
      <c r="B4171" t="str">
        <f>"1552374981741972"</f>
        <v>1552374981741972</v>
      </c>
      <c r="C4171" t="s">
        <v>40</v>
      </c>
      <c r="D4171">
        <v>4.5459430000000003</v>
      </c>
      <c r="E4171">
        <v>0.51789529999999995</v>
      </c>
      <c r="F4171" t="s">
        <v>58</v>
      </c>
      <c r="G4171">
        <v>-400.10039999999998</v>
      </c>
      <c r="H4171" s="1">
        <v>-1.1784550000000001E-6</v>
      </c>
      <c r="I4171">
        <v>131.60059999999999</v>
      </c>
      <c r="J4171">
        <v>-393.7285</v>
      </c>
      <c r="K4171">
        <v>1.115575</v>
      </c>
      <c r="L4171">
        <v>134.363</v>
      </c>
      <c r="M4171">
        <v>-0.96531520000000004</v>
      </c>
      <c r="N4171">
        <v>0</v>
      </c>
      <c r="O4171">
        <v>-0.26068069999999999</v>
      </c>
      <c r="P4171">
        <v>-0.90043479999999998</v>
      </c>
      <c r="Q4171">
        <v>7.948152E-2</v>
      </c>
      <c r="R4171">
        <v>-0.42766880000000002</v>
      </c>
      <c r="S4171">
        <v>-2.8070680000000001</v>
      </c>
      <c r="T4171">
        <v>-0.46199869999999998</v>
      </c>
      <c r="U4171">
        <v>-1.190277</v>
      </c>
      <c r="V4171">
        <v>-0.1794531</v>
      </c>
      <c r="W4171">
        <v>9.121245E-2</v>
      </c>
      <c r="X4171">
        <v>0.97952890000000004</v>
      </c>
      <c r="Y4171">
        <v>-0.13817019999999999</v>
      </c>
      <c r="Z4171">
        <v>2.9170499999999999E-2</v>
      </c>
      <c r="AA4171">
        <v>0.98997880000000005</v>
      </c>
      <c r="AB4171">
        <v>42</v>
      </c>
      <c r="AC4171">
        <v>-6.3718999999999797</v>
      </c>
      <c r="AD4171">
        <v>-1.115576178455</v>
      </c>
      <c r="AE4171">
        <v>-2.7624000000000102</v>
      </c>
      <c r="AF4171">
        <v>-0.98036603527104005</v>
      </c>
      <c r="AG4171">
        <v>-1.115576178455</v>
      </c>
      <c r="AH4171">
        <v>6.6988767436614696</v>
      </c>
      <c r="AI4171">
        <v>99.356924455130198</v>
      </c>
      <c r="AJ4171">
        <v>98.326007128725095</v>
      </c>
      <c r="AK4171">
        <v>6.8615287946504901</v>
      </c>
      <c r="AL4171">
        <v>84.766637698806903</v>
      </c>
      <c r="AM4171">
        <v>100.381659354886</v>
      </c>
      <c r="AN4171">
        <v>0.99999999603491097</v>
      </c>
    </row>
    <row r="4172" spans="1:40" x14ac:dyDescent="0.25">
      <c r="A4172" t="str">
        <f>"20190312151621776"</f>
        <v>20190312151621776</v>
      </c>
      <c r="B4172" t="str">
        <f>"1552374981772228"</f>
        <v>1552374981772228</v>
      </c>
      <c r="C4172" t="s">
        <v>40</v>
      </c>
      <c r="D4172">
        <v>4.5440909999999999</v>
      </c>
      <c r="E4172">
        <v>0.51810809999999996</v>
      </c>
      <c r="F4172" t="s">
        <v>58</v>
      </c>
      <c r="G4172">
        <v>-400.53590000000003</v>
      </c>
      <c r="H4172" s="1">
        <v>-1.3399929999999999E-6</v>
      </c>
      <c r="I4172">
        <v>131.43700000000001</v>
      </c>
      <c r="J4172">
        <v>-394.13260000000002</v>
      </c>
      <c r="K4172">
        <v>1.1155839999999999</v>
      </c>
      <c r="L4172">
        <v>134.24940000000001</v>
      </c>
      <c r="M4172">
        <v>-0.96390520000000002</v>
      </c>
      <c r="N4172">
        <v>0</v>
      </c>
      <c r="O4172">
        <v>-0.26584629999999998</v>
      </c>
      <c r="P4172">
        <v>-0.89799059999999897</v>
      </c>
      <c r="Q4172">
        <v>7.8679170000000007E-2</v>
      </c>
      <c r="R4172">
        <v>-0.43292360000000002</v>
      </c>
      <c r="S4172">
        <v>-2.8005070000000001</v>
      </c>
      <c r="T4172">
        <v>-0.45894289999999999</v>
      </c>
      <c r="U4172">
        <v>-1.203751</v>
      </c>
      <c r="V4172">
        <v>-0.1799065</v>
      </c>
      <c r="W4172">
        <v>9.0396169999999998E-2</v>
      </c>
      <c r="X4172">
        <v>0.97952139999999999</v>
      </c>
      <c r="Y4172">
        <v>-0.137769</v>
      </c>
      <c r="Z4172">
        <v>2.98035E-2</v>
      </c>
      <c r="AA4172">
        <v>0.99001589999999995</v>
      </c>
      <c r="AB4172">
        <v>42</v>
      </c>
      <c r="AC4172">
        <v>-6.4032999999999998</v>
      </c>
      <c r="AD4172">
        <v>-1.11558533999299</v>
      </c>
      <c r="AE4172">
        <v>-2.81239999999999</v>
      </c>
      <c r="AF4172">
        <v>-0.98367165977204296</v>
      </c>
      <c r="AG4172">
        <v>-1.11558533999299</v>
      </c>
      <c r="AH4172">
        <v>6.7488553718254396</v>
      </c>
      <c r="AI4172">
        <v>99.289694166445003</v>
      </c>
      <c r="AJ4172">
        <v>98.292685747445503</v>
      </c>
      <c r="AK4172">
        <v>6.9108023712781099</v>
      </c>
      <c r="AL4172">
        <v>84.813601109549396</v>
      </c>
      <c r="AM4172">
        <v>100.407394784235</v>
      </c>
      <c r="AN4172">
        <v>0.99999999467543899</v>
      </c>
    </row>
    <row r="4173" spans="1:40" x14ac:dyDescent="0.25">
      <c r="A4173" t="str">
        <f>"20190312151621799"</f>
        <v>20190312151621799</v>
      </c>
      <c r="B4173" t="str">
        <f>"1552374981791748"</f>
        <v>1552374981791748</v>
      </c>
      <c r="C4173" t="s">
        <v>40</v>
      </c>
      <c r="D4173">
        <v>4.5524139999999997</v>
      </c>
      <c r="E4173">
        <v>0.51833799999999997</v>
      </c>
      <c r="F4173" t="s">
        <v>58</v>
      </c>
      <c r="G4173">
        <v>-400.90190000000001</v>
      </c>
      <c r="H4173" s="1">
        <v>-1.475466E-6</v>
      </c>
      <c r="I4173">
        <v>131.2989</v>
      </c>
      <c r="J4173">
        <v>-394.53980000000001</v>
      </c>
      <c r="K4173">
        <v>1.1155919999999999</v>
      </c>
      <c r="L4173">
        <v>134.1327</v>
      </c>
      <c r="M4173">
        <v>-0.96245340000000001</v>
      </c>
      <c r="N4173">
        <v>0</v>
      </c>
      <c r="O4173">
        <v>-0.2710553</v>
      </c>
      <c r="P4173">
        <v>-0.89526719999999904</v>
      </c>
      <c r="Q4173">
        <v>7.7813899999999894E-2</v>
      </c>
      <c r="R4173">
        <v>-0.43868200000000002</v>
      </c>
      <c r="S4173">
        <v>-2.794006</v>
      </c>
      <c r="T4173">
        <v>-0.4604528</v>
      </c>
      <c r="U4173">
        <v>-1.2178340000000001</v>
      </c>
      <c r="V4173">
        <v>-0.180871</v>
      </c>
      <c r="W4173">
        <v>8.9510939999999997E-2</v>
      </c>
      <c r="X4173">
        <v>0.97942510000000005</v>
      </c>
      <c r="Y4173">
        <v>-0.13751620000000001</v>
      </c>
      <c r="Z4173">
        <v>3.0719280000000002E-2</v>
      </c>
      <c r="AA4173">
        <v>0.99002299999999999</v>
      </c>
      <c r="AB4173">
        <v>42</v>
      </c>
      <c r="AC4173">
        <v>-6.3620999999999901</v>
      </c>
      <c r="AD4173">
        <v>-1.115593475466</v>
      </c>
      <c r="AE4173">
        <v>-2.8337999999999899</v>
      </c>
      <c r="AF4173">
        <v>-0.97793497886033298</v>
      </c>
      <c r="AG4173">
        <v>-1.115593475466</v>
      </c>
      <c r="AH4173">
        <v>6.7196654910367197</v>
      </c>
      <c r="AI4173">
        <v>99.329695276345205</v>
      </c>
      <c r="AJ4173">
        <v>98.280310631837906</v>
      </c>
      <c r="AK4173">
        <v>6.8814831204334599</v>
      </c>
      <c r="AL4173">
        <v>84.8645276772736</v>
      </c>
      <c r="AM4173">
        <v>100.46296721962101</v>
      </c>
      <c r="AN4173">
        <v>1.0000000267653399</v>
      </c>
    </row>
    <row r="4174" spans="1:40" x14ac:dyDescent="0.25">
      <c r="A4174" t="str">
        <f>"20190312151621820"</f>
        <v>20190312151621820</v>
      </c>
      <c r="B4174" t="str">
        <f>"1552374981812244"</f>
        <v>1552374981812244</v>
      </c>
      <c r="C4174" t="s">
        <v>40</v>
      </c>
      <c r="D4174">
        <v>4.5790459999999999</v>
      </c>
      <c r="E4174">
        <v>0.51853450000000001</v>
      </c>
      <c r="F4174" t="s">
        <v>58</v>
      </c>
      <c r="G4174">
        <v>-401.29480000000001</v>
      </c>
      <c r="H4174" s="1">
        <v>-1.617073E-6</v>
      </c>
      <c r="I4174">
        <v>131.14349999999999</v>
      </c>
      <c r="J4174">
        <v>-394.91269999999997</v>
      </c>
      <c r="K4174">
        <v>1.1156029999999999</v>
      </c>
      <c r="L4174">
        <v>134.02359999999999</v>
      </c>
      <c r="M4174">
        <v>-0.96109579999999994</v>
      </c>
      <c r="N4174">
        <v>0</v>
      </c>
      <c r="O4174">
        <v>-0.27583000000000002</v>
      </c>
      <c r="P4174">
        <v>-0.89284269999999999</v>
      </c>
      <c r="Q4174">
        <v>7.7039220000000005E-2</v>
      </c>
      <c r="R4174">
        <v>-0.44373089999999998</v>
      </c>
      <c r="S4174">
        <v>-2.7867130000000002</v>
      </c>
      <c r="T4174">
        <v>-0.46022489999999999</v>
      </c>
      <c r="U4174">
        <v>-1.2331240000000001</v>
      </c>
      <c r="V4174">
        <v>-0.18151239999999999</v>
      </c>
      <c r="W4174">
        <v>8.872302E-2</v>
      </c>
      <c r="X4174">
        <v>0.97937810000000003</v>
      </c>
      <c r="Y4174">
        <v>-0.13814199999999999</v>
      </c>
      <c r="Z4174">
        <v>3.1394099999999897E-2</v>
      </c>
      <c r="AA4174">
        <v>0.98991470000000004</v>
      </c>
      <c r="AB4174">
        <v>42</v>
      </c>
      <c r="AC4174">
        <v>-6.3821000000000296</v>
      </c>
      <c r="AD4174">
        <v>-1.1156046170730001</v>
      </c>
      <c r="AE4174">
        <v>-2.8800999999999899</v>
      </c>
      <c r="AF4174">
        <v>-0.98283440432541003</v>
      </c>
      <c r="AG4174">
        <v>-1.1156046170730001</v>
      </c>
      <c r="AH4174">
        <v>6.7574211103471802</v>
      </c>
      <c r="AI4174">
        <v>99.278682174800593</v>
      </c>
      <c r="AJ4174">
        <v>98.275367962405198</v>
      </c>
      <c r="AK4174">
        <v>6.9190517551559099</v>
      </c>
      <c r="AL4174">
        <v>84.909852341592497</v>
      </c>
      <c r="AM4174">
        <v>100.499739731654</v>
      </c>
      <c r="AN4174">
        <v>0.999999994195645</v>
      </c>
    </row>
    <row r="4175" spans="1:40" x14ac:dyDescent="0.25">
      <c r="A4175" t="str">
        <f>"20190312151621842"</f>
        <v>20190312151621842</v>
      </c>
      <c r="B4175" t="str">
        <f>"1552374981831764"</f>
        <v>1552374981831764</v>
      </c>
      <c r="C4175" t="s">
        <v>40</v>
      </c>
      <c r="D4175">
        <v>4.5577389999999998</v>
      </c>
      <c r="E4175">
        <v>0.51872719999999894</v>
      </c>
      <c r="F4175" t="s">
        <v>58</v>
      </c>
      <c r="G4175">
        <v>-401.63760000000002</v>
      </c>
      <c r="H4175" s="1">
        <v>-1.740221E-6</v>
      </c>
      <c r="I4175">
        <v>131.00729999999999</v>
      </c>
      <c r="J4175">
        <v>-395.31450000000001</v>
      </c>
      <c r="K4175">
        <v>1.115604</v>
      </c>
      <c r="L4175">
        <v>133.90389999999999</v>
      </c>
      <c r="M4175">
        <v>-0.95960400000000001</v>
      </c>
      <c r="N4175">
        <v>0</v>
      </c>
      <c r="O4175">
        <v>-0.28097610000000001</v>
      </c>
      <c r="P4175">
        <v>-0.88995159999999995</v>
      </c>
      <c r="Q4175">
        <v>7.6627929999999997E-2</v>
      </c>
      <c r="R4175">
        <v>-0.44957130000000001</v>
      </c>
      <c r="S4175">
        <v>-2.7801209999999998</v>
      </c>
      <c r="T4175">
        <v>-0.46120290000000003</v>
      </c>
      <c r="U4175">
        <v>-1.2469939999999999</v>
      </c>
      <c r="V4175">
        <v>-0.18266769999999999</v>
      </c>
      <c r="W4175">
        <v>8.829033E-2</v>
      </c>
      <c r="X4175">
        <v>0.97920240000000003</v>
      </c>
      <c r="Y4175">
        <v>-0.13788590000000001</v>
      </c>
      <c r="Z4175">
        <v>3.2271830000000001E-2</v>
      </c>
      <c r="AA4175">
        <v>0.98992219999999997</v>
      </c>
      <c r="AB4175">
        <v>42</v>
      </c>
      <c r="AC4175">
        <v>-6.3231000000000099</v>
      </c>
      <c r="AD4175">
        <v>-1.115605740221</v>
      </c>
      <c r="AE4175">
        <v>-2.8965999999999998</v>
      </c>
      <c r="AF4175">
        <v>-0.97789501324319195</v>
      </c>
      <c r="AG4175">
        <v>-1.115605740221</v>
      </c>
      <c r="AH4175">
        <v>6.7096443791404496</v>
      </c>
      <c r="AI4175">
        <v>99.3432081736714</v>
      </c>
      <c r="AJ4175">
        <v>98.292171559099501</v>
      </c>
      <c r="AK4175">
        <v>6.8716942975565303</v>
      </c>
      <c r="AL4175">
        <v>84.934741385332998</v>
      </c>
      <c r="AM4175">
        <v>100.566922051552</v>
      </c>
      <c r="AN4175">
        <v>1.00000000558027</v>
      </c>
    </row>
    <row r="4176" spans="1:40" x14ac:dyDescent="0.25">
      <c r="A4176" t="str">
        <f>"20190312151621876"</f>
        <v>20190312151621876</v>
      </c>
      <c r="B4176" t="str">
        <f>"1552374981871780"</f>
        <v>1552374981871780</v>
      </c>
      <c r="C4176" t="s">
        <v>40</v>
      </c>
      <c r="D4176">
        <v>4.4807980000000001</v>
      </c>
      <c r="E4176">
        <v>0.51935149999999997</v>
      </c>
      <c r="F4176" t="s">
        <v>58</v>
      </c>
      <c r="G4176">
        <v>-401.97280000000001</v>
      </c>
      <c r="H4176" s="1">
        <v>-1.858918E-6</v>
      </c>
      <c r="I4176">
        <v>130.8707</v>
      </c>
      <c r="J4176">
        <v>-395.90350000000001</v>
      </c>
      <c r="K4176">
        <v>1.1156060000000001</v>
      </c>
      <c r="L4176">
        <v>133.7243</v>
      </c>
      <c r="M4176">
        <v>-0.95736129999999997</v>
      </c>
      <c r="N4176">
        <v>0</v>
      </c>
      <c r="O4176">
        <v>-0.28852509999999998</v>
      </c>
      <c r="P4176">
        <v>-0.88566440000000002</v>
      </c>
      <c r="Q4176">
        <v>7.6596709999999998E-2</v>
      </c>
      <c r="R4176">
        <v>-0.45796500000000001</v>
      </c>
      <c r="S4176">
        <v>-2.7728269999999999</v>
      </c>
      <c r="T4176">
        <v>-0.46459159999999999</v>
      </c>
      <c r="U4176">
        <v>-1.2631680000000001</v>
      </c>
      <c r="V4176">
        <v>-0.1842134</v>
      </c>
      <c r="W4176">
        <v>8.8231900000000002E-2</v>
      </c>
      <c r="X4176">
        <v>0.97891799999999995</v>
      </c>
      <c r="Y4176">
        <v>-0.13597239999999999</v>
      </c>
      <c r="Z4176">
        <v>3.3813240000000001E-2</v>
      </c>
      <c r="AA4176">
        <v>0.9901354</v>
      </c>
      <c r="AB4176">
        <v>42</v>
      </c>
      <c r="AC4176">
        <v>-6.0692999999999904</v>
      </c>
      <c r="AD4176">
        <v>-1.1156078589180001</v>
      </c>
      <c r="AE4176">
        <v>-2.8536000000000001</v>
      </c>
      <c r="AF4176">
        <v>-0.95447477843239803</v>
      </c>
      <c r="AG4176">
        <v>-1.1156078589180001</v>
      </c>
      <c r="AH4176">
        <v>6.4559182347925503</v>
      </c>
      <c r="AI4176">
        <v>99.700701096826506</v>
      </c>
      <c r="AJ4176">
        <v>98.409968259168906</v>
      </c>
      <c r="AK4176">
        <v>6.6207615311133399</v>
      </c>
      <c r="AL4176">
        <v>84.938102000949698</v>
      </c>
      <c r="AM4176">
        <v>100.657323082343</v>
      </c>
      <c r="AN4176">
        <v>0.99999994782058299</v>
      </c>
    </row>
    <row r="4177" spans="1:40" x14ac:dyDescent="0.25">
      <c r="A4177" t="str">
        <f>"20190312151621899"</f>
        <v>20190312151621899</v>
      </c>
      <c r="B4177" t="str">
        <f>"1552374981892275"</f>
        <v>1552374981892275</v>
      </c>
      <c r="C4177" t="s">
        <v>40</v>
      </c>
      <c r="D4177">
        <v>4.4755229999999999</v>
      </c>
      <c r="E4177">
        <v>0.51961499999999905</v>
      </c>
      <c r="F4177" t="s">
        <v>58</v>
      </c>
      <c r="G4177">
        <v>-402.4316</v>
      </c>
      <c r="H4177" s="1">
        <v>-2.0235089999999998E-6</v>
      </c>
      <c r="I4177">
        <v>130.68780000000001</v>
      </c>
      <c r="J4177">
        <v>-396.30829999999997</v>
      </c>
      <c r="K4177">
        <v>1.1156029999999999</v>
      </c>
      <c r="L4177">
        <v>133.5977</v>
      </c>
      <c r="M4177">
        <v>-0.95578050000000003</v>
      </c>
      <c r="N4177">
        <v>0</v>
      </c>
      <c r="O4177">
        <v>-0.29371960000000003</v>
      </c>
      <c r="P4177">
        <v>-0.88265149999999903</v>
      </c>
      <c r="Q4177">
        <v>7.6516899999999999E-2</v>
      </c>
      <c r="R4177">
        <v>-0.46375859999999902</v>
      </c>
      <c r="S4177">
        <v>-2.763458</v>
      </c>
      <c r="T4177">
        <v>-0.4722519</v>
      </c>
      <c r="U4177">
        <v>-1.285385</v>
      </c>
      <c r="V4177">
        <v>-0.18531010000000001</v>
      </c>
      <c r="W4177">
        <v>8.8133589999999998E-2</v>
      </c>
      <c r="X4177">
        <v>0.97871989999999998</v>
      </c>
      <c r="Y4177">
        <v>-0.13850499999999999</v>
      </c>
      <c r="Z4177">
        <v>3.4981669999999999E-2</v>
      </c>
      <c r="AA4177">
        <v>0.9897437</v>
      </c>
      <c r="AB4177">
        <v>42</v>
      </c>
      <c r="AC4177">
        <v>-6.1233000000000199</v>
      </c>
      <c r="AD4177">
        <v>-1.115605023509</v>
      </c>
      <c r="AE4177">
        <v>-2.9098999999999902</v>
      </c>
      <c r="AF4177">
        <v>-0.95688613940862399</v>
      </c>
      <c r="AG4177">
        <v>-1.115605023509</v>
      </c>
      <c r="AH4177">
        <v>6.5310881518318</v>
      </c>
      <c r="AI4177">
        <v>99.592919177013201</v>
      </c>
      <c r="AJ4177">
        <v>98.335245045323504</v>
      </c>
      <c r="AK4177">
        <v>6.6944244038803298</v>
      </c>
      <c r="AL4177">
        <v>84.9437570570433</v>
      </c>
      <c r="AM4177">
        <v>100.721424003438</v>
      </c>
      <c r="AN4177">
        <v>1.0000000027521501</v>
      </c>
    </row>
    <row r="4178" spans="1:40" x14ac:dyDescent="0.25">
      <c r="A4178" t="str">
        <f>"20190312151621920"</f>
        <v>20190312151621920</v>
      </c>
      <c r="B4178" t="str">
        <f>"1552374981911795"</f>
        <v>1552374981911795</v>
      </c>
      <c r="C4178" t="s">
        <v>40</v>
      </c>
      <c r="D4178">
        <v>4.4220139999999999</v>
      </c>
      <c r="E4178">
        <v>0.52000919999999995</v>
      </c>
      <c r="F4178" t="s">
        <v>58</v>
      </c>
      <c r="G4178">
        <v>-402.73500000000001</v>
      </c>
      <c r="H4178" s="1">
        <v>-2.1302279999999999E-6</v>
      </c>
      <c r="I4178">
        <v>130.56290000000001</v>
      </c>
      <c r="J4178">
        <v>-396.69060000000002</v>
      </c>
      <c r="K4178">
        <v>1.115602</v>
      </c>
      <c r="L4178">
        <v>133.4759</v>
      </c>
      <c r="M4178">
        <v>-0.95425890000000002</v>
      </c>
      <c r="N4178">
        <v>0</v>
      </c>
      <c r="O4178">
        <v>-0.29862620000000001</v>
      </c>
      <c r="P4178">
        <v>-0.88003750000000003</v>
      </c>
      <c r="Q4178">
        <v>7.648394E-2</v>
      </c>
      <c r="R4178">
        <v>-0.46870509999999899</v>
      </c>
      <c r="S4178">
        <v>-2.7564090000000001</v>
      </c>
      <c r="T4178">
        <v>-0.478487</v>
      </c>
      <c r="U4178">
        <v>-1.30162</v>
      </c>
      <c r="V4178">
        <v>-0.18577270000000001</v>
      </c>
      <c r="W4178">
        <v>8.8093210000000005E-2</v>
      </c>
      <c r="X4178">
        <v>0.97863579999999994</v>
      </c>
      <c r="Y4178">
        <v>-0.1392534</v>
      </c>
      <c r="Z4178">
        <v>3.6156099999999997E-2</v>
      </c>
      <c r="AA4178">
        <v>0.98959649999999999</v>
      </c>
      <c r="AB4178">
        <v>42</v>
      </c>
      <c r="AC4178">
        <v>-6.0443999999999898</v>
      </c>
      <c r="AD4178">
        <v>-1.115604130228</v>
      </c>
      <c r="AE4178">
        <v>-2.9129999999999798</v>
      </c>
      <c r="AF4178">
        <v>-0.94861921156572604</v>
      </c>
      <c r="AG4178">
        <v>-1.115604130228</v>
      </c>
      <c r="AH4178">
        <v>6.4599424843571303</v>
      </c>
      <c r="AI4178">
        <v>99.696110620188705</v>
      </c>
      <c r="AJ4178">
        <v>98.353971678698599</v>
      </c>
      <c r="AK4178">
        <v>6.6238438904563299</v>
      </c>
      <c r="AL4178">
        <v>84.946079525517007</v>
      </c>
      <c r="AM4178">
        <v>100.74846790184</v>
      </c>
      <c r="AN4178">
        <v>0.99999996937751601</v>
      </c>
    </row>
    <row r="4179" spans="1:40" x14ac:dyDescent="0.25">
      <c r="A4179" t="str">
        <f>"20190312151621943"</f>
        <v>20190312151621943</v>
      </c>
      <c r="B4179" t="str">
        <f>"1552374981932292"</f>
        <v>1552374981932292</v>
      </c>
      <c r="C4179" t="s">
        <v>40</v>
      </c>
      <c r="D4179">
        <v>4.40489</v>
      </c>
      <c r="E4179">
        <v>0.52045149999999996</v>
      </c>
      <c r="F4179" t="s">
        <v>58</v>
      </c>
      <c r="G4179">
        <v>-403.07279999999997</v>
      </c>
      <c r="H4179" s="1">
        <v>-2.2506059999999998E-6</v>
      </c>
      <c r="I4179">
        <v>130.42670000000001</v>
      </c>
      <c r="J4179">
        <v>-397.09199999999998</v>
      </c>
      <c r="K4179">
        <v>1.1155949999999999</v>
      </c>
      <c r="L4179">
        <v>133.3458</v>
      </c>
      <c r="M4179">
        <v>-0.95263050000000005</v>
      </c>
      <c r="N4179">
        <v>0</v>
      </c>
      <c r="O4179">
        <v>-0.30378100000000002</v>
      </c>
      <c r="P4179">
        <v>-0.87718750000000001</v>
      </c>
      <c r="Q4179">
        <v>7.6385599999999998E-2</v>
      </c>
      <c r="R4179">
        <v>-0.47403319999999999</v>
      </c>
      <c r="S4179">
        <v>-2.7507630000000001</v>
      </c>
      <c r="T4179">
        <v>-0.48083419999999999</v>
      </c>
      <c r="U4179">
        <v>-1.3142400000000001</v>
      </c>
      <c r="V4179">
        <v>-0.18641189999999999</v>
      </c>
      <c r="W4179">
        <v>8.7984899999999894E-2</v>
      </c>
      <c r="X4179">
        <v>0.97852399999999995</v>
      </c>
      <c r="Y4179">
        <v>-0.1384706</v>
      </c>
      <c r="Z4179">
        <v>3.7211380000000002E-2</v>
      </c>
      <c r="AA4179">
        <v>0.98966719999999997</v>
      </c>
      <c r="AB4179">
        <v>42</v>
      </c>
      <c r="AC4179">
        <v>-5.9807999999999799</v>
      </c>
      <c r="AD4179">
        <v>-1.1155972506059999</v>
      </c>
      <c r="AE4179">
        <v>-2.9190999999999798</v>
      </c>
      <c r="AF4179">
        <v>-0.93772306797809502</v>
      </c>
      <c r="AG4179">
        <v>-1.1155972506059999</v>
      </c>
      <c r="AH4179">
        <v>6.4049817735267496</v>
      </c>
      <c r="AI4179">
        <v>99.7782609653256</v>
      </c>
      <c r="AJ4179">
        <v>98.329229337363699</v>
      </c>
      <c r="AK4179">
        <v>6.56868885676493</v>
      </c>
      <c r="AL4179">
        <v>84.952309469983305</v>
      </c>
      <c r="AM4179">
        <v>100.785788201044</v>
      </c>
      <c r="AN4179">
        <v>0.999999978832809</v>
      </c>
    </row>
    <row r="4180" spans="1:40" x14ac:dyDescent="0.25">
      <c r="A4180" t="str">
        <f>"20190312151621966"</f>
        <v>20190312151621966</v>
      </c>
      <c r="B4180" t="str">
        <f>"1552374981962548"</f>
        <v>1552374981962548</v>
      </c>
      <c r="C4180" t="s">
        <v>40</v>
      </c>
      <c r="D4180">
        <v>4.4408219999999998</v>
      </c>
      <c r="E4180">
        <v>0.52124420000000005</v>
      </c>
      <c r="F4180" t="s">
        <v>58</v>
      </c>
      <c r="G4180">
        <v>-403.44049999999999</v>
      </c>
      <c r="H4180" s="1">
        <v>-2.3796309999999998E-6</v>
      </c>
      <c r="I4180">
        <v>130.2747</v>
      </c>
      <c r="J4180">
        <v>-397.48860000000002</v>
      </c>
      <c r="K4180">
        <v>1.1155870000000001</v>
      </c>
      <c r="L4180">
        <v>133.2148</v>
      </c>
      <c r="M4180">
        <v>-0.95099100000000003</v>
      </c>
      <c r="N4180">
        <v>0</v>
      </c>
      <c r="O4180">
        <v>-0.30887530000000002</v>
      </c>
      <c r="P4180">
        <v>-0.87463089999999999</v>
      </c>
      <c r="Q4180">
        <v>7.6337630000000004E-2</v>
      </c>
      <c r="R4180">
        <v>-0.4787418</v>
      </c>
      <c r="S4180">
        <v>-2.7445369999999998</v>
      </c>
      <c r="T4180">
        <v>-0.4822881</v>
      </c>
      <c r="U4180">
        <v>-1.3276669999999999</v>
      </c>
      <c r="V4180">
        <v>-0.1864323</v>
      </c>
      <c r="W4180">
        <v>8.7938359999999993E-2</v>
      </c>
      <c r="X4180">
        <v>0.97852430000000001</v>
      </c>
      <c r="Y4180">
        <v>-0.138047799999999</v>
      </c>
      <c r="Z4180">
        <v>3.8169519999999998E-2</v>
      </c>
      <c r="AA4180">
        <v>0.98968979999999995</v>
      </c>
      <c r="AB4180">
        <v>41</v>
      </c>
      <c r="AC4180">
        <v>-5.9518999999999602</v>
      </c>
      <c r="AD4180">
        <v>-1.1155893796309999</v>
      </c>
      <c r="AE4180">
        <v>-2.9401000000000002</v>
      </c>
      <c r="AF4180">
        <v>-0.93141179767118998</v>
      </c>
      <c r="AG4180">
        <v>-1.1155893796309999</v>
      </c>
      <c r="AH4180">
        <v>6.3886069693321801</v>
      </c>
      <c r="AI4180">
        <v>99.803612853147499</v>
      </c>
      <c r="AJ4180">
        <v>98.294861266060906</v>
      </c>
      <c r="AK4180">
        <v>6.55182162527234</v>
      </c>
      <c r="AL4180">
        <v>84.954986406066496</v>
      </c>
      <c r="AM4180">
        <v>100.78693762228799</v>
      </c>
      <c r="AN4180">
        <v>0.99999998166663395</v>
      </c>
    </row>
    <row r="4181" spans="1:40" x14ac:dyDescent="0.25">
      <c r="A4181" t="str">
        <f>"20190312151621988"</f>
        <v>20190312151621988</v>
      </c>
      <c r="B4181" t="str">
        <f>"1552374981982068"</f>
        <v>1552374981982068</v>
      </c>
      <c r="C4181" t="s">
        <v>40</v>
      </c>
      <c r="D4181">
        <v>4.4054409999999997</v>
      </c>
      <c r="E4181">
        <v>0.52177249999999997</v>
      </c>
      <c r="F4181" t="s">
        <v>58</v>
      </c>
      <c r="G4181">
        <v>-403.85930000000002</v>
      </c>
      <c r="H4181" s="1">
        <v>-2.5297289999999998E-6</v>
      </c>
      <c r="I4181">
        <v>130.10749999999999</v>
      </c>
      <c r="J4181">
        <v>-397.87909999999999</v>
      </c>
      <c r="K4181">
        <v>1.1155809999999999</v>
      </c>
      <c r="L4181">
        <v>133.08359999999999</v>
      </c>
      <c r="M4181">
        <v>-0.94934629999999998</v>
      </c>
      <c r="N4181">
        <v>0</v>
      </c>
      <c r="O4181">
        <v>-0.31389349999999999</v>
      </c>
      <c r="P4181">
        <v>-0.87192590000000003</v>
      </c>
      <c r="Q4181">
        <v>7.6154349999999996E-2</v>
      </c>
      <c r="R4181">
        <v>-0.48367979999999999</v>
      </c>
      <c r="S4181">
        <v>-2.7402950000000001</v>
      </c>
      <c r="T4181">
        <v>-0.47986030000000002</v>
      </c>
      <c r="U4181">
        <v>-1.3366089999999999</v>
      </c>
      <c r="V4181">
        <v>-0.1867886</v>
      </c>
      <c r="W4181">
        <v>8.7750750000000002E-2</v>
      </c>
      <c r="X4181">
        <v>0.97847320000000004</v>
      </c>
      <c r="Y4181">
        <v>-0.13608770000000001</v>
      </c>
      <c r="Z4181">
        <v>3.8927940000000001E-2</v>
      </c>
      <c r="AA4181">
        <v>0.98993169999999997</v>
      </c>
      <c r="AB4181">
        <v>41</v>
      </c>
      <c r="AC4181">
        <v>-5.9802000000000204</v>
      </c>
      <c r="AD4181">
        <v>-1.115583529729</v>
      </c>
      <c r="AE4181">
        <v>-2.9761000000000002</v>
      </c>
      <c r="AF4181">
        <v>-0.92257225652484598</v>
      </c>
      <c r="AG4181">
        <v>-1.115583529729</v>
      </c>
      <c r="AH4181">
        <v>6.4327415839843196</v>
      </c>
      <c r="AI4181">
        <v>99.740805657968906</v>
      </c>
      <c r="AJ4181">
        <v>98.161603486024106</v>
      </c>
      <c r="AK4181">
        <v>6.5936204369551801</v>
      </c>
      <c r="AL4181">
        <v>84.965777421146498</v>
      </c>
      <c r="AM4181">
        <v>100.807619125792</v>
      </c>
      <c r="AN4181">
        <v>0.99999998916688104</v>
      </c>
    </row>
    <row r="4182" spans="1:40" x14ac:dyDescent="0.25">
      <c r="A4182" t="str">
        <f>"20190312151622011"</f>
        <v>20190312151622011</v>
      </c>
      <c r="B4182" t="str">
        <f>"1552374982001588"</f>
        <v>1552374982001588</v>
      </c>
      <c r="C4182" t="s">
        <v>40</v>
      </c>
      <c r="D4182">
        <v>4.3708580000000001</v>
      </c>
      <c r="E4182">
        <v>0.52228030000000003</v>
      </c>
      <c r="F4182" t="s">
        <v>58</v>
      </c>
      <c r="G4182">
        <v>-404.24299999999999</v>
      </c>
      <c r="H4182" s="1">
        <v>-2.6640199999999999E-6</v>
      </c>
      <c r="I4182">
        <v>129.94820000000001</v>
      </c>
      <c r="J4182">
        <v>-398.26850000000002</v>
      </c>
      <c r="K4182">
        <v>1.1155630000000001</v>
      </c>
      <c r="L4182">
        <v>132.95050000000001</v>
      </c>
      <c r="M4182">
        <v>-0.94767639999999997</v>
      </c>
      <c r="N4182">
        <v>0</v>
      </c>
      <c r="O4182">
        <v>-0.31889970000000001</v>
      </c>
      <c r="P4182">
        <v>-0.86922759999999999</v>
      </c>
      <c r="Q4182">
        <v>7.5659680000000007E-2</v>
      </c>
      <c r="R4182">
        <v>-0.48858889999999999</v>
      </c>
      <c r="S4182">
        <v>-2.7350159999999999</v>
      </c>
      <c r="T4182">
        <v>-0.47944619999999999</v>
      </c>
      <c r="U4182">
        <v>-1.347504</v>
      </c>
      <c r="V4182">
        <v>-0.18712010000000001</v>
      </c>
      <c r="W4182">
        <v>8.7252469999999999E-2</v>
      </c>
      <c r="X4182">
        <v>0.97845439999999995</v>
      </c>
      <c r="Y4182">
        <v>-0.13485559999999999</v>
      </c>
      <c r="Z4182">
        <v>3.9785540000000001E-2</v>
      </c>
      <c r="AA4182">
        <v>0.99006620000000001</v>
      </c>
      <c r="AB4182">
        <v>41</v>
      </c>
      <c r="AC4182">
        <v>-5.9745000000000301</v>
      </c>
      <c r="AD4182">
        <v>-1.11556566401999</v>
      </c>
      <c r="AE4182">
        <v>-3.0022999999999902</v>
      </c>
      <c r="AF4182">
        <v>-0.91458443838838399</v>
      </c>
      <c r="AG4182">
        <v>-1.11556566401999</v>
      </c>
      <c r="AH4182">
        <v>6.4407463309884498</v>
      </c>
      <c r="AI4182">
        <v>99.730671507769998</v>
      </c>
      <c r="AJ4182">
        <v>98.081954700445493</v>
      </c>
      <c r="AK4182">
        <v>6.6003155035061596</v>
      </c>
      <c r="AL4182">
        <v>84.994436588251702</v>
      </c>
      <c r="AM4182">
        <v>100.826549954475</v>
      </c>
      <c r="AN4182">
        <v>0.99999996911223399</v>
      </c>
    </row>
    <row r="4183" spans="1:40" x14ac:dyDescent="0.25">
      <c r="A4183" t="str">
        <f>"20190312151622032"</f>
        <v>20190312151622032</v>
      </c>
      <c r="B4183" t="str">
        <f>"1552374982022084"</f>
        <v>1552374982022084</v>
      </c>
      <c r="C4183" t="s">
        <v>40</v>
      </c>
      <c r="D4183">
        <v>4.3902429999999999</v>
      </c>
      <c r="E4183">
        <v>0.52273519999999996</v>
      </c>
      <c r="F4183" t="s">
        <v>58</v>
      </c>
      <c r="G4183">
        <v>-404.60750000000002</v>
      </c>
      <c r="H4183" s="1">
        <v>-2.790138E-6</v>
      </c>
      <c r="I4183">
        <v>129.79419999999999</v>
      </c>
      <c r="J4183">
        <v>-398.65120000000002</v>
      </c>
      <c r="K4183">
        <v>1.1155550000000001</v>
      </c>
      <c r="L4183">
        <v>132.8175</v>
      </c>
      <c r="M4183">
        <v>-0.94600589999999996</v>
      </c>
      <c r="N4183">
        <v>0</v>
      </c>
      <c r="O4183">
        <v>-0.32382149999999998</v>
      </c>
      <c r="P4183">
        <v>-0.86672479999999996</v>
      </c>
      <c r="Q4183">
        <v>7.5056429999999993E-2</v>
      </c>
      <c r="R4183">
        <v>-0.49310720000000002</v>
      </c>
      <c r="S4183">
        <v>-2.729279</v>
      </c>
      <c r="T4183">
        <v>-0.48031469999999998</v>
      </c>
      <c r="U4183">
        <v>-1.3589629999999999</v>
      </c>
      <c r="V4183">
        <v>-0.18710060000000001</v>
      </c>
      <c r="W4183">
        <v>8.6651560000000002E-2</v>
      </c>
      <c r="X4183">
        <v>0.97851160000000004</v>
      </c>
      <c r="Y4183">
        <v>-0.13393910000000001</v>
      </c>
      <c r="Z4183">
        <v>4.071313E-2</v>
      </c>
      <c r="AA4183">
        <v>0.9901529</v>
      </c>
      <c r="AB4183">
        <v>41</v>
      </c>
      <c r="AC4183">
        <v>-5.9562999999999899</v>
      </c>
      <c r="AD4183">
        <v>-1.1155577901379901</v>
      </c>
      <c r="AE4183">
        <v>-3.0232999999999999</v>
      </c>
      <c r="AF4183">
        <v>-0.90610767662184</v>
      </c>
      <c r="AG4183">
        <v>-1.1155577901379901</v>
      </c>
      <c r="AH4183">
        <v>6.4349259824765204</v>
      </c>
      <c r="AI4183">
        <v>99.740811491738896</v>
      </c>
      <c r="AJ4183">
        <v>98.015172955874704</v>
      </c>
      <c r="AK4183">
        <v>6.5934643932247097</v>
      </c>
      <c r="AL4183">
        <v>85.028997444652902</v>
      </c>
      <c r="AM4183">
        <v>100.82483050650301</v>
      </c>
      <c r="AN4183">
        <v>1.00000003935267</v>
      </c>
    </row>
    <row r="4184" spans="1:40" x14ac:dyDescent="0.25">
      <c r="A4184" t="str">
        <f>"20190312151622055"</f>
        <v>20190312151622055</v>
      </c>
      <c r="B4184" t="str">
        <f>"1552374982052340"</f>
        <v>1552374982052340</v>
      </c>
      <c r="C4184" t="s">
        <v>40</v>
      </c>
      <c r="D4184">
        <v>4.2993880000000004</v>
      </c>
      <c r="E4184">
        <v>0.52342290000000002</v>
      </c>
      <c r="F4184" t="s">
        <v>58</v>
      </c>
      <c r="G4184">
        <v>-404.96010000000001</v>
      </c>
      <c r="H4184" s="1">
        <v>-2.9100830000000001E-6</v>
      </c>
      <c r="I4184">
        <v>129.64410000000001</v>
      </c>
      <c r="J4184">
        <v>-399.03579999999999</v>
      </c>
      <c r="K4184">
        <v>1.1155539999999999</v>
      </c>
      <c r="L4184">
        <v>132.6814</v>
      </c>
      <c r="M4184">
        <v>-0.94429759999999996</v>
      </c>
      <c r="N4184">
        <v>0</v>
      </c>
      <c r="O4184">
        <v>-0.32877020000000001</v>
      </c>
      <c r="P4184">
        <v>-0.86429820000000002</v>
      </c>
      <c r="Q4184">
        <v>7.4985880000000005E-2</v>
      </c>
      <c r="R4184">
        <v>-0.4973593</v>
      </c>
      <c r="S4184">
        <v>-2.7235719999999999</v>
      </c>
      <c r="T4184">
        <v>-0.4815892</v>
      </c>
      <c r="U4184">
        <v>-1.3699490000000001</v>
      </c>
      <c r="V4184">
        <v>-0.18677920000000001</v>
      </c>
      <c r="W4184">
        <v>8.6588380000000006E-2</v>
      </c>
      <c r="X4184">
        <v>0.97857859999999997</v>
      </c>
      <c r="Y4184">
        <v>-0.13284969999999999</v>
      </c>
      <c r="Z4184">
        <v>4.169751E-2</v>
      </c>
      <c r="AA4184">
        <v>0.99025870000000005</v>
      </c>
      <c r="AB4184">
        <v>41</v>
      </c>
      <c r="AC4184">
        <v>-5.9243000000000103</v>
      </c>
      <c r="AD4184">
        <v>-1.1155569100830001</v>
      </c>
      <c r="AE4184">
        <v>-3.0372999999999801</v>
      </c>
      <c r="AF4184">
        <v>-0.895340515910648</v>
      </c>
      <c r="AG4184">
        <v>-1.1155569100830001</v>
      </c>
      <c r="AH4184">
        <v>6.41350032092119</v>
      </c>
      <c r="AI4184">
        <v>99.774311378875197</v>
      </c>
      <c r="AJ4184">
        <v>97.947270488997603</v>
      </c>
      <c r="AK4184">
        <v>6.5710796849164197</v>
      </c>
      <c r="AL4184">
        <v>85.032631085818807</v>
      </c>
      <c r="AM4184">
        <v>100.805951455298</v>
      </c>
      <c r="AN4184">
        <v>1.0000000467408099</v>
      </c>
    </row>
    <row r="4185" spans="1:40" x14ac:dyDescent="0.25">
      <c r="A4185" t="str">
        <f>"20190312151622076"</f>
        <v>20190312151622076</v>
      </c>
      <c r="B4185" t="str">
        <f>"1552374982071865"</f>
        <v>1552374982071865</v>
      </c>
      <c r="C4185" t="s">
        <v>40</v>
      </c>
      <c r="D4185">
        <v>4.2865129999999896</v>
      </c>
      <c r="E4185">
        <v>0.52385749999999998</v>
      </c>
      <c r="F4185" t="s">
        <v>58</v>
      </c>
      <c r="G4185">
        <v>-405.08280000000002</v>
      </c>
      <c r="H4185">
        <v>4.498622E-2</v>
      </c>
      <c r="I4185">
        <v>129.6163</v>
      </c>
      <c r="J4185">
        <v>-399.41449999999998</v>
      </c>
      <c r="K4185">
        <v>1.115545</v>
      </c>
      <c r="L4185">
        <v>132.54509999999999</v>
      </c>
      <c r="M4185">
        <v>-0.9425867</v>
      </c>
      <c r="N4185">
        <v>0</v>
      </c>
      <c r="O4185">
        <v>-0.3336441</v>
      </c>
      <c r="P4185">
        <v>-0.86170409999999997</v>
      </c>
      <c r="Q4185">
        <v>7.4406570000000005E-2</v>
      </c>
      <c r="R4185">
        <v>-0.50192639999999999</v>
      </c>
      <c r="S4185">
        <v>-2.7195429999999998</v>
      </c>
      <c r="T4185">
        <v>-0.48146949999999999</v>
      </c>
      <c r="U4185">
        <v>-1.378479</v>
      </c>
      <c r="V4185">
        <v>-0.18687590000000001</v>
      </c>
      <c r="W4185">
        <v>8.6009749999999996E-2</v>
      </c>
      <c r="X4185">
        <v>0.97861109999999896</v>
      </c>
      <c r="Y4185">
        <v>-0.13086680000000001</v>
      </c>
      <c r="Z4185">
        <v>4.2613869999999998E-2</v>
      </c>
      <c r="AA4185">
        <v>0.99048369999999997</v>
      </c>
      <c r="AB4185">
        <v>41</v>
      </c>
      <c r="AC4185">
        <v>-5.6683000000000403</v>
      </c>
      <c r="AD4185">
        <v>-1.07055878</v>
      </c>
      <c r="AE4185">
        <v>-2.9287999999999901</v>
      </c>
      <c r="AF4185">
        <v>-0.84573406371391602</v>
      </c>
      <c r="AG4185">
        <v>-1.07055878</v>
      </c>
      <c r="AH4185">
        <v>6.1476279038985098</v>
      </c>
      <c r="AI4185">
        <v>99.788144765722294</v>
      </c>
      <c r="AJ4185">
        <v>97.833057512472905</v>
      </c>
      <c r="AK4185">
        <v>6.2971970790783303</v>
      </c>
      <c r="AL4185">
        <v>85.065907969793699</v>
      </c>
      <c r="AM4185">
        <v>100.81106354062</v>
      </c>
      <c r="AN4185">
        <v>0.99999998206953999</v>
      </c>
    </row>
    <row r="4186" spans="1:40" x14ac:dyDescent="0.25">
      <c r="A4186" t="str">
        <f>"20190312151622099"</f>
        <v>20190312151622099</v>
      </c>
      <c r="B4186" t="str">
        <f>"1552374982092359"</f>
        <v>1552374982092359</v>
      </c>
      <c r="C4186" t="s">
        <v>40</v>
      </c>
      <c r="D4186">
        <v>4.2625099999999998</v>
      </c>
      <c r="E4186">
        <v>0.52431740000000004</v>
      </c>
      <c r="F4186" t="s">
        <v>58</v>
      </c>
      <c r="G4186">
        <v>-405.23059999999998</v>
      </c>
      <c r="H4186">
        <v>7.9986779999999993E-2</v>
      </c>
      <c r="I4186">
        <v>129.56880000000001</v>
      </c>
      <c r="J4186">
        <v>-399.7996</v>
      </c>
      <c r="K4186">
        <v>1.1155389999999901</v>
      </c>
      <c r="L4186">
        <v>132.40430000000001</v>
      </c>
      <c r="M4186">
        <v>-0.94081669999999995</v>
      </c>
      <c r="N4186">
        <v>0</v>
      </c>
      <c r="O4186">
        <v>-0.33860269999999998</v>
      </c>
      <c r="P4186">
        <v>-0.8587823</v>
      </c>
      <c r="Q4186">
        <v>7.3443519999999998E-2</v>
      </c>
      <c r="R4186">
        <v>-0.50704939999999998</v>
      </c>
      <c r="S4186">
        <v>-2.7141109999999999</v>
      </c>
      <c r="T4186">
        <v>-0.48324869999999998</v>
      </c>
      <c r="U4186">
        <v>-1.3889009999999999</v>
      </c>
      <c r="V4186">
        <v>-0.18750890000000001</v>
      </c>
      <c r="W4186">
        <v>8.5038660000000002E-2</v>
      </c>
      <c r="X4186">
        <v>0.97857490000000003</v>
      </c>
      <c r="Y4186">
        <v>-0.12955150000000001</v>
      </c>
      <c r="Z4186">
        <v>4.3667249999999998E-2</v>
      </c>
      <c r="AA4186">
        <v>0.99061069999999996</v>
      </c>
      <c r="AB4186">
        <v>41</v>
      </c>
      <c r="AC4186">
        <v>-5.4309999999999796</v>
      </c>
      <c r="AD4186">
        <v>-1.03555221999999</v>
      </c>
      <c r="AE4186">
        <v>-2.8354999999999899</v>
      </c>
      <c r="AF4186">
        <v>-0.80580131138486799</v>
      </c>
      <c r="AG4186">
        <v>-1.03555221999999</v>
      </c>
      <c r="AH4186">
        <v>5.9017199725548499</v>
      </c>
      <c r="AI4186">
        <v>99.862475890304097</v>
      </c>
      <c r="AJ4186">
        <v>97.774900037092095</v>
      </c>
      <c r="AK4186">
        <v>6.0458235822945898</v>
      </c>
      <c r="AL4186">
        <v>85.121752017031994</v>
      </c>
      <c r="AM4186">
        <v>100.84720801873399</v>
      </c>
      <c r="AN4186">
        <v>0.99999999809190698</v>
      </c>
    </row>
    <row r="4187" spans="1:40" x14ac:dyDescent="0.25">
      <c r="A4187" t="str">
        <f>"20190312151622121"</f>
        <v>20190312151622121</v>
      </c>
      <c r="B4187" t="str">
        <f>"1552374982111876"</f>
        <v>1552374982111876</v>
      </c>
      <c r="C4187" t="s">
        <v>40</v>
      </c>
      <c r="D4187">
        <v>4.1990270000000001</v>
      </c>
      <c r="E4187">
        <v>0.52476840000000002</v>
      </c>
      <c r="F4187" t="s">
        <v>58</v>
      </c>
      <c r="G4187">
        <v>-405.56869999999998</v>
      </c>
      <c r="H4187">
        <v>7.9986970000000004E-2</v>
      </c>
      <c r="I4187">
        <v>129.41999999999999</v>
      </c>
      <c r="J4187">
        <v>-400.18090000000001</v>
      </c>
      <c r="K4187">
        <v>1.1155360000000001</v>
      </c>
      <c r="L4187">
        <v>132.26249999999999</v>
      </c>
      <c r="M4187">
        <v>-0.93903400000000004</v>
      </c>
      <c r="N4187">
        <v>0</v>
      </c>
      <c r="O4187">
        <v>-0.34351559999999998</v>
      </c>
      <c r="P4187">
        <v>-0.85605599999999904</v>
      </c>
      <c r="Q4187">
        <v>7.2932209999999997E-2</v>
      </c>
      <c r="R4187">
        <v>-0.5117121</v>
      </c>
      <c r="S4187">
        <v>-2.7078549999999999</v>
      </c>
      <c r="T4187">
        <v>-0.48605749999999998</v>
      </c>
      <c r="U4187">
        <v>-1.4007419999999999</v>
      </c>
      <c r="V4187">
        <v>-0.18769159999999999</v>
      </c>
      <c r="W4187">
        <v>8.4526480000000001E-2</v>
      </c>
      <c r="X4187">
        <v>0.97858429999999996</v>
      </c>
      <c r="Y4187">
        <v>-0.1288115</v>
      </c>
      <c r="Z4187">
        <v>4.4770459999999998E-2</v>
      </c>
      <c r="AA4187">
        <v>0.99065800000000004</v>
      </c>
      <c r="AB4187">
        <v>41</v>
      </c>
      <c r="AC4187">
        <v>-5.3877999999999702</v>
      </c>
      <c r="AD4187">
        <v>-1.0355490300000001</v>
      </c>
      <c r="AE4187">
        <v>-2.8424999999999998</v>
      </c>
      <c r="AF4187">
        <v>-0.79550882349260399</v>
      </c>
      <c r="AG4187">
        <v>-1.0355490300000001</v>
      </c>
      <c r="AH4187">
        <v>5.8668686916657604</v>
      </c>
      <c r="AI4187">
        <v>99.921097356165006</v>
      </c>
      <c r="AJ4187">
        <v>97.721837348823996</v>
      </c>
      <c r="AK4187">
        <v>6.0104362842506198</v>
      </c>
      <c r="AL4187">
        <v>85.151204051169302</v>
      </c>
      <c r="AM4187">
        <v>100.85742412692299</v>
      </c>
      <c r="AN4187">
        <v>1.00000004736911</v>
      </c>
    </row>
    <row r="4188" spans="1:40" x14ac:dyDescent="0.25">
      <c r="A4188" t="str">
        <f>"20190312151622144"</f>
        <v>20190312151622144</v>
      </c>
      <c r="B4188" t="str">
        <f>"1552374982132373"</f>
        <v>1552374982132373</v>
      </c>
      <c r="C4188" t="s">
        <v>40</v>
      </c>
      <c r="D4188">
        <v>4.2059920000000002</v>
      </c>
      <c r="E4188">
        <v>0.52514479999999997</v>
      </c>
      <c r="F4188" t="s">
        <v>58</v>
      </c>
      <c r="G4188">
        <v>-405.91579999999999</v>
      </c>
      <c r="H4188">
        <v>7.9987160000000002E-2</v>
      </c>
      <c r="I4188">
        <v>129.2655</v>
      </c>
      <c r="J4188">
        <v>-400.56849999999997</v>
      </c>
      <c r="K4188">
        <v>1.1155250000000001</v>
      </c>
      <c r="L4188">
        <v>132.11619999999999</v>
      </c>
      <c r="M4188">
        <v>-0.93719249999999998</v>
      </c>
      <c r="N4188">
        <v>0</v>
      </c>
      <c r="O4188">
        <v>-0.3485085</v>
      </c>
      <c r="P4188">
        <v>-0.85319639999999997</v>
      </c>
      <c r="Q4188">
        <v>7.3099399999999995E-2</v>
      </c>
      <c r="R4188">
        <v>-0.51644219999999996</v>
      </c>
      <c r="S4188">
        <v>-2.7019350000000002</v>
      </c>
      <c r="T4188">
        <v>-0.48789169999999998</v>
      </c>
      <c r="U4188">
        <v>-1.4120330000000001</v>
      </c>
      <c r="V4188">
        <v>-0.1879054</v>
      </c>
      <c r="W4188">
        <v>8.4691349999999999E-2</v>
      </c>
      <c r="X4188">
        <v>0.97852899999999998</v>
      </c>
      <c r="Y4188">
        <v>-0.1277635</v>
      </c>
      <c r="Z4188">
        <v>4.5827930000000003E-2</v>
      </c>
      <c r="AA4188">
        <v>0.99074530000000005</v>
      </c>
      <c r="AB4188">
        <v>41</v>
      </c>
      <c r="AC4188">
        <v>-5.3473000000000104</v>
      </c>
      <c r="AD4188">
        <v>-1.0355378399999999</v>
      </c>
      <c r="AE4188">
        <v>-2.8506999999999798</v>
      </c>
      <c r="AF4188">
        <v>-0.78522975233473202</v>
      </c>
      <c r="AG4188">
        <v>-1.0355378399999999</v>
      </c>
      <c r="AH4188">
        <v>5.8351745800831303</v>
      </c>
      <c r="AI4188">
        <v>99.975128750406796</v>
      </c>
      <c r="AJ4188">
        <v>97.664156719693395</v>
      </c>
      <c r="AK4188">
        <v>5.9781424173460298</v>
      </c>
      <c r="AL4188">
        <v>85.141723636938394</v>
      </c>
      <c r="AM4188">
        <v>100.870097038758</v>
      </c>
      <c r="AN4188">
        <v>1.0000000339774899</v>
      </c>
    </row>
    <row r="4189" spans="1:40" x14ac:dyDescent="0.25">
      <c r="A4189" t="str">
        <f>"20190312151622166"</f>
        <v>20190312151622166</v>
      </c>
      <c r="B4189" t="str">
        <f>"1552374982161657"</f>
        <v>1552374982161657</v>
      </c>
      <c r="C4189" t="s">
        <v>40</v>
      </c>
      <c r="D4189">
        <v>4.1958260000000003</v>
      </c>
      <c r="E4189">
        <v>0.52565499999999998</v>
      </c>
      <c r="F4189" t="s">
        <v>58</v>
      </c>
      <c r="G4189">
        <v>-406.28969999999998</v>
      </c>
      <c r="H4189">
        <v>7.9987009999999997E-2</v>
      </c>
      <c r="I4189">
        <v>129.09280000000001</v>
      </c>
      <c r="J4189">
        <v>-400.95179999999999</v>
      </c>
      <c r="K4189">
        <v>1.1155139999999999</v>
      </c>
      <c r="L4189">
        <v>131.9691</v>
      </c>
      <c r="M4189">
        <v>-0.93534010000000001</v>
      </c>
      <c r="N4189">
        <v>0</v>
      </c>
      <c r="O4189">
        <v>-0.35345019999999999</v>
      </c>
      <c r="P4189">
        <v>-0.8504332</v>
      </c>
      <c r="Q4189">
        <v>7.2423769999999998E-2</v>
      </c>
      <c r="R4189">
        <v>-0.52107479999999995</v>
      </c>
      <c r="S4189">
        <v>-2.6956790000000002</v>
      </c>
      <c r="T4189">
        <v>-0.48791689999999999</v>
      </c>
      <c r="U4189">
        <v>-1.424561</v>
      </c>
      <c r="V4189">
        <v>-0.18803049999999999</v>
      </c>
      <c r="W4189">
        <v>8.4015699999999999E-2</v>
      </c>
      <c r="X4189">
        <v>0.97856319999999997</v>
      </c>
      <c r="Y4189">
        <v>-0.12714110000000001</v>
      </c>
      <c r="Z4189">
        <v>4.6675830000000001E-2</v>
      </c>
      <c r="AA4189">
        <v>0.99078580000000005</v>
      </c>
      <c r="AB4189">
        <v>41</v>
      </c>
      <c r="AC4189">
        <v>-5.3378999999999897</v>
      </c>
      <c r="AD4189">
        <v>-1.0355269899999999</v>
      </c>
      <c r="AE4189">
        <v>-2.8762999999999801</v>
      </c>
      <c r="AF4189">
        <v>-0.78094519341066104</v>
      </c>
      <c r="AG4189">
        <v>-1.0355269899999999</v>
      </c>
      <c r="AH4189">
        <v>5.8396981962094703</v>
      </c>
      <c r="AI4189">
        <v>99.968532981008593</v>
      </c>
      <c r="AJ4189">
        <v>97.616995235901399</v>
      </c>
      <c r="AK4189">
        <v>5.9819951993412497</v>
      </c>
      <c r="AL4189">
        <v>85.180573936892799</v>
      </c>
      <c r="AM4189">
        <v>100.876790265661</v>
      </c>
      <c r="AN4189">
        <v>1.0000000215854801</v>
      </c>
    </row>
    <row r="4190" spans="1:40" x14ac:dyDescent="0.25">
      <c r="A4190" t="str">
        <f>"20190312151622189"</f>
        <v>20190312151622189</v>
      </c>
      <c r="B4190" t="str">
        <f>"1552374982182148"</f>
        <v>1552374982182148</v>
      </c>
      <c r="C4190" t="s">
        <v>40</v>
      </c>
      <c r="D4190">
        <v>4.1197660000000003</v>
      </c>
      <c r="E4190">
        <v>0.52601330000000002</v>
      </c>
      <c r="F4190" t="s">
        <v>58</v>
      </c>
      <c r="G4190">
        <v>-406.62619999999998</v>
      </c>
      <c r="H4190">
        <v>7.9987050000000004E-2</v>
      </c>
      <c r="I4190">
        <v>128.94059999999999</v>
      </c>
      <c r="J4190">
        <v>-401.34</v>
      </c>
      <c r="K4190">
        <v>1.115505</v>
      </c>
      <c r="L4190">
        <v>131.81790000000001</v>
      </c>
      <c r="M4190">
        <v>-0.93343339999999997</v>
      </c>
      <c r="N4190">
        <v>0</v>
      </c>
      <c r="O4190">
        <v>-0.35845519999999997</v>
      </c>
      <c r="P4190">
        <v>-0.84783169999999897</v>
      </c>
      <c r="Q4190">
        <v>7.0850769999999993E-2</v>
      </c>
      <c r="R4190">
        <v>-0.5255109</v>
      </c>
      <c r="S4190">
        <v>-2.689819</v>
      </c>
      <c r="T4190">
        <v>-0.49087579999999997</v>
      </c>
      <c r="U4190">
        <v>-1.4356230000000001</v>
      </c>
      <c r="V4190">
        <v>-0.18782989999999999</v>
      </c>
      <c r="W4190">
        <v>8.2449510000000004E-2</v>
      </c>
      <c r="X4190">
        <v>0.97873489999999996</v>
      </c>
      <c r="Y4190">
        <v>-0.12599759999999999</v>
      </c>
      <c r="Z4190">
        <v>4.7859260000000001E-2</v>
      </c>
      <c r="AA4190">
        <v>0.99087539999999996</v>
      </c>
      <c r="AB4190">
        <v>41</v>
      </c>
      <c r="AC4190">
        <v>-5.2862</v>
      </c>
      <c r="AD4190">
        <v>-1.03551795</v>
      </c>
      <c r="AE4190">
        <v>-2.8773000000000102</v>
      </c>
      <c r="AF4190">
        <v>-0.76824366675245703</v>
      </c>
      <c r="AG4190">
        <v>-1.03551795</v>
      </c>
      <c r="AH4190">
        <v>5.7947888077044603</v>
      </c>
      <c r="AI4190">
        <v>100.045623189244</v>
      </c>
      <c r="AJ4190">
        <v>97.551944311137603</v>
      </c>
      <c r="AK4190">
        <v>5.9365034390771099</v>
      </c>
      <c r="AL4190">
        <v>85.270622368283796</v>
      </c>
      <c r="AM4190">
        <v>100.863601959739</v>
      </c>
      <c r="AN4190">
        <v>0.99999999875562995</v>
      </c>
    </row>
    <row r="4191" spans="1:40" x14ac:dyDescent="0.25">
      <c r="A4191" t="str">
        <f>"20190312151622211"</f>
        <v>20190312151622211</v>
      </c>
      <c r="B4191" t="str">
        <f>"1552374982201667"</f>
        <v>1552374982201667</v>
      </c>
      <c r="C4191" t="s">
        <v>40</v>
      </c>
      <c r="D4191">
        <v>4.1130779999999998</v>
      </c>
      <c r="E4191">
        <v>0.52619450000000001</v>
      </c>
      <c r="F4191" t="s">
        <v>58</v>
      </c>
      <c r="G4191">
        <v>-406.93169999999998</v>
      </c>
      <c r="H4191">
        <v>7.9987080000000002E-2</v>
      </c>
      <c r="I4191">
        <v>128.8015</v>
      </c>
      <c r="J4191">
        <v>-401.71080000000001</v>
      </c>
      <c r="K4191">
        <v>1.115497</v>
      </c>
      <c r="L4191">
        <v>131.6712</v>
      </c>
      <c r="M4191">
        <v>-0.93158220000000003</v>
      </c>
      <c r="N4191">
        <v>0</v>
      </c>
      <c r="O4191">
        <v>-0.36323899999999998</v>
      </c>
      <c r="P4191">
        <v>-0.84553319999999998</v>
      </c>
      <c r="Q4191">
        <v>7.0368479999999997E-2</v>
      </c>
      <c r="R4191">
        <v>-0.52926530000000005</v>
      </c>
      <c r="S4191">
        <v>-2.6828919999999998</v>
      </c>
      <c r="T4191">
        <v>-0.49684620000000002</v>
      </c>
      <c r="U4191">
        <v>-1.447281</v>
      </c>
      <c r="V4191">
        <v>-0.18712529999999999</v>
      </c>
      <c r="W4191">
        <v>8.1980940000000002E-2</v>
      </c>
      <c r="X4191">
        <v>0.97890920000000003</v>
      </c>
      <c r="Y4191">
        <v>-0.12544079999999999</v>
      </c>
      <c r="Z4191">
        <v>4.9276239999999999E-2</v>
      </c>
      <c r="AA4191">
        <v>0.9908766</v>
      </c>
      <c r="AB4191">
        <v>41</v>
      </c>
      <c r="AC4191">
        <v>-5.2208999999999701</v>
      </c>
      <c r="AD4191">
        <v>-1.03550992</v>
      </c>
      <c r="AE4191">
        <v>-2.8696999999999901</v>
      </c>
      <c r="AF4191">
        <v>-0.75422342691229505</v>
      </c>
      <c r="AG4191">
        <v>-1.03550992</v>
      </c>
      <c r="AH4191">
        <v>5.7334956636734704</v>
      </c>
      <c r="AI4191">
        <v>100.152042199615</v>
      </c>
      <c r="AJ4191">
        <v>97.494051191207006</v>
      </c>
      <c r="AK4191">
        <v>5.8748707473002497</v>
      </c>
      <c r="AL4191">
        <v>85.297560594114501</v>
      </c>
      <c r="AM4191">
        <v>100.82193238064001</v>
      </c>
      <c r="AN4191">
        <v>0.99999998713400595</v>
      </c>
    </row>
    <row r="4192" spans="1:40" x14ac:dyDescent="0.25">
      <c r="A4192" t="str">
        <f>"20190312151622234"</f>
        <v>20190312151622234</v>
      </c>
      <c r="B4192" t="str">
        <f>"1552374982222164"</f>
        <v>1552374982222164</v>
      </c>
      <c r="C4192" t="s">
        <v>40</v>
      </c>
      <c r="D4192">
        <v>4.1047539999999998</v>
      </c>
      <c r="E4192">
        <v>0.53685459999999996</v>
      </c>
      <c r="F4192" t="s">
        <v>58</v>
      </c>
      <c r="G4192">
        <v>-407.2681</v>
      </c>
      <c r="H4192">
        <v>7.9987119999999995E-2</v>
      </c>
      <c r="I4192">
        <v>128.6447</v>
      </c>
      <c r="J4192">
        <v>-402.09719999999999</v>
      </c>
      <c r="K4192">
        <v>1.1154919999999999</v>
      </c>
      <c r="L4192">
        <v>131.51589999999999</v>
      </c>
      <c r="M4192">
        <v>-0.92961839999999996</v>
      </c>
      <c r="N4192">
        <v>0</v>
      </c>
      <c r="O4192">
        <v>-0.36823610000000001</v>
      </c>
      <c r="P4192">
        <v>-0.8429084</v>
      </c>
      <c r="Q4192">
        <v>7.0399009999999998E-2</v>
      </c>
      <c r="R4192">
        <v>-0.53343219999999902</v>
      </c>
      <c r="S4192">
        <v>-2.6770019999999999</v>
      </c>
      <c r="T4192">
        <v>-0.49881540000000002</v>
      </c>
      <c r="U4192">
        <v>-1.4579009999999999</v>
      </c>
      <c r="V4192">
        <v>-0.18670039999999999</v>
      </c>
      <c r="W4192">
        <v>8.2017999999999994E-2</v>
      </c>
      <c r="X4192">
        <v>0.97898719999999995</v>
      </c>
      <c r="Y4192">
        <v>-0.1241569</v>
      </c>
      <c r="Z4192">
        <v>5.0398980000000003E-2</v>
      </c>
      <c r="AA4192">
        <v>0.99098180000000002</v>
      </c>
      <c r="AB4192">
        <v>41</v>
      </c>
      <c r="AC4192">
        <v>-5.1709000000000103</v>
      </c>
      <c r="AD4192">
        <v>-1.03550488</v>
      </c>
      <c r="AE4192">
        <v>-2.87119999999998</v>
      </c>
      <c r="AF4192">
        <v>-0.74233522364971205</v>
      </c>
      <c r="AG4192">
        <v>-1.03550488</v>
      </c>
      <c r="AH4192">
        <v>5.6904406653328001</v>
      </c>
      <c r="AI4192">
        <v>100.22860093654199</v>
      </c>
      <c r="AJ4192">
        <v>97.432435946058604</v>
      </c>
      <c r="AK4192">
        <v>5.8313332014598602</v>
      </c>
      <c r="AL4192">
        <v>85.2954299319114</v>
      </c>
      <c r="AM4192">
        <v>100.79709759382099</v>
      </c>
      <c r="AN4192">
        <v>0.99999996472399899</v>
      </c>
    </row>
    <row r="4193" spans="1:40" x14ac:dyDescent="0.25">
      <c r="A4193" t="str">
        <f>"20190312151622255"</f>
        <v>20190312151622255</v>
      </c>
      <c r="B4193" t="str">
        <f>"1552374982252421"</f>
        <v>1552374982252421</v>
      </c>
      <c r="C4193" t="s">
        <v>40</v>
      </c>
      <c r="D4193">
        <v>4.0808210000000003</v>
      </c>
      <c r="E4193">
        <v>0.53760850000000004</v>
      </c>
      <c r="F4193" t="s">
        <v>41</v>
      </c>
      <c r="G4193">
        <v>-403.0179</v>
      </c>
      <c r="H4193">
        <v>0.93923880000000004</v>
      </c>
      <c r="I4193">
        <v>131.04150000000001</v>
      </c>
      <c r="J4193">
        <v>-402.46390000000002</v>
      </c>
      <c r="K4193">
        <v>1.1154980000000001</v>
      </c>
      <c r="L4193">
        <v>131.36619999999999</v>
      </c>
      <c r="M4193">
        <v>-0.92771689999999996</v>
      </c>
      <c r="N4193">
        <v>0</v>
      </c>
      <c r="O4193">
        <v>-0.37300090000000002</v>
      </c>
      <c r="P4193">
        <v>-0.84032909999999905</v>
      </c>
      <c r="Q4193">
        <v>7.1252120000000002E-2</v>
      </c>
      <c r="R4193">
        <v>-0.53737349999999995</v>
      </c>
      <c r="S4193">
        <v>-2.7160950000000001</v>
      </c>
      <c r="T4193">
        <v>-0.52042080000000002</v>
      </c>
      <c r="U4193">
        <v>-1.4008179999999999</v>
      </c>
      <c r="V4193">
        <v>-0.1863011</v>
      </c>
      <c r="W4193">
        <v>8.2873379999999996E-2</v>
      </c>
      <c r="X4193">
        <v>0.97899130000000001</v>
      </c>
      <c r="Y4193">
        <v>-9.7336320000000004E-2</v>
      </c>
      <c r="Z4193">
        <v>5.535984E-2</v>
      </c>
      <c r="AA4193">
        <v>0.99371069999999995</v>
      </c>
      <c r="AB4193">
        <v>41</v>
      </c>
      <c r="AC4193">
        <v>-0.55399999999997296</v>
      </c>
      <c r="AD4193">
        <v>-0.17625919999999901</v>
      </c>
      <c r="AE4193">
        <v>-0.32469999999997801</v>
      </c>
      <c r="AF4193">
        <v>-8.7969336243487101E-2</v>
      </c>
      <c r="AG4193">
        <v>-0.17625919999999901</v>
      </c>
      <c r="AH4193">
        <v>0.59063564352539599</v>
      </c>
      <c r="AI4193">
        <v>106.444860523137</v>
      </c>
      <c r="AJ4193">
        <v>98.471365327718402</v>
      </c>
      <c r="AK4193">
        <v>0.62262056913213004</v>
      </c>
      <c r="AL4193">
        <v>85.246253161116897</v>
      </c>
      <c r="AM4193">
        <v>100.77450267680101</v>
      </c>
      <c r="AN4193">
        <v>1.0000000312247601</v>
      </c>
    </row>
    <row r="4194" spans="1:40" x14ac:dyDescent="0.25">
      <c r="A4194" t="str">
        <f>"20190312151622277"</f>
        <v>20190312151622277</v>
      </c>
      <c r="B4194" t="str">
        <f>"1552374982271944"</f>
        <v>1552374982271944</v>
      </c>
      <c r="C4194" t="s">
        <v>40</v>
      </c>
      <c r="D4194">
        <v>4.0389210000000002</v>
      </c>
      <c r="E4194">
        <v>0.53810159999999996</v>
      </c>
      <c r="F4194" t="s">
        <v>41</v>
      </c>
      <c r="G4194">
        <v>-403.35599999999999</v>
      </c>
      <c r="H4194">
        <v>0.94486360000000003</v>
      </c>
      <c r="I4194">
        <v>130.90260000000001</v>
      </c>
      <c r="J4194">
        <v>-402.8433</v>
      </c>
      <c r="K4194">
        <v>1.1155219999999999</v>
      </c>
      <c r="L4194">
        <v>131.2089</v>
      </c>
      <c r="M4194">
        <v>-0.92571009999999998</v>
      </c>
      <c r="N4194">
        <v>0</v>
      </c>
      <c r="O4194">
        <v>-0.37795390000000001</v>
      </c>
      <c r="P4194">
        <v>-0.83746399999999999</v>
      </c>
      <c r="Q4194">
        <v>7.2252109999999994E-2</v>
      </c>
      <c r="R4194">
        <v>-0.54169529999999999</v>
      </c>
      <c r="S4194">
        <v>-2.7127080000000001</v>
      </c>
      <c r="T4194">
        <v>-0.51880930000000003</v>
      </c>
      <c r="U4194">
        <v>-1.40947</v>
      </c>
      <c r="V4194">
        <v>-0.1861604</v>
      </c>
      <c r="W4194">
        <v>8.3868890000000001E-2</v>
      </c>
      <c r="X4194">
        <v>0.97893330000000001</v>
      </c>
      <c r="Y4194">
        <v>-9.5087190000000002E-2</v>
      </c>
      <c r="Z4194">
        <v>5.6199230000000003E-2</v>
      </c>
      <c r="AA4194">
        <v>0.99388129999999997</v>
      </c>
      <c r="AB4194">
        <v>41</v>
      </c>
      <c r="AC4194">
        <v>-0.51269999999999505</v>
      </c>
      <c r="AD4194">
        <v>-0.17065839999999899</v>
      </c>
      <c r="AE4194">
        <v>-0.30629999999999302</v>
      </c>
      <c r="AF4194">
        <v>-8.3000269193464093E-2</v>
      </c>
      <c r="AG4194">
        <v>-0.17065839999999899</v>
      </c>
      <c r="AH4194">
        <v>0.54586915107126499</v>
      </c>
      <c r="AI4194">
        <v>107.17551897016099</v>
      </c>
      <c r="AJ4194">
        <v>98.645691372394197</v>
      </c>
      <c r="AK4194">
        <v>0.57791562037031896</v>
      </c>
      <c r="AL4194">
        <v>85.189015438523199</v>
      </c>
      <c r="AM4194">
        <v>100.76717872182</v>
      </c>
      <c r="AN4194">
        <v>1.0000000455434399</v>
      </c>
    </row>
    <row r="4195" spans="1:40" x14ac:dyDescent="0.25">
      <c r="A4195" t="str">
        <f>"20190312151622300"</f>
        <v>20190312151622300</v>
      </c>
      <c r="B4195" t="str">
        <f>"1552374982292439"</f>
        <v>1552374982292439</v>
      </c>
      <c r="C4195" t="s">
        <v>40</v>
      </c>
      <c r="D4195">
        <v>4.0640010000000002</v>
      </c>
      <c r="E4195">
        <v>0.53850310000000001</v>
      </c>
      <c r="F4195" t="s">
        <v>41</v>
      </c>
      <c r="G4195">
        <v>-403.69400000000002</v>
      </c>
      <c r="H4195">
        <v>0.95215399999999994</v>
      </c>
      <c r="I4195">
        <v>130.7628</v>
      </c>
      <c r="J4195">
        <v>-403.21249999999998</v>
      </c>
      <c r="K4195">
        <v>1.1155389999999901</v>
      </c>
      <c r="L4195">
        <v>131.05359999999999</v>
      </c>
      <c r="M4195">
        <v>-0.92371199999999998</v>
      </c>
      <c r="N4195">
        <v>0</v>
      </c>
      <c r="O4195">
        <v>-0.38281130000000002</v>
      </c>
      <c r="P4195">
        <v>-0.83450800000000003</v>
      </c>
      <c r="Q4195">
        <v>7.3133630000000005E-2</v>
      </c>
      <c r="R4195">
        <v>-0.54612079999999996</v>
      </c>
      <c r="S4195">
        <v>-2.7081300000000001</v>
      </c>
      <c r="T4195">
        <v>-0.52033090000000004</v>
      </c>
      <c r="U4195">
        <v>-1.4207920000000001</v>
      </c>
      <c r="V4195">
        <v>-0.18624569999999999</v>
      </c>
      <c r="W4195">
        <v>8.4739339999999996E-2</v>
      </c>
      <c r="X4195">
        <v>0.97884210000000005</v>
      </c>
      <c r="Y4195">
        <v>-9.390387E-2</v>
      </c>
      <c r="Z4195">
        <v>5.7267060000000002E-2</v>
      </c>
      <c r="AA4195">
        <v>0.99393279999999995</v>
      </c>
      <c r="AB4195">
        <v>41</v>
      </c>
      <c r="AC4195">
        <v>-0.48150000000003901</v>
      </c>
      <c r="AD4195">
        <v>-0.163384999999999</v>
      </c>
      <c r="AE4195">
        <v>-0.29079999999999001</v>
      </c>
      <c r="AF4195">
        <v>-7.7741799812426099E-2</v>
      </c>
      <c r="AG4195">
        <v>-0.163384999999999</v>
      </c>
      <c r="AH4195">
        <v>0.51287721857080004</v>
      </c>
      <c r="AI4195">
        <v>107.482741558858</v>
      </c>
      <c r="AJ4195">
        <v>98.619266225671396</v>
      </c>
      <c r="AK4195">
        <v>0.54385796582563295</v>
      </c>
      <c r="AL4195">
        <v>85.138964105433601</v>
      </c>
      <c r="AM4195">
        <v>100.77297706032</v>
      </c>
      <c r="AN4195">
        <v>1.0000000366222599</v>
      </c>
    </row>
    <row r="4196" spans="1:40" x14ac:dyDescent="0.25">
      <c r="A4196" t="str">
        <f>"20190312151622322"</f>
        <v>20190312151622322</v>
      </c>
      <c r="B4196" t="str">
        <f>"1552374982311956"</f>
        <v>1552374982311956</v>
      </c>
      <c r="C4196" t="s">
        <v>40</v>
      </c>
      <c r="D4196">
        <v>4.0112719999999999</v>
      </c>
      <c r="E4196">
        <v>0.53935440000000001</v>
      </c>
      <c r="F4196" t="s">
        <v>41</v>
      </c>
      <c r="G4196">
        <v>-404.02949999999998</v>
      </c>
      <c r="H4196">
        <v>0.956403</v>
      </c>
      <c r="I4196">
        <v>130.6199</v>
      </c>
      <c r="J4196">
        <v>-403.58600000000001</v>
      </c>
      <c r="K4196">
        <v>1.1155710000000001</v>
      </c>
      <c r="L4196">
        <v>130.89400000000001</v>
      </c>
      <c r="M4196">
        <v>-0.92163629999999996</v>
      </c>
      <c r="N4196">
        <v>0</v>
      </c>
      <c r="O4196">
        <v>-0.38778170000000001</v>
      </c>
      <c r="P4196">
        <v>-0.83108069999999901</v>
      </c>
      <c r="Q4196">
        <v>7.3556060000000006E-2</v>
      </c>
      <c r="R4196">
        <v>-0.55126660000000005</v>
      </c>
      <c r="S4196">
        <v>-2.7025450000000002</v>
      </c>
      <c r="T4196">
        <v>-0.52623719999999996</v>
      </c>
      <c r="U4196">
        <v>-1.4341280000000001</v>
      </c>
      <c r="V4196">
        <v>-0.18704870000000001</v>
      </c>
      <c r="W4196">
        <v>8.5132730000000004E-2</v>
      </c>
      <c r="X4196">
        <v>0.97865480000000005</v>
      </c>
      <c r="Y4196">
        <v>-9.3372700000000003E-2</v>
      </c>
      <c r="Z4196">
        <v>5.8787190000000003E-2</v>
      </c>
      <c r="AA4196">
        <v>0.99389419999999995</v>
      </c>
      <c r="AB4196">
        <v>41</v>
      </c>
      <c r="AC4196">
        <v>-0.44349999999997097</v>
      </c>
      <c r="AD4196">
        <v>-0.159167999999999</v>
      </c>
      <c r="AE4196">
        <v>-0.27410000000000401</v>
      </c>
      <c r="AF4196">
        <v>-7.3772157828637094E-2</v>
      </c>
      <c r="AG4196">
        <v>-0.159167999999999</v>
      </c>
      <c r="AH4196">
        <v>0.47117663221017497</v>
      </c>
      <c r="AI4196">
        <v>108.45610532449901</v>
      </c>
      <c r="AJ4196">
        <v>98.898559830720203</v>
      </c>
      <c r="AK4196">
        <v>0.50277649332045704</v>
      </c>
      <c r="AL4196">
        <v>85.1163426336458</v>
      </c>
      <c r="AM4196">
        <v>100.820352601868</v>
      </c>
      <c r="AN4196">
        <v>1.0000000077259901</v>
      </c>
    </row>
    <row r="4197" spans="1:40" x14ac:dyDescent="0.25">
      <c r="A4197" t="str">
        <f>"20190312151622345"</f>
        <v>20190312151622345</v>
      </c>
      <c r="B4197" t="str">
        <f>"1552374982342212"</f>
        <v>1552374982342212</v>
      </c>
      <c r="C4197" t="s">
        <v>40</v>
      </c>
      <c r="D4197">
        <v>4.1007699999999998</v>
      </c>
      <c r="E4197">
        <v>0.51132639999999996</v>
      </c>
      <c r="F4197" t="s">
        <v>41</v>
      </c>
      <c r="G4197">
        <v>-404.36110000000002</v>
      </c>
      <c r="H4197">
        <v>0.95172749999999995</v>
      </c>
      <c r="I4197">
        <v>130.4785</v>
      </c>
      <c r="J4197">
        <v>-403.95440000000002</v>
      </c>
      <c r="K4197">
        <v>1.1156219999999999</v>
      </c>
      <c r="L4197">
        <v>130.73429999999999</v>
      </c>
      <c r="M4197">
        <v>-0.91952699999999998</v>
      </c>
      <c r="N4197">
        <v>0</v>
      </c>
      <c r="O4197">
        <v>-0.39275749999999998</v>
      </c>
      <c r="P4197">
        <v>-0.82797299999999996</v>
      </c>
      <c r="Q4197">
        <v>7.3444430000000005E-2</v>
      </c>
      <c r="R4197">
        <v>-0.55593760000000003</v>
      </c>
      <c r="S4197">
        <v>-2.6994630000000002</v>
      </c>
      <c r="T4197">
        <v>-0.5711427</v>
      </c>
      <c r="U4197">
        <v>-1.448547</v>
      </c>
      <c r="V4197">
        <v>-0.1872743</v>
      </c>
      <c r="W4197">
        <v>8.4997329999999996E-2</v>
      </c>
      <c r="X4197">
        <v>0.97862340000000003</v>
      </c>
      <c r="Y4197">
        <v>-9.3339359999999996E-2</v>
      </c>
      <c r="Z4197">
        <v>6.4563110000000007E-2</v>
      </c>
      <c r="AA4197">
        <v>0.99353880000000006</v>
      </c>
      <c r="AB4197">
        <v>41</v>
      </c>
      <c r="AC4197">
        <v>-0.40670000000000001</v>
      </c>
      <c r="AD4197">
        <v>-0.163894499999999</v>
      </c>
      <c r="AE4197">
        <v>-0.25579999999999298</v>
      </c>
      <c r="AF4197">
        <v>-6.7619958300309202E-2</v>
      </c>
      <c r="AG4197">
        <v>-0.163894499999999</v>
      </c>
      <c r="AH4197">
        <v>0.42503073019862803</v>
      </c>
      <c r="AI4197">
        <v>110.847680274757</v>
      </c>
      <c r="AJ4197">
        <v>99.039671214098902</v>
      </c>
      <c r="AK4197">
        <v>0.46052685861300702</v>
      </c>
      <c r="AL4197">
        <v>85.1241285889556</v>
      </c>
      <c r="AM4197">
        <v>100.83343379676499</v>
      </c>
      <c r="AN4197">
        <v>0.99999998428758896</v>
      </c>
    </row>
    <row r="4198" spans="1:40" x14ac:dyDescent="0.25">
      <c r="A4198" t="str">
        <f>"20190312151622367"</f>
        <v>20190312151622367</v>
      </c>
      <c r="B4198" t="str">
        <f>"1552374982361732"</f>
        <v>1552374982361732</v>
      </c>
      <c r="C4198" t="s">
        <v>40</v>
      </c>
      <c r="D4198">
        <v>4.0802420000000001</v>
      </c>
      <c r="E4198">
        <v>0.49775229999999998</v>
      </c>
      <c r="F4198" t="s">
        <v>58</v>
      </c>
      <c r="G4198">
        <v>-410.42059999999998</v>
      </c>
      <c r="H4198" s="1">
        <v>-5.191832E-6</v>
      </c>
      <c r="I4198">
        <v>126.59180000000001</v>
      </c>
      <c r="J4198">
        <v>-404.33730000000003</v>
      </c>
      <c r="K4198">
        <v>1.115691</v>
      </c>
      <c r="L4198">
        <v>130.56569999999999</v>
      </c>
      <c r="M4198">
        <v>-0.91725900000000005</v>
      </c>
      <c r="N4198">
        <v>0</v>
      </c>
      <c r="O4198">
        <v>-0.39802549999999998</v>
      </c>
      <c r="P4198">
        <v>-0.82475259999999995</v>
      </c>
      <c r="Q4198">
        <v>7.2870950000000004E-2</v>
      </c>
      <c r="R4198">
        <v>-0.56077919999999903</v>
      </c>
      <c r="S4198">
        <v>-2.560883</v>
      </c>
      <c r="T4198">
        <v>-0.44183810000000001</v>
      </c>
      <c r="U4198">
        <v>-1.640625</v>
      </c>
      <c r="V4198">
        <v>-0.18738060000000001</v>
      </c>
      <c r="W4198">
        <v>8.4394860000000002E-2</v>
      </c>
      <c r="X4198">
        <v>0.97865519999999995</v>
      </c>
      <c r="Y4198">
        <v>-0.16183620000000001</v>
      </c>
      <c r="Z4198">
        <v>4.6687489999999998E-2</v>
      </c>
      <c r="AA4198">
        <v>0.98571260000000005</v>
      </c>
      <c r="AB4198">
        <v>41</v>
      </c>
      <c r="AC4198">
        <v>-6.0832999999999497</v>
      </c>
      <c r="AD4198">
        <v>-1.1156961918320001</v>
      </c>
      <c r="AE4198">
        <v>-3.97389999999998</v>
      </c>
      <c r="AF4198">
        <v>-1.1957260381327901</v>
      </c>
      <c r="AG4198">
        <v>-1.1156961918320001</v>
      </c>
      <c r="AH4198">
        <v>6.99746067953095</v>
      </c>
      <c r="AI4198">
        <v>98.931823442814803</v>
      </c>
      <c r="AJ4198">
        <v>99.697041908100303</v>
      </c>
      <c r="AK4198">
        <v>7.1860277422452903</v>
      </c>
      <c r="AL4198">
        <v>85.158772091094207</v>
      </c>
      <c r="AM4198">
        <v>100.83909352855299</v>
      </c>
      <c r="AN4198">
        <v>0.99999999106890902</v>
      </c>
    </row>
    <row r="4199" spans="1:40" x14ac:dyDescent="0.25">
      <c r="A4199" t="str">
        <f>"20190312151622390"</f>
        <v>20190312151622390</v>
      </c>
      <c r="B4199" t="str">
        <f>"1552374982382228"</f>
        <v>1552374982382228</v>
      </c>
      <c r="C4199" t="s">
        <v>40</v>
      </c>
      <c r="D4199">
        <v>4.0483739999999999</v>
      </c>
      <c r="E4199">
        <v>0.49121480000000001</v>
      </c>
      <c r="F4199" t="s">
        <v>58</v>
      </c>
      <c r="G4199">
        <v>-411.3</v>
      </c>
      <c r="H4199" s="1">
        <v>-4.757317E-6</v>
      </c>
      <c r="I4199">
        <v>125.69280000000001</v>
      </c>
      <c r="J4199">
        <v>-404.69959999999998</v>
      </c>
      <c r="K4199">
        <v>1.115664</v>
      </c>
      <c r="L4199">
        <v>130.404</v>
      </c>
      <c r="M4199">
        <v>-0.91482390000000002</v>
      </c>
      <c r="N4199">
        <v>0</v>
      </c>
      <c r="O4199">
        <v>-0.40357850000000001</v>
      </c>
      <c r="P4199">
        <v>-0.82152369999999997</v>
      </c>
      <c r="Q4199">
        <v>7.1718279999999995E-2</v>
      </c>
      <c r="R4199">
        <v>-0.56564639999999999</v>
      </c>
      <c r="S4199">
        <v>-2.4884949999999999</v>
      </c>
      <c r="T4199">
        <v>-0.39875729999999998</v>
      </c>
      <c r="U4199">
        <v>-1.741608</v>
      </c>
      <c r="V4199">
        <v>-0.1871555</v>
      </c>
      <c r="W4199">
        <v>8.3635580000000001E-2</v>
      </c>
      <c r="X4199">
        <v>0.97876350000000001</v>
      </c>
      <c r="Y4199">
        <v>-0.1954465</v>
      </c>
      <c r="Z4199">
        <v>4.0930029999999999E-2</v>
      </c>
      <c r="AA4199">
        <v>0.97985990000000001</v>
      </c>
      <c r="AB4199">
        <v>41</v>
      </c>
      <c r="AC4199">
        <v>-6.6004000000000298</v>
      </c>
      <c r="AD4199">
        <v>-1.1156687573170001</v>
      </c>
      <c r="AE4199">
        <v>-4.7111999999999901</v>
      </c>
      <c r="AF4199">
        <v>-1.61573860650076</v>
      </c>
      <c r="AG4199">
        <v>-1.1156687573170001</v>
      </c>
      <c r="AH4199">
        <v>7.7929184656543899</v>
      </c>
      <c r="AI4199">
        <v>97.979898104367294</v>
      </c>
      <c r="AJ4199">
        <v>101.713413804335</v>
      </c>
      <c r="AK4199">
        <v>8.0364734948189493</v>
      </c>
      <c r="AL4199">
        <v>85.202430221916003</v>
      </c>
      <c r="AM4199">
        <v>100.82521082331699</v>
      </c>
      <c r="AN4199">
        <v>1.00000004017721</v>
      </c>
    </row>
    <row r="4200" spans="1:40" x14ac:dyDescent="0.25">
      <c r="A4200" t="str">
        <f>"20190312151622411"</f>
        <v>20190312151622411</v>
      </c>
      <c r="B4200" t="str">
        <f>"1552374982401748"</f>
        <v>1552374982401748</v>
      </c>
      <c r="C4200" t="s">
        <v>40</v>
      </c>
      <c r="D4200">
        <v>4.0070309999999996</v>
      </c>
      <c r="E4200">
        <v>0.48810369999999997</v>
      </c>
      <c r="F4200" t="s">
        <v>58</v>
      </c>
      <c r="G4200">
        <v>-411.79680000000002</v>
      </c>
      <c r="H4200" s="1">
        <v>-4.5145599999999997E-6</v>
      </c>
      <c r="I4200">
        <v>125.19280000000001</v>
      </c>
      <c r="J4200">
        <v>-405.05990000000003</v>
      </c>
      <c r="K4200">
        <v>1.1160650000000001</v>
      </c>
      <c r="L4200">
        <v>130.24180000000001</v>
      </c>
      <c r="M4200">
        <v>-0.91177220000000003</v>
      </c>
      <c r="N4200">
        <v>0</v>
      </c>
      <c r="O4200">
        <v>-0.41041050000000001</v>
      </c>
      <c r="P4200">
        <v>-0.81745849999999998</v>
      </c>
      <c r="Q4200">
        <v>7.0411909999999994E-2</v>
      </c>
      <c r="R4200">
        <v>-0.57166759999999905</v>
      </c>
      <c r="S4200">
        <v>-2.4478149999999999</v>
      </c>
      <c r="T4200">
        <v>-0.38478899999999999</v>
      </c>
      <c r="U4200">
        <v>-1.7973330000000001</v>
      </c>
      <c r="V4200">
        <v>-0.18697659999999999</v>
      </c>
      <c r="W4200">
        <v>8.2721779999999995E-2</v>
      </c>
      <c r="X4200">
        <v>0.9788753</v>
      </c>
      <c r="Y4200">
        <v>-0.21019080000000001</v>
      </c>
      <c r="Z4200">
        <v>3.9541710000000001E-2</v>
      </c>
      <c r="AA4200">
        <v>0.97686039999999996</v>
      </c>
      <c r="AB4200">
        <v>41</v>
      </c>
      <c r="AC4200">
        <v>-6.7368999999999897</v>
      </c>
      <c r="AD4200">
        <v>-1.1160695145599999</v>
      </c>
      <c r="AE4200">
        <v>-5.0490000000000004</v>
      </c>
      <c r="AF4200">
        <v>-1.8071011948176701</v>
      </c>
      <c r="AG4200">
        <v>-1.1160695145599999</v>
      </c>
      <c r="AH4200">
        <v>8.07375692186144</v>
      </c>
      <c r="AI4200">
        <v>97.682626167080002</v>
      </c>
      <c r="AJ4200">
        <v>102.616238491422</v>
      </c>
      <c r="AK4200">
        <v>8.3484595419123302</v>
      </c>
      <c r="AL4200">
        <v>85.254968967392102</v>
      </c>
      <c r="AM4200">
        <v>100.813901181044</v>
      </c>
      <c r="AN4200">
        <v>0.99999999739200895</v>
      </c>
    </row>
    <row r="4201" spans="1:40" x14ac:dyDescent="0.25">
      <c r="A4201" t="str">
        <f>"20190312151622434"</f>
        <v>20190312151622434</v>
      </c>
      <c r="B4201" t="str">
        <f>"1552374982432004"</f>
        <v>1552374982432004</v>
      </c>
      <c r="C4201" t="s">
        <v>40</v>
      </c>
      <c r="D4201">
        <v>4.0292050000000001</v>
      </c>
      <c r="E4201">
        <v>0.48680780000000001</v>
      </c>
      <c r="F4201" t="s">
        <v>58</v>
      </c>
      <c r="G4201">
        <v>-412.06549999999999</v>
      </c>
      <c r="H4201" s="1">
        <v>-4.3861149999999996E-6</v>
      </c>
      <c r="I4201">
        <v>124.93049999999999</v>
      </c>
      <c r="J4201">
        <v>-405.42869999999999</v>
      </c>
      <c r="K4201">
        <v>1.11778</v>
      </c>
      <c r="L4201">
        <v>130.07390000000001</v>
      </c>
      <c r="M4201">
        <v>-0.90806909999999996</v>
      </c>
      <c r="N4201">
        <v>0</v>
      </c>
      <c r="O4201">
        <v>-0.41854069999999999</v>
      </c>
      <c r="P4201">
        <v>-0.81240259999999997</v>
      </c>
      <c r="Q4201">
        <v>6.9326509999999994E-2</v>
      </c>
      <c r="R4201">
        <v>-0.57896139999999996</v>
      </c>
      <c r="S4201">
        <v>-2.4200740000000001</v>
      </c>
      <c r="T4201">
        <v>-0.38554379999999999</v>
      </c>
      <c r="U4201">
        <v>-1.8347469999999999</v>
      </c>
      <c r="V4201">
        <v>-0.18715570000000001</v>
      </c>
      <c r="W4201">
        <v>8.1126429999999999E-2</v>
      </c>
      <c r="X4201">
        <v>0.97897460000000003</v>
      </c>
      <c r="Y4201">
        <v>-0.21645210000000001</v>
      </c>
      <c r="Z4201">
        <v>4.0320689999999999E-2</v>
      </c>
      <c r="AA4201">
        <v>0.97546029999999995</v>
      </c>
      <c r="AB4201">
        <v>41</v>
      </c>
      <c r="AC4201">
        <v>-6.6367999999999903</v>
      </c>
      <c r="AD4201">
        <v>-1.1177843861149901</v>
      </c>
      <c r="AE4201">
        <v>-5.1434000000000104</v>
      </c>
      <c r="AF4201">
        <v>-1.8600492796964301</v>
      </c>
      <c r="AG4201">
        <v>-1.1177843861149901</v>
      </c>
      <c r="AH4201">
        <v>8.03790416770752</v>
      </c>
      <c r="AI4201">
        <v>97.715672625454502</v>
      </c>
      <c r="AJ4201">
        <v>103.029454603991</v>
      </c>
      <c r="AK4201">
        <v>8.3256908822026094</v>
      </c>
      <c r="AL4201">
        <v>85.346684154765995</v>
      </c>
      <c r="AM4201">
        <v>100.82294297275701</v>
      </c>
      <c r="AN4201">
        <v>1.00000001056609</v>
      </c>
    </row>
    <row r="4202" spans="1:40" x14ac:dyDescent="0.25">
      <c r="A4202" t="str">
        <f>"20190312151622456"</f>
        <v>20190312151622456</v>
      </c>
      <c r="B4202" t="str">
        <f>"1552374982452502"</f>
        <v>1552374982452502</v>
      </c>
      <c r="C4202" t="s">
        <v>40</v>
      </c>
      <c r="D4202">
        <v>3.9876559999999999</v>
      </c>
      <c r="E4202">
        <v>0.48624289999999998</v>
      </c>
      <c r="F4202" t="s">
        <v>58</v>
      </c>
      <c r="G4202">
        <v>-412.46300000000002</v>
      </c>
      <c r="H4202" s="1">
        <v>-4.2129129999999997E-6</v>
      </c>
      <c r="I4202">
        <v>124.60250000000001</v>
      </c>
      <c r="J4202">
        <v>-405.78820000000002</v>
      </c>
      <c r="K4202">
        <v>1.120387</v>
      </c>
      <c r="L4202">
        <v>129.90700000000001</v>
      </c>
      <c r="M4202">
        <v>-0.90486109999999997</v>
      </c>
      <c r="N4202">
        <v>0</v>
      </c>
      <c r="O4202">
        <v>-0.42547040000000003</v>
      </c>
      <c r="P4202">
        <v>-0.80802390000000002</v>
      </c>
      <c r="Q4202">
        <v>7.072262E-2</v>
      </c>
      <c r="R4202">
        <v>-0.58488999999999902</v>
      </c>
      <c r="S4202">
        <v>-2.3967290000000001</v>
      </c>
      <c r="T4202">
        <v>-0.38085469999999999</v>
      </c>
      <c r="U4202">
        <v>-1.864212</v>
      </c>
      <c r="V4202">
        <v>-0.18728700000000001</v>
      </c>
      <c r="W4202">
        <v>8.0536140000000006E-2</v>
      </c>
      <c r="X4202">
        <v>0.97899820000000004</v>
      </c>
      <c r="Y4202">
        <v>-0.2210522</v>
      </c>
      <c r="Z4202">
        <v>4.0480179999999998E-2</v>
      </c>
      <c r="AA4202">
        <v>0.97442150000000005</v>
      </c>
      <c r="AB4202">
        <v>40</v>
      </c>
      <c r="AC4202">
        <v>-6.6748000000000003</v>
      </c>
      <c r="AD4202">
        <v>-1.120391212913</v>
      </c>
      <c r="AE4202">
        <v>-5.3045</v>
      </c>
      <c r="AF4202">
        <v>-1.9268292846746</v>
      </c>
      <c r="AG4202">
        <v>-1.120391212913</v>
      </c>
      <c r="AH4202">
        <v>8.15665475030357</v>
      </c>
      <c r="AI4202">
        <v>97.614151233039394</v>
      </c>
      <c r="AJ4202">
        <v>103.291203568478</v>
      </c>
      <c r="AK4202">
        <v>8.4557060188905702</v>
      </c>
      <c r="AL4202">
        <v>85.380616185440203</v>
      </c>
      <c r="AM4202">
        <v>100.83010143955001</v>
      </c>
      <c r="AN4202">
        <v>0.99999998290916903</v>
      </c>
    </row>
    <row r="4203" spans="1:40" x14ac:dyDescent="0.25">
      <c r="A4203" t="str">
        <f>"20190312151622473"</f>
        <v>20190312151622473</v>
      </c>
      <c r="B4203" t="str">
        <f>"1552374982462260"</f>
        <v>1552374982462260</v>
      </c>
      <c r="C4203" t="s">
        <v>40</v>
      </c>
      <c r="D4203">
        <v>4.0160729999999996</v>
      </c>
      <c r="E4203">
        <v>0.48606739999999998</v>
      </c>
      <c r="F4203" t="s">
        <v>58</v>
      </c>
      <c r="G4203">
        <v>-412.84160000000003</v>
      </c>
      <c r="H4203" s="1">
        <v>-3.9757410000000004E-6</v>
      </c>
      <c r="I4203">
        <v>124.31229999999999</v>
      </c>
      <c r="J4203">
        <v>-406.06229999999999</v>
      </c>
      <c r="K4203">
        <v>1.122628</v>
      </c>
      <c r="L4203">
        <v>129.7773</v>
      </c>
      <c r="M4203">
        <v>-0.90290309999999996</v>
      </c>
      <c r="N4203">
        <v>0</v>
      </c>
      <c r="O4203">
        <v>-0.42964570000000002</v>
      </c>
      <c r="P4203">
        <v>-0.805226</v>
      </c>
      <c r="Q4203">
        <v>7.2485590000000003E-2</v>
      </c>
      <c r="R4203">
        <v>-0.58852150000000003</v>
      </c>
      <c r="S4203">
        <v>-2.3796390000000001</v>
      </c>
      <c r="T4203">
        <v>-0.37799260000000001</v>
      </c>
      <c r="U4203">
        <v>-1.887497</v>
      </c>
      <c r="V4203">
        <v>-0.1875849</v>
      </c>
      <c r="W4203">
        <v>8.0442040000000006E-2</v>
      </c>
      <c r="X4203">
        <v>0.97894890000000001</v>
      </c>
      <c r="Y4203">
        <v>-0.2257913</v>
      </c>
      <c r="Z4203">
        <v>4.0434209999999998E-2</v>
      </c>
      <c r="AA4203">
        <v>0.97333619999999998</v>
      </c>
      <c r="AB4203">
        <v>40</v>
      </c>
      <c r="AC4203">
        <v>-6.7793000000000303</v>
      </c>
      <c r="AD4203">
        <v>-1.1226319757409999</v>
      </c>
      <c r="AE4203">
        <v>-5.4649999999999999</v>
      </c>
      <c r="AF4203">
        <v>-1.9887848477875401</v>
      </c>
      <c r="AG4203">
        <v>-1.1226319757409999</v>
      </c>
      <c r="AH4203">
        <v>8.3313109410139603</v>
      </c>
      <c r="AI4203">
        <v>97.466964822377406</v>
      </c>
      <c r="AJ4203">
        <v>103.425941333567</v>
      </c>
      <c r="AK4203">
        <v>8.6386520777031208</v>
      </c>
      <c r="AL4203">
        <v>85.386025267056098</v>
      </c>
      <c r="AM4203">
        <v>100.847452822807</v>
      </c>
      <c r="AN4203">
        <v>0.99999998265929002</v>
      </c>
    </row>
    <row r="4204" spans="1:40" x14ac:dyDescent="0.25">
      <c r="A4204" t="str">
        <f>"20190312151622489"</f>
        <v>20190312151622489</v>
      </c>
      <c r="B4204" t="str">
        <f>"1552374982481780"</f>
        <v>1552374982481780</v>
      </c>
      <c r="C4204" t="s">
        <v>40</v>
      </c>
      <c r="D4204">
        <v>4.0336349999999896</v>
      </c>
      <c r="E4204">
        <v>0.48582439999999999</v>
      </c>
      <c r="F4204" t="s">
        <v>58</v>
      </c>
      <c r="G4204">
        <v>-413.2276</v>
      </c>
      <c r="H4204" s="1">
        <v>-3.7413749999999998E-6</v>
      </c>
      <c r="I4204">
        <v>124.0282</v>
      </c>
      <c r="J4204">
        <v>-406.32429999999999</v>
      </c>
      <c r="K4204">
        <v>1.124773</v>
      </c>
      <c r="L4204">
        <v>129.6508</v>
      </c>
      <c r="M4204">
        <v>-0.90137149999999999</v>
      </c>
      <c r="N4204">
        <v>0</v>
      </c>
      <c r="O4204">
        <v>-0.43288130000000002</v>
      </c>
      <c r="P4204">
        <v>-0.80289359999999999</v>
      </c>
      <c r="Q4204">
        <v>7.3777599999999999E-2</v>
      </c>
      <c r="R4204">
        <v>-0.59153959999999906</v>
      </c>
      <c r="S4204">
        <v>-2.3695369999999998</v>
      </c>
      <c r="T4204">
        <v>-0.37124689999999999</v>
      </c>
      <c r="U4204">
        <v>-1.9012150000000001</v>
      </c>
      <c r="V4204">
        <v>-0.18808520000000001</v>
      </c>
      <c r="W4204">
        <v>8.0014740000000001E-2</v>
      </c>
      <c r="X4204">
        <v>0.97888790000000003</v>
      </c>
      <c r="Y4204">
        <v>-0.22772039999999999</v>
      </c>
      <c r="Z4204">
        <v>4.0014460000000002E-2</v>
      </c>
      <c r="AA4204">
        <v>0.97290399999999999</v>
      </c>
      <c r="AB4204">
        <v>40</v>
      </c>
      <c r="AC4204">
        <v>-6.9032999999999998</v>
      </c>
      <c r="AD4204">
        <v>-1.1247767413750001</v>
      </c>
      <c r="AE4204">
        <v>-5.6226000000000003</v>
      </c>
      <c r="AF4204">
        <v>-2.04721759597403</v>
      </c>
      <c r="AG4204">
        <v>-1.1247767413750001</v>
      </c>
      <c r="AH4204">
        <v>8.5209826900765204</v>
      </c>
      <c r="AI4204">
        <v>97.313839141332096</v>
      </c>
      <c r="AJ4204">
        <v>103.50960375537301</v>
      </c>
      <c r="AK4204">
        <v>8.8353476789420995</v>
      </c>
      <c r="AL4204">
        <v>85.410586828619699</v>
      </c>
      <c r="AM4204">
        <v>100.876356130126</v>
      </c>
      <c r="AN4204">
        <v>0.99999996092135801</v>
      </c>
    </row>
    <row r="4205" spans="1:40" x14ac:dyDescent="0.25">
      <c r="A4205" t="str">
        <f>"20190312151622513"</f>
        <v>20190312151622513</v>
      </c>
      <c r="B4205" t="str">
        <f>"1552374982502276"</f>
        <v>1552374982502276</v>
      </c>
      <c r="C4205" t="s">
        <v>40</v>
      </c>
      <c r="D4205">
        <v>4.0263619999999998</v>
      </c>
      <c r="E4205">
        <v>0.48574929999999999</v>
      </c>
      <c r="F4205" t="s">
        <v>58</v>
      </c>
      <c r="G4205">
        <v>-413.5829</v>
      </c>
      <c r="H4205" s="1">
        <v>-3.5270810000000002E-6</v>
      </c>
      <c r="I4205">
        <v>123.7689</v>
      </c>
      <c r="J4205">
        <v>-406.68819999999999</v>
      </c>
      <c r="K4205">
        <v>1.1274690000000001</v>
      </c>
      <c r="L4205">
        <v>129.47200000000001</v>
      </c>
      <c r="M4205">
        <v>-0.89926219999999901</v>
      </c>
      <c r="N4205">
        <v>0</v>
      </c>
      <c r="O4205">
        <v>-0.43728420000000001</v>
      </c>
      <c r="P4205">
        <v>-0.79981009999999997</v>
      </c>
      <c r="Q4205">
        <v>7.5613360000000004E-2</v>
      </c>
      <c r="R4205">
        <v>-0.59547190000000005</v>
      </c>
      <c r="S4205">
        <v>-2.3607179999999999</v>
      </c>
      <c r="T4205">
        <v>-0.36581150000000001</v>
      </c>
      <c r="U4205">
        <v>-1.9129940000000001</v>
      </c>
      <c r="V4205">
        <v>-0.18849009999999999</v>
      </c>
      <c r="W4205">
        <v>7.9691529999999997E-2</v>
      </c>
      <c r="X4205">
        <v>0.97883640000000005</v>
      </c>
      <c r="Y4205">
        <v>-0.22766549999999999</v>
      </c>
      <c r="Z4205">
        <v>3.9985680000000003E-2</v>
      </c>
      <c r="AA4205">
        <v>0.97291810000000001</v>
      </c>
      <c r="AB4205">
        <v>40</v>
      </c>
      <c r="AC4205">
        <v>-6.8947000000000003</v>
      </c>
      <c r="AD4205">
        <v>-1.127472527081</v>
      </c>
      <c r="AE4205">
        <v>-5.7031000000000001</v>
      </c>
      <c r="AF4205">
        <v>-2.0807183988290001</v>
      </c>
      <c r="AG4205">
        <v>-1.127472527081</v>
      </c>
      <c r="AH4205">
        <v>8.55860698980538</v>
      </c>
      <c r="AI4205">
        <v>97.294586940798794</v>
      </c>
      <c r="AJ4205">
        <v>103.664323202022</v>
      </c>
      <c r="AK4205">
        <v>8.8797712223059904</v>
      </c>
      <c r="AL4205">
        <v>85.429164801823404</v>
      </c>
      <c r="AM4205">
        <v>100.899769699359</v>
      </c>
      <c r="AN4205">
        <v>0.99999997785835504</v>
      </c>
    </row>
    <row r="4206" spans="1:40" x14ac:dyDescent="0.25">
      <c r="A4206" t="str">
        <f>"20190312151622535"</f>
        <v>20190312151622535</v>
      </c>
      <c r="B4206" t="str">
        <f>"1552374982531557"</f>
        <v>1552374982531557</v>
      </c>
      <c r="C4206" t="s">
        <v>40</v>
      </c>
      <c r="D4206">
        <v>4.0377960000000002</v>
      </c>
      <c r="E4206">
        <v>0.485566</v>
      </c>
      <c r="F4206" t="s">
        <v>58</v>
      </c>
      <c r="G4206">
        <v>-414.06139999999999</v>
      </c>
      <c r="H4206" s="1">
        <v>-3.243219E-6</v>
      </c>
      <c r="I4206">
        <v>123.4271</v>
      </c>
      <c r="J4206">
        <v>-407.05180000000001</v>
      </c>
      <c r="K4206">
        <v>1.1296729999999999</v>
      </c>
      <c r="L4206">
        <v>129.28970000000001</v>
      </c>
      <c r="M4206">
        <v>-0.8965786</v>
      </c>
      <c r="N4206">
        <v>0</v>
      </c>
      <c r="O4206">
        <v>-0.44278840000000003</v>
      </c>
      <c r="P4206">
        <v>-0.79548969999999997</v>
      </c>
      <c r="Q4206">
        <v>7.6465930000000001E-2</v>
      </c>
      <c r="R4206">
        <v>-0.60112349999999903</v>
      </c>
      <c r="S4206">
        <v>-2.3502809999999998</v>
      </c>
      <c r="T4206">
        <v>-0.35939090000000001</v>
      </c>
      <c r="U4206">
        <v>-1.926865</v>
      </c>
      <c r="V4206">
        <v>-0.1896168</v>
      </c>
      <c r="W4206">
        <v>7.8914339999999999E-2</v>
      </c>
      <c r="X4206">
        <v>0.97868169999999999</v>
      </c>
      <c r="Y4206">
        <v>-0.22724630000000001</v>
      </c>
      <c r="Z4206">
        <v>3.9987559999999998E-2</v>
      </c>
      <c r="AA4206">
        <v>0.97301599999999999</v>
      </c>
      <c r="AB4206">
        <v>40</v>
      </c>
      <c r="AC4206">
        <v>-7.0095999999999696</v>
      </c>
      <c r="AD4206">
        <v>-1.129676243219</v>
      </c>
      <c r="AE4206">
        <v>-5.8626000000000102</v>
      </c>
      <c r="AF4206">
        <v>-2.1202016541797102</v>
      </c>
      <c r="AG4206">
        <v>-1.129676243219</v>
      </c>
      <c r="AH4206">
        <v>8.7472463520619499</v>
      </c>
      <c r="AI4206">
        <v>97.153907977536605</v>
      </c>
      <c r="AJ4206">
        <v>103.62487336731699</v>
      </c>
      <c r="AK4206">
        <v>9.0711488915429399</v>
      </c>
      <c r="AL4206">
        <v>85.473835011714201</v>
      </c>
      <c r="AM4206">
        <v>100.965039856964</v>
      </c>
      <c r="AN4206">
        <v>0.99999993690737998</v>
      </c>
    </row>
    <row r="4207" spans="1:40" x14ac:dyDescent="0.25">
      <c r="A4207" t="str">
        <f>"20190312151622557"</f>
        <v>20190312151622557</v>
      </c>
      <c r="B4207" t="str">
        <f>"1552374982551853"</f>
        <v>1552374982551853</v>
      </c>
      <c r="C4207" t="s">
        <v>40</v>
      </c>
      <c r="D4207">
        <v>4.0441089999999997</v>
      </c>
      <c r="E4207">
        <v>0.48546610000000001</v>
      </c>
      <c r="F4207" t="s">
        <v>58</v>
      </c>
      <c r="G4207">
        <v>-414.42750000000001</v>
      </c>
      <c r="H4207" s="1">
        <v>-3.0127369999999999E-6</v>
      </c>
      <c r="I4207">
        <v>123.1447</v>
      </c>
      <c r="J4207">
        <v>-407.4074</v>
      </c>
      <c r="K4207">
        <v>1.1323209999999999</v>
      </c>
      <c r="L4207">
        <v>129.10910000000001</v>
      </c>
      <c r="M4207">
        <v>-0.89314169999999904</v>
      </c>
      <c r="N4207">
        <v>0</v>
      </c>
      <c r="O4207">
        <v>-0.44969189999999998</v>
      </c>
      <c r="P4207">
        <v>-0.79035409999999995</v>
      </c>
      <c r="Q4207">
        <v>7.6520439999999995E-2</v>
      </c>
      <c r="R4207">
        <v>-0.60785290000000003</v>
      </c>
      <c r="S4207">
        <v>-2.3353579999999998</v>
      </c>
      <c r="T4207">
        <v>-0.35769050000000002</v>
      </c>
      <c r="U4207">
        <v>-1.945694</v>
      </c>
      <c r="V4207">
        <v>-0.19051699999999999</v>
      </c>
      <c r="W4207">
        <v>7.800783E-2</v>
      </c>
      <c r="X4207">
        <v>0.97857959999999999</v>
      </c>
      <c r="Y4207">
        <v>-0.2274516</v>
      </c>
      <c r="Z4207">
        <v>4.0636579999999999E-2</v>
      </c>
      <c r="AA4207">
        <v>0.9729411</v>
      </c>
      <c r="AB4207">
        <v>40</v>
      </c>
      <c r="AC4207">
        <v>-7.02010000000001</v>
      </c>
      <c r="AD4207">
        <v>-1.132324012737</v>
      </c>
      <c r="AE4207">
        <v>-5.9644000000000101</v>
      </c>
      <c r="AF4207">
        <v>-2.1379496882536002</v>
      </c>
      <c r="AG4207">
        <v>-1.132324012737</v>
      </c>
      <c r="AH4207">
        <v>8.8191664871396203</v>
      </c>
      <c r="AI4207">
        <v>97.112569529159899</v>
      </c>
      <c r="AJ4207">
        <v>103.62681036998499</v>
      </c>
      <c r="AK4207">
        <v>9.1449813595879608</v>
      </c>
      <c r="AL4207">
        <v>85.525935071753295</v>
      </c>
      <c r="AM4207">
        <v>101.016946776729</v>
      </c>
      <c r="AN4207">
        <v>0.99999999118323402</v>
      </c>
    </row>
    <row r="4208" spans="1:40" x14ac:dyDescent="0.25">
      <c r="A4208" t="str">
        <f>"20190312151622580"</f>
        <v>20190312151622580</v>
      </c>
      <c r="B4208" t="str">
        <f>"1552374982572349"</f>
        <v>1552374982572349</v>
      </c>
      <c r="C4208" t="s">
        <v>40</v>
      </c>
      <c r="D4208">
        <v>4.0498180000000001</v>
      </c>
      <c r="E4208">
        <v>0.48533609999999999</v>
      </c>
      <c r="F4208" t="s">
        <v>58</v>
      </c>
      <c r="G4208">
        <v>-414.72930000000002</v>
      </c>
      <c r="H4208" s="1">
        <v>-2.8149430000000001E-6</v>
      </c>
      <c r="I4208">
        <v>122.89960000000001</v>
      </c>
      <c r="J4208">
        <v>-407.75319999999999</v>
      </c>
      <c r="K4208">
        <v>1.1357619999999999</v>
      </c>
      <c r="L4208">
        <v>128.93170000000001</v>
      </c>
      <c r="M4208">
        <v>-0.8892331</v>
      </c>
      <c r="N4208">
        <v>0</v>
      </c>
      <c r="O4208">
        <v>-0.45737250000000002</v>
      </c>
      <c r="P4208">
        <v>-0.78412990000000005</v>
      </c>
      <c r="Q4208">
        <v>7.5755340000000004E-2</v>
      </c>
      <c r="R4208">
        <v>-0.61595559999999905</v>
      </c>
      <c r="S4208">
        <v>-2.3183289999999999</v>
      </c>
      <c r="T4208">
        <v>-0.35852810000000002</v>
      </c>
      <c r="U4208">
        <v>-1.96611</v>
      </c>
      <c r="V4208">
        <v>-0.19232879999999999</v>
      </c>
      <c r="W4208">
        <v>7.6560210000000004E-2</v>
      </c>
      <c r="X4208">
        <v>0.97833950000000003</v>
      </c>
      <c r="Y4208">
        <v>-0.22761629999999999</v>
      </c>
      <c r="Z4208">
        <v>4.1674540000000003E-2</v>
      </c>
      <c r="AA4208">
        <v>0.97285869999999997</v>
      </c>
      <c r="AB4208">
        <v>40</v>
      </c>
      <c r="AC4208">
        <v>-6.9761000000000299</v>
      </c>
      <c r="AD4208">
        <v>-1.135764814943</v>
      </c>
      <c r="AE4208">
        <v>-6.0320999999999998</v>
      </c>
      <c r="AF4208">
        <v>-2.1408780012406798</v>
      </c>
      <c r="AG4208">
        <v>-1.135764814943</v>
      </c>
      <c r="AH4208">
        <v>8.8287285703360006</v>
      </c>
      <c r="AI4208">
        <v>97.126201499984205</v>
      </c>
      <c r="AJ4208">
        <v>103.63055091747</v>
      </c>
      <c r="AK4208">
        <v>9.15531367565994</v>
      </c>
      <c r="AL4208">
        <v>85.6091264732746</v>
      </c>
      <c r="AM4208">
        <v>101.121778795849</v>
      </c>
      <c r="AN4208">
        <v>1.00000000516246</v>
      </c>
    </row>
    <row r="4209" spans="1:40" x14ac:dyDescent="0.25">
      <c r="A4209" t="str">
        <f>"20190312151622602"</f>
        <v>20190312151622602</v>
      </c>
      <c r="B4209" t="str">
        <f>"1552374982591865"</f>
        <v>1552374982591865</v>
      </c>
      <c r="C4209" t="s">
        <v>40</v>
      </c>
      <c r="D4209">
        <v>4.0307120000000003</v>
      </c>
      <c r="E4209">
        <v>0.4853266</v>
      </c>
      <c r="F4209" t="s">
        <v>58</v>
      </c>
      <c r="G4209">
        <v>-414.96289999999999</v>
      </c>
      <c r="H4209" s="1">
        <v>-2.641613E-6</v>
      </c>
      <c r="I4209">
        <v>122.6781</v>
      </c>
      <c r="J4209">
        <v>-408.1071</v>
      </c>
      <c r="K4209">
        <v>1.1399629999999901</v>
      </c>
      <c r="L4209">
        <v>128.7475</v>
      </c>
      <c r="M4209">
        <v>-0.88525719999999997</v>
      </c>
      <c r="N4209">
        <v>0</v>
      </c>
      <c r="O4209">
        <v>-0.46501870000000001</v>
      </c>
      <c r="P4209">
        <v>-0.77810419999999902</v>
      </c>
      <c r="Q4209">
        <v>7.4447230000000003E-2</v>
      </c>
      <c r="R4209">
        <v>-0.62370800000000004</v>
      </c>
      <c r="S4209">
        <v>-2.296265</v>
      </c>
      <c r="T4209">
        <v>-0.36173830000000001</v>
      </c>
      <c r="U4209">
        <v>-1.991776</v>
      </c>
      <c r="V4209">
        <v>-0.1938241</v>
      </c>
      <c r="W4209">
        <v>7.450756E-2</v>
      </c>
      <c r="X4209">
        <v>0.97820289999999999</v>
      </c>
      <c r="Y4209">
        <v>-0.2301079</v>
      </c>
      <c r="Z4209">
        <v>4.2868219999999999E-2</v>
      </c>
      <c r="AA4209">
        <v>0.97222050000000004</v>
      </c>
      <c r="AB4209">
        <v>40</v>
      </c>
      <c r="AC4209">
        <v>-6.8557999999999799</v>
      </c>
      <c r="AD4209">
        <v>-1.13996564161299</v>
      </c>
      <c r="AE4209">
        <v>-6.0693999999999999</v>
      </c>
      <c r="AF4209">
        <v>-2.15163869837966</v>
      </c>
      <c r="AG4209">
        <v>-1.13996564161299</v>
      </c>
      <c r="AH4209">
        <v>8.7561532991880497</v>
      </c>
      <c r="AI4209">
        <v>97.205624753721494</v>
      </c>
      <c r="AJ4209">
        <v>103.805684541329</v>
      </c>
      <c r="AK4209">
        <v>9.0884152277118595</v>
      </c>
      <c r="AL4209">
        <v>85.727071748694499</v>
      </c>
      <c r="AM4209">
        <v>101.207592424438</v>
      </c>
      <c r="AN4209">
        <v>1.00000003590318</v>
      </c>
    </row>
    <row r="4210" spans="1:40" x14ac:dyDescent="0.25">
      <c r="A4210" t="str">
        <f>"20190312151622624"</f>
        <v>20190312151622624</v>
      </c>
      <c r="B4210" t="str">
        <f>"1552374982612361"</f>
        <v>1552374982612361</v>
      </c>
      <c r="C4210" t="s">
        <v>40</v>
      </c>
      <c r="D4210">
        <v>4.0316830000000001</v>
      </c>
      <c r="E4210">
        <v>0.48537770000000002</v>
      </c>
      <c r="F4210" t="s">
        <v>58</v>
      </c>
      <c r="G4210">
        <v>-415.19389999999999</v>
      </c>
      <c r="H4210" s="1">
        <v>-2.4763260000000002E-6</v>
      </c>
      <c r="I4210">
        <v>122.4687</v>
      </c>
      <c r="J4210">
        <v>-408.46069999999997</v>
      </c>
      <c r="K4210">
        <v>1.1443779999999999</v>
      </c>
      <c r="L4210">
        <v>128.56</v>
      </c>
      <c r="M4210">
        <v>-0.88161129999999999</v>
      </c>
      <c r="N4210">
        <v>0</v>
      </c>
      <c r="O4210">
        <v>-0.47189130000000001</v>
      </c>
      <c r="P4210">
        <v>-0.77253660000000002</v>
      </c>
      <c r="Q4210">
        <v>7.3144669999999995E-2</v>
      </c>
      <c r="R4210">
        <v>-0.63074339999999995</v>
      </c>
      <c r="S4210">
        <v>-2.2749329999999999</v>
      </c>
      <c r="T4210">
        <v>-0.36594179999999998</v>
      </c>
      <c r="U4210">
        <v>-2.0155789999999998</v>
      </c>
      <c r="V4210">
        <v>-0.19532240000000001</v>
      </c>
      <c r="W4210">
        <v>7.2384729999999994E-2</v>
      </c>
      <c r="X4210">
        <v>0.97806420000000005</v>
      </c>
      <c r="Y4210">
        <v>-0.2328141</v>
      </c>
      <c r="Z4210">
        <v>4.409163E-2</v>
      </c>
      <c r="AA4210">
        <v>0.97152130000000003</v>
      </c>
      <c r="AB4210">
        <v>40</v>
      </c>
      <c r="AC4210">
        <v>-6.7332000000000098</v>
      </c>
      <c r="AD4210">
        <v>-1.1443804763259999</v>
      </c>
      <c r="AE4210">
        <v>-6.0913000000000004</v>
      </c>
      <c r="AF4210">
        <v>-2.1586173480191402</v>
      </c>
      <c r="AG4210">
        <v>-1.1443804763259999</v>
      </c>
      <c r="AH4210">
        <v>8.6730727644728596</v>
      </c>
      <c r="AI4210">
        <v>97.296464460087506</v>
      </c>
      <c r="AJ4210">
        <v>103.976222979968</v>
      </c>
      <c r="AK4210">
        <v>9.0106285412065592</v>
      </c>
      <c r="AL4210">
        <v>85.849030139940496</v>
      </c>
      <c r="AM4210">
        <v>101.29357172628301</v>
      </c>
      <c r="AN4210">
        <v>0.99999998420028602</v>
      </c>
    </row>
    <row r="4211" spans="1:40" x14ac:dyDescent="0.25">
      <c r="A4211" t="str">
        <f>"20190312151622646"</f>
        <v>20190312151622646</v>
      </c>
      <c r="B4211" t="str">
        <f>"1552374982641646"</f>
        <v>1552374982641646</v>
      </c>
      <c r="C4211" t="s">
        <v>40</v>
      </c>
      <c r="D4211">
        <v>4.0347670000000004</v>
      </c>
      <c r="E4211">
        <v>0.48549429999999999</v>
      </c>
      <c r="F4211" t="s">
        <v>58</v>
      </c>
      <c r="G4211">
        <v>-415.44439999999997</v>
      </c>
      <c r="H4211" s="1">
        <v>-2.302456E-6</v>
      </c>
      <c r="I4211">
        <v>122.25</v>
      </c>
      <c r="J4211">
        <v>-408.80290000000002</v>
      </c>
      <c r="K4211">
        <v>1.1485190000000001</v>
      </c>
      <c r="L4211">
        <v>128.37469999999999</v>
      </c>
      <c r="M4211">
        <v>-0.87828879999999998</v>
      </c>
      <c r="N4211">
        <v>0</v>
      </c>
      <c r="O4211">
        <v>-0.47804370000000002</v>
      </c>
      <c r="P4211">
        <v>-0.76752609999999999</v>
      </c>
      <c r="Q4211">
        <v>7.1459300000000003E-2</v>
      </c>
      <c r="R4211">
        <v>-0.63702259999999999</v>
      </c>
      <c r="S4211">
        <v>-2.254883</v>
      </c>
      <c r="T4211">
        <v>-0.36949179999999998</v>
      </c>
      <c r="U4211">
        <v>-2.0373380000000001</v>
      </c>
      <c r="V4211">
        <v>-0.19660720000000001</v>
      </c>
      <c r="W4211">
        <v>6.9986129999999994E-2</v>
      </c>
      <c r="X4211">
        <v>0.97798130000000005</v>
      </c>
      <c r="Y4211">
        <v>-0.23551739999999999</v>
      </c>
      <c r="Z4211">
        <v>4.516307E-2</v>
      </c>
      <c r="AA4211">
        <v>0.97082020000000002</v>
      </c>
      <c r="AB4211">
        <v>40</v>
      </c>
      <c r="AC4211">
        <v>-6.64149999999995</v>
      </c>
      <c r="AD4211">
        <v>-1.1485213024559999</v>
      </c>
      <c r="AE4211">
        <v>-6.12469999999999</v>
      </c>
      <c r="AF4211">
        <v>-2.1693601997587399</v>
      </c>
      <c r="AG4211">
        <v>-1.1485213024559999</v>
      </c>
      <c r="AH4211">
        <v>8.6220502364711908</v>
      </c>
      <c r="AI4211">
        <v>97.360775496318396</v>
      </c>
      <c r="AJ4211">
        <v>104.122818868613</v>
      </c>
      <c r="AK4211">
        <v>8.9646514231578198</v>
      </c>
      <c r="AL4211">
        <v>85.986809172207003</v>
      </c>
      <c r="AM4211">
        <v>101.36686987720999</v>
      </c>
      <c r="AN4211">
        <v>0.99999993631695105</v>
      </c>
    </row>
    <row r="4212" spans="1:40" x14ac:dyDescent="0.25">
      <c r="A4212" t="str">
        <f>"20190312151622668"</f>
        <v>20190312151622668</v>
      </c>
      <c r="B4212" t="str">
        <f>"1552374982661743"</f>
        <v>1552374982661743</v>
      </c>
      <c r="C4212" t="s">
        <v>40</v>
      </c>
      <c r="D4212">
        <v>4.0732540000000004</v>
      </c>
      <c r="E4212">
        <v>0.48557529999999999</v>
      </c>
      <c r="F4212" t="s">
        <v>58</v>
      </c>
      <c r="G4212">
        <v>-415.66879999999998</v>
      </c>
      <c r="H4212" s="1">
        <v>-2.154858E-6</v>
      </c>
      <c r="I4212">
        <v>122.0669</v>
      </c>
      <c r="J4212">
        <v>-409.1506</v>
      </c>
      <c r="K4212">
        <v>1.152344</v>
      </c>
      <c r="L4212">
        <v>128.1824</v>
      </c>
      <c r="M4212">
        <v>-0.87518109999999905</v>
      </c>
      <c r="N4212">
        <v>0</v>
      </c>
      <c r="O4212">
        <v>-0.48370780000000002</v>
      </c>
      <c r="P4212">
        <v>-0.76279929999999996</v>
      </c>
      <c r="Q4212">
        <v>7.1031419999999998E-2</v>
      </c>
      <c r="R4212">
        <v>-0.64272200000000002</v>
      </c>
      <c r="S4212">
        <v>-2.237457</v>
      </c>
      <c r="T4212">
        <v>-0.37427949999999999</v>
      </c>
      <c r="U4212">
        <v>-2.0555729999999999</v>
      </c>
      <c r="V4212">
        <v>-0.19778850000000001</v>
      </c>
      <c r="W4212">
        <v>6.8859699999999996E-2</v>
      </c>
      <c r="X4212">
        <v>0.97782309999999995</v>
      </c>
      <c r="Y4212">
        <v>-0.2373535</v>
      </c>
      <c r="Z4212">
        <v>4.6387930000000001E-2</v>
      </c>
      <c r="AA4212">
        <v>0.97031520000000004</v>
      </c>
      <c r="AB4212">
        <v>40</v>
      </c>
      <c r="AC4212">
        <v>-6.51819999999997</v>
      </c>
      <c r="AD4212">
        <v>-1.1523461548580001</v>
      </c>
      <c r="AE4212">
        <v>-6.1154999999999902</v>
      </c>
      <c r="AF4212">
        <v>-2.16339822357752</v>
      </c>
      <c r="AG4212">
        <v>-1.1523461548580001</v>
      </c>
      <c r="AH4212">
        <v>8.5214410351708594</v>
      </c>
      <c r="AI4212">
        <v>97.467246848557195</v>
      </c>
      <c r="AJ4212">
        <v>104.245123059759</v>
      </c>
      <c r="AK4212">
        <v>8.8669696543006307</v>
      </c>
      <c r="AL4212">
        <v>86.051505135510695</v>
      </c>
      <c r="AM4212">
        <v>101.43517440428199</v>
      </c>
      <c r="AN4212">
        <v>0.99999998195497397</v>
      </c>
    </row>
    <row r="4213" spans="1:40" x14ac:dyDescent="0.25">
      <c r="A4213" t="str">
        <f>"20190312151622691"</f>
        <v>20190312151622691</v>
      </c>
      <c r="B4213" t="str">
        <f>"1552374982682240"</f>
        <v>1552374982682240</v>
      </c>
      <c r="C4213" t="s">
        <v>40</v>
      </c>
      <c r="D4213">
        <v>4.0473660000000002</v>
      </c>
      <c r="E4213">
        <v>0.48915750000000002</v>
      </c>
      <c r="F4213" t="s">
        <v>58</v>
      </c>
      <c r="G4213">
        <v>-416.00369999999998</v>
      </c>
      <c r="H4213" s="1">
        <v>-1.930762E-6</v>
      </c>
      <c r="I4213">
        <v>121.7877</v>
      </c>
      <c r="J4213">
        <v>-409.50560000000002</v>
      </c>
      <c r="K4213">
        <v>1.155735</v>
      </c>
      <c r="L4213">
        <v>127.9819</v>
      </c>
      <c r="M4213">
        <v>-0.87227860000000002</v>
      </c>
      <c r="N4213">
        <v>0</v>
      </c>
      <c r="O4213">
        <v>-0.48892000000000002</v>
      </c>
      <c r="P4213">
        <v>-0.75821430000000001</v>
      </c>
      <c r="Q4213">
        <v>7.1826550000000003E-2</v>
      </c>
      <c r="R4213">
        <v>-0.64803719999999998</v>
      </c>
      <c r="S4213">
        <v>-2.2212519999999998</v>
      </c>
      <c r="T4213">
        <v>-0.37350699999999998</v>
      </c>
      <c r="U4213">
        <v>-2.0726930000000001</v>
      </c>
      <c r="V4213">
        <v>-0.199071</v>
      </c>
      <c r="W4213">
        <v>6.9167489999999998E-2</v>
      </c>
      <c r="X4213">
        <v>0.97754110000000005</v>
      </c>
      <c r="Y4213">
        <v>-0.2391006</v>
      </c>
      <c r="Z4213">
        <v>4.6879240000000003E-2</v>
      </c>
      <c r="AA4213">
        <v>0.96986249999999996</v>
      </c>
      <c r="AB4213">
        <v>40</v>
      </c>
      <c r="AC4213">
        <v>-6.49809999999996</v>
      </c>
      <c r="AD4213">
        <v>-1.155736930762</v>
      </c>
      <c r="AE4213">
        <v>-6.1941999999999897</v>
      </c>
      <c r="AF4213">
        <v>-2.1898208540342301</v>
      </c>
      <c r="AG4213">
        <v>-1.155736930762</v>
      </c>
      <c r="AH4213">
        <v>8.5552102285338201</v>
      </c>
      <c r="AI4213">
        <v>97.456060622179606</v>
      </c>
      <c r="AJ4213">
        <v>104.357369461301</v>
      </c>
      <c r="AK4213">
        <v>8.9063272610150594</v>
      </c>
      <c r="AL4213">
        <v>86.033828005097504</v>
      </c>
      <c r="AM4213">
        <v>101.510581571583</v>
      </c>
      <c r="AN4213">
        <v>1.0000000034515499</v>
      </c>
    </row>
    <row r="4214" spans="1:40" x14ac:dyDescent="0.25">
      <c r="A4214" t="str">
        <f>"20190312151622713"</f>
        <v>20190312151622713</v>
      </c>
      <c r="B4214" t="str">
        <f>"1552374982701759"</f>
        <v>1552374982701759</v>
      </c>
      <c r="C4214" t="s">
        <v>40</v>
      </c>
      <c r="D4214">
        <v>4.0533939999999999</v>
      </c>
      <c r="E4214">
        <v>0.48923680000000003</v>
      </c>
      <c r="F4214" t="s">
        <v>43</v>
      </c>
      <c r="G4214">
        <v>-421.30130000000003</v>
      </c>
      <c r="H4214" s="1">
        <v>-3.5657699999999998E-6</v>
      </c>
      <c r="I4214">
        <v>117.0939</v>
      </c>
      <c r="J4214">
        <v>-409.8492</v>
      </c>
      <c r="K4214">
        <v>1.1583589999999999</v>
      </c>
      <c r="L4214">
        <v>127.7837</v>
      </c>
      <c r="M4214">
        <v>-0.86944849999999996</v>
      </c>
      <c r="N4214">
        <v>0</v>
      </c>
      <c r="O4214">
        <v>-0.49392849999999999</v>
      </c>
      <c r="P4214">
        <v>-0.75358530000000001</v>
      </c>
      <c r="Q4214">
        <v>7.1258450000000001E-2</v>
      </c>
      <c r="R4214">
        <v>-0.65347690000000003</v>
      </c>
      <c r="S4214">
        <v>-2.2232669999999999</v>
      </c>
      <c r="T4214">
        <v>-0.21783469999999999</v>
      </c>
      <c r="U4214">
        <v>-2.0521850000000001</v>
      </c>
      <c r="V4214">
        <v>-0.20054640000000001</v>
      </c>
      <c r="W4214">
        <v>6.8573330000000002E-2</v>
      </c>
      <c r="X4214">
        <v>0.97728130000000002</v>
      </c>
      <c r="Y4214">
        <v>-0.22732340000000001</v>
      </c>
      <c r="Z4214">
        <v>2.8306919999999999E-2</v>
      </c>
      <c r="AA4214">
        <v>0.97340780000000005</v>
      </c>
      <c r="AB4214">
        <v>40</v>
      </c>
      <c r="AC4214">
        <v>-11.4521</v>
      </c>
      <c r="AD4214">
        <v>-1.1583625657700001</v>
      </c>
      <c r="AE4214">
        <v>-10.6897999999999</v>
      </c>
      <c r="AF4214">
        <v>-3.6181015480297098</v>
      </c>
      <c r="AG4214">
        <v>-1.1583625657700001</v>
      </c>
      <c r="AH4214">
        <v>15.1548672331117</v>
      </c>
      <c r="AI4214">
        <v>94.251867750212099</v>
      </c>
      <c r="AJ4214">
        <v>103.427555032345</v>
      </c>
      <c r="AK4214">
        <v>15.6237787842402</v>
      </c>
      <c r="AL4214">
        <v>86.067951677553594</v>
      </c>
      <c r="AM4214">
        <v>101.59658846582001</v>
      </c>
      <c r="AN4214">
        <v>0.99999994973496797</v>
      </c>
    </row>
    <row r="4215" spans="1:40" x14ac:dyDescent="0.25">
      <c r="A4215" t="str">
        <f>"20190312151622735"</f>
        <v>20190312151622735</v>
      </c>
      <c r="B4215" t="str">
        <f>"1552374982732015"</f>
        <v>1552374982732015</v>
      </c>
      <c r="C4215" t="s">
        <v>40</v>
      </c>
      <c r="D4215">
        <v>4.0728569999999999</v>
      </c>
      <c r="E4215">
        <v>0.48981599999999997</v>
      </c>
      <c r="F4215" t="s">
        <v>43</v>
      </c>
      <c r="G4215">
        <v>-421.68900000000002</v>
      </c>
      <c r="H4215" s="1">
        <v>-3.5036159999999998E-6</v>
      </c>
      <c r="I4215">
        <v>116.7086</v>
      </c>
      <c r="J4215">
        <v>-410.18619999999999</v>
      </c>
      <c r="K4215">
        <v>1.1602680000000001</v>
      </c>
      <c r="L4215">
        <v>127.58540000000001</v>
      </c>
      <c r="M4215">
        <v>-0.86638899999999996</v>
      </c>
      <c r="N4215">
        <v>0</v>
      </c>
      <c r="O4215">
        <v>-0.49926359999999997</v>
      </c>
      <c r="P4215">
        <v>-0.74838970000000005</v>
      </c>
      <c r="Q4215">
        <v>6.972246E-2</v>
      </c>
      <c r="R4215">
        <v>-0.65958459999999997</v>
      </c>
      <c r="S4215">
        <v>-2.2092900000000002</v>
      </c>
      <c r="T4215">
        <v>-0.2161497</v>
      </c>
      <c r="U4215">
        <v>-2.0666199999999999</v>
      </c>
      <c r="V4215">
        <v>-0.20238049999999999</v>
      </c>
      <c r="W4215">
        <v>6.7405880000000001E-2</v>
      </c>
      <c r="X4215">
        <v>0.97698439999999998</v>
      </c>
      <c r="Y4215">
        <v>-0.227799</v>
      </c>
      <c r="Z4215">
        <v>2.848289E-2</v>
      </c>
      <c r="AA4215">
        <v>0.97329149999999998</v>
      </c>
      <c r="AB4215">
        <v>40</v>
      </c>
      <c r="AC4215">
        <v>-11.502800000000001</v>
      </c>
      <c r="AD4215">
        <v>-1.1602715036160001</v>
      </c>
      <c r="AE4215">
        <v>-10.876799999999999</v>
      </c>
      <c r="AF4215">
        <v>-3.6611393148759399</v>
      </c>
      <c r="AG4215">
        <v>-1.1602715036160001</v>
      </c>
      <c r="AH4215">
        <v>15.314840025992201</v>
      </c>
      <c r="AI4215">
        <v>94.214223515742205</v>
      </c>
      <c r="AJ4215">
        <v>103.44470444079499</v>
      </c>
      <c r="AK4215">
        <v>15.789062545533501</v>
      </c>
      <c r="AL4215">
        <v>86.134996856167703</v>
      </c>
      <c r="AM4215">
        <v>101.703191640648</v>
      </c>
      <c r="AN4215">
        <v>0.99999996864109097</v>
      </c>
    </row>
    <row r="4216" spans="1:40" x14ac:dyDescent="0.25">
      <c r="A4216" t="str">
        <f>"20190312151622758"</f>
        <v>20190312151622758</v>
      </c>
      <c r="B4216" t="str">
        <f>"1552374982752511"</f>
        <v>1552374982752511</v>
      </c>
      <c r="C4216" t="s">
        <v>40</v>
      </c>
      <c r="D4216">
        <v>4.0602169999999997</v>
      </c>
      <c r="E4216">
        <v>0.49046050000000002</v>
      </c>
      <c r="F4216" t="s">
        <v>43</v>
      </c>
      <c r="G4216">
        <v>-421.55309999999997</v>
      </c>
      <c r="H4216" s="1">
        <v>-3.5129689999999999E-6</v>
      </c>
      <c r="I4216">
        <v>116.8146</v>
      </c>
      <c r="J4216">
        <v>-410.54230000000001</v>
      </c>
      <c r="K4216">
        <v>1.1617120000000001</v>
      </c>
      <c r="L4216">
        <v>127.37220000000001</v>
      </c>
      <c r="M4216">
        <v>-0.86279359999999905</v>
      </c>
      <c r="N4216">
        <v>0</v>
      </c>
      <c r="O4216">
        <v>-0.50543479999999996</v>
      </c>
      <c r="P4216">
        <v>-0.74220680000000006</v>
      </c>
      <c r="Q4216">
        <v>6.7926860000000006E-2</v>
      </c>
      <c r="R4216">
        <v>-0.66671969999999903</v>
      </c>
      <c r="S4216">
        <v>-2.19577</v>
      </c>
      <c r="T4216">
        <v>-0.22413269999999999</v>
      </c>
      <c r="U4216">
        <v>-2.0806269999999998</v>
      </c>
      <c r="V4216">
        <v>-0.2045901</v>
      </c>
      <c r="W4216">
        <v>6.6284490000000001E-2</v>
      </c>
      <c r="X4216">
        <v>0.97660089999999999</v>
      </c>
      <c r="Y4216">
        <v>-0.22716159999999999</v>
      </c>
      <c r="Z4216">
        <v>3.00419E-2</v>
      </c>
      <c r="AA4216">
        <v>0.97339359999999997</v>
      </c>
      <c r="AB4216">
        <v>40</v>
      </c>
      <c r="AC4216">
        <v>-11.0107999999999</v>
      </c>
      <c r="AD4216">
        <v>-1.161715512969</v>
      </c>
      <c r="AE4216">
        <v>-10.557600000000001</v>
      </c>
      <c r="AF4216">
        <v>-3.5235704564718202</v>
      </c>
      <c r="AG4216">
        <v>-1.161715512969</v>
      </c>
      <c r="AH4216">
        <v>14.751583672249399</v>
      </c>
      <c r="AI4216">
        <v>94.380139255552606</v>
      </c>
      <c r="AJ4216">
        <v>103.433983884664</v>
      </c>
      <c r="AK4216">
        <v>15.210994462367299</v>
      </c>
      <c r="AL4216">
        <v>86.199392038686696</v>
      </c>
      <c r="AM4216">
        <v>101.83190075251601</v>
      </c>
      <c r="AN4216">
        <v>1.0000000302566801</v>
      </c>
    </row>
    <row r="4217" spans="1:40" x14ac:dyDescent="0.25">
      <c r="A4217" t="str">
        <f>"20190312151622779"</f>
        <v>20190312151622779</v>
      </c>
      <c r="B4217" t="str">
        <f>"1552374982772031"</f>
        <v>1552374982772031</v>
      </c>
      <c r="C4217" t="s">
        <v>40</v>
      </c>
      <c r="D4217">
        <v>4.1047370000000001</v>
      </c>
      <c r="E4217">
        <v>0.4964055</v>
      </c>
      <c r="F4217" t="s">
        <v>43</v>
      </c>
      <c r="G4217">
        <v>-421.38909999999998</v>
      </c>
      <c r="H4217" s="1">
        <v>-3.5226669999999999E-6</v>
      </c>
      <c r="I4217">
        <v>116.93899999999999</v>
      </c>
      <c r="J4217">
        <v>-410.87119999999999</v>
      </c>
      <c r="K4217">
        <v>1.1626430000000001</v>
      </c>
      <c r="L4217">
        <v>127.17189999999999</v>
      </c>
      <c r="M4217">
        <v>-0.85918159999999899</v>
      </c>
      <c r="N4217">
        <v>0</v>
      </c>
      <c r="O4217">
        <v>-0.51153119999999996</v>
      </c>
      <c r="P4217">
        <v>-0.73571089999999995</v>
      </c>
      <c r="Q4217">
        <v>6.6879999999999995E-2</v>
      </c>
      <c r="R4217">
        <v>-0.67398559999999996</v>
      </c>
      <c r="S4217">
        <v>-2.1798709999999999</v>
      </c>
      <c r="T4217">
        <v>-0.23346810000000001</v>
      </c>
      <c r="U4217">
        <v>-2.0967560000000001</v>
      </c>
      <c r="V4217">
        <v>-0.20717050000000001</v>
      </c>
      <c r="W4217">
        <v>6.6021839999999998E-2</v>
      </c>
      <c r="X4217">
        <v>0.97607449999999996</v>
      </c>
      <c r="Y4217">
        <v>-0.22761020000000001</v>
      </c>
      <c r="Z4217">
        <v>3.1778569999999999E-2</v>
      </c>
      <c r="AA4217">
        <v>0.97323360000000003</v>
      </c>
      <c r="AB4217">
        <v>40</v>
      </c>
      <c r="AC4217">
        <v>-10.5178999999999</v>
      </c>
      <c r="AD4217">
        <v>-1.162646522667</v>
      </c>
      <c r="AE4217">
        <v>-10.232900000000001</v>
      </c>
      <c r="AF4217">
        <v>-3.3906448837702698</v>
      </c>
      <c r="AG4217">
        <v>-1.162646522667</v>
      </c>
      <c r="AH4217">
        <v>14.18322039713</v>
      </c>
      <c r="AI4217">
        <v>94.558369778396596</v>
      </c>
      <c r="AJ4217">
        <v>103.444813771965</v>
      </c>
      <c r="AK4217">
        <v>14.629147634023999</v>
      </c>
      <c r="AL4217">
        <v>86.214473562355806</v>
      </c>
      <c r="AM4217">
        <v>101.98311980659101</v>
      </c>
      <c r="AN4217">
        <v>0.99999996448874195</v>
      </c>
    </row>
    <row r="4218" spans="1:40" x14ac:dyDescent="0.25">
      <c r="A4218" t="str">
        <f>"20190312151622804"</f>
        <v>20190312151622804</v>
      </c>
      <c r="B4218" t="str">
        <f>"1552374982792527"</f>
        <v>1552374982792527</v>
      </c>
      <c r="C4218" t="s">
        <v>40</v>
      </c>
      <c r="D4218">
        <v>4.1044559999999999</v>
      </c>
      <c r="E4218">
        <v>0.4969517</v>
      </c>
      <c r="F4218" t="s">
        <v>43</v>
      </c>
      <c r="G4218">
        <v>-420.7996</v>
      </c>
      <c r="H4218" s="1">
        <v>-3.703531E-6</v>
      </c>
      <c r="I4218">
        <v>117.72620000000001</v>
      </c>
      <c r="J4218">
        <v>-411.22340000000003</v>
      </c>
      <c r="K4218">
        <v>1.163265</v>
      </c>
      <c r="L4218">
        <v>126.95350000000001</v>
      </c>
      <c r="M4218">
        <v>-0.85512339999999998</v>
      </c>
      <c r="N4218">
        <v>0</v>
      </c>
      <c r="O4218">
        <v>-0.51826349999999999</v>
      </c>
      <c r="P4218">
        <v>-0.72849779999999997</v>
      </c>
      <c r="Q4218">
        <v>6.5984429999999997E-2</v>
      </c>
      <c r="R4218">
        <v>-0.68186279999999999</v>
      </c>
      <c r="S4218">
        <v>-2.1912229999999999</v>
      </c>
      <c r="T4218">
        <v>-0.25659989999999999</v>
      </c>
      <c r="U4218">
        <v>-2.084686</v>
      </c>
      <c r="V4218">
        <v>-0.20990919999999999</v>
      </c>
      <c r="W4218">
        <v>6.6057539999999998E-2</v>
      </c>
      <c r="X4218">
        <v>0.97548679999999999</v>
      </c>
      <c r="Y4218">
        <v>-0.2147905</v>
      </c>
      <c r="Z4218">
        <v>3.6006169999999997E-2</v>
      </c>
      <c r="AA4218">
        <v>0.97599619999999998</v>
      </c>
      <c r="AB4218">
        <v>40</v>
      </c>
      <c r="AC4218">
        <v>-9.5761999999999698</v>
      </c>
      <c r="AD4218">
        <v>-1.1632687035310001</v>
      </c>
      <c r="AE4218">
        <v>-9.2272999999999996</v>
      </c>
      <c r="AF4218">
        <v>-2.9054973086299198</v>
      </c>
      <c r="AG4218">
        <v>-1.1632687035310001</v>
      </c>
      <c r="AH4218">
        <v>12.8735821795668</v>
      </c>
      <c r="AI4218">
        <v>95.037252886451199</v>
      </c>
      <c r="AJ4218">
        <v>102.71825498138099</v>
      </c>
      <c r="AK4218">
        <v>13.248555650376799</v>
      </c>
      <c r="AL4218">
        <v>86.212423701588406</v>
      </c>
      <c r="AM4218">
        <v>102.14395913929</v>
      </c>
      <c r="AN4218">
        <v>0.999999983904865</v>
      </c>
    </row>
    <row r="4219" spans="1:40" x14ac:dyDescent="0.25">
      <c r="A4219" t="str">
        <f>"20190312151622826"</f>
        <v>20190312151622826</v>
      </c>
      <c r="B4219" t="str">
        <f>"1552374982821808"</f>
        <v>1552374982821808</v>
      </c>
      <c r="C4219" t="s">
        <v>40</v>
      </c>
      <c r="D4219">
        <v>4.1021780000000003</v>
      </c>
      <c r="E4219">
        <v>0.4986488</v>
      </c>
      <c r="F4219" t="s">
        <v>43</v>
      </c>
      <c r="G4219">
        <v>-420.95580000000001</v>
      </c>
      <c r="H4219" s="1">
        <v>-3.6600250000000002E-6</v>
      </c>
      <c r="I4219">
        <v>117.5279</v>
      </c>
      <c r="J4219">
        <v>-411.55759999999998</v>
      </c>
      <c r="K4219">
        <v>1.1634639999999901</v>
      </c>
      <c r="L4219">
        <v>126.7426</v>
      </c>
      <c r="M4219">
        <v>-0.8512113</v>
      </c>
      <c r="N4219">
        <v>0</v>
      </c>
      <c r="O4219">
        <v>-0.52464100000000002</v>
      </c>
      <c r="P4219">
        <v>-0.72148659999999998</v>
      </c>
      <c r="Q4219">
        <v>6.4642089999999999E-2</v>
      </c>
      <c r="R4219">
        <v>-0.68940469999999998</v>
      </c>
      <c r="S4219">
        <v>-2.1723629999999998</v>
      </c>
      <c r="T4219">
        <v>-0.25965389999999999</v>
      </c>
      <c r="U4219">
        <v>-2.1038969999999999</v>
      </c>
      <c r="V4219">
        <v>-0.2126091</v>
      </c>
      <c r="W4219">
        <v>6.5588880000000002E-2</v>
      </c>
      <c r="X4219">
        <v>0.97493359999999996</v>
      </c>
      <c r="Y4219">
        <v>-0.21620400000000001</v>
      </c>
      <c r="Z4219">
        <v>3.6965610000000003E-2</v>
      </c>
      <c r="AA4219">
        <v>0.97564819999999997</v>
      </c>
      <c r="AB4219">
        <v>40</v>
      </c>
      <c r="AC4219">
        <v>-9.3982000000000294</v>
      </c>
      <c r="AD4219">
        <v>-1.16346766002499</v>
      </c>
      <c r="AE4219">
        <v>-9.2146999999999899</v>
      </c>
      <c r="AF4219">
        <v>-2.8906667525743601</v>
      </c>
      <c r="AG4219">
        <v>-1.16346766002499</v>
      </c>
      <c r="AH4219">
        <v>12.735972507718101</v>
      </c>
      <c r="AI4219">
        <v>95.0908716926225</v>
      </c>
      <c r="AJ4219">
        <v>102.78769948529801</v>
      </c>
      <c r="AK4219">
        <v>13.1116210663562</v>
      </c>
      <c r="AL4219">
        <v>86.239334467463607</v>
      </c>
      <c r="AM4219">
        <v>102.30219909703401</v>
      </c>
      <c r="AN4219">
        <v>1.0000000274957099</v>
      </c>
    </row>
    <row r="4220" spans="1:40" x14ac:dyDescent="0.25">
      <c r="A4220" t="str">
        <f>"20190312151622848"</f>
        <v>20190312151622848</v>
      </c>
      <c r="B4220" t="str">
        <f>"1552374982842303"</f>
        <v>1552374982842303</v>
      </c>
      <c r="C4220" t="s">
        <v>40</v>
      </c>
      <c r="D4220">
        <v>4.1138729999999999</v>
      </c>
      <c r="E4220">
        <v>0.50443800000000005</v>
      </c>
      <c r="F4220" t="s">
        <v>43</v>
      </c>
      <c r="G4220">
        <v>-421.03210000000001</v>
      </c>
      <c r="H4220" s="1">
        <v>-3.6520840000000001E-6</v>
      </c>
      <c r="I4220">
        <v>117.46210000000001</v>
      </c>
      <c r="J4220">
        <v>-411.89109999999999</v>
      </c>
      <c r="K4220">
        <v>1.1632400000000001</v>
      </c>
      <c r="L4220">
        <v>126.5282</v>
      </c>
      <c r="M4220">
        <v>-0.84718599999999999</v>
      </c>
      <c r="N4220">
        <v>0</v>
      </c>
      <c r="O4220">
        <v>-0.53109259999999903</v>
      </c>
      <c r="P4220">
        <v>-0.71418609999999905</v>
      </c>
      <c r="Q4220">
        <v>6.2902699999999895E-2</v>
      </c>
      <c r="R4220">
        <v>-0.69712419999999997</v>
      </c>
      <c r="S4220">
        <v>-2.1600950000000001</v>
      </c>
      <c r="T4220">
        <v>-0.26525910000000003</v>
      </c>
      <c r="U4220">
        <v>-2.115875</v>
      </c>
      <c r="V4220">
        <v>-0.215472</v>
      </c>
      <c r="W4220">
        <v>6.4758090000000004E-2</v>
      </c>
      <c r="X4220">
        <v>0.97436040000000002</v>
      </c>
      <c r="Y4220">
        <v>-0.21437</v>
      </c>
      <c r="Z4220">
        <v>3.8438569999999998E-2</v>
      </c>
      <c r="AA4220">
        <v>0.97599590000000003</v>
      </c>
      <c r="AB4220">
        <v>40</v>
      </c>
      <c r="AC4220">
        <v>-9.1410000000000196</v>
      </c>
      <c r="AD4220">
        <v>-1.1632436520839999</v>
      </c>
      <c r="AE4220">
        <v>-9.0660999999999898</v>
      </c>
      <c r="AF4220">
        <v>-2.8033758630142098</v>
      </c>
      <c r="AG4220">
        <v>-1.1632436520839999</v>
      </c>
      <c r="AH4220">
        <v>12.4587176208763</v>
      </c>
      <c r="AI4220">
        <v>95.204727625480501</v>
      </c>
      <c r="AJ4220">
        <v>102.681103102663</v>
      </c>
      <c r="AK4220">
        <v>12.823092325183399</v>
      </c>
      <c r="AL4220">
        <v>86.287036509971102</v>
      </c>
      <c r="AM4220">
        <v>102.469814209021</v>
      </c>
      <c r="AN4220">
        <v>0.99999999104630399</v>
      </c>
    </row>
    <row r="4221" spans="1:40" x14ac:dyDescent="0.25">
      <c r="A4221" t="str">
        <f>"20190312151622869"</f>
        <v>20190312151622869</v>
      </c>
      <c r="B4221" t="str">
        <f>"1552374982861822"</f>
        <v>1552374982861822</v>
      </c>
      <c r="C4221" t="s">
        <v>40</v>
      </c>
      <c r="D4221">
        <v>4.167338</v>
      </c>
      <c r="E4221">
        <v>0.50502179999999997</v>
      </c>
      <c r="F4221" t="s">
        <v>43</v>
      </c>
      <c r="G4221">
        <v>-421.31920000000002</v>
      </c>
      <c r="H4221" s="1">
        <v>-3.694226E-6</v>
      </c>
      <c r="I4221">
        <v>117.3823</v>
      </c>
      <c r="J4221">
        <v>-412.21640000000002</v>
      </c>
      <c r="K4221">
        <v>1.162582</v>
      </c>
      <c r="L4221">
        <v>126.3151</v>
      </c>
      <c r="M4221">
        <v>-0.84305229999999998</v>
      </c>
      <c r="N4221">
        <v>0</v>
      </c>
      <c r="O4221">
        <v>-0.53760620000000003</v>
      </c>
      <c r="P4221">
        <v>-0.70543829999999996</v>
      </c>
      <c r="Q4221">
        <v>6.0319329999999997E-2</v>
      </c>
      <c r="R4221">
        <v>-0.70619980000000004</v>
      </c>
      <c r="S4221">
        <v>-2.169708</v>
      </c>
      <c r="T4221">
        <v>-0.26770110000000003</v>
      </c>
      <c r="U4221">
        <v>-2.1047820000000002</v>
      </c>
      <c r="V4221">
        <v>-0.22010080000000001</v>
      </c>
      <c r="W4221">
        <v>6.3012139999999994E-2</v>
      </c>
      <c r="X4221">
        <v>0.97343979999999997</v>
      </c>
      <c r="Y4221">
        <v>-0.20215659999999999</v>
      </c>
      <c r="Z4221">
        <v>3.9886770000000002E-2</v>
      </c>
      <c r="AA4221">
        <v>0.97854059999999998</v>
      </c>
      <c r="AB4221">
        <v>40</v>
      </c>
      <c r="AC4221">
        <v>-9.1028000000000002</v>
      </c>
      <c r="AD4221">
        <v>-1.162585694226</v>
      </c>
      <c r="AE4221">
        <v>-8.9328000000000003</v>
      </c>
      <c r="AF4221">
        <v>-2.6156802737670701</v>
      </c>
      <c r="AG4221">
        <v>-1.162585694226</v>
      </c>
      <c r="AH4221">
        <v>12.375145002323199</v>
      </c>
      <c r="AI4221">
        <v>95.251556740892298</v>
      </c>
      <c r="AJ4221">
        <v>101.93469827852</v>
      </c>
      <c r="AK4221">
        <v>12.7018739806187</v>
      </c>
      <c r="AL4221">
        <v>86.387276771964906</v>
      </c>
      <c r="AM4221">
        <v>102.740697190617</v>
      </c>
      <c r="AN4221">
        <v>0.99999996808602898</v>
      </c>
    </row>
    <row r="4222" spans="1:40" x14ac:dyDescent="0.25">
      <c r="A4222" t="str">
        <f>"20190312151622903"</f>
        <v>20190312151622903</v>
      </c>
      <c r="B4222" t="str">
        <f>"1552374982892079"</f>
        <v>1552374982892079</v>
      </c>
      <c r="C4222" t="s">
        <v>40</v>
      </c>
      <c r="D4222">
        <v>4.1762860000000002</v>
      </c>
      <c r="E4222">
        <v>0.46561459999999999</v>
      </c>
      <c r="F4222" t="s">
        <v>43</v>
      </c>
      <c r="G4222">
        <v>-421.28879999999998</v>
      </c>
      <c r="H4222" s="1">
        <v>-3.6613189999999999E-6</v>
      </c>
      <c r="I4222">
        <v>117.3244</v>
      </c>
      <c r="J4222">
        <v>-412.70920000000001</v>
      </c>
      <c r="K4222">
        <v>1.160822</v>
      </c>
      <c r="L4222">
        <v>125.98390000000001</v>
      </c>
      <c r="M4222">
        <v>-0.83624140000000002</v>
      </c>
      <c r="N4222">
        <v>0</v>
      </c>
      <c r="O4222">
        <v>-0.54810289999999995</v>
      </c>
      <c r="P4222">
        <v>-0.69247559999999997</v>
      </c>
      <c r="Q4222">
        <v>5.6677579999999998E-2</v>
      </c>
      <c r="R4222">
        <v>-0.71921169999999901</v>
      </c>
      <c r="S4222">
        <v>-2.1466059999999998</v>
      </c>
      <c r="T4222">
        <v>-0.27507710000000002</v>
      </c>
      <c r="U4222">
        <v>-2.1272739999999999</v>
      </c>
      <c r="V4222">
        <v>-0.22557830000000001</v>
      </c>
      <c r="W4222">
        <v>6.0826230000000002E-2</v>
      </c>
      <c r="X4222">
        <v>0.97232430000000003</v>
      </c>
      <c r="Y4222">
        <v>-0.20042889999999999</v>
      </c>
      <c r="Z4222">
        <v>4.2073550000000001E-2</v>
      </c>
      <c r="AA4222">
        <v>0.97880440000000002</v>
      </c>
      <c r="AB4222">
        <v>40</v>
      </c>
      <c r="AC4222">
        <v>-8.5795999999999708</v>
      </c>
      <c r="AD4222">
        <v>-1.160825661319</v>
      </c>
      <c r="AE4222">
        <v>-8.6594999999999995</v>
      </c>
      <c r="AF4222">
        <v>-2.51646870010926</v>
      </c>
      <c r="AG4222">
        <v>-1.160825661319</v>
      </c>
      <c r="AH4222">
        <v>11.815458094990699</v>
      </c>
      <c r="AI4222">
        <v>95.488764124883801</v>
      </c>
      <c r="AJ4222">
        <v>102.02326816612999</v>
      </c>
      <c r="AK4222">
        <v>12.136110617866301</v>
      </c>
      <c r="AL4222">
        <v>86.512761015827806</v>
      </c>
      <c r="AM4222">
        <v>103.061498655592</v>
      </c>
      <c r="AN4222">
        <v>0.99999997202869595</v>
      </c>
    </row>
    <row r="4223" spans="1:40" x14ac:dyDescent="0.25">
      <c r="A4223" t="str">
        <f>"20190312151622925"</f>
        <v>20190312151622925</v>
      </c>
      <c r="B4223" t="str">
        <f>"1552374982922335"</f>
        <v>1552374982922335</v>
      </c>
      <c r="C4223" t="s">
        <v>40</v>
      </c>
      <c r="D4223">
        <v>4.1980589999999998</v>
      </c>
      <c r="E4223">
        <v>0.45446009999999998</v>
      </c>
      <c r="F4223" t="s">
        <v>43</v>
      </c>
      <c r="G4223">
        <v>-418.51639999999998</v>
      </c>
      <c r="H4223" s="1">
        <v>-4.1113419999999998E-6</v>
      </c>
      <c r="I4223">
        <v>118.60299999999999</v>
      </c>
      <c r="J4223">
        <v>-413.03370000000001</v>
      </c>
      <c r="K4223">
        <v>1.159241</v>
      </c>
      <c r="L4223">
        <v>125.7604</v>
      </c>
      <c r="M4223">
        <v>-0.83138069999999897</v>
      </c>
      <c r="N4223">
        <v>0</v>
      </c>
      <c r="O4223">
        <v>-0.55542290000000005</v>
      </c>
      <c r="P4223">
        <v>-0.683778</v>
      </c>
      <c r="Q4223">
        <v>5.4156179999999998E-2</v>
      </c>
      <c r="R4223">
        <v>-0.72767760000000004</v>
      </c>
      <c r="S4223">
        <v>-1.8806149999999999</v>
      </c>
      <c r="T4223">
        <v>-0.37592120000000001</v>
      </c>
      <c r="U4223">
        <v>-2.390228</v>
      </c>
      <c r="V4223">
        <v>-0.22867680000000001</v>
      </c>
      <c r="W4223">
        <v>5.9335480000000003E-2</v>
      </c>
      <c r="X4223">
        <v>0.97169240000000001</v>
      </c>
      <c r="Y4223">
        <v>-0.31122739999999999</v>
      </c>
      <c r="Z4223">
        <v>5.1997979999999999E-2</v>
      </c>
      <c r="AA4223">
        <v>0.94891179999999997</v>
      </c>
      <c r="AB4223">
        <v>40</v>
      </c>
      <c r="AC4223">
        <v>-5.4826999999999604</v>
      </c>
      <c r="AD4223">
        <v>-1.1592451113419999</v>
      </c>
      <c r="AE4223">
        <v>-7.1574000000000098</v>
      </c>
      <c r="AF4223">
        <v>-2.8585033255355001</v>
      </c>
      <c r="AG4223">
        <v>-1.1592451113419999</v>
      </c>
      <c r="AH4223">
        <v>8.3961207727147098</v>
      </c>
      <c r="AI4223">
        <v>97.446458754621403</v>
      </c>
      <c r="AJ4223">
        <v>108.801410596156</v>
      </c>
      <c r="AK4223">
        <v>8.9448160696729495</v>
      </c>
      <c r="AL4223">
        <v>86.598329209485499</v>
      </c>
      <c r="AM4223">
        <v>103.24293880679799</v>
      </c>
      <c r="AN4223">
        <v>0.99999994913141299</v>
      </c>
    </row>
    <row r="4224" spans="1:40" x14ac:dyDescent="0.25">
      <c r="A4224" t="str">
        <f>"20190312151622947"</f>
        <v>20190312151622947</v>
      </c>
      <c r="B4224" t="str">
        <f>"1552374982941856"</f>
        <v>1552374982941856</v>
      </c>
      <c r="C4224" t="s">
        <v>40</v>
      </c>
      <c r="D4224">
        <v>4.1784030000000003</v>
      </c>
      <c r="E4224">
        <v>0.45190079999999999</v>
      </c>
      <c r="F4224" t="s">
        <v>43</v>
      </c>
      <c r="G4224">
        <v>-418.5412</v>
      </c>
      <c r="H4224" s="1">
        <v>-3.9079390000000003E-6</v>
      </c>
      <c r="I4224">
        <v>118.1391</v>
      </c>
      <c r="J4224">
        <v>-413.36040000000003</v>
      </c>
      <c r="K4224">
        <v>1.157348</v>
      </c>
      <c r="L4224">
        <v>125.5308</v>
      </c>
      <c r="M4224">
        <v>-0.82610289999999997</v>
      </c>
      <c r="N4224">
        <v>0</v>
      </c>
      <c r="O4224">
        <v>-0.5632161</v>
      </c>
      <c r="P4224">
        <v>-0.67467500000000002</v>
      </c>
      <c r="Q4224">
        <v>5.2112690000000003E-2</v>
      </c>
      <c r="R4224">
        <v>-0.73627349999999903</v>
      </c>
      <c r="S4224">
        <v>-1.7864070000000001</v>
      </c>
      <c r="T4224">
        <v>-0.3760116</v>
      </c>
      <c r="U4224">
        <v>-2.4720610000000001</v>
      </c>
      <c r="V4224">
        <v>-0.23155149999999999</v>
      </c>
      <c r="W4224">
        <v>5.8396780000000002E-2</v>
      </c>
      <c r="X4224">
        <v>0.9710683</v>
      </c>
      <c r="Y4224">
        <v>-0.3407985</v>
      </c>
      <c r="Z4224">
        <v>5.1293980000000003E-2</v>
      </c>
      <c r="AA4224">
        <v>0.93873600000000001</v>
      </c>
      <c r="AB4224">
        <v>40</v>
      </c>
      <c r="AC4224">
        <v>-5.1807999999999703</v>
      </c>
      <c r="AD4224">
        <v>-1.157351907939</v>
      </c>
      <c r="AE4224">
        <v>-7.3917000000000002</v>
      </c>
      <c r="AF4224">
        <v>-3.1373626387683302</v>
      </c>
      <c r="AG4224">
        <v>-1.157351907939</v>
      </c>
      <c r="AH4224">
        <v>8.3078630329740406</v>
      </c>
      <c r="AI4224">
        <v>97.425211359798098</v>
      </c>
      <c r="AJ4224">
        <v>110.68842902850101</v>
      </c>
      <c r="AK4224">
        <v>8.9556181216377304</v>
      </c>
      <c r="AL4224">
        <v>86.652206234987602</v>
      </c>
      <c r="AM4224">
        <v>103.41174683663201</v>
      </c>
      <c r="AN4224">
        <v>0.99999996216575304</v>
      </c>
    </row>
    <row r="4225" spans="1:40" x14ac:dyDescent="0.25">
      <c r="A4225" t="str">
        <f>"20190312151622970"</f>
        <v>20190312151622970</v>
      </c>
      <c r="B4225" t="str">
        <f>"1552374982961883"</f>
        <v>1552374982961883</v>
      </c>
      <c r="C4225" t="s">
        <v>40</v>
      </c>
      <c r="D4225">
        <v>4.1753470000000004</v>
      </c>
      <c r="E4225">
        <v>0.45070640000000001</v>
      </c>
      <c r="F4225" t="s">
        <v>43</v>
      </c>
      <c r="G4225">
        <v>-418.53489999999999</v>
      </c>
      <c r="H4225" s="1">
        <v>-3.8843000000000002E-6</v>
      </c>
      <c r="I4225">
        <v>118.0814</v>
      </c>
      <c r="J4225">
        <v>-413.68029999999999</v>
      </c>
      <c r="K4225">
        <v>1.155294</v>
      </c>
      <c r="L4225">
        <v>125.3013</v>
      </c>
      <c r="M4225">
        <v>-0.82046960000000002</v>
      </c>
      <c r="N4225">
        <v>0</v>
      </c>
      <c r="O4225">
        <v>-0.57136480000000001</v>
      </c>
      <c r="P4225">
        <v>-0.66486919999999905</v>
      </c>
      <c r="Q4225">
        <v>5.0446350000000001E-2</v>
      </c>
      <c r="R4225">
        <v>-0.74525450000000004</v>
      </c>
      <c r="S4225">
        <v>-1.74115</v>
      </c>
      <c r="T4225">
        <v>-0.3894378</v>
      </c>
      <c r="U4225">
        <v>-2.5066679999999999</v>
      </c>
      <c r="V4225">
        <v>-0.23471800000000001</v>
      </c>
      <c r="W4225">
        <v>5.7789359999999998E-2</v>
      </c>
      <c r="X4225">
        <v>0.97034419999999999</v>
      </c>
      <c r="Y4225">
        <v>-0.34906100000000001</v>
      </c>
      <c r="Z4225">
        <v>5.3756110000000003E-2</v>
      </c>
      <c r="AA4225">
        <v>0.93555690000000002</v>
      </c>
      <c r="AB4225">
        <v>40</v>
      </c>
      <c r="AC4225">
        <v>-4.8545999999999996</v>
      </c>
      <c r="AD4225">
        <v>-1.1552978842999999</v>
      </c>
      <c r="AE4225">
        <v>-7.2198999999999902</v>
      </c>
      <c r="AF4225">
        <v>-3.09595585064912</v>
      </c>
      <c r="AG4225">
        <v>-1.1552978842999999</v>
      </c>
      <c r="AH4225">
        <v>7.9692351545944797</v>
      </c>
      <c r="AI4225">
        <v>97.695804303664701</v>
      </c>
      <c r="AJ4225">
        <v>111.23057360929199</v>
      </c>
      <c r="AK4225">
        <v>8.6271875359158106</v>
      </c>
      <c r="AL4225">
        <v>86.687067866527002</v>
      </c>
      <c r="AM4225">
        <v>103.598160969826</v>
      </c>
      <c r="AN4225">
        <v>1.0000000080634199</v>
      </c>
    </row>
    <row r="4226" spans="1:40" x14ac:dyDescent="0.25">
      <c r="A4226" t="str">
        <f>"20190312151622994"</f>
        <v>20190312151622994</v>
      </c>
      <c r="B4226" t="str">
        <f>"1552374982982379"</f>
        <v>1552374982982379</v>
      </c>
      <c r="C4226" t="s">
        <v>40</v>
      </c>
      <c r="D4226">
        <v>4.1570299999999998</v>
      </c>
      <c r="E4226">
        <v>0.45007510000000001</v>
      </c>
      <c r="F4226" t="s">
        <v>43</v>
      </c>
      <c r="G4226">
        <v>-418.38850000000002</v>
      </c>
      <c r="H4226" s="1">
        <v>-3.9992270000000003E-6</v>
      </c>
      <c r="I4226">
        <v>118.28870000000001</v>
      </c>
      <c r="J4226">
        <v>-414.00729999999999</v>
      </c>
      <c r="K4226">
        <v>1.1531</v>
      </c>
      <c r="L4226">
        <v>125.0616</v>
      </c>
      <c r="M4226">
        <v>-0.81422600000000001</v>
      </c>
      <c r="N4226">
        <v>0</v>
      </c>
      <c r="O4226">
        <v>-0.58020319999999903</v>
      </c>
      <c r="P4226">
        <v>-0.654756</v>
      </c>
      <c r="Q4226">
        <v>4.949195E-2</v>
      </c>
      <c r="R4226">
        <v>-0.75421830000000001</v>
      </c>
      <c r="S4226">
        <v>-1.702118</v>
      </c>
      <c r="T4226">
        <v>-0.4176686</v>
      </c>
      <c r="U4226">
        <v>-2.5352169999999998</v>
      </c>
      <c r="V4226">
        <v>-0.2372379</v>
      </c>
      <c r="W4226">
        <v>5.7826019999999999E-2</v>
      </c>
      <c r="X4226">
        <v>0.96972899999999995</v>
      </c>
      <c r="Y4226">
        <v>-0.35390899999999997</v>
      </c>
      <c r="Z4226">
        <v>5.8633119999999997E-2</v>
      </c>
      <c r="AA4226">
        <v>0.93344020000000005</v>
      </c>
      <c r="AB4226">
        <v>40</v>
      </c>
      <c r="AC4226">
        <v>-4.38120000000003</v>
      </c>
      <c r="AD4226">
        <v>-1.153103999227</v>
      </c>
      <c r="AE4226">
        <v>-6.7728999999999902</v>
      </c>
      <c r="AF4226">
        <v>-2.9137377681832399</v>
      </c>
      <c r="AG4226">
        <v>-1.153103999227</v>
      </c>
      <c r="AH4226">
        <v>7.3482835463409497</v>
      </c>
      <c r="AI4226">
        <v>98.299337267975801</v>
      </c>
      <c r="AJ4226">
        <v>111.62929173755499</v>
      </c>
      <c r="AK4226">
        <v>7.9885410240040704</v>
      </c>
      <c r="AL4226">
        <v>86.684963863450207</v>
      </c>
      <c r="AM4226">
        <v>103.747029981894</v>
      </c>
      <c r="AN4226">
        <v>1.00000000161322</v>
      </c>
    </row>
    <row r="4227" spans="1:40" x14ac:dyDescent="0.25">
      <c r="A4227" t="str">
        <f>"20190312151623017"</f>
        <v>20190312151623017</v>
      </c>
      <c r="B4227" t="str">
        <f>"1552374983012636"</f>
        <v>1552374983012636</v>
      </c>
      <c r="C4227" t="s">
        <v>40</v>
      </c>
      <c r="D4227">
        <v>4.1119669999999999</v>
      </c>
      <c r="E4227">
        <v>0.45029550000000002</v>
      </c>
      <c r="F4227" t="s">
        <v>43</v>
      </c>
      <c r="G4227">
        <v>-418.37299999999999</v>
      </c>
      <c r="H4227" s="1">
        <v>-4.0261210000000002E-6</v>
      </c>
      <c r="I4227">
        <v>118.345</v>
      </c>
      <c r="J4227">
        <v>-414.3399</v>
      </c>
      <c r="K4227">
        <v>1.1508620000000001</v>
      </c>
      <c r="L4227">
        <v>124.81140000000001</v>
      </c>
      <c r="M4227">
        <v>-0.80740080000000003</v>
      </c>
      <c r="N4227">
        <v>0</v>
      </c>
      <c r="O4227">
        <v>-0.58964430000000001</v>
      </c>
      <c r="P4227">
        <v>-0.64335129999999996</v>
      </c>
      <c r="Q4227">
        <v>4.8725930000000001E-2</v>
      </c>
      <c r="R4227">
        <v>-0.76401889999999995</v>
      </c>
      <c r="S4227">
        <v>-1.6647639999999999</v>
      </c>
      <c r="T4227">
        <v>-0.4397163</v>
      </c>
      <c r="U4227">
        <v>-2.5612789999999999</v>
      </c>
      <c r="V4227">
        <v>-0.2404511</v>
      </c>
      <c r="W4227">
        <v>5.7798870000000002E-2</v>
      </c>
      <c r="X4227">
        <v>0.96893890000000005</v>
      </c>
      <c r="Y4227">
        <v>-0.35709679999999999</v>
      </c>
      <c r="Z4227">
        <v>6.2984689999999996E-2</v>
      </c>
      <c r="AA4227">
        <v>0.93194140000000003</v>
      </c>
      <c r="AB4227">
        <v>40</v>
      </c>
      <c r="AC4227">
        <v>-4.0331000000000401</v>
      </c>
      <c r="AD4227">
        <v>-1.150866026121</v>
      </c>
      <c r="AE4227">
        <v>-6.4664000000000001</v>
      </c>
      <c r="AF4227">
        <v>-2.7800857780762001</v>
      </c>
      <c r="AG4227">
        <v>-1.150866026121</v>
      </c>
      <c r="AH4227">
        <v>6.9130526534413299</v>
      </c>
      <c r="AI4227">
        <v>98.780262758318798</v>
      </c>
      <c r="AJ4227">
        <v>111.907537252975</v>
      </c>
      <c r="AK4227">
        <v>7.5394738896552598</v>
      </c>
      <c r="AL4227">
        <v>86.686522099034406</v>
      </c>
      <c r="AM4227">
        <v>103.936934478029</v>
      </c>
      <c r="AN4227">
        <v>1.0000000163988401</v>
      </c>
    </row>
    <row r="4228" spans="1:40" x14ac:dyDescent="0.25">
      <c r="A4228" t="str">
        <f>"20190312151623040"</f>
        <v>20190312151623040</v>
      </c>
      <c r="B4228" t="str">
        <f>"1552374983032156"</f>
        <v>1552374983032156</v>
      </c>
      <c r="C4228" t="s">
        <v>40</v>
      </c>
      <c r="D4228">
        <v>4.1823199999999998</v>
      </c>
      <c r="E4228">
        <v>0.45047300000000001</v>
      </c>
      <c r="F4228" t="s">
        <v>43</v>
      </c>
      <c r="G4228">
        <v>-418.46109999999999</v>
      </c>
      <c r="H4228" s="1">
        <v>-3.9796650000000003E-6</v>
      </c>
      <c r="I4228">
        <v>118.2732</v>
      </c>
      <c r="J4228">
        <v>-414.66129999999998</v>
      </c>
      <c r="K4228">
        <v>1.1486909999999999</v>
      </c>
      <c r="L4228">
        <v>124.5639</v>
      </c>
      <c r="M4228">
        <v>-0.80045599999999995</v>
      </c>
      <c r="N4228">
        <v>0</v>
      </c>
      <c r="O4228">
        <v>-0.59902440000000001</v>
      </c>
      <c r="P4228">
        <v>-0.63148199999999999</v>
      </c>
      <c r="Q4228">
        <v>4.7985159999999999E-2</v>
      </c>
      <c r="R4228">
        <v>-0.77390459999999905</v>
      </c>
      <c r="S4228">
        <v>-1.628784</v>
      </c>
      <c r="T4228">
        <v>-0.4548489</v>
      </c>
      <c r="U4228">
        <v>-2.584076</v>
      </c>
      <c r="V4228">
        <v>-0.24404609999999999</v>
      </c>
      <c r="W4228">
        <v>5.7554670000000002E-2</v>
      </c>
      <c r="X4228">
        <v>0.96805419999999998</v>
      </c>
      <c r="Y4228">
        <v>-0.35933140000000002</v>
      </c>
      <c r="Z4228">
        <v>6.6550029999999996E-2</v>
      </c>
      <c r="AA4228">
        <v>0.9308341</v>
      </c>
      <c r="AB4228">
        <v>40</v>
      </c>
      <c r="AC4228">
        <v>-3.7997999999999998</v>
      </c>
      <c r="AD4228">
        <v>-1.1486949796649999</v>
      </c>
      <c r="AE4228">
        <v>-6.2907000000000002</v>
      </c>
      <c r="AF4228">
        <v>-2.6940471549417402</v>
      </c>
      <c r="AG4228">
        <v>-1.1486949796649999</v>
      </c>
      <c r="AH4228">
        <v>6.6489206535704</v>
      </c>
      <c r="AI4228">
        <v>99.096955586149306</v>
      </c>
      <c r="AJ4228">
        <v>112.05708435400901</v>
      </c>
      <c r="AK4228">
        <v>7.2653655163957396</v>
      </c>
      <c r="AL4228">
        <v>86.700536960175299</v>
      </c>
      <c r="AM4228">
        <v>104.149410569289</v>
      </c>
      <c r="AN4228">
        <v>0.999999986550829</v>
      </c>
    </row>
    <row r="4229" spans="1:40" x14ac:dyDescent="0.25">
      <c r="A4229" t="str">
        <f>"20190312151623059"</f>
        <v>20190312151623059</v>
      </c>
      <c r="B4229" t="str">
        <f>"1552374983052184"</f>
        <v>1552374983052184</v>
      </c>
      <c r="C4229" t="s">
        <v>40</v>
      </c>
      <c r="D4229">
        <v>4.1967569999999998</v>
      </c>
      <c r="E4229">
        <v>0.45098149999999998</v>
      </c>
      <c r="F4229" t="s">
        <v>43</v>
      </c>
      <c r="G4229">
        <v>-418.55380000000002</v>
      </c>
      <c r="H4229" s="1">
        <v>-3.9252920000000001E-6</v>
      </c>
      <c r="I4229">
        <v>118.18470000000001</v>
      </c>
      <c r="J4229">
        <v>-414.93380000000002</v>
      </c>
      <c r="K4229">
        <v>1.1468419999999999</v>
      </c>
      <c r="L4229">
        <v>124.34910000000001</v>
      </c>
      <c r="M4229">
        <v>-0.79429150000000004</v>
      </c>
      <c r="N4229">
        <v>0</v>
      </c>
      <c r="O4229">
        <v>-0.60716700000000001</v>
      </c>
      <c r="P4229">
        <v>-0.62134630000000002</v>
      </c>
      <c r="Q4229">
        <v>4.5561280000000003E-2</v>
      </c>
      <c r="R4229">
        <v>-0.78221049999999903</v>
      </c>
      <c r="S4229">
        <v>-1.5910340000000001</v>
      </c>
      <c r="T4229">
        <v>-0.46951619999999999</v>
      </c>
      <c r="U4229">
        <v>-2.6074069999999998</v>
      </c>
      <c r="V4229">
        <v>-0.24673510000000001</v>
      </c>
      <c r="W4229">
        <v>5.5433759999999999E-2</v>
      </c>
      <c r="X4229">
        <v>0.96749620000000003</v>
      </c>
      <c r="Y4229">
        <v>-0.3634442</v>
      </c>
      <c r="Z4229">
        <v>6.9799449999999999E-2</v>
      </c>
      <c r="AA4229">
        <v>0.92899750000000003</v>
      </c>
      <c r="AB4229">
        <v>40</v>
      </c>
      <c r="AC4229">
        <v>-3.62</v>
      </c>
      <c r="AD4229">
        <v>-1.146845925292</v>
      </c>
      <c r="AE4229">
        <v>-6.1643999999999997</v>
      </c>
      <c r="AF4229">
        <v>-2.63127197797666</v>
      </c>
      <c r="AG4229">
        <v>-1.146845925292</v>
      </c>
      <c r="AH4229">
        <v>6.4535493385077496</v>
      </c>
      <c r="AI4229">
        <v>99.344593857274106</v>
      </c>
      <c r="AJ4229">
        <v>112.18193959312499</v>
      </c>
      <c r="AK4229">
        <v>7.0630833821354404</v>
      </c>
      <c r="AL4229">
        <v>86.822250618214596</v>
      </c>
      <c r="AM4229">
        <v>104.306862392368</v>
      </c>
      <c r="AN4229">
        <v>1.00000000416709</v>
      </c>
    </row>
    <row r="4230" spans="1:40" x14ac:dyDescent="0.25">
      <c r="A4230" t="str">
        <f>"20190312151623082"</f>
        <v>20190312151623082</v>
      </c>
      <c r="B4230" t="str">
        <f>"1552374983071704"</f>
        <v>1552374983071704</v>
      </c>
      <c r="C4230" t="s">
        <v>40</v>
      </c>
      <c r="D4230">
        <v>4.216043</v>
      </c>
      <c r="E4230">
        <v>0.45172010000000001</v>
      </c>
      <c r="F4230" t="s">
        <v>43</v>
      </c>
      <c r="G4230">
        <v>-418.66070000000002</v>
      </c>
      <c r="H4230" s="1">
        <v>-3.8614790000000003E-6</v>
      </c>
      <c r="I4230">
        <v>118.0802</v>
      </c>
      <c r="J4230">
        <v>-415.22919999999999</v>
      </c>
      <c r="K4230">
        <v>1.1448400000000001</v>
      </c>
      <c r="L4230">
        <v>124.1109</v>
      </c>
      <c r="M4230">
        <v>-0.78729150000000003</v>
      </c>
      <c r="N4230">
        <v>0</v>
      </c>
      <c r="O4230">
        <v>-0.6162128</v>
      </c>
      <c r="P4230">
        <v>-0.61042030000000003</v>
      </c>
      <c r="Q4230">
        <v>4.3710150000000003E-2</v>
      </c>
      <c r="R4230">
        <v>-0.79087069999999904</v>
      </c>
      <c r="S4230">
        <v>-1.559998</v>
      </c>
      <c r="T4230">
        <v>-0.48004669999999999</v>
      </c>
      <c r="U4230">
        <v>-2.6240389999999998</v>
      </c>
      <c r="V4230">
        <v>-0.2490619</v>
      </c>
      <c r="W4230">
        <v>5.3808740000000001E-2</v>
      </c>
      <c r="X4230">
        <v>0.96699159999999995</v>
      </c>
      <c r="Y4230">
        <v>-0.36362349999999999</v>
      </c>
      <c r="Z4230">
        <v>7.2977600000000004E-2</v>
      </c>
      <c r="AA4230">
        <v>0.92868300000000004</v>
      </c>
      <c r="AB4230">
        <v>40</v>
      </c>
      <c r="AC4230">
        <v>-3.4315000000000202</v>
      </c>
      <c r="AD4230">
        <v>-1.14484386147899</v>
      </c>
      <c r="AE4230">
        <v>-6.0306999999999897</v>
      </c>
      <c r="AF4230">
        <v>-2.5641763422008701</v>
      </c>
      <c r="AG4230">
        <v>-1.14484386147899</v>
      </c>
      <c r="AH4230">
        <v>6.2491187626167903</v>
      </c>
      <c r="AI4230">
        <v>99.619505270233404</v>
      </c>
      <c r="AJ4230">
        <v>112.309621190033</v>
      </c>
      <c r="AK4230">
        <v>6.8510694851503198</v>
      </c>
      <c r="AL4230">
        <v>86.915496551661903</v>
      </c>
      <c r="AM4230">
        <v>104.443385947707</v>
      </c>
      <c r="AN4230">
        <v>0.99999998250127797</v>
      </c>
    </row>
    <row r="4231" spans="1:40" x14ac:dyDescent="0.25">
      <c r="A4231" t="str">
        <f>"20190312151623104"</f>
        <v>20190312151623104</v>
      </c>
      <c r="B4231" t="str">
        <f>"1552374983092199"</f>
        <v>1552374983092199</v>
      </c>
      <c r="C4231" t="s">
        <v>40</v>
      </c>
      <c r="D4231">
        <v>4.2967779999999998</v>
      </c>
      <c r="E4231">
        <v>0.45220070000000001</v>
      </c>
      <c r="F4231" t="s">
        <v>43</v>
      </c>
      <c r="G4231">
        <v>-418.7885</v>
      </c>
      <c r="H4231" s="1">
        <v>-3.786774E-6</v>
      </c>
      <c r="I4231">
        <v>117.9589</v>
      </c>
      <c r="J4231">
        <v>-415.53379999999999</v>
      </c>
      <c r="K4231">
        <v>1.142781</v>
      </c>
      <c r="L4231">
        <v>123.8592</v>
      </c>
      <c r="M4231">
        <v>-0.77969569999999999</v>
      </c>
      <c r="N4231">
        <v>0</v>
      </c>
      <c r="O4231">
        <v>-0.62579600000000002</v>
      </c>
      <c r="P4231">
        <v>-0.59897659999999997</v>
      </c>
      <c r="Q4231">
        <v>4.2664519999999997E-2</v>
      </c>
      <c r="R4231">
        <v>-0.79962939999999905</v>
      </c>
      <c r="S4231">
        <v>-1.5280149999999999</v>
      </c>
      <c r="T4231">
        <v>-0.4914925</v>
      </c>
      <c r="U4231">
        <v>-2.6410979999999999</v>
      </c>
      <c r="V4231">
        <v>-0.25110009999999999</v>
      </c>
      <c r="W4231">
        <v>5.289452E-2</v>
      </c>
      <c r="X4231">
        <v>0.96651480000000001</v>
      </c>
      <c r="Y4231">
        <v>-0.36340699999999998</v>
      </c>
      <c r="Z4231">
        <v>7.6488669999999995E-2</v>
      </c>
      <c r="AA4231">
        <v>0.92848529999999996</v>
      </c>
      <c r="AB4231">
        <v>39</v>
      </c>
      <c r="AC4231">
        <v>-3.2547000000000099</v>
      </c>
      <c r="AD4231">
        <v>-1.142784786774</v>
      </c>
      <c r="AE4231">
        <v>-5.9002999999999997</v>
      </c>
      <c r="AF4231">
        <v>-2.4925531419232101</v>
      </c>
      <c r="AG4231">
        <v>-1.142784786774</v>
      </c>
      <c r="AH4231">
        <v>6.0572592158218903</v>
      </c>
      <c r="AI4231">
        <v>99.896751496598498</v>
      </c>
      <c r="AJ4231">
        <v>112.36709300307101</v>
      </c>
      <c r="AK4231">
        <v>6.6489974764510702</v>
      </c>
      <c r="AL4231">
        <v>86.967952185817893</v>
      </c>
      <c r="AM4231">
        <v>104.563457394324</v>
      </c>
      <c r="AN4231">
        <v>0.99999997454253897</v>
      </c>
    </row>
    <row r="4232" spans="1:40" x14ac:dyDescent="0.25">
      <c r="A4232" t="str">
        <f>"20190312151623126"</f>
        <v>20190312151623126</v>
      </c>
      <c r="B4232" t="str">
        <f>"1552374983122456"</f>
        <v>1552374983122456</v>
      </c>
      <c r="C4232" t="s">
        <v>40</v>
      </c>
      <c r="D4232">
        <v>4.2288110000000003</v>
      </c>
      <c r="E4232">
        <v>0.45320739999999998</v>
      </c>
      <c r="F4232" t="s">
        <v>43</v>
      </c>
      <c r="G4232">
        <v>-418.9563</v>
      </c>
      <c r="H4232" s="1">
        <v>-3.671932E-6</v>
      </c>
      <c r="I4232">
        <v>117.7606</v>
      </c>
      <c r="J4232">
        <v>-415.82330000000002</v>
      </c>
      <c r="K4232">
        <v>1.1408469999999999</v>
      </c>
      <c r="L4232">
        <v>123.6139</v>
      </c>
      <c r="M4232">
        <v>-0.77207959999999998</v>
      </c>
      <c r="N4232">
        <v>0</v>
      </c>
      <c r="O4232">
        <v>-0.63517209999999902</v>
      </c>
      <c r="P4232">
        <v>-0.58775250000000001</v>
      </c>
      <c r="Q4232">
        <v>4.1492679999999997E-2</v>
      </c>
      <c r="R4232">
        <v>-0.80797609999999997</v>
      </c>
      <c r="S4232">
        <v>-1.492828</v>
      </c>
      <c r="T4232">
        <v>-0.49846449999999998</v>
      </c>
      <c r="U4232">
        <v>-2.660126</v>
      </c>
      <c r="V4232">
        <v>-0.25286700000000001</v>
      </c>
      <c r="W4232">
        <v>5.1758810000000002E-2</v>
      </c>
      <c r="X4232">
        <v>0.96611559999999996</v>
      </c>
      <c r="Y4232">
        <v>-0.36443809999999999</v>
      </c>
      <c r="Z4232">
        <v>7.9247070000000003E-2</v>
      </c>
      <c r="AA4232">
        <v>0.92784949999999999</v>
      </c>
      <c r="AB4232">
        <v>39</v>
      </c>
      <c r="AC4232">
        <v>-3.13299999999998</v>
      </c>
      <c r="AD4232">
        <v>-1.140850671932</v>
      </c>
      <c r="AE4232">
        <v>-5.8532999999999999</v>
      </c>
      <c r="AF4232">
        <v>-2.4572286703411899</v>
      </c>
      <c r="AG4232">
        <v>-1.140850671932</v>
      </c>
      <c r="AH4232">
        <v>5.9621034977771199</v>
      </c>
      <c r="AI4232">
        <v>100.03261787205101</v>
      </c>
      <c r="AJ4232">
        <v>112.398578378631</v>
      </c>
      <c r="AK4232">
        <v>6.5487549283967397</v>
      </c>
      <c r="AL4232">
        <v>87.033112994348002</v>
      </c>
      <c r="AM4232">
        <v>104.667331188554</v>
      </c>
      <c r="AN4232">
        <v>1.0000000233324799</v>
      </c>
    </row>
    <row r="4233" spans="1:40" x14ac:dyDescent="0.25">
      <c r="A4233" t="str">
        <f>"20190312151623149"</f>
        <v>20190312151623149</v>
      </c>
      <c r="B4233" t="str">
        <f>"1552374983141976"</f>
        <v>1552374983141976</v>
      </c>
      <c r="C4233" t="s">
        <v>40</v>
      </c>
      <c r="D4233">
        <v>4.2870599999999897</v>
      </c>
      <c r="E4233">
        <v>0.45394050000000002</v>
      </c>
      <c r="F4233" t="s">
        <v>43</v>
      </c>
      <c r="G4233">
        <v>-419.12180000000001</v>
      </c>
      <c r="H4233" s="1">
        <v>-3.5670509999999998E-6</v>
      </c>
      <c r="I4233">
        <v>117.58450000000001</v>
      </c>
      <c r="J4233">
        <v>-416.1164</v>
      </c>
      <c r="K4233">
        <v>1.1389180000000001</v>
      </c>
      <c r="L4233">
        <v>123.3592</v>
      </c>
      <c r="M4233">
        <v>-0.76392329999999997</v>
      </c>
      <c r="N4233">
        <v>0</v>
      </c>
      <c r="O4233">
        <v>-0.64496469999999995</v>
      </c>
      <c r="P4233">
        <v>-0.57553480000000001</v>
      </c>
      <c r="Q4233">
        <v>4.0494170000000003E-2</v>
      </c>
      <c r="R4233">
        <v>-0.81677419999999901</v>
      </c>
      <c r="S4233">
        <v>-1.4632259999999999</v>
      </c>
      <c r="T4233">
        <v>-0.50607479999999905</v>
      </c>
      <c r="U4233">
        <v>-2.6745760000000001</v>
      </c>
      <c r="V4233">
        <v>-0.25502740000000002</v>
      </c>
      <c r="W4233">
        <v>5.0708299999999998E-2</v>
      </c>
      <c r="X4233">
        <v>0.96560330000000005</v>
      </c>
      <c r="Y4233">
        <v>-0.36272460000000001</v>
      </c>
      <c r="Z4233">
        <v>8.2452300000000006E-2</v>
      </c>
      <c r="AA4233">
        <v>0.9282416</v>
      </c>
      <c r="AB4233">
        <v>39</v>
      </c>
      <c r="AC4233">
        <v>-3.0053999999999998</v>
      </c>
      <c r="AD4233">
        <v>-1.138921567051</v>
      </c>
      <c r="AE4233">
        <v>-5.7746999999999904</v>
      </c>
      <c r="AF4233">
        <v>-2.40013472290843</v>
      </c>
      <c r="AG4233">
        <v>-1.138921567051</v>
      </c>
      <c r="AH4233">
        <v>5.8428660889697897</v>
      </c>
      <c r="AI4233">
        <v>100.220924116248</v>
      </c>
      <c r="AJ4233">
        <v>112.331896381381</v>
      </c>
      <c r="AK4233">
        <v>6.41847903771896</v>
      </c>
      <c r="AL4233">
        <v>87.093381925780406</v>
      </c>
      <c r="AM4233">
        <v>104.794675426854</v>
      </c>
      <c r="AN4233">
        <v>1.0000000197052701</v>
      </c>
    </row>
    <row r="4234" spans="1:40" x14ac:dyDescent="0.25">
      <c r="A4234" t="str">
        <f>"20190312151623171"</f>
        <v>20190312151623171</v>
      </c>
      <c r="B4234" t="str">
        <f>"1552374983162002"</f>
        <v>1552374983162002</v>
      </c>
      <c r="C4234" t="s">
        <v>40</v>
      </c>
      <c r="D4234">
        <v>4.2862780000000003</v>
      </c>
      <c r="E4234">
        <v>0.45478420000000003</v>
      </c>
      <c r="F4234" t="s">
        <v>43</v>
      </c>
      <c r="G4234">
        <v>-419.32859999999999</v>
      </c>
      <c r="H4234" s="1">
        <v>-3.4120659999999998E-6</v>
      </c>
      <c r="I4234">
        <v>117.30880000000001</v>
      </c>
      <c r="J4234">
        <v>-416.40589999999997</v>
      </c>
      <c r="K4234">
        <v>1.137086</v>
      </c>
      <c r="L4234">
        <v>123.1011</v>
      </c>
      <c r="M4234">
        <v>-0.75535050000000004</v>
      </c>
      <c r="N4234">
        <v>0</v>
      </c>
      <c r="O4234">
        <v>-0.65499059999999998</v>
      </c>
      <c r="P4234">
        <v>-0.56349280000000002</v>
      </c>
      <c r="Q4234">
        <v>3.9404729999999999E-2</v>
      </c>
      <c r="R4234">
        <v>-0.82518049999999998</v>
      </c>
      <c r="S4234">
        <v>-1.4288639999999999</v>
      </c>
      <c r="T4234">
        <v>-0.50660459999999996</v>
      </c>
      <c r="U4234">
        <v>-2.691284</v>
      </c>
      <c r="V4234">
        <v>-0.2563975</v>
      </c>
      <c r="W4234">
        <v>4.9557230000000001E-2</v>
      </c>
      <c r="X4234">
        <v>0.96530020000000005</v>
      </c>
      <c r="Y4234">
        <v>-0.3621432</v>
      </c>
      <c r="Z4234">
        <v>8.4526329999999997E-2</v>
      </c>
      <c r="AA4234">
        <v>0.9282821</v>
      </c>
      <c r="AB4234">
        <v>39</v>
      </c>
      <c r="AC4234">
        <v>-2.9227000000000198</v>
      </c>
      <c r="AD4234">
        <v>-1.137089412066</v>
      </c>
      <c r="AE4234">
        <v>-5.7922999999999902</v>
      </c>
      <c r="AF4234">
        <v>-2.3880544378358599</v>
      </c>
      <c r="AG4234">
        <v>-1.137089412066</v>
      </c>
      <c r="AH4234">
        <v>5.8239690781586404</v>
      </c>
      <c r="AI4234">
        <v>100.239849990151</v>
      </c>
      <c r="AJ4234">
        <v>112.29554193930601</v>
      </c>
      <c r="AK4234">
        <v>6.3964358945000104</v>
      </c>
      <c r="AL4234">
        <v>87.159416463321804</v>
      </c>
      <c r="AM4234">
        <v>104.875107293646</v>
      </c>
      <c r="AN4234">
        <v>1.00000003658578</v>
      </c>
    </row>
    <row r="4235" spans="1:40" x14ac:dyDescent="0.25">
      <c r="A4235" t="str">
        <f>"20190312151623194"</f>
        <v>20190312151623194</v>
      </c>
      <c r="B4235" t="str">
        <f>"1552374983182499"</f>
        <v>1552374983182499</v>
      </c>
      <c r="C4235" t="s">
        <v>40</v>
      </c>
      <c r="D4235">
        <v>4.3092980000000001</v>
      </c>
      <c r="E4235">
        <v>0.45526109999999997</v>
      </c>
      <c r="F4235" t="s">
        <v>43</v>
      </c>
      <c r="G4235">
        <v>-419.54809999999998</v>
      </c>
      <c r="H4235" s="1">
        <v>-3.2410369999999999E-6</v>
      </c>
      <c r="I4235">
        <v>117.0009</v>
      </c>
      <c r="J4235">
        <v>-416.69240000000002</v>
      </c>
      <c r="K4235">
        <v>1.1353839999999999</v>
      </c>
      <c r="L4235">
        <v>122.8387</v>
      </c>
      <c r="M4235">
        <v>-0.74630759999999996</v>
      </c>
      <c r="N4235">
        <v>0</v>
      </c>
      <c r="O4235">
        <v>-0.66528339999999997</v>
      </c>
      <c r="P4235">
        <v>-0.55096350000000005</v>
      </c>
      <c r="Q4235">
        <v>3.8456499999999998E-2</v>
      </c>
      <c r="R4235">
        <v>-0.83364280000000002</v>
      </c>
      <c r="S4235">
        <v>-1.3945620000000001</v>
      </c>
      <c r="T4235">
        <v>-0.5046562</v>
      </c>
      <c r="U4235">
        <v>-2.7073520000000002</v>
      </c>
      <c r="V4235">
        <v>-0.2577044</v>
      </c>
      <c r="W4235">
        <v>4.8501830000000003E-2</v>
      </c>
      <c r="X4235">
        <v>0.96500569999999997</v>
      </c>
      <c r="Y4235">
        <v>-0.36097299999999999</v>
      </c>
      <c r="Z4235">
        <v>8.6289989999999997E-2</v>
      </c>
      <c r="AA4235">
        <v>0.92857559999999995</v>
      </c>
      <c r="AB4235">
        <v>39</v>
      </c>
      <c r="AC4235">
        <v>-2.8556999999999499</v>
      </c>
      <c r="AD4235">
        <v>-1.1353872410369901</v>
      </c>
      <c r="AE4235">
        <v>-5.8377999999999997</v>
      </c>
      <c r="AF4235">
        <v>-2.3846787583652</v>
      </c>
      <c r="AG4235">
        <v>-1.1353872410369901</v>
      </c>
      <c r="AH4235">
        <v>5.8381026209993303</v>
      </c>
      <c r="AI4235">
        <v>100.206112460949</v>
      </c>
      <c r="AJ4235">
        <v>112.21844907673599</v>
      </c>
      <c r="AK4235">
        <v>6.40774837060781</v>
      </c>
      <c r="AL4235">
        <v>87.219959121844397</v>
      </c>
      <c r="AM4235">
        <v>104.951899825902</v>
      </c>
      <c r="AN4235">
        <v>0.99999999316259902</v>
      </c>
    </row>
    <row r="4236" spans="1:40" x14ac:dyDescent="0.25">
      <c r="A4236" t="str">
        <f>"20190312151623216"</f>
        <v>20190312151623216</v>
      </c>
      <c r="B4236" t="str">
        <f>"1552374983211779"</f>
        <v>1552374983211779</v>
      </c>
      <c r="C4236" t="s">
        <v>40</v>
      </c>
      <c r="D4236">
        <v>4.3872970000000002</v>
      </c>
      <c r="E4236">
        <v>0.45658749999999998</v>
      </c>
      <c r="F4236" t="s">
        <v>43</v>
      </c>
      <c r="G4236">
        <v>-419.75760000000002</v>
      </c>
      <c r="H4236" s="1">
        <v>-3.0668579999999999E-6</v>
      </c>
      <c r="I4236">
        <v>116.6815</v>
      </c>
      <c r="J4236">
        <v>-416.97359999999998</v>
      </c>
      <c r="K4236">
        <v>1.1338779999999999</v>
      </c>
      <c r="L4236">
        <v>122.5737</v>
      </c>
      <c r="M4236">
        <v>-0.73687619999999998</v>
      </c>
      <c r="N4236">
        <v>0</v>
      </c>
      <c r="O4236">
        <v>-0.67572239999999995</v>
      </c>
      <c r="P4236">
        <v>-0.53743750000000001</v>
      </c>
      <c r="Q4236">
        <v>3.8120710000000002E-2</v>
      </c>
      <c r="R4236">
        <v>-0.84244169999999996</v>
      </c>
      <c r="S4236">
        <v>-1.356689</v>
      </c>
      <c r="T4236">
        <v>-0.50252870000000005</v>
      </c>
      <c r="U4236">
        <v>-2.7252200000000002</v>
      </c>
      <c r="V4236">
        <v>-0.25966640000000002</v>
      </c>
      <c r="W4236">
        <v>4.7957449999999999E-2</v>
      </c>
      <c r="X4236">
        <v>0.96450689999999994</v>
      </c>
      <c r="Y4236">
        <v>-0.36067830000000001</v>
      </c>
      <c r="Z4236">
        <v>8.7970090000000001E-2</v>
      </c>
      <c r="AA4236">
        <v>0.92853240000000004</v>
      </c>
      <c r="AB4236">
        <v>39</v>
      </c>
      <c r="AC4236">
        <v>-2.7840000000000402</v>
      </c>
      <c r="AD4236">
        <v>-1.1338810668579999</v>
      </c>
      <c r="AE4236">
        <v>-5.8921999999999999</v>
      </c>
      <c r="AF4236">
        <v>-2.3888007277310699</v>
      </c>
      <c r="AG4236">
        <v>-1.1338810668579999</v>
      </c>
      <c r="AH4236">
        <v>5.8568901135997997</v>
      </c>
      <c r="AI4236">
        <v>100.16295476293401</v>
      </c>
      <c r="AJ4236">
        <v>112.188662402033</v>
      </c>
      <c r="AK4236">
        <v>6.4261354633535896</v>
      </c>
      <c r="AL4236">
        <v>87.251186317573996</v>
      </c>
      <c r="AM4236">
        <v>105.068015431954</v>
      </c>
      <c r="AN4236">
        <v>1.00000005822353</v>
      </c>
    </row>
    <row r="4237" spans="1:40" x14ac:dyDescent="0.25">
      <c r="A4237" t="str">
        <f>"20190312151623239"</f>
        <v>20190312151623239</v>
      </c>
      <c r="B4237" t="str">
        <f>"1552374983232276"</f>
        <v>1552374983232276</v>
      </c>
      <c r="C4237" t="s">
        <v>40</v>
      </c>
      <c r="D4237">
        <v>4.3498169999999998</v>
      </c>
      <c r="E4237">
        <v>0.45754810000000001</v>
      </c>
      <c r="F4237" t="s">
        <v>43</v>
      </c>
      <c r="G4237">
        <v>-419.95890000000003</v>
      </c>
      <c r="H4237" s="1">
        <v>-2.9023149999999999E-6</v>
      </c>
      <c r="I4237">
        <v>116.38</v>
      </c>
      <c r="J4237">
        <v>-417.25549999999998</v>
      </c>
      <c r="K4237">
        <v>1.13256</v>
      </c>
      <c r="L4237">
        <v>122.3005</v>
      </c>
      <c r="M4237">
        <v>-0.72693809999999903</v>
      </c>
      <c r="N4237">
        <v>0</v>
      </c>
      <c r="O4237">
        <v>-0.68641030000000003</v>
      </c>
      <c r="P4237">
        <v>-0.52314919999999998</v>
      </c>
      <c r="Q4237">
        <v>3.8851299999999998E-2</v>
      </c>
      <c r="R4237">
        <v>-0.85135499999999997</v>
      </c>
      <c r="S4237">
        <v>-1.3211059999999999</v>
      </c>
      <c r="T4237">
        <v>-0.50179200000000002</v>
      </c>
      <c r="U4237">
        <v>-2.7409669999999999</v>
      </c>
      <c r="V4237">
        <v>-0.26183909999999999</v>
      </c>
      <c r="W4237">
        <v>4.8406100000000001E-2</v>
      </c>
      <c r="X4237">
        <v>0.96389689999999995</v>
      </c>
      <c r="Y4237">
        <v>-0.35900799999999999</v>
      </c>
      <c r="Z4237">
        <v>9.0034279999999994E-2</v>
      </c>
      <c r="AA4237">
        <v>0.92898179999999997</v>
      </c>
      <c r="AB4237">
        <v>39</v>
      </c>
      <c r="AC4237">
        <v>-2.7034000000000402</v>
      </c>
      <c r="AD4237">
        <v>-1.1325629023149999</v>
      </c>
      <c r="AE4237">
        <v>-5.9204999999999997</v>
      </c>
      <c r="AF4237">
        <v>-2.37671950840704</v>
      </c>
      <c r="AG4237">
        <v>-1.1325629023149999</v>
      </c>
      <c r="AH4237">
        <v>5.8530750895842498</v>
      </c>
      <c r="AI4237">
        <v>100.164111335161</v>
      </c>
      <c r="AJ4237">
        <v>112.100270364686</v>
      </c>
      <c r="AK4237">
        <v>6.4179422211215398</v>
      </c>
      <c r="AL4237">
        <v>87.225450652860999</v>
      </c>
      <c r="AM4237">
        <v>105.197459615065</v>
      </c>
      <c r="AN4237">
        <v>1.0000000493178101</v>
      </c>
    </row>
    <row r="4238" spans="1:40" x14ac:dyDescent="0.25">
      <c r="A4238" t="str">
        <f>"20190312151623260"</f>
        <v>20190312151623260</v>
      </c>
      <c r="B4238" t="str">
        <f>"1552374983252770"</f>
        <v>1552374983252770</v>
      </c>
      <c r="C4238" t="s">
        <v>40</v>
      </c>
      <c r="D4238">
        <v>4.3141449999999999</v>
      </c>
      <c r="E4238">
        <v>0.45751999999999998</v>
      </c>
      <c r="F4238" t="s">
        <v>43</v>
      </c>
      <c r="G4238">
        <v>-420.15910000000002</v>
      </c>
      <c r="H4238" s="1">
        <v>-2.8133830000000002E-6</v>
      </c>
      <c r="I4238">
        <v>116.0485</v>
      </c>
      <c r="J4238">
        <v>-417.51429999999999</v>
      </c>
      <c r="K4238">
        <v>1.1314879999999901</v>
      </c>
      <c r="L4238">
        <v>122.0429</v>
      </c>
      <c r="M4238">
        <v>-0.71740000000000004</v>
      </c>
      <c r="N4238">
        <v>0</v>
      </c>
      <c r="O4238">
        <v>-0.69638040000000001</v>
      </c>
      <c r="P4238">
        <v>-0.50954200000000005</v>
      </c>
      <c r="Q4238">
        <v>4.0058959999999998E-2</v>
      </c>
      <c r="R4238">
        <v>-0.85951299999999997</v>
      </c>
      <c r="S4238">
        <v>-1.2814639999999999</v>
      </c>
      <c r="T4238">
        <v>-0.49982949999999998</v>
      </c>
      <c r="U4238">
        <v>-2.759201</v>
      </c>
      <c r="V4238">
        <v>-0.26385900000000001</v>
      </c>
      <c r="W4238">
        <v>4.9299570000000001E-2</v>
      </c>
      <c r="X4238">
        <v>0.96330059999999995</v>
      </c>
      <c r="Y4238">
        <v>-0.35949950000000003</v>
      </c>
      <c r="Z4238">
        <v>9.1571280000000005E-2</v>
      </c>
      <c r="AA4238">
        <v>0.92864139999999995</v>
      </c>
      <c r="AB4238">
        <v>39</v>
      </c>
      <c r="AC4238">
        <v>-2.6448000000000298</v>
      </c>
      <c r="AD4238">
        <v>-1.13149081338299</v>
      </c>
      <c r="AE4238">
        <v>-5.99439999999999</v>
      </c>
      <c r="AF4238">
        <v>-2.3878619905181302</v>
      </c>
      <c r="AG4238">
        <v>-1.13149081338299</v>
      </c>
      <c r="AH4238">
        <v>5.8970778634556202</v>
      </c>
      <c r="AI4238">
        <v>100.08439978701701</v>
      </c>
      <c r="AJ4238">
        <v>112.044153342257</v>
      </c>
      <c r="AK4238">
        <v>6.4620185448658098</v>
      </c>
      <c r="AL4238">
        <v>87.174197349583295</v>
      </c>
      <c r="AM4238">
        <v>105.318247317561</v>
      </c>
      <c r="AN4238">
        <v>1.00000003272177</v>
      </c>
    </row>
    <row r="4239" spans="1:40" x14ac:dyDescent="0.25">
      <c r="A4239" t="str">
        <f>"20190312151623283"</f>
        <v>20190312151623283</v>
      </c>
      <c r="B4239" t="str">
        <f>"1552374983272290"</f>
        <v>1552374983272290</v>
      </c>
      <c r="C4239" t="s">
        <v>40</v>
      </c>
      <c r="D4239">
        <v>4.2062879999999998</v>
      </c>
      <c r="E4239">
        <v>0.42812230000000001</v>
      </c>
      <c r="F4239" t="s">
        <v>43</v>
      </c>
      <c r="G4239">
        <v>-420.34249999999997</v>
      </c>
      <c r="H4239" s="1">
        <v>-2.7080580000000001E-6</v>
      </c>
      <c r="I4239">
        <v>115.6892</v>
      </c>
      <c r="J4239">
        <v>-417.78960000000001</v>
      </c>
      <c r="K4239">
        <v>1.1304989999999999</v>
      </c>
      <c r="L4239">
        <v>121.76090000000001</v>
      </c>
      <c r="M4239">
        <v>-0.70679380000000003</v>
      </c>
      <c r="N4239">
        <v>0</v>
      </c>
      <c r="O4239">
        <v>-0.70715079999999997</v>
      </c>
      <c r="P4239">
        <v>-0.49454999999999999</v>
      </c>
      <c r="Q4239">
        <v>4.0794589999999999E-2</v>
      </c>
      <c r="R4239">
        <v>-0.86819139999999995</v>
      </c>
      <c r="S4239">
        <v>-1.2373959999999999</v>
      </c>
      <c r="T4239">
        <v>-0.49505080000000001</v>
      </c>
      <c r="U4239">
        <v>-2.7798769999999999</v>
      </c>
      <c r="V4239">
        <v>-0.26600559999999901</v>
      </c>
      <c r="W4239">
        <v>4.9656770000000003E-2</v>
      </c>
      <c r="X4239">
        <v>0.96269170000000004</v>
      </c>
      <c r="Y4239">
        <v>-0.36027320000000002</v>
      </c>
      <c r="Z4239">
        <v>9.2689670000000002E-2</v>
      </c>
      <c r="AA4239">
        <v>0.92823049999999996</v>
      </c>
      <c r="AB4239">
        <v>39</v>
      </c>
      <c r="AC4239">
        <v>-2.5528999999999602</v>
      </c>
      <c r="AD4239">
        <v>-1.130501708058</v>
      </c>
      <c r="AE4239">
        <v>-6.0716999999999999</v>
      </c>
      <c r="AF4239">
        <v>-2.41546911322019</v>
      </c>
      <c r="AG4239">
        <v>-1.130501708058</v>
      </c>
      <c r="AH4239">
        <v>5.9246056175695196</v>
      </c>
      <c r="AI4239">
        <v>100.020385923308</v>
      </c>
      <c r="AJ4239">
        <v>112.180783610796</v>
      </c>
      <c r="AK4239">
        <v>6.49718992123357</v>
      </c>
      <c r="AL4239">
        <v>87.153706225666099</v>
      </c>
      <c r="AM4239">
        <v>105.44624353902501</v>
      </c>
      <c r="AN4239">
        <v>1.0000000416435399</v>
      </c>
    </row>
    <row r="4240" spans="1:40" x14ac:dyDescent="0.25">
      <c r="A4240" t="str">
        <f>"20190312151623305"</f>
        <v>20190312151623305</v>
      </c>
      <c r="B4240" t="str">
        <f>"1552374983302546"</f>
        <v>1552374983302546</v>
      </c>
      <c r="C4240" t="s">
        <v>40</v>
      </c>
      <c r="D4240">
        <v>4.2893230000000004</v>
      </c>
      <c r="E4240">
        <v>0.42333080000000001</v>
      </c>
      <c r="F4240" t="s">
        <v>41</v>
      </c>
      <c r="G4240">
        <v>-418.10890000000001</v>
      </c>
      <c r="H4240">
        <v>1.03452099999999</v>
      </c>
      <c r="I4240">
        <v>120.8194</v>
      </c>
      <c r="J4240">
        <v>-418.04590000000002</v>
      </c>
      <c r="K4240">
        <v>1.1297029999999999</v>
      </c>
      <c r="L4240">
        <v>121.49079999999999</v>
      </c>
      <c r="M4240">
        <v>-0.69648429999999995</v>
      </c>
      <c r="N4240">
        <v>0</v>
      </c>
      <c r="O4240">
        <v>-0.71731469999999997</v>
      </c>
      <c r="P4240">
        <v>-0.48060829999999999</v>
      </c>
      <c r="Q4240">
        <v>4.1444149999999999E-2</v>
      </c>
      <c r="R4240">
        <v>-0.87595590000000001</v>
      </c>
      <c r="S4240">
        <v>-0.98510739999999997</v>
      </c>
      <c r="T4240">
        <v>-0.29634270000000001</v>
      </c>
      <c r="U4240">
        <v>-2.9082180000000002</v>
      </c>
      <c r="V4240">
        <v>-0.26745380000000002</v>
      </c>
      <c r="W4240">
        <v>4.9952509999999999E-2</v>
      </c>
      <c r="X4240">
        <v>0.96227499999999999</v>
      </c>
      <c r="Y4240">
        <v>-0.43005480000000001</v>
      </c>
      <c r="Z4240">
        <v>5.385115E-2</v>
      </c>
      <c r="AA4240">
        <v>0.90119530000000003</v>
      </c>
      <c r="AB4240">
        <v>39</v>
      </c>
      <c r="AC4240">
        <v>-6.2999999999988093E-2</v>
      </c>
      <c r="AD4240">
        <v>-9.5182000000000294E-2</v>
      </c>
      <c r="AE4240">
        <v>-0.671399999999991</v>
      </c>
      <c r="AF4240">
        <v>-0.41425384704326901</v>
      </c>
      <c r="AG4240">
        <v>-9.5182000000000294E-2</v>
      </c>
      <c r="AH4240">
        <v>0.51531438581903</v>
      </c>
      <c r="AI4240">
        <v>98.191928376597005</v>
      </c>
      <c r="AJ4240">
        <v>128.795302477229</v>
      </c>
      <c r="AK4240">
        <v>0.66799309812766205</v>
      </c>
      <c r="AL4240">
        <v>87.136740346779405</v>
      </c>
      <c r="AM4240">
        <v>105.532688987466</v>
      </c>
      <c r="AN4240">
        <v>0.99999998200736995</v>
      </c>
    </row>
    <row r="4241" spans="1:40" x14ac:dyDescent="0.25">
      <c r="A4241" t="str">
        <f>"20190312151623328"</f>
        <v>20190312151623328</v>
      </c>
      <c r="B4241" t="str">
        <f>"1552374983322067"</f>
        <v>1552374983322067</v>
      </c>
      <c r="C4241" t="s">
        <v>40</v>
      </c>
      <c r="D4241">
        <v>4.2354880000000001</v>
      </c>
      <c r="E4241">
        <v>0.42347820000000003</v>
      </c>
      <c r="F4241" t="s">
        <v>41</v>
      </c>
      <c r="G4241">
        <v>-418.3297</v>
      </c>
      <c r="H4241">
        <v>1.0204340000000001</v>
      </c>
      <c r="I4241">
        <v>120.5667</v>
      </c>
      <c r="J4241">
        <v>-418.31420000000003</v>
      </c>
      <c r="K4241">
        <v>1.128989</v>
      </c>
      <c r="L4241">
        <v>121.1996</v>
      </c>
      <c r="M4241">
        <v>-0.68521019999999999</v>
      </c>
      <c r="N4241">
        <v>0</v>
      </c>
      <c r="O4241">
        <v>-0.7280991</v>
      </c>
      <c r="P4241">
        <v>-0.46540189999999998</v>
      </c>
      <c r="Q4241">
        <v>4.2389740000000002E-2</v>
      </c>
      <c r="R4241">
        <v>-0.88408390000000003</v>
      </c>
      <c r="S4241">
        <v>-0.9045105</v>
      </c>
      <c r="T4241">
        <v>-0.34821400000000002</v>
      </c>
      <c r="U4241">
        <v>-2.9450530000000001</v>
      </c>
      <c r="V4241">
        <v>-0.26906780000000002</v>
      </c>
      <c r="W4241">
        <v>5.0513040000000002E-2</v>
      </c>
      <c r="X4241">
        <v>0.96179570000000003</v>
      </c>
      <c r="Y4241">
        <v>-0.4418627</v>
      </c>
      <c r="Z4241">
        <v>6.3944669999999995E-2</v>
      </c>
      <c r="AA4241">
        <v>0.89480079999999995</v>
      </c>
      <c r="AB4241">
        <v>39</v>
      </c>
      <c r="AC4241">
        <v>-1.5499999999974499E-2</v>
      </c>
      <c r="AD4241">
        <v>-0.108554999999999</v>
      </c>
      <c r="AE4241">
        <v>-0.63290000000000601</v>
      </c>
      <c r="AF4241">
        <v>-0.41039359513433599</v>
      </c>
      <c r="AG4241">
        <v>-0.108554999999999</v>
      </c>
      <c r="AH4241">
        <v>0.45805185042941798</v>
      </c>
      <c r="AI4241">
        <v>100.01016980475001</v>
      </c>
      <c r="AJ4241">
        <v>131.858892280552</v>
      </c>
      <c r="AK4241">
        <v>0.624514682480804</v>
      </c>
      <c r="AL4241">
        <v>87.104583822377904</v>
      </c>
      <c r="AM4241">
        <v>105.629264267933</v>
      </c>
      <c r="AN4241">
        <v>1.0000000083726801</v>
      </c>
    </row>
    <row r="4242" spans="1:40" x14ac:dyDescent="0.25">
      <c r="A4242" t="str">
        <f>"20190312151623350"</f>
        <v>20190312151623350</v>
      </c>
      <c r="B4242" t="str">
        <f>"1552374983342563"</f>
        <v>1552374983342563</v>
      </c>
      <c r="C4242" t="s">
        <v>40</v>
      </c>
      <c r="D4242">
        <v>4.2674940000000001</v>
      </c>
      <c r="E4242">
        <v>0.42396630000000002</v>
      </c>
      <c r="F4242" t="s">
        <v>41</v>
      </c>
      <c r="G4242">
        <v>-418.57920000000001</v>
      </c>
      <c r="H4242">
        <v>1.0183599999999999</v>
      </c>
      <c r="I4242">
        <v>120.28230000000001</v>
      </c>
      <c r="J4242">
        <v>-418.55889999999999</v>
      </c>
      <c r="K4242">
        <v>1.1284299999999901</v>
      </c>
      <c r="L4242">
        <v>120.9259</v>
      </c>
      <c r="M4242">
        <v>-0.67446809999999902</v>
      </c>
      <c r="N4242">
        <v>0</v>
      </c>
      <c r="O4242">
        <v>-0.73806719999999904</v>
      </c>
      <c r="P4242">
        <v>-0.45163130000000001</v>
      </c>
      <c r="Q4242">
        <v>4.3629559999999998E-2</v>
      </c>
      <c r="R4242">
        <v>-0.89113750000000003</v>
      </c>
      <c r="S4242">
        <v>-0.85449219999999904</v>
      </c>
      <c r="T4242">
        <v>-0.35694599999999999</v>
      </c>
      <c r="U4242">
        <v>-2.9606319999999999</v>
      </c>
      <c r="V4242">
        <v>-0.26989800000000003</v>
      </c>
      <c r="W4242">
        <v>5.142977E-2</v>
      </c>
      <c r="X4242">
        <v>0.96151450000000005</v>
      </c>
      <c r="Y4242">
        <v>-0.44397229999999999</v>
      </c>
      <c r="Z4242">
        <v>6.6854440000000001E-2</v>
      </c>
      <c r="AA4242">
        <v>0.89354299999999998</v>
      </c>
      <c r="AB4242">
        <v>39</v>
      </c>
      <c r="AC4242">
        <v>-2.0300000000020101E-2</v>
      </c>
      <c r="AD4242">
        <v>-0.110069999999999</v>
      </c>
      <c r="AE4242">
        <v>-0.64359999999999196</v>
      </c>
      <c r="AF4242">
        <v>-0.407277697175632</v>
      </c>
      <c r="AG4242">
        <v>-0.110069999999999</v>
      </c>
      <c r="AH4242">
        <v>0.47492022809847201</v>
      </c>
      <c r="AI4242">
        <v>99.978054908564502</v>
      </c>
      <c r="AJ4242">
        <v>130.61542474011699</v>
      </c>
      <c r="AK4242">
        <v>0.63524778675237503</v>
      </c>
      <c r="AL4242">
        <v>87.051990797112794</v>
      </c>
      <c r="AM4242">
        <v>105.679479545345</v>
      </c>
      <c r="AN4242">
        <v>1.00000004267825</v>
      </c>
    </row>
    <row r="4243" spans="1:40" x14ac:dyDescent="0.25">
      <c r="A4243" t="str">
        <f>"20190312151623372"</f>
        <v>20190312151623372</v>
      </c>
      <c r="B4243" t="str">
        <f>"1552374983362083"</f>
        <v>1552374983362083</v>
      </c>
      <c r="C4243" t="s">
        <v>40</v>
      </c>
      <c r="D4243">
        <v>4.2429769999999998</v>
      </c>
      <c r="E4243">
        <v>0.42495270000000002</v>
      </c>
      <c r="F4243" t="s">
        <v>41</v>
      </c>
      <c r="G4243">
        <v>-418.8152</v>
      </c>
      <c r="H4243">
        <v>1.011843</v>
      </c>
      <c r="I4243">
        <v>119.9876</v>
      </c>
      <c r="J4243">
        <v>-418.80770000000001</v>
      </c>
      <c r="K4243">
        <v>1.127942</v>
      </c>
      <c r="L4243">
        <v>120.63930000000001</v>
      </c>
      <c r="M4243">
        <v>-0.66307130000000003</v>
      </c>
      <c r="N4243">
        <v>0</v>
      </c>
      <c r="O4243">
        <v>-0.74832889999999996</v>
      </c>
      <c r="P4243">
        <v>-0.43690059999999897</v>
      </c>
      <c r="Q4243">
        <v>4.423916E-2</v>
      </c>
      <c r="R4243">
        <v>-0.89842160000000004</v>
      </c>
      <c r="S4243">
        <v>-0.81164550000000002</v>
      </c>
      <c r="T4243">
        <v>-0.36935420000000002</v>
      </c>
      <c r="U4243">
        <v>-2.9732210000000001</v>
      </c>
      <c r="V4243">
        <v>-0.27098430000000001</v>
      </c>
      <c r="W4243">
        <v>5.1706920000000003E-2</v>
      </c>
      <c r="X4243">
        <v>0.96119399999999999</v>
      </c>
      <c r="Y4243">
        <v>-0.44324180000000002</v>
      </c>
      <c r="Z4243">
        <v>7.0710880000000004E-2</v>
      </c>
      <c r="AA4243">
        <v>0.89360879999999998</v>
      </c>
      <c r="AB4243">
        <v>39</v>
      </c>
      <c r="AC4243">
        <v>-7.4999999999931797E-3</v>
      </c>
      <c r="AD4243">
        <v>-0.11609899999999899</v>
      </c>
      <c r="AE4243">
        <v>-0.65170000000000505</v>
      </c>
      <c r="AF4243">
        <v>-0.41346346981350501</v>
      </c>
      <c r="AG4243">
        <v>-0.11609899999999899</v>
      </c>
      <c r="AH4243">
        <v>0.47758778399998603</v>
      </c>
      <c r="AI4243">
        <v>100.414104910376</v>
      </c>
      <c r="AJ4243">
        <v>130.883817420318</v>
      </c>
      <c r="AK4243">
        <v>0.64227806291141598</v>
      </c>
      <c r="AL4243">
        <v>87.036089992525504</v>
      </c>
      <c r="AM4243">
        <v>105.744453612199</v>
      </c>
      <c r="AN4243">
        <v>1.0000000010291801</v>
      </c>
    </row>
    <row r="4244" spans="1:40" x14ac:dyDescent="0.25">
      <c r="A4244" t="str">
        <f>"20190312151623395"</f>
        <v>20190312151623395</v>
      </c>
      <c r="B4244" t="str">
        <f>"1552374983392339"</f>
        <v>1552374983392339</v>
      </c>
      <c r="C4244" t="s">
        <v>40</v>
      </c>
      <c r="D4244">
        <v>4.2581340000000001</v>
      </c>
      <c r="E4244">
        <v>0.42593950000000003</v>
      </c>
      <c r="F4244" t="s">
        <v>43</v>
      </c>
      <c r="G4244">
        <v>-421.1277</v>
      </c>
      <c r="H4244" s="1">
        <v>-1.1873179999999999E-6</v>
      </c>
      <c r="I4244">
        <v>111.6574</v>
      </c>
      <c r="J4244">
        <v>-419.05099999999999</v>
      </c>
      <c r="K4244">
        <v>1.1275440000000001</v>
      </c>
      <c r="L4244">
        <v>120.3496</v>
      </c>
      <c r="M4244">
        <v>-0.65141039999999995</v>
      </c>
      <c r="N4244">
        <v>0</v>
      </c>
      <c r="O4244">
        <v>-0.75850620000000002</v>
      </c>
      <c r="P4244">
        <v>-0.42249350000000002</v>
      </c>
      <c r="Q4244">
        <v>4.40556E-2</v>
      </c>
      <c r="R4244">
        <v>-0.90529459999999995</v>
      </c>
      <c r="S4244">
        <v>-0.77047730000000003</v>
      </c>
      <c r="T4244">
        <v>-0.37459740000000002</v>
      </c>
      <c r="U4244">
        <v>-2.9829560000000002</v>
      </c>
      <c r="V4244">
        <v>-0.27146110000000001</v>
      </c>
      <c r="W4244">
        <v>5.1235469999999998E-2</v>
      </c>
      <c r="X4244">
        <v>0.96108470000000001</v>
      </c>
      <c r="Y4244">
        <v>-0.44167620000000002</v>
      </c>
      <c r="Z4244">
        <v>7.3356930000000001E-2</v>
      </c>
      <c r="AA4244">
        <v>0.89417049999999998</v>
      </c>
      <c r="AB4244">
        <v>39</v>
      </c>
      <c r="AC4244">
        <v>-2.07670000000001</v>
      </c>
      <c r="AD4244">
        <v>-1.127545187318</v>
      </c>
      <c r="AE4244">
        <v>-8.6921999999999997</v>
      </c>
      <c r="AF4244">
        <v>-4.0236300721246696</v>
      </c>
      <c r="AG4244">
        <v>-1.127545187318</v>
      </c>
      <c r="AH4244">
        <v>7.8226695638275503</v>
      </c>
      <c r="AI4244">
        <v>97.3041564011167</v>
      </c>
      <c r="AJ4244">
        <v>117.219255931321</v>
      </c>
      <c r="AK4244">
        <v>8.8687719675039496</v>
      </c>
      <c r="AL4244">
        <v>87.063137941661395</v>
      </c>
      <c r="AM4244">
        <v>105.772483394528</v>
      </c>
      <c r="AN4244">
        <v>1.0000000013867101</v>
      </c>
    </row>
    <row r="4245" spans="1:40" x14ac:dyDescent="0.25">
      <c r="A4245" t="str">
        <f>"20190312151623417"</f>
        <v>20190312151623417</v>
      </c>
      <c r="B4245" t="str">
        <f>"1552374983411859"</f>
        <v>1552374983411859</v>
      </c>
      <c r="C4245" t="s">
        <v>40</v>
      </c>
      <c r="D4245">
        <v>4.3246820000000001</v>
      </c>
      <c r="E4245">
        <v>0.42676960000000003</v>
      </c>
      <c r="F4245" t="s">
        <v>43</v>
      </c>
      <c r="G4245">
        <v>-421.24540000000002</v>
      </c>
      <c r="H4245" s="1">
        <v>-1.085706E-6</v>
      </c>
      <c r="I4245">
        <v>111.3475</v>
      </c>
      <c r="J4245">
        <v>-419.29689999999999</v>
      </c>
      <c r="K4245">
        <v>1.12721</v>
      </c>
      <c r="L4245">
        <v>120.0472</v>
      </c>
      <c r="M4245">
        <v>-0.63909380000000005</v>
      </c>
      <c r="N4245">
        <v>0</v>
      </c>
      <c r="O4245">
        <v>-0.76891739999999997</v>
      </c>
      <c r="P4245">
        <v>-0.40747949999999999</v>
      </c>
      <c r="Q4245">
        <v>4.4364130000000002E-2</v>
      </c>
      <c r="R4245">
        <v>-0.91213639999999996</v>
      </c>
      <c r="S4245">
        <v>-0.7292786</v>
      </c>
      <c r="T4245">
        <v>-0.37472440000000001</v>
      </c>
      <c r="U4245">
        <v>-2.9917449999999999</v>
      </c>
      <c r="V4245">
        <v>-0.27184469999999999</v>
      </c>
      <c r="W4245">
        <v>5.1271190000000001E-2</v>
      </c>
      <c r="X4245">
        <v>0.96097440000000001</v>
      </c>
      <c r="Y4245">
        <v>-0.4394594</v>
      </c>
      <c r="Z4245">
        <v>7.5118799999999999E-2</v>
      </c>
      <c r="AA4245">
        <v>0.89511600000000002</v>
      </c>
      <c r="AB4245">
        <v>39</v>
      </c>
      <c r="AC4245">
        <v>-1.9485000000000201</v>
      </c>
      <c r="AD4245">
        <v>-1.127211085706</v>
      </c>
      <c r="AE4245">
        <v>-8.6997</v>
      </c>
      <c r="AF4245">
        <v>-3.9984296282947702</v>
      </c>
      <c r="AG4245">
        <v>-1.127211085706</v>
      </c>
      <c r="AH4245">
        <v>7.8110464193920404</v>
      </c>
      <c r="AI4245">
        <v>97.319997520671393</v>
      </c>
      <c r="AJ4245">
        <v>117.107644938645</v>
      </c>
      <c r="AK4245">
        <v>8.8470611216415396</v>
      </c>
      <c r="AL4245">
        <v>87.061088746717601</v>
      </c>
      <c r="AM4245">
        <v>105.79538246211401</v>
      </c>
      <c r="AN4245">
        <v>1.0000000366487301</v>
      </c>
    </row>
    <row r="4246" spans="1:40" x14ac:dyDescent="0.25">
      <c r="A4246" t="str">
        <f>"20190312151623440"</f>
        <v>20190312151623440</v>
      </c>
      <c r="B4246" t="str">
        <f>"1552374983432355"</f>
        <v>1552374983432355</v>
      </c>
      <c r="C4246" t="s">
        <v>40</v>
      </c>
      <c r="D4246">
        <v>4.3038059999999998</v>
      </c>
      <c r="E4246">
        <v>0.4278497</v>
      </c>
      <c r="F4246" t="s">
        <v>41</v>
      </c>
      <c r="G4246">
        <v>-419.5403</v>
      </c>
      <c r="H4246">
        <v>0.9933997</v>
      </c>
      <c r="I4246">
        <v>118.9811</v>
      </c>
      <c r="J4246">
        <v>-419.53179999999998</v>
      </c>
      <c r="K4246">
        <v>1.1269450000000001</v>
      </c>
      <c r="L4246">
        <v>119.7491</v>
      </c>
      <c r="M4246">
        <v>-0.62682169999999904</v>
      </c>
      <c r="N4246">
        <v>0</v>
      </c>
      <c r="O4246">
        <v>-0.77895800000000004</v>
      </c>
      <c r="P4246">
        <v>-0.3927002</v>
      </c>
      <c r="Q4246">
        <v>4.42221E-2</v>
      </c>
      <c r="R4246">
        <v>-0.91860269999999999</v>
      </c>
      <c r="S4246">
        <v>-0.68530269999999904</v>
      </c>
      <c r="T4246">
        <v>-0.3767297</v>
      </c>
      <c r="U4246">
        <v>-3.0011749999999999</v>
      </c>
      <c r="V4246">
        <v>-0.27212350000000002</v>
      </c>
      <c r="W4246">
        <v>5.0889740000000003E-2</v>
      </c>
      <c r="X4246">
        <v>0.96091570000000004</v>
      </c>
      <c r="Y4246">
        <v>-0.43832140000000003</v>
      </c>
      <c r="Z4246">
        <v>7.7150999999999997E-2</v>
      </c>
      <c r="AA4246">
        <v>0.89550099999999999</v>
      </c>
      <c r="AB4246">
        <v>39</v>
      </c>
      <c r="AC4246">
        <v>-8.5000000000263701E-3</v>
      </c>
      <c r="AD4246">
        <v>-0.13354530000000001</v>
      </c>
      <c r="AE4246">
        <v>-0.76800000000000002</v>
      </c>
      <c r="AF4246">
        <v>-0.46091869972758398</v>
      </c>
      <c r="AG4246">
        <v>-0.13354530000000001</v>
      </c>
      <c r="AH4246">
        <v>0.58594900763552304</v>
      </c>
      <c r="AI4246">
        <v>100.155865056401</v>
      </c>
      <c r="AJ4246">
        <v>128.18926738321699</v>
      </c>
      <c r="AK4246">
        <v>0.75737483088607505</v>
      </c>
      <c r="AL4246">
        <v>87.0829726060783</v>
      </c>
      <c r="AM4246">
        <v>105.811689963462</v>
      </c>
      <c r="AN4246">
        <v>0.99999997369800298</v>
      </c>
    </row>
    <row r="4247" spans="1:40" x14ac:dyDescent="0.25">
      <c r="A4247" t="str">
        <f>"20190312151623461"</f>
        <v>20190312151623461</v>
      </c>
      <c r="B4247" t="str">
        <f>"1552374983451875"</f>
        <v>1552374983451875</v>
      </c>
      <c r="C4247" t="s">
        <v>40</v>
      </c>
      <c r="D4247">
        <v>4.3074500000000002</v>
      </c>
      <c r="E4247">
        <v>0.42886920000000001</v>
      </c>
      <c r="F4247" t="s">
        <v>41</v>
      </c>
      <c r="G4247">
        <v>-419.75229999999999</v>
      </c>
      <c r="H4247">
        <v>1.0015339999999999</v>
      </c>
      <c r="I4247">
        <v>118.72110000000001</v>
      </c>
      <c r="J4247">
        <v>-419.75439999999998</v>
      </c>
      <c r="K4247">
        <v>1.126741</v>
      </c>
      <c r="L4247">
        <v>119.45740000000001</v>
      </c>
      <c r="M4247">
        <v>-0.61470239999999998</v>
      </c>
      <c r="N4247">
        <v>0</v>
      </c>
      <c r="O4247">
        <v>-0.78856029999999999</v>
      </c>
      <c r="P4247">
        <v>-0.37882650000000001</v>
      </c>
      <c r="Q4247">
        <v>4.4027520000000001E-2</v>
      </c>
      <c r="R4247">
        <v>-0.92442009999999997</v>
      </c>
      <c r="S4247">
        <v>-0.64465329999999998</v>
      </c>
      <c r="T4247">
        <v>-0.36688169999999998</v>
      </c>
      <c r="U4247">
        <v>-3.007889</v>
      </c>
      <c r="V4247">
        <v>-0.27173190000000003</v>
      </c>
      <c r="W4247">
        <v>5.051162E-2</v>
      </c>
      <c r="X4247">
        <v>0.96104650000000003</v>
      </c>
      <c r="Y4247">
        <v>-0.43639309999999998</v>
      </c>
      <c r="Z4247">
        <v>7.675999E-2</v>
      </c>
      <c r="AA4247">
        <v>0.89647589999999999</v>
      </c>
      <c r="AB4247">
        <v>38</v>
      </c>
      <c r="AC4247">
        <v>2.0999999999844398E-3</v>
      </c>
      <c r="AD4247">
        <v>-0.12520700000000001</v>
      </c>
      <c r="AE4247">
        <v>-0.73629999999999995</v>
      </c>
      <c r="AF4247">
        <v>-0.44156415975305702</v>
      </c>
      <c r="AG4247">
        <v>-0.12520700000000001</v>
      </c>
      <c r="AH4247">
        <v>0.56313315872212</v>
      </c>
      <c r="AI4247">
        <v>99.924320954457798</v>
      </c>
      <c r="AJ4247">
        <v>128.100715813976</v>
      </c>
      <c r="AK4247">
        <v>0.72648100765248902</v>
      </c>
      <c r="AL4247">
        <v>87.104665297461395</v>
      </c>
      <c r="AM4247">
        <v>105.788029677826</v>
      </c>
      <c r="AN4247">
        <v>1.0000000121974399</v>
      </c>
    </row>
    <row r="4248" spans="1:40" x14ac:dyDescent="0.25">
      <c r="A4248" t="str">
        <f>"20190312151623485"</f>
        <v>20190312151623485</v>
      </c>
      <c r="B4248" t="str">
        <f>"1552374983482131"</f>
        <v>1552374983482131</v>
      </c>
      <c r="C4248" t="s">
        <v>40</v>
      </c>
      <c r="D4248">
        <v>4.2922520000000004</v>
      </c>
      <c r="E4248">
        <v>0.43084869999999997</v>
      </c>
      <c r="F4248" t="s">
        <v>41</v>
      </c>
      <c r="G4248">
        <v>-419.95580000000001</v>
      </c>
      <c r="H4248">
        <v>1.004578</v>
      </c>
      <c r="I4248">
        <v>118.4562</v>
      </c>
      <c r="J4248">
        <v>-419.98419999999999</v>
      </c>
      <c r="K4248">
        <v>1.1265559999999999</v>
      </c>
      <c r="L4248">
        <v>119.14619999999999</v>
      </c>
      <c r="M4248">
        <v>-0.6016669</v>
      </c>
      <c r="N4248">
        <v>0</v>
      </c>
      <c r="O4248">
        <v>-0.79855419999999999</v>
      </c>
      <c r="P4248">
        <v>-0.3641354</v>
      </c>
      <c r="Q4248">
        <v>4.4373999999999997E-2</v>
      </c>
      <c r="R4248">
        <v>-0.93028869999999997</v>
      </c>
      <c r="S4248">
        <v>-0.60681149999999995</v>
      </c>
      <c r="T4248">
        <v>-0.36785099999999998</v>
      </c>
      <c r="U4248">
        <v>-3.0141300000000002</v>
      </c>
      <c r="V4248">
        <v>-0.27117669999999999</v>
      </c>
      <c r="W4248">
        <v>5.0689249999999998E-2</v>
      </c>
      <c r="X4248">
        <v>0.96119390000000005</v>
      </c>
      <c r="Y4248">
        <v>-0.43281190000000003</v>
      </c>
      <c r="Z4248">
        <v>7.8689309999999998E-2</v>
      </c>
      <c r="AA4248">
        <v>0.89804329999999999</v>
      </c>
      <c r="AB4248">
        <v>38</v>
      </c>
      <c r="AC4248">
        <v>2.8399999999976399E-2</v>
      </c>
      <c r="AD4248">
        <v>-0.121977999999999</v>
      </c>
      <c r="AE4248">
        <v>-0.68999999999999695</v>
      </c>
      <c r="AF4248">
        <v>-0.42464830203890003</v>
      </c>
      <c r="AG4248">
        <v>-0.121977999999999</v>
      </c>
      <c r="AH4248">
        <v>0.51784160231630705</v>
      </c>
      <c r="AI4248">
        <v>100.322733302239</v>
      </c>
      <c r="AJ4248">
        <v>129.35295590525499</v>
      </c>
      <c r="AK4248">
        <v>0.68070899656023498</v>
      </c>
      <c r="AL4248">
        <v>87.094474636510398</v>
      </c>
      <c r="AM4248">
        <v>105.755078941633</v>
      </c>
      <c r="AN4248">
        <v>0.99999995804283004</v>
      </c>
    </row>
    <row r="4249" spans="1:40" x14ac:dyDescent="0.25">
      <c r="A4249" t="str">
        <f>"20190312151623506"</f>
        <v>20190312151623506</v>
      </c>
      <c r="B4249" t="str">
        <f>"1552374983502627"</f>
        <v>1552374983502627</v>
      </c>
      <c r="C4249" t="s">
        <v>40</v>
      </c>
      <c r="D4249">
        <v>4.3502190000000001</v>
      </c>
      <c r="E4249">
        <v>0.43189810000000001</v>
      </c>
      <c r="F4249" t="s">
        <v>41</v>
      </c>
      <c r="G4249">
        <v>-420.1671</v>
      </c>
      <c r="H4249">
        <v>1.0092049999999999</v>
      </c>
      <c r="I4249">
        <v>118.185</v>
      </c>
      <c r="J4249">
        <v>-420.19760000000002</v>
      </c>
      <c r="K4249">
        <v>1.126412</v>
      </c>
      <c r="L4249">
        <v>118.8476</v>
      </c>
      <c r="M4249">
        <v>-0.58905490000000005</v>
      </c>
      <c r="N4249">
        <v>0</v>
      </c>
      <c r="O4249">
        <v>-0.80790479999999998</v>
      </c>
      <c r="P4249">
        <v>-0.34989389999999998</v>
      </c>
      <c r="Q4249">
        <v>4.3949799999999997E-2</v>
      </c>
      <c r="R4249">
        <v>-0.93575810000000004</v>
      </c>
      <c r="S4249">
        <v>-0.57363889999999995</v>
      </c>
      <c r="T4249">
        <v>-0.36833110000000002</v>
      </c>
      <c r="U4249">
        <v>-3.0178530000000001</v>
      </c>
      <c r="V4249">
        <v>-0.27075369999999999</v>
      </c>
      <c r="W4249">
        <v>5.0117299999999997E-2</v>
      </c>
      <c r="X4249">
        <v>0.96134319999999895</v>
      </c>
      <c r="Y4249">
        <v>-0.42840450000000002</v>
      </c>
      <c r="Z4249">
        <v>8.0491839999999995E-2</v>
      </c>
      <c r="AA4249">
        <v>0.89999479999999998</v>
      </c>
      <c r="AB4249">
        <v>38</v>
      </c>
      <c r="AC4249">
        <v>3.05000000000177E-2</v>
      </c>
      <c r="AD4249">
        <v>-0.11720700000000001</v>
      </c>
      <c r="AE4249">
        <v>-0.66259999999999697</v>
      </c>
      <c r="AF4249">
        <v>-0.40244611718562001</v>
      </c>
      <c r="AG4249">
        <v>-0.11720700000000001</v>
      </c>
      <c r="AH4249">
        <v>0.50176331205385105</v>
      </c>
      <c r="AI4249">
        <v>100.327115982265</v>
      </c>
      <c r="AJ4249">
        <v>128.731832575385</v>
      </c>
      <c r="AK4249">
        <v>0.65380943661745305</v>
      </c>
      <c r="AL4249">
        <v>87.127286869279104</v>
      </c>
      <c r="AM4249">
        <v>105.729398375499</v>
      </c>
      <c r="AN4249">
        <v>1.0000000290046001</v>
      </c>
    </row>
    <row r="4250" spans="1:40" x14ac:dyDescent="0.25">
      <c r="A4250" t="str">
        <f>"20190312151623528"</f>
        <v>20190312151623528</v>
      </c>
      <c r="B4250" t="str">
        <f>"1552374983522146"</f>
        <v>1552374983522146</v>
      </c>
      <c r="C4250" t="s">
        <v>40</v>
      </c>
      <c r="D4250">
        <v>4.345872</v>
      </c>
      <c r="E4250">
        <v>0.43307079999999998</v>
      </c>
      <c r="F4250" t="s">
        <v>41</v>
      </c>
      <c r="G4250">
        <v>-420.37419999999997</v>
      </c>
      <c r="H4250">
        <v>1.005045</v>
      </c>
      <c r="I4250">
        <v>117.85129999999999</v>
      </c>
      <c r="J4250">
        <v>-420.40870000000001</v>
      </c>
      <c r="K4250">
        <v>1.126301</v>
      </c>
      <c r="L4250">
        <v>118.5423</v>
      </c>
      <c r="M4250">
        <v>-0.57607810000000004</v>
      </c>
      <c r="N4250">
        <v>0</v>
      </c>
      <c r="O4250">
        <v>-0.81721089999999996</v>
      </c>
      <c r="P4250">
        <v>-0.33546789999999999</v>
      </c>
      <c r="Q4250">
        <v>4.3719830000000001E-2</v>
      </c>
      <c r="R4250">
        <v>-0.9410366</v>
      </c>
      <c r="S4250">
        <v>-0.5358887</v>
      </c>
      <c r="T4250">
        <v>-0.36826490000000001</v>
      </c>
      <c r="U4250">
        <v>-3.022888</v>
      </c>
      <c r="V4250">
        <v>-0.27017950000000002</v>
      </c>
      <c r="W4250">
        <v>4.9760579999999999E-2</v>
      </c>
      <c r="X4250">
        <v>0.96152320000000002</v>
      </c>
      <c r="Y4250">
        <v>-0.42514429999999998</v>
      </c>
      <c r="Z4250">
        <v>8.2109020000000005E-2</v>
      </c>
      <c r="AA4250">
        <v>0.90139360000000002</v>
      </c>
      <c r="AB4250">
        <v>38</v>
      </c>
      <c r="AC4250">
        <v>3.45000000000368E-2</v>
      </c>
      <c r="AD4250">
        <v>-0.121256</v>
      </c>
      <c r="AE4250">
        <v>-0.69100000000000195</v>
      </c>
      <c r="AF4250">
        <v>-0.41362280651978101</v>
      </c>
      <c r="AG4250">
        <v>-0.121256</v>
      </c>
      <c r="AH4250">
        <v>0.52866134949071797</v>
      </c>
      <c r="AI4250">
        <v>100.23971424600801</v>
      </c>
      <c r="AJ4250">
        <v>128.03950299472299</v>
      </c>
      <c r="AK4250">
        <v>0.68210678493520904</v>
      </c>
      <c r="AL4250">
        <v>87.147750786820893</v>
      </c>
      <c r="AM4250">
        <v>105.694892512857</v>
      </c>
      <c r="AN4250">
        <v>0.99999997084021197</v>
      </c>
    </row>
    <row r="4251" spans="1:40" x14ac:dyDescent="0.25">
      <c r="A4251" t="str">
        <f>"20190312151623550"</f>
        <v>20190312151623550</v>
      </c>
      <c r="B4251" t="str">
        <f>"1552374983542643"</f>
        <v>1552374983542643</v>
      </c>
      <c r="C4251" t="s">
        <v>40</v>
      </c>
      <c r="D4251">
        <v>4.3718000000000004</v>
      </c>
      <c r="E4251">
        <v>0.43424479999999999</v>
      </c>
      <c r="F4251" t="s">
        <v>43</v>
      </c>
      <c r="G4251">
        <v>-421.92039999999997</v>
      </c>
      <c r="H4251" s="1">
        <v>-4.9789400000000001E-6</v>
      </c>
      <c r="I4251">
        <v>109.36450000000001</v>
      </c>
      <c r="J4251">
        <v>-420.61709999999999</v>
      </c>
      <c r="K4251">
        <v>1.1262219999999901</v>
      </c>
      <c r="L4251">
        <v>118.2303</v>
      </c>
      <c r="M4251">
        <v>-0.56273680000000004</v>
      </c>
      <c r="N4251">
        <v>0</v>
      </c>
      <c r="O4251">
        <v>-0.82645669999999904</v>
      </c>
      <c r="P4251">
        <v>-0.32081389999999999</v>
      </c>
      <c r="Q4251">
        <v>4.3717399999999997E-2</v>
      </c>
      <c r="R4251">
        <v>-0.9461328</v>
      </c>
      <c r="S4251">
        <v>-0.49865720000000002</v>
      </c>
      <c r="T4251">
        <v>-0.37153419999999998</v>
      </c>
      <c r="U4251">
        <v>-3.027466</v>
      </c>
      <c r="V4251">
        <v>-0.26950600000000002</v>
      </c>
      <c r="W4251">
        <v>4.964963E-2</v>
      </c>
      <c r="X4251">
        <v>0.96171799999999996</v>
      </c>
      <c r="Y4251">
        <v>-0.42148530000000001</v>
      </c>
      <c r="Z4251">
        <v>8.4485329999999997E-2</v>
      </c>
      <c r="AA4251">
        <v>0.90289109999999995</v>
      </c>
      <c r="AB4251">
        <v>38</v>
      </c>
      <c r="AC4251">
        <v>-1.3032999999999699</v>
      </c>
      <c r="AD4251">
        <v>-1.1262269789399999</v>
      </c>
      <c r="AE4251">
        <v>-8.8657999999999895</v>
      </c>
      <c r="AF4251">
        <v>-3.8517315368987899</v>
      </c>
      <c r="AG4251">
        <v>-1.1262269789399999</v>
      </c>
      <c r="AH4251">
        <v>7.9364509115395299</v>
      </c>
      <c r="AI4251">
        <v>97.275308262138594</v>
      </c>
      <c r="AJ4251">
        <v>115.888303541583</v>
      </c>
      <c r="AK4251">
        <v>8.8933388618510296</v>
      </c>
      <c r="AL4251">
        <v>87.154115819942305</v>
      </c>
      <c r="AM4251">
        <v>105.654673675564</v>
      </c>
      <c r="AN4251">
        <v>1.0000000406595599</v>
      </c>
    </row>
    <row r="4252" spans="1:40" x14ac:dyDescent="0.25">
      <c r="A4252" t="str">
        <f>"20190312151623573"</f>
        <v>20190312151623573</v>
      </c>
      <c r="B4252" t="str">
        <f>"1552374983562163"</f>
        <v>1552374983562163</v>
      </c>
      <c r="C4252" t="s">
        <v>40</v>
      </c>
      <c r="D4252">
        <v>4.3600029999999999</v>
      </c>
      <c r="E4252">
        <v>0.43555830000000001</v>
      </c>
      <c r="F4252" t="s">
        <v>43</v>
      </c>
      <c r="G4252">
        <v>-422.00479999999999</v>
      </c>
      <c r="H4252" s="1">
        <v>-4.8871329999999996E-6</v>
      </c>
      <c r="I4252">
        <v>109.0864</v>
      </c>
      <c r="J4252">
        <v>-420.82549999999998</v>
      </c>
      <c r="K4252">
        <v>1.126158</v>
      </c>
      <c r="L4252">
        <v>117.9071</v>
      </c>
      <c r="M4252">
        <v>-0.54884529999999998</v>
      </c>
      <c r="N4252">
        <v>0</v>
      </c>
      <c r="O4252">
        <v>-0.83574839999999995</v>
      </c>
      <c r="P4252">
        <v>-0.30568400000000001</v>
      </c>
      <c r="Q4252">
        <v>4.3811240000000001E-2</v>
      </c>
      <c r="R4252">
        <v>-0.95112479999999999</v>
      </c>
      <c r="S4252">
        <v>-0.460144</v>
      </c>
      <c r="T4252">
        <v>-0.37344559999999999</v>
      </c>
      <c r="U4252">
        <v>-3.0320130000000001</v>
      </c>
      <c r="V4252">
        <v>-0.2687736</v>
      </c>
      <c r="W4252">
        <v>4.9649150000000003E-2</v>
      </c>
      <c r="X4252">
        <v>0.96192290000000003</v>
      </c>
      <c r="Y4252">
        <v>-0.41775909999999999</v>
      </c>
      <c r="Z4252">
        <v>8.6589920000000001E-2</v>
      </c>
      <c r="AA4252">
        <v>0.90442219999999995</v>
      </c>
      <c r="AB4252">
        <v>38</v>
      </c>
      <c r="AC4252">
        <v>-1.17930000000001</v>
      </c>
      <c r="AD4252">
        <v>-1.1261628871330001</v>
      </c>
      <c r="AE4252">
        <v>-8.8207000000000004</v>
      </c>
      <c r="AF4252">
        <v>-3.79538784830901</v>
      </c>
      <c r="AG4252">
        <v>-1.1261628871330001</v>
      </c>
      <c r="AH4252">
        <v>7.8939024675384104</v>
      </c>
      <c r="AI4252">
        <v>97.326510497769206</v>
      </c>
      <c r="AJ4252">
        <v>115.67824492825601</v>
      </c>
      <c r="AK4252">
        <v>8.8310196429662895</v>
      </c>
      <c r="AL4252">
        <v>87.154143171280495</v>
      </c>
      <c r="AM4252">
        <v>105.611045165272</v>
      </c>
      <c r="AN4252">
        <v>0.99999997584854505</v>
      </c>
    </row>
    <row r="4253" spans="1:40" x14ac:dyDescent="0.25">
      <c r="A4253" t="str">
        <f>"20190312151623596"</f>
        <v>20190312151623596</v>
      </c>
      <c r="B4253" t="str">
        <f>"1552374983592419"</f>
        <v>1552374983592419</v>
      </c>
      <c r="C4253" t="s">
        <v>40</v>
      </c>
      <c r="D4253">
        <v>4.4370560000000001</v>
      </c>
      <c r="E4253">
        <v>0.4566114</v>
      </c>
      <c r="F4253" t="s">
        <v>43</v>
      </c>
      <c r="G4253">
        <v>-422.10219999999998</v>
      </c>
      <c r="H4253" s="1">
        <v>-4.7611470000000003E-6</v>
      </c>
      <c r="I4253">
        <v>108.71339999999999</v>
      </c>
      <c r="J4253">
        <v>-421.02330000000001</v>
      </c>
      <c r="K4253">
        <v>1.1261060000000001</v>
      </c>
      <c r="L4253">
        <v>117.5882</v>
      </c>
      <c r="M4253">
        <v>-0.53508180000000005</v>
      </c>
      <c r="N4253">
        <v>0</v>
      </c>
      <c r="O4253">
        <v>-0.84462809999999899</v>
      </c>
      <c r="P4253">
        <v>-0.29038049999999999</v>
      </c>
      <c r="Q4253">
        <v>4.3115559999999997E-2</v>
      </c>
      <c r="R4253">
        <v>-0.95593969999999995</v>
      </c>
      <c r="S4253">
        <v>-0.42156979999999999</v>
      </c>
      <c r="T4253">
        <v>-0.37186249999999998</v>
      </c>
      <c r="U4253">
        <v>-3.0357970000000001</v>
      </c>
      <c r="V4253">
        <v>-0.26844600000000002</v>
      </c>
      <c r="W4253">
        <v>4.8857610000000003E-2</v>
      </c>
      <c r="X4253">
        <v>0.96205490000000005</v>
      </c>
      <c r="Y4253">
        <v>-0.41431259999999998</v>
      </c>
      <c r="Z4253">
        <v>8.7834510000000005E-2</v>
      </c>
      <c r="AA4253">
        <v>0.90588639999999998</v>
      </c>
      <c r="AB4253">
        <v>38</v>
      </c>
      <c r="AC4253">
        <v>-1.07889999999997</v>
      </c>
      <c r="AD4253">
        <v>-1.126110761147</v>
      </c>
      <c r="AE4253">
        <v>-8.8748000000000005</v>
      </c>
      <c r="AF4253">
        <v>-3.7780888629651299</v>
      </c>
      <c r="AG4253">
        <v>-1.126110761147</v>
      </c>
      <c r="AH4253">
        <v>7.9482704348001896</v>
      </c>
      <c r="AI4253">
        <v>97.291926239460096</v>
      </c>
      <c r="AJ4253">
        <v>115.423363413853</v>
      </c>
      <c r="AK4253">
        <v>8.8722648634692494</v>
      </c>
      <c r="AL4253">
        <v>87.199550184508894</v>
      </c>
      <c r="AM4253">
        <v>105.59090817772901</v>
      </c>
      <c r="AN4253">
        <v>0.99999997579246003</v>
      </c>
    </row>
    <row r="4254" spans="1:40" x14ac:dyDescent="0.25">
      <c r="A4254" t="str">
        <f>"20190312151623618"</f>
        <v>20190312151623618</v>
      </c>
      <c r="B4254" t="str">
        <f>"1552374983611938"</f>
        <v>1552374983611938</v>
      </c>
      <c r="C4254" t="s">
        <v>40</v>
      </c>
      <c r="D4254">
        <v>4.3882309999999896</v>
      </c>
      <c r="E4254">
        <v>0.45991300000000002</v>
      </c>
      <c r="F4254" t="s">
        <v>43</v>
      </c>
      <c r="G4254">
        <v>-422.57850000000002</v>
      </c>
      <c r="H4254" s="1">
        <v>-4.9034649999999998E-6</v>
      </c>
      <c r="I4254">
        <v>108.864</v>
      </c>
      <c r="J4254">
        <v>-421.2149</v>
      </c>
      <c r="K4254">
        <v>1.1260650000000001</v>
      </c>
      <c r="L4254">
        <v>117.2679</v>
      </c>
      <c r="M4254">
        <v>-0.52120770000000005</v>
      </c>
      <c r="N4254">
        <v>0</v>
      </c>
      <c r="O4254">
        <v>-0.85326089999999999</v>
      </c>
      <c r="P4254">
        <v>-0.27506589999999997</v>
      </c>
      <c r="Q4254">
        <v>4.351787E-2</v>
      </c>
      <c r="R4254">
        <v>-0.96044030000000002</v>
      </c>
      <c r="S4254">
        <v>-0.53363039999999995</v>
      </c>
      <c r="T4254">
        <v>-0.38641009999999998</v>
      </c>
      <c r="U4254">
        <v>-2.9935909999999999</v>
      </c>
      <c r="V4254">
        <v>-0.26810879999999998</v>
      </c>
      <c r="W4254">
        <v>4.9177180000000001E-2</v>
      </c>
      <c r="X4254">
        <v>0.96213269999999995</v>
      </c>
      <c r="Y4254">
        <v>-0.36420639999999999</v>
      </c>
      <c r="Z4254">
        <v>9.5266690000000001E-2</v>
      </c>
      <c r="AA4254">
        <v>0.9264329</v>
      </c>
      <c r="AB4254">
        <v>38</v>
      </c>
      <c r="AC4254">
        <v>-1.3636000000000099</v>
      </c>
      <c r="AD4254">
        <v>-1.1260699034649999</v>
      </c>
      <c r="AE4254">
        <v>-8.4039000000000001</v>
      </c>
      <c r="AF4254">
        <v>-3.1618225886474902</v>
      </c>
      <c r="AG4254">
        <v>-1.1260699034649999</v>
      </c>
      <c r="AH4254">
        <v>7.7470497755957597</v>
      </c>
      <c r="AI4254">
        <v>97.664685384816494</v>
      </c>
      <c r="AJ4254">
        <v>112.201966228526</v>
      </c>
      <c r="AK4254">
        <v>8.44286300582508</v>
      </c>
      <c r="AL4254">
        <v>87.181218282621401</v>
      </c>
      <c r="AM4254">
        <v>105.57107686777</v>
      </c>
      <c r="AN4254">
        <v>1.0000000280397401</v>
      </c>
    </row>
    <row r="4255" spans="1:40" x14ac:dyDescent="0.25">
      <c r="A4255" t="str">
        <f>"20190312151623663"</f>
        <v>20190312151623663</v>
      </c>
      <c r="B4255" t="str">
        <f>"1552374983651955"</f>
        <v>1552374983651955</v>
      </c>
      <c r="C4255" t="s">
        <v>40</v>
      </c>
      <c r="D4255">
        <v>4.5090430000000001</v>
      </c>
      <c r="E4255">
        <v>0.46220260000000002</v>
      </c>
      <c r="F4255" t="s">
        <v>43</v>
      </c>
      <c r="G4255">
        <v>-422.81319999999999</v>
      </c>
      <c r="H4255" s="1">
        <v>-4.578237E-6</v>
      </c>
      <c r="I4255">
        <v>107.90860000000001</v>
      </c>
      <c r="J4255">
        <v>-421.58260000000001</v>
      </c>
      <c r="K4255">
        <v>1.1259999999999999</v>
      </c>
      <c r="L4255">
        <v>116.6178</v>
      </c>
      <c r="M4255">
        <v>-0.49290869999999998</v>
      </c>
      <c r="N4255">
        <v>0</v>
      </c>
      <c r="O4255">
        <v>-0.8699173</v>
      </c>
      <c r="P4255">
        <v>-0.2436093</v>
      </c>
      <c r="Q4255">
        <v>4.3124629999999997E-2</v>
      </c>
      <c r="R4255">
        <v>-0.96891400000000005</v>
      </c>
      <c r="S4255">
        <v>-0.51119999999999999</v>
      </c>
      <c r="T4255">
        <v>-0.36016140000000002</v>
      </c>
      <c r="U4255">
        <v>-2.9934690000000002</v>
      </c>
      <c r="V4255">
        <v>-0.26787729999999998</v>
      </c>
      <c r="W4255">
        <v>4.8630430000000002E-2</v>
      </c>
      <c r="X4255">
        <v>0.96222490000000005</v>
      </c>
      <c r="Y4255">
        <v>-0.34019919999999998</v>
      </c>
      <c r="Z4255">
        <v>9.2347429999999994E-2</v>
      </c>
      <c r="AA4255">
        <v>0.93580790000000003</v>
      </c>
      <c r="AB4255">
        <v>38</v>
      </c>
      <c r="AC4255">
        <v>-1.2305999999999799</v>
      </c>
      <c r="AD4255">
        <v>-1.1260045782369901</v>
      </c>
      <c r="AE4255">
        <v>-8.7091999999999903</v>
      </c>
      <c r="AF4255">
        <v>-3.1708145526706701</v>
      </c>
      <c r="AG4255">
        <v>-1.1260045782369901</v>
      </c>
      <c r="AH4255">
        <v>8.0520621480078507</v>
      </c>
      <c r="AI4255">
        <v>97.413417582620994</v>
      </c>
      <c r="AJ4255">
        <v>111.493981082323</v>
      </c>
      <c r="AK4255">
        <v>8.7268353985290492</v>
      </c>
      <c r="AL4255">
        <v>87.212582093649203</v>
      </c>
      <c r="AM4255">
        <v>105.556864844538</v>
      </c>
      <c r="AN4255">
        <v>0.99999996237864097</v>
      </c>
    </row>
    <row r="4256" spans="1:40" x14ac:dyDescent="0.25">
      <c r="A4256" t="str">
        <f>"20190312151623685"</f>
        <v>20190312151623685</v>
      </c>
      <c r="B4256" t="str">
        <f>"1552374983682212"</f>
        <v>1552374983682212</v>
      </c>
      <c r="C4256" t="s">
        <v>40</v>
      </c>
      <c r="D4256">
        <v>4.3566209999999996</v>
      </c>
      <c r="E4256">
        <v>0.46543020000000002</v>
      </c>
      <c r="F4256" t="s">
        <v>43</v>
      </c>
      <c r="G4256">
        <v>-423.0129</v>
      </c>
      <c r="H4256" s="1">
        <v>-4.1309690000000001E-6</v>
      </c>
      <c r="I4256">
        <v>106.65170000000001</v>
      </c>
      <c r="J4256">
        <v>-421.7543</v>
      </c>
      <c r="K4256">
        <v>1.125982</v>
      </c>
      <c r="L4256">
        <v>116.2966</v>
      </c>
      <c r="M4256">
        <v>-0.47886489999999998</v>
      </c>
      <c r="N4256">
        <v>0</v>
      </c>
      <c r="O4256">
        <v>-0.87772759999999905</v>
      </c>
      <c r="P4256">
        <v>-0.22884070000000001</v>
      </c>
      <c r="Q4256">
        <v>4.3340499999999997E-2</v>
      </c>
      <c r="R4256">
        <v>-0.97249870000000005</v>
      </c>
      <c r="S4256">
        <v>-0.4309692</v>
      </c>
      <c r="T4256">
        <v>-0.33928730000000001</v>
      </c>
      <c r="U4256">
        <v>-3.0030060000000001</v>
      </c>
      <c r="V4256">
        <v>-0.26705719999999999</v>
      </c>
      <c r="W4256">
        <v>4.8816640000000001E-2</v>
      </c>
      <c r="X4256">
        <v>0.96244350000000001</v>
      </c>
      <c r="Y4256">
        <v>-0.34989510000000001</v>
      </c>
      <c r="Z4256">
        <v>8.7997539999999999E-2</v>
      </c>
      <c r="AA4256">
        <v>0.93264669999999905</v>
      </c>
      <c r="AB4256">
        <v>38</v>
      </c>
      <c r="AC4256">
        <v>-1.2585999999999999</v>
      </c>
      <c r="AD4256">
        <v>-1.125986130969</v>
      </c>
      <c r="AE4256">
        <v>-9.6448999999999891</v>
      </c>
      <c r="AF4256">
        <v>-3.4679192437478199</v>
      </c>
      <c r="AG4256">
        <v>-1.125986130969</v>
      </c>
      <c r="AH4256">
        <v>8.9496420043556899</v>
      </c>
      <c r="AI4256">
        <v>96.691016922407698</v>
      </c>
      <c r="AJ4256">
        <v>111.18097637944101</v>
      </c>
      <c r="AK4256">
        <v>9.6638708939233506</v>
      </c>
      <c r="AL4256">
        <v>87.201900609183198</v>
      </c>
      <c r="AM4256">
        <v>105.508180856785</v>
      </c>
      <c r="AN4256">
        <v>1.0000000515524801</v>
      </c>
    </row>
    <row r="4257" spans="1:40" x14ac:dyDescent="0.25">
      <c r="A4257" t="str">
        <f>"20190312151623708"</f>
        <v>20190312151623708</v>
      </c>
      <c r="B4257" t="str">
        <f>"1552374983702707"</f>
        <v>1552374983702707</v>
      </c>
      <c r="C4257" t="s">
        <v>40</v>
      </c>
      <c r="D4257">
        <v>4.6053410000000001</v>
      </c>
      <c r="E4257">
        <v>0.46784399999999998</v>
      </c>
      <c r="F4257" t="s">
        <v>43</v>
      </c>
      <c r="G4257">
        <v>-423.31470000000002</v>
      </c>
      <c r="H4257" s="1">
        <v>-3.3921749999999998E-6</v>
      </c>
      <c r="I4257">
        <v>104.9019</v>
      </c>
      <c r="J4257">
        <v>-421.92989999999998</v>
      </c>
      <c r="K4257">
        <v>1.1259629999999901</v>
      </c>
      <c r="L4257">
        <v>115.95440000000001</v>
      </c>
      <c r="M4257">
        <v>-0.46387440000000002</v>
      </c>
      <c r="N4257">
        <v>0</v>
      </c>
      <c r="O4257">
        <v>-0.88574229999999998</v>
      </c>
      <c r="P4257">
        <v>-0.2134856</v>
      </c>
      <c r="Q4257">
        <v>4.3373830000000002E-2</v>
      </c>
      <c r="R4257">
        <v>-0.9759833</v>
      </c>
      <c r="S4257">
        <v>-0.41101070000000001</v>
      </c>
      <c r="T4257">
        <v>-0.29658289999999998</v>
      </c>
      <c r="U4257">
        <v>-3.001328</v>
      </c>
      <c r="V4257">
        <v>-0.26586530000000003</v>
      </c>
      <c r="W4257">
        <v>4.8842370000000003E-2</v>
      </c>
      <c r="X4257">
        <v>0.96277210000000002</v>
      </c>
      <c r="Y4257">
        <v>-0.3398583</v>
      </c>
      <c r="Z4257">
        <v>7.8428830000000005E-2</v>
      </c>
      <c r="AA4257">
        <v>0.93720079999999995</v>
      </c>
      <c r="AB4257">
        <v>38</v>
      </c>
      <c r="AC4257">
        <v>-1.38480000000004</v>
      </c>
      <c r="AD4257">
        <v>-1.1259663921749901</v>
      </c>
      <c r="AE4257">
        <v>-11.0525</v>
      </c>
      <c r="AF4257">
        <v>-3.8614876165195602</v>
      </c>
      <c r="AG4257">
        <v>-1.1259663921749901</v>
      </c>
      <c r="AH4257">
        <v>10.327975616417501</v>
      </c>
      <c r="AI4257">
        <v>95.830656480863993</v>
      </c>
      <c r="AJ4257">
        <v>110.500076724433</v>
      </c>
      <c r="AK4257">
        <v>11.0835899988296</v>
      </c>
      <c r="AL4257">
        <v>87.200424555748398</v>
      </c>
      <c r="AM4257">
        <v>105.43725767500101</v>
      </c>
      <c r="AN4257">
        <v>1.00000002569485</v>
      </c>
    </row>
    <row r="4258" spans="1:40" x14ac:dyDescent="0.25">
      <c r="A4258" t="str">
        <f>"20190312151623730"</f>
        <v>20190312151623730</v>
      </c>
      <c r="B4258" t="str">
        <f>"1552374983722227"</f>
        <v>1552374983722227</v>
      </c>
      <c r="C4258" t="s">
        <v>40</v>
      </c>
      <c r="D4258">
        <v>4.3844240000000001</v>
      </c>
      <c r="E4258">
        <v>0.47026960000000001</v>
      </c>
      <c r="F4258" t="s">
        <v>43</v>
      </c>
      <c r="G4258">
        <v>-423.3297</v>
      </c>
      <c r="H4258" s="1">
        <v>-3.4191500000000001E-6</v>
      </c>
      <c r="I4258">
        <v>104.95059999999999</v>
      </c>
      <c r="J4258">
        <v>-422.08730000000003</v>
      </c>
      <c r="K4258">
        <v>1.1259509999999999</v>
      </c>
      <c r="L4258">
        <v>115.63509999999999</v>
      </c>
      <c r="M4258">
        <v>-0.449853</v>
      </c>
      <c r="N4258">
        <v>0</v>
      </c>
      <c r="O4258">
        <v>-0.89294589999999996</v>
      </c>
      <c r="P4258">
        <v>-0.1996802</v>
      </c>
      <c r="Q4258">
        <v>4.3361400000000001E-2</v>
      </c>
      <c r="R4258">
        <v>-0.97890120000000003</v>
      </c>
      <c r="S4258">
        <v>-0.38211060000000002</v>
      </c>
      <c r="T4258">
        <v>-0.30737520000000002</v>
      </c>
      <c r="U4258">
        <v>-3.0039220000000002</v>
      </c>
      <c r="V4258">
        <v>-0.264285099999999</v>
      </c>
      <c r="W4258">
        <v>4.885142E-2</v>
      </c>
      <c r="X4258">
        <v>0.96320660000000002</v>
      </c>
      <c r="Y4258">
        <v>-0.33403460000000001</v>
      </c>
      <c r="Z4258">
        <v>8.2406999999999994E-2</v>
      </c>
      <c r="AA4258">
        <v>0.9389516</v>
      </c>
      <c r="AB4258">
        <v>38</v>
      </c>
      <c r="AC4258">
        <v>-1.24239999999997</v>
      </c>
      <c r="AD4258">
        <v>-1.1259544191499999</v>
      </c>
      <c r="AE4258">
        <v>-10.6845</v>
      </c>
      <c r="AF4258">
        <v>-3.65749986963365</v>
      </c>
      <c r="AG4258">
        <v>-1.1259544191499999</v>
      </c>
      <c r="AH4258">
        <v>9.9915123586214705</v>
      </c>
      <c r="AI4258">
        <v>96.040769233891993</v>
      </c>
      <c r="AJ4258">
        <v>110.105692035334</v>
      </c>
      <c r="AK4258">
        <v>10.699317635384901</v>
      </c>
      <c r="AL4258">
        <v>87.199905378711705</v>
      </c>
      <c r="AM4258">
        <v>105.34324638128901</v>
      </c>
      <c r="AN4258">
        <v>1.0000000148007899</v>
      </c>
    </row>
    <row r="4259" spans="1:40" x14ac:dyDescent="0.25">
      <c r="A4259" t="str">
        <f>"20190312151623752"</f>
        <v>20190312151623752</v>
      </c>
      <c r="B4259" t="str">
        <f>"1552374983741747"</f>
        <v>1552374983741747</v>
      </c>
      <c r="C4259" t="s">
        <v>40</v>
      </c>
      <c r="D4259">
        <v>4.3961519999999998</v>
      </c>
      <c r="E4259">
        <v>0.47198030000000002</v>
      </c>
      <c r="F4259" t="s">
        <v>43</v>
      </c>
      <c r="G4259">
        <v>-423.40690000000001</v>
      </c>
      <c r="H4259" s="1">
        <v>-3.2614889999999999E-6</v>
      </c>
      <c r="I4259">
        <v>104.5735</v>
      </c>
      <c r="J4259">
        <v>-422.2473</v>
      </c>
      <c r="K4259">
        <v>1.1259459999999999</v>
      </c>
      <c r="L4259">
        <v>115.297</v>
      </c>
      <c r="M4259">
        <v>-0.43497980000000003</v>
      </c>
      <c r="N4259">
        <v>0</v>
      </c>
      <c r="O4259">
        <v>-0.90028549999999996</v>
      </c>
      <c r="P4259">
        <v>-0.1850388</v>
      </c>
      <c r="Q4259">
        <v>4.4033080000000002E-2</v>
      </c>
      <c r="R4259">
        <v>-0.98174450000000002</v>
      </c>
      <c r="S4259">
        <v>-0.35848999999999998</v>
      </c>
      <c r="T4259">
        <v>-0.30588779999999999</v>
      </c>
      <c r="U4259">
        <v>-3.0050810000000001</v>
      </c>
      <c r="V4259">
        <v>-0.26270680000000002</v>
      </c>
      <c r="W4259">
        <v>4.9548660000000001E-2</v>
      </c>
      <c r="X4259">
        <v>0.96360270000000003</v>
      </c>
      <c r="Y4259">
        <v>-0.32571149999999999</v>
      </c>
      <c r="Z4259">
        <v>8.3250489999999996E-2</v>
      </c>
      <c r="AA4259">
        <v>0.94179690000000005</v>
      </c>
      <c r="AB4259">
        <v>38</v>
      </c>
      <c r="AC4259">
        <v>-1.15960000000001</v>
      </c>
      <c r="AD4259">
        <v>-1.1259492614890001</v>
      </c>
      <c r="AE4259">
        <v>-10.7235</v>
      </c>
      <c r="AF4259">
        <v>-3.5820053627992001</v>
      </c>
      <c r="AG4259">
        <v>-1.1259492614890001</v>
      </c>
      <c r="AH4259">
        <v>10.0505069348802</v>
      </c>
      <c r="AI4259">
        <v>96.023973446651496</v>
      </c>
      <c r="AJ4259">
        <v>109.61609110134</v>
      </c>
      <c r="AK4259">
        <v>10.7289894121788</v>
      </c>
      <c r="AL4259">
        <v>87.159908124433201</v>
      </c>
      <c r="AM4259">
        <v>105.24991980702499</v>
      </c>
      <c r="AN4259">
        <v>1.0000000479606601</v>
      </c>
    </row>
    <row r="4260" spans="1:40" x14ac:dyDescent="0.25">
      <c r="A4260" t="str">
        <f>"20190312151623774"</f>
        <v>20190312151623774</v>
      </c>
      <c r="B4260" t="str">
        <f>"1552374983772003"</f>
        <v>1552374983772003</v>
      </c>
      <c r="C4260" t="s">
        <v>40</v>
      </c>
      <c r="D4260">
        <v>4.4863309999999998</v>
      </c>
      <c r="E4260">
        <v>0.47466190000000003</v>
      </c>
      <c r="F4260" t="s">
        <v>43</v>
      </c>
      <c r="G4260">
        <v>-423.48009999999999</v>
      </c>
      <c r="H4260" s="1">
        <v>-2.999715E-6</v>
      </c>
      <c r="I4260">
        <v>103.9786</v>
      </c>
      <c r="J4260">
        <v>-422.39920000000001</v>
      </c>
      <c r="K4260">
        <v>1.1259380000000001</v>
      </c>
      <c r="L4260">
        <v>114.9609</v>
      </c>
      <c r="M4260">
        <v>-0.42017169999999998</v>
      </c>
      <c r="N4260">
        <v>0</v>
      </c>
      <c r="O4260">
        <v>-0.90729170000000003</v>
      </c>
      <c r="P4260">
        <v>-0.17082139999999901</v>
      </c>
      <c r="Q4260">
        <v>4.4688609999999997E-2</v>
      </c>
      <c r="R4260">
        <v>-0.98428819999999995</v>
      </c>
      <c r="S4260">
        <v>-0.32757570000000003</v>
      </c>
      <c r="T4260">
        <v>-0.29918</v>
      </c>
      <c r="U4260">
        <v>-3.0074619999999999</v>
      </c>
      <c r="V4260">
        <v>-0.26086890000000001</v>
      </c>
      <c r="W4260">
        <v>5.024969E-2</v>
      </c>
      <c r="X4260">
        <v>0.96406559999999997</v>
      </c>
      <c r="Y4260">
        <v>-0.31985340000000001</v>
      </c>
      <c r="Z4260">
        <v>8.2535200000000003E-2</v>
      </c>
      <c r="AA4260">
        <v>0.94386530000000002</v>
      </c>
      <c r="AB4260">
        <v>38</v>
      </c>
      <c r="AC4260">
        <v>-1.08089999999998</v>
      </c>
      <c r="AD4260">
        <v>-1.1259409997149901</v>
      </c>
      <c r="AE4260">
        <v>-10.982299999999899</v>
      </c>
      <c r="AF4260">
        <v>-3.5968208493188998</v>
      </c>
      <c r="AG4260">
        <v>-1.1259409997149901</v>
      </c>
      <c r="AH4260">
        <v>10.312405218809999</v>
      </c>
      <c r="AI4260">
        <v>95.885966517179199</v>
      </c>
      <c r="AJ4260">
        <v>109.228048056783</v>
      </c>
      <c r="AK4260">
        <v>10.9795521199124</v>
      </c>
      <c r="AL4260">
        <v>87.119691965654297</v>
      </c>
      <c r="AM4260">
        <v>105.141210358648</v>
      </c>
      <c r="AN4260">
        <v>1.0000000477178299</v>
      </c>
    </row>
    <row r="4261" spans="1:40" x14ac:dyDescent="0.25">
      <c r="A4261" t="str">
        <f>"20190312151623798"</f>
        <v>20190312151623798</v>
      </c>
      <c r="B4261" t="str">
        <f>"1552374983792498"</f>
        <v>1552374983792498</v>
      </c>
      <c r="C4261" t="s">
        <v>40</v>
      </c>
      <c r="D4261">
        <v>4.5129460000000003</v>
      </c>
      <c r="E4261">
        <v>0.47634110000000002</v>
      </c>
      <c r="F4261" t="s">
        <v>43</v>
      </c>
      <c r="G4261">
        <v>-423.57279999999997</v>
      </c>
      <c r="H4261" s="1">
        <v>-2.7358850000000001E-6</v>
      </c>
      <c r="I4261">
        <v>103.3683</v>
      </c>
      <c r="J4261">
        <v>-422.55110000000002</v>
      </c>
      <c r="K4261">
        <v>1.1259300000000001</v>
      </c>
      <c r="L4261">
        <v>114.60850000000001</v>
      </c>
      <c r="M4261">
        <v>-0.4046207</v>
      </c>
      <c r="N4261">
        <v>0</v>
      </c>
      <c r="O4261">
        <v>-0.91433319999999996</v>
      </c>
      <c r="P4261">
        <v>-0.15565570000000001</v>
      </c>
      <c r="Q4261">
        <v>4.4934420000000003E-2</v>
      </c>
      <c r="R4261">
        <v>-0.98678900000000003</v>
      </c>
      <c r="S4261">
        <v>-0.30456539999999999</v>
      </c>
      <c r="T4261">
        <v>-0.29218179999999999</v>
      </c>
      <c r="U4261">
        <v>-3.008286</v>
      </c>
      <c r="V4261">
        <v>-0.2592489</v>
      </c>
      <c r="W4261">
        <v>5.0535429999999999E-2</v>
      </c>
      <c r="X4261">
        <v>0.96448750000000005</v>
      </c>
      <c r="Y4261">
        <v>-0.31082700000000002</v>
      </c>
      <c r="Z4261">
        <v>8.1774780000000005E-2</v>
      </c>
      <c r="AA4261">
        <v>0.94694219999999896</v>
      </c>
      <c r="AB4261">
        <v>38</v>
      </c>
      <c r="AC4261">
        <v>-1.0216999999999501</v>
      </c>
      <c r="AD4261">
        <v>-1.125932735885</v>
      </c>
      <c r="AE4261">
        <v>-11.2402</v>
      </c>
      <c r="AF4261">
        <v>-3.57872885115638</v>
      </c>
      <c r="AG4261">
        <v>-1.125932735885</v>
      </c>
      <c r="AH4261">
        <v>10.586811144672399</v>
      </c>
      <c r="AI4261">
        <v>95.753231888783702</v>
      </c>
      <c r="AJ4261">
        <v>108.67713140346</v>
      </c>
      <c r="AK4261">
        <v>11.2319007709647</v>
      </c>
      <c r="AL4261">
        <v>87.1032992463836</v>
      </c>
      <c r="AM4261">
        <v>105.045176676439</v>
      </c>
      <c r="AN4261">
        <v>0.999999979746372</v>
      </c>
    </row>
    <row r="4262" spans="1:40" x14ac:dyDescent="0.25">
      <c r="A4262" t="str">
        <f>"20190312151623820"</f>
        <v>20190312151623820</v>
      </c>
      <c r="B4262" t="str">
        <f>"1552374983812019"</f>
        <v>1552374983812019</v>
      </c>
      <c r="C4262" t="s">
        <v>40</v>
      </c>
      <c r="D4262">
        <v>4.4862330000000004</v>
      </c>
      <c r="E4262">
        <v>0.47773290000000002</v>
      </c>
      <c r="F4262" t="s">
        <v>43</v>
      </c>
      <c r="G4262">
        <v>-423.60399999999998</v>
      </c>
      <c r="H4262" s="1">
        <v>-2.5392670000000001E-6</v>
      </c>
      <c r="I4262">
        <v>102.9348</v>
      </c>
      <c r="J4262">
        <v>-422.68920000000003</v>
      </c>
      <c r="K4262">
        <v>1.1259300000000001</v>
      </c>
      <c r="L4262">
        <v>114.27330000000001</v>
      </c>
      <c r="M4262">
        <v>-0.38980500000000001</v>
      </c>
      <c r="N4262">
        <v>0</v>
      </c>
      <c r="O4262">
        <v>-0.9207476</v>
      </c>
      <c r="P4262">
        <v>-0.14169860000000001</v>
      </c>
      <c r="Q4262">
        <v>4.5600219999999997E-2</v>
      </c>
      <c r="R4262">
        <v>-0.98885919999999905</v>
      </c>
      <c r="S4262">
        <v>-0.2715149</v>
      </c>
      <c r="T4262">
        <v>-0.29036960000000001</v>
      </c>
      <c r="U4262">
        <v>-3.0105590000000002</v>
      </c>
      <c r="V4262">
        <v>-0.2573164</v>
      </c>
      <c r="W4262">
        <v>5.1262130000000003E-2</v>
      </c>
      <c r="X4262">
        <v>0.96496649999999995</v>
      </c>
      <c r="Y4262">
        <v>-0.30585230000000002</v>
      </c>
      <c r="Z4262">
        <v>8.2233009999999995E-2</v>
      </c>
      <c r="AA4262">
        <v>0.94852099999999995</v>
      </c>
      <c r="AB4262">
        <v>38</v>
      </c>
      <c r="AC4262">
        <v>-0.91480000000001305</v>
      </c>
      <c r="AD4262">
        <v>-1.1259325392670001</v>
      </c>
      <c r="AE4262">
        <v>-11.3385</v>
      </c>
      <c r="AF4262">
        <v>-3.5432839809760202</v>
      </c>
      <c r="AG4262">
        <v>-1.1259325392670001</v>
      </c>
      <c r="AH4262">
        <v>10.693217982879499</v>
      </c>
      <c r="AI4262">
        <v>95.707745609891603</v>
      </c>
      <c r="AJ4262">
        <v>108.33303126542999</v>
      </c>
      <c r="AK4262">
        <v>11.321108438761501</v>
      </c>
      <c r="AL4262">
        <v>87.061608248386506</v>
      </c>
      <c r="AM4262">
        <v>104.930973705575</v>
      </c>
      <c r="AN4262">
        <v>0.99999994090167099</v>
      </c>
    </row>
    <row r="4263" spans="1:40" x14ac:dyDescent="0.25">
      <c r="A4263" t="str">
        <f>"20190312151623842"</f>
        <v>20190312151623842</v>
      </c>
      <c r="B4263" t="str">
        <f>"1552374983832515"</f>
        <v>1552374983832515</v>
      </c>
      <c r="C4263" t="s">
        <v>40</v>
      </c>
      <c r="D4263">
        <v>4.5269729999999999</v>
      </c>
      <c r="E4263">
        <v>0.47842309999999999</v>
      </c>
      <c r="F4263" t="s">
        <v>43</v>
      </c>
      <c r="G4263">
        <v>-423.63319999999999</v>
      </c>
      <c r="H4263" s="1">
        <v>-2.3003869999999999E-6</v>
      </c>
      <c r="I4263">
        <v>102.413</v>
      </c>
      <c r="J4263">
        <v>-422.82330000000002</v>
      </c>
      <c r="K4263">
        <v>1.1259239999999999</v>
      </c>
      <c r="L4263">
        <v>113.9323</v>
      </c>
      <c r="M4263">
        <v>-0.37470350000000002</v>
      </c>
      <c r="N4263">
        <v>0</v>
      </c>
      <c r="O4263">
        <v>-0.92699609999999999</v>
      </c>
      <c r="P4263">
        <v>-0.1276563</v>
      </c>
      <c r="Q4263">
        <v>4.6814540000000002E-2</v>
      </c>
      <c r="R4263">
        <v>-0.99071319999999996</v>
      </c>
      <c r="S4263">
        <v>-0.23977660000000001</v>
      </c>
      <c r="T4263">
        <v>-0.28599550000000001</v>
      </c>
      <c r="U4263">
        <v>-3.0126189999999999</v>
      </c>
      <c r="V4263">
        <v>-0.25525999999999999</v>
      </c>
      <c r="W4263">
        <v>5.2547870000000003E-2</v>
      </c>
      <c r="X4263">
        <v>0.96544350000000001</v>
      </c>
      <c r="Y4263">
        <v>-0.30026320000000001</v>
      </c>
      <c r="Z4263">
        <v>8.1937750000000004E-2</v>
      </c>
      <c r="AA4263">
        <v>0.95033060000000003</v>
      </c>
      <c r="AB4263">
        <v>38</v>
      </c>
      <c r="AC4263">
        <v>-0.80989999999996998</v>
      </c>
      <c r="AD4263">
        <v>-1.1259263003869999</v>
      </c>
      <c r="AE4263">
        <v>-11.519299999999999</v>
      </c>
      <c r="AF4263">
        <v>-3.5324574361220802</v>
      </c>
      <c r="AG4263">
        <v>-1.1259263003869999</v>
      </c>
      <c r="AH4263">
        <v>10.879900593160899</v>
      </c>
      <c r="AI4263">
        <v>95.621448723762001</v>
      </c>
      <c r="AJ4263">
        <v>107.98744031109401</v>
      </c>
      <c r="AK4263">
        <v>11.4942682450419</v>
      </c>
      <c r="AL4263">
        <v>86.987841653330904</v>
      </c>
      <c r="AM4263">
        <v>104.80991966198</v>
      </c>
      <c r="AN4263">
        <v>1.0000000489668901</v>
      </c>
    </row>
    <row r="4264" spans="1:40" x14ac:dyDescent="0.25">
      <c r="A4264" t="str">
        <f>"20190312151623864"</f>
        <v>20190312151623864</v>
      </c>
      <c r="B4264" t="str">
        <f>"1552374983861795"</f>
        <v>1552374983861795</v>
      </c>
      <c r="C4264" t="s">
        <v>40</v>
      </c>
      <c r="D4264">
        <v>4.550948</v>
      </c>
      <c r="E4264">
        <v>0.45350000000000001</v>
      </c>
      <c r="F4264" t="s">
        <v>43</v>
      </c>
      <c r="G4264">
        <v>-423.6232</v>
      </c>
      <c r="H4264" s="1">
        <v>-2.11176E-6</v>
      </c>
      <c r="I4264">
        <v>102.0196</v>
      </c>
      <c r="J4264">
        <v>-422.95260000000002</v>
      </c>
      <c r="K4264">
        <v>1.1259189999999999</v>
      </c>
      <c r="L4264">
        <v>113.5869</v>
      </c>
      <c r="M4264">
        <v>-0.35937989999999997</v>
      </c>
      <c r="N4264">
        <v>0</v>
      </c>
      <c r="O4264">
        <v>-0.93304430000000005</v>
      </c>
      <c r="P4264">
        <v>-0.1131066</v>
      </c>
      <c r="Q4264">
        <v>4.7898309999999999E-2</v>
      </c>
      <c r="R4264">
        <v>-0.99242810000000004</v>
      </c>
      <c r="S4264">
        <v>-0.2024841</v>
      </c>
      <c r="T4264">
        <v>-0.28500999999999999</v>
      </c>
      <c r="U4264">
        <v>-3.0155180000000001</v>
      </c>
      <c r="V4264">
        <v>-0.25354260000000001</v>
      </c>
      <c r="W4264">
        <v>5.3691610000000001E-2</v>
      </c>
      <c r="X4264">
        <v>0.96583289999999999</v>
      </c>
      <c r="Y4264">
        <v>-0.29631000000000002</v>
      </c>
      <c r="Z4264">
        <v>8.2512360000000007E-2</v>
      </c>
      <c r="AA4264">
        <v>0.9515209</v>
      </c>
      <c r="AB4264">
        <v>37</v>
      </c>
      <c r="AC4264">
        <v>-0.67059999999997899</v>
      </c>
      <c r="AD4264">
        <v>-1.1259211117600001</v>
      </c>
      <c r="AE4264">
        <v>-11.567299999999999</v>
      </c>
      <c r="AF4264">
        <v>-3.4988022213796999</v>
      </c>
      <c r="AG4264">
        <v>-1.1259211117600001</v>
      </c>
      <c r="AH4264">
        <v>10.9320896664439</v>
      </c>
      <c r="AI4264">
        <v>95.602276305707406</v>
      </c>
      <c r="AJ4264">
        <v>107.74720810482199</v>
      </c>
      <c r="AK4264">
        <v>11.533425328557399</v>
      </c>
      <c r="AL4264">
        <v>86.922217113502697</v>
      </c>
      <c r="AM4264">
        <v>104.708940118428</v>
      </c>
      <c r="AN4264">
        <v>0.99999991486077699</v>
      </c>
    </row>
    <row r="4265" spans="1:40" x14ac:dyDescent="0.25">
      <c r="A4265" t="str">
        <f>"20190312151623886"</f>
        <v>20190312151623886</v>
      </c>
      <c r="B4265" t="str">
        <f>"1552374983882291"</f>
        <v>1552374983882291</v>
      </c>
      <c r="C4265" t="s">
        <v>40</v>
      </c>
      <c r="D4265">
        <v>4.5181559999999896</v>
      </c>
      <c r="E4265">
        <v>0.45487650000000002</v>
      </c>
      <c r="F4265" t="s">
        <v>43</v>
      </c>
      <c r="G4265">
        <v>-422.8322</v>
      </c>
      <c r="H4265" s="1">
        <v>-3.2015620000000002E-6</v>
      </c>
      <c r="I4265">
        <v>104.77030000000001</v>
      </c>
      <c r="J4265">
        <v>-423.072</v>
      </c>
      <c r="K4265">
        <v>1.125907</v>
      </c>
      <c r="L4265">
        <v>113.25149999999999</v>
      </c>
      <c r="M4265">
        <v>-0.34447719999999998</v>
      </c>
      <c r="N4265">
        <v>0</v>
      </c>
      <c r="O4265">
        <v>-0.93864879999999995</v>
      </c>
      <c r="P4265">
        <v>-9.8764299999999999E-2</v>
      </c>
      <c r="Q4265">
        <v>4.9354710000000003E-2</v>
      </c>
      <c r="R4265">
        <v>-0.99388639999999995</v>
      </c>
      <c r="S4265">
        <v>4.162598E-2</v>
      </c>
      <c r="T4265">
        <v>-0.38904109999999997</v>
      </c>
      <c r="U4265">
        <v>-3.0464020000000001</v>
      </c>
      <c r="V4265">
        <v>-0.25214229999999999</v>
      </c>
      <c r="W4265">
        <v>5.5198570000000002E-2</v>
      </c>
      <c r="X4265">
        <v>0.96611460000000005</v>
      </c>
      <c r="Y4265">
        <v>-0.35713410000000001</v>
      </c>
      <c r="Z4265">
        <v>0.11088099999999999</v>
      </c>
      <c r="AA4265">
        <v>0.92744850000000001</v>
      </c>
      <c r="AB4265">
        <v>37</v>
      </c>
      <c r="AC4265">
        <v>0.239799999999945</v>
      </c>
      <c r="AD4265">
        <v>-1.1259102015619999</v>
      </c>
      <c r="AE4265">
        <v>-8.4811999999999799</v>
      </c>
      <c r="AF4265">
        <v>-3.09263933355725</v>
      </c>
      <c r="AG4265">
        <v>-1.1259102015619999</v>
      </c>
      <c r="AH4265">
        <v>7.7429918313055301</v>
      </c>
      <c r="AI4265">
        <v>97.690552063375605</v>
      </c>
      <c r="AJ4265">
        <v>111.772331722347</v>
      </c>
      <c r="AK4265">
        <v>8.41344247791063</v>
      </c>
      <c r="AL4265">
        <v>86.835746729718807</v>
      </c>
      <c r="AM4265">
        <v>104.627115244371</v>
      </c>
      <c r="AN4265">
        <v>1.0000000209562401</v>
      </c>
    </row>
    <row r="4266" spans="1:40" x14ac:dyDescent="0.25">
      <c r="A4266" t="str">
        <f>"20190312151623909"</f>
        <v>20190312151623909</v>
      </c>
      <c r="B4266" t="str">
        <f>"1552374983901811"</f>
        <v>1552374983901811</v>
      </c>
      <c r="C4266" t="s">
        <v>40</v>
      </c>
      <c r="D4266">
        <v>4.5375389999999998</v>
      </c>
      <c r="E4266">
        <v>0.45553900000000003</v>
      </c>
      <c r="F4266" t="s">
        <v>43</v>
      </c>
      <c r="G4266">
        <v>-422.85930000000002</v>
      </c>
      <c r="H4266" s="1">
        <v>-3.0695029999999999E-6</v>
      </c>
      <c r="I4266">
        <v>104.4757</v>
      </c>
      <c r="J4266">
        <v>-423.19189999999998</v>
      </c>
      <c r="K4266">
        <v>1.1258969999999999</v>
      </c>
      <c r="L4266">
        <v>112.8963</v>
      </c>
      <c r="M4266">
        <v>-0.3286712</v>
      </c>
      <c r="N4266">
        <v>0</v>
      </c>
      <c r="O4266">
        <v>-0.94429960000000002</v>
      </c>
      <c r="P4266">
        <v>-8.3357860000000006E-2</v>
      </c>
      <c r="Q4266">
        <v>5.0088380000000002E-2</v>
      </c>
      <c r="R4266">
        <v>-0.99526020000000004</v>
      </c>
      <c r="S4266">
        <v>7.3822020000000002E-2</v>
      </c>
      <c r="T4266">
        <v>-0.39068779999999997</v>
      </c>
      <c r="U4266">
        <v>-3.0451809999999999</v>
      </c>
      <c r="V4266">
        <v>-0.25090390000000001</v>
      </c>
      <c r="W4266">
        <v>5.5977470000000001E-2</v>
      </c>
      <c r="X4266">
        <v>0.96639209999999998</v>
      </c>
      <c r="Y4266">
        <v>-0.35125709999999999</v>
      </c>
      <c r="Z4266">
        <v>0.1125876</v>
      </c>
      <c r="AA4266">
        <v>0.92948509999999995</v>
      </c>
      <c r="AB4266">
        <v>37</v>
      </c>
      <c r="AC4266">
        <v>0.33259999999995599</v>
      </c>
      <c r="AD4266">
        <v>-1.1259000695029999</v>
      </c>
      <c r="AE4266">
        <v>-8.4205999999999896</v>
      </c>
      <c r="AF4266">
        <v>-3.0280537159882699</v>
      </c>
      <c r="AG4266">
        <v>-1.1259000695029999</v>
      </c>
      <c r="AH4266">
        <v>7.7057782235112899</v>
      </c>
      <c r="AI4266">
        <v>97.7440612342523</v>
      </c>
      <c r="AJ4266">
        <v>111.452784197634</v>
      </c>
      <c r="AK4266">
        <v>8.3555836602452906</v>
      </c>
      <c r="AL4266">
        <v>86.791049764734495</v>
      </c>
      <c r="AM4266">
        <v>104.55433059832001</v>
      </c>
      <c r="AN4266">
        <v>0.99999996756261</v>
      </c>
    </row>
    <row r="4267" spans="1:40" x14ac:dyDescent="0.25">
      <c r="A4267" t="str">
        <f>"20190312151623931"</f>
        <v>20190312151623931</v>
      </c>
      <c r="B4267" t="str">
        <f>"1552374983922307"</f>
        <v>1552374983922307</v>
      </c>
      <c r="C4267" t="s">
        <v>40</v>
      </c>
      <c r="D4267">
        <v>4.4699589999999896</v>
      </c>
      <c r="E4267">
        <v>0.45579900000000001</v>
      </c>
      <c r="F4267" t="s">
        <v>43</v>
      </c>
      <c r="G4267">
        <v>-422.84910000000002</v>
      </c>
      <c r="H4267" s="1">
        <v>-2.7886159999999999E-6</v>
      </c>
      <c r="I4267">
        <v>103.88720000000001</v>
      </c>
      <c r="J4267">
        <v>-423.30149999999998</v>
      </c>
      <c r="K4267">
        <v>1.12588</v>
      </c>
      <c r="L4267">
        <v>112.5531</v>
      </c>
      <c r="M4267">
        <v>-0.313370599999999</v>
      </c>
      <c r="N4267">
        <v>0</v>
      </c>
      <c r="O4267">
        <v>-0.94948690000000002</v>
      </c>
      <c r="P4267">
        <v>-6.9063799999999995E-2</v>
      </c>
      <c r="Q4267">
        <v>5.0119280000000002E-2</v>
      </c>
      <c r="R4267">
        <v>-0.99635240000000003</v>
      </c>
      <c r="S4267">
        <v>0.1157837</v>
      </c>
      <c r="T4267">
        <v>-0.38030989999999998</v>
      </c>
      <c r="U4267">
        <v>-3.0431370000000002</v>
      </c>
      <c r="V4267">
        <v>-0.24915789999999999</v>
      </c>
      <c r="W4267">
        <v>5.60803E-2</v>
      </c>
      <c r="X4267">
        <v>0.96683779999999997</v>
      </c>
      <c r="Y4267">
        <v>-0.34896739999999998</v>
      </c>
      <c r="Z4267">
        <v>0.1107011</v>
      </c>
      <c r="AA4267">
        <v>0.93057350000000005</v>
      </c>
      <c r="AB4267">
        <v>37</v>
      </c>
      <c r="AC4267">
        <v>0.45239999999995401</v>
      </c>
      <c r="AD4267">
        <v>-1.1258827886160001</v>
      </c>
      <c r="AE4267">
        <v>-8.6658999999999899</v>
      </c>
      <c r="AF4267">
        <v>-3.09354090521756</v>
      </c>
      <c r="AG4267">
        <v>-1.1258827886160001</v>
      </c>
      <c r="AH4267">
        <v>7.9536078214994701</v>
      </c>
      <c r="AI4267">
        <v>97.515540034188703</v>
      </c>
      <c r="AJ4267">
        <v>111.253453920225</v>
      </c>
      <c r="AK4267">
        <v>8.6079895889907796</v>
      </c>
      <c r="AL4267">
        <v>86.785148859353697</v>
      </c>
      <c r="AM4267">
        <v>104.45092230087501</v>
      </c>
      <c r="AN4267">
        <v>0.99999999534466999</v>
      </c>
    </row>
    <row r="4268" spans="1:40" x14ac:dyDescent="0.25">
      <c r="A4268" t="str">
        <f>"20190312151623954"</f>
        <v>20190312151623954</v>
      </c>
      <c r="B4268" t="str">
        <f>"1552374983941827"</f>
        <v>1552374983941827</v>
      </c>
      <c r="C4268" t="s">
        <v>40</v>
      </c>
      <c r="D4268">
        <v>4.4632230000000002</v>
      </c>
      <c r="E4268">
        <v>0.45658280000000001</v>
      </c>
      <c r="F4268" t="s">
        <v>43</v>
      </c>
      <c r="G4268">
        <v>-422.82619999999997</v>
      </c>
      <c r="H4268" s="1">
        <v>-2.5565789999999999E-6</v>
      </c>
      <c r="I4268">
        <v>103.4092</v>
      </c>
      <c r="J4268">
        <v>-423.40789999999998</v>
      </c>
      <c r="K4268">
        <v>1.125853</v>
      </c>
      <c r="L4268">
        <v>112.1995</v>
      </c>
      <c r="M4268">
        <v>-0.29758370000000001</v>
      </c>
      <c r="N4268">
        <v>0</v>
      </c>
      <c r="O4268">
        <v>-0.95455299999999998</v>
      </c>
      <c r="P4268">
        <v>-5.4618239999999998E-2</v>
      </c>
      <c r="Q4268">
        <v>4.991934E-2</v>
      </c>
      <c r="R4268">
        <v>-0.99725900000000001</v>
      </c>
      <c r="S4268">
        <v>0.1580811</v>
      </c>
      <c r="T4268">
        <v>-0.37441000000000002</v>
      </c>
      <c r="U4268">
        <v>-3.0407709999999999</v>
      </c>
      <c r="V4268">
        <v>-0.24712899999999999</v>
      </c>
      <c r="W4268">
        <v>5.5967469999999998E-2</v>
      </c>
      <c r="X4268">
        <v>0.96736489999999997</v>
      </c>
      <c r="Y4268">
        <v>-0.34638659999999999</v>
      </c>
      <c r="Z4268">
        <v>0.1100392</v>
      </c>
      <c r="AA4268">
        <v>0.93161570000000005</v>
      </c>
      <c r="AB4268">
        <v>37</v>
      </c>
      <c r="AC4268">
        <v>0.58170000000001199</v>
      </c>
      <c r="AD4268">
        <v>-1.125855556579</v>
      </c>
      <c r="AE4268">
        <v>-8.7903000000000002</v>
      </c>
      <c r="AF4268">
        <v>-3.12057791881029</v>
      </c>
      <c r="AG4268">
        <v>-1.125855556579</v>
      </c>
      <c r="AH4268">
        <v>8.0867436847584795</v>
      </c>
      <c r="AI4268">
        <v>97.400551646396806</v>
      </c>
      <c r="AJ4268">
        <v>111.101006617434</v>
      </c>
      <c r="AK4268">
        <v>8.7407654530153902</v>
      </c>
      <c r="AL4268">
        <v>86.791623646210795</v>
      </c>
      <c r="AM4268">
        <v>104.33062753586501</v>
      </c>
      <c r="AN4268">
        <v>0.99999997504560501</v>
      </c>
    </row>
    <row r="4269" spans="1:40" x14ac:dyDescent="0.25">
      <c r="A4269" t="str">
        <f>"20190312151623976"</f>
        <v>20190312151623976</v>
      </c>
      <c r="B4269" t="str">
        <f>"1552374983972084"</f>
        <v>1552374983972084</v>
      </c>
      <c r="C4269" t="s">
        <v>40</v>
      </c>
      <c r="D4269">
        <v>4.5104499999999996</v>
      </c>
      <c r="E4269">
        <v>0.45761400000000002</v>
      </c>
      <c r="F4269" t="s">
        <v>43</v>
      </c>
      <c r="G4269">
        <v>-422.81139999999999</v>
      </c>
      <c r="H4269" s="1">
        <v>-2.3513409999999999E-6</v>
      </c>
      <c r="I4269">
        <v>102.9833</v>
      </c>
      <c r="J4269">
        <v>-423.50709999999998</v>
      </c>
      <c r="K4269">
        <v>1.1258300000000001</v>
      </c>
      <c r="L4269">
        <v>111.8473</v>
      </c>
      <c r="M4269">
        <v>-0.28183829999999999</v>
      </c>
      <c r="N4269">
        <v>0</v>
      </c>
      <c r="O4269">
        <v>-0.95931999999999995</v>
      </c>
      <c r="P4269">
        <v>-4.1217589999999998E-2</v>
      </c>
      <c r="Q4269">
        <v>4.9738659999999997E-2</v>
      </c>
      <c r="R4269">
        <v>-0.99791160000000001</v>
      </c>
      <c r="S4269">
        <v>0.1965942</v>
      </c>
      <c r="T4269">
        <v>-0.37107590000000001</v>
      </c>
      <c r="U4269">
        <v>-3.037582</v>
      </c>
      <c r="V4269">
        <v>-0.24419859999999999</v>
      </c>
      <c r="W4269">
        <v>5.5916529999999999E-2</v>
      </c>
      <c r="X4269">
        <v>0.96811179999999997</v>
      </c>
      <c r="Y4269">
        <v>-0.34278170000000002</v>
      </c>
      <c r="Z4269">
        <v>0.1100891</v>
      </c>
      <c r="AA4269">
        <v>0.93294219999999894</v>
      </c>
      <c r="AB4269">
        <v>37</v>
      </c>
      <c r="AC4269">
        <v>0.695699999999987</v>
      </c>
      <c r="AD4269">
        <v>-1.12583235134099</v>
      </c>
      <c r="AE4269">
        <v>-8.8640000000000008</v>
      </c>
      <c r="AF4269">
        <v>-3.1160838449206598</v>
      </c>
      <c r="AG4269">
        <v>-1.12583235134099</v>
      </c>
      <c r="AH4269">
        <v>8.1773594498387894</v>
      </c>
      <c r="AI4269">
        <v>97.330978149314106</v>
      </c>
      <c r="AJ4269">
        <v>110.859960309429</v>
      </c>
      <c r="AK4269">
        <v>8.8230768206884207</v>
      </c>
      <c r="AL4269">
        <v>86.794547066383103</v>
      </c>
      <c r="AM4269">
        <v>104.157088355171</v>
      </c>
      <c r="AN4269">
        <v>1.0000000359342101</v>
      </c>
    </row>
    <row r="4270" spans="1:40" x14ac:dyDescent="0.25">
      <c r="A4270" t="str">
        <f>"20190312151624010"</f>
        <v>20190312151624010</v>
      </c>
      <c r="B4270" t="str">
        <f>"1552374984002339"</f>
        <v>1552374984002339</v>
      </c>
      <c r="C4270" t="s">
        <v>40</v>
      </c>
      <c r="D4270">
        <v>4.5206369999999998</v>
      </c>
      <c r="E4270">
        <v>0.45960430000000002</v>
      </c>
      <c r="F4270" t="s">
        <v>43</v>
      </c>
      <c r="G4270">
        <v>-422.80220000000003</v>
      </c>
      <c r="H4270" s="1">
        <v>-2.131037E-6</v>
      </c>
      <c r="I4270">
        <v>102.52249999999999</v>
      </c>
      <c r="J4270">
        <v>-423.64490000000001</v>
      </c>
      <c r="K4270">
        <v>1.1257950000000001</v>
      </c>
      <c r="L4270">
        <v>111.3176</v>
      </c>
      <c r="M4270">
        <v>-0.25809840000000001</v>
      </c>
      <c r="N4270">
        <v>0</v>
      </c>
      <c r="O4270">
        <v>-0.96597809999999995</v>
      </c>
      <c r="P4270">
        <v>-1.9934150000000001E-2</v>
      </c>
      <c r="Q4270">
        <v>4.9481520000000001E-2</v>
      </c>
      <c r="R4270">
        <v>-0.99857669999999998</v>
      </c>
      <c r="S4270">
        <v>0.2293396</v>
      </c>
      <c r="T4270">
        <v>-0.3663092</v>
      </c>
      <c r="U4270">
        <v>-3.0340120000000002</v>
      </c>
      <c r="V4270">
        <v>-0.24095259999999999</v>
      </c>
      <c r="W4270">
        <v>5.5805599999999997E-2</v>
      </c>
      <c r="X4270">
        <v>0.96893110000000005</v>
      </c>
      <c r="Y4270">
        <v>-0.32969110000000001</v>
      </c>
      <c r="Z4270">
        <v>0.1102549</v>
      </c>
      <c r="AA4270">
        <v>0.93762869999999998</v>
      </c>
      <c r="AB4270">
        <v>37</v>
      </c>
      <c r="AC4270">
        <v>0.84269999999997902</v>
      </c>
      <c r="AD4270">
        <v>-1.1257971310370001</v>
      </c>
      <c r="AE4270">
        <v>-8.7950999999999997</v>
      </c>
      <c r="AF4270">
        <v>-3.03517175681514</v>
      </c>
      <c r="AG4270">
        <v>-1.1257971310370001</v>
      </c>
      <c r="AH4270">
        <v>8.1472230698347303</v>
      </c>
      <c r="AI4270">
        <v>97.378059739456702</v>
      </c>
      <c r="AJ4270">
        <v>110.43240744874301</v>
      </c>
      <c r="AK4270">
        <v>8.76680845708783</v>
      </c>
      <c r="AL4270">
        <v>86.8009125467605</v>
      </c>
      <c r="AM4270">
        <v>103.964973765</v>
      </c>
      <c r="AN4270">
        <v>0.99999994849266305</v>
      </c>
    </row>
    <row r="4271" spans="1:40" x14ac:dyDescent="0.25">
      <c r="A4271" t="str">
        <f>"20190312151624033"</f>
        <v>20190312151624033</v>
      </c>
      <c r="B4271" t="str">
        <f>"1552374984021860"</f>
        <v>1552374984021860</v>
      </c>
      <c r="C4271" t="s">
        <v>40</v>
      </c>
      <c r="D4271">
        <v>4.5308279999999996</v>
      </c>
      <c r="E4271">
        <v>0.46095900000000001</v>
      </c>
      <c r="F4271" t="s">
        <v>43</v>
      </c>
      <c r="G4271">
        <v>-422.76650000000001</v>
      </c>
      <c r="H4271" s="1">
        <v>-1.7744739999999901E-6</v>
      </c>
      <c r="I4271">
        <v>101.78830000000001</v>
      </c>
      <c r="J4271">
        <v>-423.7312</v>
      </c>
      <c r="K4271">
        <v>1.125766</v>
      </c>
      <c r="L4271">
        <v>110.95610000000001</v>
      </c>
      <c r="M4271">
        <v>-0.2418611</v>
      </c>
      <c r="N4271">
        <v>0</v>
      </c>
      <c r="O4271">
        <v>-0.97017100000000001</v>
      </c>
      <c r="P4271">
        <v>-5.1030559999999999E-3</v>
      </c>
      <c r="Q4271">
        <v>4.9364329999999998E-2</v>
      </c>
      <c r="R4271">
        <v>-0.99876779999999998</v>
      </c>
      <c r="S4271">
        <v>0.27905269999999999</v>
      </c>
      <c r="T4271">
        <v>-0.35767759999999998</v>
      </c>
      <c r="U4271">
        <v>-3.0275729999999998</v>
      </c>
      <c r="V4271">
        <v>-0.23908360000000001</v>
      </c>
      <c r="W4271">
        <v>5.5775119999999997E-2</v>
      </c>
      <c r="X4271">
        <v>0.96939580000000003</v>
      </c>
      <c r="Y4271">
        <v>-0.32932280000000003</v>
      </c>
      <c r="Z4271">
        <v>0.1085865</v>
      </c>
      <c r="AA4271">
        <v>0.93795280000000003</v>
      </c>
      <c r="AB4271">
        <v>37</v>
      </c>
      <c r="AC4271">
        <v>0.96469999999999301</v>
      </c>
      <c r="AD4271">
        <v>-1.125767774474</v>
      </c>
      <c r="AE4271">
        <v>-9.1677999999999997</v>
      </c>
      <c r="AF4271">
        <v>-3.1073442481853002</v>
      </c>
      <c r="AG4271">
        <v>-1.125767774474</v>
      </c>
      <c r="AH4271">
        <v>8.5348991982986799</v>
      </c>
      <c r="AI4271">
        <v>97.065372099977296</v>
      </c>
      <c r="AJ4271">
        <v>110.005305156764</v>
      </c>
      <c r="AK4271">
        <v>9.1524557187617006</v>
      </c>
      <c r="AL4271">
        <v>86.802661889470301</v>
      </c>
      <c r="AM4271">
        <v>103.85445547785601</v>
      </c>
      <c r="AN4271">
        <v>1.0000000244288001</v>
      </c>
    </row>
    <row r="4272" spans="1:40" x14ac:dyDescent="0.25">
      <c r="A4272" t="str">
        <f>"20190312151624056"</f>
        <v>20190312151624056</v>
      </c>
      <c r="B4272" t="str">
        <f>"1552374984052115"</f>
        <v>1552374984052115</v>
      </c>
      <c r="C4272" t="s">
        <v>40</v>
      </c>
      <c r="D4272">
        <v>4.6188820000000002</v>
      </c>
      <c r="E4272">
        <v>0.4764137</v>
      </c>
      <c r="F4272" t="s">
        <v>43</v>
      </c>
      <c r="G4272">
        <v>-422.69170000000003</v>
      </c>
      <c r="H4272" s="1">
        <v>-1.334742E-6</v>
      </c>
      <c r="I4272">
        <v>100.90009999999999</v>
      </c>
      <c r="J4272">
        <v>-423.8098</v>
      </c>
      <c r="K4272">
        <v>1.125737</v>
      </c>
      <c r="L4272">
        <v>110.5972</v>
      </c>
      <c r="M4272">
        <v>-0.22572159999999999</v>
      </c>
      <c r="N4272">
        <v>0</v>
      </c>
      <c r="O4272">
        <v>-0.97405269999999999</v>
      </c>
      <c r="P4272">
        <v>9.4937690000000009E-3</v>
      </c>
      <c r="Q4272">
        <v>4.8153599999999998E-2</v>
      </c>
      <c r="R4272">
        <v>-0.99879510000000005</v>
      </c>
      <c r="S4272">
        <v>0.31237789999999999</v>
      </c>
      <c r="T4272">
        <v>-0.33831440000000002</v>
      </c>
      <c r="U4272">
        <v>-3.0220030000000002</v>
      </c>
      <c r="V4272">
        <v>-0.237118</v>
      </c>
      <c r="W4272">
        <v>5.4656740000000002E-2</v>
      </c>
      <c r="X4272">
        <v>0.96994210000000003</v>
      </c>
      <c r="Y4272">
        <v>-0.32411509999999999</v>
      </c>
      <c r="Z4272">
        <v>0.1036596</v>
      </c>
      <c r="AA4272">
        <v>0.94032130000000003</v>
      </c>
      <c r="AB4272">
        <v>37</v>
      </c>
      <c r="AC4272">
        <v>1.1180999999999699</v>
      </c>
      <c r="AD4272">
        <v>-1.125738334742</v>
      </c>
      <c r="AE4272">
        <v>-9.6971000000000007</v>
      </c>
      <c r="AF4272">
        <v>-3.2353471701591898</v>
      </c>
      <c r="AG4272">
        <v>-1.125738334742</v>
      </c>
      <c r="AH4272">
        <v>9.0736725899589494</v>
      </c>
      <c r="AI4272">
        <v>96.665351902863307</v>
      </c>
      <c r="AJ4272">
        <v>109.624416608316</v>
      </c>
      <c r="AK4272">
        <v>9.6987778807196694</v>
      </c>
      <c r="AL4272">
        <v>86.866838146210199</v>
      </c>
      <c r="AM4272">
        <v>103.737441207176</v>
      </c>
      <c r="AN4272">
        <v>0.99999999125191796</v>
      </c>
    </row>
    <row r="4273" spans="1:40" x14ac:dyDescent="0.25">
      <c r="A4273" t="str">
        <f>"20190312151624077"</f>
        <v>20190312151624077</v>
      </c>
      <c r="B4273" t="str">
        <f>"1552374984072611"</f>
        <v>1552374984072611</v>
      </c>
      <c r="C4273" t="s">
        <v>40</v>
      </c>
      <c r="D4273">
        <v>4.5863829999999997</v>
      </c>
      <c r="E4273">
        <v>0.477132</v>
      </c>
      <c r="F4273" t="s">
        <v>43</v>
      </c>
      <c r="G4273">
        <v>-422.50439999999998</v>
      </c>
      <c r="H4273" s="1">
        <v>-2.3032900000000002E-6</v>
      </c>
      <c r="I4273">
        <v>93.404820000000001</v>
      </c>
      <c r="J4273">
        <v>-423.88</v>
      </c>
      <c r="K4273">
        <v>1.1257079999999999</v>
      </c>
      <c r="L4273">
        <v>110.25</v>
      </c>
      <c r="M4273">
        <v>-0.21008389999999999</v>
      </c>
      <c r="N4273">
        <v>0</v>
      </c>
      <c r="O4273">
        <v>-0.97754479999999999</v>
      </c>
      <c r="P4273">
        <v>2.2645999999999999E-2</v>
      </c>
      <c r="Q4273">
        <v>4.6941839999999999E-2</v>
      </c>
      <c r="R4273">
        <v>-0.99864090000000005</v>
      </c>
      <c r="S4273">
        <v>0.22860720000000001</v>
      </c>
      <c r="T4273">
        <v>-0.19715440000000001</v>
      </c>
      <c r="U4273">
        <v>-3.0109560000000002</v>
      </c>
      <c r="V4273">
        <v>-0.23430670000000001</v>
      </c>
      <c r="W4273">
        <v>5.357638E-2</v>
      </c>
      <c r="X4273">
        <v>0.97068529999999997</v>
      </c>
      <c r="Y4273">
        <v>-0.2833697</v>
      </c>
      <c r="Z4273">
        <v>6.1718839999999997E-2</v>
      </c>
      <c r="AA4273">
        <v>0.9570227</v>
      </c>
      <c r="AB4273">
        <v>37</v>
      </c>
      <c r="AC4273">
        <v>1.3756000000000199</v>
      </c>
      <c r="AD4273">
        <v>-1.12571030329</v>
      </c>
      <c r="AE4273">
        <v>-16.845179999999999</v>
      </c>
      <c r="AF4273">
        <v>-4.8627012724006802</v>
      </c>
      <c r="AG4273">
        <v>-1.12571030329</v>
      </c>
      <c r="AH4273">
        <v>16.1086566630721</v>
      </c>
      <c r="AI4273">
        <v>93.827419521819493</v>
      </c>
      <c r="AJ4273">
        <v>106.797428344593</v>
      </c>
      <c r="AK4273">
        <v>16.8642197222485</v>
      </c>
      <c r="AL4273">
        <v>86.928829100015307</v>
      </c>
      <c r="AM4273">
        <v>103.570621331986</v>
      </c>
      <c r="AN4273">
        <v>1.00000000489744</v>
      </c>
    </row>
    <row r="4274" spans="1:40" x14ac:dyDescent="0.25">
      <c r="A4274" t="str">
        <f>"20190312151624100"</f>
        <v>20190312151624100</v>
      </c>
      <c r="B4274" t="str">
        <f>"1552374984092131"</f>
        <v>1552374984092131</v>
      </c>
      <c r="C4274" t="s">
        <v>40</v>
      </c>
      <c r="D4274">
        <v>4.587898</v>
      </c>
      <c r="E4274">
        <v>0.4796202</v>
      </c>
      <c r="F4274" t="s">
        <v>43</v>
      </c>
      <c r="G4274">
        <v>-422.3947</v>
      </c>
      <c r="H4274" s="1">
        <v>-2.2024849999999999E-6</v>
      </c>
      <c r="I4274">
        <v>93.237870000000001</v>
      </c>
      <c r="J4274">
        <v>-423.94650000000001</v>
      </c>
      <c r="K4274">
        <v>1.1256790000000001</v>
      </c>
      <c r="L4274">
        <v>109.8909</v>
      </c>
      <c r="M4274">
        <v>-0.19389880000000001</v>
      </c>
      <c r="N4274">
        <v>0</v>
      </c>
      <c r="O4274">
        <v>-0.98088339999999996</v>
      </c>
      <c r="P4274">
        <v>3.6584100000000001E-2</v>
      </c>
      <c r="Q4274">
        <v>4.6904349999999997E-2</v>
      </c>
      <c r="R4274">
        <v>-0.99822920000000004</v>
      </c>
      <c r="S4274">
        <v>0.26257320000000001</v>
      </c>
      <c r="T4274">
        <v>-0.1990094</v>
      </c>
      <c r="U4274">
        <v>-3.0074920000000001</v>
      </c>
      <c r="V4274">
        <v>-0.23180729999999999</v>
      </c>
      <c r="W4274">
        <v>5.3657330000000003E-2</v>
      </c>
      <c r="X4274">
        <v>0.97128080000000006</v>
      </c>
      <c r="Y4274">
        <v>-0.27833170000000002</v>
      </c>
      <c r="Z4274">
        <v>6.271881E-2</v>
      </c>
      <c r="AA4274">
        <v>0.95843509999999998</v>
      </c>
      <c r="AB4274">
        <v>37</v>
      </c>
      <c r="AC4274">
        <v>1.5518000000000101</v>
      </c>
      <c r="AD4274">
        <v>-1.125681202485</v>
      </c>
      <c r="AE4274">
        <v>-16.653029999999902</v>
      </c>
      <c r="AF4274">
        <v>-4.7303532602489096</v>
      </c>
      <c r="AG4274">
        <v>-1.125681202485</v>
      </c>
      <c r="AH4274">
        <v>15.963647766882699</v>
      </c>
      <c r="AI4274">
        <v>93.867851742278205</v>
      </c>
      <c r="AJ4274">
        <v>106.505626892184</v>
      </c>
      <c r="AK4274">
        <v>16.6877634859041</v>
      </c>
      <c r="AL4274">
        <v>86.924184504203097</v>
      </c>
      <c r="AM4274">
        <v>103.42319584850701</v>
      </c>
      <c r="AN4274">
        <v>1.00000006292232</v>
      </c>
    </row>
    <row r="4275" spans="1:40" x14ac:dyDescent="0.25">
      <c r="A4275" t="str">
        <f>"20190312151624122"</f>
        <v>20190312151624122</v>
      </c>
      <c r="B4275" t="str">
        <f>"1552374984112628"</f>
        <v>1552374984112628</v>
      </c>
      <c r="C4275" t="s">
        <v>40</v>
      </c>
      <c r="D4275">
        <v>4.9775939999999999</v>
      </c>
      <c r="E4275">
        <v>0.48152240000000002</v>
      </c>
      <c r="F4275" t="s">
        <v>43</v>
      </c>
      <c r="G4275">
        <v>-422.45139999999998</v>
      </c>
      <c r="H4275" s="1">
        <v>-2.6116090000000002E-6</v>
      </c>
      <c r="I4275">
        <v>94.156390000000002</v>
      </c>
      <c r="J4275">
        <v>-424.0059</v>
      </c>
      <c r="K4275">
        <v>1.1256440000000001</v>
      </c>
      <c r="L4275">
        <v>109.53749999999999</v>
      </c>
      <c r="M4275">
        <v>-0.1779549</v>
      </c>
      <c r="N4275">
        <v>0</v>
      </c>
      <c r="O4275">
        <v>-0.98390129999999998</v>
      </c>
      <c r="P4275">
        <v>5.0205939999999998E-2</v>
      </c>
      <c r="Q4275">
        <v>4.6956299999999999E-2</v>
      </c>
      <c r="R4275">
        <v>-0.99763460000000004</v>
      </c>
      <c r="S4275">
        <v>0.28552250000000001</v>
      </c>
      <c r="T4275">
        <v>-0.21498129999999999</v>
      </c>
      <c r="U4275">
        <v>-3.0049589999999999</v>
      </c>
      <c r="V4275">
        <v>-0.22929840000000001</v>
      </c>
      <c r="W4275">
        <v>5.3829689999999999E-2</v>
      </c>
      <c r="X4275">
        <v>0.97186649999999997</v>
      </c>
      <c r="Y4275">
        <v>-0.27002979999999999</v>
      </c>
      <c r="Z4275">
        <v>6.8168510000000002E-2</v>
      </c>
      <c r="AA4275">
        <v>0.96043579999999995</v>
      </c>
      <c r="AB4275">
        <v>37</v>
      </c>
      <c r="AC4275">
        <v>1.55450000000001</v>
      </c>
      <c r="AD4275">
        <v>-1.125646611609</v>
      </c>
      <c r="AE4275">
        <v>-15.3811099999999</v>
      </c>
      <c r="AF4275">
        <v>-4.2446910958003601</v>
      </c>
      <c r="AG4275">
        <v>-1.125646611609</v>
      </c>
      <c r="AH4275">
        <v>14.780509582485401</v>
      </c>
      <c r="AI4275">
        <v>94.186516745368394</v>
      </c>
      <c r="AJ4275">
        <v>106.02309420498101</v>
      </c>
      <c r="AK4275">
        <v>15.4190773495347</v>
      </c>
      <c r="AL4275">
        <v>86.914294340227698</v>
      </c>
      <c r="AM4275">
        <v>103.27536867051801</v>
      </c>
      <c r="AN4275">
        <v>0.99999994279515103</v>
      </c>
    </row>
    <row r="4276" spans="1:40" x14ac:dyDescent="0.25">
      <c r="A4276" t="str">
        <f>"20190312151624144"</f>
        <v>20190312151624144</v>
      </c>
      <c r="B4276" t="str">
        <f>"1552374984132147"</f>
        <v>1552374984132147</v>
      </c>
      <c r="C4276" t="s">
        <v>40</v>
      </c>
      <c r="D4276">
        <v>4.6152389999999999</v>
      </c>
      <c r="E4276">
        <v>0.48348960000000002</v>
      </c>
      <c r="F4276" t="s">
        <v>43</v>
      </c>
      <c r="G4276">
        <v>-422.40600000000001</v>
      </c>
      <c r="H4276" s="1">
        <v>-2.5903399999999998E-6</v>
      </c>
      <c r="I4276">
        <v>94.134960000000007</v>
      </c>
      <c r="J4276">
        <v>-424.06020000000001</v>
      </c>
      <c r="K4276">
        <v>1.1256010000000001</v>
      </c>
      <c r="L4276">
        <v>109.17959999999999</v>
      </c>
      <c r="M4276">
        <v>-0.16181479999999901</v>
      </c>
      <c r="N4276">
        <v>0</v>
      </c>
      <c r="O4276">
        <v>-0.98668429999999996</v>
      </c>
      <c r="P4276">
        <v>6.4099450000000002E-2</v>
      </c>
      <c r="Q4276">
        <v>4.7017030000000001E-2</v>
      </c>
      <c r="R4276">
        <v>-0.99683580000000005</v>
      </c>
      <c r="S4276">
        <v>0.31179810000000002</v>
      </c>
      <c r="T4276">
        <v>-0.2193745</v>
      </c>
      <c r="U4276">
        <v>-3.0017550000000002</v>
      </c>
      <c r="V4276">
        <v>-0.226914</v>
      </c>
      <c r="W4276">
        <v>5.4006819999999997E-2</v>
      </c>
      <c r="X4276">
        <v>0.97241619999999995</v>
      </c>
      <c r="Y4276">
        <v>-0.26266060000000002</v>
      </c>
      <c r="Z4276">
        <v>6.997602E-2</v>
      </c>
      <c r="AA4276">
        <v>0.96234750000000002</v>
      </c>
      <c r="AB4276">
        <v>37</v>
      </c>
      <c r="AC4276">
        <v>1.6541999999999999</v>
      </c>
      <c r="AD4276">
        <v>-1.1256035903399999</v>
      </c>
      <c r="AE4276">
        <v>-15.044639999999999</v>
      </c>
      <c r="AF4276">
        <v>-4.0447968300583099</v>
      </c>
      <c r="AG4276">
        <v>-1.1256035903399999</v>
      </c>
      <c r="AH4276">
        <v>14.498416825358101</v>
      </c>
      <c r="AI4276">
        <v>94.276658830790495</v>
      </c>
      <c r="AJ4276">
        <v>105.588143661101</v>
      </c>
      <c r="AK4276">
        <v>15.0940867653814</v>
      </c>
      <c r="AL4276">
        <v>86.904130878404104</v>
      </c>
      <c r="AM4276">
        <v>103.134965908729</v>
      </c>
      <c r="AN4276">
        <v>0.99999998301247595</v>
      </c>
    </row>
    <row r="4277" spans="1:40" x14ac:dyDescent="0.25">
      <c r="A4277" t="str">
        <f>"20190312151624167"</f>
        <v>20190312151624167</v>
      </c>
      <c r="B4277" t="str">
        <f>"1552374984162404"</f>
        <v>1552374984162404</v>
      </c>
      <c r="C4277" t="s">
        <v>40</v>
      </c>
      <c r="D4277">
        <v>4.7804589999999996</v>
      </c>
      <c r="E4277">
        <v>0.48536869999999999</v>
      </c>
      <c r="F4277" t="s">
        <v>43</v>
      </c>
      <c r="G4277">
        <v>-422.34829999999999</v>
      </c>
      <c r="H4277" s="1">
        <v>-2.5147190000000001E-6</v>
      </c>
      <c r="I4277">
        <v>93.994510000000005</v>
      </c>
      <c r="J4277">
        <v>-424.10770000000002</v>
      </c>
      <c r="K4277">
        <v>1.1255489999999999</v>
      </c>
      <c r="L4277">
        <v>108.8276</v>
      </c>
      <c r="M4277">
        <v>-0.14595169999999999</v>
      </c>
      <c r="N4277">
        <v>0</v>
      </c>
      <c r="O4277">
        <v>-0.98915529999999996</v>
      </c>
      <c r="P4277">
        <v>7.7716489999999999E-2</v>
      </c>
      <c r="Q4277">
        <v>4.6771149999999997E-2</v>
      </c>
      <c r="R4277">
        <v>-0.99587789999999998</v>
      </c>
      <c r="S4277">
        <v>0.3380127</v>
      </c>
      <c r="T4277">
        <v>-0.22224830000000001</v>
      </c>
      <c r="U4277">
        <v>-2.9982760000000002</v>
      </c>
      <c r="V4277">
        <v>-0.2245742</v>
      </c>
      <c r="W4277">
        <v>5.387778E-2</v>
      </c>
      <c r="X4277">
        <v>0.97296640000000001</v>
      </c>
      <c r="Y4277">
        <v>-0.25558409999999998</v>
      </c>
      <c r="Z4277">
        <v>7.1279729999999999E-2</v>
      </c>
      <c r="AA4277">
        <v>0.9641556</v>
      </c>
      <c r="AB4277">
        <v>37</v>
      </c>
      <c r="AC4277">
        <v>1.7594000000000201</v>
      </c>
      <c r="AD4277">
        <v>-1.1255515147189901</v>
      </c>
      <c r="AE4277">
        <v>-14.83309</v>
      </c>
      <c r="AF4277">
        <v>-3.8837097073156701</v>
      </c>
      <c r="AG4277">
        <v>-1.1255515147189901</v>
      </c>
      <c r="AH4277">
        <v>14.335987290494</v>
      </c>
      <c r="AI4277">
        <v>94.333634680501504</v>
      </c>
      <c r="AJ4277">
        <v>105.157964575439</v>
      </c>
      <c r="AK4277">
        <v>14.8953213760627</v>
      </c>
      <c r="AL4277">
        <v>86.911535161704194</v>
      </c>
      <c r="AM4277">
        <v>102.997048434219</v>
      </c>
      <c r="AN4277">
        <v>1.00000000100616</v>
      </c>
    </row>
    <row r="4278" spans="1:40" x14ac:dyDescent="0.25">
      <c r="A4278" t="str">
        <f>"20190312151624188"</f>
        <v>20190312151624188</v>
      </c>
      <c r="B4278" t="str">
        <f>"1552374984181923"</f>
        <v>1552374984181923</v>
      </c>
      <c r="C4278" t="s">
        <v>40</v>
      </c>
      <c r="D4278">
        <v>4.7031980000000004</v>
      </c>
      <c r="E4278">
        <v>0.48633870000000001</v>
      </c>
      <c r="F4278" t="s">
        <v>43</v>
      </c>
      <c r="G4278">
        <v>-422.34070000000003</v>
      </c>
      <c r="H4278" s="1">
        <v>-2.6346320000000002E-6</v>
      </c>
      <c r="I4278">
        <v>94.278720000000007</v>
      </c>
      <c r="J4278">
        <v>-424.14980000000003</v>
      </c>
      <c r="K4278">
        <v>1.125486</v>
      </c>
      <c r="L4278">
        <v>108.473</v>
      </c>
      <c r="M4278">
        <v>-0.1300084</v>
      </c>
      <c r="N4278">
        <v>0</v>
      </c>
      <c r="O4278">
        <v>-0.99137719999999896</v>
      </c>
      <c r="P4278">
        <v>9.1231199999999998E-2</v>
      </c>
      <c r="Q4278">
        <v>4.6726150000000001E-2</v>
      </c>
      <c r="R4278">
        <v>-0.99473299999999998</v>
      </c>
      <c r="S4278">
        <v>0.36373899999999998</v>
      </c>
      <c r="T4278">
        <v>-0.2316964</v>
      </c>
      <c r="U4278">
        <v>-2.994904</v>
      </c>
      <c r="V4278">
        <v>-0.22211030000000001</v>
      </c>
      <c r="W4278">
        <v>5.3957779999999997E-2</v>
      </c>
      <c r="X4278">
        <v>0.97352740000000004</v>
      </c>
      <c r="Y4278">
        <v>-0.2482751</v>
      </c>
      <c r="Z4278">
        <v>7.4668090000000006E-2</v>
      </c>
      <c r="AA4278">
        <v>0.96580750000000004</v>
      </c>
      <c r="AB4278">
        <v>37</v>
      </c>
      <c r="AC4278">
        <v>1.8090999999999999</v>
      </c>
      <c r="AD4278">
        <v>-1.1254886346320001</v>
      </c>
      <c r="AE4278">
        <v>-14.194279999999999</v>
      </c>
      <c r="AF4278">
        <v>-3.6169886285044299</v>
      </c>
      <c r="AG4278">
        <v>-1.1254886346320001</v>
      </c>
      <c r="AH4278">
        <v>13.7534609992166</v>
      </c>
      <c r="AI4278">
        <v>94.525073338726202</v>
      </c>
      <c r="AJ4278">
        <v>104.734433050893</v>
      </c>
      <c r="AK4278">
        <v>14.265588696664</v>
      </c>
      <c r="AL4278">
        <v>86.906944859179902</v>
      </c>
      <c r="AM4278">
        <v>102.852053581066</v>
      </c>
      <c r="AN4278">
        <v>1.00000001296968</v>
      </c>
    </row>
    <row r="4279" spans="1:40" x14ac:dyDescent="0.25">
      <c r="A4279" t="str">
        <f>"20190312151624211"</f>
        <v>20190312151624211</v>
      </c>
      <c r="B4279" t="str">
        <f>"1552374984202423"</f>
        <v>1552374984202423</v>
      </c>
      <c r="C4279" t="s">
        <v>40</v>
      </c>
      <c r="D4279">
        <v>4.6332909999999998</v>
      </c>
      <c r="E4279">
        <v>0.4874136</v>
      </c>
      <c r="F4279" t="s">
        <v>43</v>
      </c>
      <c r="G4279">
        <v>-422.16030000000001</v>
      </c>
      <c r="H4279" s="1">
        <v>-2.2429900000000001E-6</v>
      </c>
      <c r="I4279">
        <v>93.477670000000003</v>
      </c>
      <c r="J4279">
        <v>-424.18579999999997</v>
      </c>
      <c r="K4279">
        <v>1.1254169999999999</v>
      </c>
      <c r="L4279">
        <v>108.1221</v>
      </c>
      <c r="M4279">
        <v>-0.1142934</v>
      </c>
      <c r="N4279">
        <v>0</v>
      </c>
      <c r="O4279">
        <v>-0.99331179999999997</v>
      </c>
      <c r="P4279">
        <v>0.10387979999999999</v>
      </c>
      <c r="Q4279">
        <v>4.6625779999999999E-2</v>
      </c>
      <c r="R4279">
        <v>-0.9934965</v>
      </c>
      <c r="S4279">
        <v>0.396698</v>
      </c>
      <c r="T4279">
        <v>-0.2244215</v>
      </c>
      <c r="U4279">
        <v>-2.9900509999999998</v>
      </c>
      <c r="V4279">
        <v>-0.21906529999999999</v>
      </c>
      <c r="W4279">
        <v>5.40092E-2</v>
      </c>
      <c r="X4279">
        <v>0.97421429999999998</v>
      </c>
      <c r="Y4279">
        <v>-0.24361920000000001</v>
      </c>
      <c r="Z4279">
        <v>7.2663610000000003E-2</v>
      </c>
      <c r="AA4279">
        <v>0.96714509999999998</v>
      </c>
      <c r="AB4279">
        <v>37</v>
      </c>
      <c r="AC4279">
        <v>2.0254999999999601</v>
      </c>
      <c r="AD4279">
        <v>-1.1254192429899901</v>
      </c>
      <c r="AE4279">
        <v>-14.64443</v>
      </c>
      <c r="AF4279">
        <v>-3.6649714579969399</v>
      </c>
      <c r="AG4279">
        <v>-1.1254192429899901</v>
      </c>
      <c r="AH4279">
        <v>14.234418778222301</v>
      </c>
      <c r="AI4279">
        <v>94.378371620256402</v>
      </c>
      <c r="AJ4279">
        <v>104.438487716014</v>
      </c>
      <c r="AK4279">
        <v>14.741684510741401</v>
      </c>
      <c r="AL4279">
        <v>86.903994525321195</v>
      </c>
      <c r="AM4279">
        <v>102.672942766833</v>
      </c>
      <c r="AN4279">
        <v>1.0000000508366</v>
      </c>
    </row>
    <row r="4280" spans="1:40" x14ac:dyDescent="0.25">
      <c r="A4280" t="str">
        <f>"20190312151624234"</f>
        <v>20190312151624234</v>
      </c>
      <c r="B4280" t="str">
        <f>"1552374984221939"</f>
        <v>1552374984221939</v>
      </c>
      <c r="C4280" t="s">
        <v>40</v>
      </c>
      <c r="D4280">
        <v>4.6359599999999999</v>
      </c>
      <c r="E4280">
        <v>0.48872939999999998</v>
      </c>
      <c r="F4280" t="s">
        <v>43</v>
      </c>
      <c r="G4280">
        <v>-421.98570000000001</v>
      </c>
      <c r="H4280" s="1">
        <v>-1.861343E-6</v>
      </c>
      <c r="I4280">
        <v>92.696370000000002</v>
      </c>
      <c r="J4280">
        <v>-424.21730000000002</v>
      </c>
      <c r="K4280">
        <v>1.1253219999999999</v>
      </c>
      <c r="L4280">
        <v>107.7555</v>
      </c>
      <c r="M4280">
        <v>-9.796473E-2</v>
      </c>
      <c r="N4280">
        <v>0</v>
      </c>
      <c r="O4280">
        <v>-0.99505529999999998</v>
      </c>
      <c r="P4280">
        <v>0.1173405</v>
      </c>
      <c r="Q4280">
        <v>4.6146109999999997E-2</v>
      </c>
      <c r="R4280">
        <v>-0.99201919999999999</v>
      </c>
      <c r="S4280">
        <v>0.42578129999999997</v>
      </c>
      <c r="T4280">
        <v>-0.217803</v>
      </c>
      <c r="U4280">
        <v>-2.9853519999999998</v>
      </c>
      <c r="V4280">
        <v>-0.21624289999999999</v>
      </c>
      <c r="W4280">
        <v>5.3675420000000001E-2</v>
      </c>
      <c r="X4280">
        <v>0.97486309999999998</v>
      </c>
      <c r="Y4280">
        <v>-0.23715149999999999</v>
      </c>
      <c r="Z4280">
        <v>7.0842829999999996E-2</v>
      </c>
      <c r="AA4280">
        <v>0.96888620000000003</v>
      </c>
      <c r="AB4280">
        <v>37</v>
      </c>
      <c r="AC4280">
        <v>2.23160000000001</v>
      </c>
      <c r="AD4280">
        <v>-1.1253238613430001</v>
      </c>
      <c r="AE4280">
        <v>-15.0591299999999</v>
      </c>
      <c r="AF4280">
        <v>-3.6762366453583701</v>
      </c>
      <c r="AG4280">
        <v>-1.1253238613430001</v>
      </c>
      <c r="AH4280">
        <v>14.6877710980951</v>
      </c>
      <c r="AI4280">
        <v>94.250618531889103</v>
      </c>
      <c r="AJ4280">
        <v>104.05200712180699</v>
      </c>
      <c r="AK4280">
        <v>15.182611418844299</v>
      </c>
      <c r="AL4280">
        <v>86.923146497644396</v>
      </c>
      <c r="AM4280">
        <v>102.506775644245</v>
      </c>
      <c r="AN4280">
        <v>1.0000000531270901</v>
      </c>
    </row>
    <row r="4281" spans="1:40" x14ac:dyDescent="0.25">
      <c r="A4281" t="str">
        <f>"20190312151624257"</f>
        <v>20190312151624257</v>
      </c>
      <c r="B4281" t="str">
        <f>"1552374984252195"</f>
        <v>1552374984252195</v>
      </c>
      <c r="C4281" t="s">
        <v>40</v>
      </c>
      <c r="D4281">
        <v>4.7196999999999996</v>
      </c>
      <c r="E4281">
        <v>0.50385139999999995</v>
      </c>
      <c r="F4281" t="s">
        <v>43</v>
      </c>
      <c r="G4281">
        <v>-421.83760000000001</v>
      </c>
      <c r="H4281" s="1">
        <v>-1.5942079999999999E-6</v>
      </c>
      <c r="I4281">
        <v>92.165520000000001</v>
      </c>
      <c r="J4281">
        <v>-424.24200000000002</v>
      </c>
      <c r="K4281">
        <v>1.1252070000000001</v>
      </c>
      <c r="L4281">
        <v>107.3956</v>
      </c>
      <c r="M4281">
        <v>-8.2060320000000006E-2</v>
      </c>
      <c r="N4281">
        <v>0</v>
      </c>
      <c r="O4281">
        <v>-0.99649350000000003</v>
      </c>
      <c r="P4281">
        <v>0.12969820000000001</v>
      </c>
      <c r="Q4281">
        <v>4.4829729999999998E-2</v>
      </c>
      <c r="R4281">
        <v>-0.99053959999999996</v>
      </c>
      <c r="S4281">
        <v>0.45492549999999998</v>
      </c>
      <c r="T4281">
        <v>-0.2151276</v>
      </c>
      <c r="U4281">
        <v>-2.9803310000000001</v>
      </c>
      <c r="V4281">
        <v>-0.21276249999999999</v>
      </c>
      <c r="W4281">
        <v>5.253501E-2</v>
      </c>
      <c r="X4281">
        <v>0.97569059999999996</v>
      </c>
      <c r="Y4281">
        <v>-0.2311404</v>
      </c>
      <c r="Z4281">
        <v>7.0250220000000002E-2</v>
      </c>
      <c r="AA4281">
        <v>0.97038080000000004</v>
      </c>
      <c r="AB4281">
        <v>36</v>
      </c>
      <c r="AC4281">
        <v>2.4043999999999501</v>
      </c>
      <c r="AD4281">
        <v>-1.1252085942079999</v>
      </c>
      <c r="AE4281">
        <v>-15.230079999999999</v>
      </c>
      <c r="AF4281">
        <v>-3.6269250376767399</v>
      </c>
      <c r="AG4281">
        <v>-1.1252085942079999</v>
      </c>
      <c r="AH4281">
        <v>14.902006163808201</v>
      </c>
      <c r="AI4281">
        <v>94.196015932120204</v>
      </c>
      <c r="AJ4281">
        <v>103.678976202071</v>
      </c>
      <c r="AK4281">
        <v>15.3782465618023</v>
      </c>
      <c r="AL4281">
        <v>86.988579281673196</v>
      </c>
      <c r="AM4281">
        <v>102.301544169696</v>
      </c>
      <c r="AN4281">
        <v>0.99999997780515404</v>
      </c>
    </row>
    <row r="4282" spans="1:40" x14ac:dyDescent="0.25">
      <c r="A4282" t="str">
        <f>"20190312151624278"</f>
        <v>20190312151624278</v>
      </c>
      <c r="B4282" t="str">
        <f>"1552374984271715"</f>
        <v>1552374984271715</v>
      </c>
      <c r="C4282" t="s">
        <v>40</v>
      </c>
      <c r="D4282">
        <v>4.7574189999999996</v>
      </c>
      <c r="E4282">
        <v>0.50469419999999998</v>
      </c>
      <c r="F4282" t="s">
        <v>43</v>
      </c>
      <c r="G4282">
        <v>-422.90660000000003</v>
      </c>
      <c r="H4282" s="1">
        <v>-3.8393489999999997E-6</v>
      </c>
      <c r="I4282">
        <v>96.753789999999995</v>
      </c>
      <c r="J4282">
        <v>-424.26080000000002</v>
      </c>
      <c r="K4282">
        <v>1.125075</v>
      </c>
      <c r="L4282">
        <v>107.0415</v>
      </c>
      <c r="M4282">
        <v>-6.6533809999999999E-2</v>
      </c>
      <c r="N4282">
        <v>0</v>
      </c>
      <c r="O4282">
        <v>-0.99765099999999995</v>
      </c>
      <c r="P4282">
        <v>0.14078309999999999</v>
      </c>
      <c r="Q4282">
        <v>4.3514009999999999E-2</v>
      </c>
      <c r="R4282">
        <v>-0.98908359999999995</v>
      </c>
      <c r="S4282">
        <v>0.37567139999999999</v>
      </c>
      <c r="T4282">
        <v>-0.3165519</v>
      </c>
      <c r="U4282">
        <v>-2.9938199999999999</v>
      </c>
      <c r="V4282">
        <v>-0.2084298</v>
      </c>
      <c r="W4282">
        <v>5.1429280000000001E-2</v>
      </c>
      <c r="X4282">
        <v>0.9766842</v>
      </c>
      <c r="Y4282">
        <v>-0.1895821</v>
      </c>
      <c r="Z4282">
        <v>0.1034437</v>
      </c>
      <c r="AA4282">
        <v>0.97640059999999995</v>
      </c>
      <c r="AB4282">
        <v>36</v>
      </c>
      <c r="AC4282">
        <v>1.3541999999999901</v>
      </c>
      <c r="AD4282">
        <v>-1.1250788393490001</v>
      </c>
      <c r="AE4282">
        <v>-10.287709999999899</v>
      </c>
      <c r="AF4282">
        <v>-2.0121151561930701</v>
      </c>
      <c r="AG4282">
        <v>-1.1250788393490001</v>
      </c>
      <c r="AH4282">
        <v>10.056568799575601</v>
      </c>
      <c r="AI4282">
        <v>96.260360082330294</v>
      </c>
      <c r="AJ4282">
        <v>101.314322631799</v>
      </c>
      <c r="AK4282">
        <v>10.317411778984599</v>
      </c>
      <c r="AL4282">
        <v>87.052018752190406</v>
      </c>
      <c r="AM4282">
        <v>102.046531059941</v>
      </c>
      <c r="AN4282">
        <v>0.99999998944949897</v>
      </c>
    </row>
    <row r="4283" spans="1:40" x14ac:dyDescent="0.25">
      <c r="A4283" t="str">
        <f>"20190312151624300"</f>
        <v>20190312151624300</v>
      </c>
      <c r="B4283" t="str">
        <f>"1552374984292211"</f>
        <v>1552374984292211</v>
      </c>
      <c r="C4283" t="s">
        <v>40</v>
      </c>
      <c r="D4283">
        <v>4.6485300000000001</v>
      </c>
      <c r="E4283">
        <v>0.49310500000000002</v>
      </c>
      <c r="F4283" t="s">
        <v>43</v>
      </c>
      <c r="G4283">
        <v>-422.80919999999998</v>
      </c>
      <c r="H4283" s="1">
        <v>-3.6117129999999998E-6</v>
      </c>
      <c r="I4283">
        <v>96.265739999999994</v>
      </c>
      <c r="J4283">
        <v>-424.27390000000003</v>
      </c>
      <c r="K4283">
        <v>1.1249309999999999</v>
      </c>
      <c r="L4283">
        <v>106.69670000000001</v>
      </c>
      <c r="M4283">
        <v>-5.1556060000000001E-2</v>
      </c>
      <c r="N4283">
        <v>0</v>
      </c>
      <c r="O4283">
        <v>-0.99853769999999997</v>
      </c>
      <c r="P4283">
        <v>0.151362</v>
      </c>
      <c r="Q4283">
        <v>4.2355820000000002E-2</v>
      </c>
      <c r="R4283">
        <v>-0.98757050000000002</v>
      </c>
      <c r="S4283">
        <v>0.40271000000000001</v>
      </c>
      <c r="T4283">
        <v>-0.31212990000000002</v>
      </c>
      <c r="U4283">
        <v>-2.9895170000000002</v>
      </c>
      <c r="V4283">
        <v>-0.20416670000000001</v>
      </c>
      <c r="W4283">
        <v>5.0478290000000002E-2</v>
      </c>
      <c r="X4283">
        <v>0.9776338</v>
      </c>
      <c r="Y4283">
        <v>-0.18372169999999999</v>
      </c>
      <c r="Z4283">
        <v>0.10229480000000001</v>
      </c>
      <c r="AA4283">
        <v>0.97764110000000004</v>
      </c>
      <c r="AB4283">
        <v>36</v>
      </c>
      <c r="AC4283">
        <v>1.4647000000000501</v>
      </c>
      <c r="AD4283">
        <v>-1.1249346117129999</v>
      </c>
      <c r="AE4283">
        <v>-10.430960000000001</v>
      </c>
      <c r="AF4283">
        <v>-1.9780407406679701</v>
      </c>
      <c r="AG4283">
        <v>-1.1249346117129999</v>
      </c>
      <c r="AH4283">
        <v>10.2249363728842</v>
      </c>
      <c r="AI4283">
        <v>96.164964893162306</v>
      </c>
      <c r="AJ4283">
        <v>100.948773680673</v>
      </c>
      <c r="AK4283">
        <v>10.4750869629757</v>
      </c>
      <c r="AL4283">
        <v>87.1065772915791</v>
      </c>
      <c r="AM4283">
        <v>101.79597684713301</v>
      </c>
      <c r="AN4283">
        <v>0.99999997302632604</v>
      </c>
    </row>
    <row r="4284" spans="1:40" x14ac:dyDescent="0.25">
      <c r="A4284" t="str">
        <f>"20190312151624322"</f>
        <v>20190312151624322</v>
      </c>
      <c r="B4284" t="str">
        <f>"1552374984311732"</f>
        <v>1552374984311732</v>
      </c>
      <c r="C4284" t="s">
        <v>40</v>
      </c>
      <c r="D4284">
        <v>4.7195169999999997</v>
      </c>
      <c r="E4284">
        <v>0.49325770000000002</v>
      </c>
      <c r="F4284" t="s">
        <v>43</v>
      </c>
      <c r="G4284">
        <v>-422.05259999999998</v>
      </c>
      <c r="H4284" s="1">
        <v>-2.4722650000000001E-6</v>
      </c>
      <c r="I4284">
        <v>94.07893</v>
      </c>
      <c r="J4284">
        <v>-424.28199999999998</v>
      </c>
      <c r="K4284">
        <v>1.124773</v>
      </c>
      <c r="L4284">
        <v>106.34139999999999</v>
      </c>
      <c r="M4284">
        <v>-3.6307199999999998E-2</v>
      </c>
      <c r="N4284">
        <v>0</v>
      </c>
      <c r="O4284">
        <v>-0.99920900000000001</v>
      </c>
      <c r="P4284">
        <v>0.16186400000000001</v>
      </c>
      <c r="Q4284">
        <v>4.0573100000000001E-2</v>
      </c>
      <c r="R4284">
        <v>-0.98597869999999999</v>
      </c>
      <c r="S4284">
        <v>0.52267459999999999</v>
      </c>
      <c r="T4284">
        <v>-0.2647004</v>
      </c>
      <c r="U4284">
        <v>-2.9690089999999998</v>
      </c>
      <c r="V4284">
        <v>-0.19955919999999999</v>
      </c>
      <c r="W4284">
        <v>4.8921899999999997E-2</v>
      </c>
      <c r="X4284">
        <v>0.97866379999999997</v>
      </c>
      <c r="Y4284">
        <v>-0.20836460000000001</v>
      </c>
      <c r="Z4284">
        <v>8.7075059999999996E-2</v>
      </c>
      <c r="AA4284">
        <v>0.97416740000000002</v>
      </c>
      <c r="AB4284">
        <v>36</v>
      </c>
      <c r="AC4284">
        <v>2.2293999999999898</v>
      </c>
      <c r="AD4284">
        <v>-1.1247754722650001</v>
      </c>
      <c r="AE4284">
        <v>-12.262469999999899</v>
      </c>
      <c r="AF4284">
        <v>-2.6516088080275599</v>
      </c>
      <c r="AG4284">
        <v>-1.1247754722650001</v>
      </c>
      <c r="AH4284">
        <v>12.0750860896619</v>
      </c>
      <c r="AI4284">
        <v>95.198496344768699</v>
      </c>
      <c r="AJ4284">
        <v>102.38519384502</v>
      </c>
      <c r="AK4284">
        <v>12.413857305711399</v>
      </c>
      <c r="AL4284">
        <v>87.1958623808016</v>
      </c>
      <c r="AM4284">
        <v>101.52517209160401</v>
      </c>
      <c r="AN4284">
        <v>1.0000000300173399</v>
      </c>
    </row>
    <row r="4285" spans="1:40" x14ac:dyDescent="0.25">
      <c r="A4285" t="str">
        <f>"20190312151624344"</f>
        <v>20190312151624344</v>
      </c>
      <c r="B4285" t="str">
        <f>"1552374984341987"</f>
        <v>1552374984341987</v>
      </c>
      <c r="C4285" t="s">
        <v>40</v>
      </c>
      <c r="D4285">
        <v>4.6562919999999997</v>
      </c>
      <c r="E4285">
        <v>0.4952666</v>
      </c>
      <c r="F4285" t="s">
        <v>43</v>
      </c>
      <c r="G4285">
        <v>-421.97140000000002</v>
      </c>
      <c r="H4285" s="1">
        <v>-2.4014969999999999E-6</v>
      </c>
      <c r="I4285">
        <v>93.964320000000001</v>
      </c>
      <c r="J4285">
        <v>-424.28480000000002</v>
      </c>
      <c r="K4285">
        <v>1.124573</v>
      </c>
      <c r="L4285">
        <v>105.98009999999999</v>
      </c>
      <c r="M4285">
        <v>-2.1030569999999998E-2</v>
      </c>
      <c r="N4285">
        <v>0</v>
      </c>
      <c r="O4285">
        <v>-0.99964819999999999</v>
      </c>
      <c r="P4285">
        <v>0.1724619</v>
      </c>
      <c r="Q4285">
        <v>3.895556E-2</v>
      </c>
      <c r="R4285">
        <v>-0.9842457</v>
      </c>
      <c r="S4285">
        <v>0.55313109999999999</v>
      </c>
      <c r="T4285">
        <v>-0.26925959999999899</v>
      </c>
      <c r="U4285">
        <v>-2.962952</v>
      </c>
      <c r="V4285">
        <v>-0.19504350000000001</v>
      </c>
      <c r="W4285">
        <v>4.7529729999999999E-2</v>
      </c>
      <c r="X4285">
        <v>0.97964229999999997</v>
      </c>
      <c r="Y4285">
        <v>-0.2034222</v>
      </c>
      <c r="Z4285">
        <v>8.8765469999999999E-2</v>
      </c>
      <c r="AA4285">
        <v>0.97505900000000001</v>
      </c>
      <c r="AB4285">
        <v>36</v>
      </c>
      <c r="AC4285">
        <v>2.3134000000000001</v>
      </c>
      <c r="AD4285">
        <v>-1.124575401497</v>
      </c>
      <c r="AE4285">
        <v>-12.0157799999999</v>
      </c>
      <c r="AF4285">
        <v>-2.5441314540654498</v>
      </c>
      <c r="AG4285">
        <v>-1.124575401497</v>
      </c>
      <c r="AH4285">
        <v>11.8642543904358</v>
      </c>
      <c r="AI4285">
        <v>95.295043902546098</v>
      </c>
      <c r="AJ4285">
        <v>102.103027385606</v>
      </c>
      <c r="AK4285">
        <v>12.185967623877501</v>
      </c>
      <c r="AL4285">
        <v>87.275720793411594</v>
      </c>
      <c r="AM4285">
        <v>101.260156387527</v>
      </c>
      <c r="AN4285">
        <v>1.0000000390377</v>
      </c>
    </row>
    <row r="4286" spans="1:40" x14ac:dyDescent="0.25">
      <c r="A4286" t="str">
        <f>"20190312151624367"</f>
        <v>20190312151624367</v>
      </c>
      <c r="B4286" t="str">
        <f>"1552374984362487"</f>
        <v>1552374984362487</v>
      </c>
      <c r="C4286" t="s">
        <v>40</v>
      </c>
      <c r="D4286">
        <v>5.0728150000000003</v>
      </c>
      <c r="E4286">
        <v>0.50042169999999997</v>
      </c>
      <c r="F4286" t="s">
        <v>43</v>
      </c>
      <c r="G4286">
        <v>-421.76350000000002</v>
      </c>
      <c r="H4286" s="1">
        <v>-1.8628580000000001E-6</v>
      </c>
      <c r="I4286">
        <v>92.837729999999993</v>
      </c>
      <c r="J4286">
        <v>-424.28219999999999</v>
      </c>
      <c r="K4286">
        <v>1.124341</v>
      </c>
      <c r="L4286">
        <v>105.62050000000001</v>
      </c>
      <c r="M4286">
        <v>-6.1059080000000002E-3</v>
      </c>
      <c r="N4286">
        <v>0</v>
      </c>
      <c r="O4286">
        <v>-0.99985159999999995</v>
      </c>
      <c r="P4286">
        <v>0.18324070000000001</v>
      </c>
      <c r="Q4286">
        <v>3.9000409999999999E-2</v>
      </c>
      <c r="R4286">
        <v>-0.982294</v>
      </c>
      <c r="S4286">
        <v>0.5675964</v>
      </c>
      <c r="T4286">
        <v>-0.25316119999999998</v>
      </c>
      <c r="U4286">
        <v>-2.9585720000000002</v>
      </c>
      <c r="V4286">
        <v>-0.19113069999999999</v>
      </c>
      <c r="W4286">
        <v>4.7779309999999998E-2</v>
      </c>
      <c r="X4286">
        <v>0.98040099999999997</v>
      </c>
      <c r="Y4286">
        <v>-0.19374469999999999</v>
      </c>
      <c r="Z4286">
        <v>8.3689349999999996E-2</v>
      </c>
      <c r="AA4286">
        <v>0.97747589999999995</v>
      </c>
      <c r="AB4286">
        <v>36</v>
      </c>
      <c r="AC4286">
        <v>2.51869999999996</v>
      </c>
      <c r="AD4286">
        <v>-1.1243428628579999</v>
      </c>
      <c r="AE4286">
        <v>-12.782769999999999</v>
      </c>
      <c r="AF4286">
        <v>-2.5775177402541298</v>
      </c>
      <c r="AG4286">
        <v>-1.1243428628579999</v>
      </c>
      <c r="AH4286">
        <v>12.672771327560501</v>
      </c>
      <c r="AI4286">
        <v>94.968863889167295</v>
      </c>
      <c r="AJ4286">
        <v>101.496584412283</v>
      </c>
      <c r="AK4286">
        <v>12.9810199019654</v>
      </c>
      <c r="AL4286">
        <v>87.261404442394706</v>
      </c>
      <c r="AM4286">
        <v>101.031534993923</v>
      </c>
      <c r="AN4286">
        <v>0.99999996387378198</v>
      </c>
    </row>
    <row r="4287" spans="1:40" x14ac:dyDescent="0.25">
      <c r="A4287" t="str">
        <f>"20190312151624389"</f>
        <v>20190312151624389</v>
      </c>
      <c r="B4287" t="str">
        <f>"1552374984382014"</f>
        <v>1552374984382014</v>
      </c>
      <c r="C4287" t="s">
        <v>40</v>
      </c>
      <c r="D4287">
        <v>4.7268480000000004</v>
      </c>
      <c r="E4287">
        <v>0.50083089999999997</v>
      </c>
      <c r="F4287" t="s">
        <v>43</v>
      </c>
      <c r="G4287">
        <v>-418.22410000000002</v>
      </c>
      <c r="H4287" s="1">
        <v>-1.903473E-6</v>
      </c>
      <c r="I4287">
        <v>73.335509999999999</v>
      </c>
      <c r="J4287">
        <v>-424.27480000000003</v>
      </c>
      <c r="K4287">
        <v>1.1240870000000001</v>
      </c>
      <c r="L4287">
        <v>105.2734</v>
      </c>
      <c r="M4287">
        <v>7.9884309999999903E-3</v>
      </c>
      <c r="N4287">
        <v>0</v>
      </c>
      <c r="O4287">
        <v>-0.99983929999999999</v>
      </c>
      <c r="P4287">
        <v>0.19300600000000001</v>
      </c>
      <c r="Q4287">
        <v>3.7005059999999999E-2</v>
      </c>
      <c r="R4287">
        <v>-0.98049949999999997</v>
      </c>
      <c r="S4287">
        <v>0.55444340000000003</v>
      </c>
      <c r="T4287">
        <v>-0.1029007</v>
      </c>
      <c r="U4287">
        <v>-2.954742</v>
      </c>
      <c r="V4287">
        <v>-0.1869606</v>
      </c>
      <c r="W4287">
        <v>4.6001710000000001E-2</v>
      </c>
      <c r="X4287">
        <v>0.98128970000000004</v>
      </c>
      <c r="Y4287">
        <v>-0.17646010000000001</v>
      </c>
      <c r="Z4287">
        <v>3.4231419999999999E-2</v>
      </c>
      <c r="AA4287">
        <v>0.98371240000000004</v>
      </c>
      <c r="AB4287">
        <v>36</v>
      </c>
      <c r="AC4287">
        <v>6.0507</v>
      </c>
      <c r="AD4287">
        <v>-1.1240889034729999</v>
      </c>
      <c r="AE4287">
        <v>-31.937889999999999</v>
      </c>
      <c r="AF4287">
        <v>-5.7884183488019998</v>
      </c>
      <c r="AG4287">
        <v>-1.1240889034729999</v>
      </c>
      <c r="AH4287">
        <v>31.947008863672099</v>
      </c>
      <c r="AI4287">
        <v>91.9829209931235</v>
      </c>
      <c r="AJ4287">
        <v>100.26989769063</v>
      </c>
      <c r="AK4287">
        <v>32.486623988638797</v>
      </c>
      <c r="AL4287">
        <v>87.363365552508697</v>
      </c>
      <c r="AM4287">
        <v>100.787017917304</v>
      </c>
      <c r="AN4287">
        <v>0.99999994930068503</v>
      </c>
    </row>
    <row r="4288" spans="1:40" x14ac:dyDescent="0.25">
      <c r="A4288" t="str">
        <f>"20190312151624412"</f>
        <v>20190312151624412</v>
      </c>
      <c r="B4288" t="str">
        <f>"1552374984402499"</f>
        <v>1552374984402499</v>
      </c>
      <c r="C4288" t="s">
        <v>40</v>
      </c>
      <c r="D4288">
        <v>4.7871969999999999</v>
      </c>
      <c r="E4288">
        <v>0.50455830000000002</v>
      </c>
      <c r="F4288" t="s">
        <v>43</v>
      </c>
      <c r="G4288">
        <v>-418.18340000000001</v>
      </c>
      <c r="H4288" s="1">
        <v>-2.3241080000000001E-6</v>
      </c>
      <c r="I4288">
        <v>74.299210000000002</v>
      </c>
      <c r="J4288">
        <v>-424.26220000000001</v>
      </c>
      <c r="K4288">
        <v>1.1237820000000001</v>
      </c>
      <c r="L4288">
        <v>104.9169</v>
      </c>
      <c r="M4288">
        <v>2.2110709999999999E-2</v>
      </c>
      <c r="N4288">
        <v>0</v>
      </c>
      <c r="O4288">
        <v>-0.99962799999999996</v>
      </c>
      <c r="P4288">
        <v>0.20229179999999999</v>
      </c>
      <c r="Q4288">
        <v>3.4122640000000003E-2</v>
      </c>
      <c r="R4288">
        <v>-0.97873089999999996</v>
      </c>
      <c r="S4288">
        <v>0.5800476</v>
      </c>
      <c r="T4288">
        <v>-0.1070416</v>
      </c>
      <c r="U4288">
        <v>-2.9495239999999998</v>
      </c>
      <c r="V4288">
        <v>-0.1822587</v>
      </c>
      <c r="W4288">
        <v>4.3363140000000001E-2</v>
      </c>
      <c r="X4288">
        <v>0.982294</v>
      </c>
      <c r="Y4288">
        <v>-0.17109440000000001</v>
      </c>
      <c r="Z4288">
        <v>3.5645690000000001E-2</v>
      </c>
      <c r="AA4288">
        <v>0.98460959999999997</v>
      </c>
      <c r="AB4288">
        <v>36</v>
      </c>
      <c r="AC4288">
        <v>6.0788000000000002</v>
      </c>
      <c r="AD4288">
        <v>-1.1237843241079899</v>
      </c>
      <c r="AE4288">
        <v>-30.61769</v>
      </c>
      <c r="AF4288">
        <v>-5.3932582572097303</v>
      </c>
      <c r="AG4288">
        <v>-1.1237843241079899</v>
      </c>
      <c r="AH4288">
        <v>30.704830813341701</v>
      </c>
      <c r="AI4288">
        <v>92.064489327064507</v>
      </c>
      <c r="AJ4288">
        <v>99.962295162117002</v>
      </c>
      <c r="AK4288">
        <v>31.195140023920601</v>
      </c>
      <c r="AL4288">
        <v>87.514695919587496</v>
      </c>
      <c r="AM4288">
        <v>100.511349391953</v>
      </c>
      <c r="AN4288">
        <v>1.00000004903617</v>
      </c>
    </row>
    <row r="4289" spans="1:40" x14ac:dyDescent="0.25">
      <c r="A4289" t="str">
        <f>"20190312151624435"</f>
        <v>20190312151624435</v>
      </c>
      <c r="B4289" t="str">
        <f>"1552374984431779"</f>
        <v>1552374984431779</v>
      </c>
      <c r="C4289" t="s">
        <v>40</v>
      </c>
      <c r="D4289">
        <v>4.7755650000000003</v>
      </c>
      <c r="E4289">
        <v>0.50615679999999996</v>
      </c>
      <c r="F4289" t="s">
        <v>43</v>
      </c>
      <c r="G4289">
        <v>-421.71159999999998</v>
      </c>
      <c r="H4289" s="1">
        <v>-1.500115E-6</v>
      </c>
      <c r="I4289">
        <v>92.02431</v>
      </c>
      <c r="J4289">
        <v>-424.24380000000002</v>
      </c>
      <c r="K4289">
        <v>1.123432</v>
      </c>
      <c r="L4289">
        <v>104.54810000000001</v>
      </c>
      <c r="M4289">
        <v>3.6252769999999997E-2</v>
      </c>
      <c r="N4289">
        <v>0</v>
      </c>
      <c r="O4289">
        <v>-0.99921629999999995</v>
      </c>
      <c r="P4289">
        <v>0.2114075</v>
      </c>
      <c r="Q4289">
        <v>3.3717530000000002E-2</v>
      </c>
      <c r="R4289">
        <v>-0.97681649999999998</v>
      </c>
      <c r="S4289">
        <v>0.58428959999999996</v>
      </c>
      <c r="T4289">
        <v>-0.25743389999999999</v>
      </c>
      <c r="U4289">
        <v>-2.9533999999999998</v>
      </c>
      <c r="V4289">
        <v>-0.1774609</v>
      </c>
      <c r="W4289">
        <v>4.3211180000000002E-2</v>
      </c>
      <c r="X4289">
        <v>0.98317869999999996</v>
      </c>
      <c r="Y4289">
        <v>-0.157670799999999</v>
      </c>
      <c r="Z4289">
        <v>8.5386790000000004E-2</v>
      </c>
      <c r="AA4289">
        <v>0.98379320000000003</v>
      </c>
      <c r="AB4289">
        <v>36</v>
      </c>
      <c r="AC4289">
        <v>2.53220000000004</v>
      </c>
      <c r="AD4289">
        <v>-1.123433500115</v>
      </c>
      <c r="AE4289">
        <v>-12.52379</v>
      </c>
      <c r="AF4289">
        <v>-2.0605262026981901</v>
      </c>
      <c r="AG4289">
        <v>-1.123433500115</v>
      </c>
      <c r="AH4289">
        <v>12.5106495081173</v>
      </c>
      <c r="AI4289">
        <v>95.063437770253202</v>
      </c>
      <c r="AJ4289">
        <v>99.352750230954499</v>
      </c>
      <c r="AK4289">
        <v>12.728873562736901</v>
      </c>
      <c r="AL4289">
        <v>87.523410550246396</v>
      </c>
      <c r="AM4289">
        <v>100.231558980119</v>
      </c>
      <c r="AN4289">
        <v>0.999999966619745</v>
      </c>
    </row>
    <row r="4290" spans="1:40" x14ac:dyDescent="0.25">
      <c r="A4290" t="str">
        <f>"20190312151624457"</f>
        <v>20190312151624457</v>
      </c>
      <c r="B4290" t="str">
        <f>"1552374984452275"</f>
        <v>1552374984452275</v>
      </c>
      <c r="C4290" t="s">
        <v>40</v>
      </c>
      <c r="D4290">
        <v>4.7952640000000004</v>
      </c>
      <c r="E4290">
        <v>0.50659359999999998</v>
      </c>
      <c r="F4290" t="s">
        <v>43</v>
      </c>
      <c r="G4290">
        <v>-421.48989999999998</v>
      </c>
      <c r="H4290" s="1">
        <v>-9.9647729999999993E-7</v>
      </c>
      <c r="I4290">
        <v>90.987870000000001</v>
      </c>
      <c r="J4290">
        <v>-424.22160000000002</v>
      </c>
      <c r="K4290">
        <v>1.1230789999999999</v>
      </c>
      <c r="L4290">
        <v>104.19670000000001</v>
      </c>
      <c r="M4290">
        <v>4.9264860000000001E-2</v>
      </c>
      <c r="N4290">
        <v>0</v>
      </c>
      <c r="O4290">
        <v>-0.99866069999999996</v>
      </c>
      <c r="P4290">
        <v>0.21942210000000001</v>
      </c>
      <c r="Q4290">
        <v>3.5160799999999999E-2</v>
      </c>
      <c r="R4290">
        <v>-0.97499669999999905</v>
      </c>
      <c r="S4290">
        <v>0.59912109999999996</v>
      </c>
      <c r="T4290">
        <v>-0.2443997</v>
      </c>
      <c r="U4290">
        <v>-2.9499819999999999</v>
      </c>
      <c r="V4290">
        <v>-0.17273669999999999</v>
      </c>
      <c r="W4290">
        <v>4.490326E-2</v>
      </c>
      <c r="X4290">
        <v>0.98394389999999998</v>
      </c>
      <c r="Y4290">
        <v>-0.14984700000000001</v>
      </c>
      <c r="Z4290">
        <v>8.1127050000000006E-2</v>
      </c>
      <c r="AA4290">
        <v>0.98537520000000001</v>
      </c>
      <c r="AB4290">
        <v>36</v>
      </c>
      <c r="AC4290">
        <v>2.73170000000004</v>
      </c>
      <c r="AD4290">
        <v>-1.1230799964772999</v>
      </c>
      <c r="AE4290">
        <v>-13.208830000000001</v>
      </c>
      <c r="AF4290">
        <v>-2.0632656949584498</v>
      </c>
      <c r="AG4290">
        <v>-1.1230799964772999</v>
      </c>
      <c r="AH4290">
        <v>13.2356218102725</v>
      </c>
      <c r="AI4290">
        <v>94.792484465290897</v>
      </c>
      <c r="AJ4290">
        <v>98.860373578553407</v>
      </c>
      <c r="AK4290">
        <v>13.442472194914201</v>
      </c>
      <c r="AL4290">
        <v>87.426367181426002</v>
      </c>
      <c r="AM4290">
        <v>99.957121056118496</v>
      </c>
      <c r="AN4290">
        <v>0.99999993431636103</v>
      </c>
    </row>
    <row r="4291" spans="1:40" x14ac:dyDescent="0.25">
      <c r="A4291" t="str">
        <f>"20190312151624479"</f>
        <v>20190312151624479</v>
      </c>
      <c r="B4291" t="str">
        <f>"1552374984471795"</f>
        <v>1552374984471795</v>
      </c>
      <c r="C4291" t="s">
        <v>40</v>
      </c>
      <c r="D4291">
        <v>4.7073159999999996</v>
      </c>
      <c r="E4291">
        <v>0.50906030000000002</v>
      </c>
      <c r="F4291" t="s">
        <v>43</v>
      </c>
      <c r="G4291">
        <v>-421.28750000000002</v>
      </c>
      <c r="H4291" s="1">
        <v>-6.249398E-7</v>
      </c>
      <c r="I4291">
        <v>90.247330000000005</v>
      </c>
      <c r="J4291">
        <v>-424.1952</v>
      </c>
      <c r="K4291">
        <v>1.122727</v>
      </c>
      <c r="L4291">
        <v>103.8477</v>
      </c>
      <c r="M4291">
        <v>6.1769789999999998E-2</v>
      </c>
      <c r="N4291">
        <v>0</v>
      </c>
      <c r="O4291">
        <v>-0.99796640000000003</v>
      </c>
      <c r="P4291">
        <v>0.2264727</v>
      </c>
      <c r="Q4291">
        <v>3.6511759999999997E-2</v>
      </c>
      <c r="R4291">
        <v>-0.973333</v>
      </c>
      <c r="S4291">
        <v>0.61965939999999997</v>
      </c>
      <c r="T4291">
        <v>-0.23718710000000001</v>
      </c>
      <c r="U4291">
        <v>-2.9460139999999999</v>
      </c>
      <c r="V4291">
        <v>-0.16753470000000001</v>
      </c>
      <c r="W4291">
        <v>4.6513289999999999E-2</v>
      </c>
      <c r="X4291">
        <v>0.98476830000000004</v>
      </c>
      <c r="Y4291">
        <v>-0.14434710000000001</v>
      </c>
      <c r="Z4291">
        <v>7.8746869999999997E-2</v>
      </c>
      <c r="AA4291">
        <v>0.98638879999999995</v>
      </c>
      <c r="AB4291">
        <v>36</v>
      </c>
      <c r="AC4291">
        <v>2.90769999999997</v>
      </c>
      <c r="AD4291">
        <v>-1.1227276249397999</v>
      </c>
      <c r="AE4291">
        <v>-13.6003699999999</v>
      </c>
      <c r="AF4291">
        <v>-2.0485997581104902</v>
      </c>
      <c r="AG4291">
        <v>-1.1227276249397999</v>
      </c>
      <c r="AH4291">
        <v>13.664970514621301</v>
      </c>
      <c r="AI4291">
        <v>94.645249050935902</v>
      </c>
      <c r="AJ4291">
        <v>98.526066971708502</v>
      </c>
      <c r="AK4291">
        <v>13.8632138212682</v>
      </c>
      <c r="AL4291">
        <v>87.334022856416794</v>
      </c>
      <c r="AM4291">
        <v>99.655062124949794</v>
      </c>
      <c r="AN4291">
        <v>0.99999998326780104</v>
      </c>
    </row>
    <row r="4292" spans="1:40" x14ac:dyDescent="0.25">
      <c r="A4292" t="str">
        <f>"20190312151624502"</f>
        <v>20190312151624502</v>
      </c>
      <c r="B4292" t="str">
        <f>"1552374984492292"</f>
        <v>1552374984492292</v>
      </c>
      <c r="C4292" t="s">
        <v>40</v>
      </c>
      <c r="D4292">
        <v>4.745234</v>
      </c>
      <c r="E4292">
        <v>0.50800059999999903</v>
      </c>
      <c r="F4292" t="s">
        <v>43</v>
      </c>
      <c r="G4292">
        <v>-414.68970000000002</v>
      </c>
      <c r="H4292" s="1">
        <v>-4.7198720000000004E-6</v>
      </c>
      <c r="I4292">
        <v>58.439160000000001</v>
      </c>
      <c r="J4292">
        <v>-424.16430000000003</v>
      </c>
      <c r="K4292">
        <v>1.122349</v>
      </c>
      <c r="L4292">
        <v>103.4965</v>
      </c>
      <c r="M4292">
        <v>7.3884899999999906E-2</v>
      </c>
      <c r="N4292">
        <v>0</v>
      </c>
      <c r="O4292">
        <v>-0.99714400000000003</v>
      </c>
      <c r="P4292">
        <v>0.2353818</v>
      </c>
      <c r="Q4292">
        <v>3.7502069999999998E-2</v>
      </c>
      <c r="R4292">
        <v>-0.97117929999999997</v>
      </c>
      <c r="S4292">
        <v>0.61578369999999905</v>
      </c>
      <c r="T4292">
        <v>-7.2732569999999996E-2</v>
      </c>
      <c r="U4292">
        <v>-2.9416500000000001</v>
      </c>
      <c r="V4292">
        <v>-0.16458439999999999</v>
      </c>
      <c r="W4292">
        <v>4.7685480000000002E-2</v>
      </c>
      <c r="X4292">
        <v>0.98520960000000002</v>
      </c>
      <c r="Y4292">
        <v>-0.13194500000000001</v>
      </c>
      <c r="Z4292">
        <v>2.424581E-2</v>
      </c>
      <c r="AA4292">
        <v>0.99096050000000002</v>
      </c>
      <c r="AB4292">
        <v>36</v>
      </c>
      <c r="AC4292">
        <v>9.4746000000000095</v>
      </c>
      <c r="AD4292">
        <v>-1.1223537198719999</v>
      </c>
      <c r="AE4292">
        <v>-45.057340000000003</v>
      </c>
      <c r="AF4292">
        <v>-6.1155987903937197</v>
      </c>
      <c r="AG4292">
        <v>-1.1223537198719999</v>
      </c>
      <c r="AH4292">
        <v>45.607173476055898</v>
      </c>
      <c r="AI4292">
        <v>91.397215220935095</v>
      </c>
      <c r="AJ4292">
        <v>97.637399683994801</v>
      </c>
      <c r="AK4292">
        <v>46.029061460262596</v>
      </c>
      <c r="AL4292">
        <v>87.266786582866601</v>
      </c>
      <c r="AM4292">
        <v>99.483981253819906</v>
      </c>
      <c r="AN4292">
        <v>0.99999994282917304</v>
      </c>
    </row>
    <row r="4293" spans="1:40" x14ac:dyDescent="0.25">
      <c r="A4293" t="str">
        <f>"20190312151624524"</f>
        <v>20190312151624524</v>
      </c>
      <c r="B4293" t="str">
        <f>"1552374984522548"</f>
        <v>1552374984522548</v>
      </c>
      <c r="C4293" t="s">
        <v>40</v>
      </c>
      <c r="D4293">
        <v>4.66493</v>
      </c>
      <c r="E4293">
        <v>0.50964860000000001</v>
      </c>
      <c r="F4293" t="s">
        <v>43</v>
      </c>
      <c r="G4293">
        <v>-413.31330000000003</v>
      </c>
      <c r="H4293" s="1">
        <v>-3.4600419999999998E-6</v>
      </c>
      <c r="I4293">
        <v>54.587409999999998</v>
      </c>
      <c r="J4293">
        <v>-424.12869999999998</v>
      </c>
      <c r="K4293">
        <v>1.12192</v>
      </c>
      <c r="L4293">
        <v>103.13849999999999</v>
      </c>
      <c r="M4293">
        <v>8.5689059999999997E-2</v>
      </c>
      <c r="N4293">
        <v>0</v>
      </c>
      <c r="O4293">
        <v>-0.99620050000000004</v>
      </c>
      <c r="P4293">
        <v>0.24103269999999999</v>
      </c>
      <c r="Q4293">
        <v>3.9186029999999997E-2</v>
      </c>
      <c r="R4293">
        <v>-0.96972579999999997</v>
      </c>
      <c r="S4293">
        <v>0.65090939999999997</v>
      </c>
      <c r="T4293">
        <v>-6.7325590000000005E-2</v>
      </c>
      <c r="U4293">
        <v>-2.9338679999999999</v>
      </c>
      <c r="V4293">
        <v>-0.15865209999999999</v>
      </c>
      <c r="W4293">
        <v>4.9659630000000003E-2</v>
      </c>
      <c r="X4293">
        <v>0.98608490000000004</v>
      </c>
      <c r="Y4293">
        <v>-0.13207729999999901</v>
      </c>
      <c r="Z4293">
        <v>2.2442320000000002E-2</v>
      </c>
      <c r="AA4293">
        <v>0.99098529999999996</v>
      </c>
      <c r="AB4293">
        <v>36</v>
      </c>
      <c r="AC4293">
        <v>10.815399999999901</v>
      </c>
      <c r="AD4293">
        <v>-1.1219234600420001</v>
      </c>
      <c r="AE4293">
        <v>-48.551090000000002</v>
      </c>
      <c r="AF4293">
        <v>-6.6114463946609998</v>
      </c>
      <c r="AG4293">
        <v>-1.1219234600420001</v>
      </c>
      <c r="AH4293">
        <v>49.274278170092501</v>
      </c>
      <c r="AI4293">
        <v>91.292758164207996</v>
      </c>
      <c r="AJ4293">
        <v>97.642099836504997</v>
      </c>
      <c r="AK4293">
        <v>49.728507165038899</v>
      </c>
      <c r="AL4293">
        <v>87.153542035409004</v>
      </c>
      <c r="AM4293">
        <v>99.140041406568102</v>
      </c>
      <c r="AN4293">
        <v>0.99999999884707802</v>
      </c>
    </row>
    <row r="4294" spans="1:40" x14ac:dyDescent="0.25">
      <c r="A4294" t="str">
        <f>"20190312151624539"</f>
        <v>20190312151624539</v>
      </c>
      <c r="B4294" t="str">
        <f>"1552374984532307"</f>
        <v>1552374984532307</v>
      </c>
      <c r="C4294" t="s">
        <v>40</v>
      </c>
      <c r="D4294">
        <v>4.6653260000000003</v>
      </c>
      <c r="E4294">
        <v>0.5100616</v>
      </c>
      <c r="F4294" t="s">
        <v>43</v>
      </c>
      <c r="G4294">
        <v>-420.39120000000003</v>
      </c>
      <c r="H4294" s="1">
        <v>-3.0685029999999998E-6</v>
      </c>
      <c r="I4294">
        <v>86.499209999999906</v>
      </c>
      <c r="J4294">
        <v>-424.10379999999998</v>
      </c>
      <c r="K4294">
        <v>1.121621</v>
      </c>
      <c r="L4294">
        <v>102.9091</v>
      </c>
      <c r="M4294">
        <v>9.2936119999999997E-2</v>
      </c>
      <c r="N4294">
        <v>0</v>
      </c>
      <c r="O4294">
        <v>-0.99555130000000003</v>
      </c>
      <c r="P4294">
        <v>0.2448719</v>
      </c>
      <c r="Q4294">
        <v>3.9974889999999999E-2</v>
      </c>
      <c r="R4294">
        <v>-0.96873109999999996</v>
      </c>
      <c r="S4294">
        <v>0.65985109999999902</v>
      </c>
      <c r="T4294">
        <v>-0.1980751</v>
      </c>
      <c r="U4294">
        <v>-2.9376530000000001</v>
      </c>
      <c r="V4294">
        <v>-0.15536739999999999</v>
      </c>
      <c r="W4294">
        <v>5.0617830000000003E-2</v>
      </c>
      <c r="X4294">
        <v>0.98655910000000002</v>
      </c>
      <c r="Y4294">
        <v>-0.12704589999999999</v>
      </c>
      <c r="Z4294">
        <v>6.5751270000000001E-2</v>
      </c>
      <c r="AA4294">
        <v>0.98971520000000002</v>
      </c>
      <c r="AB4294">
        <v>36</v>
      </c>
      <c r="AC4294">
        <v>3.7125999999999499</v>
      </c>
      <c r="AD4294">
        <v>-1.1216240685029999</v>
      </c>
      <c r="AE4294">
        <v>-16.409890000000001</v>
      </c>
      <c r="AF4294">
        <v>-2.1616662389636598</v>
      </c>
      <c r="AG4294">
        <v>-1.1216240685029999</v>
      </c>
      <c r="AH4294">
        <v>16.6101077976829</v>
      </c>
      <c r="AI4294">
        <v>93.830916255220401</v>
      </c>
      <c r="AJ4294">
        <v>97.414891027709302</v>
      </c>
      <c r="AK4294">
        <v>16.787689612640701</v>
      </c>
      <c r="AL4294">
        <v>87.098572157651503</v>
      </c>
      <c r="AM4294">
        <v>98.949671291748103</v>
      </c>
      <c r="AN4294">
        <v>1.0000000257447299</v>
      </c>
    </row>
    <row r="4295" spans="1:40" x14ac:dyDescent="0.25">
      <c r="A4295" t="str">
        <f>"20190312151624557"</f>
        <v>20190312151624557</v>
      </c>
      <c r="B4295" t="str">
        <f>"1552374984551831"</f>
        <v>1552374984551831</v>
      </c>
      <c r="C4295" t="s">
        <v>40</v>
      </c>
      <c r="D4295">
        <v>4.7088469999999996</v>
      </c>
      <c r="E4295">
        <v>0.51139040000000002</v>
      </c>
      <c r="F4295" t="s">
        <v>43</v>
      </c>
      <c r="G4295">
        <v>-420.29730000000001</v>
      </c>
      <c r="H4295" s="1">
        <v>-2.9092800000000001E-6</v>
      </c>
      <c r="I4295">
        <v>86.18629</v>
      </c>
      <c r="J4295">
        <v>-424.07</v>
      </c>
      <c r="K4295">
        <v>1.1211949999999999</v>
      </c>
      <c r="L4295">
        <v>102.6182</v>
      </c>
      <c r="M4295">
        <v>0.1017354</v>
      </c>
      <c r="N4295">
        <v>0</v>
      </c>
      <c r="O4295">
        <v>-0.99469209999999997</v>
      </c>
      <c r="P4295">
        <v>0.24731729999999999</v>
      </c>
      <c r="Q4295">
        <v>4.0453910000000003E-2</v>
      </c>
      <c r="R4295">
        <v>-0.96808989999999995</v>
      </c>
      <c r="S4295">
        <v>0.66830440000000002</v>
      </c>
      <c r="T4295">
        <v>-0.1969236</v>
      </c>
      <c r="U4295">
        <v>-2.936035</v>
      </c>
      <c r="V4295">
        <v>-0.14909040000000001</v>
      </c>
      <c r="W4295">
        <v>5.1381660000000003E-2</v>
      </c>
      <c r="X4295">
        <v>0.98748769999999997</v>
      </c>
      <c r="Y4295">
        <v>-0.12110700000000001</v>
      </c>
      <c r="Z4295">
        <v>6.532512E-2</v>
      </c>
      <c r="AA4295">
        <v>0.99048760000000002</v>
      </c>
      <c r="AB4295">
        <v>36</v>
      </c>
      <c r="AC4295">
        <v>3.77269999999998</v>
      </c>
      <c r="AD4295">
        <v>-1.12119790928</v>
      </c>
      <c r="AE4295">
        <v>-16.431909999999998</v>
      </c>
      <c r="AF4295">
        <v>-2.0720512841244001</v>
      </c>
      <c r="AG4295">
        <v>-1.12119790928</v>
      </c>
      <c r="AH4295">
        <v>16.656828823631599</v>
      </c>
      <c r="AI4295">
        <v>93.821496028059599</v>
      </c>
      <c r="AJ4295">
        <v>97.090968052291899</v>
      </c>
      <c r="AK4295">
        <v>16.822616554376399</v>
      </c>
      <c r="AL4295">
        <v>87.054750790996707</v>
      </c>
      <c r="AM4295">
        <v>98.585644027694499</v>
      </c>
      <c r="AN4295">
        <v>0.99999999000390205</v>
      </c>
    </row>
    <row r="4296" spans="1:40" x14ac:dyDescent="0.25">
      <c r="A4296" t="str">
        <f>"20190312151624580"</f>
        <v>20190312151624580</v>
      </c>
      <c r="B4296" t="str">
        <f>"1552374984572324"</f>
        <v>1552374984572324</v>
      </c>
      <c r="C4296" t="s">
        <v>40</v>
      </c>
      <c r="D4296">
        <v>4.6776169999999997</v>
      </c>
      <c r="E4296">
        <v>0.51231070000000001</v>
      </c>
      <c r="F4296" t="s">
        <v>43</v>
      </c>
      <c r="G4296">
        <v>-420.16410000000002</v>
      </c>
      <c r="H4296" s="1">
        <v>-2.5158300000000001E-6</v>
      </c>
      <c r="I4296">
        <v>85.35181</v>
      </c>
      <c r="J4296">
        <v>-424.02539999999999</v>
      </c>
      <c r="K4296">
        <v>1.1206119999999999</v>
      </c>
      <c r="L4296">
        <v>102.26309999999999</v>
      </c>
      <c r="M4296">
        <v>0.1118097</v>
      </c>
      <c r="N4296">
        <v>0</v>
      </c>
      <c r="O4296">
        <v>-0.99361140000000003</v>
      </c>
      <c r="P4296">
        <v>0.25060110000000002</v>
      </c>
      <c r="Q4296">
        <v>3.8627040000000001E-2</v>
      </c>
      <c r="R4296">
        <v>-0.96731940000000005</v>
      </c>
      <c r="S4296">
        <v>0.66442869999999998</v>
      </c>
      <c r="T4296">
        <v>-0.19072349999999999</v>
      </c>
      <c r="U4296">
        <v>-2.9371339999999999</v>
      </c>
      <c r="V4296">
        <v>-0.14229330000000001</v>
      </c>
      <c r="W4296">
        <v>4.9875370000000002E-2</v>
      </c>
      <c r="X4296">
        <v>0.98856719999999998</v>
      </c>
      <c r="Y4296">
        <v>-0.1097476</v>
      </c>
      <c r="Z4296">
        <v>6.3202060000000004E-2</v>
      </c>
      <c r="AA4296">
        <v>0.9919481</v>
      </c>
      <c r="AB4296">
        <v>36</v>
      </c>
      <c r="AC4296">
        <v>3.8612999999999702</v>
      </c>
      <c r="AD4296">
        <v>-1.12061451583</v>
      </c>
      <c r="AE4296">
        <v>-16.911289999999902</v>
      </c>
      <c r="AF4296">
        <v>-1.9379263742484401</v>
      </c>
      <c r="AG4296">
        <v>-1.12061451583</v>
      </c>
      <c r="AH4296">
        <v>17.165368921720301</v>
      </c>
      <c r="AI4296">
        <v>93.711653254206396</v>
      </c>
      <c r="AJ4296">
        <v>96.441273317553893</v>
      </c>
      <c r="AK4296">
        <v>17.310725742841001</v>
      </c>
      <c r="AL4296">
        <v>87.141165774735299</v>
      </c>
      <c r="AM4296">
        <v>98.190835050277201</v>
      </c>
      <c r="AN4296">
        <v>1.0000000223366801</v>
      </c>
    </row>
    <row r="4297" spans="1:40" x14ac:dyDescent="0.25">
      <c r="A4297" t="str">
        <f>"20190312151624602"</f>
        <v>20190312151624602</v>
      </c>
      <c r="B4297" t="str">
        <f>"1552374984591844"</f>
        <v>1552374984591844</v>
      </c>
      <c r="C4297" t="s">
        <v>40</v>
      </c>
      <c r="D4297">
        <v>4.6691370000000001</v>
      </c>
      <c r="E4297">
        <v>0.51340959999999902</v>
      </c>
      <c r="F4297" t="s">
        <v>43</v>
      </c>
      <c r="G4297">
        <v>-420.1857</v>
      </c>
      <c r="H4297" s="1">
        <v>-2.5238209999999998E-6</v>
      </c>
      <c r="I4297">
        <v>85.357050000000001</v>
      </c>
      <c r="J4297">
        <v>-423.97800000000001</v>
      </c>
      <c r="K4297">
        <v>1.1199920000000001</v>
      </c>
      <c r="L4297">
        <v>101.91160000000001</v>
      </c>
      <c r="M4297">
        <v>0.12109739999999999</v>
      </c>
      <c r="N4297">
        <v>0</v>
      </c>
      <c r="O4297">
        <v>-0.99252390000000001</v>
      </c>
      <c r="P4297">
        <v>0.25207849999999998</v>
      </c>
      <c r="Q4297">
        <v>3.6729020000000001E-2</v>
      </c>
      <c r="R4297">
        <v>-0.96700969999999997</v>
      </c>
      <c r="S4297">
        <v>0.66690059999999995</v>
      </c>
      <c r="T4297">
        <v>-0.19463459999999999</v>
      </c>
      <c r="U4297">
        <v>-2.93634</v>
      </c>
      <c r="V4297">
        <v>-0.1344129</v>
      </c>
      <c r="W4297">
        <v>4.8319899999999999E-2</v>
      </c>
      <c r="X4297">
        <v>0.98974660000000003</v>
      </c>
      <c r="Y4297">
        <v>-0.10128230000000001</v>
      </c>
      <c r="Z4297">
        <v>6.4427170000000006E-2</v>
      </c>
      <c r="AA4297">
        <v>0.99276940000000002</v>
      </c>
      <c r="AB4297">
        <v>36</v>
      </c>
      <c r="AC4297">
        <v>3.7923000000000102</v>
      </c>
      <c r="AD4297">
        <v>-1.1199945238210001</v>
      </c>
      <c r="AE4297">
        <v>-16.554549999999999</v>
      </c>
      <c r="AF4297">
        <v>-1.7518207105235599</v>
      </c>
      <c r="AG4297">
        <v>-1.1199945238210001</v>
      </c>
      <c r="AH4297">
        <v>16.818837211422</v>
      </c>
      <c r="AI4297">
        <v>93.789357460210496</v>
      </c>
      <c r="AJ4297">
        <v>95.946386191225201</v>
      </c>
      <c r="AK4297">
        <v>16.946874304116498</v>
      </c>
      <c r="AL4297">
        <v>87.230395160330104</v>
      </c>
      <c r="AM4297">
        <v>97.733761113510496</v>
      </c>
      <c r="AN4297">
        <v>0.99999998631698905</v>
      </c>
    </row>
    <row r="4298" spans="1:40" x14ac:dyDescent="0.25">
      <c r="A4298" t="str">
        <f>"20190312151624625"</f>
        <v>20190312151624625</v>
      </c>
      <c r="B4298" t="str">
        <f>"1552374984622100"</f>
        <v>1552374984622100</v>
      </c>
      <c r="C4298" t="s">
        <v>40</v>
      </c>
      <c r="D4298">
        <v>4.674976</v>
      </c>
      <c r="E4298">
        <v>0.51967589999999997</v>
      </c>
      <c r="F4298" t="s">
        <v>43</v>
      </c>
      <c r="G4298">
        <v>-420.32929999999999</v>
      </c>
      <c r="H4298" s="1">
        <v>-2.7223850000000002E-6</v>
      </c>
      <c r="I4298">
        <v>85.730829999999997</v>
      </c>
      <c r="J4298">
        <v>-423.92720000000003</v>
      </c>
      <c r="K4298">
        <v>1.1193249999999999</v>
      </c>
      <c r="L4298">
        <v>101.556</v>
      </c>
      <c r="M4298">
        <v>0.12976509999999999</v>
      </c>
      <c r="N4298">
        <v>0</v>
      </c>
      <c r="O4298">
        <v>-0.99142920000000001</v>
      </c>
      <c r="P4298">
        <v>0.25284889999999999</v>
      </c>
      <c r="Q4298">
        <v>3.4844130000000001E-2</v>
      </c>
      <c r="R4298">
        <v>-0.96687809999999996</v>
      </c>
      <c r="S4298">
        <v>0.66238399999999997</v>
      </c>
      <c r="T4298">
        <v>-0.20332030000000001</v>
      </c>
      <c r="U4298">
        <v>-2.937408</v>
      </c>
      <c r="V4298">
        <v>-0.12641040000000001</v>
      </c>
      <c r="W4298">
        <v>4.6770029999999997E-2</v>
      </c>
      <c r="X4298">
        <v>0.9908749</v>
      </c>
      <c r="Y4298">
        <v>-9.1013650000000001E-2</v>
      </c>
      <c r="Z4298">
        <v>6.7199399999999895E-2</v>
      </c>
      <c r="AA4298">
        <v>0.99357969999999896</v>
      </c>
      <c r="AB4298">
        <v>36</v>
      </c>
      <c r="AC4298">
        <v>3.5979000000000299</v>
      </c>
      <c r="AD4298">
        <v>-1.119327722385</v>
      </c>
      <c r="AE4298">
        <v>-15.8251699999999</v>
      </c>
      <c r="AF4298">
        <v>-1.5065153530580599</v>
      </c>
      <c r="AG4298">
        <v>-1.119327722385</v>
      </c>
      <c r="AH4298">
        <v>16.081768544955601</v>
      </c>
      <c r="AI4298">
        <v>93.964195118979305</v>
      </c>
      <c r="AJ4298">
        <v>95.351761934987707</v>
      </c>
      <c r="AK4298">
        <v>16.190916051682301</v>
      </c>
      <c r="AL4298">
        <v>87.319296879825302</v>
      </c>
      <c r="AM4298">
        <v>97.270210373807402</v>
      </c>
      <c r="AN4298">
        <v>1.0000000461921801</v>
      </c>
    </row>
    <row r="4299" spans="1:40" x14ac:dyDescent="0.25">
      <c r="A4299" t="str">
        <f>"20190312151624647"</f>
        <v>20190312151624647</v>
      </c>
      <c r="B4299" t="str">
        <f>"1552374984642596"</f>
        <v>1552374984642596</v>
      </c>
      <c r="C4299" t="s">
        <v>40</v>
      </c>
      <c r="D4299">
        <v>4.6451760000000002</v>
      </c>
      <c r="E4299">
        <v>0.52045580000000002</v>
      </c>
      <c r="F4299" t="s">
        <v>43</v>
      </c>
      <c r="G4299">
        <v>-420.65019999999998</v>
      </c>
      <c r="H4299" s="1">
        <v>-2.8660140000000001E-6</v>
      </c>
      <c r="I4299">
        <v>85.866569999999996</v>
      </c>
      <c r="J4299">
        <v>-423.87389999999999</v>
      </c>
      <c r="K4299">
        <v>1.118619</v>
      </c>
      <c r="L4299">
        <v>101.20099999999999</v>
      </c>
      <c r="M4299">
        <v>0.13762060000000001</v>
      </c>
      <c r="N4299">
        <v>0</v>
      </c>
      <c r="O4299">
        <v>-0.990371</v>
      </c>
      <c r="P4299">
        <v>0.25318829999999998</v>
      </c>
      <c r="Q4299">
        <v>3.3055889999999997E-2</v>
      </c>
      <c r="R4299">
        <v>-0.9668523</v>
      </c>
      <c r="S4299">
        <v>0.61599729999999997</v>
      </c>
      <c r="T4299">
        <v>-0.2104076</v>
      </c>
      <c r="U4299">
        <v>-2.949249</v>
      </c>
      <c r="V4299">
        <v>-0.1187638</v>
      </c>
      <c r="W4299">
        <v>4.5294349999999997E-2</v>
      </c>
      <c r="X4299">
        <v>0.99188889999999996</v>
      </c>
      <c r="Y4299">
        <v>-6.7282919999999996E-2</v>
      </c>
      <c r="Z4299">
        <v>6.9327979999999997E-2</v>
      </c>
      <c r="AA4299">
        <v>0.99532240000000005</v>
      </c>
      <c r="AB4299">
        <v>36</v>
      </c>
      <c r="AC4299">
        <v>3.2237</v>
      </c>
      <c r="AD4299">
        <v>-1.1186218660139999</v>
      </c>
      <c r="AE4299">
        <v>-15.334429999999999</v>
      </c>
      <c r="AF4299">
        <v>-1.0769593383317699</v>
      </c>
      <c r="AG4299">
        <v>-1.1186218660139999</v>
      </c>
      <c r="AH4299">
        <v>15.552926276533301</v>
      </c>
      <c r="AI4299">
        <v>94.104039078377795</v>
      </c>
      <c r="AJ4299">
        <v>93.961112151499293</v>
      </c>
      <c r="AK4299">
        <v>15.6302486243445</v>
      </c>
      <c r="AL4299">
        <v>87.403936732317305</v>
      </c>
      <c r="AM4299">
        <v>96.827804105870996</v>
      </c>
      <c r="AN4299">
        <v>1.0000000041377799</v>
      </c>
    </row>
    <row r="4300" spans="1:40" x14ac:dyDescent="0.25">
      <c r="A4300" t="str">
        <f>"20190312151624669"</f>
        <v>20190312151624669</v>
      </c>
      <c r="B4300" t="str">
        <f>"1552374984662115"</f>
        <v>1552374984662115</v>
      </c>
      <c r="C4300" t="s">
        <v>40</v>
      </c>
      <c r="D4300">
        <v>4.7108189999999999</v>
      </c>
      <c r="E4300">
        <v>0.52080539999999997</v>
      </c>
      <c r="F4300" t="s">
        <v>43</v>
      </c>
      <c r="G4300">
        <v>-420.61950000000002</v>
      </c>
      <c r="H4300" s="1">
        <v>-2.6844230000000001E-6</v>
      </c>
      <c r="I4300">
        <v>85.462329999999994</v>
      </c>
      <c r="J4300">
        <v>-423.81889999999999</v>
      </c>
      <c r="K4300">
        <v>1.117872</v>
      </c>
      <c r="L4300">
        <v>100.84990000000001</v>
      </c>
      <c r="M4300">
        <v>0.1445534</v>
      </c>
      <c r="N4300">
        <v>0</v>
      </c>
      <c r="O4300">
        <v>-0.98938419999999905</v>
      </c>
      <c r="P4300">
        <v>0.25250080000000003</v>
      </c>
      <c r="Q4300">
        <v>3.0292940000000001E-2</v>
      </c>
      <c r="R4300">
        <v>-0.9671227</v>
      </c>
      <c r="S4300">
        <v>0.61004639999999999</v>
      </c>
      <c r="T4300">
        <v>-0.20968809999999999</v>
      </c>
      <c r="U4300">
        <v>-2.950256</v>
      </c>
      <c r="V4300">
        <v>-0.1109488</v>
      </c>
      <c r="W4300">
        <v>4.2832929999999998E-2</v>
      </c>
      <c r="X4300">
        <v>0.99290259999999997</v>
      </c>
      <c r="Y4300">
        <v>-5.8304469999999997E-2</v>
      </c>
      <c r="Z4300">
        <v>6.8999679999999994E-2</v>
      </c>
      <c r="AA4300">
        <v>0.99591149999999995</v>
      </c>
      <c r="AB4300">
        <v>36</v>
      </c>
      <c r="AC4300">
        <v>3.1993999999999598</v>
      </c>
      <c r="AD4300">
        <v>-1.1178746844230001</v>
      </c>
      <c r="AE4300">
        <v>-15.387569999999901</v>
      </c>
      <c r="AF4300">
        <v>-0.93647765230237101</v>
      </c>
      <c r="AG4300">
        <v>-1.1178746844230001</v>
      </c>
      <c r="AH4300">
        <v>15.609485308895399</v>
      </c>
      <c r="AI4300">
        <v>94.088922070408202</v>
      </c>
      <c r="AJ4300">
        <v>93.433295833017894</v>
      </c>
      <c r="AK4300">
        <v>15.677457249565601</v>
      </c>
      <c r="AL4300">
        <v>87.545102685376406</v>
      </c>
      <c r="AM4300">
        <v>96.375888747312899</v>
      </c>
      <c r="AN4300">
        <v>0.99999993460029002</v>
      </c>
    </row>
    <row r="4301" spans="1:40" x14ac:dyDescent="0.25">
      <c r="A4301" t="str">
        <f>"20190312151624692"</f>
        <v>20190312151624692</v>
      </c>
      <c r="B4301" t="str">
        <f>"1552374984682612"</f>
        <v>1552374984682612</v>
      </c>
      <c r="C4301" t="s">
        <v>40</v>
      </c>
      <c r="D4301">
        <v>4.65097</v>
      </c>
      <c r="E4301">
        <v>0.5214413</v>
      </c>
      <c r="F4301" t="s">
        <v>64</v>
      </c>
      <c r="G4301">
        <v>-405.23430000000002</v>
      </c>
      <c r="H4301">
        <v>4.3501280000000003E-2</v>
      </c>
      <c r="I4301">
        <v>9.6162379999999992</v>
      </c>
      <c r="J4301">
        <v>-423.76299999999998</v>
      </c>
      <c r="K4301">
        <v>1.1170949999999999</v>
      </c>
      <c r="L4301">
        <v>100.5046</v>
      </c>
      <c r="M4301">
        <v>0.15052409999999999</v>
      </c>
      <c r="N4301">
        <v>0</v>
      </c>
      <c r="O4301">
        <v>-0.98849480000000001</v>
      </c>
      <c r="P4301">
        <v>0.25011119999999998</v>
      </c>
      <c r="Q4301">
        <v>2.73428E-2</v>
      </c>
      <c r="R4301">
        <v>-0.967831</v>
      </c>
      <c r="S4301">
        <v>0.60018919999999998</v>
      </c>
      <c r="T4301">
        <v>-3.4696699999999997E-2</v>
      </c>
      <c r="U4301">
        <v>-2.9463810000000001</v>
      </c>
      <c r="V4301">
        <v>-0.1023415</v>
      </c>
      <c r="W4301">
        <v>4.0183040000000003E-2</v>
      </c>
      <c r="X4301">
        <v>0.99393739999999997</v>
      </c>
      <c r="Y4301">
        <v>-4.9805410000000001E-2</v>
      </c>
      <c r="Z4301">
        <v>1.14501E-2</v>
      </c>
      <c r="AA4301">
        <v>0.99869330000000001</v>
      </c>
      <c r="AB4301">
        <v>36</v>
      </c>
      <c r="AC4301">
        <v>18.528700000000001</v>
      </c>
      <c r="AD4301">
        <v>-1.0735937200000001</v>
      </c>
      <c r="AE4301">
        <v>-90.888362000000001</v>
      </c>
      <c r="AF4301">
        <v>-4.6345249760630303</v>
      </c>
      <c r="AG4301">
        <v>-1.0735937200000001</v>
      </c>
      <c r="AH4301">
        <v>92.629495870148702</v>
      </c>
      <c r="AI4301">
        <v>90.663209889049995</v>
      </c>
      <c r="AJ4301">
        <v>92.864287202065995</v>
      </c>
      <c r="AK4301">
        <v>92.751576430739306</v>
      </c>
      <c r="AL4301">
        <v>87.6970613826429</v>
      </c>
      <c r="AM4301">
        <v>95.878785237630098</v>
      </c>
      <c r="AN4301">
        <v>1.0000000072223201</v>
      </c>
    </row>
    <row r="4302" spans="1:40" x14ac:dyDescent="0.25">
      <c r="A4302" t="str">
        <f>"20190312151624714"</f>
        <v>20190312151624714</v>
      </c>
      <c r="B4302" t="str">
        <f>"1552374984702132"</f>
        <v>1552374984702132</v>
      </c>
      <c r="C4302" t="s">
        <v>40</v>
      </c>
      <c r="D4302">
        <v>4.6318429999999999</v>
      </c>
      <c r="E4302">
        <v>0.52188710000000005</v>
      </c>
      <c r="F4302" t="s">
        <v>64</v>
      </c>
      <c r="G4302">
        <v>-408.2833</v>
      </c>
      <c r="H4302" s="1">
        <v>-2.5750969999999998E-6</v>
      </c>
      <c r="I4302">
        <v>22.812729999999998</v>
      </c>
      <c r="J4302">
        <v>-423.70549999999997</v>
      </c>
      <c r="K4302">
        <v>1.116285</v>
      </c>
      <c r="L4302">
        <v>100.15900000000001</v>
      </c>
      <c r="M4302">
        <v>0.15561929999999999</v>
      </c>
      <c r="N4302">
        <v>0</v>
      </c>
      <c r="O4302">
        <v>-0.98770690000000005</v>
      </c>
      <c r="P4302">
        <v>0.2464162</v>
      </c>
      <c r="Q4302">
        <v>2.6243039999999999E-2</v>
      </c>
      <c r="R4302">
        <v>-0.96880880000000003</v>
      </c>
      <c r="S4302">
        <v>0.58758540000000004</v>
      </c>
      <c r="T4302">
        <v>-4.2403339999999998E-2</v>
      </c>
      <c r="U4302">
        <v>-2.9490660000000002</v>
      </c>
      <c r="V4302">
        <v>-9.3309909999999996E-2</v>
      </c>
      <c r="W4302">
        <v>3.9368769999999997E-2</v>
      </c>
      <c r="X4302">
        <v>0.99485840000000003</v>
      </c>
      <c r="Y4302">
        <v>-4.036729E-2</v>
      </c>
      <c r="Z4302">
        <v>1.3972500000000001E-2</v>
      </c>
      <c r="AA4302">
        <v>0.99908719999999995</v>
      </c>
      <c r="AB4302">
        <v>36</v>
      </c>
      <c r="AC4302">
        <v>15.422199999999901</v>
      </c>
      <c r="AD4302">
        <v>-1.1162875750970001</v>
      </c>
      <c r="AE4302">
        <v>-77.346269999999905</v>
      </c>
      <c r="AF4302">
        <v>-3.1957487272541898</v>
      </c>
      <c r="AG4302">
        <v>-1.1162875750970001</v>
      </c>
      <c r="AH4302">
        <v>78.788231853553498</v>
      </c>
      <c r="AI4302">
        <v>90.811057041602396</v>
      </c>
      <c r="AJ4302">
        <v>92.322714885590102</v>
      </c>
      <c r="AK4302">
        <v>78.860917991660301</v>
      </c>
      <c r="AL4302">
        <v>87.743752411263898</v>
      </c>
      <c r="AM4302">
        <v>95.358219107880601</v>
      </c>
      <c r="AN4302">
        <v>0.99999993770303797</v>
      </c>
    </row>
    <row r="4303" spans="1:40" x14ac:dyDescent="0.25">
      <c r="A4303" t="str">
        <f>"20190312151624727"</f>
        <v>20190312151624727</v>
      </c>
      <c r="B4303" t="str">
        <f>"1552374984722628"</f>
        <v>1552374984722628</v>
      </c>
      <c r="C4303" t="s">
        <v>40</v>
      </c>
      <c r="D4303">
        <v>4.7273239999999896</v>
      </c>
      <c r="E4303">
        <v>0.52255359999999995</v>
      </c>
      <c r="F4303" t="s">
        <v>64</v>
      </c>
      <c r="G4303">
        <v>-408.29649999999998</v>
      </c>
      <c r="H4303" s="1">
        <v>-2.106153E-6</v>
      </c>
      <c r="I4303">
        <v>20.73892</v>
      </c>
      <c r="J4303">
        <v>-423.66930000000002</v>
      </c>
      <c r="K4303">
        <v>1.1157699999999999</v>
      </c>
      <c r="L4303">
        <v>99.945099999999996</v>
      </c>
      <c r="M4303">
        <v>0.15828029999999901</v>
      </c>
      <c r="N4303">
        <v>0</v>
      </c>
      <c r="O4303">
        <v>-0.98728450000000001</v>
      </c>
      <c r="P4303">
        <v>0.24477950000000001</v>
      </c>
      <c r="Q4303">
        <v>2.6780749999999999E-2</v>
      </c>
      <c r="R4303">
        <v>-0.96920890000000004</v>
      </c>
      <c r="S4303">
        <v>0.57275390000000004</v>
      </c>
      <c r="T4303">
        <v>-4.1492580000000001E-2</v>
      </c>
      <c r="U4303">
        <v>-2.9520569999999999</v>
      </c>
      <c r="V4303">
        <v>-8.890526E-2</v>
      </c>
      <c r="W4303">
        <v>4.0049630000000003E-2</v>
      </c>
      <c r="X4303">
        <v>0.99523459999999997</v>
      </c>
      <c r="Y4303">
        <v>-3.2647669999999997E-2</v>
      </c>
      <c r="Z4303">
        <v>1.365859E-2</v>
      </c>
      <c r="AA4303">
        <v>0.99937359999999997</v>
      </c>
      <c r="AB4303">
        <v>36</v>
      </c>
      <c r="AC4303">
        <v>15.3728</v>
      </c>
      <c r="AD4303">
        <v>-1.1157721061529999</v>
      </c>
      <c r="AE4303">
        <v>-79.206179999999904</v>
      </c>
      <c r="AF4303">
        <v>-2.6403303989420102</v>
      </c>
      <c r="AG4303">
        <v>-1.1157721061529999</v>
      </c>
      <c r="AH4303">
        <v>80.6255629728701</v>
      </c>
      <c r="AI4303">
        <v>90.792437333501695</v>
      </c>
      <c r="AJ4303">
        <v>91.875655044399196</v>
      </c>
      <c r="AK4303">
        <v>80.6765002754872</v>
      </c>
      <c r="AL4303">
        <v>87.704711385253304</v>
      </c>
      <c r="AM4303">
        <v>95.104736999484302</v>
      </c>
      <c r="AN4303">
        <v>1.0000000135779801</v>
      </c>
    </row>
    <row r="4304" spans="1:40" x14ac:dyDescent="0.25">
      <c r="A4304" t="str">
        <f>"20190312151624748"</f>
        <v>20190312151624748</v>
      </c>
      <c r="B4304" t="str">
        <f>"1552374984742148"</f>
        <v>1552374984742148</v>
      </c>
      <c r="C4304" t="s">
        <v>40</v>
      </c>
      <c r="D4304">
        <v>4.7061449999999896</v>
      </c>
      <c r="E4304">
        <v>0.52324309999999996</v>
      </c>
      <c r="F4304" t="s">
        <v>64</v>
      </c>
      <c r="G4304">
        <v>-407.31950000000001</v>
      </c>
      <c r="H4304" s="1">
        <v>-3.8677609999999996E-6</v>
      </c>
      <c r="I4304">
        <v>14.094440000000001</v>
      </c>
      <c r="J4304">
        <v>-423.61619999999999</v>
      </c>
      <c r="K4304">
        <v>1.1150530000000001</v>
      </c>
      <c r="L4304">
        <v>99.635499999999993</v>
      </c>
      <c r="M4304">
        <v>0.1617132</v>
      </c>
      <c r="N4304">
        <v>0</v>
      </c>
      <c r="O4304">
        <v>-0.98672910000000003</v>
      </c>
      <c r="P4304">
        <v>0.23980380000000001</v>
      </c>
      <c r="Q4304">
        <v>2.614412E-2</v>
      </c>
      <c r="R4304">
        <v>-0.97046929999999998</v>
      </c>
      <c r="S4304">
        <v>0.56262209999999901</v>
      </c>
      <c r="T4304">
        <v>-3.8395520000000002E-2</v>
      </c>
      <c r="U4304">
        <v>-2.9542540000000002</v>
      </c>
      <c r="V4304">
        <v>-8.0247280000000004E-2</v>
      </c>
      <c r="W4304">
        <v>3.9632729999999998E-2</v>
      </c>
      <c r="X4304">
        <v>0.99598679999999995</v>
      </c>
      <c r="Y4304">
        <v>-2.5729129999999999E-2</v>
      </c>
      <c r="Z4304">
        <v>1.2624689999999999E-2</v>
      </c>
      <c r="AA4304">
        <v>0.99958919999999996</v>
      </c>
      <c r="AB4304">
        <v>36</v>
      </c>
      <c r="AC4304">
        <v>16.296699999999898</v>
      </c>
      <c r="AD4304">
        <v>-1.115056867761</v>
      </c>
      <c r="AE4304">
        <v>-85.541059999999902</v>
      </c>
      <c r="AF4304">
        <v>-2.24718220206206</v>
      </c>
      <c r="AG4304">
        <v>-1.115056867761</v>
      </c>
      <c r="AH4304">
        <v>87.036311139700402</v>
      </c>
      <c r="AI4304">
        <v>90.733754410427196</v>
      </c>
      <c r="AJ4304">
        <v>91.478985677317297</v>
      </c>
      <c r="AK4304">
        <v>87.072456244637607</v>
      </c>
      <c r="AL4304">
        <v>87.7286170417607</v>
      </c>
      <c r="AM4304">
        <v>94.606406332552794</v>
      </c>
      <c r="AN4304">
        <v>1.00000004250444</v>
      </c>
    </row>
    <row r="4305" spans="1:40" x14ac:dyDescent="0.25">
      <c r="A4305" t="str">
        <f>"20190312151624770"</f>
        <v>20190312151624770</v>
      </c>
      <c r="B4305" t="str">
        <f>"1552374984762456"</f>
        <v>1552374984762456</v>
      </c>
      <c r="C4305" t="s">
        <v>40</v>
      </c>
      <c r="D4305">
        <v>4.7152329999999996</v>
      </c>
      <c r="E4305">
        <v>0.52342929999999999</v>
      </c>
      <c r="F4305" t="s">
        <v>64</v>
      </c>
      <c r="G4305">
        <v>-406.86450000000002</v>
      </c>
      <c r="H4305">
        <v>7.9986570000000007E-2</v>
      </c>
      <c r="I4305">
        <v>8.1908379999999994</v>
      </c>
      <c r="J4305">
        <v>-423.55560000000003</v>
      </c>
      <c r="K4305">
        <v>1.1142669999999999</v>
      </c>
      <c r="L4305">
        <v>99.28586</v>
      </c>
      <c r="M4305">
        <v>0.164879</v>
      </c>
      <c r="N4305">
        <v>0</v>
      </c>
      <c r="O4305">
        <v>-0.98620609999999997</v>
      </c>
      <c r="P4305">
        <v>0.2355614</v>
      </c>
      <c r="Q4305">
        <v>2.5728609999999999E-2</v>
      </c>
      <c r="R4305">
        <v>-0.97151889999999996</v>
      </c>
      <c r="S4305">
        <v>0.54193119999999995</v>
      </c>
      <c r="T4305">
        <v>-3.3485290000000001E-2</v>
      </c>
      <c r="U4305">
        <v>-2.958313</v>
      </c>
      <c r="V4305">
        <v>-7.2609850000000004E-2</v>
      </c>
      <c r="W4305">
        <v>3.9398790000000003E-2</v>
      </c>
      <c r="X4305">
        <v>0.99658190000000002</v>
      </c>
      <c r="Y4305">
        <v>-1.5515620000000001E-2</v>
      </c>
      <c r="Z4305">
        <v>1.099494E-2</v>
      </c>
      <c r="AA4305">
        <v>0.99981920000000002</v>
      </c>
      <c r="AB4305">
        <v>36</v>
      </c>
      <c r="AC4305">
        <v>16.691099999999999</v>
      </c>
      <c r="AD4305">
        <v>-1.0342804299999999</v>
      </c>
      <c r="AE4305">
        <v>-91.095022</v>
      </c>
      <c r="AF4305">
        <v>-1.44118186709171</v>
      </c>
      <c r="AG4305">
        <v>-1.0342804299999999</v>
      </c>
      <c r="AH4305">
        <v>92.588767004405696</v>
      </c>
      <c r="AI4305">
        <v>90.639929270793402</v>
      </c>
      <c r="AJ4305">
        <v>90.8917601285372</v>
      </c>
      <c r="AK4305">
        <v>92.605758549768595</v>
      </c>
      <c r="AL4305">
        <v>87.742031127487294</v>
      </c>
      <c r="AM4305">
        <v>94.167143600662996</v>
      </c>
      <c r="AN4305">
        <v>0.99999996918904699</v>
      </c>
    </row>
    <row r="4306" spans="1:40" x14ac:dyDescent="0.25">
      <c r="A4306" t="str">
        <f>"20190312151624784"</f>
        <v>20190312151624784</v>
      </c>
      <c r="B4306" t="str">
        <f>"1552374984781973"</f>
        <v>1552374984781973</v>
      </c>
      <c r="C4306" t="s">
        <v>40</v>
      </c>
      <c r="D4306">
        <v>4.719589</v>
      </c>
      <c r="E4306">
        <v>0.52404919999999999</v>
      </c>
      <c r="F4306" t="s">
        <v>68</v>
      </c>
      <c r="G4306">
        <v>-405.99360000000001</v>
      </c>
      <c r="H4306">
        <v>0.1053438</v>
      </c>
      <c r="I4306">
        <v>0.61983109999999997</v>
      </c>
      <c r="J4306">
        <v>-423.51350000000002</v>
      </c>
      <c r="K4306">
        <v>1.113737</v>
      </c>
      <c r="L4306">
        <v>99.044889999999995</v>
      </c>
      <c r="M4306">
        <v>0.16654669999999999</v>
      </c>
      <c r="N4306">
        <v>0</v>
      </c>
      <c r="O4306">
        <v>-0.98592670000000004</v>
      </c>
      <c r="P4306">
        <v>0.23360139999999999</v>
      </c>
      <c r="Q4306">
        <v>2.564934E-2</v>
      </c>
      <c r="R4306">
        <v>-0.97199429999999998</v>
      </c>
      <c r="S4306">
        <v>0.52703859999999902</v>
      </c>
      <c r="T4306">
        <v>-3.0278920000000001E-2</v>
      </c>
      <c r="U4306">
        <v>-2.9609990000000002</v>
      </c>
      <c r="V4306">
        <v>-6.8858489999999994E-2</v>
      </c>
      <c r="W4306">
        <v>3.9411179999999997E-2</v>
      </c>
      <c r="X4306">
        <v>0.9968477</v>
      </c>
      <c r="Y4306">
        <v>-8.7956570000000001E-3</v>
      </c>
      <c r="Z4306">
        <v>9.9339200000000006E-3</v>
      </c>
      <c r="AA4306">
        <v>0.99991200000000002</v>
      </c>
      <c r="AB4306">
        <v>36</v>
      </c>
      <c r="AC4306">
        <v>17.5199</v>
      </c>
      <c r="AD4306">
        <v>-1.0083932</v>
      </c>
      <c r="AE4306">
        <v>-98.425058899999996</v>
      </c>
      <c r="AF4306">
        <v>-0.88097164403535499</v>
      </c>
      <c r="AG4306">
        <v>-1.0083932</v>
      </c>
      <c r="AH4306">
        <v>99.958139243781005</v>
      </c>
      <c r="AI4306">
        <v>90.577966651213302</v>
      </c>
      <c r="AJ4306">
        <v>90.504957881280703</v>
      </c>
      <c r="AK4306">
        <v>99.967107435208405</v>
      </c>
      <c r="AL4306">
        <v>87.741320829408707</v>
      </c>
      <c r="AM4306">
        <v>93.951500041864406</v>
      </c>
      <c r="AN4306">
        <v>1.00000003487468</v>
      </c>
    </row>
    <row r="4307" spans="1:40" x14ac:dyDescent="0.25">
      <c r="A4307" t="str">
        <f>"20190312151624803"</f>
        <v>20190312151624803</v>
      </c>
      <c r="B4307" t="str">
        <f>"1552374984791733"</f>
        <v>1552374984791733</v>
      </c>
      <c r="C4307" t="s">
        <v>40</v>
      </c>
      <c r="D4307">
        <v>4.73996</v>
      </c>
      <c r="E4307">
        <v>0.52404919999999999</v>
      </c>
      <c r="F4307" t="s">
        <v>68</v>
      </c>
      <c r="G4307">
        <v>-406.37150000000003</v>
      </c>
      <c r="H4307">
        <v>0.17487739999999999</v>
      </c>
      <c r="I4307">
        <v>0.61598969999999997</v>
      </c>
      <c r="J4307">
        <v>-423.46260000000001</v>
      </c>
      <c r="K4307">
        <v>1.113092</v>
      </c>
      <c r="L4307">
        <v>98.754909999999995</v>
      </c>
      <c r="M4307">
        <v>0.16809540000000001</v>
      </c>
      <c r="N4307">
        <v>0</v>
      </c>
      <c r="O4307">
        <v>-0.98566469999999995</v>
      </c>
      <c r="P4307">
        <v>0.22871159999999999</v>
      </c>
      <c r="Q4307">
        <v>2.515686E-2</v>
      </c>
      <c r="R4307">
        <v>-0.97316939999999996</v>
      </c>
      <c r="S4307">
        <v>0.51605219999999996</v>
      </c>
      <c r="T4307">
        <v>-2.826476E-2</v>
      </c>
      <c r="U4307">
        <v>-2.963165</v>
      </c>
      <c r="V4307">
        <v>-6.22061E-2</v>
      </c>
      <c r="W4307">
        <v>3.904001E-2</v>
      </c>
      <c r="X4307">
        <v>0.99729950000000001</v>
      </c>
      <c r="Y4307">
        <v>-3.5037850000000001E-3</v>
      </c>
      <c r="Z4307">
        <v>9.2658800000000006E-3</v>
      </c>
      <c r="AA4307">
        <v>0.99995089999999998</v>
      </c>
      <c r="AB4307">
        <v>36</v>
      </c>
      <c r="AC4307">
        <v>17.091099999999901</v>
      </c>
      <c r="AD4307">
        <v>-0.93821460000000001</v>
      </c>
      <c r="AE4307">
        <v>-98.138920299999995</v>
      </c>
      <c r="AF4307">
        <v>-0.34939842105737201</v>
      </c>
      <c r="AG4307">
        <v>-0.93821460000000001</v>
      </c>
      <c r="AH4307">
        <v>99.606581301386697</v>
      </c>
      <c r="AI4307">
        <v>90.5396612933705</v>
      </c>
      <c r="AJ4307">
        <v>90.200980422434696</v>
      </c>
      <c r="AK4307">
        <v>99.611612598341395</v>
      </c>
      <c r="AL4307">
        <v>87.762603620531095</v>
      </c>
      <c r="AM4307">
        <v>93.569174100697097</v>
      </c>
      <c r="AN4307">
        <v>1.0000000069791299</v>
      </c>
    </row>
    <row r="4308" spans="1:40" x14ac:dyDescent="0.25">
      <c r="A4308" t="str">
        <f>"20190312151624826"</f>
        <v>20190312151624826</v>
      </c>
      <c r="B4308" t="str">
        <f>"1552374984821989"</f>
        <v>1552374984821989</v>
      </c>
      <c r="C4308" t="s">
        <v>40</v>
      </c>
      <c r="D4308">
        <v>4.886088</v>
      </c>
      <c r="E4308">
        <v>0.5283892</v>
      </c>
      <c r="F4308" t="s">
        <v>68</v>
      </c>
      <c r="G4308">
        <v>-406.85989999999998</v>
      </c>
      <c r="H4308">
        <v>0.13756989999999999</v>
      </c>
      <c r="I4308">
        <v>0.61101909999999904</v>
      </c>
      <c r="J4308">
        <v>-423.40050000000002</v>
      </c>
      <c r="K4308">
        <v>1.1123240000000001</v>
      </c>
      <c r="L4308">
        <v>98.400630000000007</v>
      </c>
      <c r="M4308">
        <v>0.1693317</v>
      </c>
      <c r="N4308">
        <v>0</v>
      </c>
      <c r="O4308">
        <v>-0.98545380000000005</v>
      </c>
      <c r="P4308">
        <v>0.2242142</v>
      </c>
      <c r="Q4308">
        <v>2.3595040000000001E-2</v>
      </c>
      <c r="R4308">
        <v>-0.97425439999999996</v>
      </c>
      <c r="S4308">
        <v>0.50167850000000003</v>
      </c>
      <c r="T4308">
        <v>-2.9477719999999999E-2</v>
      </c>
      <c r="U4308">
        <v>-2.965576</v>
      </c>
      <c r="V4308">
        <v>-5.625285E-2</v>
      </c>
      <c r="W4308">
        <v>3.7583859999999997E-2</v>
      </c>
      <c r="X4308">
        <v>0.99770890000000001</v>
      </c>
      <c r="Y4308">
        <v>2.596526E-3</v>
      </c>
      <c r="Z4308">
        <v>9.6565450000000008E-3</v>
      </c>
      <c r="AA4308">
        <v>0.99995000000000001</v>
      </c>
      <c r="AB4308">
        <v>36</v>
      </c>
      <c r="AC4308">
        <v>16.540600000000001</v>
      </c>
      <c r="AD4308">
        <v>-0.97475409999999896</v>
      </c>
      <c r="AE4308">
        <v>-97.7896109</v>
      </c>
      <c r="AF4308">
        <v>0.25888579891259</v>
      </c>
      <c r="AG4308">
        <v>-0.97475409999999896</v>
      </c>
      <c r="AH4308">
        <v>99.168706811511996</v>
      </c>
      <c r="AI4308">
        <v>90.563154537293698</v>
      </c>
      <c r="AJ4308">
        <v>89.8504263044791</v>
      </c>
      <c r="AK4308">
        <v>99.173835148591394</v>
      </c>
      <c r="AL4308">
        <v>87.846096136693205</v>
      </c>
      <c r="AM4308">
        <v>93.227035563627496</v>
      </c>
      <c r="AN4308">
        <v>0.99999998940241597</v>
      </c>
    </row>
    <row r="4309" spans="1:40" x14ac:dyDescent="0.25">
      <c r="A4309" t="str">
        <f>"20190312151624848"</f>
        <v>20190312151624848</v>
      </c>
      <c r="B4309" t="str">
        <f>"1552374984842485"</f>
        <v>1552374984842485</v>
      </c>
      <c r="C4309" t="s">
        <v>40</v>
      </c>
      <c r="D4309">
        <v>4.6807280000000002</v>
      </c>
      <c r="E4309">
        <v>0.52768490000000001</v>
      </c>
      <c r="F4309" t="s">
        <v>43</v>
      </c>
      <c r="G4309">
        <v>-420.22480000000002</v>
      </c>
      <c r="H4309" s="1">
        <v>-3.5127080000000001E-6</v>
      </c>
      <c r="I4309">
        <v>77.637889999999999</v>
      </c>
      <c r="J4309">
        <v>-423.33969999999999</v>
      </c>
      <c r="K4309">
        <v>1.111602</v>
      </c>
      <c r="L4309">
        <v>98.053219999999996</v>
      </c>
      <c r="M4309">
        <v>0.16991689999999901</v>
      </c>
      <c r="N4309">
        <v>0</v>
      </c>
      <c r="O4309">
        <v>-0.9853539</v>
      </c>
      <c r="P4309">
        <v>0.22006310000000001</v>
      </c>
      <c r="Q4309">
        <v>2.3397299999999999E-2</v>
      </c>
      <c r="R4309">
        <v>-0.97520519999999999</v>
      </c>
      <c r="S4309">
        <v>0.45553589999999999</v>
      </c>
      <c r="T4309">
        <v>-0.1595589</v>
      </c>
      <c r="U4309">
        <v>-2.9783330000000001</v>
      </c>
      <c r="V4309">
        <v>-5.133894E-2</v>
      </c>
      <c r="W4309">
        <v>3.7463789999999997E-2</v>
      </c>
      <c r="X4309">
        <v>0.99797829999999998</v>
      </c>
      <c r="Y4309">
        <v>1.919599E-2</v>
      </c>
      <c r="Z4309">
        <v>5.202884E-2</v>
      </c>
      <c r="AA4309">
        <v>0.99846109999999999</v>
      </c>
      <c r="AB4309">
        <v>36</v>
      </c>
      <c r="AC4309">
        <v>3.1148999999999698</v>
      </c>
      <c r="AD4309">
        <v>-1.111605512708</v>
      </c>
      <c r="AE4309">
        <v>-20.415330000000001</v>
      </c>
      <c r="AF4309">
        <v>0.39851725291953799</v>
      </c>
      <c r="AG4309">
        <v>-1.111605512708</v>
      </c>
      <c r="AH4309">
        <v>20.588075440833101</v>
      </c>
      <c r="AI4309">
        <v>93.089974513602996</v>
      </c>
      <c r="AJ4309">
        <v>88.891081120562802</v>
      </c>
      <c r="AK4309">
        <v>20.621913906671999</v>
      </c>
      <c r="AL4309">
        <v>87.852980415101896</v>
      </c>
      <c r="AM4309">
        <v>92.944867561695105</v>
      </c>
      <c r="AN4309">
        <v>0.99999995479618697</v>
      </c>
    </row>
    <row r="4310" spans="1:40" x14ac:dyDescent="0.25">
      <c r="A4310" t="str">
        <f>"20190312151624871"</f>
        <v>20190312151624871</v>
      </c>
      <c r="B4310" t="str">
        <f>"1552374984862511"</f>
        <v>1552374984862511</v>
      </c>
      <c r="C4310" t="s">
        <v>40</v>
      </c>
      <c r="D4310">
        <v>4.73942</v>
      </c>
      <c r="E4310">
        <v>0.52716319999999905</v>
      </c>
      <c r="F4310" t="s">
        <v>43</v>
      </c>
      <c r="G4310">
        <v>-420.12240000000003</v>
      </c>
      <c r="H4310" s="1">
        <v>-3.0630449999999999E-6</v>
      </c>
      <c r="I4310">
        <v>76.653199999999998</v>
      </c>
      <c r="J4310">
        <v>-423.27879999999999</v>
      </c>
      <c r="K4310">
        <v>1.1109249999999999</v>
      </c>
      <c r="L4310">
        <v>97.703370000000007</v>
      </c>
      <c r="M4310">
        <v>0.16991410000000001</v>
      </c>
      <c r="N4310">
        <v>0</v>
      </c>
      <c r="O4310">
        <v>-0.98535519999999999</v>
      </c>
      <c r="P4310">
        <v>0.21510550000000001</v>
      </c>
      <c r="Q4310">
        <v>2.3822630000000001E-2</v>
      </c>
      <c r="R4310">
        <v>-0.97630059999999996</v>
      </c>
      <c r="S4310">
        <v>0.44784550000000001</v>
      </c>
      <c r="T4310">
        <v>-0.1547385</v>
      </c>
      <c r="U4310">
        <v>-2.9789430000000001</v>
      </c>
      <c r="V4310">
        <v>-4.6207520000000002E-2</v>
      </c>
      <c r="W4310">
        <v>3.7949330000000003E-2</v>
      </c>
      <c r="X4310">
        <v>0.99821070000000001</v>
      </c>
      <c r="Y4310">
        <v>2.1731029999999998E-2</v>
      </c>
      <c r="Z4310">
        <v>5.045931E-2</v>
      </c>
      <c r="AA4310">
        <v>0.99848970000000004</v>
      </c>
      <c r="AB4310">
        <v>36</v>
      </c>
      <c r="AC4310">
        <v>3.1563999999999601</v>
      </c>
      <c r="AD4310">
        <v>-1.110928063045</v>
      </c>
      <c r="AE4310">
        <v>-21.050169999999898</v>
      </c>
      <c r="AF4310">
        <v>0.46532567016563098</v>
      </c>
      <c r="AG4310">
        <v>-1.110928063045</v>
      </c>
      <c r="AH4310">
        <v>21.222575637222999</v>
      </c>
      <c r="AI4310">
        <v>92.995781217749297</v>
      </c>
      <c r="AJ4310">
        <v>88.7439354089407</v>
      </c>
      <c r="AK4310">
        <v>21.2567261312326</v>
      </c>
      <c r="AL4310">
        <v>87.8251411997432</v>
      </c>
      <c r="AM4310">
        <v>92.650349561005896</v>
      </c>
      <c r="AN4310">
        <v>0.999999944073243</v>
      </c>
    </row>
    <row r="4311" spans="1:40" x14ac:dyDescent="0.25">
      <c r="A4311" t="str">
        <f>"20190312151624892"</f>
        <v>20190312151624892</v>
      </c>
      <c r="B4311" t="str">
        <f>"1552374984882031"</f>
        <v>1552374984882031</v>
      </c>
      <c r="C4311" t="s">
        <v>40</v>
      </c>
      <c r="D4311">
        <v>4.7843999999999998</v>
      </c>
      <c r="E4311">
        <v>0.5266653</v>
      </c>
      <c r="F4311" t="s">
        <v>43</v>
      </c>
      <c r="G4311">
        <v>-420.0489</v>
      </c>
      <c r="H4311" s="1">
        <v>-2.6194339999999999E-6</v>
      </c>
      <c r="I4311">
        <v>75.664719999999903</v>
      </c>
      <c r="J4311">
        <v>-423.22</v>
      </c>
      <c r="K4311">
        <v>1.110298</v>
      </c>
      <c r="L4311">
        <v>97.362340000000003</v>
      </c>
      <c r="M4311">
        <v>0.16936029999999999</v>
      </c>
      <c r="N4311">
        <v>0</v>
      </c>
      <c r="O4311">
        <v>-0.98545090000000002</v>
      </c>
      <c r="P4311">
        <v>0.20993780000000001</v>
      </c>
      <c r="Q4311">
        <v>2.45639E-2</v>
      </c>
      <c r="R4311">
        <v>-0.977406</v>
      </c>
      <c r="S4311">
        <v>0.43676759999999898</v>
      </c>
      <c r="T4311">
        <v>-0.15022920000000001</v>
      </c>
      <c r="U4311">
        <v>-2.9802550000000001</v>
      </c>
      <c r="V4311">
        <v>-4.1430689999999999E-2</v>
      </c>
      <c r="W4311">
        <v>3.8733150000000001E-2</v>
      </c>
      <c r="X4311">
        <v>0.99839029999999995</v>
      </c>
      <c r="Y4311">
        <v>2.4854330000000001E-2</v>
      </c>
      <c r="Z4311">
        <v>4.8989680000000001E-2</v>
      </c>
      <c r="AA4311">
        <v>0.99848999999999999</v>
      </c>
      <c r="AB4311">
        <v>36</v>
      </c>
      <c r="AC4311">
        <v>3.17110000000002</v>
      </c>
      <c r="AD4311">
        <v>-1.1103006194339999</v>
      </c>
      <c r="AE4311">
        <v>-21.697620000000001</v>
      </c>
      <c r="AF4311">
        <v>0.54840208608584295</v>
      </c>
      <c r="AG4311">
        <v>-1.1103006194339999</v>
      </c>
      <c r="AH4311">
        <v>21.865172269302001</v>
      </c>
      <c r="AI4311">
        <v>92.906036888059901</v>
      </c>
      <c r="AJ4311">
        <v>88.563261312930607</v>
      </c>
      <c r="AK4311">
        <v>21.900211658333198</v>
      </c>
      <c r="AL4311">
        <v>87.780198640869301</v>
      </c>
      <c r="AM4311">
        <v>92.376267567165598</v>
      </c>
      <c r="AN4311">
        <v>0.99999997505844396</v>
      </c>
    </row>
    <row r="4312" spans="1:40" x14ac:dyDescent="0.25">
      <c r="A4312" t="str">
        <f>"20190312151624916"</f>
        <v>20190312151624916</v>
      </c>
      <c r="B4312" t="str">
        <f>"1552374984912288"</f>
        <v>1552374984912288</v>
      </c>
      <c r="C4312" t="s">
        <v>40</v>
      </c>
      <c r="D4312">
        <v>4.6845039999999996</v>
      </c>
      <c r="E4312">
        <v>0.52846340000000003</v>
      </c>
      <c r="F4312" t="s">
        <v>43</v>
      </c>
      <c r="G4312">
        <v>-419.93430000000001</v>
      </c>
      <c r="H4312" s="1">
        <v>-2.0071830000000002E-6</v>
      </c>
      <c r="I4312">
        <v>74.284379999999999</v>
      </c>
      <c r="J4312">
        <v>-423.15969999999999</v>
      </c>
      <c r="K4312">
        <v>1.109694</v>
      </c>
      <c r="L4312">
        <v>97.007869999999997</v>
      </c>
      <c r="M4312">
        <v>0.16822300000000001</v>
      </c>
      <c r="N4312">
        <v>0</v>
      </c>
      <c r="O4312">
        <v>-0.98564609999999997</v>
      </c>
      <c r="P4312">
        <v>0.2044087</v>
      </c>
      <c r="Q4312">
        <v>2.4556189999999999E-2</v>
      </c>
      <c r="R4312">
        <v>-0.97857760000000005</v>
      </c>
      <c r="S4312">
        <v>0.42453000000000002</v>
      </c>
      <c r="T4312">
        <v>-0.143456</v>
      </c>
      <c r="U4312">
        <v>-2.9817809999999998</v>
      </c>
      <c r="V4312">
        <v>-3.6877590000000002E-2</v>
      </c>
      <c r="W4312">
        <v>3.8754129999999998E-2</v>
      </c>
      <c r="X4312">
        <v>0.99856809999999996</v>
      </c>
      <c r="Y4312">
        <v>2.7772870000000002E-2</v>
      </c>
      <c r="Z4312">
        <v>4.6787950000000002E-2</v>
      </c>
      <c r="AA4312">
        <v>0.99851869999999998</v>
      </c>
      <c r="AB4312">
        <v>35</v>
      </c>
      <c r="AC4312">
        <v>3.2253999999999698</v>
      </c>
      <c r="AD4312">
        <v>-1.109696007183</v>
      </c>
      <c r="AE4312">
        <v>-22.723490000000002</v>
      </c>
      <c r="AF4312">
        <v>0.64207498481305303</v>
      </c>
      <c r="AG4312">
        <v>-1.109696007183</v>
      </c>
      <c r="AH4312">
        <v>22.8887243329672</v>
      </c>
      <c r="AI4312">
        <v>92.774563044991794</v>
      </c>
      <c r="AJ4312">
        <v>88.393158961468203</v>
      </c>
      <c r="AK4312">
        <v>22.924602223485699</v>
      </c>
      <c r="AL4312">
        <v>87.778995827120994</v>
      </c>
      <c r="AM4312">
        <v>92.114998937761399</v>
      </c>
      <c r="AN4312">
        <v>1.0000000447869299</v>
      </c>
    </row>
    <row r="4313" spans="1:40" x14ac:dyDescent="0.25">
      <c r="A4313" t="str">
        <f>"20190312151624937"</f>
        <v>20190312151624937</v>
      </c>
      <c r="B4313" t="str">
        <f>"1552374984932784"</f>
        <v>1552374984932784</v>
      </c>
      <c r="C4313" t="s">
        <v>40</v>
      </c>
      <c r="D4313">
        <v>5.1969149999999997</v>
      </c>
      <c r="E4313">
        <v>0.53392989999999996</v>
      </c>
      <c r="F4313" t="s">
        <v>68</v>
      </c>
      <c r="G4313">
        <v>-410.49439999999998</v>
      </c>
      <c r="H4313">
        <v>0.30508279999999999</v>
      </c>
      <c r="I4313">
        <v>0.57405850000000003</v>
      </c>
      <c r="J4313">
        <v>-423.10169999999999</v>
      </c>
      <c r="K4313">
        <v>1.1091519999999999</v>
      </c>
      <c r="L4313">
        <v>96.661829999999995</v>
      </c>
      <c r="M4313">
        <v>0.1666772</v>
      </c>
      <c r="N4313">
        <v>0</v>
      </c>
      <c r="O4313">
        <v>-0.98590949999999999</v>
      </c>
      <c r="P4313">
        <v>0.19883500000000001</v>
      </c>
      <c r="Q4313">
        <v>2.357397E-2</v>
      </c>
      <c r="R4313">
        <v>-0.97974969999999995</v>
      </c>
      <c r="S4313">
        <v>0.39196779999999998</v>
      </c>
      <c r="T4313">
        <v>-2.4901989999999999E-2</v>
      </c>
      <c r="U4313">
        <v>-2.9844360000000001</v>
      </c>
      <c r="V4313">
        <v>-3.2702139999999998E-2</v>
      </c>
      <c r="W4313">
        <v>3.778828E-2</v>
      </c>
      <c r="X4313">
        <v>0.99875049999999999</v>
      </c>
      <c r="Y4313">
        <v>3.6881900000000002E-2</v>
      </c>
      <c r="Z4313">
        <v>8.1314409999999997E-3</v>
      </c>
      <c r="AA4313">
        <v>0.99928649999999997</v>
      </c>
      <c r="AB4313">
        <v>35</v>
      </c>
      <c r="AC4313">
        <v>12.6073</v>
      </c>
      <c r="AD4313">
        <v>-0.80406920000000004</v>
      </c>
      <c r="AE4313">
        <v>-96.087771500000002</v>
      </c>
      <c r="AF4313">
        <v>3.5860977517411801</v>
      </c>
      <c r="AG4313">
        <v>-0.80406920000000004</v>
      </c>
      <c r="AH4313">
        <v>96.838271499402595</v>
      </c>
      <c r="AI4313">
        <v>90.475402522072102</v>
      </c>
      <c r="AJ4313">
        <v>87.879201923507594</v>
      </c>
      <c r="AK4313">
        <v>96.907984456160506</v>
      </c>
      <c r="AL4313">
        <v>87.834375370940094</v>
      </c>
      <c r="AM4313">
        <v>91.8753687059763</v>
      </c>
      <c r="AN4313">
        <v>0.99999997265809304</v>
      </c>
    </row>
    <row r="4314" spans="1:40" x14ac:dyDescent="0.25">
      <c r="A4314" t="str">
        <f>"20190312151624951"</f>
        <v>20190312151624951</v>
      </c>
      <c r="B4314" t="str">
        <f>"1552374984942544"</f>
        <v>1552374984942544</v>
      </c>
      <c r="C4314" t="s">
        <v>40</v>
      </c>
      <c r="D4314">
        <v>4.7556479999999999</v>
      </c>
      <c r="E4314">
        <v>0.53588610000000003</v>
      </c>
      <c r="F4314" t="s">
        <v>43</v>
      </c>
      <c r="G4314">
        <v>-420.84559999999999</v>
      </c>
      <c r="H4314" s="1">
        <v>-3.1376889999999898E-6</v>
      </c>
      <c r="I4314">
        <v>76.378680000000003</v>
      </c>
      <c r="J4314">
        <v>-423.065</v>
      </c>
      <c r="K4314">
        <v>1.108833</v>
      </c>
      <c r="L4314">
        <v>96.439850000000007</v>
      </c>
      <c r="M4314">
        <v>0.1655249</v>
      </c>
      <c r="N4314">
        <v>0</v>
      </c>
      <c r="O4314">
        <v>-0.98610359999999997</v>
      </c>
      <c r="P4314">
        <v>0.1954224</v>
      </c>
      <c r="Q4314">
        <v>2.2741810000000001E-2</v>
      </c>
      <c r="R4314">
        <v>-0.98045559999999998</v>
      </c>
      <c r="S4314">
        <v>0.33349610000000002</v>
      </c>
      <c r="T4314">
        <v>-0.16395560000000001</v>
      </c>
      <c r="U4314">
        <v>-2.9982600000000001</v>
      </c>
      <c r="V4314">
        <v>-3.0358929999999999E-2</v>
      </c>
      <c r="W4314">
        <v>3.6960119999999999E-2</v>
      </c>
      <c r="X4314">
        <v>0.99885550000000001</v>
      </c>
      <c r="Y4314">
        <v>5.5663079999999997E-2</v>
      </c>
      <c r="Z4314">
        <v>5.3270230000000002E-2</v>
      </c>
      <c r="AA4314">
        <v>0.99702749999999996</v>
      </c>
      <c r="AB4314">
        <v>35</v>
      </c>
      <c r="AC4314">
        <v>2.2193999999999998</v>
      </c>
      <c r="AD4314">
        <v>-1.1088361376889999</v>
      </c>
      <c r="AE4314">
        <v>-20.061170000000001</v>
      </c>
      <c r="AF4314">
        <v>1.1287719410046499</v>
      </c>
      <c r="AG4314">
        <v>-1.1088361376889999</v>
      </c>
      <c r="AH4314">
        <v>20.091147423717</v>
      </c>
      <c r="AI4314">
        <v>93.154001808195204</v>
      </c>
      <c r="AJ4314">
        <v>86.7843573971072</v>
      </c>
      <c r="AK4314">
        <v>20.153358243145799</v>
      </c>
      <c r="AL4314">
        <v>87.881858705396596</v>
      </c>
      <c r="AM4314">
        <v>91.740895693005399</v>
      </c>
      <c r="AN4314">
        <v>1.0000000124907</v>
      </c>
    </row>
    <row r="4315" spans="1:40" x14ac:dyDescent="0.25">
      <c r="A4315" t="str">
        <f>"20190312151624966"</f>
        <v>20190312151624966</v>
      </c>
      <c r="B4315" t="str">
        <f>"1552374984962571"</f>
        <v>1552374984962571</v>
      </c>
      <c r="C4315" t="s">
        <v>40</v>
      </c>
      <c r="D4315">
        <v>5.0847579999999999</v>
      </c>
      <c r="E4315">
        <v>0.53727539999999996</v>
      </c>
      <c r="F4315" t="s">
        <v>43</v>
      </c>
      <c r="G4315">
        <v>-421.03949999999998</v>
      </c>
      <c r="H4315" s="1">
        <v>-3.3233680000000002E-6</v>
      </c>
      <c r="I4315">
        <v>76.691220000000001</v>
      </c>
      <c r="J4315">
        <v>-423.02749999999997</v>
      </c>
      <c r="K4315">
        <v>1.108544</v>
      </c>
      <c r="L4315">
        <v>96.210300000000004</v>
      </c>
      <c r="M4315">
        <v>0.16417190000000001</v>
      </c>
      <c r="N4315">
        <v>0</v>
      </c>
      <c r="O4315">
        <v>-0.98633009999999999</v>
      </c>
      <c r="P4315">
        <v>0.1918214</v>
      </c>
      <c r="Q4315">
        <v>2.1281680000000001E-2</v>
      </c>
      <c r="R4315">
        <v>-0.98119909999999999</v>
      </c>
      <c r="S4315">
        <v>0.30792239999999999</v>
      </c>
      <c r="T4315">
        <v>-0.16857279999999999</v>
      </c>
      <c r="U4315">
        <v>-3.002319</v>
      </c>
      <c r="V4315">
        <v>-2.8033659999999998E-2</v>
      </c>
      <c r="W4315">
        <v>3.5499089999999997E-2</v>
      </c>
      <c r="X4315">
        <v>0.99897650000000004</v>
      </c>
      <c r="Y4315">
        <v>6.2844620000000004E-2</v>
      </c>
      <c r="Z4315">
        <v>5.4723719999999997E-2</v>
      </c>
      <c r="AA4315">
        <v>0.99652189999999996</v>
      </c>
      <c r="AB4315">
        <v>35</v>
      </c>
      <c r="AC4315">
        <v>1.98799999999999</v>
      </c>
      <c r="AD4315">
        <v>-1.1085473233680001</v>
      </c>
      <c r="AE4315">
        <v>-19.519079999999999</v>
      </c>
      <c r="AF4315">
        <v>1.2398269813796801</v>
      </c>
      <c r="AG4315">
        <v>-1.1085473233680001</v>
      </c>
      <c r="AH4315">
        <v>19.518284295008201</v>
      </c>
      <c r="AI4315">
        <v>93.244115944395801</v>
      </c>
      <c r="AJ4315">
        <v>86.3653803076825</v>
      </c>
      <c r="AK4315">
        <v>19.589014011242799</v>
      </c>
      <c r="AL4315">
        <v>87.965624653209503</v>
      </c>
      <c r="AM4315">
        <v>91.607434181524795</v>
      </c>
      <c r="AN4315">
        <v>1.0000000595180301</v>
      </c>
    </row>
    <row r="4316" spans="1:40" x14ac:dyDescent="0.25">
      <c r="A4316" t="str">
        <f>"20190312151624983"</f>
        <v>20190312151624983</v>
      </c>
      <c r="B4316" t="str">
        <f>"1552374984972331"</f>
        <v>1552374984972331</v>
      </c>
      <c r="C4316" t="s">
        <v>40</v>
      </c>
      <c r="D4316">
        <v>4.8960249999999998</v>
      </c>
      <c r="E4316">
        <v>0.53727539999999996</v>
      </c>
      <c r="F4316" t="s">
        <v>43</v>
      </c>
      <c r="G4316">
        <v>-421.18299999999999</v>
      </c>
      <c r="H4316" s="1">
        <v>-3.4109069999999998E-6</v>
      </c>
      <c r="I4316">
        <v>76.806269999999998</v>
      </c>
      <c r="J4316">
        <v>-422.98770000000002</v>
      </c>
      <c r="K4316">
        <v>1.1082540000000001</v>
      </c>
      <c r="L4316">
        <v>95.963409999999996</v>
      </c>
      <c r="M4316">
        <v>0.1626041</v>
      </c>
      <c r="N4316">
        <v>0</v>
      </c>
      <c r="O4316">
        <v>-0.98659010000000003</v>
      </c>
      <c r="P4316">
        <v>0.18316650000000001</v>
      </c>
      <c r="Q4316">
        <v>1.7106240000000002E-2</v>
      </c>
      <c r="R4316">
        <v>-0.98293330000000001</v>
      </c>
      <c r="S4316">
        <v>0.28567500000000001</v>
      </c>
      <c r="T4316">
        <v>-0.17169619999999999</v>
      </c>
      <c r="U4316">
        <v>-3.0053709999999998</v>
      </c>
      <c r="V4316">
        <v>-2.078872E-2</v>
      </c>
      <c r="W4316">
        <v>3.130575E-2</v>
      </c>
      <c r="X4316">
        <v>0.9992936</v>
      </c>
      <c r="Y4316">
        <v>6.8670579999999995E-2</v>
      </c>
      <c r="Z4316">
        <v>5.5709349999999998E-2</v>
      </c>
      <c r="AA4316">
        <v>0.99608269999999999</v>
      </c>
      <c r="AB4316">
        <v>35</v>
      </c>
      <c r="AC4316">
        <v>1.80469999999996</v>
      </c>
      <c r="AD4316">
        <v>-1.108257410907</v>
      </c>
      <c r="AE4316">
        <v>-19.157139999999998</v>
      </c>
      <c r="AF4316">
        <v>1.3302509274544001</v>
      </c>
      <c r="AG4316">
        <v>-1.108257410907</v>
      </c>
      <c r="AH4316">
        <v>19.132148021905401</v>
      </c>
      <c r="AI4316">
        <v>93.307269490590997</v>
      </c>
      <c r="AJ4316">
        <v>86.022647471770199</v>
      </c>
      <c r="AK4316">
        <v>19.210332895369699</v>
      </c>
      <c r="AL4316">
        <v>88.206019465438899</v>
      </c>
      <c r="AM4316">
        <v>91.191776002880204</v>
      </c>
      <c r="AN4316">
        <v>0.99999995993162905</v>
      </c>
    </row>
    <row r="4317" spans="1:40" x14ac:dyDescent="0.25">
      <c r="A4317" t="str">
        <f>"20190312151625016"</f>
        <v>20190312151625016</v>
      </c>
      <c r="B4317" t="str">
        <f>"1552374985012347"</f>
        <v>1552374985012347</v>
      </c>
      <c r="C4317" t="s">
        <v>40</v>
      </c>
      <c r="D4317">
        <v>5.0062329999999999</v>
      </c>
      <c r="E4317">
        <v>0.53872229999999999</v>
      </c>
      <c r="F4317" t="s">
        <v>41</v>
      </c>
      <c r="G4317">
        <v>-422.90929999999997</v>
      </c>
      <c r="H4317">
        <v>1.05251299999999</v>
      </c>
      <c r="I4317">
        <v>95.051410000000004</v>
      </c>
      <c r="J4317">
        <v>-422.90449999999998</v>
      </c>
      <c r="K4317">
        <v>1.1077539999999999</v>
      </c>
      <c r="L4317">
        <v>95.437709999999996</v>
      </c>
      <c r="M4317">
        <v>0.15891749999999999</v>
      </c>
      <c r="N4317">
        <v>0</v>
      </c>
      <c r="O4317">
        <v>-0.98719120000000005</v>
      </c>
      <c r="P4317">
        <v>0.17374909999999999</v>
      </c>
      <c r="Q4317">
        <v>1.468207E-2</v>
      </c>
      <c r="R4317">
        <v>-0.98468080000000002</v>
      </c>
      <c r="S4317">
        <v>0.2583008</v>
      </c>
      <c r="T4317">
        <v>-0.1837897</v>
      </c>
      <c r="U4317">
        <v>-3.0071720000000002</v>
      </c>
      <c r="V4317">
        <v>-1.4920920000000001E-2</v>
      </c>
      <c r="W4317">
        <v>2.8847810000000002E-2</v>
      </c>
      <c r="X4317">
        <v>0.99947240000000004</v>
      </c>
      <c r="Y4317">
        <v>7.4012129999999995E-2</v>
      </c>
      <c r="Z4317">
        <v>5.9650880000000003E-2</v>
      </c>
      <c r="AA4317">
        <v>0.99547169999999896</v>
      </c>
      <c r="AB4317">
        <v>35</v>
      </c>
      <c r="AC4317">
        <v>-4.7999999999888097E-3</v>
      </c>
      <c r="AD4317">
        <v>-5.5241000000000297E-2</v>
      </c>
      <c r="AE4317">
        <v>-0.38629999999999098</v>
      </c>
      <c r="AF4317">
        <v>6.4809824605407698E-2</v>
      </c>
      <c r="AG4317">
        <v>-5.5241000000000297E-2</v>
      </c>
      <c r="AH4317">
        <v>0.37300064534574201</v>
      </c>
      <c r="AI4317">
        <v>98.301601337946494</v>
      </c>
      <c r="AJ4317">
        <v>80.143117246454693</v>
      </c>
      <c r="AK4317">
        <v>0.38259817416543401</v>
      </c>
      <c r="AL4317">
        <v>88.3469128268341</v>
      </c>
      <c r="AM4317">
        <v>90.855293493138603</v>
      </c>
      <c r="AN4317">
        <v>0.99999995417859999</v>
      </c>
    </row>
    <row r="4318" spans="1:40" x14ac:dyDescent="0.25">
      <c r="A4318" t="str">
        <f>"20190312151625037"</f>
        <v>20190312151625037</v>
      </c>
      <c r="B4318" t="str">
        <f>"1552374985031866"</f>
        <v>1552374985031866</v>
      </c>
      <c r="C4318" t="s">
        <v>40</v>
      </c>
      <c r="D4318">
        <v>5.0893350000000002</v>
      </c>
      <c r="E4318">
        <v>0.5396166</v>
      </c>
      <c r="F4318" t="s">
        <v>41</v>
      </c>
      <c r="G4318">
        <v>-422.83260000000001</v>
      </c>
      <c r="H4318">
        <v>1.0253159999999999</v>
      </c>
      <c r="I4318">
        <v>94.444689999999994</v>
      </c>
      <c r="J4318">
        <v>-422.8519</v>
      </c>
      <c r="K4318">
        <v>1.1075219999999999</v>
      </c>
      <c r="L4318">
        <v>95.096249999999998</v>
      </c>
      <c r="M4318">
        <v>0.15633420000000001</v>
      </c>
      <c r="N4318">
        <v>0</v>
      </c>
      <c r="O4318">
        <v>-0.98760380000000003</v>
      </c>
      <c r="P4318">
        <v>0.16853760000000001</v>
      </c>
      <c r="Q4318">
        <v>1.3875169999999999E-2</v>
      </c>
      <c r="R4318">
        <v>-0.98559759999999996</v>
      </c>
      <c r="S4318">
        <v>0.21823119999999999</v>
      </c>
      <c r="T4318">
        <v>-0.25006630000000002</v>
      </c>
      <c r="U4318">
        <v>-3.0119020000000001</v>
      </c>
      <c r="V4318">
        <v>-1.2232740000000001E-2</v>
      </c>
      <c r="W4318">
        <v>2.8017489999999999E-2</v>
      </c>
      <c r="X4318">
        <v>0.99953259999999999</v>
      </c>
      <c r="Y4318">
        <v>8.4802130000000003E-2</v>
      </c>
      <c r="Z4318">
        <v>8.096594E-2</v>
      </c>
      <c r="AA4318">
        <v>0.99310279999999995</v>
      </c>
      <c r="AB4318">
        <v>35</v>
      </c>
      <c r="AC4318">
        <v>1.9299999999986901E-2</v>
      </c>
      <c r="AD4318">
        <v>-8.2206000000000001E-2</v>
      </c>
      <c r="AE4318">
        <v>-0.65155999999998904</v>
      </c>
      <c r="AF4318">
        <v>8.1512168837220303E-2</v>
      </c>
      <c r="AG4318">
        <v>-8.2206000000000001E-2</v>
      </c>
      <c r="AH4318">
        <v>0.63644227579653501</v>
      </c>
      <c r="AI4318">
        <v>97.300870548075594</v>
      </c>
      <c r="AJ4318">
        <v>82.701591374490306</v>
      </c>
      <c r="AK4318">
        <v>0.64688548486236697</v>
      </c>
      <c r="AL4318">
        <v>88.394506007621402</v>
      </c>
      <c r="AM4318">
        <v>90.701177114409106</v>
      </c>
      <c r="AN4318">
        <v>1.0000000190682801</v>
      </c>
    </row>
    <row r="4319" spans="1:40" x14ac:dyDescent="0.25">
      <c r="A4319" t="str">
        <f>"20190312151625061"</f>
        <v>20190312151625061</v>
      </c>
      <c r="B4319" t="str">
        <f>"1552374985052363"</f>
        <v>1552374985052363</v>
      </c>
      <c r="C4319" t="s">
        <v>40</v>
      </c>
      <c r="D4319">
        <v>5.0746229999999999</v>
      </c>
      <c r="E4319">
        <v>0.539684099999999</v>
      </c>
      <c r="F4319" t="s">
        <v>41</v>
      </c>
      <c r="G4319">
        <v>-422.78949999999998</v>
      </c>
      <c r="H4319">
        <v>1.026281</v>
      </c>
      <c r="I4319">
        <v>94.131200000000007</v>
      </c>
      <c r="J4319">
        <v>-422.79849999999999</v>
      </c>
      <c r="K4319">
        <v>1.1073390000000001</v>
      </c>
      <c r="L4319">
        <v>94.742490000000004</v>
      </c>
      <c r="M4319">
        <v>0.15357370000000001</v>
      </c>
      <c r="N4319">
        <v>0</v>
      </c>
      <c r="O4319">
        <v>-0.98803719999999995</v>
      </c>
      <c r="P4319">
        <v>0.1641869</v>
      </c>
      <c r="Q4319">
        <v>1.354313E-2</v>
      </c>
      <c r="R4319">
        <v>-0.98633649999999995</v>
      </c>
      <c r="S4319">
        <v>0.19525149999999999</v>
      </c>
      <c r="T4319">
        <v>-0.25370910000000002</v>
      </c>
      <c r="U4319">
        <v>-3.0140380000000002</v>
      </c>
      <c r="V4319">
        <v>-1.060329E-2</v>
      </c>
      <c r="W4319">
        <v>2.7664770000000002E-2</v>
      </c>
      <c r="X4319">
        <v>0.99956100000000003</v>
      </c>
      <c r="Y4319">
        <v>8.9609389999999997E-2</v>
      </c>
      <c r="Z4319">
        <v>8.213703E-2</v>
      </c>
      <c r="AA4319">
        <v>0.99258429999999997</v>
      </c>
      <c r="AB4319">
        <v>35</v>
      </c>
      <c r="AC4319">
        <v>9.0000000000145502E-3</v>
      </c>
      <c r="AD4319">
        <v>-8.1057999999999797E-2</v>
      </c>
      <c r="AE4319">
        <v>-0.611289999999996</v>
      </c>
      <c r="AF4319">
        <v>8.3525800437193695E-2</v>
      </c>
      <c r="AG4319">
        <v>-8.1057999999999797E-2</v>
      </c>
      <c r="AH4319">
        <v>0.59496022485177602</v>
      </c>
      <c r="AI4319">
        <v>97.683832200776294</v>
      </c>
      <c r="AJ4319">
        <v>82.008537829012496</v>
      </c>
      <c r="AK4319">
        <v>0.60623809502401704</v>
      </c>
      <c r="AL4319">
        <v>88.414723151294595</v>
      </c>
      <c r="AM4319">
        <v>90.607767789631097</v>
      </c>
      <c r="AN4319">
        <v>0.99999998098948795</v>
      </c>
    </row>
    <row r="4320" spans="1:40" x14ac:dyDescent="0.25">
      <c r="A4320" t="str">
        <f>"20190312151625082"</f>
        <v>20190312151625082</v>
      </c>
      <c r="B4320" t="str">
        <f>"1552374985071882"</f>
        <v>1552374985071882</v>
      </c>
      <c r="C4320" t="s">
        <v>40</v>
      </c>
      <c r="D4320">
        <v>5.0684969999999998</v>
      </c>
      <c r="E4320">
        <v>0.54052049999999996</v>
      </c>
      <c r="F4320" t="s">
        <v>41</v>
      </c>
      <c r="G4320">
        <v>-422.7432</v>
      </c>
      <c r="H4320">
        <v>1.025992</v>
      </c>
      <c r="I4320">
        <v>93.819109999999995</v>
      </c>
      <c r="J4320">
        <v>-422.74689999999998</v>
      </c>
      <c r="K4320">
        <v>1.1072120000000001</v>
      </c>
      <c r="L4320">
        <v>94.393280000000004</v>
      </c>
      <c r="M4320">
        <v>0.15080099999999999</v>
      </c>
      <c r="N4320">
        <v>0</v>
      </c>
      <c r="O4320">
        <v>-0.98846420000000002</v>
      </c>
      <c r="P4320">
        <v>0.16072919999999999</v>
      </c>
      <c r="Q4320">
        <v>1.4824149999999999E-2</v>
      </c>
      <c r="R4320">
        <v>-0.98688750000000003</v>
      </c>
      <c r="S4320">
        <v>0.18133540000000001</v>
      </c>
      <c r="T4320">
        <v>-0.26554609999999901</v>
      </c>
      <c r="U4320">
        <v>-3.015015</v>
      </c>
      <c r="V4320">
        <v>-9.8908490000000002E-3</v>
      </c>
      <c r="W4320">
        <v>2.892836E-2</v>
      </c>
      <c r="X4320">
        <v>0.99953259999999999</v>
      </c>
      <c r="Y4320">
        <v>9.1418529999999998E-2</v>
      </c>
      <c r="Z4320">
        <v>8.5973830000000001E-2</v>
      </c>
      <c r="AA4320">
        <v>0.99209429999999998</v>
      </c>
      <c r="AB4320">
        <v>35</v>
      </c>
      <c r="AC4320">
        <v>3.69999999998071E-3</v>
      </c>
      <c r="AD4320">
        <v>-8.1220000000000001E-2</v>
      </c>
      <c r="AE4320">
        <v>-0.57417000000000895</v>
      </c>
      <c r="AF4320">
        <v>8.1309361613415704E-2</v>
      </c>
      <c r="AG4320">
        <v>-8.1220000000000001E-2</v>
      </c>
      <c r="AH4320">
        <v>0.557015228155741</v>
      </c>
      <c r="AI4320">
        <v>98.2101916676109</v>
      </c>
      <c r="AJ4320">
        <v>81.695001621255898</v>
      </c>
      <c r="AK4320">
        <v>0.56874762863978101</v>
      </c>
      <c r="AL4320">
        <v>88.342295881350495</v>
      </c>
      <c r="AM4320">
        <v>90.566950399912201</v>
      </c>
      <c r="AN4320">
        <v>1.00000004868449</v>
      </c>
    </row>
    <row r="4321" spans="1:40" x14ac:dyDescent="0.25">
      <c r="A4321" t="str">
        <f>"20190312151625105"</f>
        <v>20190312151625105</v>
      </c>
      <c r="B4321" t="str">
        <f>"1552374985102139"</f>
        <v>1552374985102139</v>
      </c>
      <c r="C4321" t="s">
        <v>40</v>
      </c>
      <c r="D4321">
        <v>4.9587789999999998</v>
      </c>
      <c r="E4321">
        <v>0.53963490000000003</v>
      </c>
      <c r="F4321" t="s">
        <v>41</v>
      </c>
      <c r="G4321">
        <v>-422.69929999999999</v>
      </c>
      <c r="H4321">
        <v>1.0267409999999999</v>
      </c>
      <c r="I4321">
        <v>93.506420000000006</v>
      </c>
      <c r="J4321">
        <v>-422.69639999999998</v>
      </c>
      <c r="K4321">
        <v>1.107121</v>
      </c>
      <c r="L4321">
        <v>94.044920000000005</v>
      </c>
      <c r="M4321">
        <v>0.14801249999999999</v>
      </c>
      <c r="N4321">
        <v>0</v>
      </c>
      <c r="O4321">
        <v>-0.98888609999999999</v>
      </c>
      <c r="P4321">
        <v>0.15742229999999999</v>
      </c>
      <c r="Q4321">
        <v>1.6369910000000001E-2</v>
      </c>
      <c r="R4321">
        <v>-0.98739580000000005</v>
      </c>
      <c r="S4321">
        <v>0.1635132</v>
      </c>
      <c r="T4321">
        <v>-0.27359060000000002</v>
      </c>
      <c r="U4321">
        <v>-3.0173030000000001</v>
      </c>
      <c r="V4321">
        <v>-9.3489890000000003E-3</v>
      </c>
      <c r="W4321">
        <v>3.045929E-2</v>
      </c>
      <c r="X4321">
        <v>0.9994923</v>
      </c>
      <c r="Y4321">
        <v>9.4507460000000001E-2</v>
      </c>
      <c r="Z4321">
        <v>8.8549370000000002E-2</v>
      </c>
      <c r="AA4321">
        <v>0.99157819999999997</v>
      </c>
      <c r="AB4321">
        <v>35</v>
      </c>
      <c r="AC4321">
        <v>-2.9000000000110001E-3</v>
      </c>
      <c r="AD4321">
        <v>-8.0380000000000104E-2</v>
      </c>
      <c r="AE4321">
        <v>-0.53849999999999898</v>
      </c>
      <c r="AF4321">
        <v>8.0780834473170401E-2</v>
      </c>
      <c r="AG4321">
        <v>-8.0380000000000104E-2</v>
      </c>
      <c r="AH4321">
        <v>0.52054067437010798</v>
      </c>
      <c r="AI4321">
        <v>98.675835266910397</v>
      </c>
      <c r="AJ4321">
        <v>81.178837815517397</v>
      </c>
      <c r="AK4321">
        <v>0.53286872801081897</v>
      </c>
      <c r="AL4321">
        <v>88.254541294089805</v>
      </c>
      <c r="AM4321">
        <v>90.535914074817697</v>
      </c>
      <c r="AN4321">
        <v>1.00000001485095</v>
      </c>
    </row>
    <row r="4322" spans="1:40" x14ac:dyDescent="0.25">
      <c r="A4322" t="str">
        <f>"20190312151625126"</f>
        <v>20190312151625126</v>
      </c>
      <c r="B4322" t="str">
        <f>"1552374985122635"</f>
        <v>1552374985122635</v>
      </c>
      <c r="C4322" t="s">
        <v>40</v>
      </c>
      <c r="D4322">
        <v>4.84673</v>
      </c>
      <c r="E4322">
        <v>0.53865209999999997</v>
      </c>
      <c r="F4322" t="s">
        <v>41</v>
      </c>
      <c r="G4322">
        <v>-422.65120000000002</v>
      </c>
      <c r="H4322">
        <v>1.0349539999999999</v>
      </c>
      <c r="I4322">
        <v>93.190880000000007</v>
      </c>
      <c r="J4322">
        <v>-422.64800000000002</v>
      </c>
      <c r="K4322">
        <v>1.1070599999999999</v>
      </c>
      <c r="L4322">
        <v>93.704470000000001</v>
      </c>
      <c r="M4322">
        <v>0.14527999999999999</v>
      </c>
      <c r="N4322">
        <v>0</v>
      </c>
      <c r="O4322">
        <v>-0.98929140000000004</v>
      </c>
      <c r="P4322">
        <v>0.15402829999999901</v>
      </c>
      <c r="Q4322">
        <v>1.8485769999999999E-2</v>
      </c>
      <c r="R4322">
        <v>-0.9878941</v>
      </c>
      <c r="S4322">
        <v>0.1604004</v>
      </c>
      <c r="T4322">
        <v>-0.25488260000000001</v>
      </c>
      <c r="U4322">
        <v>-3.0169679999999999</v>
      </c>
      <c r="V4322">
        <v>-8.6630679999999995E-3</v>
      </c>
      <c r="W4322">
        <v>3.2560140000000001E-2</v>
      </c>
      <c r="X4322">
        <v>0.99943219999999999</v>
      </c>
      <c r="Y4322">
        <v>9.274396E-2</v>
      </c>
      <c r="Z4322">
        <v>8.2607710000000001E-2</v>
      </c>
      <c r="AA4322">
        <v>0.99225730000000001</v>
      </c>
      <c r="AB4322">
        <v>35</v>
      </c>
      <c r="AC4322">
        <v>-3.19999999999254E-3</v>
      </c>
      <c r="AD4322">
        <v>-7.2105999999999698E-2</v>
      </c>
      <c r="AE4322">
        <v>-0.513589999999993</v>
      </c>
      <c r="AF4322">
        <v>7.6284139009193994E-2</v>
      </c>
      <c r="AG4322">
        <v>-7.2105999999999698E-2</v>
      </c>
      <c r="AH4322">
        <v>0.49786208952769001</v>
      </c>
      <c r="AI4322">
        <v>98.147135225578396</v>
      </c>
      <c r="AJ4322">
        <v>81.288695262100305</v>
      </c>
      <c r="AK4322">
        <v>0.50880763092671</v>
      </c>
      <c r="AL4322">
        <v>88.134111545948002</v>
      </c>
      <c r="AM4322">
        <v>90.496626788176499</v>
      </c>
      <c r="AN4322">
        <v>0.99999996693041504</v>
      </c>
    </row>
    <row r="4323" spans="1:40" x14ac:dyDescent="0.25">
      <c r="A4323" t="str">
        <f>"20190312151625148"</f>
        <v>20190312151625148</v>
      </c>
      <c r="B4323" t="str">
        <f>"1552374985142155"</f>
        <v>1552374985142155</v>
      </c>
      <c r="C4323" t="s">
        <v>40</v>
      </c>
      <c r="D4323">
        <v>5.0643180000000001</v>
      </c>
      <c r="E4323">
        <v>0.53785179999999999</v>
      </c>
      <c r="F4323" t="s">
        <v>41</v>
      </c>
      <c r="G4323">
        <v>-422.60500000000002</v>
      </c>
      <c r="H4323">
        <v>1.041193</v>
      </c>
      <c r="I4323">
        <v>92.876300000000001</v>
      </c>
      <c r="J4323">
        <v>-422.5994</v>
      </c>
      <c r="K4323">
        <v>1.107016</v>
      </c>
      <c r="L4323">
        <v>93.354889999999997</v>
      </c>
      <c r="M4323">
        <v>0.1424764</v>
      </c>
      <c r="N4323">
        <v>0</v>
      </c>
      <c r="O4323">
        <v>-0.989699</v>
      </c>
      <c r="P4323">
        <v>0.1502569</v>
      </c>
      <c r="Q4323">
        <v>2.0486629999999999E-2</v>
      </c>
      <c r="R4323">
        <v>-0.98843490000000001</v>
      </c>
      <c r="S4323">
        <v>0.15829470000000001</v>
      </c>
      <c r="T4323">
        <v>-0.23968829999999999</v>
      </c>
      <c r="U4323">
        <v>-3.0165709999999999</v>
      </c>
      <c r="V4323">
        <v>-7.6693869999999997E-3</v>
      </c>
      <c r="W4323">
        <v>3.4544579999999998E-2</v>
      </c>
      <c r="X4323">
        <v>0.99937370000000003</v>
      </c>
      <c r="Y4323">
        <v>9.0585819999999997E-2</v>
      </c>
      <c r="Z4323">
        <v>7.7782450000000003E-2</v>
      </c>
      <c r="AA4323">
        <v>0.99284649999999997</v>
      </c>
      <c r="AB4323">
        <v>35</v>
      </c>
      <c r="AC4323">
        <v>-5.6000000000153696E-3</v>
      </c>
      <c r="AD4323">
        <v>-6.5822999999999895E-2</v>
      </c>
      <c r="AE4323">
        <v>-0.47858999999999702</v>
      </c>
      <c r="AF4323">
        <v>7.23686014606469E-2</v>
      </c>
      <c r="AG4323">
        <v>-6.5822999999999895E-2</v>
      </c>
      <c r="AH4323">
        <v>0.46413034667023501</v>
      </c>
      <c r="AI4323">
        <v>97.976742521037394</v>
      </c>
      <c r="AJ4323">
        <v>81.137630314360507</v>
      </c>
      <c r="AK4323">
        <v>0.47432779858090002</v>
      </c>
      <c r="AL4323">
        <v>88.020347438958694</v>
      </c>
      <c r="AM4323">
        <v>90.439690258507596</v>
      </c>
      <c r="AN4323">
        <v>0.99999996987800999</v>
      </c>
    </row>
    <row r="4324" spans="1:40" x14ac:dyDescent="0.25">
      <c r="A4324" t="str">
        <f>"20190312151625171"</f>
        <v>20190312151625171</v>
      </c>
      <c r="B4324" t="str">
        <f>"1552374985162065"</f>
        <v>1552374985162065</v>
      </c>
      <c r="C4324" t="s">
        <v>40</v>
      </c>
      <c r="D4324">
        <v>4.9821720000000003</v>
      </c>
      <c r="E4324">
        <v>0.53726689999999999</v>
      </c>
      <c r="F4324" t="s">
        <v>41</v>
      </c>
      <c r="G4324">
        <v>-422.5591</v>
      </c>
      <c r="H4324">
        <v>1.0480780000000001</v>
      </c>
      <c r="I4324">
        <v>92.559160000000006</v>
      </c>
      <c r="J4324">
        <v>-422.55250000000001</v>
      </c>
      <c r="K4324">
        <v>1.1069659999999999</v>
      </c>
      <c r="L4324">
        <v>93.010859999999994</v>
      </c>
      <c r="M4324">
        <v>0.1397215</v>
      </c>
      <c r="N4324">
        <v>0</v>
      </c>
      <c r="O4324">
        <v>-0.99009199999999997</v>
      </c>
      <c r="P4324">
        <v>0.14658460000000001</v>
      </c>
      <c r="Q4324">
        <v>2.060501E-2</v>
      </c>
      <c r="R4324">
        <v>-0.98898390000000003</v>
      </c>
      <c r="S4324">
        <v>0.15292359999999999</v>
      </c>
      <c r="T4324">
        <v>-0.2234042</v>
      </c>
      <c r="U4324">
        <v>-3.0165099999999998</v>
      </c>
      <c r="V4324">
        <v>-6.7348669999999899E-3</v>
      </c>
      <c r="W4324">
        <v>3.464942E-2</v>
      </c>
      <c r="X4324">
        <v>0.99937679999999995</v>
      </c>
      <c r="Y4324">
        <v>8.9556220000000006E-2</v>
      </c>
      <c r="Z4324">
        <v>7.2579130000000006E-2</v>
      </c>
      <c r="AA4324">
        <v>0.99333380000000004</v>
      </c>
      <c r="AB4324">
        <v>35</v>
      </c>
      <c r="AC4324">
        <v>-6.5999999999917201E-3</v>
      </c>
      <c r="AD4324">
        <v>-5.8887999999999802E-2</v>
      </c>
      <c r="AE4324">
        <v>-0.45170000000000199</v>
      </c>
      <c r="AF4324">
        <v>6.8489803666985899E-2</v>
      </c>
      <c r="AG4324">
        <v>-5.8887999999999802E-2</v>
      </c>
      <c r="AH4324">
        <v>0.43888821216685497</v>
      </c>
      <c r="AI4324">
        <v>97.551717271124801</v>
      </c>
      <c r="AJ4324">
        <v>81.130361806825107</v>
      </c>
      <c r="AK4324">
        <v>0.44808650116842402</v>
      </c>
      <c r="AL4324">
        <v>88.014336940473697</v>
      </c>
      <c r="AM4324">
        <v>90.386114239660699</v>
      </c>
      <c r="AN4324">
        <v>0.99999996455904105</v>
      </c>
    </row>
    <row r="4325" spans="1:40" x14ac:dyDescent="0.25">
      <c r="A4325" t="str">
        <f>"20190312151625194"</f>
        <v>20190312151625194</v>
      </c>
      <c r="B4325" t="str">
        <f>"1552374985182564"</f>
        <v>1552374985182564</v>
      </c>
      <c r="C4325" t="s">
        <v>40</v>
      </c>
      <c r="D4325">
        <v>5.1434559999999996</v>
      </c>
      <c r="E4325">
        <v>0.53635440000000001</v>
      </c>
      <c r="F4325" t="s">
        <v>41</v>
      </c>
      <c r="G4325">
        <v>-422.5154</v>
      </c>
      <c r="H4325">
        <v>1.0518110000000001</v>
      </c>
      <c r="I4325">
        <v>92.235479999999995</v>
      </c>
      <c r="J4325">
        <v>-422.50580000000002</v>
      </c>
      <c r="K4325">
        <v>1.1069199999999999</v>
      </c>
      <c r="L4325">
        <v>92.660579999999996</v>
      </c>
      <c r="M4325">
        <v>0.13690959999999999</v>
      </c>
      <c r="N4325">
        <v>0</v>
      </c>
      <c r="O4325">
        <v>-0.9904847</v>
      </c>
      <c r="P4325">
        <v>0.14359479999999999</v>
      </c>
      <c r="Q4325">
        <v>1.584868E-2</v>
      </c>
      <c r="R4325">
        <v>-0.98950979999999999</v>
      </c>
      <c r="S4325">
        <v>0.14639279999999999</v>
      </c>
      <c r="T4325">
        <v>-0.2143611</v>
      </c>
      <c r="U4325">
        <v>-3.0161739999999999</v>
      </c>
      <c r="V4325">
        <v>-6.5671829999999999E-3</v>
      </c>
      <c r="W4325">
        <v>2.9886389999999999E-2</v>
      </c>
      <c r="X4325">
        <v>0.99953170000000002</v>
      </c>
      <c r="Y4325">
        <v>8.8858080000000006E-2</v>
      </c>
      <c r="Z4325">
        <v>6.9711389999999998E-2</v>
      </c>
      <c r="AA4325">
        <v>0.99360179999999998</v>
      </c>
      <c r="AB4325">
        <v>35</v>
      </c>
      <c r="AC4325">
        <v>-9.5999999999776195E-3</v>
      </c>
      <c r="AD4325">
        <v>-5.5108999999999998E-2</v>
      </c>
      <c r="AE4325">
        <v>-0.42509999999999998</v>
      </c>
      <c r="AF4325">
        <v>6.6596901314710105E-2</v>
      </c>
      <c r="AG4325">
        <v>-5.5108999999999998E-2</v>
      </c>
      <c r="AH4325">
        <v>0.41284706964701001</v>
      </c>
      <c r="AI4325">
        <v>97.507276883819003</v>
      </c>
      <c r="AJ4325">
        <v>80.836480999949401</v>
      </c>
      <c r="AK4325">
        <v>0.42179954013944199</v>
      </c>
      <c r="AL4325">
        <v>88.287380924343594</v>
      </c>
      <c r="AM4325">
        <v>90.376442743126105</v>
      </c>
      <c r="AN4325">
        <v>0.99999997175233801</v>
      </c>
    </row>
    <row r="4326" spans="1:40" x14ac:dyDescent="0.25">
      <c r="A4326" t="str">
        <f>"20190312151625216"</f>
        <v>20190312151625216</v>
      </c>
      <c r="B4326" t="str">
        <f>"1552374985211840"</f>
        <v>1552374985211840</v>
      </c>
      <c r="C4326" t="s">
        <v>40</v>
      </c>
      <c r="D4326">
        <v>4.9049630000000004</v>
      </c>
      <c r="E4326">
        <v>0.53506180000000003</v>
      </c>
      <c r="F4326" t="s">
        <v>41</v>
      </c>
      <c r="G4326">
        <v>-422.45679999999999</v>
      </c>
      <c r="H4326">
        <v>1.029512</v>
      </c>
      <c r="I4326">
        <v>91.633600000000001</v>
      </c>
      <c r="J4326">
        <v>-422.45890000000003</v>
      </c>
      <c r="K4326">
        <v>1.1068690000000001</v>
      </c>
      <c r="L4326">
        <v>92.299319999999994</v>
      </c>
      <c r="M4326">
        <v>0.1339766</v>
      </c>
      <c r="N4326">
        <v>0</v>
      </c>
      <c r="O4326">
        <v>-0.99088580000000004</v>
      </c>
      <c r="P4326">
        <v>0.1405102</v>
      </c>
      <c r="Q4326">
        <v>1.485027E-2</v>
      </c>
      <c r="R4326">
        <v>-0.98996810000000002</v>
      </c>
      <c r="S4326">
        <v>0.1444397</v>
      </c>
      <c r="T4326">
        <v>-0.22714760000000001</v>
      </c>
      <c r="U4326">
        <v>-3.014465</v>
      </c>
      <c r="V4326">
        <v>-6.4124730000000001E-3</v>
      </c>
      <c r="W4326">
        <v>2.8882129999999999E-2</v>
      </c>
      <c r="X4326">
        <v>0.99956230000000001</v>
      </c>
      <c r="Y4326">
        <v>8.6538610000000002E-2</v>
      </c>
      <c r="Z4326">
        <v>7.3942450000000007E-2</v>
      </c>
      <c r="AA4326">
        <v>0.99350059999999996</v>
      </c>
      <c r="AB4326">
        <v>35</v>
      </c>
      <c r="AC4326">
        <v>2.1000000000412902E-3</v>
      </c>
      <c r="AD4326">
        <v>-7.7357000000000106E-2</v>
      </c>
      <c r="AE4326">
        <v>-0.66571999999999298</v>
      </c>
      <c r="AF4326">
        <v>8.5957922447958093E-2</v>
      </c>
      <c r="AG4326">
        <v>-7.7357000000000106E-2</v>
      </c>
      <c r="AH4326">
        <v>0.65120554461703595</v>
      </c>
      <c r="AI4326">
        <v>96.716722795185902</v>
      </c>
      <c r="AJ4326">
        <v>82.480534264176995</v>
      </c>
      <c r="AK4326">
        <v>0.66139362804652102</v>
      </c>
      <c r="AL4326">
        <v>88.344945765276606</v>
      </c>
      <c r="AM4326">
        <v>90.367563481479706</v>
      </c>
      <c r="AN4326">
        <v>1.0000000444123001</v>
      </c>
    </row>
    <row r="4327" spans="1:40" x14ac:dyDescent="0.25">
      <c r="A4327" t="str">
        <f>"20190312151625239"</f>
        <v>20190312151625239</v>
      </c>
      <c r="B4327" t="str">
        <f>"1552374985232336"</f>
        <v>1552374985232336</v>
      </c>
      <c r="C4327" t="s">
        <v>40</v>
      </c>
      <c r="D4327">
        <v>5.1429809999999998</v>
      </c>
      <c r="E4327">
        <v>0.53451559999999998</v>
      </c>
      <c r="F4327" t="s">
        <v>41</v>
      </c>
      <c r="G4327">
        <v>-422.41210000000001</v>
      </c>
      <c r="H4327">
        <v>1.028079</v>
      </c>
      <c r="I4327">
        <v>91.323909999999998</v>
      </c>
      <c r="J4327">
        <v>-422.41629999999998</v>
      </c>
      <c r="K4327">
        <v>1.106827</v>
      </c>
      <c r="L4327">
        <v>91.964290000000005</v>
      </c>
      <c r="M4327">
        <v>0.13122159999999999</v>
      </c>
      <c r="N4327">
        <v>0</v>
      </c>
      <c r="O4327">
        <v>-0.99125459999999999</v>
      </c>
      <c r="P4327">
        <v>0.13726179999999999</v>
      </c>
      <c r="Q4327">
        <v>1.2555780000000001E-2</v>
      </c>
      <c r="R4327">
        <v>-0.99045589999999994</v>
      </c>
      <c r="S4327">
        <v>0.14486689999999999</v>
      </c>
      <c r="T4327">
        <v>-0.2433853</v>
      </c>
      <c r="U4327">
        <v>-3.0134889999999999</v>
      </c>
      <c r="V4327">
        <v>-5.91954E-3</v>
      </c>
      <c r="W4327">
        <v>2.6581799999999999E-2</v>
      </c>
      <c r="X4327">
        <v>0.99962910000000005</v>
      </c>
      <c r="Y4327">
        <v>8.3632579999999998E-2</v>
      </c>
      <c r="Z4327">
        <v>7.9274940000000002E-2</v>
      </c>
      <c r="AA4327">
        <v>0.99333830000000001</v>
      </c>
      <c r="AB4327">
        <v>35</v>
      </c>
      <c r="AC4327">
        <v>4.1999999999688901E-3</v>
      </c>
      <c r="AD4327">
        <v>-7.8747999999999804E-2</v>
      </c>
      <c r="AE4327">
        <v>-0.64038000000000705</v>
      </c>
      <c r="AF4327">
        <v>7.8686386797553201E-2</v>
      </c>
      <c r="AG4327">
        <v>-7.8747999999999804E-2</v>
      </c>
      <c r="AH4327">
        <v>0.62592801949010002</v>
      </c>
      <c r="AI4327">
        <v>97.115285269151499</v>
      </c>
      <c r="AJ4327">
        <v>82.834845097640994</v>
      </c>
      <c r="AK4327">
        <v>0.63575048608243601</v>
      </c>
      <c r="AL4327">
        <v>88.476795609133106</v>
      </c>
      <c r="AM4327">
        <v>90.339286535626897</v>
      </c>
      <c r="AN4327">
        <v>0.99999998530593004</v>
      </c>
    </row>
    <row r="4328" spans="1:40" x14ac:dyDescent="0.25">
      <c r="A4328" t="str">
        <f>"20190312151625262"</f>
        <v>20190312151625262</v>
      </c>
      <c r="B4328" t="str">
        <f>"1552374985252833"</f>
        <v>1552374985252833</v>
      </c>
      <c r="C4328" t="s">
        <v>40</v>
      </c>
      <c r="D4328">
        <v>4.8553280000000001</v>
      </c>
      <c r="E4328">
        <v>0.53378300000000001</v>
      </c>
      <c r="F4328" t="s">
        <v>41</v>
      </c>
      <c r="G4328">
        <v>-422.37259999999998</v>
      </c>
      <c r="H4328">
        <v>1.024748</v>
      </c>
      <c r="I4328">
        <v>91.014679999999998</v>
      </c>
      <c r="J4328">
        <v>-422.37240000000003</v>
      </c>
      <c r="K4328">
        <v>1.1067560000000001</v>
      </c>
      <c r="L4328">
        <v>91.610500000000002</v>
      </c>
      <c r="M4328">
        <v>0.1282478</v>
      </c>
      <c r="N4328">
        <v>0</v>
      </c>
      <c r="O4328">
        <v>-0.99164350000000001</v>
      </c>
      <c r="P4328">
        <v>0.13418260000000001</v>
      </c>
      <c r="Q4328">
        <v>8.7740869999999999E-3</v>
      </c>
      <c r="R4328">
        <v>-0.99091799999999997</v>
      </c>
      <c r="S4328">
        <v>0.139495799999999</v>
      </c>
      <c r="T4328">
        <v>-0.26028050000000003</v>
      </c>
      <c r="U4328">
        <v>-3.0128780000000002</v>
      </c>
      <c r="V4328">
        <v>-5.8271349999999998E-3</v>
      </c>
      <c r="W4328">
        <v>2.279782E-2</v>
      </c>
      <c r="X4328">
        <v>0.99972309999999998</v>
      </c>
      <c r="Y4328">
        <v>8.2421999999999995E-2</v>
      </c>
      <c r="Z4328">
        <v>8.4813719999999995E-2</v>
      </c>
      <c r="AA4328">
        <v>0.99298200000000003</v>
      </c>
      <c r="AB4328">
        <v>35</v>
      </c>
      <c r="AC4328">
        <v>-1.99999999949795E-4</v>
      </c>
      <c r="AD4328">
        <v>-8.2007999999999803E-2</v>
      </c>
      <c r="AE4328">
        <v>-0.59582000000000301</v>
      </c>
      <c r="AF4328">
        <v>7.5193921001169603E-2</v>
      </c>
      <c r="AG4328">
        <v>-8.2007999999999803E-2</v>
      </c>
      <c r="AH4328">
        <v>0.57988753532347603</v>
      </c>
      <c r="AI4328">
        <v>97.983454572288196</v>
      </c>
      <c r="AJ4328">
        <v>82.611691334103696</v>
      </c>
      <c r="AK4328">
        <v>0.59046506369392004</v>
      </c>
      <c r="AL4328">
        <v>88.693667938479805</v>
      </c>
      <c r="AM4328">
        <v>90.333958934454699</v>
      </c>
      <c r="AN4328">
        <v>0.99999998638633503</v>
      </c>
    </row>
    <row r="4329" spans="1:40" x14ac:dyDescent="0.25">
      <c r="A4329" t="str">
        <f>"20190312151625283"</f>
        <v>20190312151625283</v>
      </c>
      <c r="B4329" t="str">
        <f>"1552374985271884"</f>
        <v>1552374985271884</v>
      </c>
      <c r="C4329" t="s">
        <v>40</v>
      </c>
      <c r="D4329">
        <v>4.9096630000000001</v>
      </c>
      <c r="E4329">
        <v>0.53322040000000004</v>
      </c>
      <c r="F4329" t="s">
        <v>41</v>
      </c>
      <c r="G4329">
        <v>-422.33199999999999</v>
      </c>
      <c r="H4329">
        <v>1.0221290000000001</v>
      </c>
      <c r="I4329">
        <v>90.705449999999999</v>
      </c>
      <c r="J4329">
        <v>-422.33080000000001</v>
      </c>
      <c r="K4329">
        <v>1.1066860000000001</v>
      </c>
      <c r="L4329">
        <v>91.265469999999993</v>
      </c>
      <c r="M4329">
        <v>0.12525120000000001</v>
      </c>
      <c r="N4329">
        <v>0</v>
      </c>
      <c r="O4329">
        <v>-0.99202650000000003</v>
      </c>
      <c r="P4329">
        <v>0.13134999999999999</v>
      </c>
      <c r="Q4329">
        <v>6.386465E-3</v>
      </c>
      <c r="R4329">
        <v>-0.99131539999999996</v>
      </c>
      <c r="S4329">
        <v>0.13604740000000001</v>
      </c>
      <c r="T4329">
        <v>-0.2813638</v>
      </c>
      <c r="U4329">
        <v>-3.0115660000000002</v>
      </c>
      <c r="V4329">
        <v>-6.000488E-3</v>
      </c>
      <c r="W4329">
        <v>2.0410850000000001E-2</v>
      </c>
      <c r="X4329">
        <v>0.99977369999999999</v>
      </c>
      <c r="Y4329">
        <v>8.0553239999999998E-2</v>
      </c>
      <c r="Z4329">
        <v>9.1729279999999996E-2</v>
      </c>
      <c r="AA4329">
        <v>0.99252050000000003</v>
      </c>
      <c r="AB4329">
        <v>35</v>
      </c>
      <c r="AC4329">
        <v>-1.1999999999829901E-3</v>
      </c>
      <c r="AD4329">
        <v>-8.4556999999999993E-2</v>
      </c>
      <c r="AE4329">
        <v>-0.56001999999999397</v>
      </c>
      <c r="AF4329">
        <v>6.9750438828539596E-2</v>
      </c>
      <c r="AG4329">
        <v>-8.4556999999999993E-2</v>
      </c>
      <c r="AH4329">
        <v>0.54307779751352603</v>
      </c>
      <c r="AI4329">
        <v>98.778899179251198</v>
      </c>
      <c r="AJ4329">
        <v>82.681258031646095</v>
      </c>
      <c r="AK4329">
        <v>0.55402933506982899</v>
      </c>
      <c r="AL4329">
        <v>88.830463258768305</v>
      </c>
      <c r="AM4329">
        <v>90.343876328550294</v>
      </c>
      <c r="AN4329">
        <v>1.00000002993282</v>
      </c>
    </row>
    <row r="4330" spans="1:40" x14ac:dyDescent="0.25">
      <c r="A4330" t="str">
        <f>"20190312151625305"</f>
        <v>20190312151625305</v>
      </c>
      <c r="B4330" t="str">
        <f>"1552374985302140"</f>
        <v>1552374985302140</v>
      </c>
      <c r="C4330" t="s">
        <v>40</v>
      </c>
      <c r="D4330">
        <v>4.831639</v>
      </c>
      <c r="E4330">
        <v>0.53261559999999997</v>
      </c>
      <c r="F4330" t="s">
        <v>41</v>
      </c>
      <c r="G4330">
        <v>-422.29289999999997</v>
      </c>
      <c r="H4330">
        <v>1.0243150000000001</v>
      </c>
      <c r="I4330">
        <v>90.393839999999997</v>
      </c>
      <c r="J4330">
        <v>-422.29059999999998</v>
      </c>
      <c r="K4330">
        <v>1.1066020000000001</v>
      </c>
      <c r="L4330">
        <v>90.923519999999996</v>
      </c>
      <c r="M4330">
        <v>0.1221609</v>
      </c>
      <c r="N4330">
        <v>0</v>
      </c>
      <c r="O4330">
        <v>-0.99241190000000001</v>
      </c>
      <c r="P4330">
        <v>0.1288145</v>
      </c>
      <c r="Q4330">
        <v>8.2716779999999993E-3</v>
      </c>
      <c r="R4330">
        <v>-0.99163449999999997</v>
      </c>
      <c r="S4330">
        <v>0.13204959999999999</v>
      </c>
      <c r="T4330">
        <v>-0.28426590000000002</v>
      </c>
      <c r="U4330">
        <v>-3.0106199999999999</v>
      </c>
      <c r="V4330">
        <v>-6.5417879999999998E-3</v>
      </c>
      <c r="W4330">
        <v>2.23006E-2</v>
      </c>
      <c r="X4330">
        <v>0.99972989999999995</v>
      </c>
      <c r="Y4330">
        <v>7.8754130000000006E-2</v>
      </c>
      <c r="Z4330">
        <v>9.2759519999999998E-2</v>
      </c>
      <c r="AA4330">
        <v>0.99256909999999998</v>
      </c>
      <c r="AB4330">
        <v>35</v>
      </c>
      <c r="AC4330">
        <v>-2.29999999999108E-3</v>
      </c>
      <c r="AD4330">
        <v>-8.2287000000000193E-2</v>
      </c>
      <c r="AE4330">
        <v>-0.52967999999999804</v>
      </c>
      <c r="AF4330">
        <v>6.5416522082155704E-2</v>
      </c>
      <c r="AG4330">
        <v>-8.2287000000000193E-2</v>
      </c>
      <c r="AH4330">
        <v>0.51304921780153001</v>
      </c>
      <c r="AI4330">
        <v>99.039993134090594</v>
      </c>
      <c r="AJ4330">
        <v>82.733689704456594</v>
      </c>
      <c r="AK4330">
        <v>0.52370790677350498</v>
      </c>
      <c r="AL4330">
        <v>88.722163799796107</v>
      </c>
      <c r="AM4330">
        <v>90.374912757291895</v>
      </c>
      <c r="AN4330">
        <v>0.99999999235230297</v>
      </c>
    </row>
    <row r="4331" spans="1:40" x14ac:dyDescent="0.25">
      <c r="A4331" t="str">
        <f>"20190312151625328"</f>
        <v>20190312151625328</v>
      </c>
      <c r="B4331" t="str">
        <f>"1552374985322639"</f>
        <v>1552374985322639</v>
      </c>
      <c r="C4331" t="s">
        <v>40</v>
      </c>
      <c r="D4331">
        <v>4.7011640000000003</v>
      </c>
      <c r="E4331">
        <v>0.53241499999999997</v>
      </c>
      <c r="F4331" t="s">
        <v>41</v>
      </c>
      <c r="G4331">
        <v>-422.25450000000001</v>
      </c>
      <c r="H4331">
        <v>1.030842</v>
      </c>
      <c r="I4331">
        <v>90.08014</v>
      </c>
      <c r="J4331">
        <v>-422.2509</v>
      </c>
      <c r="K4331">
        <v>1.106508</v>
      </c>
      <c r="L4331">
        <v>90.574070000000006</v>
      </c>
      <c r="M4331">
        <v>0.1188587</v>
      </c>
      <c r="N4331">
        <v>0</v>
      </c>
      <c r="O4331">
        <v>-0.99281269999999999</v>
      </c>
      <c r="P4331">
        <v>0.12619629999999901</v>
      </c>
      <c r="Q4331">
        <v>1.139769E-2</v>
      </c>
      <c r="R4331">
        <v>-0.99193980000000004</v>
      </c>
      <c r="S4331">
        <v>0.12976070000000001</v>
      </c>
      <c r="T4331">
        <v>-0.27033849999999998</v>
      </c>
      <c r="U4331">
        <v>-3.0106809999999999</v>
      </c>
      <c r="V4331">
        <v>-7.2038719999999896E-3</v>
      </c>
      <c r="W4331">
        <v>2.5433480000000001E-2</v>
      </c>
      <c r="X4331">
        <v>0.9996505</v>
      </c>
      <c r="Y4331">
        <v>7.6174019999999995E-2</v>
      </c>
      <c r="Z4331">
        <v>8.8314119999999996E-2</v>
      </c>
      <c r="AA4331">
        <v>0.99317580000000005</v>
      </c>
      <c r="AB4331">
        <v>35</v>
      </c>
      <c r="AC4331">
        <v>-3.6000000000058199E-3</v>
      </c>
      <c r="AD4331">
        <v>-7.5665999999999997E-2</v>
      </c>
      <c r="AE4331">
        <v>-0.49392999999999099</v>
      </c>
      <c r="AF4331">
        <v>6.0859926654577901E-2</v>
      </c>
      <c r="AG4331">
        <v>-7.5665999999999997E-2</v>
      </c>
      <c r="AH4331">
        <v>0.47876507434339299</v>
      </c>
      <c r="AI4331">
        <v>98.910436946886193</v>
      </c>
      <c r="AJ4331">
        <v>82.755497908213499</v>
      </c>
      <c r="AK4331">
        <v>0.488513326982423</v>
      </c>
      <c r="AL4331">
        <v>88.542611699789006</v>
      </c>
      <c r="AM4331">
        <v>90.412888621536197</v>
      </c>
      <c r="AN4331">
        <v>0.99999993991347402</v>
      </c>
    </row>
    <row r="4332" spans="1:40" x14ac:dyDescent="0.25">
      <c r="A4332" t="str">
        <f>"20190312151625349"</f>
        <v>20190312151625349</v>
      </c>
      <c r="B4332" t="str">
        <f>"1552374985342156"</f>
        <v>1552374985342156</v>
      </c>
      <c r="C4332" t="s">
        <v>40</v>
      </c>
      <c r="D4332">
        <v>4.7636079999999996</v>
      </c>
      <c r="E4332">
        <v>0.53200049999999999</v>
      </c>
      <c r="F4332" t="s">
        <v>41</v>
      </c>
      <c r="G4332">
        <v>-422.2176</v>
      </c>
      <c r="H4332">
        <v>1.036926</v>
      </c>
      <c r="I4332">
        <v>89.766689999999997</v>
      </c>
      <c r="J4332">
        <v>-422.21370000000002</v>
      </c>
      <c r="K4332">
        <v>1.106395</v>
      </c>
      <c r="L4332">
        <v>90.236599999999996</v>
      </c>
      <c r="M4332">
        <v>0.11551930000000001</v>
      </c>
      <c r="N4332">
        <v>0</v>
      </c>
      <c r="O4332">
        <v>-0.9932069</v>
      </c>
      <c r="P4332">
        <v>0.1235363</v>
      </c>
      <c r="Q4332">
        <v>1.242542E-2</v>
      </c>
      <c r="R4332">
        <v>-0.99226239999999999</v>
      </c>
      <c r="S4332">
        <v>0.1238098</v>
      </c>
      <c r="T4332">
        <v>-0.25955119999999998</v>
      </c>
      <c r="U4332">
        <v>-3.0115970000000001</v>
      </c>
      <c r="V4332">
        <v>-7.8709969999999994E-3</v>
      </c>
      <c r="W4332">
        <v>2.6470730000000001E-2</v>
      </c>
      <c r="X4332">
        <v>0.99961860000000002</v>
      </c>
      <c r="Y4332">
        <v>7.4780340000000001E-2</v>
      </c>
      <c r="Z4332">
        <v>8.4849499999999994E-2</v>
      </c>
      <c r="AA4332">
        <v>0.99358360000000001</v>
      </c>
      <c r="AB4332">
        <v>35</v>
      </c>
      <c r="AC4332">
        <v>-3.8999999999873498E-3</v>
      </c>
      <c r="AD4332">
        <v>-6.9469000000000003E-2</v>
      </c>
      <c r="AE4332">
        <v>-0.469909999999998</v>
      </c>
      <c r="AF4332">
        <v>5.6918978306242603E-2</v>
      </c>
      <c r="AG4332">
        <v>-6.9469000000000003E-2</v>
      </c>
      <c r="AH4332">
        <v>0.45634020520224</v>
      </c>
      <c r="AI4332">
        <v>98.590165102911101</v>
      </c>
      <c r="AJ4332">
        <v>82.890257496524598</v>
      </c>
      <c r="AK4332">
        <v>0.46509364104064999</v>
      </c>
      <c r="AL4332">
        <v>88.4831617120565</v>
      </c>
      <c r="AM4332">
        <v>90.451137652777703</v>
      </c>
      <c r="AN4332">
        <v>0.99999999880323298</v>
      </c>
    </row>
    <row r="4333" spans="1:40" x14ac:dyDescent="0.25">
      <c r="A4333" t="str">
        <f>"20190312151625372"</f>
        <v>20190312151625372</v>
      </c>
      <c r="B4333" t="str">
        <f>"1552374985362652"</f>
        <v>1552374985362652</v>
      </c>
      <c r="C4333" t="s">
        <v>40</v>
      </c>
      <c r="D4333">
        <v>4.7340049999999998</v>
      </c>
      <c r="E4333">
        <v>0.5316284</v>
      </c>
      <c r="F4333" t="s">
        <v>41</v>
      </c>
      <c r="G4333">
        <v>-422.18290000000002</v>
      </c>
      <c r="H4333">
        <v>1.040456</v>
      </c>
      <c r="I4333">
        <v>89.454509999999999</v>
      </c>
      <c r="J4333">
        <v>-422.17619999999999</v>
      </c>
      <c r="K4333">
        <v>1.1062559999999999</v>
      </c>
      <c r="L4333">
        <v>89.883759999999995</v>
      </c>
      <c r="M4333">
        <v>0.11186690000000001</v>
      </c>
      <c r="N4333">
        <v>0</v>
      </c>
      <c r="O4333">
        <v>-0.99362470000000003</v>
      </c>
      <c r="P4333">
        <v>0.12088019999999999</v>
      </c>
      <c r="Q4333">
        <v>1.19731E-2</v>
      </c>
      <c r="R4333">
        <v>-0.99259529999999996</v>
      </c>
      <c r="S4333">
        <v>0.118866</v>
      </c>
      <c r="T4333">
        <v>-0.25385590000000002</v>
      </c>
      <c r="U4333">
        <v>-3.0117799999999999</v>
      </c>
      <c r="V4333">
        <v>-8.8658750000000005E-3</v>
      </c>
      <c r="W4333">
        <v>2.6032670000000001E-2</v>
      </c>
      <c r="X4333">
        <v>0.99962169999999895</v>
      </c>
      <c r="Y4333">
        <v>7.2738670000000005E-2</v>
      </c>
      <c r="Z4333">
        <v>8.3057399999999906E-2</v>
      </c>
      <c r="AA4333">
        <v>0.99388659999999995</v>
      </c>
      <c r="AB4333">
        <v>35</v>
      </c>
      <c r="AC4333">
        <v>-6.7000000000234598E-3</v>
      </c>
      <c r="AD4333">
        <v>-6.5799999999999803E-2</v>
      </c>
      <c r="AE4333">
        <v>-0.42924999999999602</v>
      </c>
      <c r="AF4333">
        <v>5.3426396105784903E-2</v>
      </c>
      <c r="AG4333">
        <v>-6.5799999999999803E-2</v>
      </c>
      <c r="AH4333">
        <v>0.41603202673105</v>
      </c>
      <c r="AI4333">
        <v>98.915481564753193</v>
      </c>
      <c r="AJ4333">
        <v>82.682187805903197</v>
      </c>
      <c r="AK4333">
        <v>0.42457822255362698</v>
      </c>
      <c r="AL4333">
        <v>88.508269241901999</v>
      </c>
      <c r="AM4333">
        <v>90.508156135573103</v>
      </c>
      <c r="AN4333">
        <v>0.99999992337886401</v>
      </c>
    </row>
    <row r="4334" spans="1:40" x14ac:dyDescent="0.25">
      <c r="A4334" t="str">
        <f>"20190312151625394"</f>
        <v>20190312151625394</v>
      </c>
      <c r="B4334" t="str">
        <f>"1552374985391932"</f>
        <v>1552374985391932</v>
      </c>
      <c r="C4334" t="s">
        <v>40</v>
      </c>
      <c r="D4334">
        <v>4.7857640000000004</v>
      </c>
      <c r="E4334">
        <v>0.53102079999999996</v>
      </c>
      <c r="F4334" t="s">
        <v>41</v>
      </c>
      <c r="G4334">
        <v>-422.14859999999999</v>
      </c>
      <c r="H4334">
        <v>1.04393</v>
      </c>
      <c r="I4334">
        <v>89.141379999999998</v>
      </c>
      <c r="J4334">
        <v>-422.14080000000001</v>
      </c>
      <c r="K4334">
        <v>1.1061289999999999</v>
      </c>
      <c r="L4334">
        <v>89.536900000000003</v>
      </c>
      <c r="M4334">
        <v>0.10811270000000001</v>
      </c>
      <c r="N4334">
        <v>0</v>
      </c>
      <c r="O4334">
        <v>-0.99404029999999999</v>
      </c>
      <c r="P4334">
        <v>0.11886190000000001</v>
      </c>
      <c r="Q4334">
        <v>1.131247E-2</v>
      </c>
      <c r="R4334">
        <v>-0.99284640000000002</v>
      </c>
      <c r="S4334">
        <v>0.11334230000000001</v>
      </c>
      <c r="T4334">
        <v>-0.25254199999999999</v>
      </c>
      <c r="U4334">
        <v>-3.0116269999999998</v>
      </c>
      <c r="V4334">
        <v>-1.0606310000000001E-2</v>
      </c>
      <c r="W4334">
        <v>2.539249E-2</v>
      </c>
      <c r="X4334">
        <v>0.99962130000000005</v>
      </c>
      <c r="Y4334">
        <v>7.0788089999999998E-2</v>
      </c>
      <c r="Z4334">
        <v>8.2695329999999997E-2</v>
      </c>
      <c r="AA4334">
        <v>0.99405759999999999</v>
      </c>
      <c r="AB4334">
        <v>35</v>
      </c>
      <c r="AC4334">
        <v>-7.79999999997471E-3</v>
      </c>
      <c r="AD4334">
        <v>-6.2199000000000101E-2</v>
      </c>
      <c r="AE4334">
        <v>-0.39552000000000398</v>
      </c>
      <c r="AF4334">
        <v>4.9300446287301E-2</v>
      </c>
      <c r="AG4334">
        <v>-6.2199000000000101E-2</v>
      </c>
      <c r="AH4334">
        <v>0.38289252323155598</v>
      </c>
      <c r="AI4334">
        <v>99.152557444009602</v>
      </c>
      <c r="AJ4334">
        <v>82.663081968267605</v>
      </c>
      <c r="AK4334">
        <v>0.391031883548842</v>
      </c>
      <c r="AL4334">
        <v>88.544961111596805</v>
      </c>
      <c r="AM4334">
        <v>90.607904209426295</v>
      </c>
      <c r="AN4334">
        <v>1.00000000788695</v>
      </c>
    </row>
    <row r="4335" spans="1:40" x14ac:dyDescent="0.25">
      <c r="A4335" t="str">
        <f>"20190312151625417"</f>
        <v>20190312151625417</v>
      </c>
      <c r="B4335" t="str">
        <f>"1552374985412428"</f>
        <v>1552374985412428</v>
      </c>
      <c r="C4335" t="s">
        <v>40</v>
      </c>
      <c r="D4335">
        <v>4.7639339999999999</v>
      </c>
      <c r="E4335">
        <v>0.53057969999999999</v>
      </c>
      <c r="F4335" t="s">
        <v>41</v>
      </c>
      <c r="G4335">
        <v>-422.10359999999997</v>
      </c>
      <c r="H4335">
        <v>1.0257499999999999</v>
      </c>
      <c r="I4335">
        <v>88.529079999999993</v>
      </c>
      <c r="J4335">
        <v>-422.10640000000001</v>
      </c>
      <c r="K4335">
        <v>1.1060160000000001</v>
      </c>
      <c r="L4335">
        <v>89.184169999999995</v>
      </c>
      <c r="M4335">
        <v>0.1041559</v>
      </c>
      <c r="N4335">
        <v>0</v>
      </c>
      <c r="O4335">
        <v>-0.99446250000000003</v>
      </c>
      <c r="P4335">
        <v>0.11675190000000001</v>
      </c>
      <c r="Q4335">
        <v>1.0709710000000001E-2</v>
      </c>
      <c r="R4335">
        <v>-0.99310339999999997</v>
      </c>
      <c r="S4335">
        <v>0.1118774</v>
      </c>
      <c r="T4335">
        <v>-0.2400099</v>
      </c>
      <c r="U4335">
        <v>-3.0109560000000002</v>
      </c>
      <c r="V4335">
        <v>-1.245828E-2</v>
      </c>
      <c r="W4335">
        <v>2.4812839999999999E-2</v>
      </c>
      <c r="X4335">
        <v>0.99961449999999996</v>
      </c>
      <c r="Y4335">
        <v>6.7280519999999996E-2</v>
      </c>
      <c r="Z4335">
        <v>7.8696089999999996E-2</v>
      </c>
      <c r="AA4335">
        <v>0.99462569999999995</v>
      </c>
      <c r="AB4335">
        <v>35</v>
      </c>
      <c r="AC4335">
        <v>2.8000000000361E-3</v>
      </c>
      <c r="AD4335">
        <v>-8.0265999999999907E-2</v>
      </c>
      <c r="AE4335">
        <v>-0.65508999999998696</v>
      </c>
      <c r="AF4335">
        <v>6.4485317892807703E-2</v>
      </c>
      <c r="AG4335">
        <v>-8.0265999999999907E-2</v>
      </c>
      <c r="AH4335">
        <v>0.64217722600224103</v>
      </c>
      <c r="AI4335">
        <v>97.089188940767599</v>
      </c>
      <c r="AJ4335">
        <v>84.265769071634693</v>
      </c>
      <c r="AK4335">
        <v>0.65037879468481297</v>
      </c>
      <c r="AL4335">
        <v>88.578183092583103</v>
      </c>
      <c r="AM4335">
        <v>90.714045173673298</v>
      </c>
      <c r="AN4335">
        <v>1.00000001718983</v>
      </c>
    </row>
    <row r="4336" spans="1:40" x14ac:dyDescent="0.25">
      <c r="A4336" t="str">
        <f>"20190312151625438"</f>
        <v>20190312151625438</v>
      </c>
      <c r="B4336" t="str">
        <f>"1552374985431947"</f>
        <v>1552374985431947</v>
      </c>
      <c r="C4336" t="s">
        <v>40</v>
      </c>
      <c r="D4336">
        <v>4.8943320000000003</v>
      </c>
      <c r="E4336">
        <v>0.530174699999999</v>
      </c>
      <c r="F4336" t="s">
        <v>41</v>
      </c>
      <c r="G4336">
        <v>-422.07139999999998</v>
      </c>
      <c r="H4336">
        <v>1.0311079999999999</v>
      </c>
      <c r="I4336">
        <v>88.216549999999998</v>
      </c>
      <c r="J4336">
        <v>-422.07499999999999</v>
      </c>
      <c r="K4336">
        <v>1.105925</v>
      </c>
      <c r="L4336">
        <v>88.848330000000004</v>
      </c>
      <c r="M4336">
        <v>0.1002913</v>
      </c>
      <c r="N4336">
        <v>0</v>
      </c>
      <c r="O4336">
        <v>-0.99485950000000001</v>
      </c>
      <c r="P4336">
        <v>0.11401550000000001</v>
      </c>
      <c r="Q4336">
        <v>1.002394E-2</v>
      </c>
      <c r="R4336">
        <v>-0.99342839999999999</v>
      </c>
      <c r="S4336">
        <v>0.10891720000000001</v>
      </c>
      <c r="T4336">
        <v>-0.23306099999999999</v>
      </c>
      <c r="U4336">
        <v>-3.010529</v>
      </c>
      <c r="V4336">
        <v>-1.3588640000000001E-2</v>
      </c>
      <c r="W4336">
        <v>2.41426E-2</v>
      </c>
      <c r="X4336">
        <v>0.99961610000000001</v>
      </c>
      <c r="Y4336">
        <v>6.4368949999999994E-2</v>
      </c>
      <c r="Z4336">
        <v>7.6496729999999999E-2</v>
      </c>
      <c r="AA4336">
        <v>0.99498989999999998</v>
      </c>
      <c r="AB4336">
        <v>35</v>
      </c>
      <c r="AC4336">
        <v>3.6000000000058199E-3</v>
      </c>
      <c r="AD4336">
        <v>-7.4817000000000106E-2</v>
      </c>
      <c r="AE4336">
        <v>-0.631780000000006</v>
      </c>
      <c r="AF4336">
        <v>5.8959592917872103E-2</v>
      </c>
      <c r="AG4336">
        <v>-7.4817000000000106E-2</v>
      </c>
      <c r="AH4336">
        <v>0.62025695702450401</v>
      </c>
      <c r="AI4336">
        <v>96.847365102168297</v>
      </c>
      <c r="AJ4336">
        <v>84.569966675356895</v>
      </c>
      <c r="AK4336">
        <v>0.62752889162439296</v>
      </c>
      <c r="AL4336">
        <v>88.616596407384705</v>
      </c>
      <c r="AM4336">
        <v>90.778822758496503</v>
      </c>
      <c r="AN4336">
        <v>0.99999993182550695</v>
      </c>
    </row>
    <row r="4337" spans="1:40" x14ac:dyDescent="0.25">
      <c r="A4337" t="str">
        <f>"20190312151625461"</f>
        <v>20190312151625461</v>
      </c>
      <c r="B4337" t="str">
        <f>"1552374985452444"</f>
        <v>1552374985452444</v>
      </c>
      <c r="C4337" t="s">
        <v>40</v>
      </c>
      <c r="D4337">
        <v>4.7844300000000004</v>
      </c>
      <c r="E4337">
        <v>0.52976009999999996</v>
      </c>
      <c r="F4337" t="s">
        <v>41</v>
      </c>
      <c r="G4337">
        <v>-422.04300000000001</v>
      </c>
      <c r="H4337">
        <v>1.034308</v>
      </c>
      <c r="I4337">
        <v>87.904960000000003</v>
      </c>
      <c r="J4337">
        <v>-422.04419999999999</v>
      </c>
      <c r="K4337">
        <v>1.10585</v>
      </c>
      <c r="L4337">
        <v>88.503999999999905</v>
      </c>
      <c r="M4337">
        <v>9.6251240000000002E-2</v>
      </c>
      <c r="N4337">
        <v>0</v>
      </c>
      <c r="O4337">
        <v>-0.99525850000000005</v>
      </c>
      <c r="P4337">
        <v>0.1108946</v>
      </c>
      <c r="Q4337">
        <v>1.0111409999999999E-2</v>
      </c>
      <c r="R4337">
        <v>-0.99378060000000001</v>
      </c>
      <c r="S4337">
        <v>0.103302</v>
      </c>
      <c r="T4337">
        <v>-0.22826650000000001</v>
      </c>
      <c r="U4337">
        <v>-3.010284</v>
      </c>
      <c r="V4337">
        <v>-1.450187E-2</v>
      </c>
      <c r="W4337">
        <v>2.4243190000000001E-2</v>
      </c>
      <c r="X4337">
        <v>0.99960090000000001</v>
      </c>
      <c r="Y4337">
        <v>6.2163919999999998E-2</v>
      </c>
      <c r="Z4337">
        <v>7.499103E-2</v>
      </c>
      <c r="AA4337">
        <v>0.99524469999999998</v>
      </c>
      <c r="AB4337">
        <v>35</v>
      </c>
      <c r="AC4337">
        <v>1.1999999999829901E-3</v>
      </c>
      <c r="AD4337">
        <v>-7.1541999999999994E-2</v>
      </c>
      <c r="AE4337">
        <v>-0.59903999999998703</v>
      </c>
      <c r="AF4337">
        <v>5.5675477559387301E-2</v>
      </c>
      <c r="AG4337">
        <v>-7.1541999999999994E-2</v>
      </c>
      <c r="AH4337">
        <v>0.58798724432198901</v>
      </c>
      <c r="AI4337">
        <v>96.906640697279698</v>
      </c>
      <c r="AJ4337">
        <v>84.590890760918597</v>
      </c>
      <c r="AK4337">
        <v>0.59493446366035296</v>
      </c>
      <c r="AL4337">
        <v>88.610831428933906</v>
      </c>
      <c r="AM4337">
        <v>90.831169379608198</v>
      </c>
      <c r="AN4337">
        <v>0.999999997887841</v>
      </c>
    </row>
    <row r="4338" spans="1:40" x14ac:dyDescent="0.25">
      <c r="A4338" t="str">
        <f>"20190312151625486"</f>
        <v>20190312151625486</v>
      </c>
      <c r="B4338" t="str">
        <f>"1552374985482700"</f>
        <v>1552374985482700</v>
      </c>
      <c r="C4338" t="s">
        <v>40</v>
      </c>
      <c r="D4338">
        <v>4.9044850000000002</v>
      </c>
      <c r="E4338">
        <v>0.49462010000000001</v>
      </c>
      <c r="F4338" t="s">
        <v>41</v>
      </c>
      <c r="G4338">
        <v>-422.01490000000001</v>
      </c>
      <c r="H4338">
        <v>1.0387029999999999</v>
      </c>
      <c r="I4338">
        <v>87.593019999999996</v>
      </c>
      <c r="J4338">
        <v>-422.01229999999998</v>
      </c>
      <c r="K4338">
        <v>1.1057859999999999</v>
      </c>
      <c r="L4338">
        <v>88.128389999999996</v>
      </c>
      <c r="M4338">
        <v>9.1779609999999998E-2</v>
      </c>
      <c r="N4338">
        <v>0</v>
      </c>
      <c r="O4338">
        <v>-0.99568089999999998</v>
      </c>
      <c r="P4338">
        <v>0.1081612</v>
      </c>
      <c r="Q4338">
        <v>1.111237E-2</v>
      </c>
      <c r="R4338">
        <v>-0.99407140000000005</v>
      </c>
      <c r="S4338">
        <v>9.7503660000000006E-2</v>
      </c>
      <c r="T4338">
        <v>-0.22172359999999999</v>
      </c>
      <c r="U4338">
        <v>-3.010132</v>
      </c>
      <c r="V4338">
        <v>-1.623167E-2</v>
      </c>
      <c r="W4338">
        <v>2.5263310000000001E-2</v>
      </c>
      <c r="X4338">
        <v>0.99954900000000002</v>
      </c>
      <c r="Y4338">
        <v>5.9588639999999998E-2</v>
      </c>
      <c r="Z4338">
        <v>7.2911429999999999E-2</v>
      </c>
      <c r="AA4338">
        <v>0.99555669999999996</v>
      </c>
      <c r="AB4338">
        <v>35</v>
      </c>
      <c r="AC4338">
        <v>-2.6000000000294598E-3</v>
      </c>
      <c r="AD4338">
        <v>-6.7083000000000004E-2</v>
      </c>
      <c r="AE4338">
        <v>-0.53537000000000001</v>
      </c>
      <c r="AF4338">
        <v>5.0930273014974603E-2</v>
      </c>
      <c r="AG4338">
        <v>-6.7083000000000004E-2</v>
      </c>
      <c r="AH4338">
        <v>0.52463440058316502</v>
      </c>
      <c r="AI4338">
        <v>97.252922539290097</v>
      </c>
      <c r="AJ4338">
        <v>84.455235080877699</v>
      </c>
      <c r="AK4338">
        <v>0.53135230861796101</v>
      </c>
      <c r="AL4338">
        <v>88.552364875566298</v>
      </c>
      <c r="AM4338">
        <v>90.9303440344721</v>
      </c>
      <c r="AN4338">
        <v>0.99999995267207098</v>
      </c>
    </row>
    <row r="4339" spans="1:40" x14ac:dyDescent="0.25">
      <c r="A4339" t="str">
        <f>"20190312151625507"</f>
        <v>20190312151625507</v>
      </c>
      <c r="B4339" t="str">
        <f>"1552374985502220"</f>
        <v>1552374985502220</v>
      </c>
      <c r="C4339" t="s">
        <v>40</v>
      </c>
      <c r="D4339">
        <v>4.8884499999999997</v>
      </c>
      <c r="E4339">
        <v>0.48951630000000002</v>
      </c>
      <c r="F4339" t="s">
        <v>64</v>
      </c>
      <c r="G4339">
        <v>-415.88780000000003</v>
      </c>
      <c r="H4339" s="1">
        <v>-1.812384E-6</v>
      </c>
      <c r="I4339">
        <v>38.46622</v>
      </c>
      <c r="J4339">
        <v>-421.98610000000002</v>
      </c>
      <c r="K4339">
        <v>1.1057360000000001</v>
      </c>
      <c r="L4339">
        <v>87.803960000000004</v>
      </c>
      <c r="M4339">
        <v>8.7881269999999997E-2</v>
      </c>
      <c r="N4339">
        <v>0</v>
      </c>
      <c r="O4339">
        <v>-0.99603249999999999</v>
      </c>
      <c r="P4339">
        <v>0.1060832</v>
      </c>
      <c r="Q4339">
        <v>1.17847E-2</v>
      </c>
      <c r="R4339">
        <v>-0.99428749999999999</v>
      </c>
      <c r="S4339">
        <v>0.3673401</v>
      </c>
      <c r="T4339">
        <v>-6.6323640000000003E-2</v>
      </c>
      <c r="U4339">
        <v>-2.9786679999999999</v>
      </c>
      <c r="V4339">
        <v>-1.8047250000000001E-2</v>
      </c>
      <c r="W4339">
        <v>2.5954970000000001E-2</v>
      </c>
      <c r="X4339">
        <v>0.99950019999999995</v>
      </c>
      <c r="Y4339">
        <v>-3.4663810000000003E-2</v>
      </c>
      <c r="Z4339">
        <v>2.204159E-2</v>
      </c>
      <c r="AA4339">
        <v>0.99915589999999999</v>
      </c>
      <c r="AB4339">
        <v>35</v>
      </c>
      <c r="AC4339">
        <v>6.0982999999999903</v>
      </c>
      <c r="AD4339">
        <v>-1.105737812384</v>
      </c>
      <c r="AE4339">
        <v>-49.337739999999997</v>
      </c>
      <c r="AF4339">
        <v>-1.7375526352400199</v>
      </c>
      <c r="AG4339">
        <v>-1.105737812384</v>
      </c>
      <c r="AH4339">
        <v>49.658224527717103</v>
      </c>
      <c r="AI4339">
        <v>91.274812278453297</v>
      </c>
      <c r="AJ4339">
        <v>92.003974865158199</v>
      </c>
      <c r="AK4339">
        <v>49.7009155701897</v>
      </c>
      <c r="AL4339">
        <v>88.5127227531203</v>
      </c>
      <c r="AM4339">
        <v>91.034435915122501</v>
      </c>
      <c r="AN4339">
        <v>1.00000000675015</v>
      </c>
    </row>
    <row r="4340" spans="1:40" x14ac:dyDescent="0.25">
      <c r="A4340" t="str">
        <f>"20190312151625528"</f>
        <v>20190312151625528</v>
      </c>
      <c r="B4340" t="str">
        <f>"1552374985522716"</f>
        <v>1552374985522716</v>
      </c>
      <c r="C4340" t="s">
        <v>40</v>
      </c>
      <c r="D4340">
        <v>4.8026460000000002</v>
      </c>
      <c r="E4340">
        <v>0.48712129999999998</v>
      </c>
      <c r="F4340" t="s">
        <v>64</v>
      </c>
      <c r="G4340">
        <v>-414.82350000000002</v>
      </c>
      <c r="H4340" s="1">
        <v>-4.2499459999999997E-6</v>
      </c>
      <c r="I4340">
        <v>34.735239999999997</v>
      </c>
      <c r="J4340">
        <v>-421.9597</v>
      </c>
      <c r="K4340">
        <v>1.105691</v>
      </c>
      <c r="L4340">
        <v>87.459409999999906</v>
      </c>
      <c r="M4340">
        <v>8.3718399999999998E-2</v>
      </c>
      <c r="N4340">
        <v>0</v>
      </c>
      <c r="O4340">
        <v>-0.99639089999999997</v>
      </c>
      <c r="P4340">
        <v>0.10505249999999999</v>
      </c>
      <c r="Q4340">
        <v>1.232142E-2</v>
      </c>
      <c r="R4340">
        <v>-0.9943902</v>
      </c>
      <c r="S4340">
        <v>0.40155030000000003</v>
      </c>
      <c r="T4340">
        <v>-6.1989780000000001E-2</v>
      </c>
      <c r="U4340">
        <v>-2.9751280000000002</v>
      </c>
      <c r="V4340">
        <v>-2.1181430000000001E-2</v>
      </c>
      <c r="W4340">
        <v>2.6522219999999999E-2</v>
      </c>
      <c r="X4340">
        <v>0.99942379999999997</v>
      </c>
      <c r="Y4340">
        <v>-5.0283830000000002E-2</v>
      </c>
      <c r="Z4340">
        <v>2.0615399999999999E-2</v>
      </c>
      <c r="AA4340">
        <v>0.99852220000000003</v>
      </c>
      <c r="AB4340">
        <v>35</v>
      </c>
      <c r="AC4340">
        <v>7.1361999999999703</v>
      </c>
      <c r="AD4340">
        <v>-1.105695249946</v>
      </c>
      <c r="AE4340">
        <v>-52.724169999999901</v>
      </c>
      <c r="AF4340">
        <v>-2.6955622529230299</v>
      </c>
      <c r="AG4340">
        <v>-1.105695249946</v>
      </c>
      <c r="AH4340">
        <v>53.113593889906703</v>
      </c>
      <c r="AI4340">
        <v>91.191053437400797</v>
      </c>
      <c r="AJ4340">
        <v>92.905319248848002</v>
      </c>
      <c r="AK4340">
        <v>53.193443898163501</v>
      </c>
      <c r="AL4340">
        <v>88.480210528024998</v>
      </c>
      <c r="AM4340">
        <v>91.214124465123106</v>
      </c>
      <c r="AN4340">
        <v>1.0000000065685</v>
      </c>
    </row>
    <row r="4341" spans="1:40" x14ac:dyDescent="0.25">
      <c r="A4341" t="str">
        <f>"20190312151625550"</f>
        <v>20190312151625550</v>
      </c>
      <c r="B4341" t="str">
        <f>"1552374985542236"</f>
        <v>1552374985542236</v>
      </c>
      <c r="C4341" t="s">
        <v>40</v>
      </c>
      <c r="D4341">
        <v>4.8868130000000001</v>
      </c>
      <c r="E4341">
        <v>0.4857187</v>
      </c>
      <c r="F4341" t="s">
        <v>64</v>
      </c>
      <c r="G4341">
        <v>-414.67939999999999</v>
      </c>
      <c r="H4341" s="1">
        <v>-3.7834979999999998E-6</v>
      </c>
      <c r="I4341">
        <v>35.646459999999998</v>
      </c>
      <c r="J4341">
        <v>-421.93509999999998</v>
      </c>
      <c r="K4341">
        <v>1.1056539999999999</v>
      </c>
      <c r="L4341">
        <v>87.120149999999995</v>
      </c>
      <c r="M4341">
        <v>7.960631E-2</v>
      </c>
      <c r="N4341">
        <v>0</v>
      </c>
      <c r="O4341">
        <v>-0.99672799999999995</v>
      </c>
      <c r="P4341">
        <v>0.1046221</v>
      </c>
      <c r="Q4341">
        <v>1.2239180000000001E-2</v>
      </c>
      <c r="R4341">
        <v>-0.99443669999999995</v>
      </c>
      <c r="S4341">
        <v>0.41781620000000003</v>
      </c>
      <c r="T4341">
        <v>-6.3456419999999999E-2</v>
      </c>
      <c r="U4341">
        <v>-2.9735719999999999</v>
      </c>
      <c r="V4341">
        <v>-2.4871810000000001E-2</v>
      </c>
      <c r="W4341">
        <v>2.6475499999999999E-2</v>
      </c>
      <c r="X4341">
        <v>0.99934000000000001</v>
      </c>
      <c r="Y4341">
        <v>-5.9830590000000003E-2</v>
      </c>
      <c r="Z4341">
        <v>2.1111149999999999E-2</v>
      </c>
      <c r="AA4341">
        <v>0.99798529999999996</v>
      </c>
      <c r="AB4341">
        <v>35</v>
      </c>
      <c r="AC4341">
        <v>7.2556999999999903</v>
      </c>
      <c r="AD4341">
        <v>-1.1056577834979999</v>
      </c>
      <c r="AE4341">
        <v>-51.473689999999998</v>
      </c>
      <c r="AF4341">
        <v>-3.1332187588818301</v>
      </c>
      <c r="AG4341">
        <v>-1.1056577834979999</v>
      </c>
      <c r="AH4341">
        <v>51.864492524355803</v>
      </c>
      <c r="AI4341">
        <v>91.219036300094601</v>
      </c>
      <c r="AJ4341">
        <v>93.457130093486995</v>
      </c>
      <c r="AK4341">
        <v>51.970810304768001</v>
      </c>
      <c r="AL4341">
        <v>88.482888313113193</v>
      </c>
      <c r="AM4341">
        <v>91.425696574081897</v>
      </c>
      <c r="AN4341">
        <v>0.99999999731646205</v>
      </c>
    </row>
    <row r="4342" spans="1:40" x14ac:dyDescent="0.25">
      <c r="A4342" t="str">
        <f>"20190312151625564"</f>
        <v>20190312151625564</v>
      </c>
      <c r="B4342" t="str">
        <f>"1552374985552972"</f>
        <v>1552374985552972</v>
      </c>
      <c r="C4342" t="s">
        <v>40</v>
      </c>
      <c r="D4342">
        <v>4.8849210000000003</v>
      </c>
      <c r="E4342">
        <v>0.48514770000000002</v>
      </c>
      <c r="F4342" t="s">
        <v>43</v>
      </c>
      <c r="G4342">
        <v>-415.3854</v>
      </c>
      <c r="H4342" s="1">
        <v>-1.87677E-6</v>
      </c>
      <c r="I4342">
        <v>41.555030000000002</v>
      </c>
      <c r="J4342">
        <v>-421.9205</v>
      </c>
      <c r="K4342">
        <v>1.1056349999999999</v>
      </c>
      <c r="L4342">
        <v>86.90701</v>
      </c>
      <c r="M4342">
        <v>7.7019210000000005E-2</v>
      </c>
      <c r="N4342">
        <v>0</v>
      </c>
      <c r="O4342">
        <v>-0.99693129999999996</v>
      </c>
      <c r="P4342">
        <v>0.1037565</v>
      </c>
      <c r="Q4342">
        <v>1.1883629999999999E-2</v>
      </c>
      <c r="R4342">
        <v>-0.99453190000000002</v>
      </c>
      <c r="S4342">
        <v>0.4273071</v>
      </c>
      <c r="T4342">
        <v>-7.2134139999999999E-2</v>
      </c>
      <c r="U4342">
        <v>-2.9727169999999998</v>
      </c>
      <c r="V4342">
        <v>-2.6597969999999999E-2</v>
      </c>
      <c r="W4342">
        <v>2.613706E-2</v>
      </c>
      <c r="X4342">
        <v>0.99930450000000004</v>
      </c>
      <c r="Y4342">
        <v>-6.5573649999999997E-2</v>
      </c>
      <c r="Z4342">
        <v>2.4001000000000001E-2</v>
      </c>
      <c r="AA4342">
        <v>0.99755910000000003</v>
      </c>
      <c r="AB4342">
        <v>35</v>
      </c>
      <c r="AC4342">
        <v>6.5350999999999999</v>
      </c>
      <c r="AD4342">
        <v>-1.10563687677</v>
      </c>
      <c r="AE4342">
        <v>-45.351979999999998</v>
      </c>
      <c r="AF4342">
        <v>-3.0206095700726898</v>
      </c>
      <c r="AG4342">
        <v>-1.10563687677</v>
      </c>
      <c r="AH4342">
        <v>45.694012819687401</v>
      </c>
      <c r="AI4342">
        <v>91.383071526401295</v>
      </c>
      <c r="AJ4342">
        <v>93.782043463239205</v>
      </c>
      <c r="AK4342">
        <v>45.807088126662698</v>
      </c>
      <c r="AL4342">
        <v>88.502286275073999</v>
      </c>
      <c r="AM4342">
        <v>91.524652098465097</v>
      </c>
      <c r="AN4342">
        <v>1.0000000408169001</v>
      </c>
    </row>
    <row r="4343" spans="1:40" x14ac:dyDescent="0.25">
      <c r="A4343" t="str">
        <f>"20190312151625586"</f>
        <v>20190312151625586</v>
      </c>
      <c r="B4343" t="str">
        <f>"1552374985582252"</f>
        <v>1552374985582252</v>
      </c>
      <c r="C4343" t="s">
        <v>40</v>
      </c>
      <c r="D4343">
        <v>4.8159090000000004</v>
      </c>
      <c r="E4343">
        <v>0.48397679999999998</v>
      </c>
      <c r="F4343" t="s">
        <v>43</v>
      </c>
      <c r="G4343">
        <v>-415.66039999999998</v>
      </c>
      <c r="H4343" s="1">
        <v>-2.49186E-6</v>
      </c>
      <c r="I4343">
        <v>43.577480000000001</v>
      </c>
      <c r="J4343">
        <v>-421.89929999999998</v>
      </c>
      <c r="K4343">
        <v>1.1056090000000001</v>
      </c>
      <c r="L4343">
        <v>86.582980000000006</v>
      </c>
      <c r="M4343">
        <v>7.3084029999999994E-2</v>
      </c>
      <c r="N4343">
        <v>0</v>
      </c>
      <c r="O4343">
        <v>-0.99722759999999999</v>
      </c>
      <c r="P4343">
        <v>0.1038294</v>
      </c>
      <c r="Q4343">
        <v>1.0474799999999999E-2</v>
      </c>
      <c r="R4343">
        <v>-0.99454019999999999</v>
      </c>
      <c r="S4343">
        <v>0.42947390000000002</v>
      </c>
      <c r="T4343">
        <v>-7.5851559999999998E-2</v>
      </c>
      <c r="U4343">
        <v>-2.9725950000000001</v>
      </c>
      <c r="V4343">
        <v>-3.0627189999999999E-2</v>
      </c>
      <c r="W4343">
        <v>2.4766119999999999E-2</v>
      </c>
      <c r="X4343">
        <v>0.999224</v>
      </c>
      <c r="Y4343">
        <v>-7.0224839999999997E-2</v>
      </c>
      <c r="Z4343">
        <v>2.5244059999999999E-2</v>
      </c>
      <c r="AA4343">
        <v>0.99721170000000003</v>
      </c>
      <c r="AB4343">
        <v>35</v>
      </c>
      <c r="AC4343">
        <v>6.2389000000000001</v>
      </c>
      <c r="AD4343">
        <v>-1.10561149186</v>
      </c>
      <c r="AE4343">
        <v>-43.005499999999998</v>
      </c>
      <c r="AF4343">
        <v>-3.0768978141732499</v>
      </c>
      <c r="AG4343">
        <v>-1.10561149186</v>
      </c>
      <c r="AH4343">
        <v>43.318439739671199</v>
      </c>
      <c r="AI4343">
        <v>91.458363432131506</v>
      </c>
      <c r="AJ4343">
        <v>94.062881173678505</v>
      </c>
      <c r="AK4343">
        <v>43.441649351852703</v>
      </c>
      <c r="AL4343">
        <v>88.580860741055204</v>
      </c>
      <c r="AM4343">
        <v>91.755621860236403</v>
      </c>
      <c r="AN4343">
        <v>0.99999999382157501</v>
      </c>
    </row>
    <row r="4344" spans="1:40" x14ac:dyDescent="0.25">
      <c r="A4344" t="str">
        <f>"20190312151625600"</f>
        <v>20190312151625600</v>
      </c>
      <c r="B4344" t="str">
        <f>"1552374985592012"</f>
        <v>1552374985592012</v>
      </c>
      <c r="C4344" t="s">
        <v>40</v>
      </c>
      <c r="D4344">
        <v>4.7085790000000003</v>
      </c>
      <c r="E4344">
        <v>0.48349059999999999</v>
      </c>
      <c r="F4344" t="s">
        <v>43</v>
      </c>
      <c r="G4344">
        <v>-416.25900000000001</v>
      </c>
      <c r="H4344" s="1">
        <v>-4.4136600000000004E-6</v>
      </c>
      <c r="I4344">
        <v>48.374270000000003</v>
      </c>
      <c r="J4344">
        <v>-421.88490000000002</v>
      </c>
      <c r="K4344">
        <v>1.1055969999999999</v>
      </c>
      <c r="L4344">
        <v>86.350949999999997</v>
      </c>
      <c r="M4344">
        <v>7.0264099999999996E-2</v>
      </c>
      <c r="N4344">
        <v>0</v>
      </c>
      <c r="O4344">
        <v>-0.99743009999999999</v>
      </c>
      <c r="P4344">
        <v>0.1029373</v>
      </c>
      <c r="Q4344">
        <v>9.9496840000000003E-3</v>
      </c>
      <c r="R4344">
        <v>-0.99463800000000002</v>
      </c>
      <c r="S4344">
        <v>0.43865969999999999</v>
      </c>
      <c r="T4344">
        <v>-8.5986380000000001E-2</v>
      </c>
      <c r="U4344">
        <v>-2.9715880000000001</v>
      </c>
      <c r="V4344">
        <v>-3.2560569999999997E-2</v>
      </c>
      <c r="W4344">
        <v>2.425892E-2</v>
      </c>
      <c r="X4344">
        <v>0.99917529999999999</v>
      </c>
      <c r="Y4344">
        <v>-7.6096780000000003E-2</v>
      </c>
      <c r="Z4344">
        <v>2.8620159999999999E-2</v>
      </c>
      <c r="AA4344">
        <v>0.99668959999999995</v>
      </c>
      <c r="AB4344">
        <v>34</v>
      </c>
      <c r="AC4344">
        <v>5.6258999999999997</v>
      </c>
      <c r="AD4344">
        <v>-1.1056014136600001</v>
      </c>
      <c r="AE4344">
        <v>-37.976680000000002</v>
      </c>
      <c r="AF4344">
        <v>-2.9408944259899599</v>
      </c>
      <c r="AG4344">
        <v>-1.1056014136600001</v>
      </c>
      <c r="AH4344">
        <v>38.246417394807601</v>
      </c>
      <c r="AI4344">
        <v>91.650935555227406</v>
      </c>
      <c r="AJ4344">
        <v>94.397011051277403</v>
      </c>
      <c r="AK4344">
        <v>38.375247986801902</v>
      </c>
      <c r="AL4344">
        <v>88.609929880515296</v>
      </c>
      <c r="AM4344">
        <v>91.866462551531598</v>
      </c>
      <c r="AN4344">
        <v>0.99999998302419002</v>
      </c>
    </row>
    <row r="4345" spans="1:40" x14ac:dyDescent="0.25">
      <c r="A4345" t="str">
        <f>"20190312151625618"</f>
        <v>20190312151625618</v>
      </c>
      <c r="B4345" t="str">
        <f>"1552374985612508"</f>
        <v>1552374985612508</v>
      </c>
      <c r="C4345" t="s">
        <v>40</v>
      </c>
      <c r="D4345">
        <v>4.7595799999999997</v>
      </c>
      <c r="E4345">
        <v>0.48305179999999998</v>
      </c>
      <c r="F4345" t="s">
        <v>43</v>
      </c>
      <c r="G4345">
        <v>-416.4128</v>
      </c>
      <c r="H4345" s="1">
        <v>-4.820136E-6</v>
      </c>
      <c r="I4345">
        <v>49.385379999999998</v>
      </c>
      <c r="J4345">
        <v>-421.86849999999998</v>
      </c>
      <c r="K4345">
        <v>1.105599</v>
      </c>
      <c r="L4345">
        <v>86.074619999999996</v>
      </c>
      <c r="M4345">
        <v>6.6905510000000001E-2</v>
      </c>
      <c r="N4345">
        <v>0</v>
      </c>
      <c r="O4345">
        <v>-0.99766109999999997</v>
      </c>
      <c r="P4345">
        <v>0.10345749999999999</v>
      </c>
      <c r="Q4345">
        <v>9.9529490000000009E-3</v>
      </c>
      <c r="R4345">
        <v>-0.99458440000000004</v>
      </c>
      <c r="S4345">
        <v>0.4398804</v>
      </c>
      <c r="T4345">
        <v>-8.8875289999999996E-2</v>
      </c>
      <c r="U4345">
        <v>-2.971527</v>
      </c>
      <c r="V4345">
        <v>-3.6447100000000003E-2</v>
      </c>
      <c r="W4345">
        <v>2.4297530000000001E-2</v>
      </c>
      <c r="X4345">
        <v>0.99904020000000004</v>
      </c>
      <c r="Y4345">
        <v>-7.9852839999999994E-2</v>
      </c>
      <c r="Z4345">
        <v>2.958651E-2</v>
      </c>
      <c r="AA4345">
        <v>0.99636749999999996</v>
      </c>
      <c r="AB4345">
        <v>34</v>
      </c>
      <c r="AC4345">
        <v>5.45569999999997</v>
      </c>
      <c r="AD4345">
        <v>-1.1056038201359999</v>
      </c>
      <c r="AE4345">
        <v>-36.689239999999998</v>
      </c>
      <c r="AF4345">
        <v>-2.9858674780115102</v>
      </c>
      <c r="AG4345">
        <v>-1.1056038201359999</v>
      </c>
      <c r="AH4345">
        <v>36.939249100999902</v>
      </c>
      <c r="AI4345">
        <v>91.708799581710196</v>
      </c>
      <c r="AJ4345">
        <v>94.621275956589201</v>
      </c>
      <c r="AK4345">
        <v>37.076217290185703</v>
      </c>
      <c r="AL4345">
        <v>88.607717119102801</v>
      </c>
      <c r="AM4345">
        <v>92.089344642494893</v>
      </c>
      <c r="AN4345">
        <v>1.00000004113927</v>
      </c>
    </row>
    <row r="4346" spans="1:40" x14ac:dyDescent="0.25">
      <c r="A4346" t="str">
        <f>"20190312151625639"</f>
        <v>20190312151625639</v>
      </c>
      <c r="B4346" t="str">
        <f>"1552374985632028"</f>
        <v>1552374985632028</v>
      </c>
      <c r="C4346" t="s">
        <v>40</v>
      </c>
      <c r="D4346">
        <v>4.816872</v>
      </c>
      <c r="E4346">
        <v>0.48271409999999998</v>
      </c>
      <c r="F4346" t="s">
        <v>43</v>
      </c>
      <c r="G4346">
        <v>-416.48469999999998</v>
      </c>
      <c r="H4346" s="1">
        <v>-1.093806E-6</v>
      </c>
      <c r="I4346">
        <v>50.113770000000002</v>
      </c>
      <c r="J4346">
        <v>-421.84989999999999</v>
      </c>
      <c r="K4346">
        <v>1.1055950000000001</v>
      </c>
      <c r="L4346">
        <v>85.736050000000006</v>
      </c>
      <c r="M4346">
        <v>6.2790100000000001E-2</v>
      </c>
      <c r="N4346">
        <v>0</v>
      </c>
      <c r="O4346">
        <v>-0.9979285</v>
      </c>
      <c r="P4346">
        <v>0.10299319999999999</v>
      </c>
      <c r="Q4346">
        <v>1.0763139999999999E-2</v>
      </c>
      <c r="R4346">
        <v>-0.99462379999999995</v>
      </c>
      <c r="S4346">
        <v>0.44479370000000001</v>
      </c>
      <c r="T4346">
        <v>-9.134138E-2</v>
      </c>
      <c r="U4346">
        <v>-2.9709780000000001</v>
      </c>
      <c r="V4346">
        <v>-4.0094129999999999E-2</v>
      </c>
      <c r="W4346">
        <v>2.5140320000000001E-2</v>
      </c>
      <c r="X4346">
        <v>0.99887959999999998</v>
      </c>
      <c r="Y4346">
        <v>-8.5597839999999994E-2</v>
      </c>
      <c r="Z4346">
        <v>3.0413539999999999E-2</v>
      </c>
      <c r="AA4346">
        <v>0.99586549999999996</v>
      </c>
      <c r="AB4346">
        <v>34</v>
      </c>
      <c r="AC4346">
        <v>5.3652000000000104</v>
      </c>
      <c r="AD4346">
        <v>-1.1055960938060001</v>
      </c>
      <c r="AE4346">
        <v>-35.622279999999897</v>
      </c>
      <c r="AF4346">
        <v>-3.11473139936649</v>
      </c>
      <c r="AG4346">
        <v>-1.1055960938060001</v>
      </c>
      <c r="AH4346">
        <v>35.855117012343101</v>
      </c>
      <c r="AI4346">
        <v>91.759539024239999</v>
      </c>
      <c r="AJ4346">
        <v>94.964816415917696</v>
      </c>
      <c r="AK4346">
        <v>36.007128605064501</v>
      </c>
      <c r="AL4346">
        <v>88.5594140127034</v>
      </c>
      <c r="AM4346">
        <v>92.298567215746999</v>
      </c>
      <c r="AN4346">
        <v>1.0000000151231501</v>
      </c>
    </row>
    <row r="4347" spans="1:40" x14ac:dyDescent="0.25">
      <c r="A4347" t="str">
        <f>"20190312151625663"</f>
        <v>20190312151625663</v>
      </c>
      <c r="B4347" t="str">
        <f>"1552374985652524"</f>
        <v>1552374985652524</v>
      </c>
      <c r="C4347" t="s">
        <v>40</v>
      </c>
      <c r="D4347">
        <v>4.7160710000000003</v>
      </c>
      <c r="E4347">
        <v>0.4823383</v>
      </c>
      <c r="F4347" t="s">
        <v>43</v>
      </c>
      <c r="G4347">
        <v>-416.18990000000002</v>
      </c>
      <c r="H4347" s="1">
        <v>-4.3080640000000002E-6</v>
      </c>
      <c r="I4347">
        <v>48.099559999999997</v>
      </c>
      <c r="J4347">
        <v>-421.83229999999998</v>
      </c>
      <c r="K4347">
        <v>1.1055919999999999</v>
      </c>
      <c r="L4347">
        <v>85.390929999999997</v>
      </c>
      <c r="M4347">
        <v>5.8594019999999997E-2</v>
      </c>
      <c r="N4347">
        <v>0</v>
      </c>
      <c r="O4347">
        <v>-0.99818379999999995</v>
      </c>
      <c r="P4347">
        <v>0.1024254</v>
      </c>
      <c r="Q4347">
        <v>1.114627E-2</v>
      </c>
      <c r="R4347">
        <v>-0.99467839999999996</v>
      </c>
      <c r="S4347">
        <v>0.44677729999999999</v>
      </c>
      <c r="T4347">
        <v>-8.7271929999999998E-2</v>
      </c>
      <c r="U4347">
        <v>-2.9708860000000001</v>
      </c>
      <c r="V4347">
        <v>-4.3720450000000001E-2</v>
      </c>
      <c r="W4347">
        <v>2.5555520000000002E-2</v>
      </c>
      <c r="X4347">
        <v>0.99871690000000002</v>
      </c>
      <c r="Y4347">
        <v>-9.044642E-2</v>
      </c>
      <c r="Z4347">
        <v>2.9064079999999999E-2</v>
      </c>
      <c r="AA4347">
        <v>0.9954771</v>
      </c>
      <c r="AB4347">
        <v>34</v>
      </c>
      <c r="AC4347">
        <v>5.6423999999999497</v>
      </c>
      <c r="AD4347">
        <v>-1.1055963080640001</v>
      </c>
      <c r="AE4347">
        <v>-37.291370000000001</v>
      </c>
      <c r="AF4347">
        <v>-3.4444787378042201</v>
      </c>
      <c r="AG4347">
        <v>-1.1055963080640001</v>
      </c>
      <c r="AH4347">
        <v>37.525684291565597</v>
      </c>
      <c r="AI4347">
        <v>91.680521769247903</v>
      </c>
      <c r="AJ4347">
        <v>95.244477795584402</v>
      </c>
      <c r="AK4347">
        <v>37.699651968179197</v>
      </c>
      <c r="AL4347">
        <v>88.535617143285506</v>
      </c>
      <c r="AM4347">
        <v>92.506615152812103</v>
      </c>
      <c r="AN4347">
        <v>1.0000000043481401</v>
      </c>
    </row>
    <row r="4348" spans="1:40" x14ac:dyDescent="0.25">
      <c r="A4348" t="str">
        <f>"20190312151625686"</f>
        <v>20190312151625686</v>
      </c>
      <c r="B4348" t="str">
        <f>"1552374985682780"</f>
        <v>1552374985682780</v>
      </c>
      <c r="C4348" t="s">
        <v>40</v>
      </c>
      <c r="D4348">
        <v>4.794384</v>
      </c>
      <c r="E4348">
        <v>0.48245470000000001</v>
      </c>
      <c r="F4348" t="s">
        <v>43</v>
      </c>
      <c r="G4348">
        <v>-415.9812</v>
      </c>
      <c r="H4348" s="1">
        <v>-3.6953279999999999E-6</v>
      </c>
      <c r="I4348">
        <v>46.584969999999998</v>
      </c>
      <c r="J4348">
        <v>-421.81549999999999</v>
      </c>
      <c r="K4348">
        <v>1.105591</v>
      </c>
      <c r="L4348">
        <v>85.031369999999995</v>
      </c>
      <c r="M4348">
        <v>5.4223069999999998E-2</v>
      </c>
      <c r="N4348">
        <v>0</v>
      </c>
      <c r="O4348">
        <v>-0.99843059999999995</v>
      </c>
      <c r="P4348">
        <v>0.1014721</v>
      </c>
      <c r="Q4348">
        <v>1.0835539999999999E-2</v>
      </c>
      <c r="R4348">
        <v>-0.99477959999999999</v>
      </c>
      <c r="S4348">
        <v>0.44793699999999997</v>
      </c>
      <c r="T4348">
        <v>-8.4640740000000006E-2</v>
      </c>
      <c r="U4348">
        <v>-2.9708559999999999</v>
      </c>
      <c r="V4348">
        <v>-4.7139340000000002E-2</v>
      </c>
      <c r="W4348">
        <v>2.5274270000000001E-2</v>
      </c>
      <c r="X4348">
        <v>0.99856849999999997</v>
      </c>
      <c r="Y4348">
        <v>-9.5190949999999996E-2</v>
      </c>
      <c r="Z4348">
        <v>2.8192200000000001E-2</v>
      </c>
      <c r="AA4348">
        <v>0.99505969999999999</v>
      </c>
      <c r="AB4348">
        <v>34</v>
      </c>
      <c r="AC4348">
        <v>5.8342999999999803</v>
      </c>
      <c r="AD4348">
        <v>-1.105594695328</v>
      </c>
      <c r="AE4348">
        <v>-38.446399999999997</v>
      </c>
      <c r="AF4348">
        <v>-3.7378073860204202</v>
      </c>
      <c r="AG4348">
        <v>-1.105594695328</v>
      </c>
      <c r="AH4348">
        <v>38.674950641624697</v>
      </c>
      <c r="AI4348">
        <v>91.6298692806822</v>
      </c>
      <c r="AJ4348">
        <v>95.520304515315402</v>
      </c>
      <c r="AK4348">
        <v>38.8708804996418</v>
      </c>
      <c r="AL4348">
        <v>88.551736749393001</v>
      </c>
      <c r="AM4348">
        <v>92.702750595601003</v>
      </c>
      <c r="AN4348">
        <v>0.99999997764595805</v>
      </c>
    </row>
    <row r="4349" spans="1:40" x14ac:dyDescent="0.25">
      <c r="A4349" t="str">
        <f>"20190312151625709"</f>
        <v>20190312151625709</v>
      </c>
      <c r="B4349" t="str">
        <f>"1552374985702300"</f>
        <v>1552374985702300</v>
      </c>
      <c r="C4349" t="s">
        <v>40</v>
      </c>
      <c r="D4349">
        <v>4.7953340000000004</v>
      </c>
      <c r="E4349">
        <v>0.48227209999999998</v>
      </c>
      <c r="F4349" t="s">
        <v>43</v>
      </c>
      <c r="G4349">
        <v>-415.98239999999998</v>
      </c>
      <c r="H4349" s="1">
        <v>-3.4395720000000001E-6</v>
      </c>
      <c r="I4349">
        <v>45.989269999999998</v>
      </c>
      <c r="J4349">
        <v>-421.80079999999998</v>
      </c>
      <c r="K4349">
        <v>1.1055900000000001</v>
      </c>
      <c r="L4349">
        <v>84.684839999999994</v>
      </c>
      <c r="M4349">
        <v>5.0009789999999998E-2</v>
      </c>
      <c r="N4349">
        <v>0</v>
      </c>
      <c r="O4349">
        <v>-0.9986505</v>
      </c>
      <c r="P4349">
        <v>0.1011623</v>
      </c>
      <c r="Q4349">
        <v>1.022384E-2</v>
      </c>
      <c r="R4349">
        <v>-0.99481730000000002</v>
      </c>
      <c r="S4349">
        <v>0.44393919999999998</v>
      </c>
      <c r="T4349">
        <v>-8.4143399999999993E-2</v>
      </c>
      <c r="U4349">
        <v>-2.9713750000000001</v>
      </c>
      <c r="V4349">
        <v>-5.1047509999999997E-2</v>
      </c>
      <c r="W4349">
        <v>2.4696050000000001E-2</v>
      </c>
      <c r="X4349">
        <v>0.99839089999999997</v>
      </c>
      <c r="Y4349">
        <v>-9.8056560000000001E-2</v>
      </c>
      <c r="Z4349">
        <v>2.8029970000000001E-2</v>
      </c>
      <c r="AA4349">
        <v>0.99478599999999995</v>
      </c>
      <c r="AB4349">
        <v>34</v>
      </c>
      <c r="AC4349">
        <v>5.8183999999999898</v>
      </c>
      <c r="AD4349">
        <v>-1.105593439572</v>
      </c>
      <c r="AE4349">
        <v>-38.695569999999996</v>
      </c>
      <c r="AF4349">
        <v>-3.8726794635629198</v>
      </c>
      <c r="AG4349">
        <v>-1.105593439572</v>
      </c>
      <c r="AH4349">
        <v>38.907088306143997</v>
      </c>
      <c r="AI4349">
        <v>91.619693502683305</v>
      </c>
      <c r="AJ4349">
        <v>95.684304207857593</v>
      </c>
      <c r="AK4349">
        <v>39.114977994921801</v>
      </c>
      <c r="AL4349">
        <v>88.584876787089001</v>
      </c>
      <c r="AM4349">
        <v>92.926971928504699</v>
      </c>
      <c r="AN4349">
        <v>1.0000000661827999</v>
      </c>
    </row>
    <row r="4350" spans="1:40" x14ac:dyDescent="0.25">
      <c r="A4350" t="str">
        <f>"20190312151625732"</f>
        <v>20190312151625732</v>
      </c>
      <c r="B4350" t="str">
        <f>"1552374985721820"</f>
        <v>1552374985721820</v>
      </c>
      <c r="C4350" t="s">
        <v>40</v>
      </c>
      <c r="D4350">
        <v>4.8819610000000004</v>
      </c>
      <c r="E4350">
        <v>0.48211039999999999</v>
      </c>
      <c r="F4350" t="s">
        <v>43</v>
      </c>
      <c r="G4350">
        <v>-416.12799999999999</v>
      </c>
      <c r="H4350" s="1">
        <v>-3.7638919999999999E-6</v>
      </c>
      <c r="I4350">
        <v>46.805500000000002</v>
      </c>
      <c r="J4350">
        <v>-421.7878</v>
      </c>
      <c r="K4350">
        <v>1.105593</v>
      </c>
      <c r="L4350">
        <v>84.347530000000006</v>
      </c>
      <c r="M4350">
        <v>4.5907299999999998E-2</v>
      </c>
      <c r="N4350">
        <v>0</v>
      </c>
      <c r="O4350">
        <v>-0.9988475</v>
      </c>
      <c r="P4350">
        <v>0.1014721</v>
      </c>
      <c r="Q4350">
        <v>9.9227380000000004E-3</v>
      </c>
      <c r="R4350">
        <v>-0.99478880000000003</v>
      </c>
      <c r="S4350">
        <v>0.44497680000000001</v>
      </c>
      <c r="T4350">
        <v>-8.672357E-2</v>
      </c>
      <c r="U4350">
        <v>-2.9712830000000001</v>
      </c>
      <c r="V4350">
        <v>-5.5462900000000002E-2</v>
      </c>
      <c r="W4350">
        <v>2.443244E-2</v>
      </c>
      <c r="X4350">
        <v>0.99816179999999999</v>
      </c>
      <c r="Y4350">
        <v>-0.10248400000000001</v>
      </c>
      <c r="Z4350">
        <v>2.8890989999999998E-2</v>
      </c>
      <c r="AA4350">
        <v>0.99431499999999995</v>
      </c>
      <c r="AB4350">
        <v>34</v>
      </c>
      <c r="AC4350">
        <v>5.6597999999999598</v>
      </c>
      <c r="AD4350">
        <v>-1.1055967638919999</v>
      </c>
      <c r="AE4350">
        <v>-37.542029999999997</v>
      </c>
      <c r="AF4350">
        <v>-3.9268793942857201</v>
      </c>
      <c r="AG4350">
        <v>-1.1055967638919999</v>
      </c>
      <c r="AH4350">
        <v>37.730298017904801</v>
      </c>
      <c r="AI4350">
        <v>91.669424213995896</v>
      </c>
      <c r="AJ4350">
        <v>95.941815436988406</v>
      </c>
      <c r="AK4350">
        <v>37.950205724099902</v>
      </c>
      <c r="AL4350">
        <v>88.599985032246494</v>
      </c>
      <c r="AM4350">
        <v>93.180371846504897</v>
      </c>
      <c r="AN4350">
        <v>1.0000000281899999</v>
      </c>
    </row>
    <row r="4351" spans="1:40" x14ac:dyDescent="0.25">
      <c r="A4351" t="str">
        <f>"20190312151625754"</f>
        <v>20190312151625754</v>
      </c>
      <c r="B4351" t="str">
        <f>"1552374985742316"</f>
        <v>1552374985742316</v>
      </c>
      <c r="C4351" t="s">
        <v>40</v>
      </c>
      <c r="D4351">
        <v>5.2445259999999996</v>
      </c>
      <c r="E4351">
        <v>0.4819639</v>
      </c>
      <c r="F4351" t="s">
        <v>43</v>
      </c>
      <c r="G4351">
        <v>-416.11070000000001</v>
      </c>
      <c r="H4351" s="1">
        <v>-3.683525E-6</v>
      </c>
      <c r="I4351">
        <v>46.610979999999998</v>
      </c>
      <c r="J4351">
        <v>-421.77600000000001</v>
      </c>
      <c r="K4351">
        <v>1.1055919999999999</v>
      </c>
      <c r="L4351">
        <v>84.000240000000005</v>
      </c>
      <c r="M4351">
        <v>4.1683070000000003E-2</v>
      </c>
      <c r="N4351">
        <v>0</v>
      </c>
      <c r="O4351">
        <v>-0.99903299999999995</v>
      </c>
      <c r="P4351">
        <v>0.1016731</v>
      </c>
      <c r="Q4351">
        <v>9.7898220000000001E-3</v>
      </c>
      <c r="R4351">
        <v>-0.99476989999999998</v>
      </c>
      <c r="S4351">
        <v>0.44696039999999998</v>
      </c>
      <c r="T4351">
        <v>-8.7043049999999997E-2</v>
      </c>
      <c r="U4351">
        <v>-2.9709780000000001</v>
      </c>
      <c r="V4351">
        <v>-5.9887490000000002E-2</v>
      </c>
      <c r="W4351">
        <v>2.4336150000000001E-2</v>
      </c>
      <c r="X4351">
        <v>0.99790840000000003</v>
      </c>
      <c r="Y4351">
        <v>-0.1073529</v>
      </c>
      <c r="Z4351">
        <v>2.8999440000000001E-2</v>
      </c>
      <c r="AA4351">
        <v>0.99379799999999996</v>
      </c>
      <c r="AB4351">
        <v>34</v>
      </c>
      <c r="AC4351">
        <v>5.6653000000000002</v>
      </c>
      <c r="AD4351">
        <v>-1.10559568352499</v>
      </c>
      <c r="AE4351">
        <v>-37.38926</v>
      </c>
      <c r="AF4351">
        <v>-4.0982206866163198</v>
      </c>
      <c r="AG4351">
        <v>-1.10559568352499</v>
      </c>
      <c r="AH4351">
        <v>37.560822965475502</v>
      </c>
      <c r="AI4351">
        <v>91.676062253076296</v>
      </c>
      <c r="AJ4351">
        <v>96.226848661667205</v>
      </c>
      <c r="AK4351">
        <v>37.7999097413662</v>
      </c>
      <c r="AL4351">
        <v>88.605503598589294</v>
      </c>
      <c r="AM4351">
        <v>93.434373289826695</v>
      </c>
      <c r="AN4351">
        <v>0.99999996722294004</v>
      </c>
    </row>
    <row r="4352" spans="1:40" x14ac:dyDescent="0.25">
      <c r="A4352" t="str">
        <f>"20190312151625775"</f>
        <v>20190312151625775</v>
      </c>
      <c r="B4352" t="str">
        <f>"1552374985772572"</f>
        <v>1552374985772572</v>
      </c>
      <c r="C4352" t="s">
        <v>40</v>
      </c>
      <c r="D4352">
        <v>4.707846</v>
      </c>
      <c r="E4352">
        <v>0.48177059999999999</v>
      </c>
      <c r="F4352" t="s">
        <v>43</v>
      </c>
      <c r="G4352">
        <v>-416.10629999999998</v>
      </c>
      <c r="H4352" s="1">
        <v>-3.6470349999999999E-6</v>
      </c>
      <c r="I4352">
        <v>46.524120000000003</v>
      </c>
      <c r="J4352">
        <v>-421.76589999999999</v>
      </c>
      <c r="K4352">
        <v>1.1055999999999999</v>
      </c>
      <c r="L4352">
        <v>83.660430000000005</v>
      </c>
      <c r="M4352">
        <v>3.754847E-2</v>
      </c>
      <c r="N4352">
        <v>0</v>
      </c>
      <c r="O4352">
        <v>-0.99919690000000005</v>
      </c>
      <c r="P4352">
        <v>0.1022634</v>
      </c>
      <c r="Q4352">
        <v>1.013854E-2</v>
      </c>
      <c r="R4352">
        <v>-0.99470590000000003</v>
      </c>
      <c r="S4352">
        <v>0.44943240000000001</v>
      </c>
      <c r="T4352">
        <v>-8.7639690000000006E-2</v>
      </c>
      <c r="U4352">
        <v>-2.9707029999999999</v>
      </c>
      <c r="V4352">
        <v>-6.4606520000000001E-2</v>
      </c>
      <c r="W4352">
        <v>2.4723700000000001E-2</v>
      </c>
      <c r="X4352">
        <v>0.99760450000000001</v>
      </c>
      <c r="Y4352">
        <v>-0.1122871</v>
      </c>
      <c r="Z4352">
        <v>2.9198120000000001E-2</v>
      </c>
      <c r="AA4352">
        <v>0.99324670000000004</v>
      </c>
      <c r="AB4352">
        <v>34</v>
      </c>
      <c r="AC4352">
        <v>5.65960000000001</v>
      </c>
      <c r="AD4352">
        <v>-1.1056036470349999</v>
      </c>
      <c r="AE4352">
        <v>-37.136309999999902</v>
      </c>
      <c r="AF4352">
        <v>-4.2573722139311503</v>
      </c>
      <c r="AG4352">
        <v>-1.1056036470349999</v>
      </c>
      <c r="AH4352">
        <v>37.2903449756556</v>
      </c>
      <c r="AI4352">
        <v>91.687283394877397</v>
      </c>
      <c r="AJ4352">
        <v>96.5131563862153</v>
      </c>
      <c r="AK4352">
        <v>37.5488669069479</v>
      </c>
      <c r="AL4352">
        <v>88.583291982791096</v>
      </c>
      <c r="AM4352">
        <v>93.705395143931199</v>
      </c>
      <c r="AN4352">
        <v>1.00000000109422</v>
      </c>
    </row>
    <row r="4353" spans="1:40" x14ac:dyDescent="0.25">
      <c r="A4353" t="str">
        <f>"20190312151625796"</f>
        <v>20190312151625796</v>
      </c>
      <c r="B4353" t="str">
        <f>"1552374985792092"</f>
        <v>1552374985792092</v>
      </c>
      <c r="C4353" t="s">
        <v>40</v>
      </c>
      <c r="D4353">
        <v>4.6872910000000001</v>
      </c>
      <c r="E4353">
        <v>0.48157949999999999</v>
      </c>
      <c r="F4353" t="s">
        <v>43</v>
      </c>
      <c r="G4353">
        <v>-416.36369999999999</v>
      </c>
      <c r="H4353" s="1">
        <v>-4.3240179999999997E-6</v>
      </c>
      <c r="I4353">
        <v>48.20861</v>
      </c>
      <c r="J4353">
        <v>-421.75729999999999</v>
      </c>
      <c r="K4353">
        <v>1.105607</v>
      </c>
      <c r="L4353">
        <v>83.321039999999996</v>
      </c>
      <c r="M4353">
        <v>3.3418129999999997E-2</v>
      </c>
      <c r="N4353">
        <v>0</v>
      </c>
      <c r="O4353">
        <v>-0.99934339999999999</v>
      </c>
      <c r="P4353">
        <v>0.1027946</v>
      </c>
      <c r="Q4353">
        <v>1.0369740000000001E-2</v>
      </c>
      <c r="R4353">
        <v>-0.99464850000000005</v>
      </c>
      <c r="S4353">
        <v>0.4526367</v>
      </c>
      <c r="T4353">
        <v>-9.2635149999999999E-2</v>
      </c>
      <c r="U4353">
        <v>-2.9703979999999999</v>
      </c>
      <c r="V4353">
        <v>-6.9260959999999996E-2</v>
      </c>
      <c r="W4353">
        <v>2.4992070000000002E-2</v>
      </c>
      <c r="X4353">
        <v>0.99728550000000005</v>
      </c>
      <c r="Y4353">
        <v>-0.1174476</v>
      </c>
      <c r="Z4353">
        <v>3.0859069999999999E-2</v>
      </c>
      <c r="AA4353">
        <v>0.99259949999999997</v>
      </c>
      <c r="AB4353">
        <v>34</v>
      </c>
      <c r="AC4353">
        <v>5.3935999999999904</v>
      </c>
      <c r="AD4353">
        <v>-1.1056113240180001</v>
      </c>
      <c r="AE4353">
        <v>-35.112430000000003</v>
      </c>
      <c r="AF4353">
        <v>-4.2129992936717704</v>
      </c>
      <c r="AG4353">
        <v>-1.1056113240180001</v>
      </c>
      <c r="AH4353">
        <v>35.2389428487812</v>
      </c>
      <c r="AI4353">
        <v>91.784349789164693</v>
      </c>
      <c r="AJ4353">
        <v>96.817649401313005</v>
      </c>
      <c r="AK4353">
        <v>35.5071096056542</v>
      </c>
      <c r="AL4353">
        <v>88.567910797682501</v>
      </c>
      <c r="AM4353">
        <v>93.972783107106693</v>
      </c>
      <c r="AN4353">
        <v>1.00000002632662</v>
      </c>
    </row>
    <row r="4354" spans="1:40" x14ac:dyDescent="0.25">
      <c r="A4354" t="str">
        <f>"20190312151625819"</f>
        <v>20190312151625819</v>
      </c>
      <c r="B4354" t="str">
        <f>"1552374985812592"</f>
        <v>1552374985812592</v>
      </c>
      <c r="C4354" t="s">
        <v>40</v>
      </c>
      <c r="D4354">
        <v>4.719347</v>
      </c>
      <c r="E4354">
        <v>0.48152899999999998</v>
      </c>
      <c r="F4354" t="s">
        <v>43</v>
      </c>
      <c r="G4354">
        <v>-416.76060000000001</v>
      </c>
      <c r="H4354" s="1">
        <v>-1.229047E-6</v>
      </c>
      <c r="I4354">
        <v>50.72683</v>
      </c>
      <c r="J4354">
        <v>-421.74990000000003</v>
      </c>
      <c r="K4354">
        <v>1.1056140000000001</v>
      </c>
      <c r="L4354">
        <v>82.977419999999995</v>
      </c>
      <c r="M4354">
        <v>2.9235859999999999E-2</v>
      </c>
      <c r="N4354">
        <v>0</v>
      </c>
      <c r="O4354">
        <v>-0.99947470000000005</v>
      </c>
      <c r="P4354">
        <v>0.1036014</v>
      </c>
      <c r="Q4354">
        <v>1.0036379999999999E-2</v>
      </c>
      <c r="R4354">
        <v>-0.99456860000000002</v>
      </c>
      <c r="S4354">
        <v>0.45532230000000001</v>
      </c>
      <c r="T4354">
        <v>-0.1007477</v>
      </c>
      <c r="U4354">
        <v>-2.9701230000000001</v>
      </c>
      <c r="V4354">
        <v>-7.4246679999999995E-2</v>
      </c>
      <c r="W4354">
        <v>2.4698910000000001E-2</v>
      </c>
      <c r="X4354">
        <v>0.99693399999999999</v>
      </c>
      <c r="Y4354">
        <v>-0.1224794</v>
      </c>
      <c r="Z4354">
        <v>3.355578E-2</v>
      </c>
      <c r="AA4354">
        <v>0.9919036</v>
      </c>
      <c r="AB4354">
        <v>34</v>
      </c>
      <c r="AC4354">
        <v>4.9893000000000098</v>
      </c>
      <c r="AD4354">
        <v>-1.1056152290469901</v>
      </c>
      <c r="AE4354">
        <v>-32.250589999999903</v>
      </c>
      <c r="AF4354">
        <v>-4.0395643493844897</v>
      </c>
      <c r="AG4354">
        <v>-1.1056152290469901</v>
      </c>
      <c r="AH4354">
        <v>32.345556453917702</v>
      </c>
      <c r="AI4354">
        <v>91.942606622622606</v>
      </c>
      <c r="AJ4354">
        <v>97.118684769573704</v>
      </c>
      <c r="AK4354">
        <v>32.6155712425997</v>
      </c>
      <c r="AL4354">
        <v>88.584712781732904</v>
      </c>
      <c r="AM4354">
        <v>94.2592412943158</v>
      </c>
      <c r="AN4354">
        <v>1.0000000030011</v>
      </c>
    </row>
    <row r="4355" spans="1:40" x14ac:dyDescent="0.25">
      <c r="A4355" t="str">
        <f>"20190312151625841"</f>
        <v>20190312151625841</v>
      </c>
      <c r="B4355" t="str">
        <f>"1552374985832109"</f>
        <v>1552374985832109</v>
      </c>
      <c r="C4355" t="s">
        <v>40</v>
      </c>
      <c r="D4355">
        <v>4.6608330000000002</v>
      </c>
      <c r="E4355">
        <v>0.459096</v>
      </c>
      <c r="F4355" t="s">
        <v>43</v>
      </c>
      <c r="G4355">
        <v>-416.81360000000001</v>
      </c>
      <c r="H4355" s="1">
        <v>-1.292005E-6</v>
      </c>
      <c r="I4355">
        <v>50.95335</v>
      </c>
      <c r="J4355">
        <v>-421.7441</v>
      </c>
      <c r="K4355">
        <v>1.10562</v>
      </c>
      <c r="L4355">
        <v>82.638310000000004</v>
      </c>
      <c r="M4355">
        <v>2.5107770000000001E-2</v>
      </c>
      <c r="N4355">
        <v>0</v>
      </c>
      <c r="O4355">
        <v>-0.9995868</v>
      </c>
      <c r="P4355">
        <v>0.1046559</v>
      </c>
      <c r="Q4355">
        <v>9.7305989999999995E-3</v>
      </c>
      <c r="R4355">
        <v>-0.99446100000000004</v>
      </c>
      <c r="S4355">
        <v>0.4577637</v>
      </c>
      <c r="T4355">
        <v>-0.1025283</v>
      </c>
      <c r="U4355">
        <v>-2.9697269999999998</v>
      </c>
      <c r="V4355">
        <v>-7.9424439999999999E-2</v>
      </c>
      <c r="W4355">
        <v>2.443387E-2</v>
      </c>
      <c r="X4355">
        <v>0.99654140000000002</v>
      </c>
      <c r="Y4355">
        <v>-0.12739020000000001</v>
      </c>
      <c r="Z4355">
        <v>3.4145710000000003E-2</v>
      </c>
      <c r="AA4355">
        <v>0.99126479999999995</v>
      </c>
      <c r="AB4355">
        <v>34</v>
      </c>
      <c r="AC4355">
        <v>4.9304999999999897</v>
      </c>
      <c r="AD4355">
        <v>-1.1056212920049999</v>
      </c>
      <c r="AE4355">
        <v>-31.68496</v>
      </c>
      <c r="AF4355">
        <v>-4.1284208193421499</v>
      </c>
      <c r="AG4355">
        <v>-1.1056212920049999</v>
      </c>
      <c r="AH4355">
        <v>31.761017267031601</v>
      </c>
      <c r="AI4355">
        <v>91.977078771598599</v>
      </c>
      <c r="AJ4355">
        <v>97.4060048656101</v>
      </c>
      <c r="AK4355">
        <v>32.047284982344301</v>
      </c>
      <c r="AL4355">
        <v>88.599903047654294</v>
      </c>
      <c r="AM4355">
        <v>94.556846593417504</v>
      </c>
      <c r="AN4355">
        <v>1.0000000087932199</v>
      </c>
    </row>
    <row r="4356" spans="1:40" x14ac:dyDescent="0.25">
      <c r="A4356" t="str">
        <f>"20190312151625864"</f>
        <v>20190312151625864</v>
      </c>
      <c r="B4356" t="str">
        <f>"1552374985852604"</f>
        <v>1552374985852604</v>
      </c>
      <c r="C4356" t="s">
        <v>40</v>
      </c>
      <c r="D4356">
        <v>4.6948930000000004</v>
      </c>
      <c r="E4356">
        <v>0.4531985</v>
      </c>
      <c r="F4356" t="s">
        <v>43</v>
      </c>
      <c r="G4356">
        <v>-417.16379999999998</v>
      </c>
      <c r="H4356" s="1">
        <v>-1.3878779999999999E-6</v>
      </c>
      <c r="I4356">
        <v>61.508819999999901</v>
      </c>
      <c r="J4356">
        <v>-421.73950000000002</v>
      </c>
      <c r="K4356">
        <v>1.1056299999999999</v>
      </c>
      <c r="L4356">
        <v>82.293329999999997</v>
      </c>
      <c r="M4356">
        <v>2.091022E-2</v>
      </c>
      <c r="N4356">
        <v>0</v>
      </c>
      <c r="O4356">
        <v>-0.9996834</v>
      </c>
      <c r="P4356">
        <v>0.10571369999999999</v>
      </c>
      <c r="Q4356">
        <v>1.0516849999999999E-2</v>
      </c>
      <c r="R4356">
        <v>-0.99434120000000004</v>
      </c>
      <c r="S4356">
        <v>0.639679</v>
      </c>
      <c r="T4356">
        <v>-0.15440860000000001</v>
      </c>
      <c r="U4356">
        <v>-2.9508969999999999</v>
      </c>
      <c r="V4356">
        <v>-8.4662429999999997E-2</v>
      </c>
      <c r="W4356">
        <v>2.525997E-2</v>
      </c>
      <c r="X4356">
        <v>0.99608949999999996</v>
      </c>
      <c r="Y4356">
        <v>-0.1910927</v>
      </c>
      <c r="Z4356">
        <v>5.1163420000000001E-2</v>
      </c>
      <c r="AA4356">
        <v>0.98023769999999999</v>
      </c>
      <c r="AB4356">
        <v>34</v>
      </c>
      <c r="AC4356">
        <v>4.5757000000000403</v>
      </c>
      <c r="AD4356">
        <v>-1.105631387878</v>
      </c>
      <c r="AE4356">
        <v>-20.784510000000001</v>
      </c>
      <c r="AF4356">
        <v>-4.1289046140809296</v>
      </c>
      <c r="AG4356">
        <v>-1.105631387878</v>
      </c>
      <c r="AH4356">
        <v>20.819463337584601</v>
      </c>
      <c r="AI4356">
        <v>92.9819080437492</v>
      </c>
      <c r="AJ4356">
        <v>101.217317855068</v>
      </c>
      <c r="AK4356">
        <v>21.253713269522301</v>
      </c>
      <c r="AL4356">
        <v>88.552556434724707</v>
      </c>
      <c r="AM4356">
        <v>94.858167241674394</v>
      </c>
      <c r="AN4356">
        <v>1.00000004257407</v>
      </c>
    </row>
    <row r="4357" spans="1:40" x14ac:dyDescent="0.25">
      <c r="A4357" t="str">
        <f>"20190312151625886"</f>
        <v>20190312151625886</v>
      </c>
      <c r="B4357" t="str">
        <f>"1552374985881884"</f>
        <v>1552374985881884</v>
      </c>
      <c r="C4357" t="s">
        <v>40</v>
      </c>
      <c r="D4357">
        <v>4.6237740000000001</v>
      </c>
      <c r="E4357">
        <v>0.45004899999999998</v>
      </c>
      <c r="F4357" t="s">
        <v>43</v>
      </c>
      <c r="G4357">
        <v>-418.17790000000002</v>
      </c>
      <c r="H4357" s="1">
        <v>-3.5198149999999999E-6</v>
      </c>
      <c r="I4357">
        <v>67.084130000000002</v>
      </c>
      <c r="J4357">
        <v>-421.73649999999998</v>
      </c>
      <c r="K4357">
        <v>1.105648</v>
      </c>
      <c r="L4357">
        <v>81.949919999999906</v>
      </c>
      <c r="M4357">
        <v>1.6735159999999999E-2</v>
      </c>
      <c r="N4357">
        <v>0</v>
      </c>
      <c r="O4357">
        <v>-0.99976209999999999</v>
      </c>
      <c r="P4357">
        <v>0.106743</v>
      </c>
      <c r="Q4357">
        <v>1.1550319999999999E-2</v>
      </c>
      <c r="R4357">
        <v>-0.99421950000000003</v>
      </c>
      <c r="S4357">
        <v>0.68988039999999995</v>
      </c>
      <c r="T4357">
        <v>-0.2141583</v>
      </c>
      <c r="U4357">
        <v>-2.9459840000000002</v>
      </c>
      <c r="V4357">
        <v>-8.9844049999999995E-2</v>
      </c>
      <c r="W4357">
        <v>2.6332020000000001E-2</v>
      </c>
      <c r="X4357">
        <v>0.99560769999999998</v>
      </c>
      <c r="Y4357">
        <v>-0.21110979999999999</v>
      </c>
      <c r="Z4357">
        <v>7.0719980000000002E-2</v>
      </c>
      <c r="AA4357">
        <v>0.97490069999999995</v>
      </c>
      <c r="AB4357">
        <v>34</v>
      </c>
      <c r="AC4357">
        <v>3.55859999999995</v>
      </c>
      <c r="AD4357">
        <v>-1.1056515198150001</v>
      </c>
      <c r="AE4357">
        <v>-14.865789999999899</v>
      </c>
      <c r="AF4357">
        <v>-3.2920719825953202</v>
      </c>
      <c r="AG4357">
        <v>-1.1056515198150001</v>
      </c>
      <c r="AH4357">
        <v>14.845596394491601</v>
      </c>
      <c r="AI4357">
        <v>94.158681991245601</v>
      </c>
      <c r="AJ4357">
        <v>102.503246357728</v>
      </c>
      <c r="AK4357">
        <v>15.2463745044519</v>
      </c>
      <c r="AL4357">
        <v>88.491111998505403</v>
      </c>
      <c r="AM4357">
        <v>95.156428234483897</v>
      </c>
      <c r="AN4357">
        <v>1.0000000104484801</v>
      </c>
    </row>
    <row r="4358" spans="1:40" x14ac:dyDescent="0.25">
      <c r="A4358" t="str">
        <f>"20190312151625911"</f>
        <v>20190312151625911</v>
      </c>
      <c r="B4358" t="str">
        <f>"1552374985902381"</f>
        <v>1552374985902381</v>
      </c>
      <c r="C4358" t="s">
        <v>40</v>
      </c>
      <c r="D4358">
        <v>4.6649839999999996</v>
      </c>
      <c r="E4358">
        <v>0.44919759999999997</v>
      </c>
      <c r="F4358" t="s">
        <v>43</v>
      </c>
      <c r="G4358">
        <v>-418.78039999999999</v>
      </c>
      <c r="H4358" s="1">
        <v>-3.8754650000000001E-7</v>
      </c>
      <c r="I4358">
        <v>69.833299999999994</v>
      </c>
      <c r="J4358">
        <v>-421.73469999999998</v>
      </c>
      <c r="K4358">
        <v>1.105664</v>
      </c>
      <c r="L4358">
        <v>81.588040000000007</v>
      </c>
      <c r="M4358">
        <v>1.234501E-2</v>
      </c>
      <c r="N4358">
        <v>0</v>
      </c>
      <c r="O4358">
        <v>-0.99982610000000005</v>
      </c>
      <c r="P4358">
        <v>0.1068677</v>
      </c>
      <c r="Q4358">
        <v>1.2039070000000001E-2</v>
      </c>
      <c r="R4358">
        <v>-0.99420070000000005</v>
      </c>
      <c r="S4358">
        <v>0.71810909999999994</v>
      </c>
      <c r="T4358">
        <v>-0.26859149999999998</v>
      </c>
      <c r="U4358">
        <v>-2.943451</v>
      </c>
      <c r="V4358">
        <v>-9.4337149999999995E-2</v>
      </c>
      <c r="W4358">
        <v>2.6852069999999999E-2</v>
      </c>
      <c r="X4358">
        <v>0.99517809999999995</v>
      </c>
      <c r="Y4358">
        <v>-0.22407640000000001</v>
      </c>
      <c r="Z4358">
        <v>8.8421379999999994E-2</v>
      </c>
      <c r="AA4358">
        <v>0.97055210000000003</v>
      </c>
      <c r="AB4358">
        <v>34</v>
      </c>
      <c r="AC4358">
        <v>2.9542999999999799</v>
      </c>
      <c r="AD4358">
        <v>-1.1056643875465</v>
      </c>
      <c r="AE4358">
        <v>-11.75474</v>
      </c>
      <c r="AF4358">
        <v>-2.7857655666376</v>
      </c>
      <c r="AG4358">
        <v>-1.1056643875465</v>
      </c>
      <c r="AH4358">
        <v>11.693011106419</v>
      </c>
      <c r="AI4358">
        <v>95.255465536365094</v>
      </c>
      <c r="AJ4358">
        <v>103.400451568733</v>
      </c>
      <c r="AK4358">
        <v>12.0710186920984</v>
      </c>
      <c r="AL4358">
        <v>88.461304757854194</v>
      </c>
      <c r="AM4358">
        <v>95.415128444108007</v>
      </c>
      <c r="AN4358">
        <v>0.99999999112650795</v>
      </c>
    </row>
    <row r="4359" spans="1:40" x14ac:dyDescent="0.25">
      <c r="A4359" t="str">
        <f>"20190312151625931"</f>
        <v>20190312151625931</v>
      </c>
      <c r="B4359" t="str">
        <f>"1552374985921901"</f>
        <v>1552374985921901</v>
      </c>
      <c r="C4359" t="s">
        <v>40</v>
      </c>
      <c r="D4359">
        <v>4.6392530000000001</v>
      </c>
      <c r="E4359">
        <v>0.44928810000000002</v>
      </c>
      <c r="F4359" t="s">
        <v>43</v>
      </c>
      <c r="G4359">
        <v>-418.63119999999998</v>
      </c>
      <c r="H4359" s="1">
        <v>-4.2598950000000001E-6</v>
      </c>
      <c r="I4359">
        <v>68.996700000000004</v>
      </c>
      <c r="J4359">
        <v>-421.73450000000003</v>
      </c>
      <c r="K4359">
        <v>1.1056900000000001</v>
      </c>
      <c r="L4359">
        <v>81.260890000000003</v>
      </c>
      <c r="M4359">
        <v>8.3893800000000001E-3</v>
      </c>
      <c r="N4359">
        <v>0</v>
      </c>
      <c r="O4359">
        <v>-0.99986699999999995</v>
      </c>
      <c r="P4359">
        <v>0.1076787</v>
      </c>
      <c r="Q4359">
        <v>1.178179E-2</v>
      </c>
      <c r="R4359">
        <v>-0.99411590000000005</v>
      </c>
      <c r="S4359">
        <v>0.72531129999999999</v>
      </c>
      <c r="T4359">
        <v>-0.25840010000000002</v>
      </c>
      <c r="U4359">
        <v>-2.9426570000000001</v>
      </c>
      <c r="V4359">
        <v>-9.9089640000000007E-2</v>
      </c>
      <c r="W4359">
        <v>2.6627080000000001E-2</v>
      </c>
      <c r="X4359">
        <v>0.9947222</v>
      </c>
      <c r="Y4359">
        <v>-0.230298</v>
      </c>
      <c r="Z4359">
        <v>8.5032250000000004E-2</v>
      </c>
      <c r="AA4359">
        <v>0.96939790000000003</v>
      </c>
      <c r="AB4359">
        <v>34</v>
      </c>
      <c r="AC4359">
        <v>3.1033000000000399</v>
      </c>
      <c r="AD4359">
        <v>-1.1056942598949999</v>
      </c>
      <c r="AE4359">
        <v>-12.264189999999999</v>
      </c>
      <c r="AF4359">
        <v>-2.9775461324018799</v>
      </c>
      <c r="AG4359">
        <v>-1.1056942598949999</v>
      </c>
      <c r="AH4359">
        <v>12.1966250084596</v>
      </c>
      <c r="AI4359">
        <v>95.033014869120095</v>
      </c>
      <c r="AJ4359">
        <v>103.71919593734</v>
      </c>
      <c r="AK4359">
        <v>12.603412330156001</v>
      </c>
      <c r="AL4359">
        <v>88.474200370161995</v>
      </c>
      <c r="AM4359">
        <v>95.6887739673883</v>
      </c>
      <c r="AN4359">
        <v>1.00000000665874</v>
      </c>
    </row>
    <row r="4360" spans="1:40" x14ac:dyDescent="0.25">
      <c r="A4360" t="str">
        <f>"20190312151625954"</f>
        <v>20190312151625954</v>
      </c>
      <c r="B4360" t="str">
        <f>"1552374985942396"</f>
        <v>1552374985942396</v>
      </c>
      <c r="C4360" t="s">
        <v>40</v>
      </c>
      <c r="D4360">
        <v>4.6433059999999999</v>
      </c>
      <c r="E4360">
        <v>0.44941300000000001</v>
      </c>
      <c r="F4360" t="s">
        <v>43</v>
      </c>
      <c r="G4360">
        <v>-418.4751</v>
      </c>
      <c r="H4360" s="1">
        <v>-3.8859829999999999E-6</v>
      </c>
      <c r="I4360">
        <v>68.060559999999995</v>
      </c>
      <c r="J4360">
        <v>-421.73570000000001</v>
      </c>
      <c r="K4360">
        <v>1.1057170000000001</v>
      </c>
      <c r="L4360">
        <v>80.923769999999905</v>
      </c>
      <c r="M4360">
        <v>4.3399010000000002E-3</v>
      </c>
      <c r="N4360">
        <v>0</v>
      </c>
      <c r="O4360">
        <v>-0.99989309999999998</v>
      </c>
      <c r="P4360">
        <v>0.1081594</v>
      </c>
      <c r="Q4360">
        <v>1.2440379999999999E-2</v>
      </c>
      <c r="R4360">
        <v>-0.99405619999999995</v>
      </c>
      <c r="S4360">
        <v>0.72644039999999999</v>
      </c>
      <c r="T4360">
        <v>-0.24642829999999999</v>
      </c>
      <c r="U4360">
        <v>-2.941986</v>
      </c>
      <c r="V4360">
        <v>-0.1035951</v>
      </c>
      <c r="W4360">
        <v>2.7312050000000001E-2</v>
      </c>
      <c r="X4360">
        <v>0.99424449999999998</v>
      </c>
      <c r="Y4360">
        <v>-0.2347166</v>
      </c>
      <c r="Z4360">
        <v>8.1093799999999994E-2</v>
      </c>
      <c r="AA4360">
        <v>0.96867530000000002</v>
      </c>
      <c r="AB4360">
        <v>34</v>
      </c>
      <c r="AC4360">
        <v>3.2606000000000099</v>
      </c>
      <c r="AD4360">
        <v>-1.1057208859829999</v>
      </c>
      <c r="AE4360">
        <v>-12.863209999999899</v>
      </c>
      <c r="AF4360">
        <v>-3.1826417016944899</v>
      </c>
      <c r="AG4360">
        <v>-1.1057208859829999</v>
      </c>
      <c r="AH4360">
        <v>12.788450669217699</v>
      </c>
      <c r="AI4360">
        <v>94.796065785836205</v>
      </c>
      <c r="AJ4360">
        <v>103.975207089799</v>
      </c>
      <c r="AK4360">
        <v>13.2248363845485</v>
      </c>
      <c r="AL4360">
        <v>88.434940203009205</v>
      </c>
      <c r="AM4360">
        <v>95.948457278606696</v>
      </c>
      <c r="AN4360">
        <v>1.0000000092997301</v>
      </c>
    </row>
    <row r="4361" spans="1:40" x14ac:dyDescent="0.25">
      <c r="A4361" t="str">
        <f>"20190312151625977"</f>
        <v>20190312151625977</v>
      </c>
      <c r="B4361" t="str">
        <f>"1552374985972652"</f>
        <v>1552374985972652</v>
      </c>
      <c r="C4361" t="s">
        <v>40</v>
      </c>
      <c r="D4361">
        <v>4.6651530000000001</v>
      </c>
      <c r="E4361">
        <v>0.44950620000000002</v>
      </c>
      <c r="F4361" t="s">
        <v>43</v>
      </c>
      <c r="G4361">
        <v>-418.2953</v>
      </c>
      <c r="H4361" s="1">
        <v>-3.4632979999999999E-6</v>
      </c>
      <c r="I4361">
        <v>67.000919999999994</v>
      </c>
      <c r="J4361">
        <v>-421.73849999999999</v>
      </c>
      <c r="K4361">
        <v>1.1057459999999999</v>
      </c>
      <c r="L4361">
        <v>80.565640000000002</v>
      </c>
      <c r="M4361" s="1">
        <v>7.8459909999999998E-5</v>
      </c>
      <c r="N4361">
        <v>0</v>
      </c>
      <c r="O4361">
        <v>-0.99990230000000002</v>
      </c>
      <c r="P4361">
        <v>0.1080742</v>
      </c>
      <c r="Q4361">
        <v>1.3137390000000001E-2</v>
      </c>
      <c r="R4361">
        <v>-0.99405589999999999</v>
      </c>
      <c r="S4361">
        <v>0.72692869999999998</v>
      </c>
      <c r="T4361">
        <v>-0.23362869999999999</v>
      </c>
      <c r="U4361">
        <v>-2.9417719999999998</v>
      </c>
      <c r="V4361">
        <v>-0.1077432</v>
      </c>
      <c r="W4361">
        <v>2.8028930000000001E-2</v>
      </c>
      <c r="X4361">
        <v>0.99378359999999999</v>
      </c>
      <c r="Y4361">
        <v>-0.23910419999999999</v>
      </c>
      <c r="Z4361">
        <v>7.687128E-2</v>
      </c>
      <c r="AA4361">
        <v>0.96794630000000004</v>
      </c>
      <c r="AB4361">
        <v>34</v>
      </c>
      <c r="AC4361">
        <v>3.4431999999999898</v>
      </c>
      <c r="AD4361">
        <v>-1.1057494632979901</v>
      </c>
      <c r="AE4361">
        <v>-13.564719999999999</v>
      </c>
      <c r="AF4361">
        <v>-3.4207806252919801</v>
      </c>
      <c r="AG4361">
        <v>-1.1057494632979901</v>
      </c>
      <c r="AH4361">
        <v>13.4808330802414</v>
      </c>
      <c r="AI4361">
        <v>94.545689224440295</v>
      </c>
      <c r="AJ4361">
        <v>104.238361547472</v>
      </c>
      <c r="AK4361">
        <v>13.951963392271701</v>
      </c>
      <c r="AL4361">
        <v>88.393850305318495</v>
      </c>
      <c r="AM4361">
        <v>96.187677576501002</v>
      </c>
      <c r="AN4361">
        <v>1.0000000308460699</v>
      </c>
    </row>
    <row r="4362" spans="1:40" x14ac:dyDescent="0.25">
      <c r="A4362" t="str">
        <f>"20190312151625999"</f>
        <v>20190312151625999</v>
      </c>
      <c r="B4362" t="str">
        <f>"1552374985992173"</f>
        <v>1552374985992173</v>
      </c>
      <c r="C4362" t="s">
        <v>40</v>
      </c>
      <c r="D4362">
        <v>4.6487920000000003</v>
      </c>
      <c r="E4362">
        <v>0.44941639999999999</v>
      </c>
      <c r="F4362" t="s">
        <v>43</v>
      </c>
      <c r="G4362">
        <v>-418.13650000000001</v>
      </c>
      <c r="H4362" s="1">
        <v>-3.0491269999999999E-6</v>
      </c>
      <c r="I4362">
        <v>65.969840000000005</v>
      </c>
      <c r="J4362">
        <v>-421.74239999999998</v>
      </c>
      <c r="K4362">
        <v>1.105782</v>
      </c>
      <c r="L4362">
        <v>80.230680000000007</v>
      </c>
      <c r="M4362">
        <v>-3.8723859999999998E-3</v>
      </c>
      <c r="N4362">
        <v>0</v>
      </c>
      <c r="O4362">
        <v>-0.99989479999999997</v>
      </c>
      <c r="P4362">
        <v>0.1106684</v>
      </c>
      <c r="Q4362">
        <v>1.317864E-2</v>
      </c>
      <c r="R4362">
        <v>-0.99376989999999998</v>
      </c>
      <c r="S4362">
        <v>0.72601319999999903</v>
      </c>
      <c r="T4362">
        <v>-0.2228744</v>
      </c>
      <c r="U4362">
        <v>-2.9419249999999999</v>
      </c>
      <c r="V4362">
        <v>-0.1142653</v>
      </c>
      <c r="W4362">
        <v>2.8106630000000001E-2</v>
      </c>
      <c r="X4362">
        <v>0.99305259999999995</v>
      </c>
      <c r="Y4362">
        <v>-0.2427069</v>
      </c>
      <c r="Z4362">
        <v>7.3317690000000005E-2</v>
      </c>
      <c r="AA4362">
        <v>0.96732510000000005</v>
      </c>
      <c r="AB4362">
        <v>34</v>
      </c>
      <c r="AC4362">
        <v>3.6058999999999601</v>
      </c>
      <c r="AD4362">
        <v>-1.105785049127</v>
      </c>
      <c r="AE4362">
        <v>-14.26084</v>
      </c>
      <c r="AF4362">
        <v>-3.6405286878011598</v>
      </c>
      <c r="AG4362">
        <v>-1.105785049127</v>
      </c>
      <c r="AH4362">
        <v>14.1667101656678</v>
      </c>
      <c r="AI4362">
        <v>94.323274095483299</v>
      </c>
      <c r="AJ4362">
        <v>104.411897215983</v>
      </c>
      <c r="AK4362">
        <v>14.6687384126792</v>
      </c>
      <c r="AL4362">
        <v>88.389396625342798</v>
      </c>
      <c r="AM4362">
        <v>96.563855053259005</v>
      </c>
      <c r="AN4362">
        <v>1.0000000039004</v>
      </c>
    </row>
    <row r="4363" spans="1:40" x14ac:dyDescent="0.25">
      <c r="A4363" t="str">
        <f>"20190312151626032"</f>
        <v>20190312151626032</v>
      </c>
      <c r="B4363" t="str">
        <f>"1552374986022429"</f>
        <v>1552374986022429</v>
      </c>
      <c r="C4363" t="s">
        <v>40</v>
      </c>
      <c r="D4363">
        <v>4.7682840000000004</v>
      </c>
      <c r="E4363">
        <v>0.44931359999999898</v>
      </c>
      <c r="F4363" t="s">
        <v>43</v>
      </c>
      <c r="G4363">
        <v>-418.14150000000001</v>
      </c>
      <c r="H4363" s="1">
        <v>-2.978654E-6</v>
      </c>
      <c r="I4363">
        <v>65.807630000000003</v>
      </c>
      <c r="J4363">
        <v>-421.75040000000001</v>
      </c>
      <c r="K4363">
        <v>1.1058600000000001</v>
      </c>
      <c r="L4363">
        <v>79.735749999999996</v>
      </c>
      <c r="M4363">
        <v>-9.6253880000000003E-3</v>
      </c>
      <c r="N4363">
        <v>0</v>
      </c>
      <c r="O4363">
        <v>-0.99985610000000003</v>
      </c>
      <c r="P4363">
        <v>0.1112625</v>
      </c>
      <c r="Q4363">
        <v>1.381508E-2</v>
      </c>
      <c r="R4363">
        <v>-0.99369510000000005</v>
      </c>
      <c r="S4363">
        <v>0.73400880000000002</v>
      </c>
      <c r="T4363">
        <v>-0.2254062</v>
      </c>
      <c r="U4363">
        <v>-2.9400330000000001</v>
      </c>
      <c r="V4363">
        <v>-0.12057</v>
      </c>
      <c r="W4363">
        <v>2.8766300000000002E-2</v>
      </c>
      <c r="X4363">
        <v>0.9922879</v>
      </c>
      <c r="Y4363">
        <v>-0.25088749999999999</v>
      </c>
      <c r="Z4363">
        <v>7.4085209999999999E-2</v>
      </c>
      <c r="AA4363">
        <v>0.96517710000000001</v>
      </c>
      <c r="AB4363">
        <v>34</v>
      </c>
      <c r="AC4363">
        <v>3.6089000000000002</v>
      </c>
      <c r="AD4363">
        <v>-1.105862978654</v>
      </c>
      <c r="AE4363">
        <v>-13.9281199999999</v>
      </c>
      <c r="AF4363">
        <v>-3.72082895473525</v>
      </c>
      <c r="AG4363">
        <v>-1.105862978654</v>
      </c>
      <c r="AH4363">
        <v>13.811146064990799</v>
      </c>
      <c r="AI4363">
        <v>94.420956056440204</v>
      </c>
      <c r="AJ4363">
        <v>105.077939433098</v>
      </c>
      <c r="AK4363">
        <v>14.3462628118428</v>
      </c>
      <c r="AL4363">
        <v>88.351584939276293</v>
      </c>
      <c r="AM4363">
        <v>96.927881422430005</v>
      </c>
      <c r="AN4363">
        <v>0.99999995070104797</v>
      </c>
    </row>
    <row r="4364" spans="1:40" x14ac:dyDescent="0.25">
      <c r="A4364" t="str">
        <f>"20190312151626054"</f>
        <v>20190312151626054</v>
      </c>
      <c r="B4364" t="str">
        <f>"1552374986041948"</f>
        <v>1552374986041948</v>
      </c>
      <c r="C4364" t="s">
        <v>40</v>
      </c>
      <c r="D4364">
        <v>4.7137200000000004</v>
      </c>
      <c r="E4364">
        <v>0.44938840000000002</v>
      </c>
      <c r="F4364" t="s">
        <v>43</v>
      </c>
      <c r="G4364">
        <v>-418.25319999999999</v>
      </c>
      <c r="H4364" s="1">
        <v>-2.9473129999999999E-6</v>
      </c>
      <c r="I4364">
        <v>65.780749999999998</v>
      </c>
      <c r="J4364">
        <v>-421.75749999999999</v>
      </c>
      <c r="K4364">
        <v>1.105917</v>
      </c>
      <c r="L4364">
        <v>79.396330000000006</v>
      </c>
      <c r="M4364">
        <v>-1.3485209999999999E-2</v>
      </c>
      <c r="N4364">
        <v>0</v>
      </c>
      <c r="O4364">
        <v>-0.99981149999999996</v>
      </c>
      <c r="P4364">
        <v>0.1119984</v>
      </c>
      <c r="Q4364">
        <v>1.4625529999999999E-2</v>
      </c>
      <c r="R4364">
        <v>-0.9936007</v>
      </c>
      <c r="S4364">
        <v>0.73672490000000002</v>
      </c>
      <c r="T4364">
        <v>-0.23296320000000001</v>
      </c>
      <c r="U4364">
        <v>-2.9397890000000002</v>
      </c>
      <c r="V4364">
        <v>-0.1251321</v>
      </c>
      <c r="W4364">
        <v>2.958802E-2</v>
      </c>
      <c r="X4364">
        <v>0.99169879999999999</v>
      </c>
      <c r="Y4364">
        <v>-0.25543449999999901</v>
      </c>
      <c r="Z4364">
        <v>7.6500390000000001E-2</v>
      </c>
      <c r="AA4364">
        <v>0.96379510000000002</v>
      </c>
      <c r="AB4364">
        <v>34</v>
      </c>
      <c r="AC4364">
        <v>3.5043000000000002</v>
      </c>
      <c r="AD4364">
        <v>-1.1059199473129999</v>
      </c>
      <c r="AE4364">
        <v>-13.61558</v>
      </c>
      <c r="AF4364">
        <v>-3.6649311781281799</v>
      </c>
      <c r="AG4364">
        <v>-1.1059199473129999</v>
      </c>
      <c r="AH4364">
        <v>13.483649958976001</v>
      </c>
      <c r="AI4364">
        <v>94.525399445147599</v>
      </c>
      <c r="AJ4364">
        <v>105.205953650929</v>
      </c>
      <c r="AK4364">
        <v>14.0165472098686</v>
      </c>
      <c r="AL4364">
        <v>88.304483881064201</v>
      </c>
      <c r="AM4364">
        <v>97.191549681409896</v>
      </c>
      <c r="AN4364">
        <v>1.0000000016496799</v>
      </c>
    </row>
    <row r="4365" spans="1:40" x14ac:dyDescent="0.25">
      <c r="A4365" t="str">
        <f>"20190312151626076"</f>
        <v>20190312151626076</v>
      </c>
      <c r="B4365" t="str">
        <f>"1552374986072204"</f>
        <v>1552374986072204</v>
      </c>
      <c r="C4365" t="s">
        <v>40</v>
      </c>
      <c r="D4365">
        <v>4.6332750000000003</v>
      </c>
      <c r="E4365">
        <v>0.44954690000000003</v>
      </c>
      <c r="F4365" t="s">
        <v>43</v>
      </c>
      <c r="G4365">
        <v>-418.22140000000002</v>
      </c>
      <c r="H4365" s="1">
        <v>-2.7566380000000002E-6</v>
      </c>
      <c r="I4365">
        <v>65.323139999999995</v>
      </c>
      <c r="J4365">
        <v>-421.76569999999998</v>
      </c>
      <c r="K4365">
        <v>1.1059920000000001</v>
      </c>
      <c r="L4365">
        <v>79.064269999999993</v>
      </c>
      <c r="M4365">
        <v>-1.7174169999999999E-2</v>
      </c>
      <c r="N4365">
        <v>0</v>
      </c>
      <c r="O4365">
        <v>-0.99975499999999995</v>
      </c>
      <c r="P4365">
        <v>0.1124897</v>
      </c>
      <c r="Q4365">
        <v>1.568984E-2</v>
      </c>
      <c r="R4365">
        <v>-0.9935292</v>
      </c>
      <c r="S4365">
        <v>0.73858639999999998</v>
      </c>
      <c r="T4365">
        <v>-0.2309947</v>
      </c>
      <c r="U4365">
        <v>-2.9394840000000002</v>
      </c>
      <c r="V4365">
        <v>-0.1292778</v>
      </c>
      <c r="W4365">
        <v>3.06547E-2</v>
      </c>
      <c r="X4365">
        <v>0.99113450000000003</v>
      </c>
      <c r="Y4365">
        <v>-0.25960909999999998</v>
      </c>
      <c r="Z4365">
        <v>7.5810180000000005E-2</v>
      </c>
      <c r="AA4365">
        <v>0.96273359999999997</v>
      </c>
      <c r="AB4365">
        <v>34</v>
      </c>
      <c r="AC4365">
        <v>3.5442999999999598</v>
      </c>
      <c r="AD4365">
        <v>-1.105994756638</v>
      </c>
      <c r="AE4365">
        <v>-13.741129999999901</v>
      </c>
      <c r="AF4365">
        <v>-3.7569721176204101</v>
      </c>
      <c r="AG4365">
        <v>-1.105994756638</v>
      </c>
      <c r="AH4365">
        <v>13.595644118273301</v>
      </c>
      <c r="AI4365">
        <v>94.4834164981838</v>
      </c>
      <c r="AJ4365">
        <v>105.447416492012</v>
      </c>
      <c r="AK4365">
        <v>14.1484841196867</v>
      </c>
      <c r="AL4365">
        <v>88.243339919445205</v>
      </c>
      <c r="AM4365">
        <v>97.431373125026894</v>
      </c>
      <c r="AN4365">
        <v>1.0000000286475801</v>
      </c>
    </row>
    <row r="4366" spans="1:40" x14ac:dyDescent="0.25">
      <c r="A4366" t="str">
        <f>"20190312151626100"</f>
        <v>20190312151626100</v>
      </c>
      <c r="B4366" t="str">
        <f>"1552374986092700"</f>
        <v>1552374986092700</v>
      </c>
      <c r="C4366" t="s">
        <v>40</v>
      </c>
      <c r="D4366">
        <v>4.6460049999999997</v>
      </c>
      <c r="E4366">
        <v>0.44961000000000001</v>
      </c>
      <c r="F4366" t="s">
        <v>43</v>
      </c>
      <c r="G4366">
        <v>-418.07639999999998</v>
      </c>
      <c r="H4366" s="1">
        <v>-2.3800449999999998E-6</v>
      </c>
      <c r="I4366">
        <v>64.385329999999996</v>
      </c>
      <c r="J4366">
        <v>-421.77569999999997</v>
      </c>
      <c r="K4366">
        <v>1.10608</v>
      </c>
      <c r="L4366">
        <v>78.709109999999995</v>
      </c>
      <c r="M4366">
        <v>-2.1031480000000002E-2</v>
      </c>
      <c r="N4366">
        <v>0</v>
      </c>
      <c r="O4366">
        <v>-0.99968140000000005</v>
      </c>
      <c r="P4366">
        <v>0.1129047</v>
      </c>
      <c r="Q4366">
        <v>1.676356E-2</v>
      </c>
      <c r="R4366">
        <v>-0.99346460000000003</v>
      </c>
      <c r="S4366">
        <v>0.73876949999999997</v>
      </c>
      <c r="T4366">
        <v>-0.22147049999999999</v>
      </c>
      <c r="U4366">
        <v>-2.9393919999999998</v>
      </c>
      <c r="V4366">
        <v>-0.1335124</v>
      </c>
      <c r="W4366">
        <v>3.1725160000000002E-2</v>
      </c>
      <c r="X4366">
        <v>0.99053930000000001</v>
      </c>
      <c r="Y4366">
        <v>-0.26345299999999999</v>
      </c>
      <c r="Z4366">
        <v>7.2656799999999994E-2</v>
      </c>
      <c r="AA4366">
        <v>0.96193220000000002</v>
      </c>
      <c r="AB4366">
        <v>34</v>
      </c>
      <c r="AC4366">
        <v>3.6992999999999898</v>
      </c>
      <c r="AD4366">
        <v>-1.1060823800449999</v>
      </c>
      <c r="AE4366">
        <v>-14.3237799999999</v>
      </c>
      <c r="AF4366">
        <v>-3.9775265772978901</v>
      </c>
      <c r="AG4366">
        <v>-1.1060823800449999</v>
      </c>
      <c r="AH4366">
        <v>14.1636261237808</v>
      </c>
      <c r="AI4366">
        <v>94.299679023361193</v>
      </c>
      <c r="AJ4366">
        <v>105.686168113281</v>
      </c>
      <c r="AK4366">
        <v>14.753048528314499</v>
      </c>
      <c r="AL4366">
        <v>88.181977309419395</v>
      </c>
      <c r="AM4366">
        <v>97.676494782042198</v>
      </c>
      <c r="AN4366">
        <v>1.0000000757876299</v>
      </c>
    </row>
    <row r="4367" spans="1:40" x14ac:dyDescent="0.25">
      <c r="A4367" t="str">
        <f>"20190312151626122"</f>
        <v>20190312151626122</v>
      </c>
      <c r="B4367" t="str">
        <f>"1552374986112220"</f>
        <v>1552374986112220</v>
      </c>
      <c r="C4367" t="s">
        <v>40</v>
      </c>
      <c r="D4367">
        <v>4.6256729999999999</v>
      </c>
      <c r="E4367">
        <v>0.4494224</v>
      </c>
      <c r="F4367" t="s">
        <v>43</v>
      </c>
      <c r="G4367">
        <v>-417.96780000000001</v>
      </c>
      <c r="H4367" s="1">
        <v>-2.0560509999999998E-6</v>
      </c>
      <c r="I4367">
        <v>63.5852</v>
      </c>
      <c r="J4367">
        <v>-421.78649999999999</v>
      </c>
      <c r="K4367">
        <v>1.106179</v>
      </c>
      <c r="L4367">
        <v>78.369140000000002</v>
      </c>
      <c r="M4367">
        <v>-2.4626499999999999E-2</v>
      </c>
      <c r="N4367">
        <v>0</v>
      </c>
      <c r="O4367">
        <v>-0.99959949999999997</v>
      </c>
      <c r="P4367">
        <v>0.1140946</v>
      </c>
      <c r="Q4367">
        <v>1.7961830000000002E-2</v>
      </c>
      <c r="R4367">
        <v>-0.99330779999999996</v>
      </c>
      <c r="S4367">
        <v>0.74005129999999997</v>
      </c>
      <c r="T4367">
        <v>-0.2149626</v>
      </c>
      <c r="U4367">
        <v>-2.93927</v>
      </c>
      <c r="V4367">
        <v>-0.13825760000000001</v>
      </c>
      <c r="W4367">
        <v>3.2920440000000002E-2</v>
      </c>
      <c r="X4367">
        <v>0.98984899999999998</v>
      </c>
      <c r="Y4367">
        <v>-0.26736130000000002</v>
      </c>
      <c r="Z4367">
        <v>7.0484619999999998E-2</v>
      </c>
      <c r="AA4367">
        <v>0.96101499999999995</v>
      </c>
      <c r="AB4367">
        <v>34</v>
      </c>
      <c r="AC4367">
        <v>3.81869999999997</v>
      </c>
      <c r="AD4367">
        <v>-1.1061810560509999</v>
      </c>
      <c r="AE4367">
        <v>-14.783939999999999</v>
      </c>
      <c r="AF4367">
        <v>-4.1598215762751796</v>
      </c>
      <c r="AG4367">
        <v>-1.1061810560509999</v>
      </c>
      <c r="AH4367">
        <v>14.608733526520799</v>
      </c>
      <c r="AI4367">
        <v>94.165248897236907</v>
      </c>
      <c r="AJ4367">
        <v>105.89424768263601</v>
      </c>
      <c r="AK4367">
        <v>15.229669967668499</v>
      </c>
      <c r="AL4367">
        <v>88.113456829315197</v>
      </c>
      <c r="AM4367">
        <v>97.951371443526099</v>
      </c>
      <c r="AN4367">
        <v>0.99999998106427601</v>
      </c>
    </row>
    <row r="4368" spans="1:40" x14ac:dyDescent="0.25">
      <c r="A4368" t="str">
        <f>"20190312151626143"</f>
        <v>20190312151626143</v>
      </c>
      <c r="B4368" t="str">
        <f>"1552374986132717"</f>
        <v>1552374986132717</v>
      </c>
      <c r="C4368" t="s">
        <v>40</v>
      </c>
      <c r="D4368">
        <v>4.6257840000000003</v>
      </c>
      <c r="E4368">
        <v>0.44926549999999998</v>
      </c>
      <c r="F4368" t="s">
        <v>43</v>
      </c>
      <c r="G4368">
        <v>-418.00740000000002</v>
      </c>
      <c r="H4368" s="1">
        <v>-1.9991309999999999E-6</v>
      </c>
      <c r="I4368">
        <v>63.468859999999999</v>
      </c>
      <c r="J4368">
        <v>-421.79770000000002</v>
      </c>
      <c r="K4368">
        <v>1.1062730000000001</v>
      </c>
      <c r="L4368">
        <v>78.050079999999994</v>
      </c>
      <c r="M4368">
        <v>-2.7897180000000001E-2</v>
      </c>
      <c r="N4368">
        <v>0</v>
      </c>
      <c r="O4368">
        <v>-0.9995136</v>
      </c>
      <c r="P4368">
        <v>0.1150958</v>
      </c>
      <c r="Q4368">
        <v>1.898532E-2</v>
      </c>
      <c r="R4368">
        <v>-0.99317319999999998</v>
      </c>
      <c r="S4368">
        <v>0.74530030000000003</v>
      </c>
      <c r="T4368">
        <v>-0.21815399999999999</v>
      </c>
      <c r="U4368">
        <v>-2.9385379999999999</v>
      </c>
      <c r="V4368">
        <v>-0.14249239999999999</v>
      </c>
      <c r="W4368">
        <v>3.3934590000000001E-2</v>
      </c>
      <c r="X4368">
        <v>0.98921400000000004</v>
      </c>
      <c r="Y4368">
        <v>-0.27216319999999999</v>
      </c>
      <c r="Z4368">
        <v>7.1468900000000002E-2</v>
      </c>
      <c r="AA4368">
        <v>0.95959340000000004</v>
      </c>
      <c r="AB4368">
        <v>34</v>
      </c>
      <c r="AC4368">
        <v>3.7902999999999998</v>
      </c>
      <c r="AD4368">
        <v>-1.1062749991309999</v>
      </c>
      <c r="AE4368">
        <v>-14.58122</v>
      </c>
      <c r="AF4368">
        <v>-4.1731378274966504</v>
      </c>
      <c r="AG4368">
        <v>-1.1062749991309999</v>
      </c>
      <c r="AH4368">
        <v>14.392193643493099</v>
      </c>
      <c r="AI4368">
        <v>94.222228701104498</v>
      </c>
      <c r="AJ4368">
        <v>106.169961807329</v>
      </c>
      <c r="AK4368">
        <v>15.025783226600501</v>
      </c>
      <c r="AL4368">
        <v>88.055317835295298</v>
      </c>
      <c r="AM4368">
        <v>98.196849930349799</v>
      </c>
      <c r="AN4368">
        <v>0.99999998912611299</v>
      </c>
    </row>
    <row r="4369" spans="1:40" x14ac:dyDescent="0.25">
      <c r="A4369" t="str">
        <f>"20190312151626165"</f>
        <v>20190312151626165</v>
      </c>
      <c r="B4369" t="str">
        <f>"1552374986161997"</f>
        <v>1552374986161997</v>
      </c>
      <c r="C4369" t="s">
        <v>40</v>
      </c>
      <c r="D4369">
        <v>4.5802239999999896</v>
      </c>
      <c r="E4369">
        <v>0.44891989999999998</v>
      </c>
      <c r="F4369" t="s">
        <v>43</v>
      </c>
      <c r="G4369">
        <v>-418.06099999999998</v>
      </c>
      <c r="H4369" s="1">
        <v>-1.9597500000000002E-6</v>
      </c>
      <c r="I4369">
        <v>63.399270000000001</v>
      </c>
      <c r="J4369">
        <v>-421.8107</v>
      </c>
      <c r="K4369">
        <v>1.106379</v>
      </c>
      <c r="L4369">
        <v>77.706940000000003</v>
      </c>
      <c r="M4369">
        <v>-3.1288660000000003E-2</v>
      </c>
      <c r="N4369">
        <v>0</v>
      </c>
      <c r="O4369">
        <v>-0.99941329999999995</v>
      </c>
      <c r="P4369">
        <v>0.1160243</v>
      </c>
      <c r="Q4369">
        <v>1.9986469999999999E-2</v>
      </c>
      <c r="R4369">
        <v>-0.99304530000000002</v>
      </c>
      <c r="S4369">
        <v>0.74932860000000001</v>
      </c>
      <c r="T4369">
        <v>-0.22184809999999999</v>
      </c>
      <c r="U4369">
        <v>-2.9380190000000002</v>
      </c>
      <c r="V4369">
        <v>-0.14677419999999999</v>
      </c>
      <c r="W4369">
        <v>3.4916759999999998E-2</v>
      </c>
      <c r="X4369">
        <v>0.98855360000000003</v>
      </c>
      <c r="Y4369">
        <v>-0.27668009999999998</v>
      </c>
      <c r="Z4369">
        <v>7.2613910000000004E-2</v>
      </c>
      <c r="AA4369">
        <v>0.95821460000000003</v>
      </c>
      <c r="AB4369">
        <v>34</v>
      </c>
      <c r="AC4369">
        <v>3.74970000000001</v>
      </c>
      <c r="AD4369">
        <v>-1.1063809597499901</v>
      </c>
      <c r="AE4369">
        <v>-14.30767</v>
      </c>
      <c r="AF4369">
        <v>-4.1722302017230604</v>
      </c>
      <c r="AG4369">
        <v>-1.1063809597499901</v>
      </c>
      <c r="AH4369">
        <v>14.104410777981601</v>
      </c>
      <c r="AI4369">
        <v>94.301697911051093</v>
      </c>
      <c r="AJ4369">
        <v>106.47876057954799</v>
      </c>
      <c r="AK4369">
        <v>14.7501182055708</v>
      </c>
      <c r="AL4369">
        <v>87.999010348752407</v>
      </c>
      <c r="AM4369">
        <v>98.445219707319794</v>
      </c>
      <c r="AN4369">
        <v>1.00000003299374</v>
      </c>
    </row>
    <row r="4370" spans="1:40" x14ac:dyDescent="0.25">
      <c r="A4370" t="str">
        <f>"20190312151626188"</f>
        <v>20190312151626188</v>
      </c>
      <c r="B4370" t="str">
        <f>"1552374986182492"</f>
        <v>1552374986182492</v>
      </c>
      <c r="C4370" t="s">
        <v>40</v>
      </c>
      <c r="D4370">
        <v>4.5495789999999996</v>
      </c>
      <c r="E4370">
        <v>0.44875920000000002</v>
      </c>
      <c r="F4370" t="s">
        <v>43</v>
      </c>
      <c r="G4370">
        <v>-418.1189</v>
      </c>
      <c r="H4370" s="1">
        <v>-1.926574E-6</v>
      </c>
      <c r="I4370">
        <v>63.345869999999998</v>
      </c>
      <c r="J4370">
        <v>-421.8245</v>
      </c>
      <c r="K4370">
        <v>1.1064940000000001</v>
      </c>
      <c r="L4370">
        <v>77.368470000000002</v>
      </c>
      <c r="M4370">
        <v>-3.4494850000000001E-2</v>
      </c>
      <c r="N4370">
        <v>0</v>
      </c>
      <c r="O4370">
        <v>-0.99930790000000003</v>
      </c>
      <c r="P4370">
        <v>0.116744899999999</v>
      </c>
      <c r="Q4370">
        <v>2.0536619999999998E-2</v>
      </c>
      <c r="R4370">
        <v>-0.99294979999999999</v>
      </c>
      <c r="S4370">
        <v>0.7550964</v>
      </c>
      <c r="T4370">
        <v>-0.226294</v>
      </c>
      <c r="U4370">
        <v>-2.9373469999999999</v>
      </c>
      <c r="V4370">
        <v>-0.150669</v>
      </c>
      <c r="W4370">
        <v>3.54381E-2</v>
      </c>
      <c r="X4370">
        <v>0.98794890000000002</v>
      </c>
      <c r="Y4370">
        <v>-0.28155140000000001</v>
      </c>
      <c r="Z4370">
        <v>7.3993959999999998E-2</v>
      </c>
      <c r="AA4370">
        <v>0.95668889999999995</v>
      </c>
      <c r="AB4370">
        <v>34</v>
      </c>
      <c r="AC4370">
        <v>3.7056</v>
      </c>
      <c r="AD4370">
        <v>-1.106495926574</v>
      </c>
      <c r="AE4370">
        <v>-14.022600000000001</v>
      </c>
      <c r="AF4370">
        <v>-4.1629202495523998</v>
      </c>
      <c r="AG4370">
        <v>-1.106495926574</v>
      </c>
      <c r="AH4370">
        <v>13.806064717816801</v>
      </c>
      <c r="AI4370">
        <v>94.3878928651352</v>
      </c>
      <c r="AJ4370">
        <v>106.77954929591699</v>
      </c>
      <c r="AK4370">
        <v>14.4624223846562</v>
      </c>
      <c r="AL4370">
        <v>87.969121237871306</v>
      </c>
      <c r="AM4370">
        <v>98.671186443131305</v>
      </c>
      <c r="AN4370">
        <v>1.0000000177519</v>
      </c>
    </row>
    <row r="4371" spans="1:40" x14ac:dyDescent="0.25">
      <c r="A4371" t="str">
        <f>"20190312151626209"</f>
        <v>20190312151626209</v>
      </c>
      <c r="B4371" t="str">
        <f>"1552374986202017"</f>
        <v>1552374986202017</v>
      </c>
      <c r="C4371" t="s">
        <v>40</v>
      </c>
      <c r="D4371">
        <v>4.6460860000000004</v>
      </c>
      <c r="E4371">
        <v>0.4487372</v>
      </c>
      <c r="F4371" t="s">
        <v>43</v>
      </c>
      <c r="G4371">
        <v>-418.21300000000002</v>
      </c>
      <c r="H4371" s="1">
        <v>-1.9283630000000001E-6</v>
      </c>
      <c r="I4371">
        <v>63.388930000000002</v>
      </c>
      <c r="J4371">
        <v>-421.83870000000002</v>
      </c>
      <c r="K4371">
        <v>1.1066309999999999</v>
      </c>
      <c r="L4371">
        <v>77.044129999999996</v>
      </c>
      <c r="M4371">
        <v>-3.7422289999999997E-2</v>
      </c>
      <c r="N4371">
        <v>0</v>
      </c>
      <c r="O4371">
        <v>-0.99920249999999999</v>
      </c>
      <c r="P4371">
        <v>0.1171768</v>
      </c>
      <c r="Q4371">
        <v>2.1369030000000001E-2</v>
      </c>
      <c r="R4371">
        <v>-0.99288120000000002</v>
      </c>
      <c r="S4371">
        <v>0.75872799999999996</v>
      </c>
      <c r="T4371">
        <v>-0.2324581</v>
      </c>
      <c r="U4371">
        <v>-2.93689</v>
      </c>
      <c r="V4371">
        <v>-0.15399769999999999</v>
      </c>
      <c r="W4371">
        <v>3.6233899999999999E-2</v>
      </c>
      <c r="X4371">
        <v>0.98740660000000002</v>
      </c>
      <c r="Y4371">
        <v>-0.28546769999999999</v>
      </c>
      <c r="Z4371">
        <v>7.5940149999999998E-2</v>
      </c>
      <c r="AA4371">
        <v>0.95537499999999997</v>
      </c>
      <c r="AB4371">
        <v>34</v>
      </c>
      <c r="AC4371">
        <v>3.6256999999999899</v>
      </c>
      <c r="AD4371">
        <v>-1.1066329283630001</v>
      </c>
      <c r="AE4371">
        <v>-13.655200000000001</v>
      </c>
      <c r="AF4371">
        <v>-4.1090089205681704</v>
      </c>
      <c r="AG4371">
        <v>-1.1066329283630001</v>
      </c>
      <c r="AH4371">
        <v>13.427558129271</v>
      </c>
      <c r="AI4371">
        <v>94.506034513229395</v>
      </c>
      <c r="AJ4371">
        <v>107.01479792201199</v>
      </c>
      <c r="AK4371">
        <v>14.085734203881501</v>
      </c>
      <c r="AL4371">
        <v>87.9234958935142</v>
      </c>
      <c r="AM4371">
        <v>98.864538727349</v>
      </c>
      <c r="AN4371">
        <v>0.99999999041902998</v>
      </c>
    </row>
    <row r="4372" spans="1:40" x14ac:dyDescent="0.25">
      <c r="A4372" t="str">
        <f>"20190312151626234"</f>
        <v>20190312151626234</v>
      </c>
      <c r="B4372" t="str">
        <f>"1552374986222508"</f>
        <v>1552374986222508</v>
      </c>
      <c r="C4372" t="s">
        <v>40</v>
      </c>
      <c r="D4372">
        <v>4.6032950000000001</v>
      </c>
      <c r="E4372">
        <v>0.44879279999999999</v>
      </c>
      <c r="F4372" t="s">
        <v>43</v>
      </c>
      <c r="G4372">
        <v>-418.23309999999998</v>
      </c>
      <c r="H4372" s="1">
        <v>-1.8065030000000001E-6</v>
      </c>
      <c r="I4372">
        <v>63.113199999999999</v>
      </c>
      <c r="J4372">
        <v>-421.85509999999999</v>
      </c>
      <c r="K4372">
        <v>1.1067899999999999</v>
      </c>
      <c r="L4372">
        <v>76.688719999999904</v>
      </c>
      <c r="M4372">
        <v>-4.0456590000000001E-2</v>
      </c>
      <c r="N4372">
        <v>0</v>
      </c>
      <c r="O4372">
        <v>-0.99908439999999998</v>
      </c>
      <c r="P4372">
        <v>0.1181668</v>
      </c>
      <c r="Q4372">
        <v>2.2337820000000001E-2</v>
      </c>
      <c r="R4372">
        <v>-0.99274260000000003</v>
      </c>
      <c r="S4372">
        <v>0.76010129999999998</v>
      </c>
      <c r="T4372">
        <v>-0.2332931</v>
      </c>
      <c r="U4372">
        <v>-2.9368289999999999</v>
      </c>
      <c r="V4372">
        <v>-0.15798699999999999</v>
      </c>
      <c r="W4372">
        <v>3.7156439999999999E-2</v>
      </c>
      <c r="X4372">
        <v>0.9867418</v>
      </c>
      <c r="Y4372">
        <v>-0.28879490000000002</v>
      </c>
      <c r="Z4372">
        <v>7.6155650000000005E-2</v>
      </c>
      <c r="AA4372">
        <v>0.95435729999999996</v>
      </c>
      <c r="AB4372">
        <v>34</v>
      </c>
      <c r="AC4372">
        <v>3.6220000000000101</v>
      </c>
      <c r="AD4372">
        <v>-1.106791806503</v>
      </c>
      <c r="AE4372">
        <v>-13.5755199999999</v>
      </c>
      <c r="AF4372">
        <v>-4.1426009037785496</v>
      </c>
      <c r="AG4372">
        <v>-1.106791806503</v>
      </c>
      <c r="AH4372">
        <v>13.335108752223499</v>
      </c>
      <c r="AI4372">
        <v>94.531891939931199</v>
      </c>
      <c r="AJ4372">
        <v>107.257600457355</v>
      </c>
      <c r="AK4372">
        <v>14.0075428175164</v>
      </c>
      <c r="AL4372">
        <v>87.870602504565099</v>
      </c>
      <c r="AM4372">
        <v>99.096409034974101</v>
      </c>
      <c r="AN4372">
        <v>0.99999993653485397</v>
      </c>
    </row>
    <row r="4373" spans="1:40" x14ac:dyDescent="0.25">
      <c r="A4373" t="str">
        <f>"20190312151626254"</f>
        <v>20190312151626254</v>
      </c>
      <c r="B4373" t="str">
        <f>"1552374986251789"</f>
        <v>1552374986251789</v>
      </c>
      <c r="C4373" t="s">
        <v>40</v>
      </c>
      <c r="D4373">
        <v>4.6078640000000002</v>
      </c>
      <c r="E4373">
        <v>0.44888689999999998</v>
      </c>
      <c r="F4373" t="s">
        <v>43</v>
      </c>
      <c r="G4373">
        <v>-418.16820000000001</v>
      </c>
      <c r="H4373" s="1">
        <v>-1.554617E-6</v>
      </c>
      <c r="I4373">
        <v>62.499200000000002</v>
      </c>
      <c r="J4373">
        <v>-421.87090000000001</v>
      </c>
      <c r="K4373">
        <v>1.1069500000000001</v>
      </c>
      <c r="L4373">
        <v>76.36551</v>
      </c>
      <c r="M4373">
        <v>-4.3035230000000001E-2</v>
      </c>
      <c r="N4373">
        <v>0</v>
      </c>
      <c r="O4373">
        <v>-0.9989768</v>
      </c>
      <c r="P4373">
        <v>0.1196232</v>
      </c>
      <c r="Q4373">
        <v>2.3240170000000001E-2</v>
      </c>
      <c r="R4373">
        <v>-0.99254759999999997</v>
      </c>
      <c r="S4373">
        <v>0.76293949999999999</v>
      </c>
      <c r="T4373">
        <v>-0.2290317</v>
      </c>
      <c r="U4373">
        <v>-2.9362789999999999</v>
      </c>
      <c r="V4373">
        <v>-0.161988299999999</v>
      </c>
      <c r="W4373">
        <v>3.8011280000000001E-2</v>
      </c>
      <c r="X4373">
        <v>0.9860603</v>
      </c>
      <c r="Y4373">
        <v>-0.29219840000000002</v>
      </c>
      <c r="Z4373">
        <v>7.4725459999999994E-2</v>
      </c>
      <c r="AA4373">
        <v>0.95343389999999995</v>
      </c>
      <c r="AB4373">
        <v>34</v>
      </c>
      <c r="AC4373">
        <v>3.7026999999999899</v>
      </c>
      <c r="AD4373">
        <v>-1.1069515546169999</v>
      </c>
      <c r="AE4373">
        <v>-13.86631</v>
      </c>
      <c r="AF4373">
        <v>-4.2706616037308001</v>
      </c>
      <c r="AG4373">
        <v>-1.1069515546169999</v>
      </c>
      <c r="AH4373">
        <v>13.6131187358936</v>
      </c>
      <c r="AI4373">
        <v>94.436501121774299</v>
      </c>
      <c r="AJ4373">
        <v>107.41750812938901</v>
      </c>
      <c r="AK4373">
        <v>14.310167504099599</v>
      </c>
      <c r="AL4373">
        <v>87.821589265419206</v>
      </c>
      <c r="AM4373">
        <v>99.329125445646397</v>
      </c>
      <c r="AN4373">
        <v>0.99999999099010894</v>
      </c>
    </row>
    <row r="4374" spans="1:40" x14ac:dyDescent="0.25">
      <c r="A4374" t="str">
        <f>"20190312151626277"</f>
        <v>20190312151626277</v>
      </c>
      <c r="B4374" t="str">
        <f>"1552374986272284"</f>
        <v>1552374986272284</v>
      </c>
      <c r="C4374" t="s">
        <v>40</v>
      </c>
      <c r="D4374">
        <v>4.5530670000000004</v>
      </c>
      <c r="E4374">
        <v>0.44893870000000002</v>
      </c>
      <c r="F4374" t="s">
        <v>43</v>
      </c>
      <c r="G4374">
        <v>-418.1078</v>
      </c>
      <c r="H4374" s="1">
        <v>-1.331491E-6</v>
      </c>
      <c r="I4374">
        <v>61.95411</v>
      </c>
      <c r="J4374">
        <v>-421.88780000000003</v>
      </c>
      <c r="K4374">
        <v>1.1071040000000001</v>
      </c>
      <c r="L4374">
        <v>76.034149999999997</v>
      </c>
      <c r="M4374">
        <v>-4.553517E-2</v>
      </c>
      <c r="N4374">
        <v>0</v>
      </c>
      <c r="O4374">
        <v>-0.99886600000000003</v>
      </c>
      <c r="P4374">
        <v>0.1203509</v>
      </c>
      <c r="Q4374">
        <v>2.432581E-2</v>
      </c>
      <c r="R4374">
        <v>-0.99243369999999997</v>
      </c>
      <c r="S4374">
        <v>0.76651000000000002</v>
      </c>
      <c r="T4374">
        <v>-0.2254747</v>
      </c>
      <c r="U4374">
        <v>-2.9354550000000001</v>
      </c>
      <c r="V4374">
        <v>-0.16518479999999999</v>
      </c>
      <c r="W4374">
        <v>3.9045249999999997E-2</v>
      </c>
      <c r="X4374">
        <v>0.98548939999999996</v>
      </c>
      <c r="Y4374">
        <v>-0.29576269999999999</v>
      </c>
      <c r="Z4374">
        <v>7.3526560000000005E-2</v>
      </c>
      <c r="AA4374">
        <v>0.95242760000000004</v>
      </c>
      <c r="AB4374">
        <v>34</v>
      </c>
      <c r="AC4374">
        <v>3.7800000000000198</v>
      </c>
      <c r="AD4374">
        <v>-1.107105331491</v>
      </c>
      <c r="AE4374">
        <v>-14.080039999999901</v>
      </c>
      <c r="AF4374">
        <v>-4.3919492487269096</v>
      </c>
      <c r="AG4374">
        <v>-1.107105331491</v>
      </c>
      <c r="AH4374">
        <v>13.813630485670799</v>
      </c>
      <c r="AI4374">
        <v>94.367675606453403</v>
      </c>
      <c r="AJ4374">
        <v>107.637706054063</v>
      </c>
      <c r="AK4374">
        <v>14.537237963693901</v>
      </c>
      <c r="AL4374">
        <v>87.7623030420676</v>
      </c>
      <c r="AM4374">
        <v>99.515293809128494</v>
      </c>
      <c r="AN4374">
        <v>0.99999995360548</v>
      </c>
    </row>
    <row r="4375" spans="1:40" x14ac:dyDescent="0.25">
      <c r="A4375" t="str">
        <f>"20190312151626300"</f>
        <v>20190312151626300</v>
      </c>
      <c r="B4375" t="str">
        <f>"1552374986292796"</f>
        <v>1552374986292796</v>
      </c>
      <c r="C4375" t="s">
        <v>40</v>
      </c>
      <c r="D4375">
        <v>4.5826320000000003</v>
      </c>
      <c r="E4375">
        <v>0.44886160000000003</v>
      </c>
      <c r="F4375" t="s">
        <v>43</v>
      </c>
      <c r="G4375">
        <v>-418.04360000000003</v>
      </c>
      <c r="H4375" s="1">
        <v>-1.09756E-6</v>
      </c>
      <c r="I4375">
        <v>61.34366</v>
      </c>
      <c r="J4375">
        <v>-421.90629999999999</v>
      </c>
      <c r="K4375">
        <v>1.1072569999999999</v>
      </c>
      <c r="L4375">
        <v>75.684880000000007</v>
      </c>
      <c r="M4375">
        <v>-4.7998939999999997E-2</v>
      </c>
      <c r="N4375">
        <v>0</v>
      </c>
      <c r="O4375">
        <v>-0.99875069999999999</v>
      </c>
      <c r="P4375">
        <v>0.12061810000000001</v>
      </c>
      <c r="Q4375">
        <v>2.5200190000000001E-2</v>
      </c>
      <c r="R4375">
        <v>-0.99237920000000002</v>
      </c>
      <c r="S4375">
        <v>0.76806640000000004</v>
      </c>
      <c r="T4375">
        <v>-0.2211988</v>
      </c>
      <c r="U4375">
        <v>-2.9351500000000001</v>
      </c>
      <c r="V4375">
        <v>-0.16788919999999999</v>
      </c>
      <c r="W4375">
        <v>3.986191E-2</v>
      </c>
      <c r="X4375">
        <v>0.98499959999999998</v>
      </c>
      <c r="Y4375">
        <v>-0.29864039999999997</v>
      </c>
      <c r="Z4375">
        <v>7.2096430000000003E-2</v>
      </c>
      <c r="AA4375">
        <v>0.9516386</v>
      </c>
      <c r="AB4375">
        <v>34</v>
      </c>
      <c r="AC4375">
        <v>3.8626999999999598</v>
      </c>
      <c r="AD4375">
        <v>-1.1072580975599999</v>
      </c>
      <c r="AE4375">
        <v>-14.34122</v>
      </c>
      <c r="AF4375">
        <v>-4.5215465302286599</v>
      </c>
      <c r="AG4375">
        <v>-1.1072580975599999</v>
      </c>
      <c r="AH4375">
        <v>14.061113404663301</v>
      </c>
      <c r="AI4375">
        <v>94.287193224123001</v>
      </c>
      <c r="AJ4375">
        <v>107.82591656098199</v>
      </c>
      <c r="AK4375">
        <v>14.811661409120701</v>
      </c>
      <c r="AL4375">
        <v>87.715475476223901</v>
      </c>
      <c r="AM4375">
        <v>99.672877273325</v>
      </c>
      <c r="AN4375">
        <v>0.99999998367282295</v>
      </c>
    </row>
    <row r="4376" spans="1:40" x14ac:dyDescent="0.25">
      <c r="A4376" t="str">
        <f>"20190312151626322"</f>
        <v>20190312151626322</v>
      </c>
      <c r="B4376" t="str">
        <f>"1552374986312300"</f>
        <v>1552374986312300</v>
      </c>
      <c r="C4376" t="s">
        <v>40</v>
      </c>
      <c r="D4376">
        <v>4.5396470000000004</v>
      </c>
      <c r="E4376">
        <v>0.44870969999999999</v>
      </c>
      <c r="F4376" t="s">
        <v>43</v>
      </c>
      <c r="G4376">
        <v>-418.0367</v>
      </c>
      <c r="H4376" s="1">
        <v>-9.6157089999999993E-7</v>
      </c>
      <c r="I4376">
        <v>60.938600000000001</v>
      </c>
      <c r="J4376">
        <v>-421.92430000000002</v>
      </c>
      <c r="K4376">
        <v>1.107407</v>
      </c>
      <c r="L4376">
        <v>75.359499999999997</v>
      </c>
      <c r="M4376">
        <v>-5.0119530000000002E-2</v>
      </c>
      <c r="N4376">
        <v>0</v>
      </c>
      <c r="O4376">
        <v>-0.99864699999999995</v>
      </c>
      <c r="P4376">
        <v>0.1211322</v>
      </c>
      <c r="Q4376">
        <v>2.6037640000000001E-2</v>
      </c>
      <c r="R4376">
        <v>-0.99229529999999999</v>
      </c>
      <c r="S4376">
        <v>0.77020259999999996</v>
      </c>
      <c r="T4376">
        <v>-0.22038340000000001</v>
      </c>
      <c r="U4376">
        <v>-2.935028</v>
      </c>
      <c r="V4376">
        <v>-0.17049990000000001</v>
      </c>
      <c r="W4376">
        <v>4.0640429999999998E-2</v>
      </c>
      <c r="X4376">
        <v>0.98451920000000004</v>
      </c>
      <c r="Y4376">
        <v>-0.3013285</v>
      </c>
      <c r="Z4376">
        <v>7.1785829999999995E-2</v>
      </c>
      <c r="AA4376">
        <v>0.95081439999999995</v>
      </c>
      <c r="AB4376">
        <v>34</v>
      </c>
      <c r="AC4376">
        <v>3.8876000000000199</v>
      </c>
      <c r="AD4376">
        <v>-1.1074079615708901</v>
      </c>
      <c r="AE4376">
        <v>-14.4208999999999</v>
      </c>
      <c r="AF4376">
        <v>-4.5803709764500402</v>
      </c>
      <c r="AG4376">
        <v>-1.1074079615708901</v>
      </c>
      <c r="AH4376">
        <v>14.1302287938523</v>
      </c>
      <c r="AI4376">
        <v>94.263657911030094</v>
      </c>
      <c r="AJ4376">
        <v>107.960312141443</v>
      </c>
      <c r="AK4376">
        <v>14.8952850406385</v>
      </c>
      <c r="AL4376">
        <v>87.670833325570996</v>
      </c>
      <c r="AM4376">
        <v>99.825083514605197</v>
      </c>
      <c r="AN4376">
        <v>0.99999995780961604</v>
      </c>
    </row>
    <row r="4377" spans="1:40" x14ac:dyDescent="0.25">
      <c r="A4377" t="str">
        <f>"20190312151626344"</f>
        <v>20190312151626344</v>
      </c>
      <c r="B4377" t="str">
        <f>"1552374986342556"</f>
        <v>1552374986342556</v>
      </c>
      <c r="C4377" t="s">
        <v>40</v>
      </c>
      <c r="D4377">
        <v>4.5259609999999997</v>
      </c>
      <c r="E4377">
        <v>0.44863809999999898</v>
      </c>
      <c r="F4377" t="s">
        <v>43</v>
      </c>
      <c r="G4377">
        <v>-418.08280000000002</v>
      </c>
      <c r="H4377" s="1">
        <v>-8.9433339999999999E-7</v>
      </c>
      <c r="I4377">
        <v>60.77711</v>
      </c>
      <c r="J4377">
        <v>-421.9434</v>
      </c>
      <c r="K4377">
        <v>1.107572</v>
      </c>
      <c r="L4377">
        <v>75.021270000000001</v>
      </c>
      <c r="M4377">
        <v>-5.2125860000000003E-2</v>
      </c>
      <c r="N4377">
        <v>0</v>
      </c>
      <c r="O4377">
        <v>-0.99854410000000005</v>
      </c>
      <c r="P4377">
        <v>0.1221622</v>
      </c>
      <c r="Q4377">
        <v>2.609442E-2</v>
      </c>
      <c r="R4377">
        <v>-0.99216720000000003</v>
      </c>
      <c r="S4377">
        <v>0.77310179999999995</v>
      </c>
      <c r="T4377">
        <v>-0.2228695</v>
      </c>
      <c r="U4377">
        <v>-2.9347530000000002</v>
      </c>
      <c r="V4377">
        <v>-0.1735168</v>
      </c>
      <c r="W4377">
        <v>4.062661E-2</v>
      </c>
      <c r="X4377">
        <v>0.9839926</v>
      </c>
      <c r="Y4377">
        <v>-0.30412860000000003</v>
      </c>
      <c r="Z4377">
        <v>7.2544109999999995E-2</v>
      </c>
      <c r="AA4377">
        <v>0.94986479999999995</v>
      </c>
      <c r="AB4377">
        <v>33</v>
      </c>
      <c r="AC4377">
        <v>3.8605999999999701</v>
      </c>
      <c r="AD4377">
        <v>-1.10757289433339</v>
      </c>
      <c r="AE4377">
        <v>-14.244160000000001</v>
      </c>
      <c r="AF4377">
        <v>-4.57215939227261</v>
      </c>
      <c r="AG4377">
        <v>-1.10757289433339</v>
      </c>
      <c r="AH4377">
        <v>13.944992746350101</v>
      </c>
      <c r="AI4377">
        <v>94.3160092009078</v>
      </c>
      <c r="AJ4377">
        <v>108.15281949455</v>
      </c>
      <c r="AK4377">
        <v>14.7171390535106</v>
      </c>
      <c r="AL4377">
        <v>87.671625950533397</v>
      </c>
      <c r="AM4377">
        <v>100.000697756264</v>
      </c>
      <c r="AN4377">
        <v>1.0000000190885401</v>
      </c>
    </row>
    <row r="4378" spans="1:40" x14ac:dyDescent="0.25">
      <c r="A4378" t="str">
        <f>"20190312151626366"</f>
        <v>20190312151626366</v>
      </c>
      <c r="B4378" t="str">
        <f>"1552374986362077"</f>
        <v>1552374986362077</v>
      </c>
      <c r="C4378" t="s">
        <v>40</v>
      </c>
      <c r="D4378">
        <v>4.5943659999999999</v>
      </c>
      <c r="E4378">
        <v>0.44864029999999999</v>
      </c>
      <c r="F4378" t="s">
        <v>43</v>
      </c>
      <c r="G4378">
        <v>-418.13630000000001</v>
      </c>
      <c r="H4378" s="1">
        <v>-8.3307590000000005E-7</v>
      </c>
      <c r="I4378">
        <v>60.6389</v>
      </c>
      <c r="J4378">
        <v>-421.96230000000003</v>
      </c>
      <c r="K4378">
        <v>1.107753</v>
      </c>
      <c r="L4378">
        <v>74.695160000000001</v>
      </c>
      <c r="M4378">
        <v>-5.3856319999999999E-2</v>
      </c>
      <c r="N4378">
        <v>0</v>
      </c>
      <c r="O4378">
        <v>-0.99845249999999997</v>
      </c>
      <c r="P4378">
        <v>0.1229691</v>
      </c>
      <c r="Q4378">
        <v>2.5993970000000002E-2</v>
      </c>
      <c r="R4378">
        <v>-0.99207029999999996</v>
      </c>
      <c r="S4378">
        <v>0.77664180000000005</v>
      </c>
      <c r="T4378">
        <v>-0.2259438</v>
      </c>
      <c r="U4378">
        <v>-2.9339900000000001</v>
      </c>
      <c r="V4378">
        <v>-0.176041899999999</v>
      </c>
      <c r="W4378">
        <v>4.0446040000000003E-2</v>
      </c>
      <c r="X4378">
        <v>0.98355139999999996</v>
      </c>
      <c r="Y4378">
        <v>-0.30689179999999999</v>
      </c>
      <c r="Z4378">
        <v>7.3502499999999998E-2</v>
      </c>
      <c r="AA4378">
        <v>0.94890189999999996</v>
      </c>
      <c r="AB4378">
        <v>33</v>
      </c>
      <c r="AC4378">
        <v>3.8260000000000201</v>
      </c>
      <c r="AD4378">
        <v>-1.1077538330759</v>
      </c>
      <c r="AE4378">
        <v>-14.05626</v>
      </c>
      <c r="AF4378">
        <v>-4.5512204956377396</v>
      </c>
      <c r="AG4378">
        <v>-1.1077538330759</v>
      </c>
      <c r="AH4378">
        <v>13.750272729970799</v>
      </c>
      <c r="AI4378">
        <v>94.373563764943896</v>
      </c>
      <c r="AJ4378">
        <v>108.31409375991301</v>
      </c>
      <c r="AK4378">
        <v>14.5262082699921</v>
      </c>
      <c r="AL4378">
        <v>87.681980303049102</v>
      </c>
      <c r="AM4378">
        <v>100.14768742346</v>
      </c>
      <c r="AN4378">
        <v>0.99999999457462496</v>
      </c>
    </row>
    <row r="4379" spans="1:40" x14ac:dyDescent="0.25">
      <c r="A4379" t="str">
        <f>"20190312151626389"</f>
        <v>20190312151626389</v>
      </c>
      <c r="B4379" t="str">
        <f>"1552374986382576"</f>
        <v>1552374986382576</v>
      </c>
      <c r="C4379" t="s">
        <v>40</v>
      </c>
      <c r="D4379">
        <v>4.6015420000000002</v>
      </c>
      <c r="E4379">
        <v>0.44859500000000002</v>
      </c>
      <c r="F4379" t="s">
        <v>43</v>
      </c>
      <c r="G4379">
        <v>-418.14179999999999</v>
      </c>
      <c r="H4379" s="1">
        <v>-7.1868650000000005E-7</v>
      </c>
      <c r="I4379">
        <v>60.30706</v>
      </c>
      <c r="J4379">
        <v>-421.98259999999999</v>
      </c>
      <c r="K4379">
        <v>1.1079730000000001</v>
      </c>
      <c r="L4379">
        <v>74.351230000000001</v>
      </c>
      <c r="M4379">
        <v>-5.5450729999999997E-2</v>
      </c>
      <c r="N4379">
        <v>0</v>
      </c>
      <c r="O4379">
        <v>-0.99836510000000001</v>
      </c>
      <c r="P4379">
        <v>0.12334150000000001</v>
      </c>
      <c r="Q4379">
        <v>2.60009E-2</v>
      </c>
      <c r="R4379">
        <v>-0.99202360000000001</v>
      </c>
      <c r="S4379">
        <v>0.77890009999999998</v>
      </c>
      <c r="T4379">
        <v>-0.2258414</v>
      </c>
      <c r="U4379">
        <v>-2.9333499999999999</v>
      </c>
      <c r="V4379">
        <v>-0.17800299999999999</v>
      </c>
      <c r="W4379">
        <v>4.0358379999999999E-2</v>
      </c>
      <c r="X4379">
        <v>0.98320200000000002</v>
      </c>
      <c r="Y4379">
        <v>-0.30914530000000001</v>
      </c>
      <c r="Z4379">
        <v>7.3440279999999997E-2</v>
      </c>
      <c r="AA4379">
        <v>0.94817499999999999</v>
      </c>
      <c r="AB4379">
        <v>33</v>
      </c>
      <c r="AC4379">
        <v>3.8408000000000002</v>
      </c>
      <c r="AD4379">
        <v>-1.1079737186865</v>
      </c>
      <c r="AE4379">
        <v>-14.044169999999999</v>
      </c>
      <c r="AF4379">
        <v>-4.5871603111195602</v>
      </c>
      <c r="AG4379">
        <v>-1.1079737186865</v>
      </c>
      <c r="AH4379">
        <v>13.730053443484699</v>
      </c>
      <c r="AI4379">
        <v>94.376790057952604</v>
      </c>
      <c r="AJ4379">
        <v>108.474284070645</v>
      </c>
      <c r="AK4379">
        <v>14.518402565094901</v>
      </c>
      <c r="AL4379">
        <v>87.687007013819795</v>
      </c>
      <c r="AM4379">
        <v>100.261912703513</v>
      </c>
      <c r="AN4379">
        <v>1.00000001982461</v>
      </c>
    </row>
    <row r="4380" spans="1:40" x14ac:dyDescent="0.25">
      <c r="A4380" t="str">
        <f>"20190312151626410"</f>
        <v>20190312151626410</v>
      </c>
      <c r="B4380" t="str">
        <f>"1552374986402092"</f>
        <v>1552374986402092</v>
      </c>
      <c r="C4380" t="s">
        <v>40</v>
      </c>
      <c r="D4380">
        <v>4.5171140000000003</v>
      </c>
      <c r="E4380">
        <v>0.448569</v>
      </c>
      <c r="F4380" t="s">
        <v>43</v>
      </c>
      <c r="G4380">
        <v>-418.14240000000001</v>
      </c>
      <c r="H4380" s="1">
        <v>-5.8568070000000004E-7</v>
      </c>
      <c r="I4380">
        <v>59.916690000000003</v>
      </c>
      <c r="J4380">
        <v>-422.0016</v>
      </c>
      <c r="K4380">
        <v>1.1081920000000001</v>
      </c>
      <c r="L4380">
        <v>74.032439999999994</v>
      </c>
      <c r="M4380">
        <v>-5.6697280000000003E-2</v>
      </c>
      <c r="N4380">
        <v>0</v>
      </c>
      <c r="O4380">
        <v>-0.99829540000000005</v>
      </c>
      <c r="P4380">
        <v>0.1234924</v>
      </c>
      <c r="Q4380">
        <v>2.705403E-2</v>
      </c>
      <c r="R4380">
        <v>-0.99197690000000005</v>
      </c>
      <c r="S4380">
        <v>0.780304</v>
      </c>
      <c r="T4380">
        <v>-0.2251339</v>
      </c>
      <c r="U4380">
        <v>-2.933014</v>
      </c>
      <c r="V4380">
        <v>-0.17939530000000001</v>
      </c>
      <c r="W4380">
        <v>4.1316499999999999E-2</v>
      </c>
      <c r="X4380">
        <v>0.98290909999999998</v>
      </c>
      <c r="Y4380">
        <v>-0.31078729999999999</v>
      </c>
      <c r="Z4380">
        <v>7.3187080000000002E-2</v>
      </c>
      <c r="AA4380">
        <v>0.94765759999999999</v>
      </c>
      <c r="AB4380">
        <v>33</v>
      </c>
      <c r="AC4380">
        <v>3.85919999999998</v>
      </c>
      <c r="AD4380">
        <v>-1.1081925856807</v>
      </c>
      <c r="AE4380">
        <v>-14.11575</v>
      </c>
      <c r="AF4380">
        <v>-4.6268582987968401</v>
      </c>
      <c r="AG4380">
        <v>-1.1081925856807</v>
      </c>
      <c r="AH4380">
        <v>13.795100270014</v>
      </c>
      <c r="AI4380">
        <v>94.3553881974468</v>
      </c>
      <c r="AJ4380">
        <v>108.541384378399</v>
      </c>
      <c r="AK4380">
        <v>14.592487792828299</v>
      </c>
      <c r="AL4380">
        <v>87.632064931538594</v>
      </c>
      <c r="AM4380">
        <v>100.34346888105</v>
      </c>
      <c r="AN4380">
        <v>1.00000001284857</v>
      </c>
    </row>
    <row r="4381" spans="1:40" x14ac:dyDescent="0.25">
      <c r="A4381" t="str">
        <f>"20190312151626434"</f>
        <v>20190312151626434</v>
      </c>
      <c r="B4381" t="str">
        <f>"1552374986432349"</f>
        <v>1552374986432349</v>
      </c>
      <c r="C4381" t="s">
        <v>40</v>
      </c>
      <c r="D4381">
        <v>4.5176210000000001</v>
      </c>
      <c r="E4381">
        <v>0.44849719999999998</v>
      </c>
      <c r="F4381" t="s">
        <v>43</v>
      </c>
      <c r="G4381">
        <v>-418.09870000000001</v>
      </c>
      <c r="H4381" s="1">
        <v>-4.5150680000000002E-6</v>
      </c>
      <c r="I4381">
        <v>59.37135</v>
      </c>
      <c r="J4381">
        <v>-422.02280000000002</v>
      </c>
      <c r="K4381">
        <v>1.1084229999999999</v>
      </c>
      <c r="L4381">
        <v>73.68253</v>
      </c>
      <c r="M4381">
        <v>-5.7802390000000002E-2</v>
      </c>
      <c r="N4381">
        <v>0</v>
      </c>
      <c r="O4381">
        <v>-0.99823209999999996</v>
      </c>
      <c r="P4381">
        <v>0.12424200000000001</v>
      </c>
      <c r="Q4381">
        <v>2.8242679999999999E-2</v>
      </c>
      <c r="R4381">
        <v>-0.99185029999999996</v>
      </c>
      <c r="S4381">
        <v>0.78082280000000004</v>
      </c>
      <c r="T4381">
        <v>-0.2217065</v>
      </c>
      <c r="U4381">
        <v>-2.9331049999999999</v>
      </c>
      <c r="V4381">
        <v>-0.18124460000000001</v>
      </c>
      <c r="W4381">
        <v>4.2397490000000003E-2</v>
      </c>
      <c r="X4381">
        <v>0.9825237</v>
      </c>
      <c r="Y4381">
        <v>-0.3120095</v>
      </c>
      <c r="Z4381">
        <v>7.205338E-2</v>
      </c>
      <c r="AA4381">
        <v>0.94734280000000004</v>
      </c>
      <c r="AB4381">
        <v>33</v>
      </c>
      <c r="AC4381">
        <v>3.9241000000000001</v>
      </c>
      <c r="AD4381">
        <v>-1.1084275150680001</v>
      </c>
      <c r="AE4381">
        <v>-14.311179999999901</v>
      </c>
      <c r="AF4381">
        <v>-4.71851142207636</v>
      </c>
      <c r="AG4381">
        <v>-1.1084275150680001</v>
      </c>
      <c r="AH4381">
        <v>13.9823915390312</v>
      </c>
      <c r="AI4381">
        <v>94.295508177118705</v>
      </c>
      <c r="AJ4381">
        <v>108.64753119002</v>
      </c>
      <c r="AK4381">
        <v>14.7986565183193</v>
      </c>
      <c r="AL4381">
        <v>87.570074373114196</v>
      </c>
      <c r="AM4381">
        <v>100.451766268184</v>
      </c>
      <c r="AN4381">
        <v>0.99999998662457501</v>
      </c>
    </row>
    <row r="4382" spans="1:40" x14ac:dyDescent="0.25">
      <c r="A4382" t="str">
        <f>"20190312151626455"</f>
        <v>20190312151626455</v>
      </c>
      <c r="B4382" t="str">
        <f>"1552374986451869"</f>
        <v>1552374986451869</v>
      </c>
      <c r="C4382" t="s">
        <v>40</v>
      </c>
      <c r="D4382">
        <v>4.5225999999999997</v>
      </c>
      <c r="E4382">
        <v>0.44830880000000001</v>
      </c>
      <c r="F4382" t="s">
        <v>43</v>
      </c>
      <c r="G4382">
        <v>-418.04180000000002</v>
      </c>
      <c r="H4382" s="1">
        <v>-4.2725859999999996E-6</v>
      </c>
      <c r="I4382">
        <v>58.782600000000002</v>
      </c>
      <c r="J4382">
        <v>-422.0421</v>
      </c>
      <c r="K4382">
        <v>1.1086309999999999</v>
      </c>
      <c r="L4382">
        <v>73.364779999999996</v>
      </c>
      <c r="M4382">
        <v>-5.85672E-2</v>
      </c>
      <c r="N4382">
        <v>0</v>
      </c>
      <c r="O4382">
        <v>-0.99818770000000001</v>
      </c>
      <c r="P4382">
        <v>0.1245298</v>
      </c>
      <c r="Q4382">
        <v>2.8806289999999998E-2</v>
      </c>
      <c r="R4382">
        <v>-0.99179810000000002</v>
      </c>
      <c r="S4382">
        <v>0.78356930000000002</v>
      </c>
      <c r="T4382">
        <v>-0.21816849999999999</v>
      </c>
      <c r="U4382">
        <v>-2.932709</v>
      </c>
      <c r="V4382">
        <v>-0.18230099999999999</v>
      </c>
      <c r="W4382">
        <v>4.2865309999999997E-2</v>
      </c>
      <c r="X4382">
        <v>0.98230799999999996</v>
      </c>
      <c r="Y4382">
        <v>-0.31361860000000003</v>
      </c>
      <c r="Z4382">
        <v>7.0886370000000004E-2</v>
      </c>
      <c r="AA4382">
        <v>0.94689939999999995</v>
      </c>
      <c r="AB4382">
        <v>33</v>
      </c>
      <c r="AC4382">
        <v>4.0002999999999798</v>
      </c>
      <c r="AD4382">
        <v>-1.108635272586</v>
      </c>
      <c r="AE4382">
        <v>-14.582179999999999</v>
      </c>
      <c r="AF4382">
        <v>-4.8216323615267997</v>
      </c>
      <c r="AG4382">
        <v>-1.108635272586</v>
      </c>
      <c r="AH4382">
        <v>14.246254605263699</v>
      </c>
      <c r="AI4382">
        <v>94.215766439760401</v>
      </c>
      <c r="AJ4382">
        <v>108.698344505995</v>
      </c>
      <c r="AK4382">
        <v>15.0808813096364</v>
      </c>
      <c r="AL4382">
        <v>87.543246021507102</v>
      </c>
      <c r="AM4382">
        <v>100.513588055032</v>
      </c>
      <c r="AN4382">
        <v>1.0000000481331901</v>
      </c>
    </row>
    <row r="4383" spans="1:40" x14ac:dyDescent="0.25">
      <c r="A4383" t="str">
        <f>"20190312151626478"</f>
        <v>20190312151626478</v>
      </c>
      <c r="B4383" t="str">
        <f>"1552374986472365"</f>
        <v>1552374986472365</v>
      </c>
      <c r="C4383" t="s">
        <v>40</v>
      </c>
      <c r="D4383">
        <v>4.58988</v>
      </c>
      <c r="E4383">
        <v>0.44822070000000003</v>
      </c>
      <c r="F4383" t="s">
        <v>43</v>
      </c>
      <c r="G4383">
        <v>-418.04559999999998</v>
      </c>
      <c r="H4383" s="1">
        <v>-4.1312899999999999E-6</v>
      </c>
      <c r="I4383">
        <v>58.454770000000003</v>
      </c>
      <c r="J4383">
        <v>-422.06279999999998</v>
      </c>
      <c r="K4383">
        <v>1.10883</v>
      </c>
      <c r="L4383">
        <v>73.02637</v>
      </c>
      <c r="M4383">
        <v>-5.918495E-2</v>
      </c>
      <c r="N4383">
        <v>0</v>
      </c>
      <c r="O4383">
        <v>-0.99815149999999997</v>
      </c>
      <c r="P4383">
        <v>0.124801</v>
      </c>
      <c r="Q4383">
        <v>2.867453E-2</v>
      </c>
      <c r="R4383">
        <v>-0.99176750000000002</v>
      </c>
      <c r="S4383">
        <v>0.78604130000000005</v>
      </c>
      <c r="T4383">
        <v>-0.21804370000000001</v>
      </c>
      <c r="U4383">
        <v>-2.9324650000000001</v>
      </c>
      <c r="V4383">
        <v>-0.18319830000000001</v>
      </c>
      <c r="W4383">
        <v>4.2642369999999999E-2</v>
      </c>
      <c r="X4383">
        <v>0.98215070000000004</v>
      </c>
      <c r="Y4383">
        <v>-0.31497140000000001</v>
      </c>
      <c r="Z4383">
        <v>7.0823830000000004E-2</v>
      </c>
      <c r="AA4383">
        <v>0.94645500000000005</v>
      </c>
      <c r="AB4383">
        <v>33</v>
      </c>
      <c r="AC4383">
        <v>4.0171999999999999</v>
      </c>
      <c r="AD4383">
        <v>-1.1088341312899901</v>
      </c>
      <c r="AE4383">
        <v>-14.5716</v>
      </c>
      <c r="AF4383">
        <v>-4.8465763582863897</v>
      </c>
      <c r="AG4383">
        <v>-1.1088341312899901</v>
      </c>
      <c r="AH4383">
        <v>14.231683042339901</v>
      </c>
      <c r="AI4383">
        <v>94.218134876761695</v>
      </c>
      <c r="AJ4383">
        <v>108.806191715509</v>
      </c>
      <c r="AK4383">
        <v>15.0751324287729</v>
      </c>
      <c r="AL4383">
        <v>87.556031097937407</v>
      </c>
      <c r="AM4383">
        <v>100.565828491967</v>
      </c>
      <c r="AN4383">
        <v>0.99999999317629795</v>
      </c>
    </row>
    <row r="4384" spans="1:40" x14ac:dyDescent="0.25">
      <c r="A4384" t="str">
        <f>"20190312151626501"</f>
        <v>20190312151626501</v>
      </c>
      <c r="B4384" t="str">
        <f>"1552374986491885"</f>
        <v>1552374986491885</v>
      </c>
      <c r="C4384" t="s">
        <v>40</v>
      </c>
      <c r="D4384">
        <v>4.7634119999999998</v>
      </c>
      <c r="E4384">
        <v>0.44874449999999999</v>
      </c>
      <c r="F4384" t="s">
        <v>43</v>
      </c>
      <c r="G4384">
        <v>-418.08600000000001</v>
      </c>
      <c r="H4384" s="1">
        <v>-4.0230420000000002E-6</v>
      </c>
      <c r="I4384">
        <v>58.219149999999999</v>
      </c>
      <c r="J4384">
        <v>-422.0831</v>
      </c>
      <c r="K4384">
        <v>1.109003</v>
      </c>
      <c r="L4384">
        <v>72.693079999999995</v>
      </c>
      <c r="M4384">
        <v>-5.9611070000000002E-2</v>
      </c>
      <c r="N4384">
        <v>0</v>
      </c>
      <c r="O4384">
        <v>-0.99812610000000002</v>
      </c>
      <c r="P4384">
        <v>0.12550729999999999</v>
      </c>
      <c r="Q4384">
        <v>2.9362610000000001E-2</v>
      </c>
      <c r="R4384">
        <v>-0.99165829999999999</v>
      </c>
      <c r="S4384">
        <v>0.78750609999999999</v>
      </c>
      <c r="T4384">
        <v>-0.21957399999999999</v>
      </c>
      <c r="U4384">
        <v>-2.932159</v>
      </c>
      <c r="V4384">
        <v>-0.18433279999999999</v>
      </c>
      <c r="W4384">
        <v>4.3247380000000002E-2</v>
      </c>
      <c r="X4384">
        <v>0.98191200000000001</v>
      </c>
      <c r="Y4384">
        <v>-0.31583299999999997</v>
      </c>
      <c r="Z4384">
        <v>7.1307529999999994E-2</v>
      </c>
      <c r="AA4384">
        <v>0.94613150000000001</v>
      </c>
      <c r="AB4384">
        <v>33</v>
      </c>
      <c r="AC4384">
        <v>3.9970999999999801</v>
      </c>
      <c r="AD4384">
        <v>-1.1090070230419999</v>
      </c>
      <c r="AE4384">
        <v>-14.473929999999999</v>
      </c>
      <c r="AF4384">
        <v>-4.8265515334769296</v>
      </c>
      <c r="AG4384">
        <v>-1.1090070230419999</v>
      </c>
      <c r="AH4384">
        <v>14.132800368014101</v>
      </c>
      <c r="AI4384">
        <v>94.246951360061502</v>
      </c>
      <c r="AJ4384">
        <v>108.85576293010099</v>
      </c>
      <c r="AK4384">
        <v>14.975364520592001</v>
      </c>
      <c r="AL4384">
        <v>87.521334700065793</v>
      </c>
      <c r="AM4384">
        <v>100.632298430902</v>
      </c>
      <c r="AN4384">
        <v>1.0000000463883501</v>
      </c>
    </row>
    <row r="4385" spans="1:40" x14ac:dyDescent="0.25">
      <c r="A4385" t="str">
        <f>"20190312151626524"</f>
        <v>20190312151626524</v>
      </c>
      <c r="B4385" t="str">
        <f>"1552374986512381"</f>
        <v>1552374986512381</v>
      </c>
      <c r="C4385" t="s">
        <v>40</v>
      </c>
      <c r="D4385">
        <v>4.6078960000000002</v>
      </c>
      <c r="E4385">
        <v>0.5084611</v>
      </c>
      <c r="F4385" t="s">
        <v>43</v>
      </c>
      <c r="G4385">
        <v>-418.09309999999999</v>
      </c>
      <c r="H4385" s="1">
        <v>-3.8412160000000002E-6</v>
      </c>
      <c r="I4385">
        <v>57.798290000000001</v>
      </c>
      <c r="J4385">
        <v>-422.10340000000002</v>
      </c>
      <c r="K4385">
        <v>1.1091679999999999</v>
      </c>
      <c r="L4385">
        <v>72.361149999999995</v>
      </c>
      <c r="M4385">
        <v>-5.9871519999999998E-2</v>
      </c>
      <c r="N4385">
        <v>0</v>
      </c>
      <c r="O4385">
        <v>-0.99811070000000002</v>
      </c>
      <c r="P4385">
        <v>0.12556199999999901</v>
      </c>
      <c r="Q4385">
        <v>2.9466599999999999E-2</v>
      </c>
      <c r="R4385">
        <v>-0.99164830000000004</v>
      </c>
      <c r="S4385">
        <v>0.78549190000000002</v>
      </c>
      <c r="T4385">
        <v>-0.21832589999999999</v>
      </c>
      <c r="U4385">
        <v>-2.9322810000000001</v>
      </c>
      <c r="V4385">
        <v>-0.1846594</v>
      </c>
      <c r="W4385">
        <v>4.3276450000000001E-2</v>
      </c>
      <c r="X4385">
        <v>0.98184930000000004</v>
      </c>
      <c r="Y4385">
        <v>-0.31547170000000002</v>
      </c>
      <c r="Z4385">
        <v>7.091037E-2</v>
      </c>
      <c r="AA4385">
        <v>0.94628190000000001</v>
      </c>
      <c r="AB4385">
        <v>33</v>
      </c>
      <c r="AC4385">
        <v>4.0103000000000204</v>
      </c>
      <c r="AD4385">
        <v>-1.1091718412160001</v>
      </c>
      <c r="AE4385">
        <v>-14.562859999999899</v>
      </c>
      <c r="AF4385">
        <v>-4.8489420485541599</v>
      </c>
      <c r="AG4385">
        <v>-1.1091718412160001</v>
      </c>
      <c r="AH4385">
        <v>14.2199294359914</v>
      </c>
      <c r="AI4385">
        <v>94.222314617265198</v>
      </c>
      <c r="AJ4385">
        <v>108.829181758239</v>
      </c>
      <c r="AK4385">
        <v>15.0648230765634</v>
      </c>
      <c r="AL4385">
        <v>87.519667427226395</v>
      </c>
      <c r="AM4385">
        <v>100.651370655836</v>
      </c>
      <c r="AN4385">
        <v>0.999999996521726</v>
      </c>
    </row>
    <row r="4386" spans="1:40" x14ac:dyDescent="0.25">
      <c r="A4386" t="str">
        <f>"20190312151626545"</f>
        <v>20190312151626545</v>
      </c>
      <c r="B4386" t="str">
        <f>"1552374986542637"</f>
        <v>1552374986542637</v>
      </c>
      <c r="C4386" t="s">
        <v>40</v>
      </c>
      <c r="D4386">
        <v>4.4607390000000002</v>
      </c>
      <c r="E4386">
        <v>0.51136919999999997</v>
      </c>
      <c r="F4386" t="s">
        <v>43</v>
      </c>
      <c r="G4386">
        <v>-419.07010000000002</v>
      </c>
      <c r="H4386" s="1">
        <v>-1.7414069999999999E-6</v>
      </c>
      <c r="I4386">
        <v>43.307540000000003</v>
      </c>
      <c r="J4386">
        <v>-422.1234</v>
      </c>
      <c r="K4386">
        <v>1.109313</v>
      </c>
      <c r="L4386">
        <v>72.033230000000003</v>
      </c>
      <c r="M4386">
        <v>-6.0003679999999997E-2</v>
      </c>
      <c r="N4386">
        <v>0</v>
      </c>
      <c r="O4386">
        <v>-0.99810279999999996</v>
      </c>
      <c r="P4386">
        <v>0.12657370000000001</v>
      </c>
      <c r="Q4386">
        <v>3.0081320000000002E-2</v>
      </c>
      <c r="R4386">
        <v>-0.99150159999999998</v>
      </c>
      <c r="S4386">
        <v>0.31207279999999998</v>
      </c>
      <c r="T4386">
        <v>-0.1141152</v>
      </c>
      <c r="U4386">
        <v>-2.9891359999999998</v>
      </c>
      <c r="V4386">
        <v>-0.18580379999999999</v>
      </c>
      <c r="W4386">
        <v>4.3821430000000001E-2</v>
      </c>
      <c r="X4386">
        <v>0.98160919999999896</v>
      </c>
      <c r="Y4386">
        <v>-0.16326170000000001</v>
      </c>
      <c r="Z4386">
        <v>3.7687440000000003E-2</v>
      </c>
      <c r="AA4386">
        <v>0.98586269999999998</v>
      </c>
      <c r="AB4386">
        <v>33</v>
      </c>
      <c r="AC4386">
        <v>3.0532999999999699</v>
      </c>
      <c r="AD4386">
        <v>-1.1093147414069999</v>
      </c>
      <c r="AE4386">
        <v>-28.72569</v>
      </c>
      <c r="AF4386">
        <v>-4.7645824700613302</v>
      </c>
      <c r="AG4386">
        <v>-1.1093147414069999</v>
      </c>
      <c r="AH4386">
        <v>28.448742251717199</v>
      </c>
      <c r="AI4386">
        <v>92.202385726207794</v>
      </c>
      <c r="AJ4386">
        <v>99.507632074789498</v>
      </c>
      <c r="AK4386">
        <v>28.866291085176801</v>
      </c>
      <c r="AL4386">
        <v>87.488412719177404</v>
      </c>
      <c r="AM4386">
        <v>100.718417299878</v>
      </c>
      <c r="AN4386">
        <v>0.999999995673162</v>
      </c>
    </row>
    <row r="4387" spans="1:40" x14ac:dyDescent="0.25">
      <c r="A4387" t="str">
        <f>"20190312151626568"</f>
        <v>20190312151626568</v>
      </c>
      <c r="B4387" t="str">
        <f>"1552374986562157"</f>
        <v>1552374986562157</v>
      </c>
      <c r="C4387" t="s">
        <v>40</v>
      </c>
      <c r="D4387">
        <v>4.5580499999999997</v>
      </c>
      <c r="E4387">
        <v>0.51201560000000002</v>
      </c>
      <c r="F4387" t="s">
        <v>43</v>
      </c>
      <c r="G4387">
        <v>-419.62560000000002</v>
      </c>
      <c r="H4387" s="1">
        <v>-2.9926789999999998E-6</v>
      </c>
      <c r="I4387">
        <v>46.453960000000002</v>
      </c>
      <c r="J4387">
        <v>-422.14350000000002</v>
      </c>
      <c r="K4387">
        <v>1.1094360000000001</v>
      </c>
      <c r="L4387">
        <v>71.701999999999998</v>
      </c>
      <c r="M4387">
        <v>-6.0043039999999999E-2</v>
      </c>
      <c r="N4387">
        <v>0</v>
      </c>
      <c r="O4387">
        <v>-0.99810030000000005</v>
      </c>
      <c r="P4387">
        <v>0.12784180000000001</v>
      </c>
      <c r="Q4387">
        <v>3.128914E-2</v>
      </c>
      <c r="R4387">
        <v>-0.99130090000000004</v>
      </c>
      <c r="S4387">
        <v>0.29220580000000002</v>
      </c>
      <c r="T4387">
        <v>-0.12977239999999901</v>
      </c>
      <c r="U4387">
        <v>-2.9923709999999999</v>
      </c>
      <c r="V4387">
        <v>-0.18710840000000001</v>
      </c>
      <c r="W4387">
        <v>4.4967090000000001E-2</v>
      </c>
      <c r="X4387">
        <v>0.98130949999999995</v>
      </c>
      <c r="Y4387">
        <v>-0.1566874</v>
      </c>
      <c r="Z4387">
        <v>4.2840349999999999E-2</v>
      </c>
      <c r="AA4387">
        <v>0.98671869999999995</v>
      </c>
      <c r="AB4387">
        <v>33</v>
      </c>
      <c r="AC4387">
        <v>2.5178999999999898</v>
      </c>
      <c r="AD4387">
        <v>-1.109438992679</v>
      </c>
      <c r="AE4387">
        <v>-25.24804</v>
      </c>
      <c r="AF4387">
        <v>-4.0217808588041004</v>
      </c>
      <c r="AG4387">
        <v>-1.109438992679</v>
      </c>
      <c r="AH4387">
        <v>25.003478855790402</v>
      </c>
      <c r="AI4387">
        <v>92.508426381841105</v>
      </c>
      <c r="AJ4387">
        <v>99.137692249013</v>
      </c>
      <c r="AK4387">
        <v>25.3491524719601</v>
      </c>
      <c r="AL4387">
        <v>87.422706369416701</v>
      </c>
      <c r="AM4387">
        <v>100.795132480695</v>
      </c>
      <c r="AN4387">
        <v>0.999999963661938</v>
      </c>
    </row>
    <row r="4388" spans="1:40" x14ac:dyDescent="0.25">
      <c r="A4388" t="str">
        <f>"20190312151626589"</f>
        <v>20190312151626589</v>
      </c>
      <c r="B4388" t="str">
        <f>"1552374986582656"</f>
        <v>1552374986582656</v>
      </c>
      <c r="C4388" t="s">
        <v>40</v>
      </c>
      <c r="D4388">
        <v>4.5250560000000002</v>
      </c>
      <c r="E4388">
        <v>0.51275870000000001</v>
      </c>
      <c r="F4388" t="s">
        <v>43</v>
      </c>
      <c r="G4388">
        <v>-419.65190000000001</v>
      </c>
      <c r="H4388" s="1">
        <v>-2.8263599999999902E-6</v>
      </c>
      <c r="I4388">
        <v>46.077129999999997</v>
      </c>
      <c r="J4388">
        <v>-422.16269999999997</v>
      </c>
      <c r="K4388">
        <v>1.10954</v>
      </c>
      <c r="L4388">
        <v>71.38382</v>
      </c>
      <c r="M4388">
        <v>-6.0012429999999999E-2</v>
      </c>
      <c r="N4388">
        <v>0</v>
      </c>
      <c r="O4388">
        <v>-0.99810220000000005</v>
      </c>
      <c r="P4388">
        <v>0.12942100000000001</v>
      </c>
      <c r="Q4388">
        <v>3.2383519999999999E-2</v>
      </c>
      <c r="R4388">
        <v>-0.99106070000000002</v>
      </c>
      <c r="S4388">
        <v>0.29101559999999999</v>
      </c>
      <c r="T4388">
        <v>-0.12957839999999901</v>
      </c>
      <c r="U4388">
        <v>-2.9928889999999999</v>
      </c>
      <c r="V4388">
        <v>-0.18865080000000001</v>
      </c>
      <c r="W4388">
        <v>4.6009809999999998E-2</v>
      </c>
      <c r="X4388">
        <v>0.98096589999999995</v>
      </c>
      <c r="Y4388">
        <v>-0.15625220000000001</v>
      </c>
      <c r="Z4388">
        <v>4.2771469999999999E-2</v>
      </c>
      <c r="AA4388">
        <v>0.98679070000000002</v>
      </c>
      <c r="AB4388">
        <v>33</v>
      </c>
      <c r="AC4388">
        <v>2.5107999999999602</v>
      </c>
      <c r="AD4388">
        <v>-1.10954282636</v>
      </c>
      <c r="AE4388">
        <v>-25.30669</v>
      </c>
      <c r="AF4388">
        <v>-4.0174869210620896</v>
      </c>
      <c r="AG4388">
        <v>-1.10954282636</v>
      </c>
      <c r="AH4388">
        <v>25.062667777971399</v>
      </c>
      <c r="AI4388">
        <v>92.502959522011807</v>
      </c>
      <c r="AJ4388">
        <v>99.106904936688395</v>
      </c>
      <c r="AK4388">
        <v>25.4068613290465</v>
      </c>
      <c r="AL4388">
        <v>87.362901262056894</v>
      </c>
      <c r="AM4388">
        <v>100.8857248402</v>
      </c>
      <c r="AN4388">
        <v>1.0000000619598399</v>
      </c>
    </row>
    <row r="4389" spans="1:40" x14ac:dyDescent="0.25">
      <c r="A4389" t="str">
        <f>"20190312151626611"</f>
        <v>20190312151626611</v>
      </c>
      <c r="B4389" t="str">
        <f>"1552374986602173"</f>
        <v>1552374986602173</v>
      </c>
      <c r="C4389" t="s">
        <v>40</v>
      </c>
      <c r="D4389">
        <v>4.5133380000000001</v>
      </c>
      <c r="E4389">
        <v>0.51286690000000001</v>
      </c>
      <c r="F4389" t="s">
        <v>43</v>
      </c>
      <c r="G4389">
        <v>-419.68680000000001</v>
      </c>
      <c r="H4389" s="1">
        <v>-2.7132499999999998E-6</v>
      </c>
      <c r="I4389">
        <v>45.827930000000002</v>
      </c>
      <c r="J4389">
        <v>-422.18270000000001</v>
      </c>
      <c r="K4389">
        <v>1.1096220000000001</v>
      </c>
      <c r="L4389">
        <v>71.052250000000001</v>
      </c>
      <c r="M4389">
        <v>-5.9934899999999999E-2</v>
      </c>
      <c r="N4389">
        <v>0</v>
      </c>
      <c r="O4389">
        <v>-0.99810719999999997</v>
      </c>
      <c r="P4389">
        <v>0.1310143</v>
      </c>
      <c r="Q4389">
        <v>3.3119610000000001E-2</v>
      </c>
      <c r="R4389">
        <v>-0.99082749999999997</v>
      </c>
      <c r="S4389">
        <v>0.2900085</v>
      </c>
      <c r="T4389">
        <v>-0.1299641</v>
      </c>
      <c r="U4389">
        <v>-2.993439</v>
      </c>
      <c r="V4389">
        <v>-0.19015960000000001</v>
      </c>
      <c r="W4389">
        <v>4.6699999999999998E-2</v>
      </c>
      <c r="X4389">
        <v>0.98064180000000001</v>
      </c>
      <c r="Y4389">
        <v>-0.15582850000000001</v>
      </c>
      <c r="Z4389">
        <v>4.2893180000000003E-2</v>
      </c>
      <c r="AA4389">
        <v>0.98685239999999996</v>
      </c>
      <c r="AB4389">
        <v>33</v>
      </c>
      <c r="AC4389">
        <v>2.4958999999999998</v>
      </c>
      <c r="AD4389">
        <v>-1.1096247132499999</v>
      </c>
      <c r="AE4389">
        <v>-25.224319999999999</v>
      </c>
      <c r="AF4389">
        <v>-3.9957155310341199</v>
      </c>
      <c r="AG4389">
        <v>-1.1096247132499999</v>
      </c>
      <c r="AH4389">
        <v>24.981485551222701</v>
      </c>
      <c r="AI4389">
        <v>92.5114053472347</v>
      </c>
      <c r="AJ4389">
        <v>99.087320181570007</v>
      </c>
      <c r="AK4389">
        <v>25.323341603255098</v>
      </c>
      <c r="AL4389">
        <v>87.323313439023593</v>
      </c>
      <c r="AM4389">
        <v>100.974220619842</v>
      </c>
      <c r="AN4389">
        <v>0.99999995168969802</v>
      </c>
    </row>
    <row r="4390" spans="1:40" x14ac:dyDescent="0.25">
      <c r="A4390" t="str">
        <f>"20190312151626635"</f>
        <v>20190312151626635</v>
      </c>
      <c r="B4390" t="str">
        <f>"1552374986632429"</f>
        <v>1552374986632429</v>
      </c>
      <c r="C4390" t="s">
        <v>40</v>
      </c>
      <c r="D4390">
        <v>4.58127</v>
      </c>
      <c r="E4390">
        <v>0.51291260000000005</v>
      </c>
      <c r="F4390" t="s">
        <v>43</v>
      </c>
      <c r="G4390">
        <v>-419.72210000000001</v>
      </c>
      <c r="H4390" s="1">
        <v>-2.7820760000000002E-6</v>
      </c>
      <c r="I4390">
        <v>46.002940000000002</v>
      </c>
      <c r="J4390">
        <v>-422.20319999999998</v>
      </c>
      <c r="K4390">
        <v>1.10968</v>
      </c>
      <c r="L4390">
        <v>70.71069</v>
      </c>
      <c r="M4390">
        <v>-5.9826770000000001E-2</v>
      </c>
      <c r="N4390">
        <v>0</v>
      </c>
      <c r="O4390">
        <v>-0.99811369999999999</v>
      </c>
      <c r="P4390">
        <v>0.13257249999999901</v>
      </c>
      <c r="Q4390">
        <v>3.3660130000000003E-2</v>
      </c>
      <c r="R4390">
        <v>-0.99060199999999998</v>
      </c>
      <c r="S4390">
        <v>0.29403689999999999</v>
      </c>
      <c r="T4390">
        <v>-0.1325982</v>
      </c>
      <c r="U4390">
        <v>-2.993347</v>
      </c>
      <c r="V4390">
        <v>-0.19160160000000001</v>
      </c>
      <c r="W4390">
        <v>4.7204419999999997E-2</v>
      </c>
      <c r="X4390">
        <v>0.98033700000000001</v>
      </c>
      <c r="Y4390">
        <v>-0.15703619999999999</v>
      </c>
      <c r="Z4390">
        <v>4.3755540000000002E-2</v>
      </c>
      <c r="AA4390">
        <v>0.98662300000000003</v>
      </c>
      <c r="AB4390">
        <v>33</v>
      </c>
      <c r="AC4390">
        <v>2.4810999999999601</v>
      </c>
      <c r="AD4390">
        <v>-1.109682782076</v>
      </c>
      <c r="AE4390">
        <v>-24.707750000000001</v>
      </c>
      <c r="AF4390">
        <v>-3.9470978428590202</v>
      </c>
      <c r="AG4390">
        <v>-1.109682782076</v>
      </c>
      <c r="AH4390">
        <v>24.466175666947201</v>
      </c>
      <c r="AI4390">
        <v>92.563810993969</v>
      </c>
      <c r="AJ4390">
        <v>99.1644936336005</v>
      </c>
      <c r="AK4390">
        <v>24.8073523178887</v>
      </c>
      <c r="AL4390">
        <v>87.294380608415693</v>
      </c>
      <c r="AM4390">
        <v>101.058749030969</v>
      </c>
      <c r="AN4390">
        <v>1.0000000319795399</v>
      </c>
    </row>
    <row r="4391" spans="1:40" x14ac:dyDescent="0.25">
      <c r="A4391" t="str">
        <f>"20190312151626656"</f>
        <v>20190312151626656</v>
      </c>
      <c r="B4391" t="str">
        <f>"1552374986651952"</f>
        <v>1552374986651952</v>
      </c>
      <c r="C4391" t="s">
        <v>40</v>
      </c>
      <c r="D4391">
        <v>4.5241829999999998</v>
      </c>
      <c r="E4391">
        <v>0.51298239999999995</v>
      </c>
      <c r="F4391" t="s">
        <v>43</v>
      </c>
      <c r="G4391">
        <v>-419.6902</v>
      </c>
      <c r="H4391" s="1">
        <v>-2.5641679999999999E-6</v>
      </c>
      <c r="I4391">
        <v>45.481810000000003</v>
      </c>
      <c r="J4391">
        <v>-422.22199999999998</v>
      </c>
      <c r="K4391">
        <v>1.109721</v>
      </c>
      <c r="L4391">
        <v>70.394440000000003</v>
      </c>
      <c r="M4391">
        <v>-5.9714419999999997E-2</v>
      </c>
      <c r="N4391">
        <v>0</v>
      </c>
      <c r="O4391">
        <v>-0.99812040000000002</v>
      </c>
      <c r="P4391">
        <v>0.133524</v>
      </c>
      <c r="Q4391">
        <v>3.3386159999999998E-2</v>
      </c>
      <c r="R4391">
        <v>-0.99048329999999996</v>
      </c>
      <c r="S4391">
        <v>0.29812620000000001</v>
      </c>
      <c r="T4391">
        <v>-0.13164779999999901</v>
      </c>
      <c r="U4391">
        <v>-2.993042</v>
      </c>
      <c r="V4391">
        <v>-0.1924382</v>
      </c>
      <c r="W4391">
        <v>4.6907200000000003E-2</v>
      </c>
      <c r="X4391">
        <v>0.98018740000000004</v>
      </c>
      <c r="Y4391">
        <v>-0.158271</v>
      </c>
      <c r="Z4391">
        <v>4.3440149999999997E-2</v>
      </c>
      <c r="AA4391">
        <v>0.98643970000000003</v>
      </c>
      <c r="AB4391">
        <v>33</v>
      </c>
      <c r="AC4391">
        <v>2.5317999999999699</v>
      </c>
      <c r="AD4391">
        <v>-1.1097235641680001</v>
      </c>
      <c r="AE4391">
        <v>-24.91263</v>
      </c>
      <c r="AF4391">
        <v>-4.0071957496059802</v>
      </c>
      <c r="AG4391">
        <v>-1.1097235641680001</v>
      </c>
      <c r="AH4391">
        <v>24.668518215399899</v>
      </c>
      <c r="AI4391">
        <v>92.542456660082905</v>
      </c>
      <c r="AJ4391">
        <v>99.226631159732307</v>
      </c>
      <c r="AK4391">
        <v>25.016492462134799</v>
      </c>
      <c r="AL4391">
        <v>87.311428973389098</v>
      </c>
      <c r="AM4391">
        <v>101.107490392868</v>
      </c>
      <c r="AN4391">
        <v>1.0000000426749101</v>
      </c>
    </row>
    <row r="4392" spans="1:40" x14ac:dyDescent="0.25">
      <c r="A4392" t="str">
        <f>"20190312151626679"</f>
        <v>20190312151626679</v>
      </c>
      <c r="B4392" t="str">
        <f>"1552374986672445"</f>
        <v>1552374986672445</v>
      </c>
      <c r="C4392" t="s">
        <v>40</v>
      </c>
      <c r="D4392">
        <v>4.4899300000000002</v>
      </c>
      <c r="E4392">
        <v>0.51310920000000004</v>
      </c>
      <c r="F4392" t="s">
        <v>43</v>
      </c>
      <c r="G4392">
        <v>-419.63159999999999</v>
      </c>
      <c r="H4392" s="1">
        <v>-2.209669E-6</v>
      </c>
      <c r="I4392">
        <v>44.631219999999999</v>
      </c>
      <c r="J4392">
        <v>-422.24189999999999</v>
      </c>
      <c r="K4392">
        <v>1.109745</v>
      </c>
      <c r="L4392">
        <v>70.061890000000005</v>
      </c>
      <c r="M4392">
        <v>-5.9592289999999999E-2</v>
      </c>
      <c r="N4392">
        <v>0</v>
      </c>
      <c r="O4392">
        <v>-0.99812780000000001</v>
      </c>
      <c r="P4392">
        <v>0.13420839999999901</v>
      </c>
      <c r="Q4392">
        <v>3.2599469999999998E-2</v>
      </c>
      <c r="R4392">
        <v>-0.9904172</v>
      </c>
      <c r="S4392">
        <v>0.30090329999999998</v>
      </c>
      <c r="T4392">
        <v>-0.1289024</v>
      </c>
      <c r="U4392">
        <v>-2.9925839999999999</v>
      </c>
      <c r="V4392">
        <v>-0.19300020000000001</v>
      </c>
      <c r="W4392">
        <v>4.6103650000000003E-2</v>
      </c>
      <c r="X4392">
        <v>0.98011499999999996</v>
      </c>
      <c r="Y4392">
        <v>-0.1590752</v>
      </c>
      <c r="Z4392">
        <v>4.2538140000000002E-2</v>
      </c>
      <c r="AA4392">
        <v>0.98634960000000005</v>
      </c>
      <c r="AB4392">
        <v>33</v>
      </c>
      <c r="AC4392">
        <v>2.6102999999999899</v>
      </c>
      <c r="AD4392">
        <v>-1.109747209669</v>
      </c>
      <c r="AE4392">
        <v>-25.430669999999999</v>
      </c>
      <c r="AF4392">
        <v>-4.1135240214124904</v>
      </c>
      <c r="AG4392">
        <v>-1.109747209669</v>
      </c>
      <c r="AH4392">
        <v>25.1824428904938</v>
      </c>
      <c r="AI4392">
        <v>92.490331007808905</v>
      </c>
      <c r="AJ4392">
        <v>99.277266219283604</v>
      </c>
      <c r="AK4392">
        <v>25.540322015923898</v>
      </c>
      <c r="AL4392">
        <v>87.357518799866</v>
      </c>
      <c r="AM4392">
        <v>101.13992107023201</v>
      </c>
      <c r="AN4392">
        <v>1.00000001848418</v>
      </c>
    </row>
    <row r="4393" spans="1:40" x14ac:dyDescent="0.25">
      <c r="A4393" t="str">
        <f>"20190312151626701"</f>
        <v>20190312151626701</v>
      </c>
      <c r="B4393" t="str">
        <f>"1552374986691965"</f>
        <v>1552374986691965</v>
      </c>
      <c r="C4393" t="s">
        <v>40</v>
      </c>
      <c r="D4393">
        <v>4.5068609999999998</v>
      </c>
      <c r="E4393">
        <v>0.51303949999999998</v>
      </c>
      <c r="F4393" t="s">
        <v>43</v>
      </c>
      <c r="G4393">
        <v>-419.46559999999999</v>
      </c>
      <c r="H4393" s="1">
        <v>-1.346702E-6</v>
      </c>
      <c r="I4393">
        <v>42.551020000000001</v>
      </c>
      <c r="J4393">
        <v>-422.26159999999999</v>
      </c>
      <c r="K4393">
        <v>1.1097589999999999</v>
      </c>
      <c r="L4393">
        <v>69.729280000000003</v>
      </c>
      <c r="M4393">
        <v>-5.947185E-2</v>
      </c>
      <c r="N4393">
        <v>0</v>
      </c>
      <c r="O4393">
        <v>-0.99813470000000004</v>
      </c>
      <c r="P4393">
        <v>0.13538729999999999</v>
      </c>
      <c r="Q4393">
        <v>3.1522559999999998E-2</v>
      </c>
      <c r="R4393">
        <v>-0.99029100000000003</v>
      </c>
      <c r="S4393">
        <v>0.30194090000000001</v>
      </c>
      <c r="T4393">
        <v>-0.12069539999999999</v>
      </c>
      <c r="U4393">
        <v>-2.9920650000000002</v>
      </c>
      <c r="V4393">
        <v>-0.1940528</v>
      </c>
      <c r="W4393">
        <v>4.5013780000000003E-2</v>
      </c>
      <c r="X4393">
        <v>0.97995779999999999</v>
      </c>
      <c r="Y4393">
        <v>-0.15932299999999999</v>
      </c>
      <c r="Z4393">
        <v>3.9840109999999998E-2</v>
      </c>
      <c r="AA4393">
        <v>0.98642229999999997</v>
      </c>
      <c r="AB4393">
        <v>33</v>
      </c>
      <c r="AC4393">
        <v>2.79599999999999</v>
      </c>
      <c r="AD4393">
        <v>-1.1097603467020001</v>
      </c>
      <c r="AE4393">
        <v>-27.178259999999899</v>
      </c>
      <c r="AF4393">
        <v>-4.4002854594718697</v>
      </c>
      <c r="AG4393">
        <v>-1.1097603467020001</v>
      </c>
      <c r="AH4393">
        <v>26.919432883185301</v>
      </c>
      <c r="AI4393">
        <v>92.329810224943401</v>
      </c>
      <c r="AJ4393">
        <v>99.283539425687493</v>
      </c>
      <c r="AK4393">
        <v>27.299266416961999</v>
      </c>
      <c r="AL4393">
        <v>87.420028636632296</v>
      </c>
      <c r="AM4393">
        <v>101.200896273297</v>
      </c>
      <c r="AN4393">
        <v>1.00000000967928</v>
      </c>
    </row>
    <row r="4394" spans="1:40" x14ac:dyDescent="0.25">
      <c r="A4394" t="str">
        <f>"20190312151626725"</f>
        <v>20190312151626725</v>
      </c>
      <c r="B4394" t="str">
        <f>"1552374986722221"</f>
        <v>1552374986722221</v>
      </c>
      <c r="C4394" t="s">
        <v>40</v>
      </c>
      <c r="D4394">
        <v>4.6104219999999998</v>
      </c>
      <c r="E4394">
        <v>0.51324309999999995</v>
      </c>
      <c r="F4394" t="s">
        <v>43</v>
      </c>
      <c r="G4394">
        <v>-419.64589999999998</v>
      </c>
      <c r="H4394" s="1">
        <v>-1.9843190000000001E-6</v>
      </c>
      <c r="I4394">
        <v>44.11186</v>
      </c>
      <c r="J4394">
        <v>-422.28190000000001</v>
      </c>
      <c r="K4394">
        <v>1.109764</v>
      </c>
      <c r="L4394">
        <v>69.387180000000001</v>
      </c>
      <c r="M4394">
        <v>-5.9353040000000003E-2</v>
      </c>
      <c r="N4394">
        <v>0</v>
      </c>
      <c r="O4394">
        <v>-0.99814219999999998</v>
      </c>
      <c r="P4394">
        <v>0.1361503</v>
      </c>
      <c r="Q4394">
        <v>3.106314E-2</v>
      </c>
      <c r="R4394">
        <v>-0.9902012</v>
      </c>
      <c r="S4394">
        <v>0.305481</v>
      </c>
      <c r="T4394">
        <v>-0.129606</v>
      </c>
      <c r="U4394">
        <v>-2.9917910000000001</v>
      </c>
      <c r="V4394">
        <v>-0.1946938</v>
      </c>
      <c r="W4394">
        <v>4.4544569999999999E-2</v>
      </c>
      <c r="X4394">
        <v>0.9798521</v>
      </c>
      <c r="Y4394">
        <v>-0.16035729999999901</v>
      </c>
      <c r="Z4394">
        <v>4.2774300000000001E-2</v>
      </c>
      <c r="AA4394">
        <v>0.9861318</v>
      </c>
      <c r="AB4394">
        <v>33</v>
      </c>
      <c r="AC4394">
        <v>2.6360000000000201</v>
      </c>
      <c r="AD4394">
        <v>-1.109765984319</v>
      </c>
      <c r="AE4394">
        <v>-25.275320000000001</v>
      </c>
      <c r="AF4394">
        <v>-4.1237966796903596</v>
      </c>
      <c r="AG4394">
        <v>-1.109765984319</v>
      </c>
      <c r="AH4394">
        <v>25.026555202410901</v>
      </c>
      <c r="AI4394">
        <v>92.505294758424995</v>
      </c>
      <c r="AJ4394">
        <v>99.356937394805399</v>
      </c>
      <c r="AK4394">
        <v>25.388299369880901</v>
      </c>
      <c r="AL4394">
        <v>87.446939399829901</v>
      </c>
      <c r="AM4394">
        <v>101.23813667899501</v>
      </c>
      <c r="AN4394">
        <v>1.0000000161746601</v>
      </c>
    </row>
    <row r="4395" spans="1:40" x14ac:dyDescent="0.25">
      <c r="A4395" t="str">
        <f>"20190312151626747"</f>
        <v>20190312151626747</v>
      </c>
      <c r="B4395" t="str">
        <f>"1552374986742718"</f>
        <v>1552374986742718</v>
      </c>
      <c r="C4395" t="s">
        <v>40</v>
      </c>
      <c r="D4395">
        <v>4.5025490000000001</v>
      </c>
      <c r="E4395">
        <v>0.51329290000000005</v>
      </c>
      <c r="F4395" t="s">
        <v>43</v>
      </c>
      <c r="G4395">
        <v>-419.77589999999998</v>
      </c>
      <c r="H4395" s="1">
        <v>-2.3144939999999999E-6</v>
      </c>
      <c r="I4395">
        <v>44.93526</v>
      </c>
      <c r="J4395">
        <v>-422.30119999999999</v>
      </c>
      <c r="K4395">
        <v>1.1097649999999999</v>
      </c>
      <c r="L4395">
        <v>69.061189999999996</v>
      </c>
      <c r="M4395">
        <v>-5.9244789999999999E-2</v>
      </c>
      <c r="N4395">
        <v>0</v>
      </c>
      <c r="O4395">
        <v>-0.99814840000000005</v>
      </c>
      <c r="P4395">
        <v>0.136590299999999</v>
      </c>
      <c r="Q4395">
        <v>3.0908930000000001E-2</v>
      </c>
      <c r="R4395">
        <v>-0.9901451</v>
      </c>
      <c r="S4395">
        <v>0.306610099999999</v>
      </c>
      <c r="T4395">
        <v>-0.1357844</v>
      </c>
      <c r="U4395">
        <v>-2.9917910000000001</v>
      </c>
      <c r="V4395">
        <v>-0.19502369999999999</v>
      </c>
      <c r="W4395">
        <v>4.4383550000000001E-2</v>
      </c>
      <c r="X4395">
        <v>0.97979380000000005</v>
      </c>
      <c r="Y4395">
        <v>-0.16060949999999999</v>
      </c>
      <c r="Z4395">
        <v>4.4807960000000001E-2</v>
      </c>
      <c r="AA4395">
        <v>0.9860004</v>
      </c>
      <c r="AB4395">
        <v>33</v>
      </c>
      <c r="AC4395">
        <v>2.5253000000000099</v>
      </c>
      <c r="AD4395">
        <v>-1.1097673144939999</v>
      </c>
      <c r="AE4395">
        <v>-24.12593</v>
      </c>
      <c r="AF4395">
        <v>-3.94208409612685</v>
      </c>
      <c r="AG4395">
        <v>-1.1097673144939999</v>
      </c>
      <c r="AH4395">
        <v>23.883930914632099</v>
      </c>
      <c r="AI4395">
        <v>92.624873477947006</v>
      </c>
      <c r="AJ4395">
        <v>99.372270381392099</v>
      </c>
      <c r="AK4395">
        <v>24.2324940203887</v>
      </c>
      <c r="AL4395">
        <v>87.456174301145595</v>
      </c>
      <c r="AM4395">
        <v>101.257346045551</v>
      </c>
      <c r="AN4395">
        <v>1.00000001679536</v>
      </c>
    </row>
    <row r="4396" spans="1:40" x14ac:dyDescent="0.25">
      <c r="A4396" t="str">
        <f>"20190312151626769"</f>
        <v>20190312151626769</v>
      </c>
      <c r="B4396" t="str">
        <f>"1552374986762238"</f>
        <v>1552374986762238</v>
      </c>
      <c r="C4396" t="s">
        <v>40</v>
      </c>
      <c r="D4396">
        <v>4.4643329999999999</v>
      </c>
      <c r="E4396">
        <v>0.5133375</v>
      </c>
      <c r="F4396" t="s">
        <v>43</v>
      </c>
      <c r="G4396">
        <v>-419.78179999999998</v>
      </c>
      <c r="H4396" s="1">
        <v>-2.1586369999999999E-6</v>
      </c>
      <c r="I4396">
        <v>44.574379999999998</v>
      </c>
      <c r="J4396">
        <v>-422.32040000000001</v>
      </c>
      <c r="K4396">
        <v>1.109775</v>
      </c>
      <c r="L4396">
        <v>68.735569999999996</v>
      </c>
      <c r="M4396">
        <v>-5.9140400000000003E-2</v>
      </c>
      <c r="N4396">
        <v>0</v>
      </c>
      <c r="O4396">
        <v>-0.9981546</v>
      </c>
      <c r="P4396">
        <v>0.13706960000000001</v>
      </c>
      <c r="Q4396">
        <v>3.1196339999999999E-2</v>
      </c>
      <c r="R4396">
        <v>-0.99007000000000001</v>
      </c>
      <c r="S4396">
        <v>0.30780030000000003</v>
      </c>
      <c r="T4396">
        <v>-0.1355827</v>
      </c>
      <c r="U4396">
        <v>-2.9916079999999998</v>
      </c>
      <c r="V4396">
        <v>-0.1953964</v>
      </c>
      <c r="W4396">
        <v>4.4665080000000003E-2</v>
      </c>
      <c r="X4396">
        <v>0.97970670000000004</v>
      </c>
      <c r="Y4396">
        <v>-0.16090079999999901</v>
      </c>
      <c r="Z4396">
        <v>4.4742690000000002E-2</v>
      </c>
      <c r="AA4396">
        <v>0.9859559</v>
      </c>
      <c r="AB4396">
        <v>33</v>
      </c>
      <c r="AC4396">
        <v>2.5386000000000299</v>
      </c>
      <c r="AD4396">
        <v>-1.109777158637</v>
      </c>
      <c r="AE4396">
        <v>-24.161190000000001</v>
      </c>
      <c r="AF4396">
        <v>-3.9549409449608</v>
      </c>
      <c r="AG4396">
        <v>-1.109777158637</v>
      </c>
      <c r="AH4396">
        <v>23.918831750543202</v>
      </c>
      <c r="AI4396">
        <v>92.620947116640494</v>
      </c>
      <c r="AJ4396">
        <v>99.388817698142603</v>
      </c>
      <c r="AK4396">
        <v>24.2689858776743</v>
      </c>
      <c r="AL4396">
        <v>87.440027688898496</v>
      </c>
      <c r="AM4396">
        <v>101.279285449303</v>
      </c>
      <c r="AN4396">
        <v>0.99999997026462695</v>
      </c>
    </row>
    <row r="4397" spans="1:40" x14ac:dyDescent="0.25">
      <c r="A4397" t="str">
        <f>"20190312151626791"</f>
        <v>20190312151626791</v>
      </c>
      <c r="B4397" t="str">
        <f>"1552374986782355"</f>
        <v>1552374986782355</v>
      </c>
      <c r="C4397" t="s">
        <v>40</v>
      </c>
      <c r="D4397">
        <v>4.4474769999999904</v>
      </c>
      <c r="E4397">
        <v>0.51325169999999998</v>
      </c>
      <c r="F4397" t="s">
        <v>43</v>
      </c>
      <c r="G4397">
        <v>-419.8297</v>
      </c>
      <c r="H4397" s="1">
        <v>-2.1615340000000001E-6</v>
      </c>
      <c r="I4397">
        <v>44.600929999999998</v>
      </c>
      <c r="J4397">
        <v>-422.339</v>
      </c>
      <c r="K4397">
        <v>1.1097809999999999</v>
      </c>
      <c r="L4397">
        <v>68.419650000000004</v>
      </c>
      <c r="M4397">
        <v>-5.9039389999999997E-2</v>
      </c>
      <c r="N4397">
        <v>0</v>
      </c>
      <c r="O4397">
        <v>-0.99816050000000001</v>
      </c>
      <c r="P4397">
        <v>0.13739000000000001</v>
      </c>
      <c r="Q4397">
        <v>3.1991020000000002E-2</v>
      </c>
      <c r="R4397">
        <v>-0.9900002</v>
      </c>
      <c r="S4397">
        <v>0.30874629999999997</v>
      </c>
      <c r="T4397">
        <v>-0.1375651</v>
      </c>
      <c r="U4397">
        <v>-2.9916689999999999</v>
      </c>
      <c r="V4397">
        <v>-0.19561319999999999</v>
      </c>
      <c r="W4397">
        <v>4.5454880000000003E-2</v>
      </c>
      <c r="X4397">
        <v>0.97962709999999997</v>
      </c>
      <c r="Y4397">
        <v>-0.16110439999999901</v>
      </c>
      <c r="Z4397">
        <v>4.5393549999999998E-2</v>
      </c>
      <c r="AA4397">
        <v>0.98589289999999996</v>
      </c>
      <c r="AB4397">
        <v>33</v>
      </c>
      <c r="AC4397">
        <v>2.5092999999999899</v>
      </c>
      <c r="AD4397">
        <v>-1.1097831615339999</v>
      </c>
      <c r="AE4397">
        <v>-23.818719999999999</v>
      </c>
      <c r="AF4397">
        <v>-3.9029185341415702</v>
      </c>
      <c r="AG4397">
        <v>-1.1097831615339999</v>
      </c>
      <c r="AH4397">
        <v>23.578377997063001</v>
      </c>
      <c r="AI4397">
        <v>92.658674588925194</v>
      </c>
      <c r="AJ4397">
        <v>99.398919976043203</v>
      </c>
      <c r="AK4397">
        <v>23.924972324376</v>
      </c>
      <c r="AL4397">
        <v>87.394729449542893</v>
      </c>
      <c r="AM4397">
        <v>101.29237282515101</v>
      </c>
      <c r="AN4397">
        <v>0.99999996259223101</v>
      </c>
    </row>
    <row r="4398" spans="1:40" x14ac:dyDescent="0.25">
      <c r="A4398" t="str">
        <f>"20190312151626813"</f>
        <v>20190312151626813</v>
      </c>
      <c r="B4398" t="str">
        <f>"1552374986801874"</f>
        <v>1552374986801874</v>
      </c>
      <c r="C4398" t="s">
        <v>40</v>
      </c>
      <c r="D4398">
        <v>4.5048380000000003</v>
      </c>
      <c r="E4398">
        <v>0.51320589999999999</v>
      </c>
      <c r="F4398" t="s">
        <v>43</v>
      </c>
      <c r="G4398">
        <v>-419.84870000000001</v>
      </c>
      <c r="H4398" s="1">
        <v>-2.0998359999999999E-6</v>
      </c>
      <c r="I4398">
        <v>44.464970000000001</v>
      </c>
      <c r="J4398">
        <v>-422.35860000000002</v>
      </c>
      <c r="K4398">
        <v>1.1097870000000001</v>
      </c>
      <c r="L4398">
        <v>68.087040000000002</v>
      </c>
      <c r="M4398">
        <v>-5.8932739999999997E-2</v>
      </c>
      <c r="N4398">
        <v>0</v>
      </c>
      <c r="O4398">
        <v>-0.99816700000000003</v>
      </c>
      <c r="P4398">
        <v>0.13754669999999999</v>
      </c>
      <c r="Q4398">
        <v>3.2569180000000003E-2</v>
      </c>
      <c r="R4398">
        <v>-0.9899597</v>
      </c>
      <c r="S4398">
        <v>0.31100460000000002</v>
      </c>
      <c r="T4398">
        <v>-0.13859649999999901</v>
      </c>
      <c r="U4398">
        <v>-2.9916079999999998</v>
      </c>
      <c r="V4398">
        <v>-0.19566269999999999</v>
      </c>
      <c r="W4398">
        <v>4.6028859999999998E-2</v>
      </c>
      <c r="X4398">
        <v>0.97959050000000003</v>
      </c>
      <c r="Y4398">
        <v>-0.16173560000000001</v>
      </c>
      <c r="Z4398">
        <v>4.5730369999999999E-2</v>
      </c>
      <c r="AA4398">
        <v>0.98577400000000004</v>
      </c>
      <c r="AB4398">
        <v>33</v>
      </c>
      <c r="AC4398">
        <v>2.5099000000000098</v>
      </c>
      <c r="AD4398">
        <v>-1.109789099836</v>
      </c>
      <c r="AE4398">
        <v>-23.622070000000001</v>
      </c>
      <c r="AF4398">
        <v>-3.8892934554298799</v>
      </c>
      <c r="AG4398">
        <v>-1.109789099836</v>
      </c>
      <c r="AH4398">
        <v>23.382043597773698</v>
      </c>
      <c r="AI4398">
        <v>92.680631902013701</v>
      </c>
      <c r="AJ4398">
        <v>99.443930030554895</v>
      </c>
      <c r="AK4398">
        <v>23.729268809568399</v>
      </c>
      <c r="AL4398">
        <v>87.361808582824693</v>
      </c>
      <c r="AM4398">
        <v>101.295568077411</v>
      </c>
      <c r="AN4398">
        <v>1.00000004790721</v>
      </c>
    </row>
    <row r="4399" spans="1:40" x14ac:dyDescent="0.25">
      <c r="A4399" t="str">
        <f>"20190312151626835"</f>
        <v>20190312151626835</v>
      </c>
      <c r="B4399" t="str">
        <f>"1552374986832131"</f>
        <v>1552374986832131</v>
      </c>
      <c r="C4399" t="s">
        <v>40</v>
      </c>
      <c r="D4399">
        <v>4.5368360000000001</v>
      </c>
      <c r="E4399">
        <v>0.5132736</v>
      </c>
      <c r="F4399" t="s">
        <v>43</v>
      </c>
      <c r="G4399">
        <v>-419.89819999999997</v>
      </c>
      <c r="H4399" s="1">
        <v>-2.1014879999999998E-6</v>
      </c>
      <c r="I4399">
        <v>44.4893</v>
      </c>
      <c r="J4399">
        <v>-422.37729999999999</v>
      </c>
      <c r="K4399">
        <v>1.1097980000000001</v>
      </c>
      <c r="L4399">
        <v>67.768429999999995</v>
      </c>
      <c r="M4399">
        <v>-5.8828610000000003E-2</v>
      </c>
      <c r="N4399">
        <v>0</v>
      </c>
      <c r="O4399">
        <v>-0.99817339999999999</v>
      </c>
      <c r="P4399">
        <v>0.13782700000000001</v>
      </c>
      <c r="Q4399">
        <v>3.2693670000000001E-2</v>
      </c>
      <c r="R4399">
        <v>-0.98991689999999999</v>
      </c>
      <c r="S4399">
        <v>0.31192019999999998</v>
      </c>
      <c r="T4399">
        <v>-0.14069809999999999</v>
      </c>
      <c r="U4399">
        <v>-2.9916990000000001</v>
      </c>
      <c r="V4399">
        <v>-0.19583809999999999</v>
      </c>
      <c r="W4399">
        <v>4.6148889999999998E-2</v>
      </c>
      <c r="X4399">
        <v>0.97954980000000003</v>
      </c>
      <c r="Y4399">
        <v>-0.1619247</v>
      </c>
      <c r="Z4399">
        <v>4.6419820000000001E-2</v>
      </c>
      <c r="AA4399">
        <v>0.98571070000000005</v>
      </c>
      <c r="AB4399">
        <v>33</v>
      </c>
      <c r="AC4399">
        <v>2.4791000000000101</v>
      </c>
      <c r="AD4399">
        <v>-1.1098001014879999</v>
      </c>
      <c r="AE4399">
        <v>-23.279129999999999</v>
      </c>
      <c r="AF4399">
        <v>-3.8357938355460699</v>
      </c>
      <c r="AG4399">
        <v>-1.1098001014879999</v>
      </c>
      <c r="AH4399">
        <v>23.041169291696601</v>
      </c>
      <c r="AI4399">
        <v>92.7201962535365</v>
      </c>
      <c r="AJ4399">
        <v>99.451673711609203</v>
      </c>
      <c r="AK4399">
        <v>23.384620008516201</v>
      </c>
      <c r="AL4399">
        <v>87.354924049981904</v>
      </c>
      <c r="AM4399">
        <v>101.30589084812</v>
      </c>
      <c r="AN4399">
        <v>1.0000000460699401</v>
      </c>
    </row>
    <row r="4400" spans="1:40" x14ac:dyDescent="0.25">
      <c r="A4400" t="str">
        <f>"20190312151626858"</f>
        <v>20190312151626858</v>
      </c>
      <c r="B4400" t="str">
        <f>"1552374986852629"</f>
        <v>1552374986852629</v>
      </c>
      <c r="C4400" t="s">
        <v>40</v>
      </c>
      <c r="D4400">
        <v>4.6077240000000002</v>
      </c>
      <c r="E4400">
        <v>0.53302759999999905</v>
      </c>
      <c r="F4400" t="s">
        <v>43</v>
      </c>
      <c r="G4400">
        <v>-419.97070000000002</v>
      </c>
      <c r="H4400" s="1">
        <v>-2.18344E-6</v>
      </c>
      <c r="I4400">
        <v>44.696899999999999</v>
      </c>
      <c r="J4400">
        <v>-422.39699999999999</v>
      </c>
      <c r="K4400">
        <v>1.1098049999999999</v>
      </c>
      <c r="L4400">
        <v>67.432040000000001</v>
      </c>
      <c r="M4400">
        <v>-5.8716539999999998E-2</v>
      </c>
      <c r="N4400">
        <v>0</v>
      </c>
      <c r="O4400">
        <v>-0.9981797</v>
      </c>
      <c r="P4400">
        <v>0.13770299999999999</v>
      </c>
      <c r="Q4400">
        <v>3.3203169999999997E-2</v>
      </c>
      <c r="R4400">
        <v>-0.98991689999999999</v>
      </c>
      <c r="S4400">
        <v>0.31207279999999998</v>
      </c>
      <c r="T4400">
        <v>-0.1439172</v>
      </c>
      <c r="U4400">
        <v>-2.9918819999999999</v>
      </c>
      <c r="V4400">
        <v>-0.19560420000000001</v>
      </c>
      <c r="W4400">
        <v>4.6656179999999998E-2</v>
      </c>
      <c r="X4400">
        <v>0.97957249999999996</v>
      </c>
      <c r="Y4400">
        <v>-0.1618523</v>
      </c>
      <c r="Z4400">
        <v>4.7477239999999997E-2</v>
      </c>
      <c r="AA4400">
        <v>0.9856722</v>
      </c>
      <c r="AB4400">
        <v>33</v>
      </c>
      <c r="AC4400">
        <v>2.4262999999999599</v>
      </c>
      <c r="AD4400">
        <v>-1.1098071834399901</v>
      </c>
      <c r="AE4400">
        <v>-22.735139999999902</v>
      </c>
      <c r="AF4400">
        <v>-3.7483372535421302</v>
      </c>
      <c r="AG4400">
        <v>-1.1098071834399901</v>
      </c>
      <c r="AH4400">
        <v>22.500418322533601</v>
      </c>
      <c r="AI4400">
        <v>92.785435154161902</v>
      </c>
      <c r="AJ4400">
        <v>99.458029778442494</v>
      </c>
      <c r="AK4400">
        <v>22.837480790133402</v>
      </c>
      <c r="AL4400">
        <v>87.325827122841503</v>
      </c>
      <c r="AM4400">
        <v>101.29247984216801</v>
      </c>
      <c r="AN4400">
        <v>1.00000004247304</v>
      </c>
    </row>
    <row r="4401" spans="1:40" x14ac:dyDescent="0.25">
      <c r="A4401" t="str">
        <f>"20190312151626880"</f>
        <v>20190312151626880</v>
      </c>
      <c r="B4401" t="str">
        <f>"1552374986872242"</f>
        <v>1552374986872242</v>
      </c>
      <c r="C4401" t="s">
        <v>40</v>
      </c>
      <c r="D4401">
        <v>4.5233780000000001</v>
      </c>
      <c r="E4401">
        <v>0.54261759999999903</v>
      </c>
      <c r="F4401" t="s">
        <v>43</v>
      </c>
      <c r="G4401">
        <v>-420.98070000000001</v>
      </c>
      <c r="H4401" s="1">
        <v>-4.2700279999999999E-7</v>
      </c>
      <c r="I4401">
        <v>39.976219999999998</v>
      </c>
      <c r="J4401">
        <v>-422.41559999999998</v>
      </c>
      <c r="K4401">
        <v>1.10981</v>
      </c>
      <c r="L4401">
        <v>67.113860000000003</v>
      </c>
      <c r="M4401">
        <v>-5.8607340000000001E-2</v>
      </c>
      <c r="N4401">
        <v>0</v>
      </c>
      <c r="O4401">
        <v>-0.99818640000000003</v>
      </c>
      <c r="P4401">
        <v>0.13752249999999999</v>
      </c>
      <c r="Q4401">
        <v>3.3638080000000001E-2</v>
      </c>
      <c r="R4401">
        <v>-0.98992760000000002</v>
      </c>
      <c r="S4401">
        <v>0.15542600000000001</v>
      </c>
      <c r="T4401">
        <v>-0.1217912</v>
      </c>
      <c r="U4401">
        <v>-3.0130309999999998</v>
      </c>
      <c r="V4401">
        <v>-0.19531799999999999</v>
      </c>
      <c r="W4401">
        <v>4.7088190000000002E-2</v>
      </c>
      <c r="X4401">
        <v>0.9796089</v>
      </c>
      <c r="Y4401">
        <v>-0.1099209</v>
      </c>
      <c r="Z4401">
        <v>4.013531E-2</v>
      </c>
      <c r="AA4401">
        <v>0.9931297</v>
      </c>
      <c r="AB4401">
        <v>33</v>
      </c>
      <c r="AC4401">
        <v>1.4348999999999701</v>
      </c>
      <c r="AD4401">
        <v>-1.1098104270028</v>
      </c>
      <c r="AE4401">
        <v>-27.137640000000001</v>
      </c>
      <c r="AF4401">
        <v>-3.01801497758589</v>
      </c>
      <c r="AG4401">
        <v>-1.1098104270028</v>
      </c>
      <c r="AH4401">
        <v>26.961914228641</v>
      </c>
      <c r="AI4401">
        <v>92.342473859885004</v>
      </c>
      <c r="AJ4401">
        <v>96.386886687288793</v>
      </c>
      <c r="AK4401">
        <v>27.152990856651702</v>
      </c>
      <c r="AL4401">
        <v>87.301047445144405</v>
      </c>
      <c r="AM4401">
        <v>101.275972549016</v>
      </c>
      <c r="AN4401">
        <v>1.0000000078603399</v>
      </c>
    </row>
    <row r="4402" spans="1:40" x14ac:dyDescent="0.25">
      <c r="A4402" t="str">
        <f>"20190312151626903"</f>
        <v>20190312151626903</v>
      </c>
      <c r="B4402" t="str">
        <f>"1552374986892738"</f>
        <v>1552374986892738</v>
      </c>
      <c r="C4402" t="s">
        <v>40</v>
      </c>
      <c r="D4402">
        <v>4.487177</v>
      </c>
      <c r="E4402">
        <v>0.54156280000000001</v>
      </c>
      <c r="F4402" t="s">
        <v>43</v>
      </c>
      <c r="G4402">
        <v>-422.07830000000001</v>
      </c>
      <c r="H4402" s="1">
        <v>-2.6649160000000001E-6</v>
      </c>
      <c r="I4402">
        <v>54.512070000000001</v>
      </c>
      <c r="J4402">
        <v>-422.4348</v>
      </c>
      <c r="K4402">
        <v>1.1098170000000001</v>
      </c>
      <c r="L4402">
        <v>66.784580000000005</v>
      </c>
      <c r="M4402">
        <v>-5.8487900000000002E-2</v>
      </c>
      <c r="N4402">
        <v>0</v>
      </c>
      <c r="O4402">
        <v>-0.99819329999999995</v>
      </c>
      <c r="P4402">
        <v>0.137129</v>
      </c>
      <c r="Q4402">
        <v>3.4044140000000001E-2</v>
      </c>
      <c r="R4402">
        <v>-0.98996819999999996</v>
      </c>
      <c r="S4402">
        <v>8.1054689999999999E-2</v>
      </c>
      <c r="T4402">
        <v>-0.26669759999999998</v>
      </c>
      <c r="U4402">
        <v>-3.0283199999999999</v>
      </c>
      <c r="V4402">
        <v>-0.19481080000000001</v>
      </c>
      <c r="W4402">
        <v>4.7491150000000003E-2</v>
      </c>
      <c r="X4402">
        <v>0.97969039999999996</v>
      </c>
      <c r="Y4402">
        <v>-8.5079859999999993E-2</v>
      </c>
      <c r="Z4402">
        <v>8.7328520000000007E-2</v>
      </c>
      <c r="AA4402">
        <v>0.99253979999999997</v>
      </c>
      <c r="AB4402">
        <v>33</v>
      </c>
      <c r="AC4402">
        <v>0.356499999999982</v>
      </c>
      <c r="AD4402">
        <v>-1.1098196649159999</v>
      </c>
      <c r="AE4402">
        <v>-12.27251</v>
      </c>
      <c r="AF4402">
        <v>-1.0650484440938199</v>
      </c>
      <c r="AG4402">
        <v>-1.1098196649159999</v>
      </c>
      <c r="AH4402">
        <v>12.131518173349599</v>
      </c>
      <c r="AI4402">
        <v>95.207085406288201</v>
      </c>
      <c r="AJ4402">
        <v>95.017238991835001</v>
      </c>
      <c r="AK4402">
        <v>12.2286451034942</v>
      </c>
      <c r="AL4402">
        <v>87.277933571330294</v>
      </c>
      <c r="AM4402">
        <v>101.246526792338</v>
      </c>
      <c r="AN4402">
        <v>0.99999996848855999</v>
      </c>
    </row>
    <row r="4403" spans="1:40" x14ac:dyDescent="0.25">
      <c r="A4403" t="str">
        <f>"20190312151626925"</f>
        <v>20190312151626925</v>
      </c>
      <c r="B4403" t="str">
        <f>"1552374986922018"</f>
        <v>1552374986922018</v>
      </c>
      <c r="C4403" t="s">
        <v>40</v>
      </c>
      <c r="D4403">
        <v>4.467314</v>
      </c>
      <c r="E4403">
        <v>0.53951780000000005</v>
      </c>
      <c r="F4403" t="s">
        <v>43</v>
      </c>
      <c r="G4403">
        <v>-422.03750000000002</v>
      </c>
      <c r="H4403" s="1">
        <v>-2.0711700000000002E-6</v>
      </c>
      <c r="I4403">
        <v>53.153359999999999</v>
      </c>
      <c r="J4403">
        <v>-422.45400000000001</v>
      </c>
      <c r="K4403">
        <v>1.1098250000000001</v>
      </c>
      <c r="L4403">
        <v>66.455109999999905</v>
      </c>
      <c r="M4403">
        <v>-5.8359269999999998E-2</v>
      </c>
      <c r="N4403">
        <v>0</v>
      </c>
      <c r="O4403">
        <v>-0.99820070000000005</v>
      </c>
      <c r="P4403">
        <v>0.1365874</v>
      </c>
      <c r="Q4403">
        <v>3.3802430000000001E-2</v>
      </c>
      <c r="R4403">
        <v>-0.99005109999999996</v>
      </c>
      <c r="S4403">
        <v>8.8226319999999997E-2</v>
      </c>
      <c r="T4403">
        <v>-0.24642159999999999</v>
      </c>
      <c r="U4403">
        <v>-3.0266419999999998</v>
      </c>
      <c r="V4403">
        <v>-0.19414909999999999</v>
      </c>
      <c r="W4403">
        <v>4.724681E-2</v>
      </c>
      <c r="X4403">
        <v>0.97983359999999997</v>
      </c>
      <c r="Y4403">
        <v>-8.7332170000000001E-2</v>
      </c>
      <c r="Z4403">
        <v>8.0769480000000005E-2</v>
      </c>
      <c r="AA4403">
        <v>0.99289950000000005</v>
      </c>
      <c r="AB4403">
        <v>33</v>
      </c>
      <c r="AC4403">
        <v>0.41649999999998399</v>
      </c>
      <c r="AD4403">
        <v>-1.10982707117</v>
      </c>
      <c r="AE4403">
        <v>-13.301749999999901</v>
      </c>
      <c r="AF4403">
        <v>-1.18391047175046</v>
      </c>
      <c r="AG4403">
        <v>-1.10982707117</v>
      </c>
      <c r="AH4403">
        <v>13.1632219011329</v>
      </c>
      <c r="AI4403">
        <v>94.800080437581798</v>
      </c>
      <c r="AJ4403">
        <v>95.139398862021594</v>
      </c>
      <c r="AK4403">
        <v>13.2628718968211</v>
      </c>
      <c r="AL4403">
        <v>87.291949064889394</v>
      </c>
      <c r="AM4403">
        <v>101.20769866234799</v>
      </c>
      <c r="AN4403">
        <v>1.0000000088874701</v>
      </c>
    </row>
    <row r="4404" spans="1:40" x14ac:dyDescent="0.25">
      <c r="A4404" t="str">
        <f>"20190312151626948"</f>
        <v>20190312151626948</v>
      </c>
      <c r="B4404" t="str">
        <f>"1552374986942513"</f>
        <v>1552374986942513</v>
      </c>
      <c r="C4404" t="s">
        <v>40</v>
      </c>
      <c r="D4404">
        <v>4.4654999999999996</v>
      </c>
      <c r="E4404">
        <v>0.53888019999999903</v>
      </c>
      <c r="F4404" t="s">
        <v>43</v>
      </c>
      <c r="G4404">
        <v>-421.88069999999999</v>
      </c>
      <c r="H4404" s="1">
        <v>-4.6072359999999998E-6</v>
      </c>
      <c r="I4404">
        <v>49.545029999999997</v>
      </c>
      <c r="J4404">
        <v>-422.47320000000002</v>
      </c>
      <c r="K4404">
        <v>1.109834</v>
      </c>
      <c r="L4404">
        <v>66.12527</v>
      </c>
      <c r="M4404">
        <v>-5.8213899999999999E-2</v>
      </c>
      <c r="N4404">
        <v>0</v>
      </c>
      <c r="O4404">
        <v>-0.99820960000000003</v>
      </c>
      <c r="P4404">
        <v>0.13613249999999999</v>
      </c>
      <c r="Q4404">
        <v>3.3561840000000003E-2</v>
      </c>
      <c r="R4404">
        <v>-0.99012230000000001</v>
      </c>
      <c r="S4404">
        <v>0.102478</v>
      </c>
      <c r="T4404">
        <v>-0.19838990000000001</v>
      </c>
      <c r="U4404">
        <v>-3.0227970000000002</v>
      </c>
      <c r="V4404">
        <v>-0.19355800000000001</v>
      </c>
      <c r="W4404">
        <v>4.700008E-2</v>
      </c>
      <c r="X4404">
        <v>0.97996240000000001</v>
      </c>
      <c r="Y4404">
        <v>-9.1938370000000005E-2</v>
      </c>
      <c r="Z4404">
        <v>6.5166409999999994E-2</v>
      </c>
      <c r="AA4404">
        <v>0.99363009999999996</v>
      </c>
      <c r="AB4404">
        <v>33</v>
      </c>
      <c r="AC4404">
        <v>0.592500000000029</v>
      </c>
      <c r="AD4404">
        <v>-1.109838607236</v>
      </c>
      <c r="AE4404">
        <v>-16.58024</v>
      </c>
      <c r="AF4404">
        <v>-1.54985110344219</v>
      </c>
      <c r="AG4404">
        <v>-1.109838607236</v>
      </c>
      <c r="AH4404">
        <v>16.444036319118901</v>
      </c>
      <c r="AI4404">
        <v>93.844158376102598</v>
      </c>
      <c r="AJ4404">
        <v>95.384224366099403</v>
      </c>
      <c r="AK4404">
        <v>16.554156899143301</v>
      </c>
      <c r="AL4404">
        <v>87.306101367273598</v>
      </c>
      <c r="AM4404">
        <v>101.17300430685501</v>
      </c>
      <c r="AN4404">
        <v>1.0000000061488801</v>
      </c>
    </row>
    <row r="4405" spans="1:40" x14ac:dyDescent="0.25">
      <c r="A4405" t="str">
        <f>"20190312151626969"</f>
        <v>20190312151626969</v>
      </c>
      <c r="B4405" t="str">
        <f>"1552374986962035"</f>
        <v>1552374986962035</v>
      </c>
      <c r="C4405" t="s">
        <v>40</v>
      </c>
      <c r="D4405">
        <v>4.4792740000000002</v>
      </c>
      <c r="E4405">
        <v>0.53836110000000004</v>
      </c>
      <c r="F4405" t="s">
        <v>43</v>
      </c>
      <c r="G4405">
        <v>-421.81110000000001</v>
      </c>
      <c r="H4405" s="1">
        <v>-3.7412810000000002E-6</v>
      </c>
      <c r="I4405">
        <v>47.186810000000001</v>
      </c>
      <c r="J4405">
        <v>-422.4914</v>
      </c>
      <c r="K4405">
        <v>1.1098539999999999</v>
      </c>
      <c r="L4405">
        <v>65.810490000000001</v>
      </c>
      <c r="M4405">
        <v>-5.8051659999999998E-2</v>
      </c>
      <c r="N4405">
        <v>0</v>
      </c>
      <c r="O4405">
        <v>-0.99821890000000002</v>
      </c>
      <c r="P4405">
        <v>0.1359803</v>
      </c>
      <c r="Q4405">
        <v>3.3446200000000002E-2</v>
      </c>
      <c r="R4405">
        <v>-0.99014720000000001</v>
      </c>
      <c r="S4405">
        <v>0.1056213</v>
      </c>
      <c r="T4405">
        <v>-0.17706060000000001</v>
      </c>
      <c r="U4405">
        <v>-3.0213930000000002</v>
      </c>
      <c r="V4405">
        <v>-0.1932498</v>
      </c>
      <c r="W4405">
        <v>4.6875769999999997E-2</v>
      </c>
      <c r="X4405">
        <v>0.98002920000000004</v>
      </c>
      <c r="Y4405">
        <v>-9.2839720000000001E-2</v>
      </c>
      <c r="Z4405">
        <v>5.8209860000000002E-2</v>
      </c>
      <c r="AA4405">
        <v>0.99397809999999998</v>
      </c>
      <c r="AB4405">
        <v>33</v>
      </c>
      <c r="AC4405">
        <v>0.68029999999998803</v>
      </c>
      <c r="AD4405">
        <v>-1.109857741281</v>
      </c>
      <c r="AE4405">
        <v>-18.62368</v>
      </c>
      <c r="AF4405">
        <v>-1.75416873916231</v>
      </c>
      <c r="AG4405">
        <v>-1.109857741281</v>
      </c>
      <c r="AH4405">
        <v>18.487201872075101</v>
      </c>
      <c r="AI4405">
        <v>93.420236913219796</v>
      </c>
      <c r="AJ4405">
        <v>95.420314873601498</v>
      </c>
      <c r="AK4405">
        <v>18.603374028121699</v>
      </c>
      <c r="AL4405">
        <v>87.313231723112395</v>
      </c>
      <c r="AM4405">
        <v>101.154918922074</v>
      </c>
      <c r="AN4405">
        <v>1.00000002793288</v>
      </c>
    </row>
    <row r="4406" spans="1:40" x14ac:dyDescent="0.25">
      <c r="A4406" t="str">
        <f>"20190312151626992"</f>
        <v>20190312151626992</v>
      </c>
      <c r="B4406" t="str">
        <f>"1552374986982530"</f>
        <v>1552374986982530</v>
      </c>
      <c r="C4406" t="s">
        <v>40</v>
      </c>
      <c r="D4406">
        <v>4.4632069999999997</v>
      </c>
      <c r="E4406">
        <v>0.53798999999999997</v>
      </c>
      <c r="F4406" t="s">
        <v>43</v>
      </c>
      <c r="G4406">
        <v>-421.76589999999999</v>
      </c>
      <c r="H4406" s="1">
        <v>-3.0845540000000001E-6</v>
      </c>
      <c r="I4406">
        <v>45.684040000000003</v>
      </c>
      <c r="J4406">
        <v>-422.51029999999997</v>
      </c>
      <c r="K4406">
        <v>1.1098790000000001</v>
      </c>
      <c r="L4406">
        <v>65.480900000000005</v>
      </c>
      <c r="M4406">
        <v>-5.7847429999999998E-2</v>
      </c>
      <c r="N4406">
        <v>0</v>
      </c>
      <c r="O4406">
        <v>-0.99823090000000003</v>
      </c>
      <c r="P4406">
        <v>0.13636980000000001</v>
      </c>
      <c r="Q4406">
        <v>3.3646200000000001E-2</v>
      </c>
      <c r="R4406">
        <v>-0.99008660000000004</v>
      </c>
      <c r="S4406">
        <v>0.1088867</v>
      </c>
      <c r="T4406">
        <v>-0.1665652</v>
      </c>
      <c r="U4406">
        <v>-3.0205380000000002</v>
      </c>
      <c r="V4406">
        <v>-0.19343730000000001</v>
      </c>
      <c r="W4406">
        <v>4.7061520000000003E-2</v>
      </c>
      <c r="X4406">
        <v>0.9799833</v>
      </c>
      <c r="Y4406">
        <v>-9.3725989999999995E-2</v>
      </c>
      <c r="Z4406">
        <v>5.4783279999999997E-2</v>
      </c>
      <c r="AA4406">
        <v>0.99408969999999997</v>
      </c>
      <c r="AB4406">
        <v>33</v>
      </c>
      <c r="AC4406">
        <v>0.74439999999998396</v>
      </c>
      <c r="AD4406">
        <v>-1.1098820845540001</v>
      </c>
      <c r="AE4406">
        <v>-19.796859999999999</v>
      </c>
      <c r="AF4406">
        <v>-1.88255005447107</v>
      </c>
      <c r="AG4406">
        <v>-1.1098820845540001</v>
      </c>
      <c r="AH4406">
        <v>19.658933763721901</v>
      </c>
      <c r="AI4406">
        <v>93.216627184952799</v>
      </c>
      <c r="AJ4406">
        <v>95.469995207833605</v>
      </c>
      <c r="AK4406">
        <v>19.780028050425202</v>
      </c>
      <c r="AL4406">
        <v>87.302577257669199</v>
      </c>
      <c r="AM4406">
        <v>101.16597995917201</v>
      </c>
      <c r="AN4406">
        <v>1.0000000219874401</v>
      </c>
    </row>
    <row r="4407" spans="1:40" x14ac:dyDescent="0.25">
      <c r="A4407" t="str">
        <f>"20190312151627016"</f>
        <v>20190312151627016</v>
      </c>
      <c r="B4407" t="str">
        <f>"1552374987012786"</f>
        <v>1552374987012786</v>
      </c>
      <c r="C4407" t="s">
        <v>40</v>
      </c>
      <c r="D4407">
        <v>6.1159210000000002</v>
      </c>
      <c r="E4407">
        <v>0.53763050000000001</v>
      </c>
      <c r="F4407" t="s">
        <v>43</v>
      </c>
      <c r="G4407">
        <v>-421.7124</v>
      </c>
      <c r="H4407" s="1">
        <v>-2.4182809999999999E-6</v>
      </c>
      <c r="I4407">
        <v>44.164090000000002</v>
      </c>
      <c r="J4407">
        <v>-422.52949999999998</v>
      </c>
      <c r="K4407">
        <v>1.1099220000000001</v>
      </c>
      <c r="L4407">
        <v>65.144350000000003</v>
      </c>
      <c r="M4407">
        <v>-5.7585909999999997E-2</v>
      </c>
      <c r="N4407">
        <v>0</v>
      </c>
      <c r="O4407">
        <v>-0.99824619999999997</v>
      </c>
      <c r="P4407">
        <v>0.13675770000000001</v>
      </c>
      <c r="Q4407">
        <v>3.3615899999999997E-2</v>
      </c>
      <c r="R4407">
        <v>-0.99003419999999998</v>
      </c>
      <c r="S4407">
        <v>0.1130371</v>
      </c>
      <c r="T4407">
        <v>-0.15723090000000001</v>
      </c>
      <c r="U4407">
        <v>-3.0198360000000002</v>
      </c>
      <c r="V4407">
        <v>-0.19356909999999999</v>
      </c>
      <c r="W4407">
        <v>4.7011989999999997E-2</v>
      </c>
      <c r="X4407">
        <v>0.97995960000000004</v>
      </c>
      <c r="Y4407">
        <v>-9.4843949999999996E-2</v>
      </c>
      <c r="Z4407">
        <v>5.1730850000000002E-2</v>
      </c>
      <c r="AA4407">
        <v>0.99414709999999995</v>
      </c>
      <c r="AB4407">
        <v>33</v>
      </c>
      <c r="AC4407">
        <v>0.81709999999998195</v>
      </c>
      <c r="AD4407">
        <v>-1.10992441828099</v>
      </c>
      <c r="AE4407">
        <v>-20.980260000000001</v>
      </c>
      <c r="AF4407">
        <v>-2.01838458216297</v>
      </c>
      <c r="AG4407">
        <v>-1.10992441828099</v>
      </c>
      <c r="AH4407">
        <v>20.8401418168826</v>
      </c>
      <c r="AI4407">
        <v>93.034461880631198</v>
      </c>
      <c r="AJ4407">
        <v>95.531889098175895</v>
      </c>
      <c r="AK4407">
        <v>20.9670531902694</v>
      </c>
      <c r="AL4407">
        <v>87.305418123685001</v>
      </c>
      <c r="AM4407">
        <v>101.173660047509</v>
      </c>
      <c r="AN4407">
        <v>0.99999997065536395</v>
      </c>
    </row>
    <row r="4408" spans="1:40" x14ac:dyDescent="0.25">
      <c r="A4408" t="str">
        <f>"20190312151627038"</f>
        <v>20190312151627038</v>
      </c>
      <c r="B4408" t="str">
        <f>"1552374987032306"</f>
        <v>1552374987032306</v>
      </c>
      <c r="C4408" t="s">
        <v>40</v>
      </c>
      <c r="D4408">
        <v>4.5642620000000003</v>
      </c>
      <c r="E4408">
        <v>0.53703990000000001</v>
      </c>
      <c r="F4408" t="s">
        <v>43</v>
      </c>
      <c r="G4408">
        <v>-422.00920000000002</v>
      </c>
      <c r="H4408" s="1">
        <v>-1.527379E-6</v>
      </c>
      <c r="I4408">
        <v>51.903309999999998</v>
      </c>
      <c r="J4408">
        <v>-422.54809999999998</v>
      </c>
      <c r="K4408">
        <v>1.10997099999999</v>
      </c>
      <c r="L4408">
        <v>64.818569999999994</v>
      </c>
      <c r="M4408">
        <v>-5.7273240000000003E-2</v>
      </c>
      <c r="N4408">
        <v>0</v>
      </c>
      <c r="O4408">
        <v>-0.99826389999999998</v>
      </c>
      <c r="P4408">
        <v>0.13768239999999901</v>
      </c>
      <c r="Q4408">
        <v>3.3688839999999998E-2</v>
      </c>
      <c r="R4408">
        <v>-0.98990339999999999</v>
      </c>
      <c r="S4408">
        <v>0.1187744</v>
      </c>
      <c r="T4408">
        <v>-0.25334859999999998</v>
      </c>
      <c r="U4408">
        <v>-3.0223689999999999</v>
      </c>
      <c r="V4408">
        <v>-0.1941822</v>
      </c>
      <c r="W4408">
        <v>4.706105E-2</v>
      </c>
      <c r="X4408">
        <v>0.97983600000000004</v>
      </c>
      <c r="Y4408">
        <v>-9.6301629999999999E-2</v>
      </c>
      <c r="Z4408">
        <v>8.3099859999999998E-2</v>
      </c>
      <c r="AA4408">
        <v>0.99187720000000001</v>
      </c>
      <c r="AB4408">
        <v>33</v>
      </c>
      <c r="AC4408">
        <v>0.53889999999995497</v>
      </c>
      <c r="AD4408">
        <v>-1.10997252737899</v>
      </c>
      <c r="AE4408">
        <v>-12.9152599999999</v>
      </c>
      <c r="AF4408">
        <v>-1.2684313913604699</v>
      </c>
      <c r="AG4408">
        <v>-1.10997252737899</v>
      </c>
      <c r="AH4408">
        <v>12.769038531282</v>
      </c>
      <c r="AI4408">
        <v>94.943843529575403</v>
      </c>
      <c r="AJ4408">
        <v>95.672950404421002</v>
      </c>
      <c r="AK4408">
        <v>12.8798021032735</v>
      </c>
      <c r="AL4408">
        <v>87.302604232947402</v>
      </c>
      <c r="AM4408">
        <v>101.20953429130699</v>
      </c>
      <c r="AN4408">
        <v>1.0000000280599699</v>
      </c>
    </row>
    <row r="4409" spans="1:40" x14ac:dyDescent="0.25">
      <c r="A4409" t="str">
        <f>"20190312151627069"</f>
        <v>20190312151627069</v>
      </c>
      <c r="B4409" t="str">
        <f>"1552374987062562"</f>
        <v>1552374987062562</v>
      </c>
      <c r="C4409" t="s">
        <v>40</v>
      </c>
      <c r="D4409">
        <v>4.4874289999999997</v>
      </c>
      <c r="E4409">
        <v>0.53694919999999902</v>
      </c>
      <c r="F4409" t="s">
        <v>64</v>
      </c>
      <c r="G4409">
        <v>-421.30380000000002</v>
      </c>
      <c r="H4409" s="1">
        <v>-3.4005220000000001E-6</v>
      </c>
      <c r="I4409">
        <v>34.511029999999998</v>
      </c>
      <c r="J4409">
        <v>-422.57389999999998</v>
      </c>
      <c r="K4409">
        <v>1.1100410000000001</v>
      </c>
      <c r="L4409">
        <v>64.358090000000004</v>
      </c>
      <c r="M4409">
        <v>-5.674245E-2</v>
      </c>
      <c r="N4409">
        <v>0</v>
      </c>
      <c r="O4409">
        <v>-0.99829440000000003</v>
      </c>
      <c r="P4409">
        <v>0.13949039999999999</v>
      </c>
      <c r="Q4409">
        <v>3.4316529999999998E-2</v>
      </c>
      <c r="R4409">
        <v>-0.98962890000000003</v>
      </c>
      <c r="S4409">
        <v>0.1238708</v>
      </c>
      <c r="T4409">
        <v>-0.1104981</v>
      </c>
      <c r="U4409">
        <v>-3.0171199999999998</v>
      </c>
      <c r="V4409">
        <v>-0.19545860000000001</v>
      </c>
      <c r="W4409">
        <v>4.7651659999999998E-2</v>
      </c>
      <c r="X4409">
        <v>0.97955360000000002</v>
      </c>
      <c r="Y4409">
        <v>-9.7628030000000005E-2</v>
      </c>
      <c r="Z4409">
        <v>3.6407920000000003E-2</v>
      </c>
      <c r="AA4409">
        <v>0.99455680000000002</v>
      </c>
      <c r="AB4409">
        <v>33</v>
      </c>
      <c r="AC4409">
        <v>1.27009999999995</v>
      </c>
      <c r="AD4409">
        <v>-1.110044400522</v>
      </c>
      <c r="AE4409">
        <v>-29.847059999999999</v>
      </c>
      <c r="AF4409">
        <v>-2.9577246567172799</v>
      </c>
      <c r="AG4409">
        <v>-1.110044400522</v>
      </c>
      <c r="AH4409">
        <v>29.685900808112098</v>
      </c>
      <c r="AI4409">
        <v>92.130921584995306</v>
      </c>
      <c r="AJ4409">
        <v>95.689829022359604</v>
      </c>
      <c r="AK4409">
        <v>29.853526433323601</v>
      </c>
      <c r="AL4409">
        <v>87.268726688220596</v>
      </c>
      <c r="AM4409">
        <v>101.28450206598301</v>
      </c>
      <c r="AN4409">
        <v>1.0000000001438301</v>
      </c>
    </row>
    <row r="4410" spans="1:40" x14ac:dyDescent="0.25">
      <c r="A4410" t="str">
        <f>"20190312151627092"</f>
        <v>20190312151627092</v>
      </c>
      <c r="B4410" t="str">
        <f>"1552374987082082"</f>
        <v>1552374987082082</v>
      </c>
      <c r="C4410" t="s">
        <v>40</v>
      </c>
      <c r="D4410">
        <v>4.4508710000000002</v>
      </c>
      <c r="E4410">
        <v>0.53714479999999998</v>
      </c>
      <c r="F4410" t="s">
        <v>64</v>
      </c>
      <c r="G4410">
        <v>-421.28960000000001</v>
      </c>
      <c r="H4410" s="1">
        <v>-3.3618020000000002E-6</v>
      </c>
      <c r="I4410">
        <v>34.616630000000001</v>
      </c>
      <c r="J4410">
        <v>-422.59219999999999</v>
      </c>
      <c r="K4410">
        <v>1.110096</v>
      </c>
      <c r="L4410">
        <v>64.028809999999993</v>
      </c>
      <c r="M4410">
        <v>-5.628296E-2</v>
      </c>
      <c r="N4410">
        <v>0</v>
      </c>
      <c r="O4410">
        <v>-0.99832019999999999</v>
      </c>
      <c r="P4410">
        <v>0.140846</v>
      </c>
      <c r="Q4410">
        <v>3.500793E-2</v>
      </c>
      <c r="R4410">
        <v>-0.98941250000000003</v>
      </c>
      <c r="S4410">
        <v>0.13027949999999999</v>
      </c>
      <c r="T4410">
        <v>-0.1126027</v>
      </c>
      <c r="U4410">
        <v>-3.0169679999999999</v>
      </c>
      <c r="V4410">
        <v>-0.19635469999999999</v>
      </c>
      <c r="W4410">
        <v>4.8313700000000001E-2</v>
      </c>
      <c r="X4410">
        <v>0.97934189999999999</v>
      </c>
      <c r="Y4410">
        <v>-9.9279690000000004E-2</v>
      </c>
      <c r="Z4410">
        <v>3.7099050000000001E-2</v>
      </c>
      <c r="AA4410">
        <v>0.99436769999999997</v>
      </c>
      <c r="AB4410">
        <v>33</v>
      </c>
      <c r="AC4410">
        <v>1.30259999999998</v>
      </c>
      <c r="AD4410">
        <v>-1.1100993618020001</v>
      </c>
      <c r="AE4410">
        <v>-29.4121799999999</v>
      </c>
      <c r="AF4410">
        <v>-2.9518990025887302</v>
      </c>
      <c r="AG4410">
        <v>-1.1100993618020001</v>
      </c>
      <c r="AH4410">
        <v>29.250640956296799</v>
      </c>
      <c r="AI4410">
        <v>92.162432254514599</v>
      </c>
      <c r="AJ4410">
        <v>95.762631832808907</v>
      </c>
      <c r="AK4410">
        <v>29.420163573113399</v>
      </c>
      <c r="AL4410">
        <v>87.230750762820406</v>
      </c>
      <c r="AM4410">
        <v>101.337287402489</v>
      </c>
      <c r="AN4410">
        <v>0.99999996945769398</v>
      </c>
    </row>
    <row r="4411" spans="1:40" x14ac:dyDescent="0.25">
      <c r="A4411" t="str">
        <f>"20190312151627116"</f>
        <v>20190312151627116</v>
      </c>
      <c r="B4411" t="str">
        <f>"1552374987112338"</f>
        <v>1552374987112338</v>
      </c>
      <c r="C4411" t="s">
        <v>40</v>
      </c>
      <c r="D4411">
        <v>4.6601869999999996</v>
      </c>
      <c r="E4411">
        <v>0.53715800000000002</v>
      </c>
      <c r="F4411" t="s">
        <v>64</v>
      </c>
      <c r="G4411">
        <v>-421.32190000000003</v>
      </c>
      <c r="H4411" s="1">
        <v>-2.9756949999999998E-6</v>
      </c>
      <c r="I4411">
        <v>35.231160000000003</v>
      </c>
      <c r="J4411">
        <v>-422.61040000000003</v>
      </c>
      <c r="K4411">
        <v>1.1101589999999999</v>
      </c>
      <c r="L4411">
        <v>63.696319999999901</v>
      </c>
      <c r="M4411">
        <v>-5.5719039999999997E-2</v>
      </c>
      <c r="N4411">
        <v>0</v>
      </c>
      <c r="O4411">
        <v>-0.99835189999999996</v>
      </c>
      <c r="P4411">
        <v>0.142403799999999</v>
      </c>
      <c r="Q4411">
        <v>3.555693E-2</v>
      </c>
      <c r="R4411">
        <v>-0.98916979999999999</v>
      </c>
      <c r="S4411">
        <v>0.13308719999999999</v>
      </c>
      <c r="T4411">
        <v>-0.11630939999999999</v>
      </c>
      <c r="U4411">
        <v>-3.017242</v>
      </c>
      <c r="V4411">
        <v>-0.19735130000000001</v>
      </c>
      <c r="W4411">
        <v>4.8826649999999999E-2</v>
      </c>
      <c r="X4411">
        <v>0.97911610000000004</v>
      </c>
      <c r="Y4411">
        <v>-9.963524E-2</v>
      </c>
      <c r="Z4411">
        <v>3.8315399999999999E-2</v>
      </c>
      <c r="AA4411">
        <v>0.99428609999999995</v>
      </c>
      <c r="AB4411">
        <v>32</v>
      </c>
      <c r="AC4411">
        <v>1.28849999999999</v>
      </c>
      <c r="AD4411">
        <v>-1.1101619756950001</v>
      </c>
      <c r="AE4411">
        <v>-28.465160000000001</v>
      </c>
      <c r="AF4411">
        <v>-2.8683451167445999</v>
      </c>
      <c r="AG4411">
        <v>-1.1101619756950001</v>
      </c>
      <c r="AH4411">
        <v>28.30616265459</v>
      </c>
      <c r="AI4411">
        <v>92.234546211743904</v>
      </c>
      <c r="AJ4411">
        <v>95.786195659242296</v>
      </c>
      <c r="AK4411">
        <v>28.472771335947201</v>
      </c>
      <c r="AL4411">
        <v>87.201326129780696</v>
      </c>
      <c r="AM4411">
        <v>101.39588735474</v>
      </c>
      <c r="AN4411">
        <v>0.99999995732056002</v>
      </c>
    </row>
    <row r="4412" spans="1:40" x14ac:dyDescent="0.25">
      <c r="A4412" t="str">
        <f>"20190312151627138"</f>
        <v>20190312151627138</v>
      </c>
      <c r="B4412" t="str">
        <f>"1552374987132834"</f>
        <v>1552374987132834</v>
      </c>
      <c r="C4412" t="s">
        <v>40</v>
      </c>
      <c r="D4412">
        <v>4.934793</v>
      </c>
      <c r="E4412">
        <v>0.53720999999999997</v>
      </c>
      <c r="F4412" t="s">
        <v>64</v>
      </c>
      <c r="G4412">
        <v>-421.30399999999997</v>
      </c>
      <c r="H4412" s="1">
        <v>-3.0468370000000002E-6</v>
      </c>
      <c r="I4412">
        <v>35.115299999999998</v>
      </c>
      <c r="J4412">
        <v>-422.62790000000001</v>
      </c>
      <c r="K4412">
        <v>1.110236</v>
      </c>
      <c r="L4412">
        <v>63.369050000000001</v>
      </c>
      <c r="M4412">
        <v>-5.506515E-2</v>
      </c>
      <c r="N4412">
        <v>0</v>
      </c>
      <c r="O4412">
        <v>-0.99838839999999995</v>
      </c>
      <c r="P4412">
        <v>0.14372309999999999</v>
      </c>
      <c r="Q4412">
        <v>3.574517E-2</v>
      </c>
      <c r="R4412">
        <v>-0.98897259999999998</v>
      </c>
      <c r="S4412">
        <v>0.1379089</v>
      </c>
      <c r="T4412">
        <v>-0.11719640000000001</v>
      </c>
      <c r="U4412">
        <v>-3.0172119999999998</v>
      </c>
      <c r="V4412">
        <v>-0.19802500000000001</v>
      </c>
      <c r="W4412">
        <v>4.8974299999999998E-2</v>
      </c>
      <c r="X4412">
        <v>0.97897270000000003</v>
      </c>
      <c r="Y4412">
        <v>-0.1005692</v>
      </c>
      <c r="Z4412">
        <v>3.8606460000000002E-2</v>
      </c>
      <c r="AA4412">
        <v>0.99418070000000003</v>
      </c>
      <c r="AB4412">
        <v>32</v>
      </c>
      <c r="AC4412">
        <v>1.3238999999999801</v>
      </c>
      <c r="AD4412">
        <v>-1.110239046837</v>
      </c>
      <c r="AE4412">
        <v>-28.25375</v>
      </c>
      <c r="AF4412">
        <v>-2.8734073725540399</v>
      </c>
      <c r="AG4412">
        <v>-1.110239046837</v>
      </c>
      <c r="AH4412">
        <v>28.094680184266799</v>
      </c>
      <c r="AI4412">
        <v>92.2512919380776</v>
      </c>
      <c r="AJ4412">
        <v>95.839669532337595</v>
      </c>
      <c r="AK4412">
        <v>28.263052830966501</v>
      </c>
      <c r="AL4412">
        <v>87.192856296324706</v>
      </c>
      <c r="AM4412">
        <v>101.435397365021</v>
      </c>
      <c r="AN4412">
        <v>0.99999996501538901</v>
      </c>
    </row>
    <row r="4413" spans="1:40" x14ac:dyDescent="0.25">
      <c r="A4413" t="str">
        <f>"20190312151627160"</f>
        <v>20190312151627160</v>
      </c>
      <c r="B4413" t="str">
        <f>"1552374987152354"</f>
        <v>1552374987152354</v>
      </c>
      <c r="C4413" t="s">
        <v>40</v>
      </c>
      <c r="D4413">
        <v>4.5068099999999998</v>
      </c>
      <c r="E4413">
        <v>0.53855339999999996</v>
      </c>
      <c r="F4413" t="s">
        <v>64</v>
      </c>
      <c r="G4413">
        <v>-421.27019999999999</v>
      </c>
      <c r="H4413" s="1">
        <v>-3.429341E-6</v>
      </c>
      <c r="I4413">
        <v>34.414540000000002</v>
      </c>
      <c r="J4413">
        <v>-422.64449999999999</v>
      </c>
      <c r="K4413">
        <v>1.1103080000000001</v>
      </c>
      <c r="L4413">
        <v>63.054989999999997</v>
      </c>
      <c r="M4413">
        <v>-5.4359270000000001E-2</v>
      </c>
      <c r="N4413">
        <v>0</v>
      </c>
      <c r="O4413">
        <v>-0.99842710000000001</v>
      </c>
      <c r="P4413">
        <v>0.14492729999999901</v>
      </c>
      <c r="Q4413">
        <v>3.5463309999999998E-2</v>
      </c>
      <c r="R4413">
        <v>-0.98880690000000004</v>
      </c>
      <c r="S4413">
        <v>0.14147950000000001</v>
      </c>
      <c r="T4413">
        <v>-0.1156869</v>
      </c>
      <c r="U4413">
        <v>-3.0170590000000002</v>
      </c>
      <c r="V4413">
        <v>-0.1985345</v>
      </c>
      <c r="W4413">
        <v>4.8653290000000002E-2</v>
      </c>
      <c r="X4413">
        <v>0.97888549999999996</v>
      </c>
      <c r="Y4413">
        <v>-0.10104299999999999</v>
      </c>
      <c r="Z4413">
        <v>3.8112119999999999E-2</v>
      </c>
      <c r="AA4413">
        <v>0.99415180000000003</v>
      </c>
      <c r="AB4413">
        <v>32</v>
      </c>
      <c r="AC4413">
        <v>1.3743000000000001</v>
      </c>
      <c r="AD4413">
        <v>-1.1103114293409999</v>
      </c>
      <c r="AE4413">
        <v>-28.640450000000001</v>
      </c>
      <c r="AF4413">
        <v>-2.9249025273675202</v>
      </c>
      <c r="AG4413">
        <v>-1.1103114293409999</v>
      </c>
      <c r="AH4413">
        <v>28.4806771936328</v>
      </c>
      <c r="AI4413">
        <v>92.220860762887298</v>
      </c>
      <c r="AJ4413">
        <v>95.863593315965701</v>
      </c>
      <c r="AK4413">
        <v>28.6519950382629</v>
      </c>
      <c r="AL4413">
        <v>87.211270742628898</v>
      </c>
      <c r="AM4413">
        <v>101.46503572877501</v>
      </c>
      <c r="AN4413">
        <v>0.99999995621416105</v>
      </c>
    </row>
    <row r="4414" spans="1:40" x14ac:dyDescent="0.25">
      <c r="A4414" t="str">
        <f>"20190312151627182"</f>
        <v>20190312151627182</v>
      </c>
      <c r="B4414" t="str">
        <f>"1552374987172851"</f>
        <v>1552374987172851</v>
      </c>
      <c r="C4414" t="s">
        <v>40</v>
      </c>
      <c r="D4414">
        <v>4.4471600000000002</v>
      </c>
      <c r="E4414">
        <v>0.53946700000000003</v>
      </c>
      <c r="F4414" t="s">
        <v>43</v>
      </c>
      <c r="G4414">
        <v>-422.00560000000002</v>
      </c>
      <c r="H4414" s="1">
        <v>-4.4244229999999999E-6</v>
      </c>
      <c r="I4414">
        <v>48.942729999999997</v>
      </c>
      <c r="J4414">
        <v>-422.66120000000001</v>
      </c>
      <c r="K4414">
        <v>1.110382</v>
      </c>
      <c r="L4414">
        <v>62.733580000000003</v>
      </c>
      <c r="M4414">
        <v>-5.3548600000000002E-2</v>
      </c>
      <c r="N4414">
        <v>0</v>
      </c>
      <c r="O4414">
        <v>-0.99847090000000005</v>
      </c>
      <c r="P4414">
        <v>0.14632779999999901</v>
      </c>
      <c r="Q4414">
        <v>3.481149E-2</v>
      </c>
      <c r="R4414">
        <v>-0.98862360000000005</v>
      </c>
      <c r="S4414">
        <v>0.13684079999999901</v>
      </c>
      <c r="T4414">
        <v>-0.23779620000000001</v>
      </c>
      <c r="U4414">
        <v>-3.0224299999999999</v>
      </c>
      <c r="V4414">
        <v>-0.19913529999999999</v>
      </c>
      <c r="W4414">
        <v>4.7962200000000003E-2</v>
      </c>
      <c r="X4414">
        <v>0.97879760000000005</v>
      </c>
      <c r="Y4414">
        <v>-9.8524180000000003E-2</v>
      </c>
      <c r="Z4414">
        <v>7.8035370000000007E-2</v>
      </c>
      <c r="AA4414">
        <v>0.99207029999999996</v>
      </c>
      <c r="AB4414">
        <v>32</v>
      </c>
      <c r="AC4414">
        <v>0.65559999999999197</v>
      </c>
      <c r="AD4414">
        <v>-1.110386424423</v>
      </c>
      <c r="AE4414">
        <v>-13.790850000000001</v>
      </c>
      <c r="AF4414">
        <v>-1.38425579238374</v>
      </c>
      <c r="AG4414">
        <v>-1.110386424423</v>
      </c>
      <c r="AH4414">
        <v>13.647673628403799</v>
      </c>
      <c r="AI4414">
        <v>94.627748898985104</v>
      </c>
      <c r="AJ4414">
        <v>95.7915880586566</v>
      </c>
      <c r="AK4414">
        <v>13.762562173437001</v>
      </c>
      <c r="AL4414">
        <v>87.250913664291602</v>
      </c>
      <c r="AM4414">
        <v>101.499813247639</v>
      </c>
      <c r="AN4414">
        <v>0.99999999105034498</v>
      </c>
    </row>
    <row r="4415" spans="1:40" x14ac:dyDescent="0.25">
      <c r="A4415" t="str">
        <f>"20190312151627205"</f>
        <v>20190312151627205</v>
      </c>
      <c r="B4415" t="str">
        <f>"1552374987192370"</f>
        <v>1552374987192370</v>
      </c>
      <c r="C4415" t="s">
        <v>40</v>
      </c>
      <c r="D4415">
        <v>4.5320429999999998</v>
      </c>
      <c r="E4415">
        <v>0.50680409999999998</v>
      </c>
      <c r="F4415" t="s">
        <v>43</v>
      </c>
      <c r="G4415">
        <v>-421.88080000000002</v>
      </c>
      <c r="H4415" s="1">
        <v>-2.8145860000000002E-6</v>
      </c>
      <c r="I4415">
        <v>44.983440000000002</v>
      </c>
      <c r="J4415">
        <v>-422.67750000000001</v>
      </c>
      <c r="K4415">
        <v>1.1104540000000001</v>
      </c>
      <c r="L4415">
        <v>62.412599999999998</v>
      </c>
      <c r="M4415">
        <v>-5.2644290000000003E-2</v>
      </c>
      <c r="N4415">
        <v>0</v>
      </c>
      <c r="O4415">
        <v>-0.99851889999999999</v>
      </c>
      <c r="P4415">
        <v>0.147572799999999</v>
      </c>
      <c r="Q4415">
        <v>3.42388E-2</v>
      </c>
      <c r="R4415">
        <v>-0.98845879999999997</v>
      </c>
      <c r="S4415">
        <v>0.13284299999999999</v>
      </c>
      <c r="T4415">
        <v>-0.18901499999999999</v>
      </c>
      <c r="U4415">
        <v>-3.021515</v>
      </c>
      <c r="V4415">
        <v>-0.19949069999999999</v>
      </c>
      <c r="W4415">
        <v>4.7352070000000003E-2</v>
      </c>
      <c r="X4415">
        <v>0.97875489999999998</v>
      </c>
      <c r="Y4415">
        <v>-9.6375580000000002E-2</v>
      </c>
      <c r="Z4415">
        <v>6.2129209999999997E-2</v>
      </c>
      <c r="AA4415">
        <v>0.99340410000000001</v>
      </c>
      <c r="AB4415">
        <v>32</v>
      </c>
      <c r="AC4415">
        <v>0.79669999999998697</v>
      </c>
      <c r="AD4415">
        <v>-1.1104568145860001</v>
      </c>
      <c r="AE4415">
        <v>-17.4291599999999</v>
      </c>
      <c r="AF4415">
        <v>-1.70631532133213</v>
      </c>
      <c r="AG4415">
        <v>-1.1104568145860001</v>
      </c>
      <c r="AH4415">
        <v>17.292990297299902</v>
      </c>
      <c r="AI4415">
        <v>93.656454418766501</v>
      </c>
      <c r="AJ4415">
        <v>95.635186744638801</v>
      </c>
      <c r="AK4415">
        <v>17.412413380556501</v>
      </c>
      <c r="AL4415">
        <v>87.285911210125704</v>
      </c>
      <c r="AM4415">
        <v>101.52027809859401</v>
      </c>
      <c r="AN4415">
        <v>0.99999995609689096</v>
      </c>
    </row>
    <row r="4416" spans="1:40" x14ac:dyDescent="0.25">
      <c r="A4416" t="str">
        <f>"20190312151627226"</f>
        <v>20190312151627226</v>
      </c>
      <c r="B4416" t="str">
        <f>"1552374987222626"</f>
        <v>1552374987222626</v>
      </c>
      <c r="C4416" t="s">
        <v>40</v>
      </c>
      <c r="D4416">
        <v>4.4790989999999997</v>
      </c>
      <c r="E4416">
        <v>0.45248769999999999</v>
      </c>
      <c r="F4416" t="s">
        <v>64</v>
      </c>
      <c r="G4416">
        <v>-418.18209999999999</v>
      </c>
      <c r="H4416" s="1">
        <v>-7.7602670000000006E-6</v>
      </c>
      <c r="I4416">
        <v>28.283380000000001</v>
      </c>
      <c r="J4416">
        <v>-422.69299999999998</v>
      </c>
      <c r="K4416">
        <v>1.1105259999999999</v>
      </c>
      <c r="L4416">
        <v>62.099609999999998</v>
      </c>
      <c r="M4416">
        <v>-5.1672170000000003E-2</v>
      </c>
      <c r="N4416">
        <v>0</v>
      </c>
      <c r="O4416">
        <v>-0.99856959999999995</v>
      </c>
      <c r="P4416">
        <v>0.14958299999999999</v>
      </c>
      <c r="Q4416">
        <v>3.3864310000000002E-2</v>
      </c>
      <c r="R4416">
        <v>-0.98816890000000002</v>
      </c>
      <c r="S4416">
        <v>0.39248660000000002</v>
      </c>
      <c r="T4416">
        <v>-9.6953629999999999E-2</v>
      </c>
      <c r="U4416">
        <v>-2.979797</v>
      </c>
      <c r="V4416">
        <v>-0.2005372</v>
      </c>
      <c r="W4416">
        <v>4.6937689999999997E-2</v>
      </c>
      <c r="X4416">
        <v>0.97856100000000001</v>
      </c>
      <c r="Y4416">
        <v>-0.18158060000000001</v>
      </c>
      <c r="Z4416">
        <v>3.2045959999999998E-2</v>
      </c>
      <c r="AA4416">
        <v>0.9828538</v>
      </c>
      <c r="AB4416">
        <v>32</v>
      </c>
      <c r="AC4416">
        <v>4.5109000000000403</v>
      </c>
      <c r="AD4416">
        <v>-1.110533760267</v>
      </c>
      <c r="AE4416">
        <v>-33.816229999999997</v>
      </c>
      <c r="AF4416">
        <v>-6.2457774652672997</v>
      </c>
      <c r="AG4416">
        <v>-1.110533760267</v>
      </c>
      <c r="AH4416">
        <v>33.502436307664198</v>
      </c>
      <c r="AI4416">
        <v>91.866403500448797</v>
      </c>
      <c r="AJ4416">
        <v>100.56028435075299</v>
      </c>
      <c r="AK4416">
        <v>34.097745672220498</v>
      </c>
      <c r="AL4416">
        <v>87.309679911301203</v>
      </c>
      <c r="AM4416">
        <v>101.58131623139199</v>
      </c>
      <c r="AN4416">
        <v>0.99999997302368704</v>
      </c>
    </row>
    <row r="4417" spans="1:40" x14ac:dyDescent="0.25">
      <c r="A4417" t="str">
        <f>"20190312151627361"</f>
        <v>20190312151627361</v>
      </c>
      <c r="B4417" t="str">
        <f>"1552374987352434"</f>
        <v>1552374987352434</v>
      </c>
      <c r="C4417" t="s">
        <v>40</v>
      </c>
      <c r="D4417">
        <v>4.5019</v>
      </c>
      <c r="E4417">
        <v>0.43710090000000001</v>
      </c>
      <c r="F4417" t="s">
        <v>43</v>
      </c>
      <c r="G4417">
        <v>-418.20749999999998</v>
      </c>
      <c r="H4417" s="1">
        <v>-3.1796250000000001E-6</v>
      </c>
      <c r="I4417">
        <v>46.30339</v>
      </c>
      <c r="J4417">
        <v>-422.779</v>
      </c>
      <c r="K4417">
        <v>1.110941</v>
      </c>
      <c r="L4417">
        <v>60.170319999999997</v>
      </c>
      <c r="M4417">
        <v>-4.3906109999999998E-2</v>
      </c>
      <c r="N4417">
        <v>0</v>
      </c>
      <c r="O4417">
        <v>-0.99894139999999998</v>
      </c>
      <c r="P4417">
        <v>0.17361570000000001</v>
      </c>
      <c r="Q4417">
        <v>3.2444389999999997E-2</v>
      </c>
      <c r="R4417">
        <v>-0.98427929999999997</v>
      </c>
      <c r="S4417">
        <v>0.82846070000000005</v>
      </c>
      <c r="T4417">
        <v>-0.2051133</v>
      </c>
      <c r="U4417">
        <v>-2.9175420000000001</v>
      </c>
      <c r="V4417">
        <v>-0.21679960000000001</v>
      </c>
      <c r="W4417">
        <v>4.521766E-2</v>
      </c>
      <c r="X4417">
        <v>0.97516829999999999</v>
      </c>
      <c r="Y4417">
        <v>-0.31452039999999998</v>
      </c>
      <c r="Z4417">
        <v>6.6932039999999998E-2</v>
      </c>
      <c r="AA4417">
        <v>0.94688810000000001</v>
      </c>
      <c r="AB4417">
        <v>32</v>
      </c>
      <c r="AC4417">
        <v>4.5715000000000101</v>
      </c>
      <c r="AD4417">
        <v>-1.1109441796249999</v>
      </c>
      <c r="AE4417">
        <v>-13.866929999999901</v>
      </c>
      <c r="AF4417">
        <v>-5.1461987304391998</v>
      </c>
      <c r="AG4417">
        <v>-1.1109441796249999</v>
      </c>
      <c r="AH4417">
        <v>13.5742357152895</v>
      </c>
      <c r="AI4417">
        <v>94.376151921258696</v>
      </c>
      <c r="AJ4417">
        <v>110.762478093662</v>
      </c>
      <c r="AK4417">
        <v>14.5594448244999</v>
      </c>
      <c r="AL4417">
        <v>87.408335133459005</v>
      </c>
      <c r="AM4417">
        <v>102.53415649328301</v>
      </c>
      <c r="AN4417">
        <v>0.99999995833046196</v>
      </c>
    </row>
    <row r="4418" spans="1:40" x14ac:dyDescent="0.25">
      <c r="A4418" t="str">
        <f>"20190312151627382"</f>
        <v>20190312151627382</v>
      </c>
      <c r="B4418" t="str">
        <f>"1552374987371957"</f>
        <v>1552374987371957</v>
      </c>
      <c r="C4418" t="s">
        <v>40</v>
      </c>
      <c r="D4418">
        <v>4.4285699999999997</v>
      </c>
      <c r="E4418">
        <v>0.43175229999999998</v>
      </c>
      <c r="F4418" t="s">
        <v>43</v>
      </c>
      <c r="G4418">
        <v>-418.39929999999998</v>
      </c>
      <c r="H4418" s="1">
        <v>-3.7977570000000002E-6</v>
      </c>
      <c r="I4418">
        <v>47.823569999999997</v>
      </c>
      <c r="J4418">
        <v>-422.79129999999998</v>
      </c>
      <c r="K4418">
        <v>1.1110059999999999</v>
      </c>
      <c r="L4418">
        <v>59.856290000000001</v>
      </c>
      <c r="M4418">
        <v>-4.2394500000000002E-2</v>
      </c>
      <c r="N4418">
        <v>0</v>
      </c>
      <c r="O4418">
        <v>-0.99900659999999997</v>
      </c>
      <c r="P4418">
        <v>0.17855670000000001</v>
      </c>
      <c r="Q4418">
        <v>3.3302169999999999E-2</v>
      </c>
      <c r="R4418">
        <v>-0.98336599999999996</v>
      </c>
      <c r="S4418">
        <v>1.0203549999999999</v>
      </c>
      <c r="T4418">
        <v>-0.25882050000000001</v>
      </c>
      <c r="U4418">
        <v>-2.876465</v>
      </c>
      <c r="V4418">
        <v>-0.22022920000000001</v>
      </c>
      <c r="W4418">
        <v>4.6025049999999998E-2</v>
      </c>
      <c r="X4418">
        <v>0.9743617</v>
      </c>
      <c r="Y4418">
        <v>-0.37279299999999999</v>
      </c>
      <c r="Z4418">
        <v>8.3728339999999998E-2</v>
      </c>
      <c r="AA4418">
        <v>0.92412919999999998</v>
      </c>
      <c r="AB4418">
        <v>32</v>
      </c>
      <c r="AC4418">
        <v>4.3919999999999897</v>
      </c>
      <c r="AD4418">
        <v>-1.1110097977569999</v>
      </c>
      <c r="AE4418">
        <v>-12.0327199999999</v>
      </c>
      <c r="AF4418">
        <v>-4.8616457334051297</v>
      </c>
      <c r="AG4418">
        <v>-1.1110097977569999</v>
      </c>
      <c r="AH4418">
        <v>11.747310792213501</v>
      </c>
      <c r="AI4418">
        <v>94.994259071500295</v>
      </c>
      <c r="AJ4418">
        <v>112.482305816409</v>
      </c>
      <c r="AK4418">
        <v>12.7620238542601</v>
      </c>
      <c r="AL4418">
        <v>87.362026890076393</v>
      </c>
      <c r="AM4418">
        <v>102.73621899571501</v>
      </c>
      <c r="AN4418">
        <v>0.99999996409351499</v>
      </c>
    </row>
    <row r="4419" spans="1:40" x14ac:dyDescent="0.25">
      <c r="A4419" t="str">
        <f>"20190312151627405"</f>
        <v>20190312151627405</v>
      </c>
      <c r="B4419" t="str">
        <f>"1552374987402210"</f>
        <v>1552374987402210</v>
      </c>
      <c r="C4419" t="s">
        <v>40</v>
      </c>
      <c r="D4419">
        <v>4.4809890000000001</v>
      </c>
      <c r="E4419">
        <v>0.4272223</v>
      </c>
      <c r="F4419" t="s">
        <v>43</v>
      </c>
      <c r="G4419">
        <v>-418.64400000000001</v>
      </c>
      <c r="H4419" s="1">
        <v>-4.1853249999999996E-6</v>
      </c>
      <c r="I4419">
        <v>48.828159999999997</v>
      </c>
      <c r="J4419">
        <v>-422.80340000000001</v>
      </c>
      <c r="K4419">
        <v>1.11107</v>
      </c>
      <c r="L4419">
        <v>59.528469999999999</v>
      </c>
      <c r="M4419">
        <v>-4.0741050000000001E-2</v>
      </c>
      <c r="N4419">
        <v>0</v>
      </c>
      <c r="O4419">
        <v>-0.99907550000000001</v>
      </c>
      <c r="P4419">
        <v>0.18370919999999999</v>
      </c>
      <c r="Q4419">
        <v>3.3565930000000001E-2</v>
      </c>
      <c r="R4419">
        <v>-0.98240769999999999</v>
      </c>
      <c r="S4419">
        <v>1.077393</v>
      </c>
      <c r="T4419">
        <v>-0.28861920000000002</v>
      </c>
      <c r="U4419">
        <v>-2.8648989999999999</v>
      </c>
      <c r="V4419">
        <v>-0.22373199999999999</v>
      </c>
      <c r="W4419">
        <v>4.6233209999999997E-2</v>
      </c>
      <c r="X4419">
        <v>0.97355349999999996</v>
      </c>
      <c r="Y4419">
        <v>-0.38830900000000002</v>
      </c>
      <c r="Z4419">
        <v>9.3026810000000001E-2</v>
      </c>
      <c r="AA4419">
        <v>0.91682180000000002</v>
      </c>
      <c r="AB4419">
        <v>32</v>
      </c>
      <c r="AC4419">
        <v>4.1593999999999998</v>
      </c>
      <c r="AD4419">
        <v>-1.1110741853249999</v>
      </c>
      <c r="AE4419">
        <v>-10.70031</v>
      </c>
      <c r="AF4419">
        <v>-4.5493174551067197</v>
      </c>
      <c r="AG4419">
        <v>-1.1110741853249999</v>
      </c>
      <c r="AH4419">
        <v>10.4243101396562</v>
      </c>
      <c r="AI4419">
        <v>95.579376249834098</v>
      </c>
      <c r="AJ4419">
        <v>113.577142074267</v>
      </c>
      <c r="AK4419">
        <v>11.427905190382599</v>
      </c>
      <c r="AL4419">
        <v>87.350087499384799</v>
      </c>
      <c r="AM4419">
        <v>102.94240639487801</v>
      </c>
      <c r="AN4419">
        <v>0.99999996744657604</v>
      </c>
    </row>
    <row r="4420" spans="1:40" x14ac:dyDescent="0.25">
      <c r="A4420" t="str">
        <f>"20190312151627427"</f>
        <v>20190312151627427</v>
      </c>
      <c r="B4420" t="str">
        <f>"1552374987422719"</f>
        <v>1552374987422719</v>
      </c>
      <c r="C4420" t="s">
        <v>40</v>
      </c>
      <c r="D4420">
        <v>4.5205830000000002</v>
      </c>
      <c r="E4420">
        <v>0.42556860000000002</v>
      </c>
      <c r="F4420" t="s">
        <v>43</v>
      </c>
      <c r="G4420">
        <v>-419.04390000000001</v>
      </c>
      <c r="H4420" s="1">
        <v>-3.8039960000000002E-7</v>
      </c>
      <c r="I4420">
        <v>50.01831</v>
      </c>
      <c r="J4420">
        <v>-422.81470000000002</v>
      </c>
      <c r="K4420">
        <v>1.1111420000000001</v>
      </c>
      <c r="L4420">
        <v>59.210239999999999</v>
      </c>
      <c r="M4420">
        <v>-3.9055479999999997E-2</v>
      </c>
      <c r="N4420">
        <v>0</v>
      </c>
      <c r="O4420">
        <v>-0.9991428</v>
      </c>
      <c r="P4420">
        <v>0.18825410000000001</v>
      </c>
      <c r="Q4420">
        <v>3.3164329999999999E-2</v>
      </c>
      <c r="R4420">
        <v>-0.9815604</v>
      </c>
      <c r="S4420">
        <v>1.128296</v>
      </c>
      <c r="T4420">
        <v>-0.3334472</v>
      </c>
      <c r="U4420">
        <v>-2.8541259999999999</v>
      </c>
      <c r="V4420">
        <v>-0.22660330000000001</v>
      </c>
      <c r="W4420">
        <v>4.5775450000000002E-2</v>
      </c>
      <c r="X4420">
        <v>0.97291090000000002</v>
      </c>
      <c r="Y4420">
        <v>-0.40155659999999999</v>
      </c>
      <c r="Z4420">
        <v>0.1070435</v>
      </c>
      <c r="AA4420">
        <v>0.90955699999999995</v>
      </c>
      <c r="AB4420">
        <v>32</v>
      </c>
      <c r="AC4420">
        <v>3.7707999999999999</v>
      </c>
      <c r="AD4420">
        <v>-1.1111423803995999</v>
      </c>
      <c r="AE4420">
        <v>-9.1919299999999993</v>
      </c>
      <c r="AF4420">
        <v>-4.07597069954444</v>
      </c>
      <c r="AG4420">
        <v>-1.1111423803995999</v>
      </c>
      <c r="AH4420">
        <v>8.9259881480248406</v>
      </c>
      <c r="AI4420">
        <v>96.460452704919504</v>
      </c>
      <c r="AJ4420">
        <v>114.543375144598</v>
      </c>
      <c r="AK4420">
        <v>9.8752943729159206</v>
      </c>
      <c r="AL4420">
        <v>87.376343187853706</v>
      </c>
      <c r="AM4420">
        <v>103.111163798547</v>
      </c>
      <c r="AN4420">
        <v>1.0000000333662</v>
      </c>
    </row>
    <row r="4421" spans="1:40" x14ac:dyDescent="0.25">
      <c r="A4421" t="str">
        <f>"20190312151627449"</f>
        <v>20190312151627449</v>
      </c>
      <c r="B4421" t="str">
        <f>"1552374987442226"</f>
        <v>1552374987442226</v>
      </c>
      <c r="C4421" t="s">
        <v>40</v>
      </c>
      <c r="D4421">
        <v>4.4691029999999996</v>
      </c>
      <c r="E4421">
        <v>0.42454570000000003</v>
      </c>
      <c r="F4421" t="s">
        <v>43</v>
      </c>
      <c r="G4421">
        <v>-419.20339999999999</v>
      </c>
      <c r="H4421" s="1">
        <v>-4.3598670000000002E-7</v>
      </c>
      <c r="I4421">
        <v>50.30641</v>
      </c>
      <c r="J4421">
        <v>-422.82499999999999</v>
      </c>
      <c r="K4421">
        <v>1.1112150000000001</v>
      </c>
      <c r="L4421">
        <v>58.90063</v>
      </c>
      <c r="M4421">
        <v>-3.733065E-2</v>
      </c>
      <c r="N4421">
        <v>0</v>
      </c>
      <c r="O4421">
        <v>-0.99920869999999995</v>
      </c>
      <c r="P4421">
        <v>0.1921467</v>
      </c>
      <c r="Q4421">
        <v>3.267627E-2</v>
      </c>
      <c r="R4421">
        <v>-0.98082230000000004</v>
      </c>
      <c r="S4421">
        <v>1.154663</v>
      </c>
      <c r="T4421">
        <v>-0.35527439999999999</v>
      </c>
      <c r="U4421">
        <v>-2.8468930000000001</v>
      </c>
      <c r="V4421">
        <v>-0.2287912</v>
      </c>
      <c r="W4421">
        <v>4.5233379999999997E-2</v>
      </c>
      <c r="X4421">
        <v>0.97242399999999996</v>
      </c>
      <c r="Y4421">
        <v>-0.40772720000000001</v>
      </c>
      <c r="Z4421">
        <v>0.1138813</v>
      </c>
      <c r="AA4421">
        <v>0.90597439999999996</v>
      </c>
      <c r="AB4421">
        <v>32</v>
      </c>
      <c r="AC4421">
        <v>3.6215999999999999</v>
      </c>
      <c r="AD4421">
        <v>-1.1112154359866999</v>
      </c>
      <c r="AE4421">
        <v>-8.59422</v>
      </c>
      <c r="AF4421">
        <v>-3.8847812762901301</v>
      </c>
      <c r="AG4421">
        <v>-1.1112154359866999</v>
      </c>
      <c r="AH4421">
        <v>8.3346920656637007</v>
      </c>
      <c r="AI4421">
        <v>96.890349256368097</v>
      </c>
      <c r="AJ4421">
        <v>114.990120749544</v>
      </c>
      <c r="AK4421">
        <v>9.2624735972215895</v>
      </c>
      <c r="AL4421">
        <v>87.407433509538194</v>
      </c>
      <c r="AM4421">
        <v>103.239713338163</v>
      </c>
      <c r="AN4421">
        <v>0.99999995381983098</v>
      </c>
    </row>
    <row r="4422" spans="1:40" x14ac:dyDescent="0.25">
      <c r="A4422" t="str">
        <f>"20190312151627472"</f>
        <v>20190312151627472</v>
      </c>
      <c r="B4422" t="str">
        <f>"1552374987462722"</f>
        <v>1552374987462722</v>
      </c>
      <c r="C4422" t="s">
        <v>40</v>
      </c>
      <c r="D4422">
        <v>4.6036510000000002</v>
      </c>
      <c r="E4422">
        <v>0.42350270000000001</v>
      </c>
      <c r="F4422" t="s">
        <v>43</v>
      </c>
      <c r="G4422">
        <v>-419.161</v>
      </c>
      <c r="H4422" s="1">
        <v>-3.5642670000000002E-7</v>
      </c>
      <c r="I4422">
        <v>50.039439999999999</v>
      </c>
      <c r="J4422">
        <v>-422.83510000000001</v>
      </c>
      <c r="K4422">
        <v>1.111291</v>
      </c>
      <c r="L4422">
        <v>58.581789999999998</v>
      </c>
      <c r="M4422">
        <v>-3.5460909999999998E-2</v>
      </c>
      <c r="N4422">
        <v>0</v>
      </c>
      <c r="O4422">
        <v>-0.99927670000000002</v>
      </c>
      <c r="P4422">
        <v>0.19532749999999999</v>
      </c>
      <c r="Q4422">
        <v>3.2186899999999997E-2</v>
      </c>
      <c r="R4422">
        <v>-0.98020980000000002</v>
      </c>
      <c r="S4422">
        <v>1.1745000000000001</v>
      </c>
      <c r="T4422">
        <v>-0.35619600000000001</v>
      </c>
      <c r="U4422">
        <v>-2.8404240000000001</v>
      </c>
      <c r="V4422">
        <v>-0.2301339</v>
      </c>
      <c r="W4422">
        <v>4.4691759999999997E-2</v>
      </c>
      <c r="X4422">
        <v>0.9721322</v>
      </c>
      <c r="Y4422">
        <v>-0.41213889999999997</v>
      </c>
      <c r="Z4422">
        <v>0.1141602</v>
      </c>
      <c r="AA4422">
        <v>0.90394079999999999</v>
      </c>
      <c r="AB4422">
        <v>32</v>
      </c>
      <c r="AC4422">
        <v>3.6741000000000001</v>
      </c>
      <c r="AD4422">
        <v>-1.1112913564267</v>
      </c>
      <c r="AE4422">
        <v>-8.5423500000000008</v>
      </c>
      <c r="AF4422">
        <v>-3.9187693111894002</v>
      </c>
      <c r="AG4422">
        <v>-1.1112913564267</v>
      </c>
      <c r="AH4422">
        <v>8.2883042722699507</v>
      </c>
      <c r="AI4422">
        <v>96.911320822235496</v>
      </c>
      <c r="AJ4422">
        <v>115.305118016603</v>
      </c>
      <c r="AK4422">
        <v>9.2351344929522696</v>
      </c>
      <c r="AL4422">
        <v>87.438497559546406</v>
      </c>
      <c r="AM4422">
        <v>103.318507397676</v>
      </c>
      <c r="AN4422">
        <v>0.99999998980897298</v>
      </c>
    </row>
    <row r="4423" spans="1:40" x14ac:dyDescent="0.25">
      <c r="A4423" t="str">
        <f>"20190312151627495"</f>
        <v>20190312151627495</v>
      </c>
      <c r="B4423" t="str">
        <f>"1552374987492002"</f>
        <v>1552374987492002</v>
      </c>
      <c r="C4423" t="s">
        <v>40</v>
      </c>
      <c r="D4423">
        <v>4.3847189999999996</v>
      </c>
      <c r="E4423">
        <v>0.42305490000000001</v>
      </c>
      <c r="F4423" t="s">
        <v>43</v>
      </c>
      <c r="G4423">
        <v>-419.2713</v>
      </c>
      <c r="H4423" s="1">
        <v>-3.4977510000000001E-7</v>
      </c>
      <c r="I4423">
        <v>50.106119999999997</v>
      </c>
      <c r="J4423">
        <v>-422.84449999999998</v>
      </c>
      <c r="K4423">
        <v>1.1113729999999999</v>
      </c>
      <c r="L4423">
        <v>58.254669999999997</v>
      </c>
      <c r="M4423">
        <v>-3.343132E-2</v>
      </c>
      <c r="N4423">
        <v>0</v>
      </c>
      <c r="O4423">
        <v>-0.99934670000000003</v>
      </c>
      <c r="P4423">
        <v>0.19855120000000001</v>
      </c>
      <c r="Q4423">
        <v>3.2030000000000003E-2</v>
      </c>
      <c r="R4423">
        <v>-0.97956719999999997</v>
      </c>
      <c r="S4423">
        <v>1.1921389999999901</v>
      </c>
      <c r="T4423">
        <v>-0.3717433</v>
      </c>
      <c r="U4423">
        <v>-2.8352360000000001</v>
      </c>
      <c r="V4423">
        <v>-0.2313675</v>
      </c>
      <c r="W4423">
        <v>4.4479779999999997E-2</v>
      </c>
      <c r="X4423">
        <v>0.97184910000000002</v>
      </c>
      <c r="Y4423">
        <v>-0.41543819999999998</v>
      </c>
      <c r="Z4423">
        <v>0.11904960000000001</v>
      </c>
      <c r="AA4423">
        <v>0.90179730000000002</v>
      </c>
      <c r="AB4423">
        <v>32</v>
      </c>
      <c r="AC4423">
        <v>3.5731999999999799</v>
      </c>
      <c r="AD4423">
        <v>-1.1113733497750999</v>
      </c>
      <c r="AE4423">
        <v>-8.1485499999999895</v>
      </c>
      <c r="AF4423">
        <v>-3.7845977687610501</v>
      </c>
      <c r="AG4423">
        <v>-1.1113733497750999</v>
      </c>
      <c r="AH4423">
        <v>7.9012515557915499</v>
      </c>
      <c r="AI4423">
        <v>97.229720475408001</v>
      </c>
      <c r="AJ4423">
        <v>115.593820864668</v>
      </c>
      <c r="AK4423">
        <v>8.8310875401504099</v>
      </c>
      <c r="AL4423">
        <v>87.450655291277897</v>
      </c>
      <c r="AM4423">
        <v>103.391094960629</v>
      </c>
      <c r="AN4423">
        <v>1.0000000220279499</v>
      </c>
    </row>
    <row r="4424" spans="1:40" x14ac:dyDescent="0.25">
      <c r="A4424" t="str">
        <f>"20190312151627517"</f>
        <v>20190312151627517</v>
      </c>
      <c r="B4424" t="str">
        <f>"1552374987512498"</f>
        <v>1552374987512498</v>
      </c>
      <c r="C4424" t="s">
        <v>40</v>
      </c>
      <c r="D4424">
        <v>4.547282</v>
      </c>
      <c r="E4424">
        <v>0.42296830000000002</v>
      </c>
      <c r="F4424" t="s">
        <v>41</v>
      </c>
      <c r="G4424">
        <v>-422.42110000000002</v>
      </c>
      <c r="H4424">
        <v>0.97840490000000002</v>
      </c>
      <c r="I4424">
        <v>57.259779999999999</v>
      </c>
      <c r="J4424">
        <v>-422.85300000000001</v>
      </c>
      <c r="K4424">
        <v>1.111456</v>
      </c>
      <c r="L4424">
        <v>57.93826</v>
      </c>
      <c r="M4424">
        <v>-3.1368100000000003E-2</v>
      </c>
      <c r="N4424">
        <v>0</v>
      </c>
      <c r="O4424">
        <v>-0.99941349999999995</v>
      </c>
      <c r="P4424">
        <v>0.20131389999999999</v>
      </c>
      <c r="Q4424">
        <v>3.181175E-2</v>
      </c>
      <c r="R4424">
        <v>-0.97901009999999999</v>
      </c>
      <c r="S4424">
        <v>1.2046809999999999</v>
      </c>
      <c r="T4424">
        <v>-0.37833139999999998</v>
      </c>
      <c r="U4424">
        <v>-2.8307500000000001</v>
      </c>
      <c r="V4424">
        <v>-0.2321107</v>
      </c>
      <c r="W4424">
        <v>4.4212540000000002E-2</v>
      </c>
      <c r="X4424">
        <v>0.97168399999999999</v>
      </c>
      <c r="Y4424">
        <v>-0.41736129999999999</v>
      </c>
      <c r="Z4424">
        <v>0.1211576</v>
      </c>
      <c r="AA4424">
        <v>0.90062779999999998</v>
      </c>
      <c r="AB4424">
        <v>32</v>
      </c>
      <c r="AC4424">
        <v>0.43189999999998402</v>
      </c>
      <c r="AD4424">
        <v>-0.13305109999999901</v>
      </c>
      <c r="AE4424">
        <v>-0.67847999999999298</v>
      </c>
      <c r="AF4424">
        <v>-0.44090603575748399</v>
      </c>
      <c r="AG4424">
        <v>-0.13305109999999901</v>
      </c>
      <c r="AH4424">
        <v>0.64689372614388596</v>
      </c>
      <c r="AI4424">
        <v>99.645549753903694</v>
      </c>
      <c r="AJ4424">
        <v>124.277330713154</v>
      </c>
      <c r="AK4424">
        <v>0.79408577653985901</v>
      </c>
      <c r="AL4424">
        <v>87.465981937976096</v>
      </c>
      <c r="AM4424">
        <v>103.43475294735499</v>
      </c>
      <c r="AN4424">
        <v>0.99999996080187004</v>
      </c>
    </row>
    <row r="4425" spans="1:40" x14ac:dyDescent="0.25">
      <c r="A4425" t="str">
        <f>"20190312151627539"</f>
        <v>20190312151627539</v>
      </c>
      <c r="B4425" t="str">
        <f>"1552374987532018"</f>
        <v>1552374987532018</v>
      </c>
      <c r="C4425" t="s">
        <v>40</v>
      </c>
      <c r="D4425">
        <v>4.5343339999999897</v>
      </c>
      <c r="E4425">
        <v>0.42286030000000002</v>
      </c>
      <c r="F4425" t="s">
        <v>41</v>
      </c>
      <c r="G4425">
        <v>-422.4393</v>
      </c>
      <c r="H4425">
        <v>0.98432589999999998</v>
      </c>
      <c r="I4425">
        <v>56.974150000000002</v>
      </c>
      <c r="J4425">
        <v>-422.86079999999998</v>
      </c>
      <c r="K4425">
        <v>1.1115189999999999</v>
      </c>
      <c r="L4425">
        <v>57.617220000000003</v>
      </c>
      <c r="M4425">
        <v>-2.9194109999999999E-2</v>
      </c>
      <c r="N4425">
        <v>0</v>
      </c>
      <c r="O4425">
        <v>-0.99947949999999997</v>
      </c>
      <c r="P4425">
        <v>0.20408019999999999</v>
      </c>
      <c r="Q4425">
        <v>3.1379490000000003E-2</v>
      </c>
      <c r="R4425">
        <v>-0.97845130000000002</v>
      </c>
      <c r="S4425">
        <v>1.2135309999999999</v>
      </c>
      <c r="T4425">
        <v>-0.37275910000000001</v>
      </c>
      <c r="U4425">
        <v>-2.8269039999999999</v>
      </c>
      <c r="V4425">
        <v>-0.2327494</v>
      </c>
      <c r="W4425">
        <v>4.3737110000000003E-2</v>
      </c>
      <c r="X4425">
        <v>0.97155279999999999</v>
      </c>
      <c r="Y4425">
        <v>-0.41829430000000001</v>
      </c>
      <c r="Z4425">
        <v>0.1194648</v>
      </c>
      <c r="AA4425">
        <v>0.90042099999999903</v>
      </c>
      <c r="AB4425">
        <v>32</v>
      </c>
      <c r="AC4425">
        <v>0.42149999999998</v>
      </c>
      <c r="AD4425">
        <v>-0.1271931</v>
      </c>
      <c r="AE4425">
        <v>-0.64306999999999404</v>
      </c>
      <c r="AF4425">
        <v>-0.428373588706421</v>
      </c>
      <c r="AG4425">
        <v>-0.1271931</v>
      </c>
      <c r="AH4425">
        <v>0.61369572981884402</v>
      </c>
      <c r="AI4425">
        <v>99.645247236919005</v>
      </c>
      <c r="AJ4425">
        <v>124.915917766386</v>
      </c>
      <c r="AK4425">
        <v>0.75914719586303703</v>
      </c>
      <c r="AL4425">
        <v>87.493248623356095</v>
      </c>
      <c r="AM4425">
        <v>103.47212864864299</v>
      </c>
      <c r="AN4425">
        <v>1.0000000305896699</v>
      </c>
    </row>
    <row r="4426" spans="1:40" x14ac:dyDescent="0.25">
      <c r="A4426" t="str">
        <f>"20190312151627561"</f>
        <v>20190312151627561</v>
      </c>
      <c r="B4426" t="str">
        <f>"1552374987552514"</f>
        <v>1552374987552514</v>
      </c>
      <c r="C4426" t="s">
        <v>40</v>
      </c>
      <c r="D4426">
        <v>4.5147820000000003</v>
      </c>
      <c r="E4426">
        <v>0.42260930000000002</v>
      </c>
      <c r="F4426" t="s">
        <v>41</v>
      </c>
      <c r="G4426">
        <v>-422.45859999999999</v>
      </c>
      <c r="H4426">
        <v>0.99025110000000005</v>
      </c>
      <c r="I4426">
        <v>56.688400000000001</v>
      </c>
      <c r="J4426">
        <v>-422.86770000000001</v>
      </c>
      <c r="K4426">
        <v>1.111578</v>
      </c>
      <c r="L4426">
        <v>57.306699999999999</v>
      </c>
      <c r="M4426">
        <v>-2.7019250000000002E-2</v>
      </c>
      <c r="N4426">
        <v>0</v>
      </c>
      <c r="O4426">
        <v>-0.99954069999999995</v>
      </c>
      <c r="P4426">
        <v>0.20626140000000001</v>
      </c>
      <c r="Q4426">
        <v>3.084812E-2</v>
      </c>
      <c r="R4426">
        <v>-0.97801059999999995</v>
      </c>
      <c r="S4426">
        <v>1.2221679999999999</v>
      </c>
      <c r="T4426">
        <v>-0.36856169999999999</v>
      </c>
      <c r="U4426">
        <v>-2.8229679999999999</v>
      </c>
      <c r="V4426">
        <v>-0.2328065</v>
      </c>
      <c r="W4426">
        <v>4.317211E-2</v>
      </c>
      <c r="X4426">
        <v>0.97156439999999999</v>
      </c>
      <c r="Y4426">
        <v>-0.4191588</v>
      </c>
      <c r="Z4426">
        <v>0.1182088</v>
      </c>
      <c r="AA4426">
        <v>0.90018480000000001</v>
      </c>
      <c r="AB4426">
        <v>32</v>
      </c>
      <c r="AC4426">
        <v>0.409100000000023</v>
      </c>
      <c r="AD4426">
        <v>-0.121326899999999</v>
      </c>
      <c r="AE4426">
        <v>-0.61829999999999696</v>
      </c>
      <c r="AF4426">
        <v>-0.41455608943507399</v>
      </c>
      <c r="AG4426">
        <v>-0.121326899999999</v>
      </c>
      <c r="AH4426">
        <v>0.591187202436533</v>
      </c>
      <c r="AI4426">
        <v>99.538346495524493</v>
      </c>
      <c r="AJ4426">
        <v>125.039153480558</v>
      </c>
      <c r="AK4426">
        <v>0.73217434827781702</v>
      </c>
      <c r="AL4426">
        <v>87.525651370137496</v>
      </c>
      <c r="AM4426">
        <v>103.475158198367</v>
      </c>
      <c r="AN4426">
        <v>1.0000000404357301</v>
      </c>
    </row>
    <row r="4427" spans="1:40" x14ac:dyDescent="0.25">
      <c r="A4427" t="str">
        <f>"20190312151627584"</f>
        <v>20190312151627584</v>
      </c>
      <c r="B4427" t="str">
        <f>"1552374987582770"</f>
        <v>1552374987582770</v>
      </c>
      <c r="C4427" t="s">
        <v>40</v>
      </c>
      <c r="D4427">
        <v>4.5166469999999999</v>
      </c>
      <c r="E4427">
        <v>0.42252400000000001</v>
      </c>
      <c r="F4427" t="s">
        <v>41</v>
      </c>
      <c r="G4427">
        <v>-422.4665</v>
      </c>
      <c r="H4427">
        <v>0.99079450000000002</v>
      </c>
      <c r="I4427">
        <v>56.386659999999999</v>
      </c>
      <c r="J4427">
        <v>-422.8741</v>
      </c>
      <c r="K4427">
        <v>1.1116220000000001</v>
      </c>
      <c r="L4427">
        <v>56.979489999999998</v>
      </c>
      <c r="M4427">
        <v>-2.4657539999999999E-2</v>
      </c>
      <c r="N4427">
        <v>0</v>
      </c>
      <c r="O4427">
        <v>-0.99960150000000003</v>
      </c>
      <c r="P4427">
        <v>0.20848420000000001</v>
      </c>
      <c r="Q4427">
        <v>3.020865E-2</v>
      </c>
      <c r="R4427">
        <v>-0.97755919999999996</v>
      </c>
      <c r="S4427">
        <v>1.230164</v>
      </c>
      <c r="T4427">
        <v>-0.37017260000000002</v>
      </c>
      <c r="U4427">
        <v>-2.8197019999999999</v>
      </c>
      <c r="V4427">
        <v>-0.2327234</v>
      </c>
      <c r="W4427">
        <v>4.250135E-2</v>
      </c>
      <c r="X4427">
        <v>0.97161379999999997</v>
      </c>
      <c r="Y4427">
        <v>-0.41951699999999997</v>
      </c>
      <c r="Z4427">
        <v>0.1187796</v>
      </c>
      <c r="AA4427">
        <v>0.89994280000000004</v>
      </c>
      <c r="AB4427">
        <v>32</v>
      </c>
      <c r="AC4427">
        <v>0.40760000000000202</v>
      </c>
      <c r="AD4427">
        <v>-0.12082749999999901</v>
      </c>
      <c r="AE4427">
        <v>-0.59283000000000596</v>
      </c>
      <c r="AF4427">
        <v>-0.41051592611176801</v>
      </c>
      <c r="AG4427">
        <v>-0.12082749999999901</v>
      </c>
      <c r="AH4427">
        <v>0.56661608055448998</v>
      </c>
      <c r="AI4427">
        <v>99.797510561846707</v>
      </c>
      <c r="AJ4427">
        <v>125.92350040642501</v>
      </c>
      <c r="AK4427">
        <v>0.71005379591308804</v>
      </c>
      <c r="AL4427">
        <v>87.5641182021932</v>
      </c>
      <c r="AM4427">
        <v>103.469863654717</v>
      </c>
      <c r="AN4427">
        <v>0.99999996100490995</v>
      </c>
    </row>
    <row r="4428" spans="1:40" x14ac:dyDescent="0.25">
      <c r="A4428" t="str">
        <f>"20190312151627606"</f>
        <v>20190312151627606</v>
      </c>
      <c r="B4428" t="str">
        <f>"1552374987602291"</f>
        <v>1552374987602291</v>
      </c>
      <c r="C4428" t="s">
        <v>40</v>
      </c>
      <c r="D4428">
        <v>4.5517200000000004</v>
      </c>
      <c r="E4428">
        <v>0.42236960000000001</v>
      </c>
      <c r="F4428" t="s">
        <v>41</v>
      </c>
      <c r="G4428">
        <v>-422.4554</v>
      </c>
      <c r="H4428">
        <v>0.98531409999999997</v>
      </c>
      <c r="I4428">
        <v>56.025959999999998</v>
      </c>
      <c r="J4428">
        <v>-422.8793</v>
      </c>
      <c r="K4428">
        <v>1.1116680000000001</v>
      </c>
      <c r="L4428">
        <v>56.676450000000003</v>
      </c>
      <c r="M4428">
        <v>-2.2417650000000001E-2</v>
      </c>
      <c r="N4428">
        <v>0</v>
      </c>
      <c r="O4428">
        <v>-0.99965420000000005</v>
      </c>
      <c r="P4428">
        <v>0.2110341</v>
      </c>
      <c r="Q4428">
        <v>2.9972450000000001E-2</v>
      </c>
      <c r="R4428">
        <v>-0.97701930000000003</v>
      </c>
      <c r="S4428">
        <v>1.2373959999999999</v>
      </c>
      <c r="T4428">
        <v>-0.37307560000000001</v>
      </c>
      <c r="U4428">
        <v>-2.8164980000000002</v>
      </c>
      <c r="V4428">
        <v>-0.2330855</v>
      </c>
      <c r="W4428">
        <v>4.2235990000000001E-2</v>
      </c>
      <c r="X4428">
        <v>0.97153860000000003</v>
      </c>
      <c r="Y4428">
        <v>-0.41975319999999999</v>
      </c>
      <c r="Z4428">
        <v>0.1197645</v>
      </c>
      <c r="AA4428">
        <v>0.899702</v>
      </c>
      <c r="AB4428">
        <v>32</v>
      </c>
      <c r="AC4428">
        <v>0.423900000000003</v>
      </c>
      <c r="AD4428">
        <v>-0.12635389999999999</v>
      </c>
      <c r="AE4428">
        <v>-0.65049000000000401</v>
      </c>
      <c r="AF4428">
        <v>-0.42706684771098502</v>
      </c>
      <c r="AG4428">
        <v>-0.12635389999999999</v>
      </c>
      <c r="AH4428">
        <v>0.62428908522547699</v>
      </c>
      <c r="AI4428">
        <v>99.483636733409497</v>
      </c>
      <c r="AJ4428">
        <v>124.37544870187099</v>
      </c>
      <c r="AK4428">
        <v>0.76686912989810196</v>
      </c>
      <c r="AL4428">
        <v>87.579335946449604</v>
      </c>
      <c r="AM4428">
        <v>103.49106231126299</v>
      </c>
      <c r="AN4428">
        <v>0.99999999022574504</v>
      </c>
    </row>
    <row r="4429" spans="1:40" x14ac:dyDescent="0.25">
      <c r="A4429" t="str">
        <f>"20190312151627628"</f>
        <v>20190312151627628</v>
      </c>
      <c r="B4429" t="str">
        <f>"1552374987622803"</f>
        <v>1552374987622803</v>
      </c>
      <c r="C4429" t="s">
        <v>40</v>
      </c>
      <c r="D4429">
        <v>4.5672110000000004</v>
      </c>
      <c r="E4429">
        <v>0.42211189999999998</v>
      </c>
      <c r="F4429" t="s">
        <v>43</v>
      </c>
      <c r="G4429">
        <v>-419.19369999999998</v>
      </c>
      <c r="H4429" s="1">
        <v>-3.8846769999999998E-6</v>
      </c>
      <c r="I4429">
        <v>48.354660000000003</v>
      </c>
      <c r="J4429">
        <v>-422.88400000000001</v>
      </c>
      <c r="K4429">
        <v>1.1117140000000001</v>
      </c>
      <c r="L4429">
        <v>56.355829999999997</v>
      </c>
      <c r="M4429">
        <v>-2.0004399999999999E-2</v>
      </c>
      <c r="N4429">
        <v>0</v>
      </c>
      <c r="O4429">
        <v>-0.99970570000000003</v>
      </c>
      <c r="P4429">
        <v>0.2133507</v>
      </c>
      <c r="Q4429">
        <v>2.8964239999999999E-2</v>
      </c>
      <c r="R4429">
        <v>-0.97654640000000004</v>
      </c>
      <c r="S4429">
        <v>1.245819</v>
      </c>
      <c r="T4429">
        <v>-0.37577490000000002</v>
      </c>
      <c r="U4429">
        <v>-2.8129879999999998</v>
      </c>
      <c r="V4429">
        <v>-0.23304510000000001</v>
      </c>
      <c r="W4429">
        <v>4.1203579999999997E-2</v>
      </c>
      <c r="X4429">
        <v>0.97159269999999998</v>
      </c>
      <c r="Y4429">
        <v>-0.42018909999999998</v>
      </c>
      <c r="Z4429">
        <v>0.1206812</v>
      </c>
      <c r="AA4429">
        <v>0.89937599999999995</v>
      </c>
      <c r="AB4429">
        <v>32</v>
      </c>
      <c r="AC4429">
        <v>3.6903000000000299</v>
      </c>
      <c r="AD4429">
        <v>-1.1117178846769999</v>
      </c>
      <c r="AE4429">
        <v>-8.0011700000000001</v>
      </c>
      <c r="AF4429">
        <v>-3.7893123986649102</v>
      </c>
      <c r="AG4429">
        <v>-1.1117178846769999</v>
      </c>
      <c r="AH4429">
        <v>7.8015453348114603</v>
      </c>
      <c r="AI4429">
        <v>97.304326530965298</v>
      </c>
      <c r="AJ4429">
        <v>115.906450828331</v>
      </c>
      <c r="AK4429">
        <v>8.7440788377567191</v>
      </c>
      <c r="AL4429">
        <v>87.638540406273506</v>
      </c>
      <c r="AM4429">
        <v>103.488085765835</v>
      </c>
      <c r="AN4429">
        <v>1.00000006416605</v>
      </c>
    </row>
    <row r="4430" spans="1:40" x14ac:dyDescent="0.25">
      <c r="A4430" t="str">
        <f>"20190312151627651"</f>
        <v>20190312151627651</v>
      </c>
      <c r="B4430" t="str">
        <f>"1552374987642306"</f>
        <v>1552374987642306</v>
      </c>
      <c r="C4430" t="s">
        <v>40</v>
      </c>
      <c r="D4430">
        <v>4.6838670000000002</v>
      </c>
      <c r="E4430">
        <v>0.42282439999999999</v>
      </c>
      <c r="F4430" t="s">
        <v>43</v>
      </c>
      <c r="G4430">
        <v>-419.22140000000002</v>
      </c>
      <c r="H4430" s="1">
        <v>-3.7951330000000002E-6</v>
      </c>
      <c r="I4430">
        <v>48.157389999999999</v>
      </c>
      <c r="J4430">
        <v>-422.88780000000003</v>
      </c>
      <c r="K4430">
        <v>1.1117549999999901</v>
      </c>
      <c r="L4430">
        <v>56.042909999999999</v>
      </c>
      <c r="M4430">
        <v>-1.7617689999999998E-2</v>
      </c>
      <c r="N4430">
        <v>0</v>
      </c>
      <c r="O4430">
        <v>-0.99975040000000004</v>
      </c>
      <c r="P4430">
        <v>0.2159373</v>
      </c>
      <c r="Q4430">
        <v>2.8805009999999999E-2</v>
      </c>
      <c r="R4430">
        <v>-0.97598249999999998</v>
      </c>
      <c r="S4430">
        <v>1.254974</v>
      </c>
      <c r="T4430">
        <v>-0.3809266</v>
      </c>
      <c r="U4430">
        <v>-2.8091740000000001</v>
      </c>
      <c r="V4430">
        <v>-0.23330210000000001</v>
      </c>
      <c r="W4430">
        <v>4.1022540000000003E-2</v>
      </c>
      <c r="X4430">
        <v>0.97153860000000003</v>
      </c>
      <c r="Y4430">
        <v>-0.42084080000000001</v>
      </c>
      <c r="Z4430">
        <v>0.1223711</v>
      </c>
      <c r="AA4430">
        <v>0.89884279999999905</v>
      </c>
      <c r="AB4430">
        <v>32</v>
      </c>
      <c r="AC4430">
        <v>3.6663999999999999</v>
      </c>
      <c r="AD4430">
        <v>-1.1117587951329999</v>
      </c>
      <c r="AE4430">
        <v>-7.8855199999999996</v>
      </c>
      <c r="AF4430">
        <v>-3.74358298134492</v>
      </c>
      <c r="AG4430">
        <v>-1.1117587951329999</v>
      </c>
      <c r="AH4430">
        <v>7.6939454149679696</v>
      </c>
      <c r="AI4430">
        <v>97.403176131623795</v>
      </c>
      <c r="AJ4430">
        <v>115.945803088359</v>
      </c>
      <c r="AK4430">
        <v>8.6282800838450697</v>
      </c>
      <c r="AL4430">
        <v>87.648921824885704</v>
      </c>
      <c r="AM4430">
        <v>103.50314029951799</v>
      </c>
      <c r="AN4430">
        <v>0.99999998497121001</v>
      </c>
    </row>
    <row r="4431" spans="1:40" x14ac:dyDescent="0.25">
      <c r="A4431" t="str">
        <f>"20190312151627673"</f>
        <v>20190312151627673</v>
      </c>
      <c r="B4431" t="str">
        <f>"1552374987662803"</f>
        <v>1552374987662803</v>
      </c>
      <c r="C4431" t="s">
        <v>40</v>
      </c>
      <c r="D4431">
        <v>5.0916930000000002</v>
      </c>
      <c r="E4431">
        <v>0.47459420000000002</v>
      </c>
      <c r="F4431" t="s">
        <v>43</v>
      </c>
      <c r="G4431">
        <v>-419.2253</v>
      </c>
      <c r="H4431" s="1">
        <v>-3.6679359999999998E-6</v>
      </c>
      <c r="I4431">
        <v>47.862470000000002</v>
      </c>
      <c r="J4431">
        <v>-422.89089999999999</v>
      </c>
      <c r="K4431">
        <v>1.1117809999999999</v>
      </c>
      <c r="L4431">
        <v>55.726719999999901</v>
      </c>
      <c r="M4431">
        <v>-1.518449E-2</v>
      </c>
      <c r="N4431">
        <v>0</v>
      </c>
      <c r="O4431">
        <v>-0.99979070000000003</v>
      </c>
      <c r="P4431">
        <v>0.21884870000000001</v>
      </c>
      <c r="Q4431">
        <v>2.8527710000000001E-2</v>
      </c>
      <c r="R4431">
        <v>-0.97534240000000005</v>
      </c>
      <c r="S4431">
        <v>1.256775</v>
      </c>
      <c r="T4431">
        <v>-0.38148929999999998</v>
      </c>
      <c r="U4431">
        <v>-2.8070369999999998</v>
      </c>
      <c r="V4431">
        <v>-0.2338385</v>
      </c>
      <c r="W4431">
        <v>4.072667E-2</v>
      </c>
      <c r="X4431">
        <v>0.97142209999999996</v>
      </c>
      <c r="Y4431">
        <v>-0.41935689999999998</v>
      </c>
      <c r="Z4431">
        <v>0.12266970000000001</v>
      </c>
      <c r="AA4431">
        <v>0.89949539999999994</v>
      </c>
      <c r="AB4431">
        <v>32</v>
      </c>
      <c r="AC4431">
        <v>3.66559999999998</v>
      </c>
      <c r="AD4431">
        <v>-1.1117846679359999</v>
      </c>
      <c r="AE4431">
        <v>-7.8642499999999904</v>
      </c>
      <c r="AF4431">
        <v>-3.7234679013534699</v>
      </c>
      <c r="AG4431">
        <v>-1.1117846679359999</v>
      </c>
      <c r="AH4431">
        <v>7.6815549446717597</v>
      </c>
      <c r="AI4431">
        <v>97.420441260238405</v>
      </c>
      <c r="AJ4431">
        <v>115.860786129502</v>
      </c>
      <c r="AK4431">
        <v>8.6085169877440801</v>
      </c>
      <c r="AL4431">
        <v>87.665888144028997</v>
      </c>
      <c r="AM4431">
        <v>103.5346088986</v>
      </c>
      <c r="AN4431">
        <v>1.0000000010499701</v>
      </c>
    </row>
    <row r="4432" spans="1:40" x14ac:dyDescent="0.25">
      <c r="A4432" t="str">
        <f>"20190312151627695"</f>
        <v>20190312151627695</v>
      </c>
      <c r="B4432" t="str">
        <f>"1552374987692082"</f>
        <v>1552374987692082</v>
      </c>
      <c r="C4432" t="s">
        <v>40</v>
      </c>
      <c r="D4432">
        <v>4.6040429999999999</v>
      </c>
      <c r="E4432">
        <v>0.48577890000000001</v>
      </c>
      <c r="F4432" t="s">
        <v>43</v>
      </c>
      <c r="G4432">
        <v>-419.59300000000002</v>
      </c>
      <c r="H4432" s="1">
        <v>-2.2227590000000001E-6</v>
      </c>
      <c r="I4432">
        <v>44.645769999999999</v>
      </c>
      <c r="J4432">
        <v>-422.8931</v>
      </c>
      <c r="K4432">
        <v>1.111802</v>
      </c>
      <c r="L4432">
        <v>55.419620000000002</v>
      </c>
      <c r="M4432">
        <v>-1.280801E-2</v>
      </c>
      <c r="N4432">
        <v>0</v>
      </c>
      <c r="O4432">
        <v>-0.99982369999999998</v>
      </c>
      <c r="P4432">
        <v>0.22131290000000001</v>
      </c>
      <c r="Q4432">
        <v>2.8397370000000002E-2</v>
      </c>
      <c r="R4432">
        <v>-0.97478969999999998</v>
      </c>
      <c r="S4432">
        <v>0.86050419999999905</v>
      </c>
      <c r="T4432">
        <v>-0.29008600000000001</v>
      </c>
      <c r="U4432">
        <v>-2.891235</v>
      </c>
      <c r="V4432">
        <v>-0.23398530000000001</v>
      </c>
      <c r="W4432">
        <v>4.0585639999999999E-2</v>
      </c>
      <c r="X4432">
        <v>0.97139260000000005</v>
      </c>
      <c r="Y4432">
        <v>-0.29620649999999998</v>
      </c>
      <c r="Z4432">
        <v>9.5528500000000002E-2</v>
      </c>
      <c r="AA4432">
        <v>0.95033469999999998</v>
      </c>
      <c r="AB4432">
        <v>32</v>
      </c>
      <c r="AC4432">
        <v>3.30009999999998</v>
      </c>
      <c r="AD4432">
        <v>-1.1118042227589999</v>
      </c>
      <c r="AE4432">
        <v>-10.7738499999999</v>
      </c>
      <c r="AF4432">
        <v>-3.4046868110615498</v>
      </c>
      <c r="AG4432">
        <v>-1.1118042227589999</v>
      </c>
      <c r="AH4432">
        <v>10.627230798693301</v>
      </c>
      <c r="AI4432">
        <v>95.6896200399717</v>
      </c>
      <c r="AJ4432">
        <v>107.764099704497</v>
      </c>
      <c r="AK4432">
        <v>11.2145457045686</v>
      </c>
      <c r="AL4432">
        <v>87.673975133270602</v>
      </c>
      <c r="AM4432">
        <v>103.543188972229</v>
      </c>
      <c r="AN4432">
        <v>0.99999994906252798</v>
      </c>
    </row>
    <row r="4433" spans="1:40" x14ac:dyDescent="0.25">
      <c r="A4433" t="str">
        <f>"20190312151627717"</f>
        <v>20190312151627717</v>
      </c>
      <c r="B4433" t="str">
        <f>"1552374987712578"</f>
        <v>1552374987712578</v>
      </c>
      <c r="C4433" t="s">
        <v>40</v>
      </c>
      <c r="D4433">
        <v>4.6030600000000002</v>
      </c>
      <c r="E4433">
        <v>0.48779119999999998</v>
      </c>
      <c r="F4433" t="s">
        <v>64</v>
      </c>
      <c r="G4433">
        <v>-418.57810000000001</v>
      </c>
      <c r="H4433" s="1">
        <v>-5.4932299999999998E-7</v>
      </c>
      <c r="I4433">
        <v>39.327129999999997</v>
      </c>
      <c r="J4433">
        <v>-422.89460000000003</v>
      </c>
      <c r="K4433">
        <v>1.1118110000000001</v>
      </c>
      <c r="L4433">
        <v>55.097990000000003</v>
      </c>
      <c r="M4433">
        <v>-1.031348E-2</v>
      </c>
      <c r="N4433">
        <v>0</v>
      </c>
      <c r="O4433">
        <v>-0.99985259999999998</v>
      </c>
      <c r="P4433">
        <v>0.22414899999999999</v>
      </c>
      <c r="Q4433">
        <v>2.8343E-2</v>
      </c>
      <c r="R4433">
        <v>-0.97414270000000003</v>
      </c>
      <c r="S4433">
        <v>0.7793274</v>
      </c>
      <c r="T4433">
        <v>-0.2008047</v>
      </c>
      <c r="U4433">
        <v>-2.9064939999999999</v>
      </c>
      <c r="V4433">
        <v>-0.23438980000000001</v>
      </c>
      <c r="W4433">
        <v>4.0522269999999999E-2</v>
      </c>
      <c r="X4433">
        <v>0.97129770000000004</v>
      </c>
      <c r="Y4433">
        <v>-0.26836009999999999</v>
      </c>
      <c r="Z4433">
        <v>6.6485489999999994E-2</v>
      </c>
      <c r="AA4433">
        <v>0.96102160000000003</v>
      </c>
      <c r="AB4433">
        <v>32</v>
      </c>
      <c r="AC4433">
        <v>4.3165000000000102</v>
      </c>
      <c r="AD4433">
        <v>-1.1118115493230001</v>
      </c>
      <c r="AE4433">
        <v>-15.770860000000001</v>
      </c>
      <c r="AF4433">
        <v>-4.4583247243999402</v>
      </c>
      <c r="AG4433">
        <v>-1.1118115493230001</v>
      </c>
      <c r="AH4433">
        <v>15.653125217725099</v>
      </c>
      <c r="AI4433">
        <v>93.907879190643698</v>
      </c>
      <c r="AJ4433">
        <v>105.89801841726501</v>
      </c>
      <c r="AK4433">
        <v>16.3135867714978</v>
      </c>
      <c r="AL4433">
        <v>87.6776089059572</v>
      </c>
      <c r="AM4433">
        <v>103.567013556502</v>
      </c>
      <c r="AN4433">
        <v>0.99999992736763799</v>
      </c>
    </row>
    <row r="4434" spans="1:40" x14ac:dyDescent="0.25">
      <c r="A4434" t="str">
        <f>"20190312151627740"</f>
        <v>20190312151627740</v>
      </c>
      <c r="B4434" t="str">
        <f>"1552374987732098"</f>
        <v>1552374987732098</v>
      </c>
      <c r="C4434" t="s">
        <v>40</v>
      </c>
      <c r="D4434">
        <v>4.7019149999999996</v>
      </c>
      <c r="E4434">
        <v>0.48891649999999998</v>
      </c>
      <c r="F4434" t="s">
        <v>64</v>
      </c>
      <c r="G4434">
        <v>-418.26139999999998</v>
      </c>
      <c r="H4434" s="1">
        <v>-1.698655E-6</v>
      </c>
      <c r="I4434">
        <v>37.651519999999998</v>
      </c>
      <c r="J4434">
        <v>-422.89530000000002</v>
      </c>
      <c r="K4434">
        <v>1.1118189999999999</v>
      </c>
      <c r="L4434">
        <v>54.781219999999998</v>
      </c>
      <c r="M4434">
        <v>-7.8551839999999994E-3</v>
      </c>
      <c r="N4434">
        <v>0</v>
      </c>
      <c r="O4434">
        <v>-0.99987490000000001</v>
      </c>
      <c r="P4434">
        <v>0.2273801</v>
      </c>
      <c r="Q4434">
        <v>2.8177750000000001E-2</v>
      </c>
      <c r="R4434">
        <v>-0.9733986</v>
      </c>
      <c r="S4434">
        <v>0.77209469999999902</v>
      </c>
      <c r="T4434">
        <v>-0.18527869999999999</v>
      </c>
      <c r="U4434">
        <v>-2.9073790000000002</v>
      </c>
      <c r="V4434">
        <v>-0.23522460000000001</v>
      </c>
      <c r="W4434">
        <v>4.0345989999999998E-2</v>
      </c>
      <c r="X4434">
        <v>0.9711033</v>
      </c>
      <c r="Y4434">
        <v>-0.26376759999999999</v>
      </c>
      <c r="Z4434">
        <v>6.1408879999999999E-2</v>
      </c>
      <c r="AA4434">
        <v>0.96262950000000003</v>
      </c>
      <c r="AB4434">
        <v>32</v>
      </c>
      <c r="AC4434">
        <v>4.6339000000000397</v>
      </c>
      <c r="AD4434">
        <v>-1.1118206986550001</v>
      </c>
      <c r="AE4434">
        <v>-17.1297</v>
      </c>
      <c r="AF4434">
        <v>-4.7496816576139897</v>
      </c>
      <c r="AG4434">
        <v>-1.1118206986550001</v>
      </c>
      <c r="AH4434">
        <v>17.025932181245999</v>
      </c>
      <c r="AI4434">
        <v>93.599158927417704</v>
      </c>
      <c r="AJ4434">
        <v>105.587374423776</v>
      </c>
      <c r="AK4434">
        <v>17.7109567148424</v>
      </c>
      <c r="AL4434">
        <v>87.687717476742193</v>
      </c>
      <c r="AM4434">
        <v>103.616162294617</v>
      </c>
      <c r="AN4434">
        <v>1.0000000153125601</v>
      </c>
    </row>
    <row r="4435" spans="1:40" x14ac:dyDescent="0.25">
      <c r="A4435" t="str">
        <f>"20190312151627763"</f>
        <v>20190312151627763</v>
      </c>
      <c r="B4435" t="str">
        <f>"1552374987752594"</f>
        <v>1552374987752594</v>
      </c>
      <c r="C4435" t="s">
        <v>40</v>
      </c>
      <c r="D4435">
        <v>4.6985700000000001</v>
      </c>
      <c r="E4435">
        <v>0.4897859</v>
      </c>
      <c r="F4435" t="s">
        <v>64</v>
      </c>
      <c r="G4435">
        <v>-418.43599999999998</v>
      </c>
      <c r="H4435" s="1">
        <v>-1.4171839999999999E-6</v>
      </c>
      <c r="I4435">
        <v>38.021270000000001</v>
      </c>
      <c r="J4435">
        <v>-422.89519999999999</v>
      </c>
      <c r="K4435">
        <v>1.1118220000000001</v>
      </c>
      <c r="L4435">
        <v>54.461669999999998</v>
      </c>
      <c r="M4435">
        <v>-5.3732650000000003E-3</v>
      </c>
      <c r="N4435">
        <v>0</v>
      </c>
      <c r="O4435">
        <v>-0.99989130000000004</v>
      </c>
      <c r="P4435">
        <v>0.2303354</v>
      </c>
      <c r="Q4435">
        <v>2.7620039999999998E-2</v>
      </c>
      <c r="R4435">
        <v>-0.97271960000000002</v>
      </c>
      <c r="S4435">
        <v>0.7734375</v>
      </c>
      <c r="T4435">
        <v>-0.19283900000000001</v>
      </c>
      <c r="U4435">
        <v>-2.9069210000000001</v>
      </c>
      <c r="V4435">
        <v>-0.23576150000000001</v>
      </c>
      <c r="W4435">
        <v>3.978139E-2</v>
      </c>
      <c r="X4435">
        <v>0.97099639999999998</v>
      </c>
      <c r="Y4435">
        <v>-0.2617854</v>
      </c>
      <c r="Z4435">
        <v>6.3929449999999999E-2</v>
      </c>
      <c r="AA4435">
        <v>0.96300649999999999</v>
      </c>
      <c r="AB4435">
        <v>32</v>
      </c>
      <c r="AC4435">
        <v>4.4592000000000098</v>
      </c>
      <c r="AD4435">
        <v>-1.11182341718399</v>
      </c>
      <c r="AE4435">
        <v>-16.440399999999901</v>
      </c>
      <c r="AF4435">
        <v>-4.5281921275069497</v>
      </c>
      <c r="AG4435">
        <v>-1.11182341718399</v>
      </c>
      <c r="AH4435">
        <v>16.346562307344499</v>
      </c>
      <c r="AI4435">
        <v>93.750219275413599</v>
      </c>
      <c r="AJ4435">
        <v>105.48336426340001</v>
      </c>
      <c r="AK4435">
        <v>16.998552130181899</v>
      </c>
      <c r="AL4435">
        <v>87.720092692084094</v>
      </c>
      <c r="AM4435">
        <v>103.64752655244</v>
      </c>
      <c r="AN4435">
        <v>1.00000002634277</v>
      </c>
    </row>
    <row r="4436" spans="1:40" x14ac:dyDescent="0.25">
      <c r="A4436" t="str">
        <f>"20190312151627784"</f>
        <v>20190312151627784</v>
      </c>
      <c r="B4436" t="str">
        <f>"1552374987782851"</f>
        <v>1552374987782851</v>
      </c>
      <c r="C4436" t="s">
        <v>40</v>
      </c>
      <c r="D4436">
        <v>4.6737669999999998</v>
      </c>
      <c r="E4436">
        <v>0.49079319999999999</v>
      </c>
      <c r="F4436" t="s">
        <v>64</v>
      </c>
      <c r="G4436">
        <v>-418.7706</v>
      </c>
      <c r="H4436" s="1">
        <v>-6.9540499999999997E-7</v>
      </c>
      <c r="I4436">
        <v>39.016730000000003</v>
      </c>
      <c r="J4436">
        <v>-422.89440000000002</v>
      </c>
      <c r="K4436">
        <v>1.1118220000000001</v>
      </c>
      <c r="L4436">
        <v>54.153320000000001</v>
      </c>
      <c r="M4436">
        <v>-2.9669599999999998E-3</v>
      </c>
      <c r="N4436">
        <v>0</v>
      </c>
      <c r="O4436">
        <v>-0.99990140000000005</v>
      </c>
      <c r="P4436">
        <v>0.23278309999999999</v>
      </c>
      <c r="Q4436">
        <v>2.6515170000000001E-2</v>
      </c>
      <c r="R4436">
        <v>-0.97216729999999996</v>
      </c>
      <c r="S4436">
        <v>0.77612300000000001</v>
      </c>
      <c r="T4436">
        <v>-0.20921429999999999</v>
      </c>
      <c r="U4436">
        <v>-2.9063110000000001</v>
      </c>
      <c r="V4436">
        <v>-0.2358644</v>
      </c>
      <c r="W4436">
        <v>3.867073E-2</v>
      </c>
      <c r="X4436">
        <v>0.9710162</v>
      </c>
      <c r="Y4436">
        <v>-0.26025039999999999</v>
      </c>
      <c r="Z4436">
        <v>6.9353799999999993E-2</v>
      </c>
      <c r="AA4436">
        <v>0.96304710000000004</v>
      </c>
      <c r="AB4436">
        <v>32</v>
      </c>
      <c r="AC4436">
        <v>4.1238000000000099</v>
      </c>
      <c r="AD4436">
        <v>-1.1118226954049999</v>
      </c>
      <c r="AE4436">
        <v>-15.136589999999901</v>
      </c>
      <c r="AF4436">
        <v>-4.1478630655643398</v>
      </c>
      <c r="AG4436">
        <v>-1.1118226954049999</v>
      </c>
      <c r="AH4436">
        <v>15.0487048480058</v>
      </c>
      <c r="AI4436">
        <v>94.074045442009705</v>
      </c>
      <c r="AJ4436">
        <v>105.409763799461</v>
      </c>
      <c r="AK4436">
        <v>15.6494228430024</v>
      </c>
      <c r="AL4436">
        <v>87.783777670745906</v>
      </c>
      <c r="AM4436">
        <v>103.652992241232</v>
      </c>
      <c r="AN4436">
        <v>0.99999995060426505</v>
      </c>
    </row>
    <row r="4437" spans="1:40" x14ac:dyDescent="0.25">
      <c r="A4437" t="str">
        <f>"20190312151627807"</f>
        <v>20190312151627807</v>
      </c>
      <c r="B4437" t="str">
        <f>"1552374987802370"</f>
        <v>1552374987802370</v>
      </c>
      <c r="C4437" t="s">
        <v>40</v>
      </c>
      <c r="D4437">
        <v>4.7114830000000003</v>
      </c>
      <c r="E4437">
        <v>0.49111969999999999</v>
      </c>
      <c r="F4437" t="s">
        <v>43</v>
      </c>
      <c r="G4437">
        <v>-419.05349999999999</v>
      </c>
      <c r="H4437" s="1">
        <v>-2.911035E-7</v>
      </c>
      <c r="I4437">
        <v>39.763420000000004</v>
      </c>
      <c r="J4437">
        <v>-422.89269999999999</v>
      </c>
      <c r="K4437">
        <v>1.111836</v>
      </c>
      <c r="L4437">
        <v>53.8373699999999</v>
      </c>
      <c r="M4437">
        <v>-4.7353629999999998E-4</v>
      </c>
      <c r="N4437">
        <v>0</v>
      </c>
      <c r="O4437">
        <v>-0.99990559999999995</v>
      </c>
      <c r="P4437">
        <v>0.23514969999999999</v>
      </c>
      <c r="Q4437">
        <v>2.571476E-2</v>
      </c>
      <c r="R4437">
        <v>-0.9716188</v>
      </c>
      <c r="S4437">
        <v>0.77572629999999998</v>
      </c>
      <c r="T4437">
        <v>-0.22454879999999999</v>
      </c>
      <c r="U4437">
        <v>-2.90625</v>
      </c>
      <c r="V4437">
        <v>-0.23580509999999999</v>
      </c>
      <c r="W4437">
        <v>3.7860699999999997E-2</v>
      </c>
      <c r="X4437">
        <v>0.9710626</v>
      </c>
      <c r="Y4437">
        <v>-0.25763009999999997</v>
      </c>
      <c r="Z4437">
        <v>7.4438859999999996E-2</v>
      </c>
      <c r="AA4437">
        <v>0.96337200000000001</v>
      </c>
      <c r="AB4437">
        <v>32</v>
      </c>
      <c r="AC4437">
        <v>3.8391999999999999</v>
      </c>
      <c r="AD4437">
        <v>-1.1118362911035</v>
      </c>
      <c r="AE4437">
        <v>-14.0739499999999</v>
      </c>
      <c r="AF4437">
        <v>-3.8236542922452101</v>
      </c>
      <c r="AG4437">
        <v>-1.1118362911035</v>
      </c>
      <c r="AH4437">
        <v>13.9908616371695</v>
      </c>
      <c r="AI4437">
        <v>94.383577364462397</v>
      </c>
      <c r="AJ4437">
        <v>105.285473672843</v>
      </c>
      <c r="AK4437">
        <v>14.5465020343463</v>
      </c>
      <c r="AL4437">
        <v>87.830223153667504</v>
      </c>
      <c r="AM4437">
        <v>103.649060268616</v>
      </c>
      <c r="AN4437">
        <v>1.00000002545462</v>
      </c>
    </row>
    <row r="4438" spans="1:40" x14ac:dyDescent="0.25">
      <c r="A4438" t="str">
        <f>"20190312151627829"</f>
        <v>20190312151627829</v>
      </c>
      <c r="B4438" t="str">
        <f>"1552374987822867"</f>
        <v>1552374987822867</v>
      </c>
      <c r="C4438" t="s">
        <v>40</v>
      </c>
      <c r="D4438">
        <v>4.7277820000000004</v>
      </c>
      <c r="E4438">
        <v>0.49144199999999999</v>
      </c>
      <c r="F4438" t="s">
        <v>43</v>
      </c>
      <c r="G4438">
        <v>-419.23480000000001</v>
      </c>
      <c r="H4438" s="1">
        <v>-4.0323720000000001E-7</v>
      </c>
      <c r="I4438">
        <v>40.23471</v>
      </c>
      <c r="J4438">
        <v>-422.89030000000002</v>
      </c>
      <c r="K4438">
        <v>1.111864</v>
      </c>
      <c r="L4438">
        <v>53.5287199999999</v>
      </c>
      <c r="M4438">
        <v>2.0114349999999998E-3</v>
      </c>
      <c r="N4438">
        <v>0</v>
      </c>
      <c r="O4438">
        <v>-0.99990369999999995</v>
      </c>
      <c r="P4438">
        <v>0.2372532</v>
      </c>
      <c r="Q4438">
        <v>2.4863759999999999E-2</v>
      </c>
      <c r="R4438">
        <v>-0.97112969999999998</v>
      </c>
      <c r="S4438">
        <v>0.78115840000000003</v>
      </c>
      <c r="T4438">
        <v>-0.2374349</v>
      </c>
      <c r="U4438">
        <v>-2.9048769999999999</v>
      </c>
      <c r="V4438">
        <v>-0.2354927</v>
      </c>
      <c r="W4438">
        <v>3.6993949999999998E-2</v>
      </c>
      <c r="X4438">
        <v>0.97117180000000003</v>
      </c>
      <c r="Y4438">
        <v>-0.25693850000000001</v>
      </c>
      <c r="Z4438">
        <v>7.8708310000000004E-2</v>
      </c>
      <c r="AA4438">
        <v>0.96321730000000005</v>
      </c>
      <c r="AB4438">
        <v>32</v>
      </c>
      <c r="AC4438">
        <v>3.6555000000000102</v>
      </c>
      <c r="AD4438">
        <v>-1.1118644032372</v>
      </c>
      <c r="AE4438">
        <v>-13.294009999999901</v>
      </c>
      <c r="AF4438">
        <v>-3.6053035204176398</v>
      </c>
      <c r="AG4438">
        <v>-1.1118644032372</v>
      </c>
      <c r="AH4438">
        <v>13.2153923674712</v>
      </c>
      <c r="AI4438">
        <v>94.640397168311296</v>
      </c>
      <c r="AJ4438">
        <v>105.25958013412</v>
      </c>
      <c r="AK4438">
        <v>13.7434002834719</v>
      </c>
      <c r="AL4438">
        <v>87.879919067187799</v>
      </c>
      <c r="AM4438">
        <v>103.630177207266</v>
      </c>
      <c r="AN4438">
        <v>1.0000000146025601</v>
      </c>
    </row>
    <row r="4439" spans="1:40" x14ac:dyDescent="0.25">
      <c r="A4439" t="str">
        <f>"20190312151627852"</f>
        <v>20190312151627852</v>
      </c>
      <c r="B4439" t="str">
        <f>"1552374987842387"</f>
        <v>1552374987842387</v>
      </c>
      <c r="C4439" t="s">
        <v>40</v>
      </c>
      <c r="D4439">
        <v>4.6764020000000004</v>
      </c>
      <c r="E4439">
        <v>0.49163269999999998</v>
      </c>
      <c r="F4439" t="s">
        <v>43</v>
      </c>
      <c r="G4439">
        <v>-419.37630000000001</v>
      </c>
      <c r="H4439" s="1">
        <v>-4.9720399999999998E-7</v>
      </c>
      <c r="I4439">
        <v>40.533850000000001</v>
      </c>
      <c r="J4439">
        <v>-422.88690000000003</v>
      </c>
      <c r="K4439">
        <v>1.1119239999999999</v>
      </c>
      <c r="L4439">
        <v>53.211820000000003</v>
      </c>
      <c r="M4439">
        <v>4.6392589999999997E-3</v>
      </c>
      <c r="N4439">
        <v>0</v>
      </c>
      <c r="O4439">
        <v>-0.99989470000000003</v>
      </c>
      <c r="P4439">
        <v>0.23935400000000001</v>
      </c>
      <c r="Q4439">
        <v>2.3901559999999999E-2</v>
      </c>
      <c r="R4439">
        <v>-0.97063809999999995</v>
      </c>
      <c r="S4439">
        <v>0.78521730000000001</v>
      </c>
      <c r="T4439">
        <v>-0.24844740000000001</v>
      </c>
      <c r="U4439">
        <v>-2.9037169999999999</v>
      </c>
      <c r="V4439">
        <v>-0.2350409</v>
      </c>
      <c r="W4439">
        <v>3.6007079999999997E-2</v>
      </c>
      <c r="X4439">
        <v>0.97131829999999997</v>
      </c>
      <c r="Y4439">
        <v>-0.2556736</v>
      </c>
      <c r="Z4439">
        <v>8.2363770000000003E-2</v>
      </c>
      <c r="AA4439">
        <v>0.96324829999999995</v>
      </c>
      <c r="AB4439">
        <v>32</v>
      </c>
      <c r="AC4439">
        <v>3.5106000000000099</v>
      </c>
      <c r="AD4439">
        <v>-1.1119244972040001</v>
      </c>
      <c r="AE4439">
        <v>-12.677969999999901</v>
      </c>
      <c r="AF4439">
        <v>-3.4272545836771702</v>
      </c>
      <c r="AG4439">
        <v>-1.1119244972040001</v>
      </c>
      <c r="AH4439">
        <v>12.6040731047768</v>
      </c>
      <c r="AI4439">
        <v>94.865769064757004</v>
      </c>
      <c r="AJ4439">
        <v>105.211868348039</v>
      </c>
      <c r="AK4439">
        <v>13.108970550709801</v>
      </c>
      <c r="AL4439">
        <v>87.936500201795795</v>
      </c>
      <c r="AM4439">
        <v>103.603024358501</v>
      </c>
      <c r="AN4439">
        <v>0.99999998719891303</v>
      </c>
    </row>
    <row r="4440" spans="1:40" x14ac:dyDescent="0.25">
      <c r="A4440" t="str">
        <f>"20190312151627874"</f>
        <v>20190312151627874</v>
      </c>
      <c r="B4440" t="str">
        <f>"1552374987872643"</f>
        <v>1552374987872643</v>
      </c>
      <c r="C4440" t="s">
        <v>40</v>
      </c>
      <c r="D4440">
        <v>4.6655870000000004</v>
      </c>
      <c r="E4440">
        <v>0.49186469999999999</v>
      </c>
      <c r="F4440" t="s">
        <v>43</v>
      </c>
      <c r="G4440">
        <v>-419.46820000000002</v>
      </c>
      <c r="H4440" s="1">
        <v>-5.3439719999999897E-7</v>
      </c>
      <c r="I4440">
        <v>40.658580000000001</v>
      </c>
      <c r="J4440">
        <v>-422.8827</v>
      </c>
      <c r="K4440">
        <v>1.1119969999999999</v>
      </c>
      <c r="L4440">
        <v>52.895690000000002</v>
      </c>
      <c r="M4440">
        <v>7.3725650000000002E-3</v>
      </c>
      <c r="N4440">
        <v>0</v>
      </c>
      <c r="O4440">
        <v>-0.99987859999999995</v>
      </c>
      <c r="P4440">
        <v>0.24144180000000001</v>
      </c>
      <c r="Q4440">
        <v>2.3373560000000002E-2</v>
      </c>
      <c r="R4440">
        <v>-0.97013389999999999</v>
      </c>
      <c r="S4440">
        <v>0.79037480000000004</v>
      </c>
      <c r="T4440">
        <v>-0.25706639999999997</v>
      </c>
      <c r="U4440">
        <v>-2.9021910000000002</v>
      </c>
      <c r="V4440">
        <v>-0.23447860000000001</v>
      </c>
      <c r="W4440">
        <v>3.5444299999999998E-2</v>
      </c>
      <c r="X4440">
        <v>0.97147490000000003</v>
      </c>
      <c r="Y4440">
        <v>-0.25469000000000003</v>
      </c>
      <c r="Z4440">
        <v>8.5232719999999998E-2</v>
      </c>
      <c r="AA4440">
        <v>0.96325919999999998</v>
      </c>
      <c r="AB4440">
        <v>31</v>
      </c>
      <c r="AC4440">
        <v>3.4144999999999701</v>
      </c>
      <c r="AD4440">
        <v>-1.1119975343971999</v>
      </c>
      <c r="AE4440">
        <v>-12.237109999999999</v>
      </c>
      <c r="AF4440">
        <v>-3.29890667246086</v>
      </c>
      <c r="AG4440">
        <v>-1.1119975343971999</v>
      </c>
      <c r="AH4440">
        <v>12.1687280016522</v>
      </c>
      <c r="AI4440">
        <v>95.040332712270896</v>
      </c>
      <c r="AJ4440">
        <v>105.16814618124801</v>
      </c>
      <c r="AK4440">
        <v>12.6569058196822</v>
      </c>
      <c r="AL4440">
        <v>87.968765738147695</v>
      </c>
      <c r="AM4440">
        <v>103.569579391274</v>
      </c>
      <c r="AN4440">
        <v>0.99999999679523</v>
      </c>
    </row>
    <row r="4441" spans="1:40" x14ac:dyDescent="0.25">
      <c r="A4441" t="str">
        <f>"20190312151627897"</f>
        <v>20190312151627897</v>
      </c>
      <c r="B4441" t="str">
        <f>"1552374987892163"</f>
        <v>1552374987892163</v>
      </c>
      <c r="C4441" t="s">
        <v>40</v>
      </c>
      <c r="D4441">
        <v>4.6406390000000002</v>
      </c>
      <c r="E4441">
        <v>0.49192570000000002</v>
      </c>
      <c r="F4441" t="s">
        <v>43</v>
      </c>
      <c r="G4441">
        <v>-419.55</v>
      </c>
      <c r="H4441" s="1">
        <v>-5.5017630000000005E-7</v>
      </c>
      <c r="I4441">
        <v>40.729170000000003</v>
      </c>
      <c r="J4441">
        <v>-422.87759999999997</v>
      </c>
      <c r="K4441">
        <v>1.11208</v>
      </c>
      <c r="L4441">
        <v>52.592829999999999</v>
      </c>
      <c r="M4441">
        <v>1.0112380000000001E-2</v>
      </c>
      <c r="N4441">
        <v>0</v>
      </c>
      <c r="O4441">
        <v>-0.99985440000000003</v>
      </c>
      <c r="P4441">
        <v>0.24341699999999999</v>
      </c>
      <c r="Q4441">
        <v>2.3233190000000001E-2</v>
      </c>
      <c r="R4441">
        <v>-0.96964360000000005</v>
      </c>
      <c r="S4441">
        <v>0.7946472</v>
      </c>
      <c r="T4441">
        <v>-0.26514330000000003</v>
      </c>
      <c r="U4441">
        <v>-2.90097</v>
      </c>
      <c r="V4441">
        <v>-0.2338015</v>
      </c>
      <c r="W4441">
        <v>3.5263199999999897E-2</v>
      </c>
      <c r="X4441">
        <v>0.97164470000000003</v>
      </c>
      <c r="Y4441">
        <v>-0.25340210000000002</v>
      </c>
      <c r="Z4441">
        <v>8.7920390000000001E-2</v>
      </c>
      <c r="AA4441">
        <v>0.96335729999999997</v>
      </c>
      <c r="AB4441">
        <v>31</v>
      </c>
      <c r="AC4441">
        <v>3.3275999999999599</v>
      </c>
      <c r="AD4441">
        <v>-1.1120805501763</v>
      </c>
      <c r="AE4441">
        <v>-11.863659999999999</v>
      </c>
      <c r="AF4441">
        <v>-3.1815318355716302</v>
      </c>
      <c r="AG4441">
        <v>-1.1120805501763</v>
      </c>
      <c r="AH4441">
        <v>11.800578688681901</v>
      </c>
      <c r="AI4441">
        <v>95.199055852072703</v>
      </c>
      <c r="AJ4441">
        <v>105.08864560270401</v>
      </c>
      <c r="AK4441">
        <v>12.2724294806941</v>
      </c>
      <c r="AL4441">
        <v>87.979148559352794</v>
      </c>
      <c r="AM4441">
        <v>103.529559826037</v>
      </c>
      <c r="AN4441">
        <v>1.0000000288572799</v>
      </c>
    </row>
    <row r="4442" spans="1:40" x14ac:dyDescent="0.25">
      <c r="A4442" t="str">
        <f>"20190312151627919"</f>
        <v>20190312151627919</v>
      </c>
      <c r="B4442" t="str">
        <f>"1552374987912658"</f>
        <v>1552374987912658</v>
      </c>
      <c r="C4442" t="s">
        <v>40</v>
      </c>
      <c r="D4442">
        <v>4.6262100000000004</v>
      </c>
      <c r="E4442">
        <v>0.49198730000000002</v>
      </c>
      <c r="F4442" t="s">
        <v>43</v>
      </c>
      <c r="G4442">
        <v>-419.53460000000001</v>
      </c>
      <c r="H4442" s="1">
        <v>-4.4723919999999998E-7</v>
      </c>
      <c r="I4442">
        <v>40.482869999999998</v>
      </c>
      <c r="J4442">
        <v>-422.87130000000002</v>
      </c>
      <c r="K4442">
        <v>1.1121719999999999</v>
      </c>
      <c r="L4442">
        <v>52.274720000000002</v>
      </c>
      <c r="M4442">
        <v>1.310673E-2</v>
      </c>
      <c r="N4442">
        <v>0</v>
      </c>
      <c r="O4442">
        <v>-0.99981980000000004</v>
      </c>
      <c r="P4442">
        <v>0.24519949999999999</v>
      </c>
      <c r="Q4442">
        <v>2.268444E-2</v>
      </c>
      <c r="R4442">
        <v>-0.9692075</v>
      </c>
      <c r="S4442">
        <v>0.80038450000000005</v>
      </c>
      <c r="T4442">
        <v>-0.26625589999999999</v>
      </c>
      <c r="U4442">
        <v>-2.899384</v>
      </c>
      <c r="V4442">
        <v>-0.23268159999999999</v>
      </c>
      <c r="W4442">
        <v>3.4676099999999897E-2</v>
      </c>
      <c r="X4442">
        <v>0.97193459999999998</v>
      </c>
      <c r="Y4442">
        <v>-0.25240309999999999</v>
      </c>
      <c r="Z4442">
        <v>8.8317160000000006E-2</v>
      </c>
      <c r="AA4442">
        <v>0.96358330000000003</v>
      </c>
      <c r="AB4442">
        <v>31</v>
      </c>
      <c r="AC4442">
        <v>3.3367</v>
      </c>
      <c r="AD4442">
        <v>-1.1121724472391901</v>
      </c>
      <c r="AE4442">
        <v>-11.79185</v>
      </c>
      <c r="AF4442">
        <v>-3.15585382932868</v>
      </c>
      <c r="AG4442">
        <v>-1.1121724472391901</v>
      </c>
      <c r="AH4442">
        <v>11.7378982557951</v>
      </c>
      <c r="AI4442">
        <v>95.228071043261906</v>
      </c>
      <c r="AJ4442">
        <v>105.048689972768</v>
      </c>
      <c r="AK4442">
        <v>12.2055149996993</v>
      </c>
      <c r="AL4442">
        <v>88.012807465720599</v>
      </c>
      <c r="AM4442">
        <v>103.463249154504</v>
      </c>
      <c r="AN4442">
        <v>1.0000000127834601</v>
      </c>
    </row>
    <row r="4443" spans="1:40" x14ac:dyDescent="0.25">
      <c r="A4443" t="str">
        <f>"20190312151627941"</f>
        <v>20190312151627941</v>
      </c>
      <c r="B4443" t="str">
        <f>"1552374987932178"</f>
        <v>1552374987932178</v>
      </c>
      <c r="C4443" t="s">
        <v>40</v>
      </c>
      <c r="D4443">
        <v>4.6055900000000003</v>
      </c>
      <c r="E4443">
        <v>0.49197750000000001</v>
      </c>
      <c r="F4443" t="s">
        <v>43</v>
      </c>
      <c r="G4443">
        <v>-419.53809999999999</v>
      </c>
      <c r="H4443" s="1">
        <v>-3.622764E-7</v>
      </c>
      <c r="I4443">
        <v>40.286270000000002</v>
      </c>
      <c r="J4443">
        <v>-422.86399999999998</v>
      </c>
      <c r="K4443">
        <v>1.1122570000000001</v>
      </c>
      <c r="L4443">
        <v>51.960239999999999</v>
      </c>
      <c r="M4443">
        <v>1.6195279999999999E-2</v>
      </c>
      <c r="N4443">
        <v>0</v>
      </c>
      <c r="O4443">
        <v>-0.99977450000000001</v>
      </c>
      <c r="P4443">
        <v>0.24698909999999999</v>
      </c>
      <c r="Q4443">
        <v>2.1749629999999999E-2</v>
      </c>
      <c r="R4443">
        <v>-0.96877440000000004</v>
      </c>
      <c r="S4443">
        <v>0.80566409999999999</v>
      </c>
      <c r="T4443">
        <v>-0.26882669999999997</v>
      </c>
      <c r="U4443">
        <v>-2.8977659999999998</v>
      </c>
      <c r="V4443">
        <v>-0.2314754</v>
      </c>
      <c r="W4443">
        <v>3.3704400000000002E-2</v>
      </c>
      <c r="X4443">
        <v>0.97225669999999997</v>
      </c>
      <c r="Y4443">
        <v>-0.251162</v>
      </c>
      <c r="Z4443">
        <v>8.9197970000000001E-2</v>
      </c>
      <c r="AA4443">
        <v>0.96382639999999997</v>
      </c>
      <c r="AB4443">
        <v>31</v>
      </c>
      <c r="AC4443">
        <v>3.3259000000000398</v>
      </c>
      <c r="AD4443">
        <v>-1.11225736227639</v>
      </c>
      <c r="AE4443">
        <v>-11.673969999999899</v>
      </c>
      <c r="AF4443">
        <v>-3.11026836911467</v>
      </c>
      <c r="AG4443">
        <v>-1.11225736227639</v>
      </c>
      <c r="AH4443">
        <v>11.6286714637956</v>
      </c>
      <c r="AI4443">
        <v>95.279133674217405</v>
      </c>
      <c r="AJ4443">
        <v>104.974139526591</v>
      </c>
      <c r="AK4443">
        <v>12.0887090204351</v>
      </c>
      <c r="AL4443">
        <v>88.068514261084701</v>
      </c>
      <c r="AM4443">
        <v>103.391700782786</v>
      </c>
      <c r="AN4443">
        <v>0.99999996903970401</v>
      </c>
    </row>
    <row r="4444" spans="1:40" x14ac:dyDescent="0.25">
      <c r="A4444" t="str">
        <f>"20190312151627965"</f>
        <v>20190312151627965</v>
      </c>
      <c r="B4444" t="str">
        <f>"1552374987962435"</f>
        <v>1552374987962435</v>
      </c>
      <c r="C4444" t="s">
        <v>40</v>
      </c>
      <c r="D4444">
        <v>4.5773549999999998</v>
      </c>
      <c r="E4444">
        <v>0.49197239999999998</v>
      </c>
      <c r="F4444" t="s">
        <v>43</v>
      </c>
      <c r="G4444">
        <v>-419.56130000000002</v>
      </c>
      <c r="H4444" s="1">
        <v>-3.085709E-7</v>
      </c>
      <c r="I4444">
        <v>40.170650000000002</v>
      </c>
      <c r="J4444">
        <v>-422.85520000000002</v>
      </c>
      <c r="K4444">
        <v>1.1123559999999999</v>
      </c>
      <c r="L4444">
        <v>51.6312</v>
      </c>
      <c r="M4444">
        <v>1.9577020000000001E-2</v>
      </c>
      <c r="N4444">
        <v>0</v>
      </c>
      <c r="O4444">
        <v>-0.99971379999999999</v>
      </c>
      <c r="P4444">
        <v>0.2488426</v>
      </c>
      <c r="Q4444">
        <v>2.0892669999999999E-2</v>
      </c>
      <c r="R4444">
        <v>-0.96831849999999997</v>
      </c>
      <c r="S4444">
        <v>0.81127930000000004</v>
      </c>
      <c r="T4444">
        <v>-0.27321519999999999</v>
      </c>
      <c r="U4444">
        <v>-2.8959959999999998</v>
      </c>
      <c r="V4444">
        <v>-0.230049</v>
      </c>
      <c r="W4444">
        <v>3.2808440000000001E-2</v>
      </c>
      <c r="X4444">
        <v>0.97262590000000004</v>
      </c>
      <c r="Y4444">
        <v>-0.2497384</v>
      </c>
      <c r="Z4444">
        <v>9.0680490000000002E-2</v>
      </c>
      <c r="AA4444">
        <v>0.96405799999999997</v>
      </c>
      <c r="AB4444">
        <v>31</v>
      </c>
      <c r="AC4444">
        <v>3.2938999999999998</v>
      </c>
      <c r="AD4444">
        <v>-1.1123563085708901</v>
      </c>
      <c r="AE4444">
        <v>-11.4605499999999</v>
      </c>
      <c r="AF4444">
        <v>-3.04240969223628</v>
      </c>
      <c r="AG4444">
        <v>-1.1123563085708901</v>
      </c>
      <c r="AH4444">
        <v>11.4234401084744</v>
      </c>
      <c r="AI4444">
        <v>95.375413572237903</v>
      </c>
      <c r="AJ4444">
        <v>104.913429619279</v>
      </c>
      <c r="AK4444">
        <v>11.8738610908387</v>
      </c>
      <c r="AL4444">
        <v>88.119877533516302</v>
      </c>
      <c r="AM4444">
        <v>103.307251465878</v>
      </c>
      <c r="AN4444">
        <v>1.0000000387435199</v>
      </c>
    </row>
    <row r="4445" spans="1:40" x14ac:dyDescent="0.25">
      <c r="A4445" t="str">
        <f>"20190312151627987"</f>
        <v>20190312151627987</v>
      </c>
      <c r="B4445" t="str">
        <f>"1552374987982931"</f>
        <v>1552374987982931</v>
      </c>
      <c r="C4445" t="s">
        <v>40</v>
      </c>
      <c r="D4445">
        <v>4.5737449999999997</v>
      </c>
      <c r="E4445">
        <v>0.4918746</v>
      </c>
      <c r="F4445" t="s">
        <v>43</v>
      </c>
      <c r="G4445">
        <v>-419.55619999999999</v>
      </c>
      <c r="H4445" s="1">
        <v>-2.188186E-7</v>
      </c>
      <c r="I4445">
        <v>39.944040000000001</v>
      </c>
      <c r="J4445">
        <v>-422.84570000000002</v>
      </c>
      <c r="K4445">
        <v>1.112457</v>
      </c>
      <c r="L4445">
        <v>51.320340000000002</v>
      </c>
      <c r="M4445">
        <v>2.291588E-2</v>
      </c>
      <c r="N4445">
        <v>0</v>
      </c>
      <c r="O4445">
        <v>-0.99964299999999995</v>
      </c>
      <c r="P4445">
        <v>0.25131039999999999</v>
      </c>
      <c r="Q4445">
        <v>2.071375E-2</v>
      </c>
      <c r="R4445">
        <v>-0.96768520000000002</v>
      </c>
      <c r="S4445">
        <v>0.8169556</v>
      </c>
      <c r="T4445">
        <v>-0.27545989999999998</v>
      </c>
      <c r="U4445">
        <v>-2.8941650000000001</v>
      </c>
      <c r="V4445">
        <v>-0.22928670000000001</v>
      </c>
      <c r="W4445">
        <v>3.2583969999999997E-2</v>
      </c>
      <c r="X4445">
        <v>0.97281340000000005</v>
      </c>
      <c r="Y4445">
        <v>-0.24839639999999999</v>
      </c>
      <c r="Z4445">
        <v>9.1456969999999999E-2</v>
      </c>
      <c r="AA4445">
        <v>0.9643313</v>
      </c>
      <c r="AB4445">
        <v>31</v>
      </c>
      <c r="AC4445">
        <v>3.2895000000000301</v>
      </c>
      <c r="AD4445">
        <v>-1.1124572188185999</v>
      </c>
      <c r="AE4445">
        <v>-11.376300000000001</v>
      </c>
      <c r="AF4445">
        <v>-3.0014272868233798</v>
      </c>
      <c r="AG4445">
        <v>-1.1124572188185999</v>
      </c>
      <c r="AH4445">
        <v>11.3485552146724</v>
      </c>
      <c r="AI4445">
        <v>95.413634997585405</v>
      </c>
      <c r="AJ4445">
        <v>104.814202528004</v>
      </c>
      <c r="AK4445">
        <v>11.791345651886299</v>
      </c>
      <c r="AL4445">
        <v>88.1327455403774</v>
      </c>
      <c r="AM4445">
        <v>103.26225098266799</v>
      </c>
      <c r="AN4445">
        <v>1.0000000085587</v>
      </c>
    </row>
    <row r="4446" spans="1:40" x14ac:dyDescent="0.25">
      <c r="A4446" t="str">
        <f>"20190312151628009"</f>
        <v>20190312151628009</v>
      </c>
      <c r="B4446" t="str">
        <f>"1552374988002451"</f>
        <v>1552374988002451</v>
      </c>
      <c r="C4446" t="s">
        <v>40</v>
      </c>
      <c r="D4446">
        <v>4.5725249999999997</v>
      </c>
      <c r="E4446">
        <v>0.49179289999999998</v>
      </c>
      <c r="F4446" t="s">
        <v>43</v>
      </c>
      <c r="G4446">
        <v>-419.52519999999998</v>
      </c>
      <c r="H4446" s="1">
        <v>-1.36401299999999E-7</v>
      </c>
      <c r="I4446">
        <v>39.677680000000002</v>
      </c>
      <c r="J4446">
        <v>-422.83550000000002</v>
      </c>
      <c r="K4446">
        <v>1.1125620000000001</v>
      </c>
      <c r="L4446">
        <v>51.022219999999997</v>
      </c>
      <c r="M4446">
        <v>2.6252310000000001E-2</v>
      </c>
      <c r="N4446">
        <v>0</v>
      </c>
      <c r="O4446">
        <v>-0.99956080000000003</v>
      </c>
      <c r="P4446">
        <v>0.25361289999999997</v>
      </c>
      <c r="Q4446">
        <v>2.0421990000000001E-2</v>
      </c>
      <c r="R4446">
        <v>-0.96709029999999996</v>
      </c>
      <c r="S4446">
        <v>0.8247681</v>
      </c>
      <c r="T4446">
        <v>-0.2763216</v>
      </c>
      <c r="U4446">
        <v>-2.8919069999999998</v>
      </c>
      <c r="V4446">
        <v>-0.22836039999999999</v>
      </c>
      <c r="W4446">
        <v>3.2247030000000003E-2</v>
      </c>
      <c r="X4446">
        <v>0.97304250000000003</v>
      </c>
      <c r="Y4446">
        <v>-0.24776400000000001</v>
      </c>
      <c r="Z4446">
        <v>9.1772240000000005E-2</v>
      </c>
      <c r="AA4446">
        <v>0.96446399999999999</v>
      </c>
      <c r="AB4446">
        <v>31</v>
      </c>
      <c r="AC4446">
        <v>3.3103000000000402</v>
      </c>
      <c r="AD4446">
        <v>-1.1125621364013001</v>
      </c>
      <c r="AE4446">
        <v>-11.34454</v>
      </c>
      <c r="AF4446">
        <v>-2.9848552090033298</v>
      </c>
      <c r="AG4446">
        <v>-1.1125621364013001</v>
      </c>
      <c r="AH4446">
        <v>11.327146673948601</v>
      </c>
      <c r="AI4446">
        <v>95.425596251037604</v>
      </c>
      <c r="AJ4446">
        <v>104.76261219626799</v>
      </c>
      <c r="AK4446">
        <v>11.7665375917988</v>
      </c>
      <c r="AL4446">
        <v>88.152060961313097</v>
      </c>
      <c r="AM4446">
        <v>103.20755357319101</v>
      </c>
      <c r="AN4446">
        <v>1.0000000250191099</v>
      </c>
    </row>
    <row r="4447" spans="1:40" x14ac:dyDescent="0.25">
      <c r="A4447" t="str">
        <f>"20190312151628031"</f>
        <v>20190312151628031</v>
      </c>
      <c r="B4447" t="str">
        <f>"1552374988021971"</f>
        <v>1552374988021971</v>
      </c>
      <c r="C4447" t="s">
        <v>40</v>
      </c>
      <c r="D4447">
        <v>4.5605979999999997</v>
      </c>
      <c r="E4447">
        <v>0.49170199999999997</v>
      </c>
      <c r="F4447" t="s">
        <v>64</v>
      </c>
      <c r="G4447">
        <v>-419.50560000000002</v>
      </c>
      <c r="H4447" s="1">
        <v>-2.1177660000000001E-7</v>
      </c>
      <c r="I4447">
        <v>39.469929999999998</v>
      </c>
      <c r="J4447">
        <v>-422.82389999999998</v>
      </c>
      <c r="K4447">
        <v>1.112671</v>
      </c>
      <c r="L4447">
        <v>50.717770000000002</v>
      </c>
      <c r="M4447">
        <v>2.97942E-2</v>
      </c>
      <c r="N4447">
        <v>0</v>
      </c>
      <c r="O4447">
        <v>-0.99946140000000006</v>
      </c>
      <c r="P4447">
        <v>0.25683400000000001</v>
      </c>
      <c r="Q4447">
        <v>2.0243669999999998E-2</v>
      </c>
      <c r="R4447">
        <v>-0.96624359999999998</v>
      </c>
      <c r="S4447">
        <v>0.83288569999999995</v>
      </c>
      <c r="T4447">
        <v>-0.27828069999999999</v>
      </c>
      <c r="U4447">
        <v>-2.889526</v>
      </c>
      <c r="V4447">
        <v>-0.22816220000000001</v>
      </c>
      <c r="W4447">
        <v>3.2012539999999999E-2</v>
      </c>
      <c r="X4447">
        <v>0.97309670000000004</v>
      </c>
      <c r="Y4447">
        <v>-0.24702769999999999</v>
      </c>
      <c r="Z4447">
        <v>9.244993E-2</v>
      </c>
      <c r="AA4447">
        <v>0.96458820000000001</v>
      </c>
      <c r="AB4447">
        <v>31</v>
      </c>
      <c r="AC4447">
        <v>3.3182999999999598</v>
      </c>
      <c r="AD4447">
        <v>-1.1126712117766</v>
      </c>
      <c r="AE4447">
        <v>-11.24784</v>
      </c>
      <c r="AF4447">
        <v>-2.9550721178026702</v>
      </c>
      <c r="AG4447">
        <v>-1.1126712117766</v>
      </c>
      <c r="AH4447">
        <v>11.2405307907205</v>
      </c>
      <c r="AI4447">
        <v>95.468512736380404</v>
      </c>
      <c r="AJ4447">
        <v>104.729440289506</v>
      </c>
      <c r="AK4447">
        <v>11.675616510663099</v>
      </c>
      <c r="AL4447">
        <v>88.165503124028803</v>
      </c>
      <c r="AM4447">
        <v>103.195782370419</v>
      </c>
      <c r="AN4447">
        <v>0.99999998988849004</v>
      </c>
    </row>
    <row r="4448" spans="1:40" x14ac:dyDescent="0.25">
      <c r="A4448" t="str">
        <f>"20190312151628053"</f>
        <v>20190312151628053</v>
      </c>
      <c r="B4448" t="str">
        <f>"1552374988042467"</f>
        <v>1552374988042467</v>
      </c>
      <c r="C4448" t="s">
        <v>40</v>
      </c>
      <c r="D4448">
        <v>4.8554199999999996</v>
      </c>
      <c r="E4448">
        <v>0.48868610000000001</v>
      </c>
      <c r="F4448" t="s">
        <v>64</v>
      </c>
      <c r="G4448">
        <v>-419.44459999999998</v>
      </c>
      <c r="H4448" s="1">
        <v>-4.3133170000000001E-7</v>
      </c>
      <c r="I4448">
        <v>39.15005</v>
      </c>
      <c r="J4448">
        <v>-422.81110000000001</v>
      </c>
      <c r="K4448">
        <v>1.1127849999999999</v>
      </c>
      <c r="L4448">
        <v>50.412599999999998</v>
      </c>
      <c r="M4448">
        <v>3.3481730000000001E-2</v>
      </c>
      <c r="N4448">
        <v>0</v>
      </c>
      <c r="O4448">
        <v>-0.99934489999999998</v>
      </c>
      <c r="P4448">
        <v>0.26024429999999998</v>
      </c>
      <c r="Q4448">
        <v>2.0087420000000002E-2</v>
      </c>
      <c r="R4448">
        <v>-0.96533409999999997</v>
      </c>
      <c r="S4448">
        <v>0.84323119999999996</v>
      </c>
      <c r="T4448">
        <v>-0.27764319999999998</v>
      </c>
      <c r="U4448">
        <v>-2.8864749999999999</v>
      </c>
      <c r="V4448">
        <v>-0.2280152</v>
      </c>
      <c r="W4448">
        <v>3.1800929999999998E-2</v>
      </c>
      <c r="X4448">
        <v>0.97313810000000001</v>
      </c>
      <c r="Y4448">
        <v>-0.246918</v>
      </c>
      <c r="Z4448">
        <v>9.2273129999999995E-2</v>
      </c>
      <c r="AA4448">
        <v>0.96463319999999997</v>
      </c>
      <c r="AB4448">
        <v>31</v>
      </c>
      <c r="AC4448">
        <v>3.36650000000003</v>
      </c>
      <c r="AD4448">
        <v>-1.1127854313317</v>
      </c>
      <c r="AE4448">
        <v>-11.2625499999999</v>
      </c>
      <c r="AF4448">
        <v>-2.9609521933714</v>
      </c>
      <c r="AG4448">
        <v>-1.1127854313317</v>
      </c>
      <c r="AH4448">
        <v>11.267982590571201</v>
      </c>
      <c r="AI4448">
        <v>95.455985256643004</v>
      </c>
      <c r="AJ4448">
        <v>104.723081897794</v>
      </c>
      <c r="AK4448">
        <v>11.7035448035641</v>
      </c>
      <c r="AL4448">
        <v>88.177633671703703</v>
      </c>
      <c r="AM4448">
        <v>103.187036368226</v>
      </c>
      <c r="AN4448">
        <v>0.99999999612575696</v>
      </c>
    </row>
    <row r="4449" spans="1:40" x14ac:dyDescent="0.25">
      <c r="A4449" t="str">
        <f>"20190312151628108"</f>
        <v>20190312151628108</v>
      </c>
      <c r="B4449" t="str">
        <f>"1552374988102003"</f>
        <v>1552374988102003</v>
      </c>
      <c r="C4449" t="s">
        <v>40</v>
      </c>
      <c r="D4449">
        <v>4.6536739999999996</v>
      </c>
      <c r="E4449">
        <v>0.48879349999999999</v>
      </c>
      <c r="F4449" t="s">
        <v>64</v>
      </c>
      <c r="G4449">
        <v>-417.2713</v>
      </c>
      <c r="H4449" s="1">
        <v>-5.0081749999999997E-6</v>
      </c>
      <c r="I4449">
        <v>32.190689999999996</v>
      </c>
      <c r="J4449">
        <v>-422.77260000000001</v>
      </c>
      <c r="K4449">
        <v>1.1130469999999999</v>
      </c>
      <c r="L4449">
        <v>49.6387</v>
      </c>
      <c r="M4449">
        <v>4.3403900000000002E-2</v>
      </c>
      <c r="N4449">
        <v>0</v>
      </c>
      <c r="O4449">
        <v>-0.99896269999999998</v>
      </c>
      <c r="P4449">
        <v>0.26878039999999997</v>
      </c>
      <c r="Q4449">
        <v>1.9607340000000001E-2</v>
      </c>
      <c r="R4449">
        <v>-0.96300200000000002</v>
      </c>
      <c r="S4449">
        <v>0.87426759999999903</v>
      </c>
      <c r="T4449">
        <v>-0.17561570000000001</v>
      </c>
      <c r="U4449">
        <v>-2.875702</v>
      </c>
      <c r="V4449">
        <v>-0.2269813</v>
      </c>
      <c r="W4449">
        <v>3.1206609999999999E-2</v>
      </c>
      <c r="X4449">
        <v>0.97339900000000001</v>
      </c>
      <c r="Y4449">
        <v>-0.24856919999999999</v>
      </c>
      <c r="Z4449">
        <v>5.8593899999999997E-2</v>
      </c>
      <c r="AA4449">
        <v>0.96684029999999999</v>
      </c>
      <c r="AB4449">
        <v>31</v>
      </c>
      <c r="AC4449">
        <v>5.5013000000000103</v>
      </c>
      <c r="AD4449">
        <v>-1.1130520081749999</v>
      </c>
      <c r="AE4449">
        <v>-17.448009999999901</v>
      </c>
      <c r="AF4449">
        <v>-4.7212553714105896</v>
      </c>
      <c r="AG4449">
        <v>-1.1130520081749999</v>
      </c>
      <c r="AH4449">
        <v>17.6051987339604</v>
      </c>
      <c r="AI4449">
        <v>93.494439891076894</v>
      </c>
      <c r="AJ4449">
        <v>105.012013393036</v>
      </c>
      <c r="AK4449">
        <v>18.261220099358599</v>
      </c>
      <c r="AL4449">
        <v>88.211702596409694</v>
      </c>
      <c r="AM4449">
        <v>103.125920356932</v>
      </c>
      <c r="AN4449">
        <v>0.999999988129191</v>
      </c>
    </row>
    <row r="4450" spans="1:40" x14ac:dyDescent="0.25">
      <c r="A4450" t="str">
        <f>"20190312151628132"</f>
        <v>20190312151628132</v>
      </c>
      <c r="B4450" t="str">
        <f>"1552374988122499"</f>
        <v>1552374988122499</v>
      </c>
      <c r="C4450" t="s">
        <v>40</v>
      </c>
      <c r="D4450">
        <v>4.5213640000000002</v>
      </c>
      <c r="E4450">
        <v>0.4882476</v>
      </c>
      <c r="F4450" t="s">
        <v>64</v>
      </c>
      <c r="G4450">
        <v>-419.14499999999998</v>
      </c>
      <c r="H4450" s="1">
        <v>-1.17727E-6</v>
      </c>
      <c r="I4450">
        <v>38.101930000000003</v>
      </c>
      <c r="J4450">
        <v>-422.75470000000001</v>
      </c>
      <c r="K4450">
        <v>1.113127</v>
      </c>
      <c r="L4450">
        <v>49.325099999999999</v>
      </c>
      <c r="M4450">
        <v>4.7608360000000002E-2</v>
      </c>
      <c r="N4450">
        <v>0</v>
      </c>
      <c r="O4450">
        <v>-0.99877130000000003</v>
      </c>
      <c r="P4450">
        <v>0.27262740000000002</v>
      </c>
      <c r="Q4450">
        <v>2.0636850000000002E-2</v>
      </c>
      <c r="R4450">
        <v>-0.96189860000000005</v>
      </c>
      <c r="S4450">
        <v>0.90216059999999998</v>
      </c>
      <c r="T4450">
        <v>-0.27680399999999999</v>
      </c>
      <c r="U4450">
        <v>-2.8690799999999999</v>
      </c>
      <c r="V4450">
        <v>-0.22679089999999999</v>
      </c>
      <c r="W4450">
        <v>3.219698E-2</v>
      </c>
      <c r="X4450">
        <v>0.97341109999999997</v>
      </c>
      <c r="Y4450">
        <v>-0.25292890000000001</v>
      </c>
      <c r="Z4450">
        <v>9.2106980000000005E-2</v>
      </c>
      <c r="AA4450">
        <v>0.96309049999999996</v>
      </c>
      <c r="AB4450">
        <v>31</v>
      </c>
      <c r="AC4450">
        <v>3.6097000000000299</v>
      </c>
      <c r="AD4450">
        <v>-1.1131281772699999</v>
      </c>
      <c r="AE4450">
        <v>-11.22317</v>
      </c>
      <c r="AF4450">
        <v>-3.0441014462077498</v>
      </c>
      <c r="AG4450">
        <v>-1.1131281772699999</v>
      </c>
      <c r="AH4450">
        <v>11.281735887183</v>
      </c>
      <c r="AI4450">
        <v>95.441552141926294</v>
      </c>
      <c r="AJ4450">
        <v>105.100262658597</v>
      </c>
      <c r="AK4450">
        <v>11.7381077087403</v>
      </c>
      <c r="AL4450">
        <v>88.154929991714397</v>
      </c>
      <c r="AM4450">
        <v>103.115133228226</v>
      </c>
      <c r="AN4450">
        <v>0.99999996372356903</v>
      </c>
    </row>
    <row r="4451" spans="1:40" x14ac:dyDescent="0.25">
      <c r="A4451" t="str">
        <f>"20190312151628155"</f>
        <v>20190312151628155</v>
      </c>
      <c r="B4451" t="str">
        <f>"1552374988142019"</f>
        <v>1552374988142019</v>
      </c>
      <c r="C4451" t="s">
        <v>40</v>
      </c>
      <c r="D4451">
        <v>4.5309109999999997</v>
      </c>
      <c r="E4451">
        <v>0.48823030000000001</v>
      </c>
      <c r="F4451" t="s">
        <v>64</v>
      </c>
      <c r="G4451">
        <v>-417.11009999999999</v>
      </c>
      <c r="H4451" s="1">
        <v>-5.3074990000000002E-6</v>
      </c>
      <c r="I4451">
        <v>31.673369999999998</v>
      </c>
      <c r="J4451">
        <v>-422.73540000000003</v>
      </c>
      <c r="K4451">
        <v>1.1132070000000001</v>
      </c>
      <c r="L4451">
        <v>49.011870000000002</v>
      </c>
      <c r="M4451">
        <v>5.1929549999999998E-2</v>
      </c>
      <c r="N4451">
        <v>0</v>
      </c>
      <c r="O4451">
        <v>-0.99855550000000004</v>
      </c>
      <c r="P4451">
        <v>0.27694210000000002</v>
      </c>
      <c r="Q4451">
        <v>2.0052799999999999E-2</v>
      </c>
      <c r="R4451">
        <v>-0.96067760000000002</v>
      </c>
      <c r="S4451">
        <v>0.91558839999999997</v>
      </c>
      <c r="T4451">
        <v>-0.180557</v>
      </c>
      <c r="U4451">
        <v>-2.8632200000000001</v>
      </c>
      <c r="V4451">
        <v>-0.22694900000000001</v>
      </c>
      <c r="W4451">
        <v>3.1568829999999999E-2</v>
      </c>
      <c r="X4451">
        <v>0.97339489999999995</v>
      </c>
      <c r="Y4451">
        <v>-0.25415100000000002</v>
      </c>
      <c r="Z4451">
        <v>6.0278419999999999E-2</v>
      </c>
      <c r="AA4451">
        <v>0.96528429999999998</v>
      </c>
      <c r="AB4451">
        <v>31</v>
      </c>
      <c r="AC4451">
        <v>5.6253000000000304</v>
      </c>
      <c r="AD4451">
        <v>-1.1132123074989999</v>
      </c>
      <c r="AE4451">
        <v>-17.3385</v>
      </c>
      <c r="AF4451">
        <v>-4.6997141788225596</v>
      </c>
      <c r="AG4451">
        <v>-1.1132123074989999</v>
      </c>
      <c r="AH4451">
        <v>17.541823818308298</v>
      </c>
      <c r="AI4451">
        <v>93.507763668911707</v>
      </c>
      <c r="AJ4451">
        <v>104.998161319033</v>
      </c>
      <c r="AK4451">
        <v>18.194563415393102</v>
      </c>
      <c r="AL4451">
        <v>88.190938773789</v>
      </c>
      <c r="AM4451">
        <v>103.124170529354</v>
      </c>
      <c r="AN4451">
        <v>1.00000003548728</v>
      </c>
    </row>
    <row r="4452" spans="1:40" x14ac:dyDescent="0.25">
      <c r="A4452" t="str">
        <f>"20190312151628177"</f>
        <v>20190312151628177</v>
      </c>
      <c r="B4452" t="str">
        <f>"1552374988172275"</f>
        <v>1552374988172275</v>
      </c>
      <c r="C4452" t="s">
        <v>40</v>
      </c>
      <c r="D4452">
        <v>4.6689660000000002</v>
      </c>
      <c r="E4452">
        <v>0.48811300000000002</v>
      </c>
      <c r="F4452" t="s">
        <v>64</v>
      </c>
      <c r="G4452">
        <v>-417.02260000000001</v>
      </c>
      <c r="H4452" s="1">
        <v>-5.4562450000000001E-6</v>
      </c>
      <c r="I4452">
        <v>31.419530000000002</v>
      </c>
      <c r="J4452">
        <v>-422.7149</v>
      </c>
      <c r="K4452">
        <v>1.113294</v>
      </c>
      <c r="L4452">
        <v>48.704439999999998</v>
      </c>
      <c r="M4452">
        <v>5.6286049999999997E-2</v>
      </c>
      <c r="N4452">
        <v>0</v>
      </c>
      <c r="O4452">
        <v>-0.99831959999999997</v>
      </c>
      <c r="P4452">
        <v>0.28051479999999901</v>
      </c>
      <c r="Q4452">
        <v>1.921171E-2</v>
      </c>
      <c r="R4452">
        <v>-0.95965769999999995</v>
      </c>
      <c r="S4452">
        <v>0.92837519999999996</v>
      </c>
      <c r="T4452">
        <v>-0.18090719999999999</v>
      </c>
      <c r="U4452">
        <v>-2.8589169999999999</v>
      </c>
      <c r="V4452">
        <v>-0.2263221</v>
      </c>
      <c r="W4452">
        <v>3.0691389999999999E-2</v>
      </c>
      <c r="X4452">
        <v>0.97356889999999996</v>
      </c>
      <c r="Y4452">
        <v>-0.25426100000000001</v>
      </c>
      <c r="Z4452">
        <v>6.0418289999999999E-2</v>
      </c>
      <c r="AA4452">
        <v>0.96524659999999995</v>
      </c>
      <c r="AB4452">
        <v>31</v>
      </c>
      <c r="AC4452">
        <v>5.6922999999999799</v>
      </c>
      <c r="AD4452">
        <v>-1.113299456245</v>
      </c>
      <c r="AE4452">
        <v>-17.28491</v>
      </c>
      <c r="AF4452">
        <v>-4.69271957648641</v>
      </c>
      <c r="AG4452">
        <v>-1.113299456245</v>
      </c>
      <c r="AH4452">
        <v>17.512388517923501</v>
      </c>
      <c r="AI4452">
        <v>93.5138746251545</v>
      </c>
      <c r="AJ4452">
        <v>105.00088284544201</v>
      </c>
      <c r="AK4452">
        <v>18.164382849563399</v>
      </c>
      <c r="AL4452">
        <v>88.241236747858807</v>
      </c>
      <c r="AM4452">
        <v>103.086908748966</v>
      </c>
      <c r="AN4452">
        <v>1.0000000287078701</v>
      </c>
    </row>
    <row r="4453" spans="1:40" x14ac:dyDescent="0.25">
      <c r="A4453" t="str">
        <f>"20190312151628198"</f>
        <v>20190312151628198</v>
      </c>
      <c r="B4453" t="str">
        <f>"1552374988192771"</f>
        <v>1552374988192771</v>
      </c>
      <c r="C4453" t="s">
        <v>40</v>
      </c>
      <c r="D4453">
        <v>4.5376200000000004</v>
      </c>
      <c r="E4453">
        <v>0.48826150000000001</v>
      </c>
      <c r="F4453" t="s">
        <v>64</v>
      </c>
      <c r="G4453">
        <v>-416.96769999999998</v>
      </c>
      <c r="H4453" s="1">
        <v>-5.5560090000000003E-6</v>
      </c>
      <c r="I4453">
        <v>31.247630000000001</v>
      </c>
      <c r="J4453">
        <v>-422.6936</v>
      </c>
      <c r="K4453">
        <v>1.113372</v>
      </c>
      <c r="L4453">
        <v>48.405149999999999</v>
      </c>
      <c r="M4453">
        <v>6.0613819999999999E-2</v>
      </c>
      <c r="N4453">
        <v>0</v>
      </c>
      <c r="O4453">
        <v>-0.99806609999999996</v>
      </c>
      <c r="P4453">
        <v>0.28398449999999997</v>
      </c>
      <c r="Q4453">
        <v>1.91015E-2</v>
      </c>
      <c r="R4453">
        <v>-0.95863880000000001</v>
      </c>
      <c r="S4453">
        <v>0.93994140000000004</v>
      </c>
      <c r="T4453">
        <v>-0.18207709999999999</v>
      </c>
      <c r="U4453">
        <v>-2.8550110000000002</v>
      </c>
      <c r="V4453">
        <v>-0.22562760000000001</v>
      </c>
      <c r="W4453">
        <v>3.0549369999999999E-2</v>
      </c>
      <c r="X4453">
        <v>0.97373460000000001</v>
      </c>
      <c r="Y4453">
        <v>-0.25398080000000001</v>
      </c>
      <c r="Z4453">
        <v>6.0827949999999999E-2</v>
      </c>
      <c r="AA4453">
        <v>0.9652946</v>
      </c>
      <c r="AB4453">
        <v>31</v>
      </c>
      <c r="AC4453">
        <v>5.7259000000000198</v>
      </c>
      <c r="AD4453">
        <v>-1.113377556009</v>
      </c>
      <c r="AE4453">
        <v>-17.157520000000002</v>
      </c>
      <c r="AF4453">
        <v>-4.6576406259215704</v>
      </c>
      <c r="AG4453">
        <v>-1.113377556009</v>
      </c>
      <c r="AH4453">
        <v>17.407113704388799</v>
      </c>
      <c r="AI4453">
        <v>93.535667174942802</v>
      </c>
      <c r="AJ4453">
        <v>104.979786339406</v>
      </c>
      <c r="AK4453">
        <v>18.053831540700202</v>
      </c>
      <c r="AL4453">
        <v>88.249377791948604</v>
      </c>
      <c r="AM4453">
        <v>103.04598151934</v>
      </c>
      <c r="AN4453">
        <v>1.0000000745631501</v>
      </c>
    </row>
    <row r="4454" spans="1:40" x14ac:dyDescent="0.25">
      <c r="A4454" t="str">
        <f>"20190312151628221"</f>
        <v>20190312151628221</v>
      </c>
      <c r="B4454" t="str">
        <f>"1552374988212292"</f>
        <v>1552374988212292</v>
      </c>
      <c r="C4454" t="s">
        <v>40</v>
      </c>
      <c r="D4454">
        <v>4.5599530000000001</v>
      </c>
      <c r="E4454">
        <v>0.4883209</v>
      </c>
      <c r="F4454" t="s">
        <v>64</v>
      </c>
      <c r="G4454">
        <v>-416.9169</v>
      </c>
      <c r="H4454" s="1">
        <v>-5.6527449999999999E-6</v>
      </c>
      <c r="I4454">
        <v>31.060199999999998</v>
      </c>
      <c r="J4454">
        <v>-422.67059999999998</v>
      </c>
      <c r="K4454">
        <v>1.1134520000000001</v>
      </c>
      <c r="L4454">
        <v>48.103209999999997</v>
      </c>
      <c r="M4454">
        <v>6.5071199999999996E-2</v>
      </c>
      <c r="N4454">
        <v>0</v>
      </c>
      <c r="O4454">
        <v>-0.99778529999999999</v>
      </c>
      <c r="P4454">
        <v>0.28773179999999998</v>
      </c>
      <c r="Q4454">
        <v>1.8497099999999999E-2</v>
      </c>
      <c r="R4454">
        <v>-0.9575323</v>
      </c>
      <c r="S4454">
        <v>0.9497681</v>
      </c>
      <c r="T4454">
        <v>-0.18305440000000001</v>
      </c>
      <c r="U4454">
        <v>-2.8517459999999999</v>
      </c>
      <c r="V4454">
        <v>-0.22508629999999999</v>
      </c>
      <c r="W4454">
        <v>2.9913080000000002E-2</v>
      </c>
      <c r="X4454">
        <v>0.97387959999999996</v>
      </c>
      <c r="Y4454">
        <v>-0.25298009999999999</v>
      </c>
      <c r="Z4454">
        <v>6.1169420000000002E-2</v>
      </c>
      <c r="AA4454">
        <v>0.96553580000000006</v>
      </c>
      <c r="AB4454">
        <v>31</v>
      </c>
      <c r="AC4454">
        <v>5.7536999999999798</v>
      </c>
      <c r="AD4454">
        <v>-1.113457652745</v>
      </c>
      <c r="AE4454">
        <v>-17.043009999999999</v>
      </c>
      <c r="AF4454">
        <v>-4.6147070966559198</v>
      </c>
      <c r="AG4454">
        <v>-1.113457652745</v>
      </c>
      <c r="AH4454">
        <v>17.314974291885399</v>
      </c>
      <c r="AI4454">
        <v>93.555621876094605</v>
      </c>
      <c r="AJ4454">
        <v>104.92332470411699</v>
      </c>
      <c r="AK4454">
        <v>17.953931164539899</v>
      </c>
      <c r="AL4454">
        <v>88.2858511587539</v>
      </c>
      <c r="AM4454">
        <v>103.013878084597</v>
      </c>
      <c r="AN4454">
        <v>1.0000000550494601</v>
      </c>
    </row>
    <row r="4455" spans="1:40" x14ac:dyDescent="0.25">
      <c r="A4455" t="str">
        <f>"20190312151628243"</f>
        <v>20190312151628243</v>
      </c>
      <c r="B4455" t="str">
        <f>"1552374988232787"</f>
        <v>1552374988232787</v>
      </c>
      <c r="C4455" t="s">
        <v>40</v>
      </c>
      <c r="D4455">
        <v>4.5207990000000002</v>
      </c>
      <c r="E4455">
        <v>0.48801499999999998</v>
      </c>
      <c r="F4455" t="s">
        <v>64</v>
      </c>
      <c r="G4455">
        <v>-416.90679999999998</v>
      </c>
      <c r="H4455" s="1">
        <v>-5.6739549999999996E-6</v>
      </c>
      <c r="I4455">
        <v>31.008299999999998</v>
      </c>
      <c r="J4455">
        <v>-422.6456</v>
      </c>
      <c r="K4455">
        <v>1.113529</v>
      </c>
      <c r="L4455">
        <v>47.794280000000001</v>
      </c>
      <c r="M4455">
        <v>6.9734729999999995E-2</v>
      </c>
      <c r="N4455">
        <v>0</v>
      </c>
      <c r="O4455">
        <v>-0.99746999999999997</v>
      </c>
      <c r="P4455">
        <v>0.2914197</v>
      </c>
      <c r="Q4455">
        <v>1.7731940000000002E-2</v>
      </c>
      <c r="R4455">
        <v>-0.95643100000000003</v>
      </c>
      <c r="S4455">
        <v>0.96026610000000001</v>
      </c>
      <c r="T4455">
        <v>-0.1855067</v>
      </c>
      <c r="U4455">
        <v>-2.8480829999999999</v>
      </c>
      <c r="V4455">
        <v>-0.22428439999999999</v>
      </c>
      <c r="W4455">
        <v>2.9120449999999999E-2</v>
      </c>
      <c r="X4455">
        <v>0.97408850000000002</v>
      </c>
      <c r="Y4455">
        <v>-0.25201299999999999</v>
      </c>
      <c r="Z4455">
        <v>6.2004030000000002E-2</v>
      </c>
      <c r="AA4455">
        <v>0.96573540000000002</v>
      </c>
      <c r="AB4455">
        <v>31</v>
      </c>
      <c r="AC4455">
        <v>5.7388000000000199</v>
      </c>
      <c r="AD4455">
        <v>-1.1135346739550001</v>
      </c>
      <c r="AE4455">
        <v>-16.785979999999999</v>
      </c>
      <c r="AF4455">
        <v>-4.5362758783409802</v>
      </c>
      <c r="AG4455">
        <v>-1.1135346739550001</v>
      </c>
      <c r="AH4455">
        <v>17.078050599196398</v>
      </c>
      <c r="AI4455">
        <v>93.605868342314096</v>
      </c>
      <c r="AJ4455">
        <v>104.875427183569</v>
      </c>
      <c r="AK4455">
        <v>17.705297811198498</v>
      </c>
      <c r="AL4455">
        <v>88.331285130904405</v>
      </c>
      <c r="AM4455">
        <v>102.966397255793</v>
      </c>
      <c r="AN4455">
        <v>0.99999994926190405</v>
      </c>
    </row>
    <row r="4456" spans="1:40" x14ac:dyDescent="0.25">
      <c r="A4456" t="str">
        <f>"20190312151628265"</f>
        <v>20190312151628265</v>
      </c>
      <c r="B4456" t="str">
        <f>"1552374988262068"</f>
        <v>1552374988262068</v>
      </c>
      <c r="C4456" t="s">
        <v>40</v>
      </c>
      <c r="D4456">
        <v>4.5006089999999999</v>
      </c>
      <c r="E4456">
        <v>0.47590640000000001</v>
      </c>
      <c r="F4456" t="s">
        <v>64</v>
      </c>
      <c r="G4456">
        <v>-416.89890000000003</v>
      </c>
      <c r="H4456" s="1">
        <v>-5.6735300000000004E-6</v>
      </c>
      <c r="I4456">
        <v>31.012689999999999</v>
      </c>
      <c r="J4456">
        <v>-422.61880000000002</v>
      </c>
      <c r="K4456">
        <v>1.1136029999999999</v>
      </c>
      <c r="L4456">
        <v>47.481810000000003</v>
      </c>
      <c r="M4456">
        <v>7.4554560000000006E-2</v>
      </c>
      <c r="N4456">
        <v>0</v>
      </c>
      <c r="O4456">
        <v>-0.99712140000000005</v>
      </c>
      <c r="P4456">
        <v>0.2948847</v>
      </c>
      <c r="Q4456">
        <v>1.7038359999999999E-2</v>
      </c>
      <c r="R4456">
        <v>-0.95538100000000004</v>
      </c>
      <c r="S4456">
        <v>0.97372440000000005</v>
      </c>
      <c r="T4456">
        <v>-0.1886775</v>
      </c>
      <c r="U4456">
        <v>-2.8434750000000002</v>
      </c>
      <c r="V4456">
        <v>-0.22310530000000001</v>
      </c>
      <c r="W4456">
        <v>2.8404530000000001E-2</v>
      </c>
      <c r="X4456">
        <v>0.97438040000000004</v>
      </c>
      <c r="Y4456">
        <v>-0.2518859</v>
      </c>
      <c r="Z4456">
        <v>6.3077060000000004E-2</v>
      </c>
      <c r="AA4456">
        <v>0.96569910000000003</v>
      </c>
      <c r="AB4456">
        <v>31</v>
      </c>
      <c r="AC4456">
        <v>5.7198999999999902</v>
      </c>
      <c r="AD4456">
        <v>-1.1136086735299999</v>
      </c>
      <c r="AE4456">
        <v>-16.469119999999901</v>
      </c>
      <c r="AF4456">
        <v>-4.4578250339296703</v>
      </c>
      <c r="AG4456">
        <v>-1.1136086735299999</v>
      </c>
      <c r="AH4456">
        <v>16.781293576563598</v>
      </c>
      <c r="AI4456">
        <v>93.669684039202906</v>
      </c>
      <c r="AJ4456">
        <v>104.87661940414399</v>
      </c>
      <c r="AK4456">
        <v>17.398969579078699</v>
      </c>
      <c r="AL4456">
        <v>88.3723213529519</v>
      </c>
      <c r="AM4456">
        <v>102.89678161893001</v>
      </c>
      <c r="AN4456">
        <v>0.99999997805838503</v>
      </c>
    </row>
    <row r="4457" spans="1:40" x14ac:dyDescent="0.25">
      <c r="A4457" t="str">
        <f>"20190312151628287"</f>
        <v>20190312151628287</v>
      </c>
      <c r="B4457" t="str">
        <f>"1552374988282563"</f>
        <v>1552374988282563</v>
      </c>
      <c r="C4457" t="s">
        <v>40</v>
      </c>
      <c r="D4457">
        <v>4.4221890000000004</v>
      </c>
      <c r="E4457">
        <v>0.46448070000000002</v>
      </c>
      <c r="F4457" t="s">
        <v>64</v>
      </c>
      <c r="G4457">
        <v>-416.3227</v>
      </c>
      <c r="H4457" s="1">
        <v>-5.7550329999999901E-6</v>
      </c>
      <c r="I4457">
        <v>31.035150000000002</v>
      </c>
      <c r="J4457">
        <v>-422.5915</v>
      </c>
      <c r="K4457">
        <v>1.113677</v>
      </c>
      <c r="L4457">
        <v>47.180999999999997</v>
      </c>
      <c r="M4457">
        <v>7.9286670000000004E-2</v>
      </c>
      <c r="N4457">
        <v>0</v>
      </c>
      <c r="O4457">
        <v>-0.99675619999999998</v>
      </c>
      <c r="P4457">
        <v>0.2989696</v>
      </c>
      <c r="Q4457">
        <v>1.6638119999999999E-2</v>
      </c>
      <c r="R4457">
        <v>-0.95411789999999996</v>
      </c>
      <c r="S4457">
        <v>1.076233</v>
      </c>
      <c r="T4457">
        <v>-0.19035460000000001</v>
      </c>
      <c r="U4457">
        <v>-2.8113100000000002</v>
      </c>
      <c r="V4457">
        <v>-0.22264990000000001</v>
      </c>
      <c r="W4457">
        <v>2.7976029999999999E-2</v>
      </c>
      <c r="X4457">
        <v>0.97449699999999995</v>
      </c>
      <c r="Y4457">
        <v>-0.28161740000000002</v>
      </c>
      <c r="Z4457">
        <v>6.3630619999999999E-2</v>
      </c>
      <c r="AA4457">
        <v>0.9574146</v>
      </c>
      <c r="AB4457">
        <v>31</v>
      </c>
      <c r="AC4457">
        <v>6.2687999999999899</v>
      </c>
      <c r="AD4457">
        <v>-1.113682755033</v>
      </c>
      <c r="AE4457">
        <v>-16.145849999999999</v>
      </c>
      <c r="AF4457">
        <v>-4.9483295869291801</v>
      </c>
      <c r="AG4457">
        <v>-1.113682755033</v>
      </c>
      <c r="AH4457">
        <v>16.5237732043955</v>
      </c>
      <c r="AI4457">
        <v>93.694221065681106</v>
      </c>
      <c r="AJ4457">
        <v>106.671238278742</v>
      </c>
      <c r="AK4457">
        <v>17.2847139371768</v>
      </c>
      <c r="AL4457">
        <v>88.396882422995901</v>
      </c>
      <c r="AM4457">
        <v>102.869845695373</v>
      </c>
      <c r="AN4457">
        <v>1.00000001961678</v>
      </c>
    </row>
    <row r="4458" spans="1:40" x14ac:dyDescent="0.25">
      <c r="A4458" t="str">
        <f>"20190312151628309"</f>
        <v>20190312151628309</v>
      </c>
      <c r="B4458" t="str">
        <f>"1552374988302094"</f>
        <v>1552374988302094</v>
      </c>
      <c r="C4458" t="s">
        <v>40</v>
      </c>
      <c r="D4458">
        <v>4.4391740000000004</v>
      </c>
      <c r="E4458">
        <v>0.4650145</v>
      </c>
      <c r="F4458" t="s">
        <v>64</v>
      </c>
      <c r="G4458">
        <v>-418.68279999999999</v>
      </c>
      <c r="H4458" s="1">
        <v>-1.3812809999999999E-6</v>
      </c>
      <c r="I4458">
        <v>37.974449999999997</v>
      </c>
      <c r="J4458">
        <v>-422.56290000000001</v>
      </c>
      <c r="K4458">
        <v>1.113739</v>
      </c>
      <c r="L4458">
        <v>46.883479999999999</v>
      </c>
      <c r="M4458">
        <v>8.4052000000000002E-2</v>
      </c>
      <c r="N4458">
        <v>0</v>
      </c>
      <c r="O4458">
        <v>-0.99636550000000002</v>
      </c>
      <c r="P4458">
        <v>0.30262430000000001</v>
      </c>
      <c r="Q4458">
        <v>1.554608E-2</v>
      </c>
      <c r="R4458">
        <v>-0.95298329999999998</v>
      </c>
      <c r="S4458">
        <v>1.1803889999999999</v>
      </c>
      <c r="T4458">
        <v>-0.33631830000000001</v>
      </c>
      <c r="U4458">
        <v>-2.7802730000000002</v>
      </c>
      <c r="V4458">
        <v>-0.221717</v>
      </c>
      <c r="W4458">
        <v>2.686446E-2</v>
      </c>
      <c r="X4458">
        <v>0.97474090000000002</v>
      </c>
      <c r="Y4458">
        <v>-0.30959409999999998</v>
      </c>
      <c r="Z4458">
        <v>0.1117546</v>
      </c>
      <c r="AA4458">
        <v>0.94427879999999997</v>
      </c>
      <c r="AB4458">
        <v>31</v>
      </c>
      <c r="AC4458">
        <v>3.8801000000000201</v>
      </c>
      <c r="AD4458">
        <v>-1.1137403812809901</v>
      </c>
      <c r="AE4458">
        <v>-8.9090299999999996</v>
      </c>
      <c r="AF4458">
        <v>-3.0770524079549801</v>
      </c>
      <c r="AG4458">
        <v>-1.1137403812809901</v>
      </c>
      <c r="AH4458">
        <v>9.0843242046145196</v>
      </c>
      <c r="AI4458">
        <v>96.623508123791296</v>
      </c>
      <c r="AJ4458">
        <v>108.712325665395</v>
      </c>
      <c r="AK4458">
        <v>9.6557555588748603</v>
      </c>
      <c r="AL4458">
        <v>88.460594581686195</v>
      </c>
      <c r="AM4458">
        <v>102.814604661624</v>
      </c>
      <c r="AN4458">
        <v>0.99999997471644997</v>
      </c>
    </row>
    <row r="4459" spans="1:40" x14ac:dyDescent="0.25">
      <c r="A4459" t="str">
        <f>"20190312151628332"</f>
        <v>20190312151628332</v>
      </c>
      <c r="B4459" t="str">
        <f>"1552374988322579"</f>
        <v>1552374988322579</v>
      </c>
      <c r="C4459" t="s">
        <v>40</v>
      </c>
      <c r="D4459">
        <v>4.5079779999999996</v>
      </c>
      <c r="E4459">
        <v>0.46463070000000001</v>
      </c>
      <c r="F4459" t="s">
        <v>64</v>
      </c>
      <c r="G4459">
        <v>-418.0702</v>
      </c>
      <c r="H4459" s="1">
        <v>-2.569402E-6</v>
      </c>
      <c r="I4459">
        <v>36.361669999999997</v>
      </c>
      <c r="J4459">
        <v>-422.53160000000003</v>
      </c>
      <c r="K4459">
        <v>1.1138079999999999</v>
      </c>
      <c r="L4459">
        <v>46.573430000000002</v>
      </c>
      <c r="M4459">
        <v>8.9111540000000003E-2</v>
      </c>
      <c r="N4459">
        <v>0</v>
      </c>
      <c r="O4459">
        <v>-0.99592599999999998</v>
      </c>
      <c r="P4459">
        <v>0.30608590000000002</v>
      </c>
      <c r="Q4459">
        <v>1.4954139999999999E-2</v>
      </c>
      <c r="R4459">
        <v>-0.95188669999999997</v>
      </c>
      <c r="S4459">
        <v>1.185486</v>
      </c>
      <c r="T4459">
        <v>-0.29388049999999999</v>
      </c>
      <c r="U4459">
        <v>-2.776367</v>
      </c>
      <c r="V4459">
        <v>-0.2203068</v>
      </c>
      <c r="W4459">
        <v>2.6257180000000001E-2</v>
      </c>
      <c r="X4459">
        <v>0.97507719999999998</v>
      </c>
      <c r="Y4459">
        <v>-0.30728539999999999</v>
      </c>
      <c r="Z4459">
        <v>9.7869250000000005E-2</v>
      </c>
      <c r="AA4459">
        <v>0.94657139999999995</v>
      </c>
      <c r="AB4459">
        <v>31</v>
      </c>
      <c r="AC4459">
        <v>4.4614000000000198</v>
      </c>
      <c r="AD4459">
        <v>-1.113810569402</v>
      </c>
      <c r="AE4459">
        <v>-10.2117599999999</v>
      </c>
      <c r="AF4459">
        <v>-3.4986247068033598</v>
      </c>
      <c r="AG4459">
        <v>-1.113810569402</v>
      </c>
      <c r="AH4459">
        <v>10.4641913008633</v>
      </c>
      <c r="AI4459">
        <v>95.764334358056303</v>
      </c>
      <c r="AJ4459">
        <v>108.48697602223</v>
      </c>
      <c r="AK4459">
        <v>11.089645999968999</v>
      </c>
      <c r="AL4459">
        <v>88.495401535892796</v>
      </c>
      <c r="AM4459">
        <v>102.731516228384</v>
      </c>
      <c r="AN4459">
        <v>1.0000000357938099</v>
      </c>
    </row>
    <row r="4460" spans="1:40" x14ac:dyDescent="0.25">
      <c r="A4460" t="str">
        <f>"20190312151628355"</f>
        <v>20190312151628355</v>
      </c>
      <c r="B4460" t="str">
        <f>"1552374988352836"</f>
        <v>1552374988352836</v>
      </c>
      <c r="C4460" t="s">
        <v>40</v>
      </c>
      <c r="D4460">
        <v>4.4749699999999999</v>
      </c>
      <c r="E4460">
        <v>0.46443040000000002</v>
      </c>
      <c r="F4460" t="s">
        <v>64</v>
      </c>
      <c r="G4460">
        <v>-417.7396</v>
      </c>
      <c r="H4460" s="1">
        <v>-3.1913770000000001E-6</v>
      </c>
      <c r="I4460">
        <v>35.48847</v>
      </c>
      <c r="J4460">
        <v>-422.4984</v>
      </c>
      <c r="K4460">
        <v>1.1138809999999999</v>
      </c>
      <c r="L4460">
        <v>46.262819999999998</v>
      </c>
      <c r="M4460">
        <v>9.4295290000000004E-2</v>
      </c>
      <c r="N4460">
        <v>0</v>
      </c>
      <c r="O4460">
        <v>-0.99544820000000001</v>
      </c>
      <c r="P4460">
        <v>0.31005450000000001</v>
      </c>
      <c r="Q4460">
        <v>1.4362460000000001E-2</v>
      </c>
      <c r="R4460">
        <v>-0.95061019999999896</v>
      </c>
      <c r="S4460">
        <v>1.1978150000000001</v>
      </c>
      <c r="T4460">
        <v>-0.27841320000000003</v>
      </c>
      <c r="U4460">
        <v>-2.7708439999999999</v>
      </c>
      <c r="V4460">
        <v>-0.21929570000000001</v>
      </c>
      <c r="W4460">
        <v>2.5644179999999999E-2</v>
      </c>
      <c r="X4460">
        <v>0.97532140000000001</v>
      </c>
      <c r="Y4460">
        <v>-0.30676199999999998</v>
      </c>
      <c r="Z4460">
        <v>9.2797760000000007E-2</v>
      </c>
      <c r="AA4460">
        <v>0.94725159999999997</v>
      </c>
      <c r="AB4460">
        <v>31</v>
      </c>
      <c r="AC4460">
        <v>4.7587999999999999</v>
      </c>
      <c r="AD4460">
        <v>-1.1138841913769999</v>
      </c>
      <c r="AE4460">
        <v>-10.774349999999901</v>
      </c>
      <c r="AF4460">
        <v>-3.6885364519608101</v>
      </c>
      <c r="AG4460">
        <v>-1.1138841913769999</v>
      </c>
      <c r="AH4460">
        <v>11.076051407140101</v>
      </c>
      <c r="AI4460">
        <v>95.450384206412807</v>
      </c>
      <c r="AJ4460">
        <v>108.418742455567</v>
      </c>
      <c r="AK4460">
        <v>11.727103390132299</v>
      </c>
      <c r="AL4460">
        <v>88.530535672793306</v>
      </c>
      <c r="AM4460">
        <v>102.67190567997299</v>
      </c>
      <c r="AN4460">
        <v>1.0000000306521599</v>
      </c>
    </row>
    <row r="4461" spans="1:40" x14ac:dyDescent="0.25">
      <c r="A4461" t="str">
        <f>"20190312151628377"</f>
        <v>20190312151628377</v>
      </c>
      <c r="B4461" t="str">
        <f>"1552374988372355"</f>
        <v>1552374988372355</v>
      </c>
      <c r="C4461" t="s">
        <v>40</v>
      </c>
      <c r="D4461">
        <v>4.4510759999999996</v>
      </c>
      <c r="E4461">
        <v>0.46407979999999999</v>
      </c>
      <c r="F4461" t="s">
        <v>64</v>
      </c>
      <c r="G4461">
        <v>-417.77440000000001</v>
      </c>
      <c r="H4461" s="1">
        <v>-3.1877739999999999E-6</v>
      </c>
      <c r="I4461">
        <v>35.480930000000001</v>
      </c>
      <c r="J4461">
        <v>-422.46510000000001</v>
      </c>
      <c r="K4461">
        <v>1.113969</v>
      </c>
      <c r="L4461">
        <v>45.966740000000001</v>
      </c>
      <c r="M4461">
        <v>9.9340579999999998E-2</v>
      </c>
      <c r="N4461">
        <v>0</v>
      </c>
      <c r="O4461">
        <v>-0.99495739999999999</v>
      </c>
      <c r="P4461">
        <v>0.31359399999999998</v>
      </c>
      <c r="Q4461">
        <v>1.468327E-2</v>
      </c>
      <c r="R4461">
        <v>-0.94944390000000001</v>
      </c>
      <c r="S4461">
        <v>1.2114560000000001</v>
      </c>
      <c r="T4461">
        <v>-0.285659</v>
      </c>
      <c r="U4461">
        <v>-2.7650450000000002</v>
      </c>
      <c r="V4461">
        <v>-0.2179934</v>
      </c>
      <c r="W4461">
        <v>2.594687E-2</v>
      </c>
      <c r="X4461">
        <v>0.97560519999999995</v>
      </c>
      <c r="Y4461">
        <v>-0.30649880000000002</v>
      </c>
      <c r="Z4461">
        <v>9.5215519999999998E-2</v>
      </c>
      <c r="AA4461">
        <v>0.94709690000000002</v>
      </c>
      <c r="AB4461">
        <v>31</v>
      </c>
      <c r="AC4461">
        <v>4.6906999999999899</v>
      </c>
      <c r="AD4461">
        <v>-1.1139721877740001</v>
      </c>
      <c r="AE4461">
        <v>-10.485810000000001</v>
      </c>
      <c r="AF4461">
        <v>-3.5919474038598098</v>
      </c>
      <c r="AG4461">
        <v>-1.1139721877740001</v>
      </c>
      <c r="AH4461">
        <v>10.798402651488701</v>
      </c>
      <c r="AI4461">
        <v>95.5907229907111</v>
      </c>
      <c r="AJ4461">
        <v>108.399029956633</v>
      </c>
      <c r="AK4461">
        <v>11.434531910441599</v>
      </c>
      <c r="AL4461">
        <v>88.513186897667794</v>
      </c>
      <c r="AM4461">
        <v>102.59551408628499</v>
      </c>
      <c r="AN4461">
        <v>0.99999993438669599</v>
      </c>
    </row>
    <row r="4462" spans="1:40" x14ac:dyDescent="0.25">
      <c r="A4462" t="str">
        <f>"20190312151628399"</f>
        <v>20190312151628399</v>
      </c>
      <c r="B4462" t="str">
        <f>"1552374988392644"</f>
        <v>1552374988392644</v>
      </c>
      <c r="C4462" t="s">
        <v>40</v>
      </c>
      <c r="D4462">
        <v>4.4454159999999998</v>
      </c>
      <c r="E4462">
        <v>0.4638736</v>
      </c>
      <c r="F4462" t="s">
        <v>64</v>
      </c>
      <c r="G4462">
        <v>-417.72269999999997</v>
      </c>
      <c r="H4462" s="1">
        <v>-3.3091330000000001E-6</v>
      </c>
      <c r="I4462">
        <v>35.28004</v>
      </c>
      <c r="J4462">
        <v>-422.42919999999998</v>
      </c>
      <c r="K4462">
        <v>1.11405</v>
      </c>
      <c r="L4462">
        <v>45.662930000000003</v>
      </c>
      <c r="M4462">
        <v>0.104608399999999</v>
      </c>
      <c r="N4462">
        <v>0</v>
      </c>
      <c r="O4462">
        <v>-0.99441740000000001</v>
      </c>
      <c r="P4462">
        <v>0.3176562</v>
      </c>
      <c r="Q4462">
        <v>1.546458E-2</v>
      </c>
      <c r="R4462">
        <v>-0.94808020000000004</v>
      </c>
      <c r="S4462">
        <v>1.2246699999999999</v>
      </c>
      <c r="T4462">
        <v>-0.28766940000000002</v>
      </c>
      <c r="U4462">
        <v>-2.7597049999999999</v>
      </c>
      <c r="V4462">
        <v>-0.21701719999999999</v>
      </c>
      <c r="W4462">
        <v>2.6707160000000001E-2</v>
      </c>
      <c r="X4462">
        <v>0.97580239999999996</v>
      </c>
      <c r="Y4462">
        <v>-0.30590309999999998</v>
      </c>
      <c r="Z4462">
        <v>9.5890199999999995E-2</v>
      </c>
      <c r="AA4462">
        <v>0.94722139999999999</v>
      </c>
      <c r="AB4462">
        <v>31</v>
      </c>
      <c r="AC4462">
        <v>4.7065000000000001</v>
      </c>
      <c r="AD4462">
        <v>-1.1140533091329901</v>
      </c>
      <c r="AE4462">
        <v>-10.3828899999999</v>
      </c>
      <c r="AF4462">
        <v>-3.56042831099438</v>
      </c>
      <c r="AG4462">
        <v>-1.1140533091329901</v>
      </c>
      <c r="AH4462">
        <v>10.715959093892801</v>
      </c>
      <c r="AI4462">
        <v>95.634507800473301</v>
      </c>
      <c r="AJ4462">
        <v>108.37931239826101</v>
      </c>
      <c r="AK4462">
        <v>11.3467856168742</v>
      </c>
      <c r="AL4462">
        <v>88.469610528618304</v>
      </c>
      <c r="AM4462">
        <v>102.538443775837</v>
      </c>
      <c r="AN4462">
        <v>1.00000003066843</v>
      </c>
    </row>
    <row r="4463" spans="1:40" x14ac:dyDescent="0.25">
      <c r="A4463" t="str">
        <f>"20190312151628421"</f>
        <v>20190312151628421</v>
      </c>
      <c r="B4463" t="str">
        <f>"1552374988412163"</f>
        <v>1552374988412163</v>
      </c>
      <c r="C4463" t="s">
        <v>40</v>
      </c>
      <c r="D4463">
        <v>4.5018840000000004</v>
      </c>
      <c r="E4463">
        <v>0.46385779999999899</v>
      </c>
      <c r="F4463" t="s">
        <v>64</v>
      </c>
      <c r="G4463">
        <v>-417.67419999999998</v>
      </c>
      <c r="H4463" s="1">
        <v>-3.4262779999999999E-6</v>
      </c>
      <c r="I4463">
        <v>35.085520000000002</v>
      </c>
      <c r="J4463">
        <v>-422.3929</v>
      </c>
      <c r="K4463">
        <v>1.1141239999999999</v>
      </c>
      <c r="L4463">
        <v>45.368319999999997</v>
      </c>
      <c r="M4463">
        <v>0.1098075</v>
      </c>
      <c r="N4463">
        <v>0</v>
      </c>
      <c r="O4463">
        <v>-0.99385659999999998</v>
      </c>
      <c r="P4463">
        <v>0.32227499999999998</v>
      </c>
      <c r="Q4463">
        <v>1.5762709999999999E-2</v>
      </c>
      <c r="R4463">
        <v>-0.94651510000000005</v>
      </c>
      <c r="S4463">
        <v>1.238129</v>
      </c>
      <c r="T4463">
        <v>-0.29008080000000003</v>
      </c>
      <c r="U4463">
        <v>-2.754181</v>
      </c>
      <c r="V4463">
        <v>-0.2166806</v>
      </c>
      <c r="W4463">
        <v>2.697838E-2</v>
      </c>
      <c r="X4463">
        <v>0.97586969999999995</v>
      </c>
      <c r="Y4463">
        <v>-0.30545620000000001</v>
      </c>
      <c r="Z4463">
        <v>9.6694879999999997E-2</v>
      </c>
      <c r="AA4463">
        <v>0.94728380000000001</v>
      </c>
      <c r="AB4463">
        <v>31</v>
      </c>
      <c r="AC4463">
        <v>4.7187000000000099</v>
      </c>
      <c r="AD4463">
        <v>-1.1141274262780001</v>
      </c>
      <c r="AE4463">
        <v>-10.2828</v>
      </c>
      <c r="AF4463">
        <v>-3.5267234871858801</v>
      </c>
      <c r="AG4463">
        <v>-1.1141274262780001</v>
      </c>
      <c r="AH4463">
        <v>10.635667217129599</v>
      </c>
      <c r="AI4463">
        <v>95.678257129161395</v>
      </c>
      <c r="AJ4463">
        <v>108.345211510276</v>
      </c>
      <c r="AK4463">
        <v>11.2603941152421</v>
      </c>
      <c r="AL4463">
        <v>88.4540651085928</v>
      </c>
      <c r="AM4463">
        <v>102.518773692682</v>
      </c>
      <c r="AN4463">
        <v>0.99999999339093704</v>
      </c>
    </row>
    <row r="4464" spans="1:40" x14ac:dyDescent="0.25">
      <c r="A4464" t="str">
        <f>"20190312151628444"</f>
        <v>20190312151628444</v>
      </c>
      <c r="B4464" t="str">
        <f>"1552374988432659"</f>
        <v>1552374988432659</v>
      </c>
      <c r="C4464" t="s">
        <v>40</v>
      </c>
      <c r="D4464">
        <v>4.5089449999999998</v>
      </c>
      <c r="E4464">
        <v>0.46380070000000001</v>
      </c>
      <c r="F4464" t="s">
        <v>64</v>
      </c>
      <c r="G4464">
        <v>-417.62470000000002</v>
      </c>
      <c r="H4464" s="1">
        <v>-3.5399370000000002E-6</v>
      </c>
      <c r="I4464">
        <v>34.897770000000001</v>
      </c>
      <c r="J4464">
        <v>-422.35270000000003</v>
      </c>
      <c r="K4464">
        <v>1.1142000000000001</v>
      </c>
      <c r="L4464">
        <v>45.058259999999997</v>
      </c>
      <c r="M4464">
        <v>0.11538619999999999</v>
      </c>
      <c r="N4464">
        <v>0</v>
      </c>
      <c r="O4464">
        <v>-0.99322410000000005</v>
      </c>
      <c r="P4464">
        <v>0.32706049999999998</v>
      </c>
      <c r="Q4464">
        <v>1.567671E-2</v>
      </c>
      <c r="R4464">
        <v>-0.94487370000000004</v>
      </c>
      <c r="S4464">
        <v>1.2515259999999999</v>
      </c>
      <c r="T4464">
        <v>-0.292431099999999</v>
      </c>
      <c r="U4464">
        <v>-2.7482600000000001</v>
      </c>
      <c r="V4464">
        <v>-0.21614330000000001</v>
      </c>
      <c r="W4464">
        <v>2.6866370000000001E-2</v>
      </c>
      <c r="X4464">
        <v>0.97599199999999997</v>
      </c>
      <c r="Y4464">
        <v>-0.30467490000000003</v>
      </c>
      <c r="Z4464">
        <v>9.7486089999999997E-2</v>
      </c>
      <c r="AA4464">
        <v>0.94745429999999997</v>
      </c>
      <c r="AB4464">
        <v>31</v>
      </c>
      <c r="AC4464">
        <v>4.7279999999999998</v>
      </c>
      <c r="AD4464">
        <v>-1.1142035399370001</v>
      </c>
      <c r="AE4464">
        <v>-10.1604899999999</v>
      </c>
      <c r="AF4464">
        <v>-3.4894284566512099</v>
      </c>
      <c r="AG4464">
        <v>-1.1142035399370001</v>
      </c>
      <c r="AH4464">
        <v>10.534081204687199</v>
      </c>
      <c r="AI4464">
        <v>95.733624535304997</v>
      </c>
      <c r="AJ4464">
        <v>108.327521077257</v>
      </c>
      <c r="AK4464">
        <v>11.1527766636582</v>
      </c>
      <c r="AL4464">
        <v>88.460485232425796</v>
      </c>
      <c r="AM4464">
        <v>102.487190289637</v>
      </c>
      <c r="AN4464">
        <v>1.0000000560179301</v>
      </c>
    </row>
    <row r="4465" spans="1:40" x14ac:dyDescent="0.25">
      <c r="A4465" t="str">
        <f>"20190312151628466"</f>
        <v>20190312151628466</v>
      </c>
      <c r="B4465" t="str">
        <f>"1552374988461939"</f>
        <v>1552374988461939</v>
      </c>
      <c r="C4465" t="s">
        <v>40</v>
      </c>
      <c r="D4465">
        <v>4.534681</v>
      </c>
      <c r="E4465">
        <v>0.4638042</v>
      </c>
      <c r="F4465" t="s">
        <v>64</v>
      </c>
      <c r="G4465">
        <v>-417.51650000000001</v>
      </c>
      <c r="H4465" s="1">
        <v>-3.7324769999999998E-6</v>
      </c>
      <c r="I4465">
        <v>34.587620000000001</v>
      </c>
      <c r="J4465">
        <v>-422.31270000000001</v>
      </c>
      <c r="K4465">
        <v>1.114279</v>
      </c>
      <c r="L4465">
        <v>44.762540000000001</v>
      </c>
      <c r="M4465">
        <v>0.120813</v>
      </c>
      <c r="N4465">
        <v>0</v>
      </c>
      <c r="O4465">
        <v>-0.99257850000000003</v>
      </c>
      <c r="P4465">
        <v>0.33208159999999998</v>
      </c>
      <c r="Q4465">
        <v>1.547163E-2</v>
      </c>
      <c r="R4465">
        <v>-0.94312390000000001</v>
      </c>
      <c r="S4465">
        <v>1.2662659999999999</v>
      </c>
      <c r="T4465">
        <v>-0.2917343</v>
      </c>
      <c r="U4465">
        <v>-2.7415470000000002</v>
      </c>
      <c r="V4465">
        <v>-0.21600220000000001</v>
      </c>
      <c r="W4465">
        <v>2.6630419999999998E-2</v>
      </c>
      <c r="X4465">
        <v>0.97602960000000005</v>
      </c>
      <c r="Y4465">
        <v>-0.30456240000000001</v>
      </c>
      <c r="Z4465">
        <v>9.7273769999999996E-2</v>
      </c>
      <c r="AA4465">
        <v>0.94751229999999997</v>
      </c>
      <c r="AB4465">
        <v>31</v>
      </c>
      <c r="AC4465">
        <v>4.79619999999999</v>
      </c>
      <c r="AD4465">
        <v>-1.1142827324769999</v>
      </c>
      <c r="AE4465">
        <v>-10.17492</v>
      </c>
      <c r="AF4465">
        <v>-3.4973631157662299</v>
      </c>
      <c r="AG4465">
        <v>-1.1142827324769999</v>
      </c>
      <c r="AH4465">
        <v>10.5760961305125</v>
      </c>
      <c r="AI4465">
        <v>95.712358520988701</v>
      </c>
      <c r="AJ4465">
        <v>108.298309050545</v>
      </c>
      <c r="AK4465">
        <v>11.1949535118847</v>
      </c>
      <c r="AL4465">
        <v>88.4740088553351</v>
      </c>
      <c r="AM4465">
        <v>102.478828321286</v>
      </c>
      <c r="AN4465">
        <v>0.999999954875187</v>
      </c>
    </row>
    <row r="4466" spans="1:40" x14ac:dyDescent="0.25">
      <c r="A4466" t="str">
        <f>"20190312151628488"</f>
        <v>20190312151628488</v>
      </c>
      <c r="B4466" t="str">
        <f>"1552374988482464"</f>
        <v>1552374988482464</v>
      </c>
      <c r="C4466" t="s">
        <v>40</v>
      </c>
      <c r="D4466">
        <v>4.5939170000000003</v>
      </c>
      <c r="E4466">
        <v>0.4637617</v>
      </c>
      <c r="F4466" t="s">
        <v>64</v>
      </c>
      <c r="G4466">
        <v>-417.47309999999999</v>
      </c>
      <c r="H4466" s="1">
        <v>-3.8191329999999998E-6</v>
      </c>
      <c r="I4466">
        <v>34.43647</v>
      </c>
      <c r="J4466">
        <v>-422.26979999999998</v>
      </c>
      <c r="K4466">
        <v>1.1143559999999999</v>
      </c>
      <c r="L4466">
        <v>44.458280000000002</v>
      </c>
      <c r="M4466">
        <v>0.12650799999999901</v>
      </c>
      <c r="N4466">
        <v>0</v>
      </c>
      <c r="O4466">
        <v>-0.99186879999999999</v>
      </c>
      <c r="P4466">
        <v>0.33784989999999998</v>
      </c>
      <c r="Q4466">
        <v>1.5157260000000001E-2</v>
      </c>
      <c r="R4466">
        <v>-0.94107810000000003</v>
      </c>
      <c r="S4466">
        <v>1.2816160000000001</v>
      </c>
      <c r="T4466">
        <v>-0.29507879999999997</v>
      </c>
      <c r="U4466">
        <v>-2.7344970000000002</v>
      </c>
      <c r="V4466">
        <v>-0.2163775</v>
      </c>
      <c r="W4466">
        <v>2.627434E-2</v>
      </c>
      <c r="X4466">
        <v>0.97595609999999999</v>
      </c>
      <c r="Y4466">
        <v>-0.30435139999999999</v>
      </c>
      <c r="Z4466">
        <v>9.8392430000000003E-2</v>
      </c>
      <c r="AA4466">
        <v>0.94746459999999999</v>
      </c>
      <c r="AB4466">
        <v>31</v>
      </c>
      <c r="AC4466">
        <v>4.79669999999998</v>
      </c>
      <c r="AD4466">
        <v>-1.114359819133</v>
      </c>
      <c r="AE4466">
        <v>-10.02181</v>
      </c>
      <c r="AF4466">
        <v>-3.4554330189207501</v>
      </c>
      <c r="AG4466">
        <v>-1.114359819133</v>
      </c>
      <c r="AH4466">
        <v>10.4431016886052</v>
      </c>
      <c r="AI4466">
        <v>95.784677282663907</v>
      </c>
      <c r="AJ4466">
        <v>108.30844335668399</v>
      </c>
      <c r="AK4466">
        <v>11.056228472372201</v>
      </c>
      <c r="AL4466">
        <v>88.494417851178795</v>
      </c>
      <c r="AM4466">
        <v>102.500740962856</v>
      </c>
      <c r="AN4466">
        <v>0.99999993628794503</v>
      </c>
    </row>
    <row r="4467" spans="1:40" x14ac:dyDescent="0.25">
      <c r="A4467" t="str">
        <f>"20190312151628510"</f>
        <v>20190312151628510</v>
      </c>
      <c r="B4467" t="str">
        <f>"1552374988501975"</f>
        <v>1552374988501975</v>
      </c>
      <c r="C4467" t="s">
        <v>40</v>
      </c>
      <c r="D4467">
        <v>4.5227250000000003</v>
      </c>
      <c r="E4467">
        <v>0.46387840000000002</v>
      </c>
      <c r="F4467" t="s">
        <v>64</v>
      </c>
      <c r="G4467">
        <v>-417.47179999999997</v>
      </c>
      <c r="H4467" s="1">
        <v>-3.8461299999999999E-6</v>
      </c>
      <c r="I4467">
        <v>34.384030000000003</v>
      </c>
      <c r="J4467">
        <v>-422.2269</v>
      </c>
      <c r="K4467">
        <v>1.114439</v>
      </c>
      <c r="L4467">
        <v>44.167299999999997</v>
      </c>
      <c r="M4467">
        <v>0.1320674</v>
      </c>
      <c r="N4467">
        <v>0</v>
      </c>
      <c r="O4467">
        <v>-0.99114369999999996</v>
      </c>
      <c r="P4467">
        <v>0.34386939999999999</v>
      </c>
      <c r="Q4467">
        <v>1.440784E-2</v>
      </c>
      <c r="R4467">
        <v>-0.93890709999999999</v>
      </c>
      <c r="S4467">
        <v>1.2985230000000001</v>
      </c>
      <c r="T4467">
        <v>-0.301591</v>
      </c>
      <c r="U4467">
        <v>-2.7265009999999998</v>
      </c>
      <c r="V4467">
        <v>-0.2171507</v>
      </c>
      <c r="W4467">
        <v>2.5477340000000001E-2</v>
      </c>
      <c r="X4467">
        <v>0.97580560000000005</v>
      </c>
      <c r="Y4467">
        <v>-0.30478749999999999</v>
      </c>
      <c r="Z4467">
        <v>0.1005611</v>
      </c>
      <c r="AA4467">
        <v>0.94709659999999996</v>
      </c>
      <c r="AB4467">
        <v>31</v>
      </c>
      <c r="AC4467">
        <v>4.7551000000000201</v>
      </c>
      <c r="AD4467">
        <v>-1.11444284613</v>
      </c>
      <c r="AE4467">
        <v>-9.7832699999999999</v>
      </c>
      <c r="AF4467">
        <v>-3.38572712466667</v>
      </c>
      <c r="AG4467">
        <v>-1.11444284613</v>
      </c>
      <c r="AH4467">
        <v>10.2183561908887</v>
      </c>
      <c r="AI4467">
        <v>95.910654786219496</v>
      </c>
      <c r="AJ4467">
        <v>108.331982515139</v>
      </c>
      <c r="AK4467">
        <v>10.822196369677799</v>
      </c>
      <c r="AL4467">
        <v>88.540098045879006</v>
      </c>
      <c r="AM4467">
        <v>102.54587294603201</v>
      </c>
      <c r="AN4467">
        <v>1.0000000451776601</v>
      </c>
    </row>
    <row r="4468" spans="1:40" x14ac:dyDescent="0.25">
      <c r="A4468" t="str">
        <f>"20190312151628534"</f>
        <v>20190312151628534</v>
      </c>
      <c r="B4468" t="str">
        <f>"1552374988522471"</f>
        <v>1552374988522471</v>
      </c>
      <c r="C4468" t="s">
        <v>40</v>
      </c>
      <c r="D4468">
        <v>4.4918699999999996</v>
      </c>
      <c r="E4468">
        <v>0.46383279999999899</v>
      </c>
      <c r="F4468" t="s">
        <v>64</v>
      </c>
      <c r="G4468">
        <v>-417.42849999999999</v>
      </c>
      <c r="H4468" s="1">
        <v>-3.9251269999999996E-6</v>
      </c>
      <c r="I4468">
        <v>34.247839999999997</v>
      </c>
      <c r="J4468">
        <v>-422.17919999999998</v>
      </c>
      <c r="K4468">
        <v>1.114522</v>
      </c>
      <c r="L4468">
        <v>43.856720000000003</v>
      </c>
      <c r="M4468">
        <v>0.13812430000000001</v>
      </c>
      <c r="N4468">
        <v>0</v>
      </c>
      <c r="O4468">
        <v>-0.99031760000000002</v>
      </c>
      <c r="P4468">
        <v>0.34966809999999998</v>
      </c>
      <c r="Q4468">
        <v>1.312522E-2</v>
      </c>
      <c r="R4468">
        <v>-0.936782</v>
      </c>
      <c r="S4468">
        <v>1.3149409999999999</v>
      </c>
      <c r="T4468">
        <v>-0.30540119999999998</v>
      </c>
      <c r="U4468">
        <v>-2.7183229999999998</v>
      </c>
      <c r="V4468">
        <v>-0.2172067</v>
      </c>
      <c r="W4468">
        <v>2.4153569999999999E-2</v>
      </c>
      <c r="X4468">
        <v>0.97582670000000005</v>
      </c>
      <c r="Y4468">
        <v>-0.30466339999999997</v>
      </c>
      <c r="Z4468">
        <v>0.10183979999999999</v>
      </c>
      <c r="AA4468">
        <v>0.94699990000000001</v>
      </c>
      <c r="AB4468">
        <v>31</v>
      </c>
      <c r="AC4468">
        <v>4.7506999999999904</v>
      </c>
      <c r="AD4468">
        <v>-1.1145259251270001</v>
      </c>
      <c r="AE4468">
        <v>-9.6088799999999992</v>
      </c>
      <c r="AF4468">
        <v>-3.3416809766817002</v>
      </c>
      <c r="AG4468">
        <v>-1.1145259251270001</v>
      </c>
      <c r="AH4468">
        <v>10.0642074386777</v>
      </c>
      <c r="AI4468">
        <v>95.999730846039</v>
      </c>
      <c r="AJ4468">
        <v>108.368033461313</v>
      </c>
      <c r="AK4468">
        <v>10.6628922509998</v>
      </c>
      <c r="AL4468">
        <v>88.615967710239602</v>
      </c>
      <c r="AM4468">
        <v>102.548743126799</v>
      </c>
      <c r="AN4468">
        <v>0.999999946950761</v>
      </c>
    </row>
    <row r="4469" spans="1:40" x14ac:dyDescent="0.25">
      <c r="A4469" t="str">
        <f>"20190312151628556"</f>
        <v>20190312151628556</v>
      </c>
      <c r="B4469" t="str">
        <f>"1552374988552727"</f>
        <v>1552374988552727</v>
      </c>
      <c r="C4469" t="s">
        <v>40</v>
      </c>
      <c r="D4469">
        <v>4.5274970000000003</v>
      </c>
      <c r="E4469">
        <v>0.46402070000000001</v>
      </c>
      <c r="F4469" t="s">
        <v>64</v>
      </c>
      <c r="G4469">
        <v>-417.46019999999999</v>
      </c>
      <c r="H4469" s="1">
        <v>-3.91016E-6</v>
      </c>
      <c r="I4469">
        <v>34.263440000000003</v>
      </c>
      <c r="J4469">
        <v>-422.13130000000001</v>
      </c>
      <c r="K4469">
        <v>1.1146100000000001</v>
      </c>
      <c r="L4469">
        <v>43.559080000000002</v>
      </c>
      <c r="M4469">
        <v>0.14405950000000001</v>
      </c>
      <c r="N4469">
        <v>0</v>
      </c>
      <c r="O4469">
        <v>-0.9894714</v>
      </c>
      <c r="P4469">
        <v>0.3558308</v>
      </c>
      <c r="Q4469">
        <v>1.2681619999999999E-2</v>
      </c>
      <c r="R4469">
        <v>-0.93446439999999997</v>
      </c>
      <c r="S4469">
        <v>1.3327639999999901</v>
      </c>
      <c r="T4469">
        <v>-0.31476969999999999</v>
      </c>
      <c r="U4469">
        <v>-2.709381</v>
      </c>
      <c r="V4469">
        <v>-0.21778249999999999</v>
      </c>
      <c r="W4469">
        <v>2.3662570000000001E-2</v>
      </c>
      <c r="X4469">
        <v>0.97571050000000004</v>
      </c>
      <c r="Y4469">
        <v>-0.3050657</v>
      </c>
      <c r="Z4469">
        <v>0.1049515</v>
      </c>
      <c r="AA4469">
        <v>0.9465306</v>
      </c>
      <c r="AB4469">
        <v>31</v>
      </c>
      <c r="AC4469">
        <v>4.6711000000000196</v>
      </c>
      <c r="AD4469">
        <v>-1.1146139101600001</v>
      </c>
      <c r="AE4469">
        <v>-9.2956400000000006</v>
      </c>
      <c r="AF4469">
        <v>-3.2458522321976302</v>
      </c>
      <c r="AG4469">
        <v>-1.1146139101600001</v>
      </c>
      <c r="AH4469">
        <v>9.7596081571538704</v>
      </c>
      <c r="AI4469">
        <v>96.185039094334002</v>
      </c>
      <c r="AJ4469">
        <v>108.396102766428</v>
      </c>
      <c r="AK4469">
        <v>10.3454276017557</v>
      </c>
      <c r="AL4469">
        <v>88.644108132807901</v>
      </c>
      <c r="AM4469">
        <v>102.58240189267801</v>
      </c>
      <c r="AN4469">
        <v>1.0000000571677501</v>
      </c>
    </row>
    <row r="4470" spans="1:40" x14ac:dyDescent="0.25">
      <c r="A4470" t="str">
        <f>"20190312151628578"</f>
        <v>20190312151628578</v>
      </c>
      <c r="B4470" t="str">
        <f>"1552374988572247"</f>
        <v>1552374988572247</v>
      </c>
      <c r="C4470" t="s">
        <v>40</v>
      </c>
      <c r="D4470">
        <v>4.5375839999999998</v>
      </c>
      <c r="E4470">
        <v>0.46419870000000002</v>
      </c>
      <c r="F4470" t="s">
        <v>64</v>
      </c>
      <c r="G4470">
        <v>-417.39210000000003</v>
      </c>
      <c r="H4470" s="1">
        <v>-4.0233129999999998E-6</v>
      </c>
      <c r="I4470">
        <v>34.070979999999999</v>
      </c>
      <c r="J4470">
        <v>-422.08150000000001</v>
      </c>
      <c r="K4470">
        <v>1.1146940000000001</v>
      </c>
      <c r="L4470">
        <v>43.26099</v>
      </c>
      <c r="M4470">
        <v>0.1501044</v>
      </c>
      <c r="N4470">
        <v>0</v>
      </c>
      <c r="O4470">
        <v>-0.98857240000000002</v>
      </c>
      <c r="P4470">
        <v>0.36204039999999998</v>
      </c>
      <c r="Q4470">
        <v>1.265924E-2</v>
      </c>
      <c r="R4470">
        <v>-0.93207660000000003</v>
      </c>
      <c r="S4470">
        <v>1.349121</v>
      </c>
      <c r="T4470">
        <v>-0.31729829999999998</v>
      </c>
      <c r="U4470">
        <v>-2.7009889999999999</v>
      </c>
      <c r="V4470">
        <v>-0.2183155</v>
      </c>
      <c r="W4470">
        <v>2.3598210000000001E-2</v>
      </c>
      <c r="X4470">
        <v>0.97559289999999999</v>
      </c>
      <c r="Y4470">
        <v>-0.3049712</v>
      </c>
      <c r="Z4470">
        <v>0.1057993</v>
      </c>
      <c r="AA4470">
        <v>0.94646660000000005</v>
      </c>
      <c r="AB4470">
        <v>31</v>
      </c>
      <c r="AC4470">
        <v>4.6893999999999698</v>
      </c>
      <c r="AD4470">
        <v>-1.1146980233129999</v>
      </c>
      <c r="AE4470">
        <v>-9.1900099999999991</v>
      </c>
      <c r="AF4470">
        <v>-3.2190888287786099</v>
      </c>
      <c r="AG4470">
        <v>-1.1146980233129999</v>
      </c>
      <c r="AH4470">
        <v>9.6768778688935804</v>
      </c>
      <c r="AI4470">
        <v>96.237824783971703</v>
      </c>
      <c r="AJ4470">
        <v>108.400106683901</v>
      </c>
      <c r="AK4470">
        <v>10.2589984823192</v>
      </c>
      <c r="AL4470">
        <v>88.647796668407807</v>
      </c>
      <c r="AM4470">
        <v>102.613683656305</v>
      </c>
      <c r="AN4470">
        <v>1.00000001979293</v>
      </c>
    </row>
    <row r="4471" spans="1:40" x14ac:dyDescent="0.25">
      <c r="A4471" t="str">
        <f>"20190312151628600"</f>
        <v>20190312151628600</v>
      </c>
      <c r="B4471" t="str">
        <f>"1552374988592743"</f>
        <v>1552374988592743</v>
      </c>
      <c r="C4471" t="s">
        <v>40</v>
      </c>
      <c r="D4471">
        <v>4.5876950000000001</v>
      </c>
      <c r="E4471">
        <v>0.46443790000000001</v>
      </c>
      <c r="F4471" t="s">
        <v>64</v>
      </c>
      <c r="G4471">
        <v>-417.28199999999998</v>
      </c>
      <c r="H4471" s="1">
        <v>-4.1858270000000003E-6</v>
      </c>
      <c r="I4471">
        <v>33.799959999999999</v>
      </c>
      <c r="J4471">
        <v>-422.03039999999999</v>
      </c>
      <c r="K4471">
        <v>1.1147670000000001</v>
      </c>
      <c r="L4471">
        <v>42.966799999999999</v>
      </c>
      <c r="M4471">
        <v>0.15616769999999999</v>
      </c>
      <c r="N4471">
        <v>0</v>
      </c>
      <c r="O4471">
        <v>-0.98763259999999997</v>
      </c>
      <c r="P4471">
        <v>0.36819039999999997</v>
      </c>
      <c r="Q4471">
        <v>1.2759299999999999E-2</v>
      </c>
      <c r="R4471">
        <v>-0.92966289999999996</v>
      </c>
      <c r="S4471">
        <v>1.365845</v>
      </c>
      <c r="T4471">
        <v>-0.31722009999999901</v>
      </c>
      <c r="U4471">
        <v>-2.6924130000000002</v>
      </c>
      <c r="V4471">
        <v>-0.21878030000000001</v>
      </c>
      <c r="W4471">
        <v>2.3661140000000001E-2</v>
      </c>
      <c r="X4471">
        <v>0.9754872</v>
      </c>
      <c r="Y4471">
        <v>-0.30502299999999999</v>
      </c>
      <c r="Z4471">
        <v>0.105780399999999</v>
      </c>
      <c r="AA4471">
        <v>0.94645199999999996</v>
      </c>
      <c r="AB4471">
        <v>30</v>
      </c>
      <c r="AC4471">
        <v>4.7484000000000002</v>
      </c>
      <c r="AD4471">
        <v>-1.114771185827</v>
      </c>
      <c r="AE4471">
        <v>-9.1668399999999899</v>
      </c>
      <c r="AF4471">
        <v>-3.2208698670686098</v>
      </c>
      <c r="AG4471">
        <v>-1.114771185827</v>
      </c>
      <c r="AH4471">
        <v>9.6830589345723794</v>
      </c>
      <c r="AI4471">
        <v>96.234332875116294</v>
      </c>
      <c r="AJ4471">
        <v>108.398640838899</v>
      </c>
      <c r="AK4471">
        <v>10.265395648865301</v>
      </c>
      <c r="AL4471">
        <v>88.644189974969194</v>
      </c>
      <c r="AM4471">
        <v>102.64100215653001</v>
      </c>
      <c r="AN4471">
        <v>0.99999997328901402</v>
      </c>
    </row>
    <row r="4472" spans="1:40" x14ac:dyDescent="0.25">
      <c r="A4472" t="str">
        <f>"20190312151628623"</f>
        <v>20190312151628623</v>
      </c>
      <c r="B4472" t="str">
        <f>"1552374988612264"</f>
        <v>1552374988612264</v>
      </c>
      <c r="C4472" t="s">
        <v>40</v>
      </c>
      <c r="D4472">
        <v>4.5352439999999996</v>
      </c>
      <c r="E4472">
        <v>0.4646015</v>
      </c>
      <c r="F4472" t="s">
        <v>64</v>
      </c>
      <c r="G4472">
        <v>-417.20350000000002</v>
      </c>
      <c r="H4472" s="1">
        <v>-4.3094099999999996E-6</v>
      </c>
      <c r="I4472">
        <v>33.591569999999997</v>
      </c>
      <c r="J4472">
        <v>-421.97739999999999</v>
      </c>
      <c r="K4472">
        <v>1.1148420000000001</v>
      </c>
      <c r="L4472">
        <v>42.672820000000002</v>
      </c>
      <c r="M4472">
        <v>0.1623271</v>
      </c>
      <c r="N4472">
        <v>0</v>
      </c>
      <c r="O4472">
        <v>-0.98663880000000004</v>
      </c>
      <c r="P4472">
        <v>0.37403829999999999</v>
      </c>
      <c r="Q4472">
        <v>1.2881510000000001E-2</v>
      </c>
      <c r="R4472">
        <v>-0.92732400000000004</v>
      </c>
      <c r="S4472">
        <v>1.3818969999999999</v>
      </c>
      <c r="T4472">
        <v>-0.31914999999999999</v>
      </c>
      <c r="U4472">
        <v>-2.6840519999999999</v>
      </c>
      <c r="V4472">
        <v>-0.21884310000000001</v>
      </c>
      <c r="W4472">
        <v>2.3752189999999999E-2</v>
      </c>
      <c r="X4472">
        <v>0.97547090000000003</v>
      </c>
      <c r="Y4472">
        <v>-0.30472700000000003</v>
      </c>
      <c r="Z4472">
        <v>0.106416899999999</v>
      </c>
      <c r="AA4472">
        <v>0.94647599999999998</v>
      </c>
      <c r="AB4472">
        <v>30</v>
      </c>
      <c r="AC4472">
        <v>4.7738999999999603</v>
      </c>
      <c r="AD4472">
        <v>-1.1148463094100001</v>
      </c>
      <c r="AE4472">
        <v>-9.0812499999999901</v>
      </c>
      <c r="AF4472">
        <v>-3.1985279356284302</v>
      </c>
      <c r="AG4472">
        <v>-1.1148463094100001</v>
      </c>
      <c r="AH4472">
        <v>9.6221734222246802</v>
      </c>
      <c r="AI4472">
        <v>96.274291942286794</v>
      </c>
      <c r="AJ4472">
        <v>108.38743689095701</v>
      </c>
      <c r="AK4472">
        <v>10.200964886517699</v>
      </c>
      <c r="AL4472">
        <v>88.638971726952505</v>
      </c>
      <c r="AM4472">
        <v>102.644718542544</v>
      </c>
      <c r="AN4472">
        <v>0.99999997284710695</v>
      </c>
    </row>
    <row r="4473" spans="1:40" x14ac:dyDescent="0.25">
      <c r="A4473" t="str">
        <f>"20190312151628645"</f>
        <v>20190312151628645</v>
      </c>
      <c r="B4473" t="str">
        <f>"1552374988642519"</f>
        <v>1552374988642519</v>
      </c>
      <c r="C4473" t="s">
        <v>40</v>
      </c>
      <c r="D4473">
        <v>4.5744040000000004</v>
      </c>
      <c r="E4473">
        <v>0.46505619999999998</v>
      </c>
      <c r="F4473" t="s">
        <v>64</v>
      </c>
      <c r="G4473">
        <v>-417.10590000000002</v>
      </c>
      <c r="H4473" s="1">
        <v>-4.455518E-6</v>
      </c>
      <c r="I4473">
        <v>33.347290000000001</v>
      </c>
      <c r="J4473">
        <v>-421.92169999999999</v>
      </c>
      <c r="K4473">
        <v>1.1149150000000001</v>
      </c>
      <c r="L4473">
        <v>42.375030000000002</v>
      </c>
      <c r="M4473">
        <v>0.16866779999999901</v>
      </c>
      <c r="N4473">
        <v>0</v>
      </c>
      <c r="O4473">
        <v>-0.98557470000000003</v>
      </c>
      <c r="P4473">
        <v>0.38054870000000002</v>
      </c>
      <c r="Q4473">
        <v>1.3196950000000001E-2</v>
      </c>
      <c r="R4473">
        <v>-0.92466680000000001</v>
      </c>
      <c r="S4473">
        <v>1.3977660000000001</v>
      </c>
      <c r="T4473">
        <v>-0.31988</v>
      </c>
      <c r="U4473">
        <v>-2.675751</v>
      </c>
      <c r="V4473">
        <v>-0.21943799999999999</v>
      </c>
      <c r="W4473">
        <v>2.40282E-2</v>
      </c>
      <c r="X4473">
        <v>0.97533049999999999</v>
      </c>
      <c r="Y4473">
        <v>-0.30420940000000002</v>
      </c>
      <c r="Z4473">
        <v>0.10664800000000001</v>
      </c>
      <c r="AA4473">
        <v>0.94661649999999997</v>
      </c>
      <c r="AB4473">
        <v>30</v>
      </c>
      <c r="AC4473">
        <v>4.8157999999999603</v>
      </c>
      <c r="AD4473">
        <v>-1.114919455518</v>
      </c>
      <c r="AE4473">
        <v>-9.0277399999999908</v>
      </c>
      <c r="AF4473">
        <v>-3.18612384870623</v>
      </c>
      <c r="AG4473">
        <v>-1.114919455518</v>
      </c>
      <c r="AH4473">
        <v>9.5967770544886992</v>
      </c>
      <c r="AI4473">
        <v>96.291943260049905</v>
      </c>
      <c r="AJ4473">
        <v>108.366133424819</v>
      </c>
      <c r="AK4473">
        <v>10.173129331977799</v>
      </c>
      <c r="AL4473">
        <v>88.623153023338006</v>
      </c>
      <c r="AM4473">
        <v>102.679748163702</v>
      </c>
      <c r="AN4473">
        <v>0.99999998723474404</v>
      </c>
    </row>
    <row r="4474" spans="1:40" x14ac:dyDescent="0.25">
      <c r="A4474" t="str">
        <f>"20190312151628667"</f>
        <v>20190312151628667</v>
      </c>
      <c r="B4474" t="str">
        <f>"1552374988662044"</f>
        <v>1552374988662044</v>
      </c>
      <c r="C4474" t="s">
        <v>40</v>
      </c>
      <c r="D4474">
        <v>4.8158339999999997</v>
      </c>
      <c r="E4474">
        <v>0.46533750000000002</v>
      </c>
      <c r="F4474" t="s">
        <v>64</v>
      </c>
      <c r="G4474">
        <v>-416.95280000000002</v>
      </c>
      <c r="H4474" s="1">
        <v>-4.6701420000000003E-6</v>
      </c>
      <c r="I4474">
        <v>32.992709999999903</v>
      </c>
      <c r="J4474">
        <v>-421.86349999999999</v>
      </c>
      <c r="K4474">
        <v>1.114989</v>
      </c>
      <c r="L4474">
        <v>42.075319999999998</v>
      </c>
      <c r="M4474">
        <v>0.1751471</v>
      </c>
      <c r="N4474">
        <v>0</v>
      </c>
      <c r="O4474">
        <v>-0.98444370000000003</v>
      </c>
      <c r="P4474">
        <v>0.38741330000000002</v>
      </c>
      <c r="Q4474">
        <v>1.3568159999999999E-2</v>
      </c>
      <c r="R4474">
        <v>-0.92180629999999997</v>
      </c>
      <c r="S4474">
        <v>1.41272</v>
      </c>
      <c r="T4474">
        <v>-0.31698549999999998</v>
      </c>
      <c r="U4474">
        <v>-2.6675110000000002</v>
      </c>
      <c r="V4474">
        <v>-0.22028439999999999</v>
      </c>
      <c r="W4474">
        <v>2.4354259999999999E-2</v>
      </c>
      <c r="X4474">
        <v>0.97513159999999999</v>
      </c>
      <c r="Y4474">
        <v>-0.30334800000000001</v>
      </c>
      <c r="Z4474">
        <v>0.1056845</v>
      </c>
      <c r="AA4474">
        <v>0.94700090000000003</v>
      </c>
      <c r="AB4474">
        <v>30</v>
      </c>
      <c r="AC4474">
        <v>4.9106999999999603</v>
      </c>
      <c r="AD4474">
        <v>-1.114993670142</v>
      </c>
      <c r="AE4474">
        <v>-9.0826100000000007</v>
      </c>
      <c r="AF4474">
        <v>-3.2064380413914302</v>
      </c>
      <c r="AG4474">
        <v>-1.114993670142</v>
      </c>
      <c r="AH4474">
        <v>9.6893724534756593</v>
      </c>
      <c r="AI4474">
        <v>96.234689738748898</v>
      </c>
      <c r="AJ4474">
        <v>108.310577155083</v>
      </c>
      <c r="AK4474">
        <v>10.2668590299035</v>
      </c>
      <c r="AL4474">
        <v>88.604465699067703</v>
      </c>
      <c r="AM4474">
        <v>102.72957687370101</v>
      </c>
      <c r="AN4474">
        <v>0.99999999209103296</v>
      </c>
    </row>
    <row r="4475" spans="1:40" x14ac:dyDescent="0.25">
      <c r="A4475" t="str">
        <f>"20190312151628682"</f>
        <v>20190312151628682</v>
      </c>
      <c r="B4475" t="str">
        <f>"1552374988672776"</f>
        <v>1552374988672776</v>
      </c>
      <c r="C4475" t="s">
        <v>40</v>
      </c>
      <c r="D4475">
        <v>4.6334710000000001</v>
      </c>
      <c r="E4475">
        <v>0.4654874</v>
      </c>
      <c r="F4475" t="s">
        <v>64</v>
      </c>
      <c r="G4475">
        <v>-416.75889999999998</v>
      </c>
      <c r="H4475" s="1">
        <v>-4.9193020000000001E-6</v>
      </c>
      <c r="I4475">
        <v>32.588090000000001</v>
      </c>
      <c r="J4475">
        <v>-421.82560000000001</v>
      </c>
      <c r="K4475">
        <v>1.1150329999999999</v>
      </c>
      <c r="L4475">
        <v>41.886319999999998</v>
      </c>
      <c r="M4475">
        <v>0.17928450000000001</v>
      </c>
      <c r="N4475">
        <v>0</v>
      </c>
      <c r="O4475">
        <v>-0.98369839999999997</v>
      </c>
      <c r="P4475">
        <v>0.39162439999999998</v>
      </c>
      <c r="Q4475">
        <v>1.3541040000000001E-2</v>
      </c>
      <c r="R4475">
        <v>-0.92002569999999995</v>
      </c>
      <c r="S4475">
        <v>1.430145</v>
      </c>
      <c r="T4475">
        <v>-0.31238589999999999</v>
      </c>
      <c r="U4475">
        <v>-2.65802</v>
      </c>
      <c r="V4475">
        <v>-0.22064600000000001</v>
      </c>
      <c r="W4475">
        <v>2.4302299999999999E-2</v>
      </c>
      <c r="X4475">
        <v>0.97505120000000001</v>
      </c>
      <c r="Y4475">
        <v>-0.30564400000000003</v>
      </c>
      <c r="Z4475">
        <v>0.1041855</v>
      </c>
      <c r="AA4475">
        <v>0.94642859999999995</v>
      </c>
      <c r="AB4475">
        <v>30</v>
      </c>
      <c r="AC4475">
        <v>5.0667000000000204</v>
      </c>
      <c r="AD4475">
        <v>-1.1150379193019999</v>
      </c>
      <c r="AE4475">
        <v>-9.2982299999999896</v>
      </c>
      <c r="AF4475">
        <v>-3.2810180824120998</v>
      </c>
      <c r="AG4475">
        <v>-1.1150379193019999</v>
      </c>
      <c r="AH4475">
        <v>9.9457320768583699</v>
      </c>
      <c r="AI4475">
        <v>96.077294618671203</v>
      </c>
      <c r="AJ4475">
        <v>108.257312813262</v>
      </c>
      <c r="AK4475">
        <v>10.532140132149999</v>
      </c>
      <c r="AL4475">
        <v>88.607443751061098</v>
      </c>
      <c r="AM4475">
        <v>102.75080712312899</v>
      </c>
      <c r="AN4475">
        <v>1.00000005086136</v>
      </c>
    </row>
    <row r="4476" spans="1:40" x14ac:dyDescent="0.25">
      <c r="A4476" t="str">
        <f>"20190312151628701"</f>
        <v>20190312151628701</v>
      </c>
      <c r="B4476" t="str">
        <f>"1552374988692295"</f>
        <v>1552374988692295</v>
      </c>
      <c r="C4476" t="s">
        <v>40</v>
      </c>
      <c r="D4476">
        <v>4.5876739999999998</v>
      </c>
      <c r="E4476">
        <v>0.4657539</v>
      </c>
      <c r="F4476" t="s">
        <v>64</v>
      </c>
      <c r="G4476">
        <v>-416.64030000000002</v>
      </c>
      <c r="H4476" s="1">
        <v>-5.07071999999999E-6</v>
      </c>
      <c r="I4476">
        <v>32.342529999999996</v>
      </c>
      <c r="J4476">
        <v>-421.7747</v>
      </c>
      <c r="K4476">
        <v>1.1150869999999999</v>
      </c>
      <c r="L4476">
        <v>41.63843</v>
      </c>
      <c r="M4476">
        <v>0.18476110000000001</v>
      </c>
      <c r="N4476">
        <v>0</v>
      </c>
      <c r="O4476">
        <v>-0.98268460000000002</v>
      </c>
      <c r="P4476">
        <v>0.39738699999999999</v>
      </c>
      <c r="Q4476">
        <v>1.272299E-2</v>
      </c>
      <c r="R4476">
        <v>-0.91756340000000003</v>
      </c>
      <c r="S4476">
        <v>1.440887</v>
      </c>
      <c r="T4476">
        <v>-0.30984440000000002</v>
      </c>
      <c r="U4476">
        <v>-2.6520079999999999</v>
      </c>
      <c r="V4476">
        <v>-0.22132089999999999</v>
      </c>
      <c r="W4476">
        <v>2.3449480000000002E-2</v>
      </c>
      <c r="X4476">
        <v>0.97491910000000004</v>
      </c>
      <c r="Y4476">
        <v>-0.3042454</v>
      </c>
      <c r="Z4476">
        <v>0.1033231</v>
      </c>
      <c r="AA4476">
        <v>0.94697359999999997</v>
      </c>
      <c r="AB4476">
        <v>30</v>
      </c>
      <c r="AC4476">
        <v>5.1343999999999701</v>
      </c>
      <c r="AD4476">
        <v>-1.1150920707200001</v>
      </c>
      <c r="AE4476">
        <v>-9.2958999999999996</v>
      </c>
      <c r="AF4476">
        <v>-3.2920019158987102</v>
      </c>
      <c r="AG4476">
        <v>-1.1150920707200001</v>
      </c>
      <c r="AH4476">
        <v>9.9745784620630609</v>
      </c>
      <c r="AI4476">
        <v>96.059878853310707</v>
      </c>
      <c r="AJ4476">
        <v>108.264915447563</v>
      </c>
      <c r="AK4476">
        <v>10.562808454019899</v>
      </c>
      <c r="AL4476">
        <v>88.656320649046293</v>
      </c>
      <c r="AM4476">
        <v>102.790203786173</v>
      </c>
      <c r="AN4476">
        <v>1.00000003521694</v>
      </c>
    </row>
    <row r="4477" spans="1:40" x14ac:dyDescent="0.25">
      <c r="A4477" t="str">
        <f>"20190312151628723"</f>
        <v>20190312151628723</v>
      </c>
      <c r="B4477" t="str">
        <f>"1552374988712791"</f>
        <v>1552374988712791</v>
      </c>
      <c r="C4477" t="s">
        <v>40</v>
      </c>
      <c r="D4477">
        <v>4.5734149999999998</v>
      </c>
      <c r="E4477">
        <v>0.46604499999999999</v>
      </c>
      <c r="F4477" t="s">
        <v>64</v>
      </c>
      <c r="G4477">
        <v>-416.5557</v>
      </c>
      <c r="H4477" s="1">
        <v>-5.1822829999999997E-6</v>
      </c>
      <c r="I4477">
        <v>32.16039</v>
      </c>
      <c r="J4477">
        <v>-421.71269999999998</v>
      </c>
      <c r="K4477">
        <v>1.1151439999999999</v>
      </c>
      <c r="L4477">
        <v>41.346040000000002</v>
      </c>
      <c r="M4477">
        <v>0.1912951</v>
      </c>
      <c r="N4477">
        <v>0</v>
      </c>
      <c r="O4477">
        <v>-0.98143349999999996</v>
      </c>
      <c r="P4477">
        <v>0.40447810000000001</v>
      </c>
      <c r="Q4477">
        <v>1.1925099999999999E-2</v>
      </c>
      <c r="R4477">
        <v>-0.91447009999999995</v>
      </c>
      <c r="S4477">
        <v>1.455597</v>
      </c>
      <c r="T4477">
        <v>-0.3110001</v>
      </c>
      <c r="U4477">
        <v>-2.6434329999999999</v>
      </c>
      <c r="V4477">
        <v>-0.2223724</v>
      </c>
      <c r="W4477">
        <v>2.2609520000000001E-2</v>
      </c>
      <c r="X4477">
        <v>0.9746996</v>
      </c>
      <c r="Y4477">
        <v>-0.30323260000000002</v>
      </c>
      <c r="Z4477">
        <v>0.103686899999999</v>
      </c>
      <c r="AA4477">
        <v>0.94725870000000001</v>
      </c>
      <c r="AB4477">
        <v>30</v>
      </c>
      <c r="AC4477">
        <v>5.1569999999999796</v>
      </c>
      <c r="AD4477">
        <v>-1.115149182283</v>
      </c>
      <c r="AE4477">
        <v>-9.1856500000000008</v>
      </c>
      <c r="AF4477">
        <v>-3.2677846958526899</v>
      </c>
      <c r="AG4477">
        <v>-1.115149182283</v>
      </c>
      <c r="AH4477">
        <v>9.8917376248206903</v>
      </c>
      <c r="AI4477">
        <v>96.109986959895593</v>
      </c>
      <c r="AJ4477">
        <v>108.28122900727701</v>
      </c>
      <c r="AK4477">
        <v>10.477043846213901</v>
      </c>
      <c r="AL4477">
        <v>88.704459523446303</v>
      </c>
      <c r="AM4477">
        <v>102.85175535233</v>
      </c>
      <c r="AN4477">
        <v>0.99999999245827498</v>
      </c>
    </row>
    <row r="4478" spans="1:40" x14ac:dyDescent="0.25">
      <c r="A4478" t="str">
        <f>"20190312151628745"</f>
        <v>20190312151628745</v>
      </c>
      <c r="B4478" t="str">
        <f>"1552374988742071"</f>
        <v>1552374988742071</v>
      </c>
      <c r="C4478" t="s">
        <v>40</v>
      </c>
      <c r="D4478">
        <v>4.5842150000000004</v>
      </c>
      <c r="E4478">
        <v>0.45305200000000001</v>
      </c>
      <c r="F4478" t="s">
        <v>64</v>
      </c>
      <c r="G4478">
        <v>-416.45209999999997</v>
      </c>
      <c r="H4478" s="1">
        <v>-5.3139619999999997E-6</v>
      </c>
      <c r="I4478">
        <v>31.947019999999998</v>
      </c>
      <c r="J4478">
        <v>-421.6472</v>
      </c>
      <c r="K4478">
        <v>1.1151979999999999</v>
      </c>
      <c r="L4478">
        <v>41.047150000000002</v>
      </c>
      <c r="M4478">
        <v>0.19804720000000001</v>
      </c>
      <c r="N4478">
        <v>0</v>
      </c>
      <c r="O4478">
        <v>-0.9800932</v>
      </c>
      <c r="P4478">
        <v>0.4117227</v>
      </c>
      <c r="Q4478">
        <v>1.150196E-2</v>
      </c>
      <c r="R4478">
        <v>-0.91123699999999996</v>
      </c>
      <c r="S4478">
        <v>1.4736020000000001</v>
      </c>
      <c r="T4478">
        <v>-0.31237789999999999</v>
      </c>
      <c r="U4478">
        <v>-2.6328740000000002</v>
      </c>
      <c r="V4478">
        <v>-0.22339339999999999</v>
      </c>
      <c r="W4478">
        <v>2.214758E-2</v>
      </c>
      <c r="X4478">
        <v>0.97447669999999997</v>
      </c>
      <c r="Y4478">
        <v>-0.30320330000000001</v>
      </c>
      <c r="Z4478">
        <v>0.104129</v>
      </c>
      <c r="AA4478">
        <v>0.94721960000000005</v>
      </c>
      <c r="AB4478">
        <v>30</v>
      </c>
      <c r="AC4478">
        <v>5.1951000000000196</v>
      </c>
      <c r="AD4478">
        <v>-1.1152033139619999</v>
      </c>
      <c r="AE4478">
        <v>-9.1001300000000001</v>
      </c>
      <c r="AF4478">
        <v>-3.2529026940350998</v>
      </c>
      <c r="AG4478">
        <v>-1.1152033139619999</v>
      </c>
      <c r="AH4478">
        <v>9.8373943665074002</v>
      </c>
      <c r="AI4478">
        <v>96.1432109872393</v>
      </c>
      <c r="AJ4478">
        <v>108.297351645148</v>
      </c>
      <c r="AK4478">
        <v>10.421102738699201</v>
      </c>
      <c r="AL4478">
        <v>88.730933353698404</v>
      </c>
      <c r="AM4478">
        <v>102.911644272174</v>
      </c>
      <c r="AN4478">
        <v>0.99999998265315304</v>
      </c>
    </row>
    <row r="4479" spans="1:40" x14ac:dyDescent="0.25">
      <c r="A4479" t="str">
        <f>"20190312151628769"</f>
        <v>20190312151628769</v>
      </c>
      <c r="B4479" t="str">
        <f>"1552374988762567"</f>
        <v>1552374988762567</v>
      </c>
      <c r="C4479" t="s">
        <v>40</v>
      </c>
      <c r="D4479">
        <v>4.6532809999999998</v>
      </c>
      <c r="E4479">
        <v>0.44558059999999999</v>
      </c>
      <c r="F4479" t="s">
        <v>64</v>
      </c>
      <c r="G4479">
        <v>-417.57830000000001</v>
      </c>
      <c r="H4479" s="1">
        <v>-3.7823160000000002E-6</v>
      </c>
      <c r="I4479">
        <v>34.46293</v>
      </c>
      <c r="J4479">
        <v>-421.57870000000003</v>
      </c>
      <c r="K4479">
        <v>1.1152420000000001</v>
      </c>
      <c r="L4479">
        <v>40.745150000000002</v>
      </c>
      <c r="M4479">
        <v>0.2049376</v>
      </c>
      <c r="N4479">
        <v>0</v>
      </c>
      <c r="O4479">
        <v>-0.97867550000000003</v>
      </c>
      <c r="P4479">
        <v>0.41908659999999998</v>
      </c>
      <c r="Q4479">
        <v>1.053054E-2</v>
      </c>
      <c r="R4479">
        <v>-0.90788519999999995</v>
      </c>
      <c r="S4479">
        <v>1.5931090000000001</v>
      </c>
      <c r="T4479">
        <v>-0.43663869999999999</v>
      </c>
      <c r="U4479">
        <v>-2.5779420000000002</v>
      </c>
      <c r="V4479">
        <v>-0.2244149</v>
      </c>
      <c r="W4479">
        <v>2.1140740000000002E-2</v>
      </c>
      <c r="X4479">
        <v>0.97426440000000003</v>
      </c>
      <c r="Y4479">
        <v>-0.33459420000000001</v>
      </c>
      <c r="Z4479">
        <v>0.14467969999999999</v>
      </c>
      <c r="AA4479">
        <v>0.93118979999999996</v>
      </c>
      <c r="AB4479">
        <v>30</v>
      </c>
      <c r="AC4479">
        <v>4.0004000000000097</v>
      </c>
      <c r="AD4479">
        <v>-1.115245782316</v>
      </c>
      <c r="AE4479">
        <v>-6.2822199999999997</v>
      </c>
      <c r="AF4479">
        <v>-2.5702544820459798</v>
      </c>
      <c r="AG4479">
        <v>-1.115245782316</v>
      </c>
      <c r="AH4479">
        <v>6.8159347765530098</v>
      </c>
      <c r="AI4479">
        <v>98.704370570757106</v>
      </c>
      <c r="AJ4479">
        <v>110.661205276231</v>
      </c>
      <c r="AK4479">
        <v>7.36932480866977</v>
      </c>
      <c r="AL4479">
        <v>88.788634638192903</v>
      </c>
      <c r="AM4479">
        <v>102.97142345490499</v>
      </c>
      <c r="AN4479">
        <v>1.0000000496685499</v>
      </c>
    </row>
    <row r="4480" spans="1:40" x14ac:dyDescent="0.25">
      <c r="A4480" t="str">
        <f>"20190312151628789"</f>
        <v>20190312151628789</v>
      </c>
      <c r="B4480" t="str">
        <f>"1552374988782087"</f>
        <v>1552374988782087</v>
      </c>
      <c r="C4480" t="s">
        <v>40</v>
      </c>
      <c r="D4480">
        <v>4.5407120000000001</v>
      </c>
      <c r="E4480">
        <v>0.44293660000000001</v>
      </c>
      <c r="F4480" t="s">
        <v>64</v>
      </c>
      <c r="G4480">
        <v>-417.0104</v>
      </c>
      <c r="H4480" s="1">
        <v>-4.2525250000000004E-6</v>
      </c>
      <c r="I4480">
        <v>33.787239999999997</v>
      </c>
      <c r="J4480">
        <v>-421.51499999999999</v>
      </c>
      <c r="K4480">
        <v>1.1152839999999999</v>
      </c>
      <c r="L4480">
        <v>40.472990000000003</v>
      </c>
      <c r="M4480">
        <v>0.21120839999999999</v>
      </c>
      <c r="N4480">
        <v>0</v>
      </c>
      <c r="O4480">
        <v>-0.97734120000000002</v>
      </c>
      <c r="P4480">
        <v>0.42575299999999999</v>
      </c>
      <c r="Q4480">
        <v>1.0407120000000001E-2</v>
      </c>
      <c r="R4480">
        <v>-0.90477969999999996</v>
      </c>
      <c r="S4480">
        <v>1.6673279999999999</v>
      </c>
      <c r="T4480">
        <v>-0.40703630000000002</v>
      </c>
      <c r="U4480">
        <v>-2.5394589999999999</v>
      </c>
      <c r="V4480">
        <v>-0.22533439999999999</v>
      </c>
      <c r="W4480">
        <v>2.0985799999999999E-2</v>
      </c>
      <c r="X4480">
        <v>0.97405549999999996</v>
      </c>
      <c r="Y4480">
        <v>-0.35480729999999999</v>
      </c>
      <c r="Z4480">
        <v>0.1350015</v>
      </c>
      <c r="AA4480">
        <v>0.92514130000000006</v>
      </c>
      <c r="AB4480">
        <v>30</v>
      </c>
      <c r="AC4480">
        <v>4.5045999999999804</v>
      </c>
      <c r="AD4480">
        <v>-1.1152882525250001</v>
      </c>
      <c r="AE4480">
        <v>-6.6857499999999899</v>
      </c>
      <c r="AF4480">
        <v>-2.9345712328921998</v>
      </c>
      <c r="AG4480">
        <v>-1.1152882525250001</v>
      </c>
      <c r="AH4480">
        <v>7.34580628744152</v>
      </c>
      <c r="AI4480">
        <v>98.025359113127394</v>
      </c>
      <c r="AJ4480">
        <v>111.776181571911</v>
      </c>
      <c r="AK4480">
        <v>7.9885196513342898</v>
      </c>
      <c r="AL4480">
        <v>88.797514023813903</v>
      </c>
      <c r="AM4480">
        <v>103.025461102257</v>
      </c>
      <c r="AN4480">
        <v>1.0000000563526199</v>
      </c>
    </row>
    <row r="4481" spans="1:40" x14ac:dyDescent="0.25">
      <c r="A4481" t="str">
        <f>"20190312151628814"</f>
        <v>20190312151628814</v>
      </c>
      <c r="B4481" t="str">
        <f>"1552374988802583"</f>
        <v>1552374988802583</v>
      </c>
      <c r="C4481" t="s">
        <v>40</v>
      </c>
      <c r="D4481">
        <v>4.5327970000000004</v>
      </c>
      <c r="E4481">
        <v>0.44215939999999998</v>
      </c>
      <c r="F4481" t="s">
        <v>64</v>
      </c>
      <c r="G4481">
        <v>-416.57459999999998</v>
      </c>
      <c r="H4481" s="1">
        <v>-4.6630549999999997E-6</v>
      </c>
      <c r="I4481">
        <v>33.171190000000003</v>
      </c>
      <c r="J4481">
        <v>-421.44209999999998</v>
      </c>
      <c r="K4481">
        <v>1.1153310000000001</v>
      </c>
      <c r="L4481">
        <v>40.170679999999997</v>
      </c>
      <c r="M4481">
        <v>0.21823790000000001</v>
      </c>
      <c r="N4481">
        <v>0</v>
      </c>
      <c r="O4481">
        <v>-0.97579559999999999</v>
      </c>
      <c r="P4481">
        <v>0.4330465</v>
      </c>
      <c r="Q4481">
        <v>1.0647149999999999E-2</v>
      </c>
      <c r="R4481">
        <v>-0.90130880000000002</v>
      </c>
      <c r="S4481">
        <v>1.703918</v>
      </c>
      <c r="T4481">
        <v>-0.38465500000000002</v>
      </c>
      <c r="U4481">
        <v>-2.5183409999999999</v>
      </c>
      <c r="V4481">
        <v>-0.2261958</v>
      </c>
      <c r="W4481">
        <v>2.1191740000000001E-2</v>
      </c>
      <c r="X4481">
        <v>0.97385129999999998</v>
      </c>
      <c r="Y4481">
        <v>-0.36146600000000001</v>
      </c>
      <c r="Z4481">
        <v>0.1276526</v>
      </c>
      <c r="AA4481">
        <v>0.92360560000000003</v>
      </c>
      <c r="AB4481">
        <v>30</v>
      </c>
      <c r="AC4481">
        <v>4.8674999999999997</v>
      </c>
      <c r="AD4481">
        <v>-1.11533566305499</v>
      </c>
      <c r="AE4481">
        <v>-6.99948999999999</v>
      </c>
      <c r="AF4481">
        <v>-3.1682230424399198</v>
      </c>
      <c r="AG4481">
        <v>-1.11533566305499</v>
      </c>
      <c r="AH4481">
        <v>7.7603012169962904</v>
      </c>
      <c r="AI4481">
        <v>97.579329151278898</v>
      </c>
      <c r="AJ4481">
        <v>112.20824497526399</v>
      </c>
      <c r="AK4481">
        <v>8.4559970356217509</v>
      </c>
      <c r="AL4481">
        <v>88.785711828942993</v>
      </c>
      <c r="AM4481">
        <v>103.07619414123999</v>
      </c>
      <c r="AN4481">
        <v>0.99999999214677804</v>
      </c>
    </row>
    <row r="4482" spans="1:40" x14ac:dyDescent="0.25">
      <c r="A4482" t="str">
        <f>"20190312151628834"</f>
        <v>20190312151628834</v>
      </c>
      <c r="B4482" t="str">
        <f>"1552374988832839"</f>
        <v>1552374988832839</v>
      </c>
      <c r="C4482" t="s">
        <v>40</v>
      </c>
      <c r="D4482">
        <v>4.5283989999999896</v>
      </c>
      <c r="E4482">
        <v>0.44162849999999998</v>
      </c>
      <c r="F4482" t="s">
        <v>64</v>
      </c>
      <c r="G4482">
        <v>-416.26089999999999</v>
      </c>
      <c r="H4482" s="1">
        <v>-4.9868799999999999E-6</v>
      </c>
      <c r="I4482">
        <v>32.672150000000002</v>
      </c>
      <c r="J4482">
        <v>-421.37139999999999</v>
      </c>
      <c r="K4482">
        <v>1.115378</v>
      </c>
      <c r="L4482">
        <v>39.887120000000003</v>
      </c>
      <c r="M4482">
        <v>0.22490789999999999</v>
      </c>
      <c r="N4482">
        <v>0</v>
      </c>
      <c r="O4482">
        <v>-0.97427980000000003</v>
      </c>
      <c r="P4482">
        <v>0.4401833</v>
      </c>
      <c r="Q4482">
        <v>1.0237909999999999E-2</v>
      </c>
      <c r="R4482">
        <v>-0.89784959999999903</v>
      </c>
      <c r="S4482">
        <v>1.728912</v>
      </c>
      <c r="T4482">
        <v>-0.3721777</v>
      </c>
      <c r="U4482">
        <v>-2.5021969999999998</v>
      </c>
      <c r="V4482">
        <v>-0.22725609999999999</v>
      </c>
      <c r="W4482">
        <v>2.0745050000000001E-2</v>
      </c>
      <c r="X4482">
        <v>0.97361399999999998</v>
      </c>
      <c r="Y4482">
        <v>-0.3644269</v>
      </c>
      <c r="Z4482">
        <v>0.123554399999999</v>
      </c>
      <c r="AA4482">
        <v>0.92299909999999996</v>
      </c>
      <c r="AB4482">
        <v>30</v>
      </c>
      <c r="AC4482">
        <v>5.1105</v>
      </c>
      <c r="AD4482">
        <v>-1.11538298688</v>
      </c>
      <c r="AE4482">
        <v>-7.2149700000000001</v>
      </c>
      <c r="AF4482">
        <v>-3.3040981191241801</v>
      </c>
      <c r="AG4482">
        <v>-1.11538298688</v>
      </c>
      <c r="AH4482">
        <v>8.0514557854060094</v>
      </c>
      <c r="AI4482">
        <v>97.3032198760245</v>
      </c>
      <c r="AJ4482">
        <v>112.31191071403801</v>
      </c>
      <c r="AK4482">
        <v>8.7742283907229801</v>
      </c>
      <c r="AL4482">
        <v>88.811310867016502</v>
      </c>
      <c r="AM4482">
        <v>103.138459122207</v>
      </c>
      <c r="AN4482">
        <v>0.99999995654135498</v>
      </c>
    </row>
    <row r="4483" spans="1:40" x14ac:dyDescent="0.25">
      <c r="A4483" t="str">
        <f>"20190312151628858"</f>
        <v>20190312151628858</v>
      </c>
      <c r="B4483" t="str">
        <f>"1552374988852359"</f>
        <v>1552374988852359</v>
      </c>
      <c r="C4483" t="s">
        <v>40</v>
      </c>
      <c r="D4483">
        <v>4.5321800000000003</v>
      </c>
      <c r="E4483">
        <v>0.44153569999999998</v>
      </c>
      <c r="F4483" t="s">
        <v>64</v>
      </c>
      <c r="G4483">
        <v>-416.27440000000001</v>
      </c>
      <c r="H4483" s="1">
        <v>-4.992719E-6</v>
      </c>
      <c r="I4483">
        <v>32.654809999999998</v>
      </c>
      <c r="J4483">
        <v>-421.29689999999999</v>
      </c>
      <c r="K4483">
        <v>1.1154269999999999</v>
      </c>
      <c r="L4483">
        <v>39.597410000000004</v>
      </c>
      <c r="M4483">
        <v>0.23178289999999999</v>
      </c>
      <c r="N4483">
        <v>0</v>
      </c>
      <c r="O4483">
        <v>-0.97266699999999995</v>
      </c>
      <c r="P4483">
        <v>0.44755519999999999</v>
      </c>
      <c r="Q4483">
        <v>9.921147E-3</v>
      </c>
      <c r="R4483">
        <v>-0.89420149999999998</v>
      </c>
      <c r="S4483">
        <v>1.7523799999999901</v>
      </c>
      <c r="T4483">
        <v>-0.38348019999999999</v>
      </c>
      <c r="U4483">
        <v>-2.486542</v>
      </c>
      <c r="V4483">
        <v>-0.2283877</v>
      </c>
      <c r="W4483">
        <v>2.0389879999999999E-2</v>
      </c>
      <c r="X4483">
        <v>0.97335669999999996</v>
      </c>
      <c r="Y4483">
        <v>-0.3661451</v>
      </c>
      <c r="Z4483">
        <v>0.1272182</v>
      </c>
      <c r="AA4483">
        <v>0.92182059999999999</v>
      </c>
      <c r="AB4483">
        <v>30</v>
      </c>
      <c r="AC4483">
        <v>5.0224999999999804</v>
      </c>
      <c r="AD4483">
        <v>-1.115431992719</v>
      </c>
      <c r="AE4483">
        <v>-6.9425999999999899</v>
      </c>
      <c r="AF4483">
        <v>-3.22177162650536</v>
      </c>
      <c r="AG4483">
        <v>-1.115431992719</v>
      </c>
      <c r="AH4483">
        <v>7.7858114837622798</v>
      </c>
      <c r="AI4483">
        <v>97.540893357398801</v>
      </c>
      <c r="AJ4483">
        <v>112.479789582142</v>
      </c>
      <c r="AK4483">
        <v>8.4995800722400805</v>
      </c>
      <c r="AL4483">
        <v>88.831664939559602</v>
      </c>
      <c r="AM4483">
        <v>103.204962675754</v>
      </c>
      <c r="AN4483">
        <v>0.99999997707629695</v>
      </c>
    </row>
    <row r="4484" spans="1:40" x14ac:dyDescent="0.25">
      <c r="A4484" t="str">
        <f>"20190312151628879"</f>
        <v>20190312151628879</v>
      </c>
      <c r="B4484" t="str">
        <f>"1552374988872856"</f>
        <v>1552374988872856</v>
      </c>
      <c r="C4484" t="s">
        <v>40</v>
      </c>
      <c r="D4484">
        <v>4.5403710000000004</v>
      </c>
      <c r="E4484">
        <v>0.4415269</v>
      </c>
      <c r="F4484" t="s">
        <v>64</v>
      </c>
      <c r="G4484">
        <v>-416.21809999999999</v>
      </c>
      <c r="H4484" s="1">
        <v>-5.0749749999999996E-6</v>
      </c>
      <c r="I4484">
        <v>32.517890000000001</v>
      </c>
      <c r="J4484">
        <v>-421.22179999999997</v>
      </c>
      <c r="K4484">
        <v>1.1154790000000001</v>
      </c>
      <c r="L4484">
        <v>39.313839999999999</v>
      </c>
      <c r="M4484">
        <v>0.23857909999999999</v>
      </c>
      <c r="N4484">
        <v>0</v>
      </c>
      <c r="O4484">
        <v>-0.9710223</v>
      </c>
      <c r="P4484">
        <v>0.4550129</v>
      </c>
      <c r="Q4484">
        <v>1.0144449999999999E-2</v>
      </c>
      <c r="R4484">
        <v>-0.89042739999999998</v>
      </c>
      <c r="S4484">
        <v>1.7732239999999999</v>
      </c>
      <c r="T4484">
        <v>-0.38944610000000002</v>
      </c>
      <c r="U4484">
        <v>-2.4717709999999999</v>
      </c>
      <c r="V4484">
        <v>-0.22972139999999999</v>
      </c>
      <c r="W4484">
        <v>2.0571039999999999E-2</v>
      </c>
      <c r="X4484">
        <v>0.97303899999999999</v>
      </c>
      <c r="Y4484">
        <v>-0.36723909999999998</v>
      </c>
      <c r="Z4484">
        <v>0.1291416</v>
      </c>
      <c r="AA4484">
        <v>0.92111779999999999</v>
      </c>
      <c r="AB4484">
        <v>30</v>
      </c>
      <c r="AC4484">
        <v>5.0036999999999798</v>
      </c>
      <c r="AD4484">
        <v>-1.1154840749749999</v>
      </c>
      <c r="AE4484">
        <v>-6.7959499999999897</v>
      </c>
      <c r="AF4484">
        <v>-3.1820563938242499</v>
      </c>
      <c r="AG4484">
        <v>-1.1154840749749999</v>
      </c>
      <c r="AH4484">
        <v>7.6597381202593997</v>
      </c>
      <c r="AI4484">
        <v>97.659545958248799</v>
      </c>
      <c r="AJ4484">
        <v>112.55928176399399</v>
      </c>
      <c r="AK4484">
        <v>8.3690725702407303</v>
      </c>
      <c r="AL4484">
        <v>88.821283076406203</v>
      </c>
      <c r="AM4484">
        <v>103.28353239405099</v>
      </c>
      <c r="AN4484">
        <v>0.99999999241282</v>
      </c>
    </row>
    <row r="4485" spans="1:40" x14ac:dyDescent="0.25">
      <c r="A4485" t="str">
        <f>"20190312151628902"</f>
        <v>20190312151628902</v>
      </c>
      <c r="B4485" t="str">
        <f>"1552374988892375"</f>
        <v>1552374988892375</v>
      </c>
      <c r="C4485" t="s">
        <v>40</v>
      </c>
      <c r="D4485">
        <v>4.5191670000000004</v>
      </c>
      <c r="E4485">
        <v>0.44166070000000002</v>
      </c>
      <c r="F4485" t="s">
        <v>64</v>
      </c>
      <c r="G4485">
        <v>-416.10090000000002</v>
      </c>
      <c r="H4485" s="1">
        <v>-5.2126270000000004E-6</v>
      </c>
      <c r="I4485">
        <v>32.298759999999902</v>
      </c>
      <c r="J4485">
        <v>-421.14389999999997</v>
      </c>
      <c r="K4485">
        <v>1.1155250000000001</v>
      </c>
      <c r="L4485">
        <v>39.027830000000002</v>
      </c>
      <c r="M4485">
        <v>0.2455117</v>
      </c>
      <c r="N4485">
        <v>0</v>
      </c>
      <c r="O4485">
        <v>-0.96929259999999995</v>
      </c>
      <c r="P4485">
        <v>0.46263290000000001</v>
      </c>
      <c r="Q4485">
        <v>1.007744E-2</v>
      </c>
      <c r="R4485">
        <v>-0.88649290000000003</v>
      </c>
      <c r="S4485">
        <v>1.7936099999999999</v>
      </c>
      <c r="T4485">
        <v>-0.39069779999999998</v>
      </c>
      <c r="U4485">
        <v>-2.4570310000000002</v>
      </c>
      <c r="V4485">
        <v>-0.23111509999999999</v>
      </c>
      <c r="W4485">
        <v>2.0458049999999998E-2</v>
      </c>
      <c r="X4485">
        <v>0.97271129999999995</v>
      </c>
      <c r="Y4485">
        <v>-0.36818820000000002</v>
      </c>
      <c r="Z4485">
        <v>0.12951689999999999</v>
      </c>
      <c r="AA4485">
        <v>0.92068609999999995</v>
      </c>
      <c r="AB4485">
        <v>30</v>
      </c>
      <c r="AC4485">
        <v>5.0429999999999398</v>
      </c>
      <c r="AD4485">
        <v>-1.1155302126269999</v>
      </c>
      <c r="AE4485">
        <v>-6.7290700000000001</v>
      </c>
      <c r="AF4485">
        <v>-3.18042439451829</v>
      </c>
      <c r="AG4485">
        <v>-1.1155302126269999</v>
      </c>
      <c r="AH4485">
        <v>7.6270903407224697</v>
      </c>
      <c r="AI4485">
        <v>97.688038888860405</v>
      </c>
      <c r="AJ4485">
        <v>112.635673847604</v>
      </c>
      <c r="AK4485">
        <v>8.3385858543324201</v>
      </c>
      <c r="AL4485">
        <v>88.827758294880596</v>
      </c>
      <c r="AM4485">
        <v>103.36558036978199</v>
      </c>
      <c r="AN4485">
        <v>0.99999999720275101</v>
      </c>
    </row>
    <row r="4486" spans="1:40" x14ac:dyDescent="0.25">
      <c r="A4486" t="str">
        <f>"20190312151628925"</f>
        <v>20190312151628925</v>
      </c>
      <c r="B4486" t="str">
        <f>"1552374988922631"</f>
        <v>1552374988922631</v>
      </c>
      <c r="C4486" t="s">
        <v>40</v>
      </c>
      <c r="D4486">
        <v>4.5239630000000002</v>
      </c>
      <c r="E4486">
        <v>0.44210840000000001</v>
      </c>
      <c r="F4486" t="s">
        <v>64</v>
      </c>
      <c r="G4486">
        <v>-416.00689999999997</v>
      </c>
      <c r="H4486" s="1">
        <v>-5.3294629999999898E-6</v>
      </c>
      <c r="I4486">
        <v>32.110340000000001</v>
      </c>
      <c r="J4486">
        <v>-421.06029999999998</v>
      </c>
      <c r="K4486">
        <v>1.115591</v>
      </c>
      <c r="L4486">
        <v>38.72992</v>
      </c>
      <c r="M4486">
        <v>0.25282919999999998</v>
      </c>
      <c r="N4486">
        <v>0</v>
      </c>
      <c r="O4486">
        <v>-0.96740959999999998</v>
      </c>
      <c r="P4486">
        <v>0.47031820000000002</v>
      </c>
      <c r="Q4486">
        <v>1.04236E-2</v>
      </c>
      <c r="R4486">
        <v>-0.88243559999999999</v>
      </c>
      <c r="S4486">
        <v>1.8135680000000001</v>
      </c>
      <c r="T4486">
        <v>-0.39383020000000002</v>
      </c>
      <c r="U4486">
        <v>-2.4421689999999998</v>
      </c>
      <c r="V4486">
        <v>-0.23222570000000001</v>
      </c>
      <c r="W4486">
        <v>2.0758869999999999E-2</v>
      </c>
      <c r="X4486">
        <v>0.97244039999999998</v>
      </c>
      <c r="Y4486">
        <v>-0.3686238</v>
      </c>
      <c r="Z4486">
        <v>0.13049330000000001</v>
      </c>
      <c r="AA4486">
        <v>0.92037389999999997</v>
      </c>
      <c r="AB4486">
        <v>30</v>
      </c>
      <c r="AC4486">
        <v>5.0534000000000097</v>
      </c>
      <c r="AD4486">
        <v>-1.115596329463</v>
      </c>
      <c r="AE4486">
        <v>-6.6195799999999902</v>
      </c>
      <c r="AF4486">
        <v>-3.1587180739405598</v>
      </c>
      <c r="AG4486">
        <v>-1.115596329463</v>
      </c>
      <c r="AH4486">
        <v>7.5468213025815896</v>
      </c>
      <c r="AI4486">
        <v>97.765017021485505</v>
      </c>
      <c r="AJ4486">
        <v>112.71172217597</v>
      </c>
      <c r="AK4486">
        <v>8.2569102462149395</v>
      </c>
      <c r="AL4486">
        <v>88.810518943046304</v>
      </c>
      <c r="AM4486">
        <v>103.431091683034</v>
      </c>
      <c r="AN4486">
        <v>1.0000000189881599</v>
      </c>
    </row>
    <row r="4487" spans="1:40" x14ac:dyDescent="0.25">
      <c r="A4487" t="str">
        <f>"20190312151628947"</f>
        <v>20190312151628947</v>
      </c>
      <c r="B4487" t="str">
        <f>"1552374988942152"</f>
        <v>1552374988942152</v>
      </c>
      <c r="C4487" t="s">
        <v>40</v>
      </c>
      <c r="D4487">
        <v>4.5109440000000003</v>
      </c>
      <c r="E4487">
        <v>0.44246039999999998</v>
      </c>
      <c r="F4487" t="s">
        <v>64</v>
      </c>
      <c r="G4487">
        <v>-415.89400000000001</v>
      </c>
      <c r="H4487" s="1">
        <v>-5.4701780000000004E-6</v>
      </c>
      <c r="I4487">
        <v>31.883330000000001</v>
      </c>
      <c r="J4487">
        <v>-420.97980000000001</v>
      </c>
      <c r="K4487">
        <v>1.115658</v>
      </c>
      <c r="L4487">
        <v>38.45129</v>
      </c>
      <c r="M4487">
        <v>0.25977319999999998</v>
      </c>
      <c r="N4487">
        <v>0</v>
      </c>
      <c r="O4487">
        <v>-0.96556779999999998</v>
      </c>
      <c r="P4487">
        <v>0.4778985</v>
      </c>
      <c r="Q4487">
        <v>1.117686E-2</v>
      </c>
      <c r="R4487">
        <v>-0.87834409999999896</v>
      </c>
      <c r="S4487">
        <v>1.8320620000000001</v>
      </c>
      <c r="T4487">
        <v>-0.3956093</v>
      </c>
      <c r="U4487">
        <v>-2.4279169999999999</v>
      </c>
      <c r="V4487">
        <v>-0.23362840000000001</v>
      </c>
      <c r="W4487">
        <v>2.145824E-2</v>
      </c>
      <c r="X4487">
        <v>0.97208919999999999</v>
      </c>
      <c r="Y4487">
        <v>-0.36897289999999999</v>
      </c>
      <c r="Z4487">
        <v>0.13103049999999999</v>
      </c>
      <c r="AA4487">
        <v>0.92015760000000002</v>
      </c>
      <c r="AB4487">
        <v>30</v>
      </c>
      <c r="AC4487">
        <v>5.0857999999999999</v>
      </c>
      <c r="AD4487">
        <v>-1.1156634701779999</v>
      </c>
      <c r="AE4487">
        <v>-6.5679600000000002</v>
      </c>
      <c r="AF4487">
        <v>-3.14803476398458</v>
      </c>
      <c r="AG4487">
        <v>-1.1156634701779999</v>
      </c>
      <c r="AH4487">
        <v>7.5279280144653997</v>
      </c>
      <c r="AI4487">
        <v>97.785738915233296</v>
      </c>
      <c r="AJ4487">
        <v>112.69374402473299</v>
      </c>
      <c r="AK4487">
        <v>8.2355648285298706</v>
      </c>
      <c r="AL4487">
        <v>88.770439100431403</v>
      </c>
      <c r="AM4487">
        <v>103.513955406351</v>
      </c>
      <c r="AN4487">
        <v>1.0000000490535399</v>
      </c>
    </row>
    <row r="4488" spans="1:40" x14ac:dyDescent="0.25">
      <c r="A4488" t="str">
        <f>"20190312151628971"</f>
        <v>20190312151628971</v>
      </c>
      <c r="B4488" t="str">
        <f>"1552374988962648"</f>
        <v>1552374988962648</v>
      </c>
      <c r="C4488" t="s">
        <v>40</v>
      </c>
      <c r="D4488">
        <v>4.477328</v>
      </c>
      <c r="E4488">
        <v>0.4428569</v>
      </c>
      <c r="F4488" t="s">
        <v>64</v>
      </c>
      <c r="G4488">
        <v>-415.70409999999998</v>
      </c>
      <c r="H4488" s="1">
        <v>-5.6494230000000001E-6</v>
      </c>
      <c r="I4488">
        <v>31.569479999999999</v>
      </c>
      <c r="J4488">
        <v>-420.89100000000002</v>
      </c>
      <c r="K4488">
        <v>1.115739</v>
      </c>
      <c r="L4488">
        <v>38.152250000000002</v>
      </c>
      <c r="M4488">
        <v>0.26734609999999998</v>
      </c>
      <c r="N4488">
        <v>0</v>
      </c>
      <c r="O4488">
        <v>-0.96349859999999998</v>
      </c>
      <c r="P4488">
        <v>0.48593190000000003</v>
      </c>
      <c r="Q4488">
        <v>1.087693E-2</v>
      </c>
      <c r="R4488">
        <v>-0.87392909999999902</v>
      </c>
      <c r="S4488">
        <v>1.8503719999999999</v>
      </c>
      <c r="T4488">
        <v>-0.3913027</v>
      </c>
      <c r="U4488">
        <v>-2.4136959999999998</v>
      </c>
      <c r="V4488">
        <v>-0.23490839999999999</v>
      </c>
      <c r="W4488">
        <v>2.1098780000000001E-2</v>
      </c>
      <c r="X4488">
        <v>0.97178850000000006</v>
      </c>
      <c r="Y4488">
        <v>-0.36881770000000003</v>
      </c>
      <c r="Z4488">
        <v>0.1295567</v>
      </c>
      <c r="AA4488">
        <v>0.92042849999999998</v>
      </c>
      <c r="AB4488">
        <v>30</v>
      </c>
      <c r="AC4488">
        <v>5.1868999999999801</v>
      </c>
      <c r="AD4488">
        <v>-1.1157446494229999</v>
      </c>
      <c r="AE4488">
        <v>-6.58277</v>
      </c>
      <c r="AF4488">
        <v>-3.1816197237469601</v>
      </c>
      <c r="AG4488">
        <v>-1.1157446494229999</v>
      </c>
      <c r="AH4488">
        <v>7.5953261538049999</v>
      </c>
      <c r="AI4488">
        <v>97.716111555246897</v>
      </c>
      <c r="AJ4488">
        <v>112.72840946649301</v>
      </c>
      <c r="AK4488">
        <v>8.3100282533771193</v>
      </c>
      <c r="AL4488">
        <v>88.791039247480299</v>
      </c>
      <c r="AM4488">
        <v>103.589306349062</v>
      </c>
      <c r="AN4488">
        <v>1.00000000182014</v>
      </c>
    </row>
    <row r="4489" spans="1:40" x14ac:dyDescent="0.25">
      <c r="A4489" t="str">
        <f>"20190312151628992"</f>
        <v>20190312151628992</v>
      </c>
      <c r="B4489" t="str">
        <f>"1552374988983144"</f>
        <v>1552374988983144</v>
      </c>
      <c r="C4489" t="s">
        <v>40</v>
      </c>
      <c r="D4489">
        <v>4.4617529999999999</v>
      </c>
      <c r="E4489">
        <v>0.44337310000000002</v>
      </c>
      <c r="F4489" t="s">
        <v>64</v>
      </c>
      <c r="G4489">
        <v>-415.56079999999997</v>
      </c>
      <c r="H4489" s="1">
        <v>-5.7678290000000002E-6</v>
      </c>
      <c r="I4489">
        <v>31.315750000000001</v>
      </c>
      <c r="J4489">
        <v>-420.80439999999999</v>
      </c>
      <c r="K4489">
        <v>1.115829</v>
      </c>
      <c r="L4489">
        <v>37.869079999999997</v>
      </c>
      <c r="M4489">
        <v>0.2746442</v>
      </c>
      <c r="N4489">
        <v>0</v>
      </c>
      <c r="O4489">
        <v>-0.96144350000000001</v>
      </c>
      <c r="P4489">
        <v>0.49286020000000003</v>
      </c>
      <c r="Q4489">
        <v>1.1018160000000001E-2</v>
      </c>
      <c r="R4489">
        <v>-0.8700388</v>
      </c>
      <c r="S4489">
        <v>1.8696900000000001</v>
      </c>
      <c r="T4489">
        <v>-0.39137509999999998</v>
      </c>
      <c r="U4489">
        <v>-2.3980709999999998</v>
      </c>
      <c r="V4489">
        <v>-0.235268</v>
      </c>
      <c r="W4489">
        <v>2.1194609999999999E-2</v>
      </c>
      <c r="X4489">
        <v>0.97169939999999999</v>
      </c>
      <c r="Y4489">
        <v>-0.36929719999999999</v>
      </c>
      <c r="Z4489">
        <v>0.12953139999999999</v>
      </c>
      <c r="AA4489">
        <v>0.92023969999999999</v>
      </c>
      <c r="AB4489">
        <v>30</v>
      </c>
      <c r="AC4489">
        <v>5.2436000000000096</v>
      </c>
      <c r="AD4489">
        <v>-1.1158347678289999</v>
      </c>
      <c r="AE4489">
        <v>-6.5533299999999901</v>
      </c>
      <c r="AF4489">
        <v>-3.1856032576998299</v>
      </c>
      <c r="AG4489">
        <v>-1.1158347678289999</v>
      </c>
      <c r="AH4489">
        <v>7.6070843774892296</v>
      </c>
      <c r="AI4489">
        <v>97.705278825063104</v>
      </c>
      <c r="AJ4489">
        <v>112.72237398706601</v>
      </c>
      <c r="AK4489">
        <v>8.3223126636052598</v>
      </c>
      <c r="AL4489">
        <v>88.785547342778898</v>
      </c>
      <c r="AM4489">
        <v>103.610537369021</v>
      </c>
      <c r="AN4489">
        <v>0.99999998363870501</v>
      </c>
    </row>
    <row r="4490" spans="1:40" x14ac:dyDescent="0.25">
      <c r="A4490" t="str">
        <f>"20190312151629015"</f>
        <v>20190312151629015</v>
      </c>
      <c r="B4490" t="str">
        <f>"1552374989012424"</f>
        <v>1552374989012424</v>
      </c>
      <c r="C4490" t="s">
        <v>40</v>
      </c>
      <c r="D4490">
        <v>4.508464</v>
      </c>
      <c r="E4490">
        <v>0.4440017</v>
      </c>
      <c r="F4490" t="s">
        <v>64</v>
      </c>
      <c r="G4490">
        <v>-415.40890000000002</v>
      </c>
      <c r="H4490" s="1">
        <v>-5.89464899999999E-6</v>
      </c>
      <c r="I4490">
        <v>31.04336</v>
      </c>
      <c r="J4490">
        <v>-420.71820000000002</v>
      </c>
      <c r="K4490">
        <v>1.1159289999999999</v>
      </c>
      <c r="L4490">
        <v>37.595979999999997</v>
      </c>
      <c r="M4490">
        <v>0.2818251</v>
      </c>
      <c r="N4490">
        <v>0</v>
      </c>
      <c r="O4490">
        <v>-0.95936290000000002</v>
      </c>
      <c r="P4490">
        <v>0.49985940000000001</v>
      </c>
      <c r="Q4490">
        <v>1.0948640000000001E-2</v>
      </c>
      <c r="R4490">
        <v>-0.86603750000000002</v>
      </c>
      <c r="S4490">
        <v>1.885284</v>
      </c>
      <c r="T4490">
        <v>-0.38989469999999998</v>
      </c>
      <c r="U4490">
        <v>-2.38504</v>
      </c>
      <c r="V4490">
        <v>-0.23584079999999999</v>
      </c>
      <c r="W4490">
        <v>2.1073519999999998E-2</v>
      </c>
      <c r="X4490">
        <v>0.97156319999999996</v>
      </c>
      <c r="Y4490">
        <v>-0.36854930000000002</v>
      </c>
      <c r="Z4490">
        <v>0.1289729</v>
      </c>
      <c r="AA4490">
        <v>0.92061789999999999</v>
      </c>
      <c r="AB4490">
        <v>30</v>
      </c>
      <c r="AC4490">
        <v>5.3093000000000004</v>
      </c>
      <c r="AD4490">
        <v>-1.115934894649</v>
      </c>
      <c r="AE4490">
        <v>-6.5526200000000001</v>
      </c>
      <c r="AF4490">
        <v>-3.1912979468254199</v>
      </c>
      <c r="AG4490">
        <v>-1.115934894649</v>
      </c>
      <c r="AH4490">
        <v>7.6494711058819096</v>
      </c>
      <c r="AI4490">
        <v>97.668018687186404</v>
      </c>
      <c r="AJ4490">
        <v>112.645505681587</v>
      </c>
      <c r="AK4490">
        <v>8.3632590223087995</v>
      </c>
      <c r="AL4490">
        <v>88.792486875306196</v>
      </c>
      <c r="AM4490">
        <v>103.644278623544</v>
      </c>
      <c r="AN4490">
        <v>1.00000001389203</v>
      </c>
    </row>
    <row r="4491" spans="1:40" x14ac:dyDescent="0.25">
      <c r="A4491" t="str">
        <f>"20190312151629036"</f>
        <v>20190312151629036</v>
      </c>
      <c r="B4491" t="str">
        <f>"1552374989031944"</f>
        <v>1552374989031944</v>
      </c>
      <c r="C4491" t="s">
        <v>40</v>
      </c>
      <c r="D4491">
        <v>4.5038489999999998</v>
      </c>
      <c r="E4491">
        <v>0.4444128</v>
      </c>
      <c r="F4491" t="s">
        <v>64</v>
      </c>
      <c r="G4491">
        <v>-415.2901</v>
      </c>
      <c r="H4491" s="1">
        <v>-5.9979450000000004E-6</v>
      </c>
      <c r="I4491">
        <v>30.81944</v>
      </c>
      <c r="J4491">
        <v>-420.62900000000002</v>
      </c>
      <c r="K4491">
        <v>1.1160209999999999</v>
      </c>
      <c r="L4491">
        <v>37.320590000000003</v>
      </c>
      <c r="M4491">
        <v>0.28920129999999999</v>
      </c>
      <c r="N4491">
        <v>0</v>
      </c>
      <c r="O4491">
        <v>-0.95716509999999999</v>
      </c>
      <c r="P4491">
        <v>0.50714459999999995</v>
      </c>
      <c r="Q4491">
        <v>1.105333E-2</v>
      </c>
      <c r="R4491">
        <v>-0.86179039999999996</v>
      </c>
      <c r="S4491">
        <v>1.9002079999999999</v>
      </c>
      <c r="T4491">
        <v>-0.39065339999999998</v>
      </c>
      <c r="U4491">
        <v>-2.3722530000000002</v>
      </c>
      <c r="V4491">
        <v>-0.23656269999999999</v>
      </c>
      <c r="W4491">
        <v>2.1122620000000002E-2</v>
      </c>
      <c r="X4491">
        <v>0.97138659999999999</v>
      </c>
      <c r="Y4491">
        <v>-0.36733440000000001</v>
      </c>
      <c r="Z4491">
        <v>0.12912750000000001</v>
      </c>
      <c r="AA4491">
        <v>0.9210817</v>
      </c>
      <c r="AB4491">
        <v>30</v>
      </c>
      <c r="AC4491">
        <v>5.3389000000000202</v>
      </c>
      <c r="AD4491">
        <v>-1.1160269979449999</v>
      </c>
      <c r="AE4491">
        <v>-6.5011499999999902</v>
      </c>
      <c r="AF4491">
        <v>-3.1745160426804202</v>
      </c>
      <c r="AG4491">
        <v>-1.1160269979449999</v>
      </c>
      <c r="AH4491">
        <v>7.63311682269656</v>
      </c>
      <c r="AI4491">
        <v>97.688395510620495</v>
      </c>
      <c r="AJ4491">
        <v>112.58180374465</v>
      </c>
      <c r="AK4491">
        <v>8.3419146959382502</v>
      </c>
      <c r="AL4491">
        <v>88.789673011096994</v>
      </c>
      <c r="AM4491">
        <v>103.686869550339</v>
      </c>
      <c r="AN4491">
        <v>1.00000000138325</v>
      </c>
    </row>
    <row r="4492" spans="1:40" x14ac:dyDescent="0.25">
      <c r="A4492" t="str">
        <f>"20190312151629059"</f>
        <v>20190312151629059</v>
      </c>
      <c r="B4492" t="str">
        <f>"1552374989052439"</f>
        <v>1552374989052439</v>
      </c>
      <c r="C4492" t="s">
        <v>40</v>
      </c>
      <c r="D4492">
        <v>4.4511329999999996</v>
      </c>
      <c r="E4492">
        <v>0.44494250000000002</v>
      </c>
      <c r="F4492" t="s">
        <v>64</v>
      </c>
      <c r="G4492">
        <v>-415.19349999999997</v>
      </c>
      <c r="H4492" s="1">
        <v>-6.0827469999999996E-6</v>
      </c>
      <c r="I4492">
        <v>30.635249999999999</v>
      </c>
      <c r="J4492">
        <v>-420.53579999999999</v>
      </c>
      <c r="K4492">
        <v>1.1161110000000001</v>
      </c>
      <c r="L4492">
        <v>37.040799999999997</v>
      </c>
      <c r="M4492">
        <v>0.29681560000000001</v>
      </c>
      <c r="N4492">
        <v>0</v>
      </c>
      <c r="O4492">
        <v>-0.95483119999999999</v>
      </c>
      <c r="P4492">
        <v>0.51420809999999995</v>
      </c>
      <c r="Q4492">
        <v>1.076744E-2</v>
      </c>
      <c r="R4492">
        <v>-0.85759810000000003</v>
      </c>
      <c r="S4492">
        <v>1.9171450000000001</v>
      </c>
      <c r="T4492">
        <v>-0.39363160000000003</v>
      </c>
      <c r="U4492">
        <v>-2.357971</v>
      </c>
      <c r="V4492">
        <v>-0.23680570000000001</v>
      </c>
      <c r="W4492">
        <v>2.0793200000000001E-2</v>
      </c>
      <c r="X4492">
        <v>0.97133449999999999</v>
      </c>
      <c r="Y4492">
        <v>-0.36657210000000001</v>
      </c>
      <c r="Z4492">
        <v>0.12999050000000001</v>
      </c>
      <c r="AA4492">
        <v>0.92126410000000003</v>
      </c>
      <c r="AB4492">
        <v>30</v>
      </c>
      <c r="AC4492">
        <v>5.3423000000000203</v>
      </c>
      <c r="AD4492">
        <v>-1.1161170827469999</v>
      </c>
      <c r="AE4492">
        <v>-6.4055499999999901</v>
      </c>
      <c r="AF4492">
        <v>-3.1437532760818598</v>
      </c>
      <c r="AG4492">
        <v>-1.1161170827469999</v>
      </c>
      <c r="AH4492">
        <v>7.5671642158957404</v>
      </c>
      <c r="AI4492">
        <v>97.756407547475604</v>
      </c>
      <c r="AJ4492">
        <v>112.560279488742</v>
      </c>
      <c r="AK4492">
        <v>8.2698776456249998</v>
      </c>
      <c r="AL4492">
        <v>88.808551536228407</v>
      </c>
      <c r="AM4492">
        <v>103.701106463489</v>
      </c>
      <c r="AN4492">
        <v>1.0000000038044801</v>
      </c>
    </row>
    <row r="4493" spans="1:40" x14ac:dyDescent="0.25">
      <c r="A4493" t="str">
        <f>"20190312151629080"</f>
        <v>20190312151629080</v>
      </c>
      <c r="B4493" t="str">
        <f>"1552374989072936"</f>
        <v>1552374989072936</v>
      </c>
      <c r="C4493" t="s">
        <v>40</v>
      </c>
      <c r="D4493">
        <v>4.5004119999999999</v>
      </c>
      <c r="E4493">
        <v>0.44543650000000001</v>
      </c>
      <c r="F4493" t="s">
        <v>64</v>
      </c>
      <c r="G4493">
        <v>-415.07010000000002</v>
      </c>
      <c r="H4493" s="1">
        <v>-6.1864380000000004E-6</v>
      </c>
      <c r="I4493">
        <v>30.412179999999999</v>
      </c>
      <c r="J4493">
        <v>-420.44220000000001</v>
      </c>
      <c r="K4493">
        <v>1.116193</v>
      </c>
      <c r="L4493">
        <v>36.767400000000002</v>
      </c>
      <c r="M4493">
        <v>0.30437449999999999</v>
      </c>
      <c r="N4493">
        <v>0</v>
      </c>
      <c r="O4493">
        <v>-0.95244859999999998</v>
      </c>
      <c r="P4493">
        <v>0.52148899999999998</v>
      </c>
      <c r="Q4493">
        <v>1.062368E-2</v>
      </c>
      <c r="R4493">
        <v>-0.85319239999999996</v>
      </c>
      <c r="S4493">
        <v>1.9328920000000001</v>
      </c>
      <c r="T4493">
        <v>-0.3947039</v>
      </c>
      <c r="U4493">
        <v>-2.344147</v>
      </c>
      <c r="V4493">
        <v>-0.2373758</v>
      </c>
      <c r="W4493">
        <v>2.0602499999999999E-2</v>
      </c>
      <c r="X4493">
        <v>0.97119940000000005</v>
      </c>
      <c r="Y4493">
        <v>-0.36553190000000002</v>
      </c>
      <c r="Z4493">
        <v>0.13022810000000001</v>
      </c>
      <c r="AA4493">
        <v>0.92164369999999995</v>
      </c>
      <c r="AB4493">
        <v>30</v>
      </c>
      <c r="AC4493">
        <v>5.3720999999999801</v>
      </c>
      <c r="AD4493">
        <v>-1.1161991864380001</v>
      </c>
      <c r="AE4493">
        <v>-6.3552200000000001</v>
      </c>
      <c r="AF4493">
        <v>-3.12634842366757</v>
      </c>
      <c r="AG4493">
        <v>-1.1161991864380001</v>
      </c>
      <c r="AH4493">
        <v>7.5530188796831599</v>
      </c>
      <c r="AI4493">
        <v>97.775467919910099</v>
      </c>
      <c r="AJ4493">
        <v>112.485660290927</v>
      </c>
      <c r="AK4493">
        <v>8.2503363135586092</v>
      </c>
      <c r="AL4493">
        <v>88.8194801827551</v>
      </c>
      <c r="AM4493">
        <v>103.734681866279</v>
      </c>
      <c r="AN4493">
        <v>1.0000000039961201</v>
      </c>
    </row>
    <row r="4494" spans="1:40" x14ac:dyDescent="0.25">
      <c r="A4494" t="str">
        <f>"20190312151629095"</f>
        <v>20190312151629095</v>
      </c>
      <c r="B4494" t="str">
        <f>"1552374989092455"</f>
        <v>1552374989092455</v>
      </c>
      <c r="C4494" t="s">
        <v>40</v>
      </c>
      <c r="D4494">
        <v>4.4793089999999998</v>
      </c>
      <c r="E4494">
        <v>0.4458628</v>
      </c>
      <c r="F4494" t="s">
        <v>64</v>
      </c>
      <c r="G4494">
        <v>-414.93729999999999</v>
      </c>
      <c r="H4494" s="1">
        <v>-6.2917820000000004E-6</v>
      </c>
      <c r="I4494">
        <v>30.18863</v>
      </c>
      <c r="J4494">
        <v>-420.3793</v>
      </c>
      <c r="K4494">
        <v>1.1162459999999901</v>
      </c>
      <c r="L4494">
        <v>36.587339999999998</v>
      </c>
      <c r="M4494">
        <v>0.30941049999999998</v>
      </c>
      <c r="N4494">
        <v>0</v>
      </c>
      <c r="O4494">
        <v>-0.95082420000000001</v>
      </c>
      <c r="P4494">
        <v>0.52613319999999997</v>
      </c>
      <c r="Q4494">
        <v>1.0374670000000001E-2</v>
      </c>
      <c r="R4494">
        <v>-0.85033930000000002</v>
      </c>
      <c r="S4494">
        <v>1.949341</v>
      </c>
      <c r="T4494">
        <v>-0.39525949999999999</v>
      </c>
      <c r="U4494">
        <v>-2.3296199999999998</v>
      </c>
      <c r="V4494">
        <v>-0.23752999999999999</v>
      </c>
      <c r="W4494">
        <v>2.0326469999999999E-2</v>
      </c>
      <c r="X4494">
        <v>0.97116749999999996</v>
      </c>
      <c r="Y4494">
        <v>-0.36725069999999999</v>
      </c>
      <c r="Z4494">
        <v>0.13039100000000001</v>
      </c>
      <c r="AA4494">
        <v>0.92093709999999995</v>
      </c>
      <c r="AB4494">
        <v>30</v>
      </c>
      <c r="AC4494">
        <v>5.4420000000000002</v>
      </c>
      <c r="AD4494">
        <v>-1.1162522917819999</v>
      </c>
      <c r="AE4494">
        <v>-6.3987100000000003</v>
      </c>
      <c r="AF4494">
        <v>-3.1394341417088598</v>
      </c>
      <c r="AG4494">
        <v>-1.1162522917819999</v>
      </c>
      <c r="AH4494">
        <v>7.6338233752416196</v>
      </c>
      <c r="AI4494">
        <v>97.701669133495699</v>
      </c>
      <c r="AJ4494">
        <v>112.355071117968</v>
      </c>
      <c r="AK4494">
        <v>8.3293052071238893</v>
      </c>
      <c r="AL4494">
        <v>88.835298832809897</v>
      </c>
      <c r="AM4494">
        <v>103.74370005909999</v>
      </c>
      <c r="AN4494">
        <v>0.99999998966945502</v>
      </c>
    </row>
    <row r="4495" spans="1:40" x14ac:dyDescent="0.25">
      <c r="A4495" t="str">
        <f>"20190312151629109"</f>
        <v>20190312151629109</v>
      </c>
      <c r="B4495" t="str">
        <f>"1552374989102217"</f>
        <v>1552374989102217</v>
      </c>
      <c r="C4495" t="s">
        <v>40</v>
      </c>
      <c r="D4495">
        <v>4.5166190000000004</v>
      </c>
      <c r="E4495">
        <v>0.44612800000000002</v>
      </c>
      <c r="F4495" t="s">
        <v>64</v>
      </c>
      <c r="G4495">
        <v>-414.86649999999997</v>
      </c>
      <c r="H4495" s="1">
        <v>-6.3527930000000004E-6</v>
      </c>
      <c r="I4495">
        <v>30.056629999999998</v>
      </c>
      <c r="J4495">
        <v>-420.31509999999997</v>
      </c>
      <c r="K4495">
        <v>1.116298</v>
      </c>
      <c r="L4495">
        <v>36.407260000000001</v>
      </c>
      <c r="M4495">
        <v>0.31451180000000001</v>
      </c>
      <c r="N4495">
        <v>0</v>
      </c>
      <c r="O4495">
        <v>-0.94914889999999996</v>
      </c>
      <c r="P4495">
        <v>0.53122380000000002</v>
      </c>
      <c r="Q4495">
        <v>1.0254009999999999E-2</v>
      </c>
      <c r="R4495">
        <v>-0.84716939999999996</v>
      </c>
      <c r="S4495">
        <v>1.959015</v>
      </c>
      <c r="T4495">
        <v>-0.39666889999999999</v>
      </c>
      <c r="U4495">
        <v>-2.3207399999999998</v>
      </c>
      <c r="V4495">
        <v>-0.23813960000000001</v>
      </c>
      <c r="W4495">
        <v>2.0171060000000001E-2</v>
      </c>
      <c r="X4495">
        <v>0.97102149999999998</v>
      </c>
      <c r="Y4495">
        <v>-0.36620459999999999</v>
      </c>
      <c r="Z4495">
        <v>0.1307604</v>
      </c>
      <c r="AA4495">
        <v>0.92130120000000004</v>
      </c>
      <c r="AB4495">
        <v>30</v>
      </c>
      <c r="AC4495">
        <v>5.4485999999999901</v>
      </c>
      <c r="AD4495">
        <v>-1.1163043527930001</v>
      </c>
      <c r="AE4495">
        <v>-6.3506299999999998</v>
      </c>
      <c r="AF4495">
        <v>-3.1189900302612101</v>
      </c>
      <c r="AG4495">
        <v>-1.1163043527930001</v>
      </c>
      <c r="AH4495">
        <v>7.6067314448356198</v>
      </c>
      <c r="AI4495">
        <v>97.732406243239495</v>
      </c>
      <c r="AJ4495">
        <v>112.295113139592</v>
      </c>
      <c r="AK4495">
        <v>8.2967823576844708</v>
      </c>
      <c r="AL4495">
        <v>88.844205062405095</v>
      </c>
      <c r="AM4495">
        <v>103.77962223083701</v>
      </c>
      <c r="AN4495">
        <v>1.00000004710596</v>
      </c>
    </row>
    <row r="4496" spans="1:40" x14ac:dyDescent="0.25">
      <c r="A4496" t="str">
        <f>"20190312151629122"</f>
        <v>20190312151629122</v>
      </c>
      <c r="B4496" t="str">
        <f>"1552374989111976"</f>
        <v>1552374989111976</v>
      </c>
      <c r="C4496" t="s">
        <v>40</v>
      </c>
      <c r="D4496">
        <v>4.5317619999999996</v>
      </c>
      <c r="E4496">
        <v>0.44639410000000002</v>
      </c>
      <c r="F4496" t="s">
        <v>64</v>
      </c>
      <c r="G4496">
        <v>-414.75069999999999</v>
      </c>
      <c r="H4496" s="1">
        <v>-6.4358929999999997E-6</v>
      </c>
      <c r="I4496">
        <v>29.884840000000001</v>
      </c>
      <c r="J4496">
        <v>-420.25490000000002</v>
      </c>
      <c r="K4496">
        <v>1.1163479999999999</v>
      </c>
      <c r="L4496">
        <v>36.24136</v>
      </c>
      <c r="M4496">
        <v>0.3192644</v>
      </c>
      <c r="N4496">
        <v>0</v>
      </c>
      <c r="O4496">
        <v>-0.94756070000000003</v>
      </c>
      <c r="P4496">
        <v>0.53565169999999995</v>
      </c>
      <c r="Q4496">
        <v>1.046528E-2</v>
      </c>
      <c r="R4496">
        <v>-0.84437419999999996</v>
      </c>
      <c r="S4496">
        <v>1.970825</v>
      </c>
      <c r="T4496">
        <v>-0.3953797</v>
      </c>
      <c r="U4496">
        <v>-2.3101500000000001</v>
      </c>
      <c r="V4496">
        <v>-0.2383642</v>
      </c>
      <c r="W4496">
        <v>2.035555E-2</v>
      </c>
      <c r="X4496">
        <v>0.97096249999999995</v>
      </c>
      <c r="Y4496">
        <v>-0.36639840000000001</v>
      </c>
      <c r="Z4496">
        <v>0.13027830000000001</v>
      </c>
      <c r="AA4496">
        <v>0.92129249999999996</v>
      </c>
      <c r="AB4496">
        <v>30</v>
      </c>
      <c r="AC4496">
        <v>5.5042000000000204</v>
      </c>
      <c r="AD4496">
        <v>-1.116354435893</v>
      </c>
      <c r="AE4496">
        <v>-6.35651999999999</v>
      </c>
      <c r="AF4496">
        <v>-3.1312754875955902</v>
      </c>
      <c r="AG4496">
        <v>-1.116354435893</v>
      </c>
      <c r="AH4496">
        <v>7.6464743758211897</v>
      </c>
      <c r="AI4496">
        <v>97.694438951834101</v>
      </c>
      <c r="AJ4496">
        <v>112.26938348210101</v>
      </c>
      <c r="AK4496">
        <v>8.3378476710626597</v>
      </c>
      <c r="AL4496">
        <v>88.833632348494802</v>
      </c>
      <c r="AM4496">
        <v>103.79292843155</v>
      </c>
      <c r="AN4496">
        <v>1.0000000083318401</v>
      </c>
    </row>
    <row r="4497" spans="1:40" x14ac:dyDescent="0.25">
      <c r="A4497" t="str">
        <f>"20190312151629136"</f>
        <v>20190312151629136</v>
      </c>
      <c r="B4497" t="str">
        <f>"1552374989132472"</f>
        <v>1552374989132472</v>
      </c>
      <c r="C4497" t="s">
        <v>40</v>
      </c>
      <c r="D4497">
        <v>4.526573</v>
      </c>
      <c r="E4497">
        <v>0.44690059999999898</v>
      </c>
      <c r="F4497" t="s">
        <v>64</v>
      </c>
      <c r="G4497">
        <v>-414.6277</v>
      </c>
      <c r="H4497" s="1">
        <v>-6.5229510000000002E-6</v>
      </c>
      <c r="I4497">
        <v>29.705590000000001</v>
      </c>
      <c r="J4497">
        <v>-420.19529999999997</v>
      </c>
      <c r="K4497">
        <v>1.1163989999999999</v>
      </c>
      <c r="L4497">
        <v>36.079189999999997</v>
      </c>
      <c r="M4497">
        <v>0.32394309999999998</v>
      </c>
      <c r="N4497">
        <v>0</v>
      </c>
      <c r="O4497">
        <v>-0.94597140000000002</v>
      </c>
      <c r="P4497">
        <v>0.53987850000000004</v>
      </c>
      <c r="Q4497">
        <v>9.8700639999999996E-3</v>
      </c>
      <c r="R4497">
        <v>-0.84168529999999997</v>
      </c>
      <c r="S4497">
        <v>1.9811099999999999</v>
      </c>
      <c r="T4497">
        <v>-0.39302530000000002</v>
      </c>
      <c r="U4497">
        <v>-2.3009949999999999</v>
      </c>
      <c r="V4497">
        <v>-0.23842459999999999</v>
      </c>
      <c r="W4497">
        <v>1.9736739999999999E-2</v>
      </c>
      <c r="X4497">
        <v>0.97096039999999995</v>
      </c>
      <c r="Y4497">
        <v>-0.36605559999999998</v>
      </c>
      <c r="Z4497">
        <v>0.12942919999999999</v>
      </c>
      <c r="AA4497">
        <v>0.92154840000000005</v>
      </c>
      <c r="AB4497">
        <v>30</v>
      </c>
      <c r="AC4497">
        <v>5.5675999999999704</v>
      </c>
      <c r="AD4497">
        <v>-1.1164055229509999</v>
      </c>
      <c r="AE4497">
        <v>-6.3735999999999997</v>
      </c>
      <c r="AF4497">
        <v>-3.1476492578960702</v>
      </c>
      <c r="AG4497">
        <v>-1.1164055229509999</v>
      </c>
      <c r="AH4497">
        <v>7.6996181027738899</v>
      </c>
      <c r="AI4497">
        <v>97.644159015251205</v>
      </c>
      <c r="AJ4497">
        <v>112.23503321061099</v>
      </c>
      <c r="AK4497">
        <v>8.39274544299853</v>
      </c>
      <c r="AL4497">
        <v>88.869094625416693</v>
      </c>
      <c r="AM4497">
        <v>103.79631865059601</v>
      </c>
      <c r="AN4497">
        <v>0.99999996357957299</v>
      </c>
    </row>
    <row r="4498" spans="1:40" x14ac:dyDescent="0.25">
      <c r="A4498" t="str">
        <f>"20190312151629159"</f>
        <v>20190312151629159</v>
      </c>
      <c r="B4498" t="str">
        <f>"1552374989152967"</f>
        <v>1552374989152967</v>
      </c>
      <c r="C4498" t="s">
        <v>40</v>
      </c>
      <c r="D4498">
        <v>4.5728179999999998</v>
      </c>
      <c r="E4498">
        <v>0.44743709999999998</v>
      </c>
      <c r="F4498" t="s">
        <v>64</v>
      </c>
      <c r="G4498">
        <v>-414.5333</v>
      </c>
      <c r="H4498" s="1">
        <v>-9.1837300000000002E-6</v>
      </c>
      <c r="I4498">
        <v>29.55189</v>
      </c>
      <c r="J4498">
        <v>-420.08780000000002</v>
      </c>
      <c r="K4498">
        <v>1.116501</v>
      </c>
      <c r="L4498">
        <v>35.793979999999998</v>
      </c>
      <c r="M4498">
        <v>0.3323025</v>
      </c>
      <c r="N4498">
        <v>0</v>
      </c>
      <c r="O4498">
        <v>-0.94306730000000005</v>
      </c>
      <c r="P4498">
        <v>0.54784350000000004</v>
      </c>
      <c r="Q4498">
        <v>1.01539E-2</v>
      </c>
      <c r="R4498">
        <v>-0.83651969999999998</v>
      </c>
      <c r="S4498">
        <v>1.9890749999999999</v>
      </c>
      <c r="T4498">
        <v>-0.39219710000000002</v>
      </c>
      <c r="U4498">
        <v>-2.2930600000000001</v>
      </c>
      <c r="V4498">
        <v>-0.23905870000000001</v>
      </c>
      <c r="W4498">
        <v>1.9964619999999999E-2</v>
      </c>
      <c r="X4498">
        <v>0.97079990000000005</v>
      </c>
      <c r="Y4498">
        <v>-0.36126740000000002</v>
      </c>
      <c r="Z4498">
        <v>0.12891459999999999</v>
      </c>
      <c r="AA4498">
        <v>0.92350790000000005</v>
      </c>
      <c r="AB4498">
        <v>30</v>
      </c>
      <c r="AC4498">
        <v>5.5545000000000098</v>
      </c>
      <c r="AD4498">
        <v>-1.11651018373</v>
      </c>
      <c r="AE4498">
        <v>-6.2420899999999904</v>
      </c>
      <c r="AF4498">
        <v>-3.1088112066676401</v>
      </c>
      <c r="AG4498">
        <v>-1.11651018373</v>
      </c>
      <c r="AH4498">
        <v>7.5975970580001402</v>
      </c>
      <c r="AI4498">
        <v>97.745272359777005</v>
      </c>
      <c r="AJ4498">
        <v>112.25356706520201</v>
      </c>
      <c r="AK4498">
        <v>8.2846112259301297</v>
      </c>
      <c r="AL4498">
        <v>88.856035584857594</v>
      </c>
      <c r="AM4498">
        <v>103.833802178529</v>
      </c>
      <c r="AN4498">
        <v>1.00000004696872</v>
      </c>
    </row>
    <row r="4499" spans="1:40" x14ac:dyDescent="0.25">
      <c r="A4499" t="str">
        <f>"20190312151629182"</f>
        <v>20190312151629182</v>
      </c>
      <c r="B4499" t="str">
        <f>"1552374989172488"</f>
        <v>1552374989172488</v>
      </c>
      <c r="C4499" t="s">
        <v>40</v>
      </c>
      <c r="D4499">
        <v>4.5424959999999999</v>
      </c>
      <c r="E4499">
        <v>0.44802559999999902</v>
      </c>
      <c r="F4499" t="s">
        <v>64</v>
      </c>
      <c r="G4499">
        <v>-414.31150000000002</v>
      </c>
      <c r="H4499" s="1">
        <v>-9.2266510000000002E-6</v>
      </c>
      <c r="I4499">
        <v>29.241409999999998</v>
      </c>
      <c r="J4499">
        <v>-419.98439999999999</v>
      </c>
      <c r="K4499">
        <v>1.1165989999999999</v>
      </c>
      <c r="L4499">
        <v>35.526760000000003</v>
      </c>
      <c r="M4499">
        <v>0.34025620000000001</v>
      </c>
      <c r="N4499">
        <v>0</v>
      </c>
      <c r="O4499">
        <v>-0.94022649999999997</v>
      </c>
      <c r="P4499">
        <v>0.55543019999999999</v>
      </c>
      <c r="Q4499">
        <v>1.077035E-2</v>
      </c>
      <c r="R4499">
        <v>-0.8314937</v>
      </c>
      <c r="S4499">
        <v>2.0069270000000001</v>
      </c>
      <c r="T4499">
        <v>-0.38792320000000002</v>
      </c>
      <c r="U4499">
        <v>-2.2766419999999998</v>
      </c>
      <c r="V4499">
        <v>-0.2397077</v>
      </c>
      <c r="W4499">
        <v>2.0527179999999999E-2</v>
      </c>
      <c r="X4499">
        <v>0.97062809999999999</v>
      </c>
      <c r="Y4499">
        <v>-0.36091010000000001</v>
      </c>
      <c r="Z4499">
        <v>0.12737889999999999</v>
      </c>
      <c r="AA4499">
        <v>0.92386069999999998</v>
      </c>
      <c r="AB4499">
        <v>30</v>
      </c>
      <c r="AC4499">
        <v>5.6728999999999701</v>
      </c>
      <c r="AD4499">
        <v>-1.11660822665099</v>
      </c>
      <c r="AE4499">
        <v>-6.2853499999999896</v>
      </c>
      <c r="AF4499">
        <v>-3.14087369747284</v>
      </c>
      <c r="AG4499">
        <v>-1.11660822665099</v>
      </c>
      <c r="AH4499">
        <v>7.7066388415054101</v>
      </c>
      <c r="AI4499">
        <v>97.641954049998404</v>
      </c>
      <c r="AJ4499">
        <v>112.173563044986</v>
      </c>
      <c r="AK4499">
        <v>8.3966769467868296</v>
      </c>
      <c r="AL4499">
        <v>88.823796641373903</v>
      </c>
      <c r="AM4499">
        <v>103.87227025983</v>
      </c>
      <c r="AN4499">
        <v>1.0000000275338199</v>
      </c>
    </row>
    <row r="4500" spans="1:40" x14ac:dyDescent="0.25">
      <c r="A4500" t="str">
        <f>"20190312151629203"</f>
        <v>20190312151629203</v>
      </c>
      <c r="B4500" t="str">
        <f>"1552374989192984"</f>
        <v>1552374989192984</v>
      </c>
      <c r="C4500" t="s">
        <v>40</v>
      </c>
      <c r="D4500">
        <v>4.5136580000000004</v>
      </c>
      <c r="E4500">
        <v>0.44853850000000001</v>
      </c>
      <c r="F4500" t="s">
        <v>64</v>
      </c>
      <c r="G4500">
        <v>-414.10270000000003</v>
      </c>
      <c r="H4500" s="1">
        <v>-9.2676420000000007E-6</v>
      </c>
      <c r="I4500">
        <v>28.954160000000002</v>
      </c>
      <c r="J4500">
        <v>-419.87700000000001</v>
      </c>
      <c r="K4500">
        <v>1.1166879999999999</v>
      </c>
      <c r="L4500">
        <v>35.256590000000003</v>
      </c>
      <c r="M4500">
        <v>0.34841809999999901</v>
      </c>
      <c r="N4500">
        <v>0</v>
      </c>
      <c r="O4500">
        <v>-0.93723239999999997</v>
      </c>
      <c r="P4500">
        <v>0.56315969999999904</v>
      </c>
      <c r="Q4500">
        <v>1.103519E-2</v>
      </c>
      <c r="R4500">
        <v>-0.82627479999999998</v>
      </c>
      <c r="S4500">
        <v>2.0235599999999998</v>
      </c>
      <c r="T4500">
        <v>-0.38415670000000002</v>
      </c>
      <c r="U4500">
        <v>-2.2612299999999999</v>
      </c>
      <c r="V4500">
        <v>-0.24032999999999999</v>
      </c>
      <c r="W4500">
        <v>2.0740749999999999E-2</v>
      </c>
      <c r="X4500">
        <v>0.97046969999999999</v>
      </c>
      <c r="Y4500">
        <v>-0.35983159999999997</v>
      </c>
      <c r="Z4500">
        <v>0.125972</v>
      </c>
      <c r="AA4500">
        <v>0.92447409999999997</v>
      </c>
      <c r="AB4500">
        <v>30</v>
      </c>
      <c r="AC4500">
        <v>5.7742999999999203</v>
      </c>
      <c r="AD4500">
        <v>-1.1166972676419999</v>
      </c>
      <c r="AE4500">
        <v>-6.3024300000000002</v>
      </c>
      <c r="AF4500">
        <v>-3.1623290553131298</v>
      </c>
      <c r="AG4500">
        <v>-1.1166972676419999</v>
      </c>
      <c r="AH4500">
        <v>7.7866065555814297</v>
      </c>
      <c r="AI4500">
        <v>97.568715174976703</v>
      </c>
      <c r="AJ4500">
        <v>112.10325940671</v>
      </c>
      <c r="AK4500">
        <v>8.47812358326183</v>
      </c>
      <c r="AL4500">
        <v>88.811557418573202</v>
      </c>
      <c r="AM4500">
        <v>103.90906933426901</v>
      </c>
      <c r="AN4500">
        <v>1.00000006311432</v>
      </c>
    </row>
    <row r="4501" spans="1:40" x14ac:dyDescent="0.25">
      <c r="A4501" t="str">
        <f>"20190312151629226"</f>
        <v>20190312151629226</v>
      </c>
      <c r="B4501" t="str">
        <f>"1552374989222264"</f>
        <v>1552374989222264</v>
      </c>
      <c r="C4501" t="s">
        <v>40</v>
      </c>
      <c r="D4501">
        <v>4.5163279999999997</v>
      </c>
      <c r="E4501">
        <v>0.44932149999999998</v>
      </c>
      <c r="F4501" t="s">
        <v>64</v>
      </c>
      <c r="G4501">
        <v>-413.93520000000001</v>
      </c>
      <c r="H4501" s="1">
        <v>-9.3004029999999998E-6</v>
      </c>
      <c r="I4501">
        <v>28.72287</v>
      </c>
      <c r="J4501">
        <v>-419.7672</v>
      </c>
      <c r="K4501">
        <v>1.116773</v>
      </c>
      <c r="L4501">
        <v>34.987119999999997</v>
      </c>
      <c r="M4501">
        <v>0.35667739999999998</v>
      </c>
      <c r="N4501">
        <v>0</v>
      </c>
      <c r="O4501">
        <v>-0.93412010000000001</v>
      </c>
      <c r="P4501">
        <v>0.57106880000000004</v>
      </c>
      <c r="Q4501">
        <v>1.118456E-2</v>
      </c>
      <c r="R4501">
        <v>-0.82082599999999994</v>
      </c>
      <c r="S4501">
        <v>2.04129</v>
      </c>
      <c r="T4501">
        <v>-0.38363619999999998</v>
      </c>
      <c r="U4501">
        <v>-2.2446290000000002</v>
      </c>
      <c r="V4501">
        <v>-0.2410911</v>
      </c>
      <c r="W4501">
        <v>2.0838010000000001E-2</v>
      </c>
      <c r="X4501">
        <v>0.97027870000000005</v>
      </c>
      <c r="Y4501">
        <v>-0.35903059999999998</v>
      </c>
      <c r="Z4501">
        <v>0.12560839999999901</v>
      </c>
      <c r="AA4501">
        <v>0.92483479999999996</v>
      </c>
      <c r="AB4501">
        <v>30</v>
      </c>
      <c r="AC4501">
        <v>5.8319999999999901</v>
      </c>
      <c r="AD4501">
        <v>-1.116782300403</v>
      </c>
      <c r="AE4501">
        <v>-6.2642499999999997</v>
      </c>
      <c r="AF4501">
        <v>-3.1599929380651002</v>
      </c>
      <c r="AG4501">
        <v>-1.116782300403</v>
      </c>
      <c r="AH4501">
        <v>7.7997038212458998</v>
      </c>
      <c r="AI4501">
        <v>97.559275463196997</v>
      </c>
      <c r="AJ4501">
        <v>112.054970308362</v>
      </c>
      <c r="AK4501">
        <v>8.4892954816211095</v>
      </c>
      <c r="AL4501">
        <v>88.805983489815006</v>
      </c>
      <c r="AM4501">
        <v>103.95403888996999</v>
      </c>
      <c r="AN4501">
        <v>0.99999994841682804</v>
      </c>
    </row>
    <row r="4502" spans="1:40" x14ac:dyDescent="0.25">
      <c r="A4502" t="str">
        <f>"20190312151629248"</f>
        <v>20190312151629248</v>
      </c>
      <c r="B4502" t="str">
        <f>"1552374989242760"</f>
        <v>1552374989242760</v>
      </c>
      <c r="C4502" t="s">
        <v>40</v>
      </c>
      <c r="D4502">
        <v>4.5971520000000003</v>
      </c>
      <c r="E4502">
        <v>0.44986559999999998</v>
      </c>
      <c r="F4502" t="s">
        <v>64</v>
      </c>
      <c r="G4502">
        <v>-413.7611</v>
      </c>
      <c r="H4502" s="1">
        <v>-9.3342630000000002E-6</v>
      </c>
      <c r="I4502">
        <v>28.48049</v>
      </c>
      <c r="J4502">
        <v>-419.65050000000002</v>
      </c>
      <c r="K4502">
        <v>1.1168559999999901</v>
      </c>
      <c r="L4502">
        <v>34.708530000000003</v>
      </c>
      <c r="M4502">
        <v>0.3653439</v>
      </c>
      <c r="N4502">
        <v>0</v>
      </c>
      <c r="O4502">
        <v>-0.93076460000000005</v>
      </c>
      <c r="P4502">
        <v>0.578928199999999</v>
      </c>
      <c r="Q4502">
        <v>1.1318140000000001E-2</v>
      </c>
      <c r="R4502">
        <v>-0.81530019999999903</v>
      </c>
      <c r="S4502">
        <v>2.057312</v>
      </c>
      <c r="T4502">
        <v>-0.38253880000000001</v>
      </c>
      <c r="U4502">
        <v>-2.2287599999999999</v>
      </c>
      <c r="V4502">
        <v>-0.24140249999999999</v>
      </c>
      <c r="W4502">
        <v>2.092811E-2</v>
      </c>
      <c r="X4502">
        <v>0.97019940000000005</v>
      </c>
      <c r="Y4502">
        <v>-0.35727930000000002</v>
      </c>
      <c r="Z4502">
        <v>0.12503059999999999</v>
      </c>
      <c r="AA4502">
        <v>0.9255911</v>
      </c>
      <c r="AB4502">
        <v>30</v>
      </c>
      <c r="AC4502">
        <v>5.8894000000000197</v>
      </c>
      <c r="AD4502">
        <v>-1.1168653342629999</v>
      </c>
      <c r="AE4502">
        <v>-6.2280399999999903</v>
      </c>
      <c r="AF4502">
        <v>-3.1530603214942299</v>
      </c>
      <c r="AG4502">
        <v>-1.1168653342629999</v>
      </c>
      <c r="AH4502">
        <v>7.8165895884139296</v>
      </c>
      <c r="AI4502">
        <v>97.548255267821105</v>
      </c>
      <c r="AJ4502">
        <v>111.96819053099399</v>
      </c>
      <c r="AK4502">
        <v>8.5022497234297205</v>
      </c>
      <c r="AL4502">
        <v>88.800820092778594</v>
      </c>
      <c r="AM4502">
        <v>103.97245395371699</v>
      </c>
      <c r="AN4502">
        <v>1.0000000142773899</v>
      </c>
    </row>
    <row r="4503" spans="1:40" x14ac:dyDescent="0.25">
      <c r="A4503" t="str">
        <f>"20190312151629271"</f>
        <v>20190312151629271</v>
      </c>
      <c r="B4503" t="str">
        <f>"1552374989262280"</f>
        <v>1552374989262280</v>
      </c>
      <c r="C4503" t="s">
        <v>40</v>
      </c>
      <c r="D4503">
        <v>4.6164300000000003</v>
      </c>
      <c r="E4503">
        <v>0.45038509999999998</v>
      </c>
      <c r="F4503" t="s">
        <v>64</v>
      </c>
      <c r="G4503">
        <v>-413.5992</v>
      </c>
      <c r="H4503" s="1">
        <v>-9.3662629999999992E-6</v>
      </c>
      <c r="I4503">
        <v>28.259689999999999</v>
      </c>
      <c r="J4503">
        <v>-419.53910000000002</v>
      </c>
      <c r="K4503">
        <v>1.1169370000000001</v>
      </c>
      <c r="L4503">
        <v>34.449249999999999</v>
      </c>
      <c r="M4503">
        <v>0.37352930000000001</v>
      </c>
      <c r="N4503">
        <v>0</v>
      </c>
      <c r="O4503">
        <v>-0.92750969999999999</v>
      </c>
      <c r="P4503">
        <v>0.58621159999999894</v>
      </c>
      <c r="Q4503">
        <v>1.132144E-2</v>
      </c>
      <c r="R4503">
        <v>-0.81007899999999999</v>
      </c>
      <c r="S4503">
        <v>2.0751339999999998</v>
      </c>
      <c r="T4503">
        <v>-0.38299369999999999</v>
      </c>
      <c r="U4503">
        <v>-2.2114259999999999</v>
      </c>
      <c r="V4503">
        <v>-0.24155479999999999</v>
      </c>
      <c r="W4503">
        <v>2.0895210000000001E-2</v>
      </c>
      <c r="X4503">
        <v>0.97016219999999997</v>
      </c>
      <c r="Y4503">
        <v>-0.35664420000000002</v>
      </c>
      <c r="Z4503">
        <v>0.1249683</v>
      </c>
      <c r="AA4503">
        <v>0.92584440000000001</v>
      </c>
      <c r="AB4503">
        <v>30</v>
      </c>
      <c r="AC4503">
        <v>5.9399000000000202</v>
      </c>
      <c r="AD4503">
        <v>-1.1169463662629999</v>
      </c>
      <c r="AE4503">
        <v>-6.1895599999999904</v>
      </c>
      <c r="AF4503">
        <v>-3.14435134316704</v>
      </c>
      <c r="AG4503">
        <v>-1.1169463662629999</v>
      </c>
      <c r="AH4503">
        <v>7.8277087527136002</v>
      </c>
      <c r="AI4503">
        <v>97.542549166484093</v>
      </c>
      <c r="AJ4503">
        <v>111.88508072702101</v>
      </c>
      <c r="AK4503">
        <v>8.5092619463554904</v>
      </c>
      <c r="AL4503">
        <v>88.802705534371299</v>
      </c>
      <c r="AM4503">
        <v>103.98143851124701</v>
      </c>
      <c r="AN4503">
        <v>1.0000000127564099</v>
      </c>
    </row>
    <row r="4504" spans="1:40" x14ac:dyDescent="0.25">
      <c r="A4504" t="str">
        <f>"20190312151629293"</f>
        <v>20190312151629293</v>
      </c>
      <c r="B4504" t="str">
        <f>"1552374989282776"</f>
        <v>1552374989282776</v>
      </c>
      <c r="C4504" t="s">
        <v>40</v>
      </c>
      <c r="D4504">
        <v>4.5373769999999896</v>
      </c>
      <c r="E4504">
        <v>0.4509901</v>
      </c>
      <c r="F4504" t="s">
        <v>64</v>
      </c>
      <c r="G4504">
        <v>-413.45909999999998</v>
      </c>
      <c r="H4504" s="1">
        <v>-9.3939839999999997E-6</v>
      </c>
      <c r="I4504">
        <v>28.069210000000002</v>
      </c>
      <c r="J4504">
        <v>-419.42160000000001</v>
      </c>
      <c r="K4504">
        <v>1.117022</v>
      </c>
      <c r="L4504">
        <v>34.182740000000003</v>
      </c>
      <c r="M4504">
        <v>0.38205830000000002</v>
      </c>
      <c r="N4504">
        <v>0</v>
      </c>
      <c r="O4504">
        <v>-0.92402890000000004</v>
      </c>
      <c r="P4504">
        <v>0.59383419999999998</v>
      </c>
      <c r="Q4504">
        <v>1.0680139999999999E-2</v>
      </c>
      <c r="R4504">
        <v>-0.80451649999999997</v>
      </c>
      <c r="S4504">
        <v>2.0917659999999998</v>
      </c>
      <c r="T4504">
        <v>-0.3842777</v>
      </c>
      <c r="U4504">
        <v>-2.1950069999999999</v>
      </c>
      <c r="V4504">
        <v>-0.24176690000000001</v>
      </c>
      <c r="W4504">
        <v>2.0214909999999999E-2</v>
      </c>
      <c r="X4504">
        <v>0.97012379999999998</v>
      </c>
      <c r="Y4504">
        <v>-0.355157</v>
      </c>
      <c r="Z4504">
        <v>0.12512609999999999</v>
      </c>
      <c r="AA4504">
        <v>0.92639459999999996</v>
      </c>
      <c r="AB4504">
        <v>30</v>
      </c>
      <c r="AC4504">
        <v>5.9625000000000297</v>
      </c>
      <c r="AD4504">
        <v>-1.117031393984</v>
      </c>
      <c r="AE4504">
        <v>-6.1135299999999999</v>
      </c>
      <c r="AF4504">
        <v>-3.12072322241213</v>
      </c>
      <c r="AG4504">
        <v>-1.117031393984</v>
      </c>
      <c r="AH4504">
        <v>7.7945391004720896</v>
      </c>
      <c r="AI4504">
        <v>97.578264511468504</v>
      </c>
      <c r="AJ4504">
        <v>111.81983206135401</v>
      </c>
      <c r="AK4504">
        <v>8.4700361483783801</v>
      </c>
      <c r="AL4504">
        <v>88.841692112619398</v>
      </c>
      <c r="AM4504">
        <v>103.993765011919</v>
      </c>
      <c r="AN4504">
        <v>1.00000003192417</v>
      </c>
    </row>
    <row r="4505" spans="1:40" x14ac:dyDescent="0.25">
      <c r="A4505" t="str">
        <f>"20190312151629315"</f>
        <v>20190312151629315</v>
      </c>
      <c r="B4505" t="str">
        <f>"1552374989313032"</f>
        <v>1552374989313032</v>
      </c>
      <c r="C4505" t="s">
        <v>40</v>
      </c>
      <c r="D4505">
        <v>4.5346909999999996</v>
      </c>
      <c r="E4505">
        <v>0.45164949999999998</v>
      </c>
      <c r="F4505" t="s">
        <v>64</v>
      </c>
      <c r="G4505">
        <v>-413.3064</v>
      </c>
      <c r="H4505" s="1">
        <v>-9.4246299999999999E-6</v>
      </c>
      <c r="I4505">
        <v>27.864940000000001</v>
      </c>
      <c r="J4505">
        <v>-419.30189999999999</v>
      </c>
      <c r="K4505">
        <v>1.1171089999999999</v>
      </c>
      <c r="L4505">
        <v>33.918729999999996</v>
      </c>
      <c r="M4505">
        <v>0.39063560000000003</v>
      </c>
      <c r="N4505">
        <v>0</v>
      </c>
      <c r="O4505">
        <v>-0.92043529999999996</v>
      </c>
      <c r="P4505">
        <v>0.60139519999999902</v>
      </c>
      <c r="Q4505">
        <v>1.085887E-2</v>
      </c>
      <c r="R4505">
        <v>-0.79887799999999998</v>
      </c>
      <c r="S4505">
        <v>2.1081539999999999</v>
      </c>
      <c r="T4505">
        <v>-0.38508209999999998</v>
      </c>
      <c r="U4505">
        <v>-2.1779790000000001</v>
      </c>
      <c r="V4505">
        <v>-0.24190220000000001</v>
      </c>
      <c r="W4505">
        <v>2.035698E-2</v>
      </c>
      <c r="X4505">
        <v>0.97008709999999998</v>
      </c>
      <c r="Y4505">
        <v>-0.35367850000000001</v>
      </c>
      <c r="Z4505">
        <v>0.125131399999999</v>
      </c>
      <c r="AA4505">
        <v>0.92695939999999999</v>
      </c>
      <c r="AB4505">
        <v>29</v>
      </c>
      <c r="AC4505">
        <v>5.9954999999999901</v>
      </c>
      <c r="AD4505">
        <v>-1.1171184246300001</v>
      </c>
      <c r="AE4505">
        <v>-6.0537899999999896</v>
      </c>
      <c r="AF4505">
        <v>-3.1006608516713401</v>
      </c>
      <c r="AG4505">
        <v>-1.1171184246300001</v>
      </c>
      <c r="AH4505">
        <v>7.7812148449717</v>
      </c>
      <c r="AI4505">
        <v>97.596568058847694</v>
      </c>
      <c r="AJ4505">
        <v>111.72630792746099</v>
      </c>
      <c r="AK4505">
        <v>8.4504056562595196</v>
      </c>
      <c r="AL4505">
        <v>88.833550425336696</v>
      </c>
      <c r="AM4505">
        <v>104.00179720857901</v>
      </c>
      <c r="AN4505">
        <v>1.00000003129298</v>
      </c>
    </row>
    <row r="4506" spans="1:40" x14ac:dyDescent="0.25">
      <c r="A4506" t="str">
        <f>"20190312151629337"</f>
        <v>20190312151629337</v>
      </c>
      <c r="B4506" t="str">
        <f>"1552374989332555"</f>
        <v>1552374989332555</v>
      </c>
      <c r="C4506" t="s">
        <v>40</v>
      </c>
      <c r="D4506">
        <v>4.495844</v>
      </c>
      <c r="E4506">
        <v>0.46324290000000001</v>
      </c>
      <c r="F4506" t="s">
        <v>64</v>
      </c>
      <c r="G4506">
        <v>-413.13979999999998</v>
      </c>
      <c r="H4506" s="1">
        <v>-9.4587619999999993E-6</v>
      </c>
      <c r="I4506">
        <v>27.648499999999999</v>
      </c>
      <c r="J4506">
        <v>-419.18</v>
      </c>
      <c r="K4506">
        <v>1.1171869999999999</v>
      </c>
      <c r="L4506">
        <v>33.656399999999998</v>
      </c>
      <c r="M4506">
        <v>0.3992541</v>
      </c>
      <c r="N4506">
        <v>0</v>
      </c>
      <c r="O4506">
        <v>-0.91672949999999997</v>
      </c>
      <c r="P4506">
        <v>0.60905369999999903</v>
      </c>
      <c r="Q4506">
        <v>1.048965E-2</v>
      </c>
      <c r="R4506">
        <v>-0.79305950000000003</v>
      </c>
      <c r="S4506">
        <v>2.1241759999999998</v>
      </c>
      <c r="T4506">
        <v>-0.38508690000000001</v>
      </c>
      <c r="U4506">
        <v>-2.161438</v>
      </c>
      <c r="V4506">
        <v>-0.24212939999999999</v>
      </c>
      <c r="W4506">
        <v>1.995413E-2</v>
      </c>
      <c r="X4506">
        <v>0.97003879999999998</v>
      </c>
      <c r="Y4506">
        <v>-0.35196820000000001</v>
      </c>
      <c r="Z4506">
        <v>0.12484729999999999</v>
      </c>
      <c r="AA4506">
        <v>0.92764840000000004</v>
      </c>
      <c r="AB4506">
        <v>29</v>
      </c>
      <c r="AC4506">
        <v>6.04020000000002</v>
      </c>
      <c r="AD4506">
        <v>-1.117196458762</v>
      </c>
      <c r="AE4506">
        <v>-6.0078999999999896</v>
      </c>
      <c r="AF4506">
        <v>-3.0858036287989501</v>
      </c>
      <c r="AG4506">
        <v>-1.117196458762</v>
      </c>
      <c r="AH4506">
        <v>7.7861020292526097</v>
      </c>
      <c r="AI4506">
        <v>97.597939853047507</v>
      </c>
      <c r="AJ4506">
        <v>111.619512903714</v>
      </c>
      <c r="AK4506">
        <v>8.4494790829323208</v>
      </c>
      <c r="AL4506">
        <v>88.856636733432396</v>
      </c>
      <c r="AM4506">
        <v>104.01510025626099</v>
      </c>
      <c r="AN4506">
        <v>1.0000000435769201</v>
      </c>
    </row>
    <row r="4507" spans="1:40" x14ac:dyDescent="0.25">
      <c r="A4507" t="str">
        <f>"20190312151629360"</f>
        <v>20190312151629360</v>
      </c>
      <c r="B4507" t="str">
        <f>"1552374989353047"</f>
        <v>1552374989353047</v>
      </c>
      <c r="C4507" t="s">
        <v>40</v>
      </c>
      <c r="D4507">
        <v>4.4224300000000003</v>
      </c>
      <c r="E4507">
        <v>0.43411539999999998</v>
      </c>
      <c r="F4507" t="s">
        <v>64</v>
      </c>
      <c r="G4507">
        <v>-412.786</v>
      </c>
      <c r="H4507" s="1">
        <v>-9.4955209999999999E-6</v>
      </c>
      <c r="I4507">
        <v>26.871230000000001</v>
      </c>
      <c r="J4507">
        <v>-419.05270000000002</v>
      </c>
      <c r="K4507">
        <v>1.117251</v>
      </c>
      <c r="L4507">
        <v>33.389470000000003</v>
      </c>
      <c r="M4507">
        <v>0.40811710000000001</v>
      </c>
      <c r="N4507">
        <v>0</v>
      </c>
      <c r="O4507">
        <v>-0.91281809999999997</v>
      </c>
      <c r="P4507">
        <v>0.61722469999999996</v>
      </c>
      <c r="Q4507">
        <v>1.015521E-2</v>
      </c>
      <c r="R4507">
        <v>-0.78672159999999902</v>
      </c>
      <c r="S4507">
        <v>2.0706790000000002</v>
      </c>
      <c r="T4507">
        <v>-0.36180030000000002</v>
      </c>
      <c r="U4507">
        <v>-2.1973569999999998</v>
      </c>
      <c r="V4507">
        <v>-0.24276120000000001</v>
      </c>
      <c r="W4507">
        <v>1.958037E-2</v>
      </c>
      <c r="X4507">
        <v>0.96988839999999998</v>
      </c>
      <c r="Y4507">
        <v>-0.32398359999999998</v>
      </c>
      <c r="Z4507">
        <v>0.1168051</v>
      </c>
      <c r="AA4507">
        <v>0.9388244</v>
      </c>
      <c r="AB4507">
        <v>29</v>
      </c>
      <c r="AC4507">
        <v>6.2667000000000099</v>
      </c>
      <c r="AD4507">
        <v>-1.1172604955209999</v>
      </c>
      <c r="AE4507">
        <v>-6.5182399999999996</v>
      </c>
      <c r="AF4507">
        <v>-3.01443993150715</v>
      </c>
      <c r="AG4507">
        <v>-1.1172604955209999</v>
      </c>
      <c r="AH4507">
        <v>8.3804310166636693</v>
      </c>
      <c r="AI4507">
        <v>97.150346101059</v>
      </c>
      <c r="AJ4507">
        <v>109.783651554196</v>
      </c>
      <c r="AK4507">
        <v>8.9758979016349691</v>
      </c>
      <c r="AL4507">
        <v>88.878055683025593</v>
      </c>
      <c r="AM4507">
        <v>104.052316194272</v>
      </c>
      <c r="AN4507">
        <v>0.999999949784667</v>
      </c>
    </row>
    <row r="4508" spans="1:40" x14ac:dyDescent="0.25">
      <c r="A4508" t="str">
        <f>"20190312151629383"</f>
        <v>20190312151629383</v>
      </c>
      <c r="B4508" t="str">
        <f>"1552374989372568"</f>
        <v>1552374989372568</v>
      </c>
      <c r="C4508" t="s">
        <v>40</v>
      </c>
      <c r="D4508">
        <v>4.405348</v>
      </c>
      <c r="E4508">
        <v>0.4314036</v>
      </c>
      <c r="F4508" t="s">
        <v>64</v>
      </c>
      <c r="G4508">
        <v>-411.9504</v>
      </c>
      <c r="H4508" s="1">
        <v>-9.8159289999999996E-6</v>
      </c>
      <c r="I4508">
        <v>27.047740000000001</v>
      </c>
      <c r="J4508">
        <v>-418.9228</v>
      </c>
      <c r="K4508">
        <v>1.1173139999999999</v>
      </c>
      <c r="L4508">
        <v>33.123899999999999</v>
      </c>
      <c r="M4508">
        <v>0.41702939999999999</v>
      </c>
      <c r="N4508">
        <v>0</v>
      </c>
      <c r="O4508">
        <v>-0.90878080000000006</v>
      </c>
      <c r="P4508">
        <v>0.62533709999999998</v>
      </c>
      <c r="Q4508">
        <v>1.0549070000000001E-2</v>
      </c>
      <c r="R4508">
        <v>-0.78028330000000001</v>
      </c>
      <c r="S4508">
        <v>2.2760009999999999</v>
      </c>
      <c r="T4508">
        <v>-0.3580352</v>
      </c>
      <c r="U4508">
        <v>-2.032257</v>
      </c>
      <c r="V4508">
        <v>-0.24332500000000001</v>
      </c>
      <c r="W4508">
        <v>1.9938879999999999E-2</v>
      </c>
      <c r="X4508">
        <v>0.96973989999999999</v>
      </c>
      <c r="Y4508">
        <v>-0.39473920000000001</v>
      </c>
      <c r="Z4508">
        <v>0.1160331</v>
      </c>
      <c r="AA4508">
        <v>0.91143689999999999</v>
      </c>
      <c r="AB4508">
        <v>29</v>
      </c>
      <c r="AC4508">
        <v>6.9723999999999897</v>
      </c>
      <c r="AD4508">
        <v>-1.117323815929</v>
      </c>
      <c r="AE4508">
        <v>-6.07615999999999</v>
      </c>
      <c r="AF4508">
        <v>-3.7481278875555999</v>
      </c>
      <c r="AG4508">
        <v>-1.117323815929</v>
      </c>
      <c r="AH4508">
        <v>8.3091764522696199</v>
      </c>
      <c r="AI4508">
        <v>96.9881788049085</v>
      </c>
      <c r="AJ4508">
        <v>114.27932430754301</v>
      </c>
      <c r="AK4508">
        <v>9.1836424411050608</v>
      </c>
      <c r="AL4508">
        <v>88.857510668507203</v>
      </c>
      <c r="AM4508">
        <v>104.08572541149</v>
      </c>
      <c r="AN4508">
        <v>1.0000000441063299</v>
      </c>
    </row>
    <row r="4509" spans="1:40" x14ac:dyDescent="0.25">
      <c r="A4509" t="str">
        <f>"20190312151629404"</f>
        <v>20190312151629404</v>
      </c>
      <c r="B4509" t="str">
        <f>"1552374989402824"</f>
        <v>1552374989402824</v>
      </c>
      <c r="C4509" t="s">
        <v>40</v>
      </c>
      <c r="D4509">
        <v>4.3749650000000004</v>
      </c>
      <c r="E4509">
        <v>0.43161159999999998</v>
      </c>
      <c r="F4509" t="s">
        <v>64</v>
      </c>
      <c r="G4509">
        <v>-411.74709999999999</v>
      </c>
      <c r="H4509" s="1">
        <v>-9.8789270000000001E-6</v>
      </c>
      <c r="I4509">
        <v>26.938600000000001</v>
      </c>
      <c r="J4509">
        <v>-418.79570000000001</v>
      </c>
      <c r="K4509">
        <v>1.11737</v>
      </c>
      <c r="L4509">
        <v>32.870330000000003</v>
      </c>
      <c r="M4509">
        <v>0.42562309999999998</v>
      </c>
      <c r="N4509">
        <v>0</v>
      </c>
      <c r="O4509">
        <v>-0.90478769999999997</v>
      </c>
      <c r="P4509">
        <v>0.63304609999999994</v>
      </c>
      <c r="Q4509">
        <v>1.0584329999999999E-2</v>
      </c>
      <c r="R4509">
        <v>-0.7740418</v>
      </c>
      <c r="S4509">
        <v>2.3143310000000001</v>
      </c>
      <c r="T4509">
        <v>-0.36036299999999999</v>
      </c>
      <c r="U4509">
        <v>-1.994904</v>
      </c>
      <c r="V4509">
        <v>-0.24375769999999999</v>
      </c>
      <c r="W4509">
        <v>1.9944119999999999E-2</v>
      </c>
      <c r="X4509">
        <v>0.96963109999999997</v>
      </c>
      <c r="Y4509">
        <v>-0.40190219999999999</v>
      </c>
      <c r="Z4509">
        <v>0.1165684</v>
      </c>
      <c r="AA4509">
        <v>0.90823259999999995</v>
      </c>
      <c r="AB4509">
        <v>29</v>
      </c>
      <c r="AC4509">
        <v>7.04860000000002</v>
      </c>
      <c r="AD4509">
        <v>-1.117379878927</v>
      </c>
      <c r="AE4509">
        <v>-5.9317299999999902</v>
      </c>
      <c r="AF4509">
        <v>-3.7973342314543501</v>
      </c>
      <c r="AG4509">
        <v>-1.117379878927</v>
      </c>
      <c r="AH4509">
        <v>8.2465387968058295</v>
      </c>
      <c r="AI4509">
        <v>97.016411289516995</v>
      </c>
      <c r="AJ4509">
        <v>114.724941809623</v>
      </c>
      <c r="AK4509">
        <v>9.1473322442354608</v>
      </c>
      <c r="AL4509">
        <v>88.857210359553605</v>
      </c>
      <c r="AM4509">
        <v>104.111294091874</v>
      </c>
      <c r="AN4509">
        <v>1.00000002715953</v>
      </c>
    </row>
    <row r="4510" spans="1:40" x14ac:dyDescent="0.25">
      <c r="A4510" t="str">
        <f>"20190312151629427"</f>
        <v>20190312151629427</v>
      </c>
      <c r="B4510" t="str">
        <f>"1552374989422344"</f>
        <v>1552374989422344</v>
      </c>
      <c r="C4510" t="s">
        <v>40</v>
      </c>
      <c r="D4510">
        <v>4.3795500000000001</v>
      </c>
      <c r="E4510">
        <v>0.43222179999999999</v>
      </c>
      <c r="F4510" t="s">
        <v>64</v>
      </c>
      <c r="G4510">
        <v>-411.5147</v>
      </c>
      <c r="H4510" s="1">
        <v>-9.9407529999999995E-6</v>
      </c>
      <c r="I4510">
        <v>26.711590000000001</v>
      </c>
      <c r="J4510">
        <v>-418.66680000000002</v>
      </c>
      <c r="K4510">
        <v>1.1174249999999999</v>
      </c>
      <c r="L4510">
        <v>32.619259999999997</v>
      </c>
      <c r="M4510">
        <v>0.43421189999999998</v>
      </c>
      <c r="N4510">
        <v>0</v>
      </c>
      <c r="O4510">
        <v>-0.90069709999999903</v>
      </c>
      <c r="P4510">
        <v>0.64021519999999899</v>
      </c>
      <c r="Q4510">
        <v>1.0767880000000001E-2</v>
      </c>
      <c r="R4510">
        <v>-0.76812040000000004</v>
      </c>
      <c r="S4510">
        <v>2.3325200000000001</v>
      </c>
      <c r="T4510">
        <v>-0.357960099999999</v>
      </c>
      <c r="U4510">
        <v>-1.9729920000000001</v>
      </c>
      <c r="V4510">
        <v>-0.24355489999999999</v>
      </c>
      <c r="W4510">
        <v>2.0112410000000001E-2</v>
      </c>
      <c r="X4510">
        <v>0.96967859999999995</v>
      </c>
      <c r="Y4510">
        <v>-0.40175539999999998</v>
      </c>
      <c r="Z4510">
        <v>0.115548</v>
      </c>
      <c r="AA4510">
        <v>0.90842789999999995</v>
      </c>
      <c r="AB4510">
        <v>29</v>
      </c>
      <c r="AC4510">
        <v>7.1521000000000097</v>
      </c>
      <c r="AD4510">
        <v>-1.117434940753</v>
      </c>
      <c r="AE4510">
        <v>-5.9076699999999898</v>
      </c>
      <c r="AF4510">
        <v>-3.8216387433380601</v>
      </c>
      <c r="AG4510">
        <v>-1.117434940753</v>
      </c>
      <c r="AH4510">
        <v>8.3068753158750308</v>
      </c>
      <c r="AI4510">
        <v>96.967387706979196</v>
      </c>
      <c r="AJ4510">
        <v>114.70514049812699</v>
      </c>
      <c r="AK4510">
        <v>9.2118272370302403</v>
      </c>
      <c r="AL4510">
        <v>88.847566136626597</v>
      </c>
      <c r="AM4510">
        <v>104.099359196325</v>
      </c>
      <c r="AN4510">
        <v>1.0000000428239799</v>
      </c>
    </row>
    <row r="4511" spans="1:40" x14ac:dyDescent="0.25">
      <c r="A4511" t="str">
        <f>"20190312151629449"</f>
        <v>20190312151629449</v>
      </c>
      <c r="B4511" t="str">
        <f>"1552374989442845"</f>
        <v>1552374989442845</v>
      </c>
      <c r="C4511" t="s">
        <v>40</v>
      </c>
      <c r="D4511">
        <v>4.3698889999999997</v>
      </c>
      <c r="E4511">
        <v>0.43250060000000001</v>
      </c>
      <c r="F4511" t="s">
        <v>64</v>
      </c>
      <c r="G4511">
        <v>-411.28960000000001</v>
      </c>
      <c r="H4511" s="1">
        <v>-9.9990269999999992E-6</v>
      </c>
      <c r="I4511">
        <v>26.475829999999998</v>
      </c>
      <c r="J4511">
        <v>-418.53129999999999</v>
      </c>
      <c r="K4511">
        <v>1.1174759999999999</v>
      </c>
      <c r="L4511">
        <v>32.361719999999998</v>
      </c>
      <c r="M4511">
        <v>0.44309680000000001</v>
      </c>
      <c r="N4511">
        <v>0</v>
      </c>
      <c r="O4511">
        <v>-0.89635929999999997</v>
      </c>
      <c r="P4511">
        <v>0.64766269999999904</v>
      </c>
      <c r="Q4511">
        <v>1.0857169999999999E-2</v>
      </c>
      <c r="R4511">
        <v>-0.76184969999999996</v>
      </c>
      <c r="S4511">
        <v>2.3469540000000002</v>
      </c>
      <c r="T4511">
        <v>-0.35550009999999999</v>
      </c>
      <c r="U4511">
        <v>-1.9544680000000001</v>
      </c>
      <c r="V4511">
        <v>-0.24341160000000001</v>
      </c>
      <c r="W4511">
        <v>2.0184879999999999E-2</v>
      </c>
      <c r="X4511">
        <v>0.96971300000000005</v>
      </c>
      <c r="Y4511">
        <v>-0.39978469999999999</v>
      </c>
      <c r="Z4511">
        <v>0.11445420000000001</v>
      </c>
      <c r="AA4511">
        <v>0.90943529999999995</v>
      </c>
      <c r="AB4511">
        <v>29</v>
      </c>
      <c r="AC4511">
        <v>7.2416999999999803</v>
      </c>
      <c r="AD4511">
        <v>-1.1174859990270001</v>
      </c>
      <c r="AE4511">
        <v>-5.8858899999999998</v>
      </c>
      <c r="AF4511">
        <v>-3.8286435355237201</v>
      </c>
      <c r="AG4511">
        <v>-1.1174859990270001</v>
      </c>
      <c r="AH4511">
        <v>8.3655585847391798</v>
      </c>
      <c r="AI4511">
        <v>96.925511046467307</v>
      </c>
      <c r="AJ4511">
        <v>114.592025947011</v>
      </c>
      <c r="AK4511">
        <v>9.2676780649109993</v>
      </c>
      <c r="AL4511">
        <v>88.8434129836171</v>
      </c>
      <c r="AM4511">
        <v>104.09091419561599</v>
      </c>
      <c r="AN4511">
        <v>0.99999996938208602</v>
      </c>
    </row>
    <row r="4512" spans="1:40" x14ac:dyDescent="0.25">
      <c r="A4512" t="str">
        <f>"20190312151629472"</f>
        <v>20190312151629472</v>
      </c>
      <c r="B4512" t="str">
        <f>"1552374989462360"</f>
        <v>1552374989462360</v>
      </c>
      <c r="C4512" t="s">
        <v>40</v>
      </c>
      <c r="D4512">
        <v>4.401008</v>
      </c>
      <c r="E4512">
        <v>0.43256410000000001</v>
      </c>
      <c r="F4512" t="s">
        <v>64</v>
      </c>
      <c r="G4512">
        <v>-411.09339999999997</v>
      </c>
      <c r="H4512" s="1">
        <v>-1.0050879999999999E-5</v>
      </c>
      <c r="I4512">
        <v>26.280830000000002</v>
      </c>
      <c r="J4512">
        <v>-418.39350000000002</v>
      </c>
      <c r="K4512">
        <v>1.1175250000000001</v>
      </c>
      <c r="L4512">
        <v>32.105870000000003</v>
      </c>
      <c r="M4512">
        <v>0.45199980000000001</v>
      </c>
      <c r="N4512">
        <v>0</v>
      </c>
      <c r="O4512">
        <v>-0.89190290000000005</v>
      </c>
      <c r="P4512">
        <v>0.65483630000000004</v>
      </c>
      <c r="Q4512">
        <v>1.094616E-2</v>
      </c>
      <c r="R4512">
        <v>-0.75569149999999996</v>
      </c>
      <c r="S4512">
        <v>2.364258</v>
      </c>
      <c r="T4512">
        <v>-0.35521320000000001</v>
      </c>
      <c r="U4512">
        <v>-1.932922</v>
      </c>
      <c r="V4512">
        <v>-0.2429289</v>
      </c>
      <c r="W4512">
        <v>2.0266880000000001E-2</v>
      </c>
      <c r="X4512">
        <v>0.96983240000000004</v>
      </c>
      <c r="Y4512">
        <v>-0.39892470000000002</v>
      </c>
      <c r="Z4512">
        <v>0.114054</v>
      </c>
      <c r="AA4512">
        <v>0.90986310000000004</v>
      </c>
      <c r="AB4512">
        <v>29</v>
      </c>
      <c r="AC4512">
        <v>7.3001000000000396</v>
      </c>
      <c r="AD4512">
        <v>-1.1175350508799999</v>
      </c>
      <c r="AE4512">
        <v>-5.8250400000000004</v>
      </c>
      <c r="AF4512">
        <v>-3.8237124570778902</v>
      </c>
      <c r="AG4512">
        <v>-1.1175350508799999</v>
      </c>
      <c r="AH4512">
        <v>8.3759563455210504</v>
      </c>
      <c r="AI4512">
        <v>96.920294814479107</v>
      </c>
      <c r="AJ4512">
        <v>114.53719805931701</v>
      </c>
      <c r="AK4512">
        <v>9.2750367248023498</v>
      </c>
      <c r="AL4512">
        <v>88.838713850843405</v>
      </c>
      <c r="AM4512">
        <v>104.06241829526201</v>
      </c>
      <c r="AN4512">
        <v>1.0000000404849501</v>
      </c>
    </row>
    <row r="4513" spans="1:40" x14ac:dyDescent="0.25">
      <c r="A4513" t="str">
        <f>"20190312151629494"</f>
        <v>20190312151629494</v>
      </c>
      <c r="B4513" t="str">
        <f>"1552374989482856"</f>
        <v>1552374989482856</v>
      </c>
      <c r="C4513" t="s">
        <v>40</v>
      </c>
      <c r="D4513">
        <v>4.368042</v>
      </c>
      <c r="E4513">
        <v>0.43302190000000002</v>
      </c>
      <c r="F4513" t="s">
        <v>64</v>
      </c>
      <c r="G4513">
        <v>-410.8107</v>
      </c>
      <c r="H4513" s="1">
        <v>-1.012783E-5</v>
      </c>
      <c r="I4513">
        <v>26.021899999999999</v>
      </c>
      <c r="J4513">
        <v>-418.25490000000002</v>
      </c>
      <c r="K4513">
        <v>1.117567</v>
      </c>
      <c r="L4513">
        <v>31.8551</v>
      </c>
      <c r="M4513">
        <v>0.46079779999999998</v>
      </c>
      <c r="N4513">
        <v>0</v>
      </c>
      <c r="O4513">
        <v>-0.88738930000000005</v>
      </c>
      <c r="P4513">
        <v>0.66202039999999995</v>
      </c>
      <c r="Q4513">
        <v>1.076411E-2</v>
      </c>
      <c r="R4513">
        <v>-0.74940890000000004</v>
      </c>
      <c r="S4513">
        <v>2.3818049999999999</v>
      </c>
      <c r="T4513">
        <v>-0.35102450000000002</v>
      </c>
      <c r="U4513">
        <v>-1.911011</v>
      </c>
      <c r="V4513">
        <v>-0.24259410000000001</v>
      </c>
      <c r="W4513">
        <v>2.007666E-2</v>
      </c>
      <c r="X4513">
        <v>0.96992009999999995</v>
      </c>
      <c r="Y4513">
        <v>-0.39838030000000002</v>
      </c>
      <c r="Z4513">
        <v>0.1124103</v>
      </c>
      <c r="AA4513">
        <v>0.91030599999999995</v>
      </c>
      <c r="AB4513">
        <v>29</v>
      </c>
      <c r="AC4513">
        <v>7.4442000000000199</v>
      </c>
      <c r="AD4513">
        <v>-1.11757712783</v>
      </c>
      <c r="AE4513">
        <v>-5.8331999999999997</v>
      </c>
      <c r="AF4513">
        <v>-3.8644175848567399</v>
      </c>
      <c r="AG4513">
        <v>-1.11757712783</v>
      </c>
      <c r="AH4513">
        <v>8.4889351711531695</v>
      </c>
      <c r="AI4513">
        <v>96.832593694945402</v>
      </c>
      <c r="AJ4513">
        <v>114.47644985463501</v>
      </c>
      <c r="AK4513">
        <v>9.3938662033712301</v>
      </c>
      <c r="AL4513">
        <v>88.849614807808805</v>
      </c>
      <c r="AM4513">
        <v>104.042585613284</v>
      </c>
      <c r="AN4513">
        <v>0.99999998500778697</v>
      </c>
    </row>
    <row r="4514" spans="1:40" x14ac:dyDescent="0.25">
      <c r="A4514" t="str">
        <f>"20190312151629517"</f>
        <v>20190312151629517</v>
      </c>
      <c r="B4514" t="str">
        <f>"1552374989512136"</f>
        <v>1552374989512136</v>
      </c>
      <c r="C4514" t="s">
        <v>40</v>
      </c>
      <c r="D4514">
        <v>4.3029330000000003</v>
      </c>
      <c r="E4514">
        <v>0.43370229999999999</v>
      </c>
      <c r="F4514" t="s">
        <v>41</v>
      </c>
      <c r="G4514">
        <v>-417.41980000000001</v>
      </c>
      <c r="H4514">
        <v>0.99486609999999998</v>
      </c>
      <c r="I4514">
        <v>31.196300000000001</v>
      </c>
      <c r="J4514">
        <v>-418.11369999999999</v>
      </c>
      <c r="K4514">
        <v>1.117604</v>
      </c>
      <c r="L4514">
        <v>31.605899999999998</v>
      </c>
      <c r="M4514">
        <v>0.46960679999999999</v>
      </c>
      <c r="N4514">
        <v>0</v>
      </c>
      <c r="O4514">
        <v>-0.88275919999999897</v>
      </c>
      <c r="P4514">
        <v>0.66943160000000002</v>
      </c>
      <c r="Q4514">
        <v>1.022004E-2</v>
      </c>
      <c r="R4514">
        <v>-0.74280369999999996</v>
      </c>
      <c r="S4514">
        <v>2.3974299999999999</v>
      </c>
      <c r="T4514">
        <v>-0.35213299999999997</v>
      </c>
      <c r="U4514">
        <v>-1.8903810000000001</v>
      </c>
      <c r="V4514">
        <v>-0.242563</v>
      </c>
      <c r="W4514">
        <v>1.9520780000000001E-2</v>
      </c>
      <c r="X4514">
        <v>0.9699392</v>
      </c>
      <c r="Y4514">
        <v>-0.39696110000000001</v>
      </c>
      <c r="Z4514">
        <v>0.11242290000000001</v>
      </c>
      <c r="AA4514">
        <v>0.91092430000000002</v>
      </c>
      <c r="AB4514">
        <v>29</v>
      </c>
      <c r="AC4514">
        <v>0.69389999999998497</v>
      </c>
      <c r="AD4514">
        <v>-0.1227379</v>
      </c>
      <c r="AE4514">
        <v>-0.40959999999999702</v>
      </c>
      <c r="AF4514">
        <v>-0.41070944158688699</v>
      </c>
      <c r="AG4514">
        <v>-0.1227379</v>
      </c>
      <c r="AH4514">
        <v>0.67191890778447505</v>
      </c>
      <c r="AI4514">
        <v>98.858706504135398</v>
      </c>
      <c r="AJ4514">
        <v>121.43529770540999</v>
      </c>
      <c r="AK4514">
        <v>0.797008065293761</v>
      </c>
      <c r="AL4514">
        <v>88.8814706036692</v>
      </c>
      <c r="AM4514">
        <v>104.040591049062</v>
      </c>
      <c r="AN4514">
        <v>0.99999996075872299</v>
      </c>
    </row>
    <row r="4515" spans="1:40" x14ac:dyDescent="0.25">
      <c r="A4515" t="str">
        <f>"20190312151629538"</f>
        <v>20190312151629538</v>
      </c>
      <c r="B4515" t="str">
        <f>"1552374989532632"</f>
        <v>1552374989532632</v>
      </c>
      <c r="C4515" t="s">
        <v>40</v>
      </c>
      <c r="D4515">
        <v>4.3278869999999996</v>
      </c>
      <c r="E4515">
        <v>0.4343457</v>
      </c>
      <c r="F4515" t="s">
        <v>41</v>
      </c>
      <c r="G4515">
        <v>-417.2516</v>
      </c>
      <c r="H4515">
        <v>0.99168529999999999</v>
      </c>
      <c r="I4515">
        <v>30.937139999999999</v>
      </c>
      <c r="J4515">
        <v>-417.97050000000002</v>
      </c>
      <c r="K4515">
        <v>1.117629</v>
      </c>
      <c r="L4515">
        <v>31.358799999999999</v>
      </c>
      <c r="M4515">
        <v>0.47838989999999998</v>
      </c>
      <c r="N4515">
        <v>0</v>
      </c>
      <c r="O4515">
        <v>-0.87803009999999904</v>
      </c>
      <c r="P4515">
        <v>0.67687730000000002</v>
      </c>
      <c r="Q4515">
        <v>1.042152E-2</v>
      </c>
      <c r="R4515">
        <v>-0.73602209999999901</v>
      </c>
      <c r="S4515">
        <v>2.4117130000000002</v>
      </c>
      <c r="T4515">
        <v>-0.3521667</v>
      </c>
      <c r="U4515">
        <v>-1.870117</v>
      </c>
      <c r="V4515">
        <v>-0.24266009999999999</v>
      </c>
      <c r="W4515">
        <v>1.9710999999999999E-2</v>
      </c>
      <c r="X4515">
        <v>0.96991110000000003</v>
      </c>
      <c r="Y4515">
        <v>-0.39522259999999998</v>
      </c>
      <c r="Z4515">
        <v>0.1120937</v>
      </c>
      <c r="AA4515">
        <v>0.91172039999999999</v>
      </c>
      <c r="AB4515">
        <v>29</v>
      </c>
      <c r="AC4515">
        <v>0.71890000000001897</v>
      </c>
      <c r="AD4515">
        <v>-0.12594369999999899</v>
      </c>
      <c r="AE4515">
        <v>-0.42165999999999498</v>
      </c>
      <c r="AF4515">
        <v>-0.41995245819529797</v>
      </c>
      <c r="AG4515">
        <v>-0.12594369999999899</v>
      </c>
      <c r="AH4515">
        <v>0.698272966314605</v>
      </c>
      <c r="AI4515">
        <v>98.786375955246797</v>
      </c>
      <c r="AJ4515">
        <v>121.02336969800299</v>
      </c>
      <c r="AK4515">
        <v>0.82450410441656496</v>
      </c>
      <c r="AL4515">
        <v>88.870569741030195</v>
      </c>
      <c r="AM4515">
        <v>104.04637998539199</v>
      </c>
      <c r="AN4515">
        <v>0.99999999477810997</v>
      </c>
    </row>
    <row r="4516" spans="1:40" x14ac:dyDescent="0.25">
      <c r="A4516" t="str">
        <f>"20190312151629561"</f>
        <v>20190312151629561</v>
      </c>
      <c r="B4516" t="str">
        <f>"1552374989553128"</f>
        <v>1552374989553128</v>
      </c>
      <c r="C4516" t="s">
        <v>40</v>
      </c>
      <c r="D4516">
        <v>4.3248319999999998</v>
      </c>
      <c r="E4516">
        <v>0.43493110000000001</v>
      </c>
      <c r="F4516" t="s">
        <v>64</v>
      </c>
      <c r="G4516">
        <v>-410.24430000000001</v>
      </c>
      <c r="H4516" s="1">
        <v>-1.027874E-5</v>
      </c>
      <c r="I4516">
        <v>25.470859999999998</v>
      </c>
      <c r="J4516">
        <v>-417.82040000000001</v>
      </c>
      <c r="K4516">
        <v>1.11765</v>
      </c>
      <c r="L4516">
        <v>31.10605</v>
      </c>
      <c r="M4516">
        <v>0.48741909999999999</v>
      </c>
      <c r="N4516">
        <v>0</v>
      </c>
      <c r="O4516">
        <v>-0.87304969999999904</v>
      </c>
      <c r="P4516">
        <v>0.6847377</v>
      </c>
      <c r="Q4516">
        <v>1.0254920000000001E-2</v>
      </c>
      <c r="R4516">
        <v>-0.72871730000000001</v>
      </c>
      <c r="S4516">
        <v>2.4266359999999998</v>
      </c>
      <c r="T4516">
        <v>-0.35102650000000002</v>
      </c>
      <c r="U4516">
        <v>-1.8492740000000001</v>
      </c>
      <c r="V4516">
        <v>-0.2430648</v>
      </c>
      <c r="W4516">
        <v>1.9529359999999999E-2</v>
      </c>
      <c r="X4516">
        <v>0.9698135</v>
      </c>
      <c r="Y4516">
        <v>-0.39347330000000003</v>
      </c>
      <c r="Z4516">
        <v>0.1113577</v>
      </c>
      <c r="AA4516">
        <v>0.91256680000000001</v>
      </c>
      <c r="AB4516">
        <v>29</v>
      </c>
      <c r="AC4516">
        <v>7.5760999999999896</v>
      </c>
      <c r="AD4516">
        <v>-1.1176602787400001</v>
      </c>
      <c r="AE4516">
        <v>-5.6351899999999899</v>
      </c>
      <c r="AF4516">
        <v>-3.8145647873223001</v>
      </c>
      <c r="AG4516">
        <v>-1.1176602787400001</v>
      </c>
      <c r="AH4516">
        <v>8.4944080465767193</v>
      </c>
      <c r="AI4516">
        <v>96.844401595349794</v>
      </c>
      <c r="AJ4516">
        <v>114.18331114552301</v>
      </c>
      <c r="AK4516">
        <v>9.3784346816033093</v>
      </c>
      <c r="AL4516">
        <v>88.880979021900202</v>
      </c>
      <c r="AM4516">
        <v>104.07023605275801</v>
      </c>
      <c r="AN4516">
        <v>1.00000005884164</v>
      </c>
    </row>
    <row r="4517" spans="1:40" x14ac:dyDescent="0.25">
      <c r="A4517" t="str">
        <f>"20190312151629584"</f>
        <v>20190312151629584</v>
      </c>
      <c r="B4517" t="str">
        <f>"1552374989572649"</f>
        <v>1552374989572649</v>
      </c>
      <c r="C4517" t="s">
        <v>40</v>
      </c>
      <c r="D4517">
        <v>4.3088350000000002</v>
      </c>
      <c r="E4517">
        <v>0.4355501</v>
      </c>
      <c r="F4517" t="s">
        <v>64</v>
      </c>
      <c r="G4517">
        <v>-410.09800000000001</v>
      </c>
      <c r="H4517" s="1">
        <v>-1.03181E-5</v>
      </c>
      <c r="I4517">
        <v>25.332630000000002</v>
      </c>
      <c r="J4517">
        <v>-417.66930000000002</v>
      </c>
      <c r="K4517">
        <v>1.1176649999999999</v>
      </c>
      <c r="L4517">
        <v>30.857299999999999</v>
      </c>
      <c r="M4517">
        <v>0.49634489999999998</v>
      </c>
      <c r="N4517">
        <v>0</v>
      </c>
      <c r="O4517">
        <v>-0.86800650000000001</v>
      </c>
      <c r="P4517">
        <v>0.69273359999999995</v>
      </c>
      <c r="Q4517">
        <v>9.9407750000000007E-3</v>
      </c>
      <c r="R4517">
        <v>-0.72112509999999996</v>
      </c>
      <c r="S4517">
        <v>2.4429020000000001</v>
      </c>
      <c r="T4517">
        <v>-0.35355890000000001</v>
      </c>
      <c r="U4517">
        <v>-1.826355</v>
      </c>
      <c r="V4517">
        <v>-0.24381040000000001</v>
      </c>
      <c r="W4517">
        <v>1.9195630000000002E-2</v>
      </c>
      <c r="X4517">
        <v>0.96963290000000002</v>
      </c>
      <c r="Y4517">
        <v>-0.39240360000000002</v>
      </c>
      <c r="Z4517">
        <v>0.11178109999999999</v>
      </c>
      <c r="AA4517">
        <v>0.9129756</v>
      </c>
      <c r="AB4517">
        <v>29</v>
      </c>
      <c r="AC4517">
        <v>7.5712999999999999</v>
      </c>
      <c r="AD4517">
        <v>-1.1176753181000001</v>
      </c>
      <c r="AE4517">
        <v>-5.5246699999999898</v>
      </c>
      <c r="AF4517">
        <v>-3.7764887092717201</v>
      </c>
      <c r="AG4517">
        <v>-1.1176753181000001</v>
      </c>
      <c r="AH4517">
        <v>8.4343700400520802</v>
      </c>
      <c r="AI4517">
        <v>96.896105964552504</v>
      </c>
      <c r="AJ4517">
        <v>114.120446165405</v>
      </c>
      <c r="AK4517">
        <v>9.3085800775668694</v>
      </c>
      <c r="AL4517">
        <v>88.900103831257695</v>
      </c>
      <c r="AM4517">
        <v>104.114197854114</v>
      </c>
      <c r="AN4517">
        <v>0.99999997206083302</v>
      </c>
    </row>
    <row r="4518" spans="1:40" x14ac:dyDescent="0.25">
      <c r="A4518" t="str">
        <f>"20190312151629606"</f>
        <v>20190312151629606</v>
      </c>
      <c r="B4518" t="str">
        <f>"1552374989602118"</f>
        <v>1552374989602118</v>
      </c>
      <c r="C4518" t="s">
        <v>40</v>
      </c>
      <c r="D4518">
        <v>4.2764639999999998</v>
      </c>
      <c r="E4518">
        <v>0.43657240000000003</v>
      </c>
      <c r="F4518" t="s">
        <v>64</v>
      </c>
      <c r="G4518">
        <v>-409.92450000000002</v>
      </c>
      <c r="H4518" s="1">
        <v>-2.1297710000000002E-6</v>
      </c>
      <c r="I4518">
        <v>25.17886</v>
      </c>
      <c r="J4518">
        <v>-417.52330000000001</v>
      </c>
      <c r="K4518">
        <v>1.1176779999999999</v>
      </c>
      <c r="L4518">
        <v>30.62219</v>
      </c>
      <c r="M4518">
        <v>0.50481049999999905</v>
      </c>
      <c r="N4518">
        <v>0</v>
      </c>
      <c r="O4518">
        <v>-0.86311039999999895</v>
      </c>
      <c r="P4518">
        <v>0.70018610000000003</v>
      </c>
      <c r="Q4518">
        <v>9.6677220000000001E-3</v>
      </c>
      <c r="R4518">
        <v>-0.71389499999999995</v>
      </c>
      <c r="S4518">
        <v>2.4589840000000001</v>
      </c>
      <c r="T4518">
        <v>-0.35486190000000001</v>
      </c>
      <c r="U4518">
        <v>-1.8029170000000001</v>
      </c>
      <c r="V4518">
        <v>-0.2443919</v>
      </c>
      <c r="W4518">
        <v>1.890768E-2</v>
      </c>
      <c r="X4518">
        <v>0.96949220000000003</v>
      </c>
      <c r="Y4518">
        <v>-0.39190039999999998</v>
      </c>
      <c r="Z4518">
        <v>0.1118466</v>
      </c>
      <c r="AA4518">
        <v>0.91318359999999998</v>
      </c>
      <c r="AB4518">
        <v>29</v>
      </c>
      <c r="AC4518">
        <v>7.5987999999999802</v>
      </c>
      <c r="AD4518">
        <v>-1.117680129771</v>
      </c>
      <c r="AE4518">
        <v>-5.4433299999999996</v>
      </c>
      <c r="AF4518">
        <v>-3.7574248970328199</v>
      </c>
      <c r="AG4518">
        <v>-1.117680129771</v>
      </c>
      <c r="AH4518">
        <v>8.4147205582047295</v>
      </c>
      <c r="AI4518">
        <v>96.915195720117694</v>
      </c>
      <c r="AJ4518">
        <v>114.062193402937</v>
      </c>
      <c r="AK4518">
        <v>9.2830476031312301</v>
      </c>
      <c r="AL4518">
        <v>88.916605191368504</v>
      </c>
      <c r="AM4518">
        <v>104.1484815227</v>
      </c>
      <c r="AN4518">
        <v>1.00000001350471</v>
      </c>
    </row>
    <row r="4519" spans="1:40" x14ac:dyDescent="0.25">
      <c r="A4519" t="str">
        <f>"20190312151629628"</f>
        <v>20190312151629628</v>
      </c>
      <c r="B4519" t="str">
        <f>"1552374989622614"</f>
        <v>1552374989622614</v>
      </c>
      <c r="C4519" t="s">
        <v>40</v>
      </c>
      <c r="D4519">
        <v>4.2769789999999999</v>
      </c>
      <c r="E4519">
        <v>0.43717050000000002</v>
      </c>
      <c r="F4519" t="s">
        <v>64</v>
      </c>
      <c r="G4519">
        <v>-409.7321</v>
      </c>
      <c r="H4519" s="1">
        <v>-2.2044009999999998E-6</v>
      </c>
      <c r="I4519">
        <v>25.002279999999999</v>
      </c>
      <c r="J4519">
        <v>-417.36860000000001</v>
      </c>
      <c r="K4519">
        <v>1.117685</v>
      </c>
      <c r="L4519">
        <v>30.378720000000001</v>
      </c>
      <c r="M4519">
        <v>0.51360139999999999</v>
      </c>
      <c r="N4519">
        <v>0</v>
      </c>
      <c r="O4519">
        <v>-0.85790820000000001</v>
      </c>
      <c r="P4519">
        <v>0.70797019999999899</v>
      </c>
      <c r="Q4519">
        <v>9.4407410000000008E-3</v>
      </c>
      <c r="R4519">
        <v>-0.70617940000000001</v>
      </c>
      <c r="S4519">
        <v>2.4717099999999999</v>
      </c>
      <c r="T4519">
        <v>-0.35458000000000001</v>
      </c>
      <c r="U4519">
        <v>-1.7828980000000001</v>
      </c>
      <c r="V4519">
        <v>-0.24510999999999999</v>
      </c>
      <c r="W4519">
        <v>1.8665009999999999E-2</v>
      </c>
      <c r="X4519">
        <v>0.96931560000000005</v>
      </c>
      <c r="Y4519">
        <v>-0.38963759999999997</v>
      </c>
      <c r="Z4519">
        <v>0.11134579999999999</v>
      </c>
      <c r="AA4519">
        <v>0.91421260000000004</v>
      </c>
      <c r="AB4519">
        <v>29</v>
      </c>
      <c r="AC4519">
        <v>7.6365000000000096</v>
      </c>
      <c r="AD4519">
        <v>-1.117687204401</v>
      </c>
      <c r="AE4519">
        <v>-5.3764399999999997</v>
      </c>
      <c r="AF4519">
        <v>-3.7369397815856402</v>
      </c>
      <c r="AG4519">
        <v>-1.117687204401</v>
      </c>
      <c r="AH4519">
        <v>8.4149711486428895</v>
      </c>
      <c r="AI4519">
        <v>96.921266821525194</v>
      </c>
      <c r="AJ4519">
        <v>113.945160095101</v>
      </c>
      <c r="AK4519">
        <v>9.2750031294103294</v>
      </c>
      <c r="AL4519">
        <v>88.9305116122691</v>
      </c>
      <c r="AM4519">
        <v>104.190858228702</v>
      </c>
      <c r="AN4519">
        <v>1.00000001355083</v>
      </c>
    </row>
    <row r="4520" spans="1:40" x14ac:dyDescent="0.25">
      <c r="A4520" t="str">
        <f>"20190312151629640"</f>
        <v>20190312151629640</v>
      </c>
      <c r="B4520" t="str">
        <f>"1552374989632374"</f>
        <v>1552374989632374</v>
      </c>
      <c r="C4520" t="s">
        <v>40</v>
      </c>
      <c r="D4520">
        <v>4.304805</v>
      </c>
      <c r="E4520">
        <v>0.43746249999999998</v>
      </c>
      <c r="F4520" t="s">
        <v>64</v>
      </c>
      <c r="G4520">
        <v>-409.58089999999999</v>
      </c>
      <c r="H4520" s="1">
        <v>-2.265181E-6</v>
      </c>
      <c r="I4520">
        <v>24.873159999999999</v>
      </c>
      <c r="J4520">
        <v>-417.29070000000002</v>
      </c>
      <c r="K4520">
        <v>1.1176839999999999</v>
      </c>
      <c r="L4520">
        <v>30.25845</v>
      </c>
      <c r="M4520">
        <v>0.51795379999999902</v>
      </c>
      <c r="N4520">
        <v>0</v>
      </c>
      <c r="O4520">
        <v>-0.85528740000000003</v>
      </c>
      <c r="P4520">
        <v>0.71153900000000003</v>
      </c>
      <c r="Q4520">
        <v>9.2998709999999995E-3</v>
      </c>
      <c r="R4520">
        <v>-0.70258500000000002</v>
      </c>
      <c r="S4520">
        <v>2.487854</v>
      </c>
      <c r="T4520">
        <v>-0.35705879999999901</v>
      </c>
      <c r="U4520">
        <v>-1.7588200000000001</v>
      </c>
      <c r="V4520">
        <v>-0.24509259999999999</v>
      </c>
      <c r="W4520">
        <v>1.8525320000000001E-2</v>
      </c>
      <c r="X4520">
        <v>0.96932269999999998</v>
      </c>
      <c r="Y4520">
        <v>-0.39357110000000001</v>
      </c>
      <c r="Z4520">
        <v>0.1120818</v>
      </c>
      <c r="AA4520">
        <v>0.91243600000000002</v>
      </c>
      <c r="AB4520">
        <v>29</v>
      </c>
      <c r="AC4520">
        <v>7.7098000000000297</v>
      </c>
      <c r="AD4520">
        <v>-1.117686265181</v>
      </c>
      <c r="AE4520">
        <v>-5.3852899999999897</v>
      </c>
      <c r="AF4520">
        <v>-3.752159687926</v>
      </c>
      <c r="AG4520">
        <v>-1.117686265181</v>
      </c>
      <c r="AH4520">
        <v>8.4803992848539202</v>
      </c>
      <c r="AI4520">
        <v>96.872486999921193</v>
      </c>
      <c r="AJ4520">
        <v>113.867034012522</v>
      </c>
      <c r="AK4520">
        <v>9.3405083877496793</v>
      </c>
      <c r="AL4520">
        <v>88.9385166647848</v>
      </c>
      <c r="AM4520">
        <v>104.189791793382</v>
      </c>
      <c r="AN4520">
        <v>1.0000000333955701</v>
      </c>
    </row>
    <row r="4521" spans="1:40" x14ac:dyDescent="0.25">
      <c r="A4521" t="str">
        <f>"20190312151629649"</f>
        <v>20190312151629649</v>
      </c>
      <c r="B4521" t="str">
        <f>"1552374989642134"</f>
        <v>1552374989642134</v>
      </c>
      <c r="C4521" t="s">
        <v>40</v>
      </c>
      <c r="D4521">
        <v>4.3015829999999999</v>
      </c>
      <c r="E4521">
        <v>0.43781209999999998</v>
      </c>
      <c r="F4521" t="s">
        <v>64</v>
      </c>
      <c r="G4521">
        <v>-409.53480000000002</v>
      </c>
      <c r="H4521" s="1">
        <v>-2.2819289999999999E-6</v>
      </c>
      <c r="I4521">
        <v>24.825690000000002</v>
      </c>
      <c r="J4521">
        <v>-417.21339999999998</v>
      </c>
      <c r="K4521">
        <v>1.1176870000000001</v>
      </c>
      <c r="L4521">
        <v>30.139769999999999</v>
      </c>
      <c r="M4521">
        <v>0.52224890000000002</v>
      </c>
      <c r="N4521">
        <v>0</v>
      </c>
      <c r="O4521">
        <v>-0.85267169999999903</v>
      </c>
      <c r="P4521">
        <v>0.7151151</v>
      </c>
      <c r="Q4521">
        <v>8.9832319999999903E-3</v>
      </c>
      <c r="R4521">
        <v>-0.69894909999999999</v>
      </c>
      <c r="S4521">
        <v>2.495117</v>
      </c>
      <c r="T4521">
        <v>-0.3595643</v>
      </c>
      <c r="U4521">
        <v>-1.7477419999999999</v>
      </c>
      <c r="V4521">
        <v>-0.24515590000000001</v>
      </c>
      <c r="W4521">
        <v>1.8208749999999999E-2</v>
      </c>
      <c r="X4521">
        <v>0.96931270000000003</v>
      </c>
      <c r="Y4521">
        <v>-0.392849</v>
      </c>
      <c r="Z4521">
        <v>0.1126489</v>
      </c>
      <c r="AA4521">
        <v>0.91267730000000002</v>
      </c>
      <c r="AB4521">
        <v>29</v>
      </c>
      <c r="AC4521">
        <v>7.6785999999999497</v>
      </c>
      <c r="AD4521">
        <v>-1.1176892819290001</v>
      </c>
      <c r="AE4521">
        <v>-5.3140799999999997</v>
      </c>
      <c r="AF4521">
        <v>-3.7191624575297202</v>
      </c>
      <c r="AG4521">
        <v>-1.1176892819290001</v>
      </c>
      <c r="AH4521">
        <v>8.4215436789785194</v>
      </c>
      <c r="AI4521">
        <v>96.922164672642893</v>
      </c>
      <c r="AJ4521">
        <v>113.82744172737</v>
      </c>
      <c r="AK4521">
        <v>9.2738231950679708</v>
      </c>
      <c r="AL4521">
        <v>88.956657858494594</v>
      </c>
      <c r="AM4521">
        <v>104.193449016383</v>
      </c>
      <c r="AN4521">
        <v>1.00000004213133</v>
      </c>
    </row>
    <row r="4522" spans="1:40" x14ac:dyDescent="0.25">
      <c r="A4522" t="str">
        <f>"20190312151629661"</f>
        <v>20190312151629661</v>
      </c>
      <c r="B4522" t="str">
        <f>"1552374989652871"</f>
        <v>1552374989652871</v>
      </c>
      <c r="C4522" t="s">
        <v>40</v>
      </c>
      <c r="D4522">
        <v>4.3291089999999999</v>
      </c>
      <c r="E4522">
        <v>0.43768659999999998</v>
      </c>
      <c r="F4522" t="s">
        <v>64</v>
      </c>
      <c r="G4522">
        <v>-409.45460000000003</v>
      </c>
      <c r="H4522" s="1">
        <v>-2.3134140000000001E-6</v>
      </c>
      <c r="I4522">
        <v>24.753699999999998</v>
      </c>
      <c r="J4522">
        <v>-417.13760000000002</v>
      </c>
      <c r="K4522">
        <v>1.1176870000000001</v>
      </c>
      <c r="L4522">
        <v>30.025480000000002</v>
      </c>
      <c r="M4522">
        <v>0.52639879999999994</v>
      </c>
      <c r="N4522">
        <v>0</v>
      </c>
      <c r="O4522">
        <v>-0.85011579999999998</v>
      </c>
      <c r="P4522">
        <v>0.71862109999999901</v>
      </c>
      <c r="Q4522">
        <v>9.0305809999999993E-3</v>
      </c>
      <c r="R4522">
        <v>-0.69534300000000004</v>
      </c>
      <c r="S4522">
        <v>2.502075</v>
      </c>
      <c r="T4522">
        <v>-0.36043439999999999</v>
      </c>
      <c r="U4522">
        <v>-1.7369079999999999</v>
      </c>
      <c r="V4522">
        <v>-0.24530740000000001</v>
      </c>
      <c r="W4522">
        <v>1.825357E-2</v>
      </c>
      <c r="X4522">
        <v>0.96927350000000001</v>
      </c>
      <c r="Y4522">
        <v>-0.39221080000000003</v>
      </c>
      <c r="Z4522">
        <v>0.1127152</v>
      </c>
      <c r="AA4522">
        <v>0.91294359999999997</v>
      </c>
      <c r="AB4522">
        <v>29</v>
      </c>
      <c r="AC4522">
        <v>7.6829999999999901</v>
      </c>
      <c r="AD4522">
        <v>-1.117689313414</v>
      </c>
      <c r="AE4522">
        <v>-5.2717799999999997</v>
      </c>
      <c r="AF4522">
        <v>-3.70348237120972</v>
      </c>
      <c r="AG4522">
        <v>-1.117689313414</v>
      </c>
      <c r="AH4522">
        <v>8.4058801454553898</v>
      </c>
      <c r="AI4522">
        <v>96.937582110990306</v>
      </c>
      <c r="AJ4522">
        <v>113.777442418696</v>
      </c>
      <c r="AK4522">
        <v>9.2533146544869105</v>
      </c>
      <c r="AL4522">
        <v>88.954089407092198</v>
      </c>
      <c r="AM4522">
        <v>104.20241655061101</v>
      </c>
      <c r="AN4522">
        <v>1.0000000155573701</v>
      </c>
    </row>
    <row r="4523" spans="1:40" x14ac:dyDescent="0.25">
      <c r="A4523" t="str">
        <f>"20190312151629672"</f>
        <v>20190312151629672</v>
      </c>
      <c r="B4523" t="str">
        <f>"1552374989662631"</f>
        <v>1552374989662631</v>
      </c>
      <c r="C4523" t="s">
        <v>40</v>
      </c>
      <c r="D4523">
        <v>4.2933899999999996</v>
      </c>
      <c r="E4523">
        <v>0.43733880000000003</v>
      </c>
      <c r="F4523" t="s">
        <v>64</v>
      </c>
      <c r="G4523">
        <v>-409.3297</v>
      </c>
      <c r="H4523" s="1">
        <v>-2.3682699999999999E-6</v>
      </c>
      <c r="I4523">
        <v>24.667850000000001</v>
      </c>
      <c r="J4523">
        <v>-417.05630000000002</v>
      </c>
      <c r="K4523">
        <v>1.117688</v>
      </c>
      <c r="L4523">
        <v>29.903289999999998</v>
      </c>
      <c r="M4523">
        <v>0.53082750000000001</v>
      </c>
      <c r="N4523">
        <v>0</v>
      </c>
      <c r="O4523">
        <v>-0.84735759999999904</v>
      </c>
      <c r="P4523">
        <v>0.72243550000000001</v>
      </c>
      <c r="Q4523">
        <v>9.2747820000000005E-3</v>
      </c>
      <c r="R4523">
        <v>-0.6913762</v>
      </c>
      <c r="S4523">
        <v>2.5115970000000001</v>
      </c>
      <c r="T4523">
        <v>-0.35952699999999999</v>
      </c>
      <c r="U4523">
        <v>-1.7233889999999901</v>
      </c>
      <c r="V4523">
        <v>-0.24558820000000001</v>
      </c>
      <c r="W4523">
        <v>1.8492419999999999E-2</v>
      </c>
      <c r="X4523">
        <v>0.96919789999999995</v>
      </c>
      <c r="Y4523">
        <v>-0.3924164</v>
      </c>
      <c r="Z4523">
        <v>0.1122208</v>
      </c>
      <c r="AA4523">
        <v>0.91291619999999996</v>
      </c>
      <c r="AB4523">
        <v>29</v>
      </c>
      <c r="AC4523">
        <v>7.7266000000000101</v>
      </c>
      <c r="AD4523">
        <v>-1.1176903682699999</v>
      </c>
      <c r="AE4523">
        <v>-5.2354399999999996</v>
      </c>
      <c r="AF4523">
        <v>-3.7151893804752398</v>
      </c>
      <c r="AG4523">
        <v>-1.1176903682699999</v>
      </c>
      <c r="AH4523">
        <v>8.4179462689384295</v>
      </c>
      <c r="AI4523">
        <v>96.925818530909893</v>
      </c>
      <c r="AJ4523">
        <v>113.813859963444</v>
      </c>
      <c r="AK4523">
        <v>9.2689634414455497</v>
      </c>
      <c r="AL4523">
        <v>88.940402037990594</v>
      </c>
      <c r="AM4523">
        <v>104.21907904545699</v>
      </c>
      <c r="AN4523">
        <v>1.00000005147055</v>
      </c>
    </row>
    <row r="4524" spans="1:40" x14ac:dyDescent="0.25">
      <c r="A4524" t="str">
        <f>"20190312151629685"</f>
        <v>20190312151629685</v>
      </c>
      <c r="B4524" t="str">
        <f>"1552374989682150"</f>
        <v>1552374989682150</v>
      </c>
      <c r="C4524" t="s">
        <v>40</v>
      </c>
      <c r="D4524">
        <v>4.2841290000000001</v>
      </c>
      <c r="E4524">
        <v>0.42000130000000002</v>
      </c>
      <c r="F4524" t="s">
        <v>64</v>
      </c>
      <c r="G4524">
        <v>-409.17349999999999</v>
      </c>
      <c r="H4524" s="1">
        <v>-2.4384989999999998E-6</v>
      </c>
      <c r="I4524">
        <v>24.567990000000002</v>
      </c>
      <c r="J4524">
        <v>-416.96780000000001</v>
      </c>
      <c r="K4524">
        <v>1.117688</v>
      </c>
      <c r="L4524">
        <v>29.772829999999999</v>
      </c>
      <c r="M4524">
        <v>0.53557679999999996</v>
      </c>
      <c r="N4524">
        <v>0</v>
      </c>
      <c r="O4524">
        <v>-0.84436369999999905</v>
      </c>
      <c r="P4524">
        <v>0.72648699999999999</v>
      </c>
      <c r="Q4524">
        <v>8.8130180000000006E-3</v>
      </c>
      <c r="R4524">
        <v>-0.68712379999999995</v>
      </c>
      <c r="S4524">
        <v>2.52298</v>
      </c>
      <c r="T4524">
        <v>-0.35772710000000002</v>
      </c>
      <c r="U4524">
        <v>-1.707611</v>
      </c>
      <c r="V4524">
        <v>-0.24583150000000001</v>
      </c>
      <c r="W4524">
        <v>1.8027109999999999E-2</v>
      </c>
      <c r="X4524">
        <v>0.96914489999999998</v>
      </c>
      <c r="Y4524">
        <v>-0.39316060000000003</v>
      </c>
      <c r="Z4524">
        <v>0.1114387</v>
      </c>
      <c r="AA4524">
        <v>0.91269169999999999</v>
      </c>
      <c r="AB4524">
        <v>29</v>
      </c>
      <c r="AC4524">
        <v>7.7943000000000202</v>
      </c>
      <c r="AD4524">
        <v>-1.1176904384990001</v>
      </c>
      <c r="AE4524">
        <v>-5.2048399999999999</v>
      </c>
      <c r="AF4524">
        <v>-3.7408260394671302</v>
      </c>
      <c r="AG4524">
        <v>-1.1176904384990001</v>
      </c>
      <c r="AH4524">
        <v>8.4499427975442796</v>
      </c>
      <c r="AI4524">
        <v>96.896404389244694</v>
      </c>
      <c r="AJ4524">
        <v>113.879178301103</v>
      </c>
      <c r="AK4524">
        <v>9.3083051440978206</v>
      </c>
      <c r="AL4524">
        <v>88.967066697644498</v>
      </c>
      <c r="AM4524">
        <v>104.23334025283199</v>
      </c>
      <c r="AN4524">
        <v>0.99999997014160502</v>
      </c>
    </row>
    <row r="4525" spans="1:40" x14ac:dyDescent="0.25">
      <c r="A4525" t="str">
        <f>"20190312151629696"</f>
        <v>20190312151629696</v>
      </c>
      <c r="B4525" t="str">
        <f>"1552374989692887"</f>
        <v>1552374989692887</v>
      </c>
      <c r="C4525" t="s">
        <v>40</v>
      </c>
      <c r="D4525">
        <v>4.286397</v>
      </c>
      <c r="E4525">
        <v>0.42104829999999999</v>
      </c>
      <c r="F4525" t="s">
        <v>41</v>
      </c>
      <c r="G4525">
        <v>-416.11930000000001</v>
      </c>
      <c r="H4525">
        <v>1.003153</v>
      </c>
      <c r="I4525">
        <v>29.25826</v>
      </c>
      <c r="J4525">
        <v>-416.88889999999998</v>
      </c>
      <c r="K4525">
        <v>1.117688</v>
      </c>
      <c r="L4525">
        <v>29.657229999999998</v>
      </c>
      <c r="M4525">
        <v>0.53977989999999998</v>
      </c>
      <c r="N4525">
        <v>0</v>
      </c>
      <c r="O4525">
        <v>-0.84168299999999996</v>
      </c>
      <c r="P4525">
        <v>0.72974629999999996</v>
      </c>
      <c r="Q4525">
        <v>8.506362E-3</v>
      </c>
      <c r="R4525">
        <v>-0.68366530000000003</v>
      </c>
      <c r="S4525">
        <v>2.6277469999999998</v>
      </c>
      <c r="T4525">
        <v>-0.35458719999999999</v>
      </c>
      <c r="U4525">
        <v>-1.592285</v>
      </c>
      <c r="V4525">
        <v>-0.24559990000000001</v>
      </c>
      <c r="W4525">
        <v>1.7727219999999998E-2</v>
      </c>
      <c r="X4525">
        <v>0.96920919999999999</v>
      </c>
      <c r="Y4525">
        <v>-0.43409550000000002</v>
      </c>
      <c r="Z4525">
        <v>0.11080760000000001</v>
      </c>
      <c r="AA4525">
        <v>0.89402619999999899</v>
      </c>
      <c r="AB4525">
        <v>29</v>
      </c>
      <c r="AC4525">
        <v>0.76959999999996798</v>
      </c>
      <c r="AD4525">
        <v>-0.114535</v>
      </c>
      <c r="AE4525">
        <v>-0.39897000000000199</v>
      </c>
      <c r="AF4525">
        <v>-0.42502836988946702</v>
      </c>
      <c r="AG4525">
        <v>-0.114535</v>
      </c>
      <c r="AH4525">
        <v>0.73840838370294404</v>
      </c>
      <c r="AI4525">
        <v>97.656454975389593</v>
      </c>
      <c r="AJ4525">
        <v>119.924760107586</v>
      </c>
      <c r="AK4525">
        <v>0.85965942242186399</v>
      </c>
      <c r="AL4525">
        <v>88.984251925815698</v>
      </c>
      <c r="AM4525">
        <v>104.219569914396</v>
      </c>
      <c r="AN4525">
        <v>1.00000001928678</v>
      </c>
    </row>
    <row r="4526" spans="1:40" x14ac:dyDescent="0.25">
      <c r="A4526" t="str">
        <f>"20190312151629706"</f>
        <v>20190312151629706</v>
      </c>
      <c r="B4526" t="str">
        <f>"1552374989702646"</f>
        <v>1552374989702646</v>
      </c>
      <c r="C4526" t="s">
        <v>40</v>
      </c>
      <c r="D4526">
        <v>4.2995190000000001</v>
      </c>
      <c r="E4526">
        <v>0.42113729999999999</v>
      </c>
      <c r="F4526" t="s">
        <v>41</v>
      </c>
      <c r="G4526">
        <v>-415.99650000000003</v>
      </c>
      <c r="H4526">
        <v>0.9972896</v>
      </c>
      <c r="I4526">
        <v>29.119039999999998</v>
      </c>
      <c r="J4526">
        <v>-416.80930000000001</v>
      </c>
      <c r="K4526">
        <v>1.1176900000000001</v>
      </c>
      <c r="L4526">
        <v>29.542300000000001</v>
      </c>
      <c r="M4526">
        <v>0.54396809999999995</v>
      </c>
      <c r="N4526">
        <v>0</v>
      </c>
      <c r="O4526">
        <v>-0.83898220000000001</v>
      </c>
      <c r="P4526">
        <v>0.73305390000000004</v>
      </c>
      <c r="Q4526">
        <v>8.579026E-3</v>
      </c>
      <c r="R4526">
        <v>-0.68011669999999902</v>
      </c>
      <c r="S4526">
        <v>2.6294249999999999</v>
      </c>
      <c r="T4526">
        <v>-0.35477690000000001</v>
      </c>
      <c r="U4526">
        <v>-1.5858760000000001</v>
      </c>
      <c r="V4526">
        <v>-0.24547250000000001</v>
      </c>
      <c r="W4526">
        <v>1.7804939999999998E-2</v>
      </c>
      <c r="X4526">
        <v>0.96924010000000005</v>
      </c>
      <c r="Y4526">
        <v>-0.43146679999999998</v>
      </c>
      <c r="Z4526">
        <v>0.1106385</v>
      </c>
      <c r="AA4526">
        <v>0.89531870000000002</v>
      </c>
      <c r="AB4526">
        <v>29</v>
      </c>
      <c r="AC4526">
        <v>0.81279999999998098</v>
      </c>
      <c r="AD4526">
        <v>-0.12040039999999901</v>
      </c>
      <c r="AE4526">
        <v>-0.42325999999999903</v>
      </c>
      <c r="AF4526">
        <v>-0.44406633860848399</v>
      </c>
      <c r="AG4526">
        <v>-0.12040039999999901</v>
      </c>
      <c r="AH4526">
        <v>0.78379794576966599</v>
      </c>
      <c r="AI4526">
        <v>97.612565882343603</v>
      </c>
      <c r="AJ4526">
        <v>119.534032823752</v>
      </c>
      <c r="AK4526">
        <v>0.90886213981992603</v>
      </c>
      <c r="AL4526">
        <v>88.979798244482495</v>
      </c>
      <c r="AM4526">
        <v>104.212057998809</v>
      </c>
      <c r="AN4526">
        <v>1.0000000677963199</v>
      </c>
    </row>
    <row r="4527" spans="1:40" x14ac:dyDescent="0.25">
      <c r="A4527" t="str">
        <f>"20190312151629718"</f>
        <v>20190312151629718</v>
      </c>
      <c r="B4527" t="str">
        <f>"1552374989712406"</f>
        <v>1552374989712406</v>
      </c>
      <c r="C4527" t="s">
        <v>40</v>
      </c>
      <c r="D4527">
        <v>4.2604290000000002</v>
      </c>
      <c r="E4527">
        <v>0.42141729999999999</v>
      </c>
      <c r="F4527" t="s">
        <v>64</v>
      </c>
      <c r="G4527">
        <v>-408.45710000000003</v>
      </c>
      <c r="H4527" s="1">
        <v>-2.8603119999999999E-6</v>
      </c>
      <c r="I4527">
        <v>24.558009999999999</v>
      </c>
      <c r="J4527">
        <v>-416.7278</v>
      </c>
      <c r="K4527">
        <v>1.1176889999999999</v>
      </c>
      <c r="L4527">
        <v>29.425750000000001</v>
      </c>
      <c r="M4527">
        <v>0.54821779999999998</v>
      </c>
      <c r="N4527">
        <v>0</v>
      </c>
      <c r="O4527">
        <v>-0.8362115</v>
      </c>
      <c r="P4527">
        <v>0.73636040000000003</v>
      </c>
      <c r="Q4527">
        <v>8.0895180000000004E-3</v>
      </c>
      <c r="R4527">
        <v>-0.67654139999999996</v>
      </c>
      <c r="S4527">
        <v>2.636749</v>
      </c>
      <c r="T4527">
        <v>-0.35285070000000002</v>
      </c>
      <c r="U4527">
        <v>-1.5735170000000001</v>
      </c>
      <c r="V4527">
        <v>-0.2452666</v>
      </c>
      <c r="W4527">
        <v>1.7321980000000001E-2</v>
      </c>
      <c r="X4527">
        <v>0.96930090000000002</v>
      </c>
      <c r="Y4527">
        <v>-0.43116490000000002</v>
      </c>
      <c r="Z4527">
        <v>0.109831</v>
      </c>
      <c r="AA4527">
        <v>0.89556349999999996</v>
      </c>
      <c r="AB4527">
        <v>29</v>
      </c>
      <c r="AC4527">
        <v>8.2706999999999695</v>
      </c>
      <c r="AD4527">
        <v>-1.1176918603120001</v>
      </c>
      <c r="AE4527">
        <v>-4.8677400000000004</v>
      </c>
      <c r="AF4527">
        <v>-4.1910660494961496</v>
      </c>
      <c r="AG4527">
        <v>-1.1176918603120001</v>
      </c>
      <c r="AH4527">
        <v>8.4903354592943394</v>
      </c>
      <c r="AI4527">
        <v>96.732283875652101</v>
      </c>
      <c r="AJ4527">
        <v>116.272229576876</v>
      </c>
      <c r="AK4527">
        <v>9.5341526071905296</v>
      </c>
      <c r="AL4527">
        <v>89.007474009673004</v>
      </c>
      <c r="AM4527">
        <v>104.19976476241401</v>
      </c>
      <c r="AN4527">
        <v>0.99999999540374496</v>
      </c>
    </row>
    <row r="4528" spans="1:40" x14ac:dyDescent="0.25">
      <c r="A4528" t="str">
        <f>"20190312151629729"</f>
        <v>20190312151629729</v>
      </c>
      <c r="B4528" t="str">
        <f>"1552374989722166"</f>
        <v>1552374989722166</v>
      </c>
      <c r="C4528" t="s">
        <v>40</v>
      </c>
      <c r="D4528">
        <v>4.26234</v>
      </c>
      <c r="E4528">
        <v>0.42165950000000002</v>
      </c>
      <c r="F4528" t="s">
        <v>41</v>
      </c>
      <c r="G4528">
        <v>-415.85489999999999</v>
      </c>
      <c r="H4528">
        <v>1.00179</v>
      </c>
      <c r="I4528">
        <v>28.909330000000001</v>
      </c>
      <c r="J4528">
        <v>-416.6422</v>
      </c>
      <c r="K4528">
        <v>1.1176870000000001</v>
      </c>
      <c r="L4528">
        <v>29.304349999999999</v>
      </c>
      <c r="M4528">
        <v>0.55264630000000003</v>
      </c>
      <c r="N4528">
        <v>0</v>
      </c>
      <c r="O4528">
        <v>-0.83329149999999996</v>
      </c>
      <c r="P4528">
        <v>0.73970539999999996</v>
      </c>
      <c r="Q4528">
        <v>8.0714359999999995E-3</v>
      </c>
      <c r="R4528">
        <v>-0.67288289999999995</v>
      </c>
      <c r="S4528">
        <v>2.6425779999999999</v>
      </c>
      <c r="T4528">
        <v>-0.35072449999999999</v>
      </c>
      <c r="U4528">
        <v>-1.5622860000000001</v>
      </c>
      <c r="V4528">
        <v>-0.2449297</v>
      </c>
      <c r="W4528">
        <v>1.7313390000000001E-2</v>
      </c>
      <c r="X4528">
        <v>0.96938630000000003</v>
      </c>
      <c r="Y4528">
        <v>-0.43015609999999999</v>
      </c>
      <c r="Z4528">
        <v>0.1089483</v>
      </c>
      <c r="AA4528">
        <v>0.89615630000000002</v>
      </c>
      <c r="AB4528">
        <v>29</v>
      </c>
      <c r="AC4528">
        <v>0.78730000000001599</v>
      </c>
      <c r="AD4528">
        <v>-0.115897</v>
      </c>
      <c r="AE4528">
        <v>-0.39502000000000198</v>
      </c>
      <c r="AF4528">
        <v>-0.43033938542528999</v>
      </c>
      <c r="AG4528">
        <v>-0.115897</v>
      </c>
      <c r="AH4528">
        <v>0.75133729155083095</v>
      </c>
      <c r="AI4528">
        <v>97.623903163116196</v>
      </c>
      <c r="AJ4528">
        <v>119.802553078797</v>
      </c>
      <c r="AK4528">
        <v>0.87357416796294696</v>
      </c>
      <c r="AL4528">
        <v>89.007966313388195</v>
      </c>
      <c r="AM4528">
        <v>104.179848320964</v>
      </c>
      <c r="AN4528">
        <v>1.00000005502153</v>
      </c>
    </row>
    <row r="4529" spans="1:40" x14ac:dyDescent="0.25">
      <c r="A4529" t="str">
        <f>"20190312151629740"</f>
        <v>20190312151629740</v>
      </c>
      <c r="B4529" t="str">
        <f>"1552374989732902"</f>
        <v>1552374989732902</v>
      </c>
      <c r="C4529" t="s">
        <v>40</v>
      </c>
      <c r="D4529">
        <v>4.2886240000000004</v>
      </c>
      <c r="E4529">
        <v>0.42222979999999999</v>
      </c>
      <c r="F4529" t="s">
        <v>64</v>
      </c>
      <c r="G4529">
        <v>-408.14769999999999</v>
      </c>
      <c r="H4529" s="1">
        <v>-2.9931490000000001E-6</v>
      </c>
      <c r="I4529">
        <v>24.331679999999999</v>
      </c>
      <c r="J4529">
        <v>-416.56040000000002</v>
      </c>
      <c r="K4529">
        <v>1.1176820000000001</v>
      </c>
      <c r="L4529">
        <v>29.190090000000001</v>
      </c>
      <c r="M4529">
        <v>0.55682390000000004</v>
      </c>
      <c r="N4529">
        <v>0</v>
      </c>
      <c r="O4529">
        <v>-0.83050569999999901</v>
      </c>
      <c r="P4529">
        <v>0.74298469999999905</v>
      </c>
      <c r="Q4529">
        <v>7.4617869999999897E-3</v>
      </c>
      <c r="R4529">
        <v>-0.66926680000000005</v>
      </c>
      <c r="S4529">
        <v>2.648895</v>
      </c>
      <c r="T4529">
        <v>-0.34853590000000001</v>
      </c>
      <c r="U4529">
        <v>-1.550659</v>
      </c>
      <c r="V4529">
        <v>-0.2447829</v>
      </c>
      <c r="W4529">
        <v>1.6708379999999998E-2</v>
      </c>
      <c r="X4529">
        <v>0.96943400000000002</v>
      </c>
      <c r="Y4529">
        <v>-0.4295773</v>
      </c>
      <c r="Z4529">
        <v>0.10806350000000001</v>
      </c>
      <c r="AA4529">
        <v>0.89654089999999997</v>
      </c>
      <c r="AB4529">
        <v>29</v>
      </c>
      <c r="AC4529">
        <v>8.4127000000000294</v>
      </c>
      <c r="AD4529">
        <v>-1.1176849931490001</v>
      </c>
      <c r="AE4529">
        <v>-4.8584100000000001</v>
      </c>
      <c r="AF4529">
        <v>-4.2260233200926196</v>
      </c>
      <c r="AG4529">
        <v>-1.1176849931490001</v>
      </c>
      <c r="AH4529">
        <v>8.6063174881473294</v>
      </c>
      <c r="AI4529">
        <v>96.649093975865796</v>
      </c>
      <c r="AJ4529">
        <v>116.152762506459</v>
      </c>
      <c r="AK4529">
        <v>9.6528334468521493</v>
      </c>
      <c r="AL4529">
        <v>89.042635852125898</v>
      </c>
      <c r="AM4529">
        <v>104.171022844326</v>
      </c>
      <c r="AN4529">
        <v>1.00000005922531</v>
      </c>
    </row>
    <row r="4530" spans="1:40" x14ac:dyDescent="0.25">
      <c r="A4530" t="str">
        <f>"20190312151629752"</f>
        <v>20190312151629752</v>
      </c>
      <c r="B4530" t="str">
        <f>"1552374989742662"</f>
        <v>1552374989742662</v>
      </c>
      <c r="C4530" t="s">
        <v>40</v>
      </c>
      <c r="D4530">
        <v>4.3224749999999998</v>
      </c>
      <c r="E4530">
        <v>0.422649</v>
      </c>
      <c r="F4530" t="s">
        <v>41</v>
      </c>
      <c r="G4530">
        <v>-415.7079</v>
      </c>
      <c r="H4530">
        <v>1.005131</v>
      </c>
      <c r="I4530">
        <v>28.694970000000001</v>
      </c>
      <c r="J4530">
        <v>-416.476</v>
      </c>
      <c r="K4530">
        <v>1.1176779999999999</v>
      </c>
      <c r="L4530">
        <v>29.072880000000001</v>
      </c>
      <c r="M4530">
        <v>0.56110499999999996</v>
      </c>
      <c r="N4530">
        <v>0</v>
      </c>
      <c r="O4530">
        <v>-0.82761929999999995</v>
      </c>
      <c r="P4530">
        <v>0.74620410000000004</v>
      </c>
      <c r="Q4530">
        <v>7.4585739999999999E-3</v>
      </c>
      <c r="R4530">
        <v>-0.66567509999999996</v>
      </c>
      <c r="S4530">
        <v>2.6532589999999998</v>
      </c>
      <c r="T4530">
        <v>-0.350302</v>
      </c>
      <c r="U4530">
        <v>-1.5409550000000001</v>
      </c>
      <c r="V4530">
        <v>-0.2444528</v>
      </c>
      <c r="W4530">
        <v>1.6715049999999999E-2</v>
      </c>
      <c r="X4530">
        <v>0.96951710000000002</v>
      </c>
      <c r="Y4530">
        <v>-0.42796659999999997</v>
      </c>
      <c r="Z4530">
        <v>0.1083688</v>
      </c>
      <c r="AA4530">
        <v>0.89727409999999996</v>
      </c>
      <c r="AB4530">
        <v>29</v>
      </c>
      <c r="AC4530">
        <v>0.768100000000004</v>
      </c>
      <c r="AD4530">
        <v>-0.11254699999999999</v>
      </c>
      <c r="AE4530">
        <v>-0.37790999999999603</v>
      </c>
      <c r="AF4530">
        <v>-0.416491808815316</v>
      </c>
      <c r="AG4530">
        <v>-0.11254699999999999</v>
      </c>
      <c r="AH4530">
        <v>0.73118844491198998</v>
      </c>
      <c r="AI4530">
        <v>97.617963660471304</v>
      </c>
      <c r="AJ4530">
        <v>119.66624554985</v>
      </c>
      <c r="AK4530">
        <v>0.84898103394131796</v>
      </c>
      <c r="AL4530">
        <v>89.042253565553295</v>
      </c>
      <c r="AM4530">
        <v>104.151516685605</v>
      </c>
      <c r="AN4530">
        <v>0.99999998575837601</v>
      </c>
    </row>
    <row r="4531" spans="1:40" x14ac:dyDescent="0.25">
      <c r="A4531" t="str">
        <f>"20190312151629764"</f>
        <v>20190312151629764</v>
      </c>
      <c r="B4531" t="str">
        <f>"1552374989752423"</f>
        <v>1552374989752423</v>
      </c>
      <c r="C4531" t="s">
        <v>40</v>
      </c>
      <c r="D4531">
        <v>4.2992379999999999</v>
      </c>
      <c r="E4531">
        <v>0.42309089999999999</v>
      </c>
      <c r="F4531" t="s">
        <v>64</v>
      </c>
      <c r="G4531">
        <v>-407.96780000000001</v>
      </c>
      <c r="H4531" s="1">
        <v>-3.0644759999999998E-6</v>
      </c>
      <c r="I4531">
        <v>24.173549999999999</v>
      </c>
      <c r="J4531">
        <v>-416.39049999999997</v>
      </c>
      <c r="K4531">
        <v>1.1176779999999999</v>
      </c>
      <c r="L4531">
        <v>28.95627</v>
      </c>
      <c r="M4531">
        <v>0.56538429999999995</v>
      </c>
      <c r="N4531">
        <v>0</v>
      </c>
      <c r="O4531">
        <v>-0.82470169999999998</v>
      </c>
      <c r="P4531">
        <v>0.74952209999999997</v>
      </c>
      <c r="Q4531">
        <v>7.28692199999999E-3</v>
      </c>
      <c r="R4531">
        <v>-0.66193939999999996</v>
      </c>
      <c r="S4531">
        <v>2.6582949999999999</v>
      </c>
      <c r="T4531">
        <v>-0.3492053</v>
      </c>
      <c r="U4531">
        <v>-1.5307309999999901</v>
      </c>
      <c r="V4531">
        <v>-0.24427270000000001</v>
      </c>
      <c r="W4531">
        <v>1.654866E-2</v>
      </c>
      <c r="X4531">
        <v>0.96956540000000002</v>
      </c>
      <c r="Y4531">
        <v>-0.42666949999999998</v>
      </c>
      <c r="Z4531">
        <v>0.1077912</v>
      </c>
      <c r="AA4531">
        <v>0.89796109999999896</v>
      </c>
      <c r="AB4531">
        <v>29</v>
      </c>
      <c r="AC4531">
        <v>8.4226999999999599</v>
      </c>
      <c r="AD4531">
        <v>-1.117681064476</v>
      </c>
      <c r="AE4531">
        <v>-4.7827200000000003</v>
      </c>
      <c r="AF4531">
        <v>-4.1868310644889304</v>
      </c>
      <c r="AG4531">
        <v>-1.117681064476</v>
      </c>
      <c r="AH4531">
        <v>8.59286563241516</v>
      </c>
      <c r="AI4531">
        <v>96.669272023186096</v>
      </c>
      <c r="AJ4531">
        <v>115.977428829668</v>
      </c>
      <c r="AK4531">
        <v>9.62372615472818</v>
      </c>
      <c r="AL4531">
        <v>89.051788378352896</v>
      </c>
      <c r="AM4531">
        <v>104.140832817305</v>
      </c>
      <c r="AN4531">
        <v>1.0000000374951199</v>
      </c>
    </row>
    <row r="4532" spans="1:40" x14ac:dyDescent="0.25">
      <c r="A4532" t="str">
        <f>"20190312151629778"</f>
        <v>20190312151629778</v>
      </c>
      <c r="B4532" t="str">
        <f>"1552374989772919"</f>
        <v>1552374989772919</v>
      </c>
      <c r="C4532" t="s">
        <v>40</v>
      </c>
      <c r="D4532">
        <v>4.3069379999999997</v>
      </c>
      <c r="E4532">
        <v>0.42378640000000001</v>
      </c>
      <c r="F4532" t="s">
        <v>41</v>
      </c>
      <c r="G4532">
        <v>-415.50490000000002</v>
      </c>
      <c r="H4532">
        <v>1.0026790000000001</v>
      </c>
      <c r="I4532">
        <v>28.450530000000001</v>
      </c>
      <c r="J4532">
        <v>-416.28530000000001</v>
      </c>
      <c r="K4532">
        <v>1.1176809999999999</v>
      </c>
      <c r="L4532">
        <v>28.81381</v>
      </c>
      <c r="M4532">
        <v>0.57060759999999999</v>
      </c>
      <c r="N4532">
        <v>0</v>
      </c>
      <c r="O4532">
        <v>-0.82109669999999901</v>
      </c>
      <c r="P4532">
        <v>0.75370369999999998</v>
      </c>
      <c r="Q4532">
        <v>7.4778350000000004E-3</v>
      </c>
      <c r="R4532">
        <v>-0.65717209999999904</v>
      </c>
      <c r="S4532">
        <v>2.6634220000000002</v>
      </c>
      <c r="T4532">
        <v>-0.3457479</v>
      </c>
      <c r="U4532">
        <v>-1.520111</v>
      </c>
      <c r="V4532">
        <v>-0.2442705</v>
      </c>
      <c r="W4532">
        <v>1.674032E-2</v>
      </c>
      <c r="X4532">
        <v>0.96956260000000005</v>
      </c>
      <c r="Y4532">
        <v>-0.42451699999999998</v>
      </c>
      <c r="Z4532">
        <v>0.1064117</v>
      </c>
      <c r="AA4532">
        <v>0.89914509999999903</v>
      </c>
      <c r="AB4532">
        <v>29</v>
      </c>
      <c r="AC4532">
        <v>0.78039999999998599</v>
      </c>
      <c r="AD4532">
        <v>-0.11500199999999899</v>
      </c>
      <c r="AE4532">
        <v>-0.363279999999996</v>
      </c>
      <c r="AF4532">
        <v>-0.42593624870345198</v>
      </c>
      <c r="AG4532">
        <v>-0.11500199999999899</v>
      </c>
      <c r="AH4532">
        <v>0.73062683941641204</v>
      </c>
      <c r="AI4532">
        <v>97.743678599409606</v>
      </c>
      <c r="AJ4532">
        <v>120.24106170989999</v>
      </c>
      <c r="AK4532">
        <v>0.85350027910902504</v>
      </c>
      <c r="AL4532">
        <v>89.040805488639094</v>
      </c>
      <c r="AM4532">
        <v>104.14074976811099</v>
      </c>
      <c r="AN4532">
        <v>0.99999997540135599</v>
      </c>
    </row>
    <row r="4533" spans="1:40" x14ac:dyDescent="0.25">
      <c r="A4533" t="str">
        <f>"20190312151629794"</f>
        <v>20190312151629794</v>
      </c>
      <c r="B4533" t="str">
        <f>"1552374989782679"</f>
        <v>1552374989782679</v>
      </c>
      <c r="C4533" t="s">
        <v>40</v>
      </c>
      <c r="D4533">
        <v>4.3097139999999996</v>
      </c>
      <c r="E4533">
        <v>0.42416189999999998</v>
      </c>
      <c r="F4533" t="s">
        <v>41</v>
      </c>
      <c r="G4533">
        <v>-415.39729999999997</v>
      </c>
      <c r="H4533">
        <v>1.0044310000000001</v>
      </c>
      <c r="I4533">
        <v>28.312290000000001</v>
      </c>
      <c r="J4533">
        <v>-416.1653</v>
      </c>
      <c r="K4533">
        <v>1.117683</v>
      </c>
      <c r="L4533">
        <v>28.653469999999999</v>
      </c>
      <c r="M4533">
        <v>0.57649740000000005</v>
      </c>
      <c r="N4533">
        <v>0</v>
      </c>
      <c r="O4533">
        <v>-0.81697209999999998</v>
      </c>
      <c r="P4533">
        <v>0.75833479999999998</v>
      </c>
      <c r="Q4533">
        <v>7.1212319999999999E-3</v>
      </c>
      <c r="R4533">
        <v>-0.65182689999999999</v>
      </c>
      <c r="S4533">
        <v>2.6695250000000001</v>
      </c>
      <c r="T4533">
        <v>-0.34039770000000003</v>
      </c>
      <c r="U4533">
        <v>-1.5072939999999999</v>
      </c>
      <c r="V4533">
        <v>-0.24414939999999999</v>
      </c>
      <c r="W4533">
        <v>1.6387510000000001E-2</v>
      </c>
      <c r="X4533">
        <v>0.96959910000000005</v>
      </c>
      <c r="Y4533">
        <v>-0.42236610000000002</v>
      </c>
      <c r="Z4533">
        <v>0.1044267</v>
      </c>
      <c r="AA4533">
        <v>0.90038989999999997</v>
      </c>
      <c r="AB4533">
        <v>29</v>
      </c>
      <c r="AC4533">
        <v>0.76800000000002899</v>
      </c>
      <c r="AD4533">
        <v>-0.11325200000000001</v>
      </c>
      <c r="AE4533">
        <v>-0.34118000000000098</v>
      </c>
      <c r="AF4533">
        <v>-0.42310570123254598</v>
      </c>
      <c r="AG4533">
        <v>-0.11325200000000001</v>
      </c>
      <c r="AH4533">
        <v>0.708688642881248</v>
      </c>
      <c r="AI4533">
        <v>97.8128448046578</v>
      </c>
      <c r="AJ4533">
        <v>120.838309007066</v>
      </c>
      <c r="AK4533">
        <v>0.83311706408424302</v>
      </c>
      <c r="AL4533">
        <v>89.061022760513694</v>
      </c>
      <c r="AM4533">
        <v>104.13350961054201</v>
      </c>
      <c r="AN4533">
        <v>0.99999994736258302</v>
      </c>
    </row>
    <row r="4534" spans="1:40" x14ac:dyDescent="0.25">
      <c r="A4534" t="str">
        <f>"20190312151629808"</f>
        <v>20190312151629808</v>
      </c>
      <c r="B4534" t="str">
        <f>"1552374989802199"</f>
        <v>1552374989802199</v>
      </c>
      <c r="C4534" t="s">
        <v>40</v>
      </c>
      <c r="D4534">
        <v>4.3003710000000002</v>
      </c>
      <c r="E4534">
        <v>0.42487150000000001</v>
      </c>
      <c r="F4534" t="s">
        <v>41</v>
      </c>
      <c r="G4534">
        <v>-415.22800000000001</v>
      </c>
      <c r="H4534">
        <v>0.99898399999999998</v>
      </c>
      <c r="I4534">
        <v>28.131460000000001</v>
      </c>
      <c r="J4534">
        <v>-416.05470000000003</v>
      </c>
      <c r="K4534">
        <v>1.1176820000000001</v>
      </c>
      <c r="L4534">
        <v>28.508420000000001</v>
      </c>
      <c r="M4534">
        <v>0.58184669999999905</v>
      </c>
      <c r="N4534">
        <v>0</v>
      </c>
      <c r="O4534">
        <v>-0.81317079999999997</v>
      </c>
      <c r="P4534">
        <v>0.76265740000000004</v>
      </c>
      <c r="Q4534">
        <v>6.6712560000000004E-3</v>
      </c>
      <c r="R4534">
        <v>-0.64676829999999996</v>
      </c>
      <c r="S4534">
        <v>2.6778870000000001</v>
      </c>
      <c r="T4534">
        <v>-0.33905780000000002</v>
      </c>
      <c r="U4534">
        <v>-1.490723</v>
      </c>
      <c r="V4534">
        <v>-0.2442298</v>
      </c>
      <c r="W4534">
        <v>1.593553E-2</v>
      </c>
      <c r="X4534">
        <v>0.96958639999999996</v>
      </c>
      <c r="Y4534">
        <v>-0.42193239999999999</v>
      </c>
      <c r="Z4534">
        <v>0.1037448</v>
      </c>
      <c r="AA4534">
        <v>0.90067199999999903</v>
      </c>
      <c r="AB4534">
        <v>29</v>
      </c>
      <c r="AC4534">
        <v>0.82670000000001598</v>
      </c>
      <c r="AD4534">
        <v>-0.118698</v>
      </c>
      <c r="AE4534">
        <v>-0.37696000000000401</v>
      </c>
      <c r="AF4534">
        <v>-0.44536149178055701</v>
      </c>
      <c r="AG4534">
        <v>-0.118698</v>
      </c>
      <c r="AH4534">
        <v>0.77441057944032798</v>
      </c>
      <c r="AI4534">
        <v>97.568542501370501</v>
      </c>
      <c r="AJ4534">
        <v>119.90309458210101</v>
      </c>
      <c r="AK4534">
        <v>0.90119244288559597</v>
      </c>
      <c r="AL4534">
        <v>89.086922704293201</v>
      </c>
      <c r="AM4534">
        <v>104.138155017911</v>
      </c>
      <c r="AN4534">
        <v>0.99999996169468897</v>
      </c>
    </row>
    <row r="4535" spans="1:40" x14ac:dyDescent="0.25">
      <c r="A4535" t="str">
        <f>"20190312151629830"</f>
        <v>20190312151629830</v>
      </c>
      <c r="B4535" t="str">
        <f>"1552374989822774"</f>
        <v>1552374989822774</v>
      </c>
      <c r="C4535" t="s">
        <v>40</v>
      </c>
      <c r="D4535">
        <v>4.3218220000000001</v>
      </c>
      <c r="E4535">
        <v>0.42537390000000003</v>
      </c>
      <c r="F4535" t="s">
        <v>64</v>
      </c>
      <c r="G4535">
        <v>-407.15019999999998</v>
      </c>
      <c r="H4535" s="1">
        <v>-3.4223740000000002E-6</v>
      </c>
      <c r="I4535">
        <v>23.606819999999999</v>
      </c>
      <c r="J4535">
        <v>-415.88279999999997</v>
      </c>
      <c r="K4535">
        <v>1.117686</v>
      </c>
      <c r="L4535">
        <v>28.286190000000001</v>
      </c>
      <c r="M4535">
        <v>0.59005169999999996</v>
      </c>
      <c r="N4535">
        <v>0</v>
      </c>
      <c r="O4535">
        <v>-0.80723669999999903</v>
      </c>
      <c r="P4535">
        <v>0.76903379999999999</v>
      </c>
      <c r="Q4535">
        <v>6.3713210000000001E-3</v>
      </c>
      <c r="R4535">
        <v>-0.63917639999999998</v>
      </c>
      <c r="S4535">
        <v>2.6837770000000001</v>
      </c>
      <c r="T4535">
        <v>-0.33686660000000002</v>
      </c>
      <c r="U4535">
        <v>-1.477325</v>
      </c>
      <c r="V4535">
        <v>-0.24401819999999999</v>
      </c>
      <c r="W4535">
        <v>1.5640879999999999E-2</v>
      </c>
      <c r="X4535">
        <v>0.96964450000000002</v>
      </c>
      <c r="Y4535">
        <v>-0.41715059999999898</v>
      </c>
      <c r="Z4535">
        <v>0.1024982</v>
      </c>
      <c r="AA4535">
        <v>0.90303909999999998</v>
      </c>
      <c r="AB4535">
        <v>29</v>
      </c>
      <c r="AC4535">
        <v>8.7325999999999908</v>
      </c>
      <c r="AD4535">
        <v>-1.1176894223739999</v>
      </c>
      <c r="AE4535">
        <v>-4.6793699999999898</v>
      </c>
      <c r="AF4535">
        <v>-4.2347545147478298</v>
      </c>
      <c r="AG4535">
        <v>-1.1176894223739999</v>
      </c>
      <c r="AH4535">
        <v>8.8187358446986401</v>
      </c>
      <c r="AI4535">
        <v>96.517805567402206</v>
      </c>
      <c r="AJ4535">
        <v>115.65030558474901</v>
      </c>
      <c r="AK4535">
        <v>9.8464449088814092</v>
      </c>
      <c r="AL4535">
        <v>89.103807034244596</v>
      </c>
      <c r="AM4535">
        <v>104.125583811504</v>
      </c>
      <c r="AN4535">
        <v>0.99999998771933196</v>
      </c>
    </row>
    <row r="4536" spans="1:40" x14ac:dyDescent="0.25">
      <c r="A4536" t="str">
        <f>"20190312151629842"</f>
        <v>20190312151629842</v>
      </c>
      <c r="B4536" t="str">
        <f>"1552374989832535"</f>
        <v>1552374989832535</v>
      </c>
      <c r="C4536" t="s">
        <v>40</v>
      </c>
      <c r="D4536">
        <v>4.308103</v>
      </c>
      <c r="E4536">
        <v>0.42578379999999999</v>
      </c>
      <c r="F4536" t="s">
        <v>64</v>
      </c>
      <c r="G4536">
        <v>-406.89710000000002</v>
      </c>
      <c r="H4536" s="1">
        <v>-3.5356059999999998E-6</v>
      </c>
      <c r="I4536">
        <v>23.442299999999999</v>
      </c>
      <c r="J4536">
        <v>-415.78550000000001</v>
      </c>
      <c r="K4536">
        <v>1.117693</v>
      </c>
      <c r="L4536">
        <v>28.162929999999999</v>
      </c>
      <c r="M4536">
        <v>0.59462169999999903</v>
      </c>
      <c r="N4536">
        <v>0</v>
      </c>
      <c r="O4536">
        <v>-0.80387649999999999</v>
      </c>
      <c r="P4536">
        <v>0.77264769999999905</v>
      </c>
      <c r="Q4536">
        <v>6.2097619999999997E-3</v>
      </c>
      <c r="R4536">
        <v>-0.63480479999999995</v>
      </c>
      <c r="S4536">
        <v>2.6958920000000002</v>
      </c>
      <c r="T4536">
        <v>-0.33533170000000001</v>
      </c>
      <c r="U4536">
        <v>-1.4532780000000001</v>
      </c>
      <c r="V4536">
        <v>-0.2440147</v>
      </c>
      <c r="W4536">
        <v>1.547925E-2</v>
      </c>
      <c r="X4536">
        <v>0.96964799999999995</v>
      </c>
      <c r="Y4536">
        <v>-0.41998750000000001</v>
      </c>
      <c r="Z4536">
        <v>0.10191509999999999</v>
      </c>
      <c r="AA4536">
        <v>0.90178919999999996</v>
      </c>
      <c r="AB4536">
        <v>29</v>
      </c>
      <c r="AC4536">
        <v>8.8883999999999901</v>
      </c>
      <c r="AD4536">
        <v>-1.117696535606</v>
      </c>
      <c r="AE4536">
        <v>-4.7206299999999999</v>
      </c>
      <c r="AF4536">
        <v>-4.2857781683045699</v>
      </c>
      <c r="AG4536">
        <v>-1.117696535606</v>
      </c>
      <c r="AH4536">
        <v>8.9703450911914793</v>
      </c>
      <c r="AI4536">
        <v>96.414626075790395</v>
      </c>
      <c r="AJ4536">
        <v>115.53715682856701</v>
      </c>
      <c r="AK4536">
        <v>10.004210668947501</v>
      </c>
      <c r="AL4536">
        <v>89.113068894433297</v>
      </c>
      <c r="AM4536">
        <v>104.125340370435</v>
      </c>
      <c r="AN4536">
        <v>1.0000000124503201</v>
      </c>
    </row>
    <row r="4537" spans="1:40" x14ac:dyDescent="0.25">
      <c r="A4537" t="str">
        <f>"20190312151629854"</f>
        <v>20190312151629854</v>
      </c>
      <c r="B4537" t="str">
        <f>"1552374989842295"</f>
        <v>1552374989842295</v>
      </c>
      <c r="C4537" t="s">
        <v>40</v>
      </c>
      <c r="D4537">
        <v>4.3148720000000003</v>
      </c>
      <c r="E4537">
        <v>0.42578379999999999</v>
      </c>
      <c r="F4537" t="s">
        <v>41</v>
      </c>
      <c r="G4537">
        <v>-414.86750000000001</v>
      </c>
      <c r="H4537">
        <v>1.0036969999999901</v>
      </c>
      <c r="I4537">
        <v>27.673349999999999</v>
      </c>
      <c r="J4537">
        <v>-415.69709999999998</v>
      </c>
      <c r="K4537">
        <v>1.117696</v>
      </c>
      <c r="L4537">
        <v>28.05142</v>
      </c>
      <c r="M4537">
        <v>0.59875009999999995</v>
      </c>
      <c r="N4537">
        <v>0</v>
      </c>
      <c r="O4537">
        <v>-0.80080620000000002</v>
      </c>
      <c r="P4537">
        <v>0.77580669999999996</v>
      </c>
      <c r="Q4537">
        <v>6.1836319999999997E-3</v>
      </c>
      <c r="R4537">
        <v>-0.63094059999999996</v>
      </c>
      <c r="S4537">
        <v>2.7021790000000001</v>
      </c>
      <c r="T4537">
        <v>-0.33547059999999901</v>
      </c>
      <c r="U4537">
        <v>-1.440277</v>
      </c>
      <c r="V4537">
        <v>-0.243865</v>
      </c>
      <c r="W4537">
        <v>1.545589E-2</v>
      </c>
      <c r="X4537">
        <v>0.96968600000000005</v>
      </c>
      <c r="Y4537">
        <v>-0.41958139999999999</v>
      </c>
      <c r="Z4537">
        <v>0.1017274</v>
      </c>
      <c r="AA4537">
        <v>0.90199940000000001</v>
      </c>
      <c r="AB4537">
        <v>29</v>
      </c>
      <c r="AC4537">
        <v>0.82959999999997003</v>
      </c>
      <c r="AD4537">
        <v>-0.113999</v>
      </c>
      <c r="AE4537">
        <v>-0.37807000000000102</v>
      </c>
      <c r="AF4537">
        <v>-0.43128158967171099</v>
      </c>
      <c r="AG4537">
        <v>-0.113999</v>
      </c>
      <c r="AH4537">
        <v>0.78725780496263398</v>
      </c>
      <c r="AI4537">
        <v>97.237642923077601</v>
      </c>
      <c r="AJ4537">
        <v>118.715146211562</v>
      </c>
      <c r="AK4537">
        <v>0.90486155463990403</v>
      </c>
      <c r="AL4537">
        <v>89.114407455822302</v>
      </c>
      <c r="AM4537">
        <v>104.11649013080201</v>
      </c>
      <c r="AN4537">
        <v>0.99999998067834595</v>
      </c>
    </row>
    <row r="4538" spans="1:40" x14ac:dyDescent="0.25">
      <c r="A4538" t="str">
        <f>"20190312151629864"</f>
        <v>20190312151629864</v>
      </c>
      <c r="B4538" t="str">
        <f>"1552374989853030"</f>
        <v>1552374989853030</v>
      </c>
      <c r="C4538" t="s">
        <v>40</v>
      </c>
      <c r="D4538">
        <v>4.3368200000000003</v>
      </c>
      <c r="E4538">
        <v>0.43165979999999998</v>
      </c>
      <c r="F4538" t="s">
        <v>41</v>
      </c>
      <c r="G4538">
        <v>-414.75170000000003</v>
      </c>
      <c r="H4538">
        <v>1.0006630000000001</v>
      </c>
      <c r="I4538">
        <v>27.553550000000001</v>
      </c>
      <c r="J4538">
        <v>-415.60579999999999</v>
      </c>
      <c r="K4538">
        <v>1.117699</v>
      </c>
      <c r="L4538">
        <v>27.938389999999998</v>
      </c>
      <c r="M4538">
        <v>0.60295889999999996</v>
      </c>
      <c r="N4538">
        <v>0</v>
      </c>
      <c r="O4538">
        <v>-0.79764209999999902</v>
      </c>
      <c r="P4538">
        <v>0.77915259999999997</v>
      </c>
      <c r="Q4538">
        <v>6.2475200000000003E-3</v>
      </c>
      <c r="R4538">
        <v>-0.62680369999999996</v>
      </c>
      <c r="S4538">
        <v>2.7091980000000002</v>
      </c>
      <c r="T4538">
        <v>-0.3354067</v>
      </c>
      <c r="U4538">
        <v>-1.4268799999999999</v>
      </c>
      <c r="V4538">
        <v>-0.24391930000000001</v>
      </c>
      <c r="W4538">
        <v>1.551834E-2</v>
      </c>
      <c r="X4538">
        <v>0.96967139999999996</v>
      </c>
      <c r="Y4538">
        <v>-0.41928029999999999</v>
      </c>
      <c r="Z4538">
        <v>0.1014568</v>
      </c>
      <c r="AA4538">
        <v>0.90216989999999997</v>
      </c>
      <c r="AB4538">
        <v>29</v>
      </c>
      <c r="AC4538">
        <v>0.854099999999959</v>
      </c>
      <c r="AD4538">
        <v>-0.117036</v>
      </c>
      <c r="AE4538">
        <v>-0.38484000000000002</v>
      </c>
      <c r="AF4538">
        <v>-0.44236560791250801</v>
      </c>
      <c r="AG4538">
        <v>-0.117036</v>
      </c>
      <c r="AH4538">
        <v>0.809403935920745</v>
      </c>
      <c r="AI4538">
        <v>97.231164733199705</v>
      </c>
      <c r="AJ4538">
        <v>118.65804109333401</v>
      </c>
      <c r="AK4538">
        <v>0.92979540106616798</v>
      </c>
      <c r="AL4538">
        <v>89.110828952449495</v>
      </c>
      <c r="AM4538">
        <v>104.119711750121</v>
      </c>
      <c r="AN4538">
        <v>1.0000000338834001</v>
      </c>
    </row>
    <row r="4539" spans="1:40" x14ac:dyDescent="0.25">
      <c r="A4539" t="str">
        <f>"20190312151629876"</f>
        <v>20190312151629876</v>
      </c>
      <c r="B4539" t="str">
        <f>"1552374989872550"</f>
        <v>1552374989872550</v>
      </c>
      <c r="C4539" t="s">
        <v>40</v>
      </c>
      <c r="D4539">
        <v>4.3537089999999896</v>
      </c>
      <c r="E4539">
        <v>0.43231419999999998</v>
      </c>
      <c r="F4539" t="s">
        <v>64</v>
      </c>
      <c r="G4539">
        <v>-406.4212</v>
      </c>
      <c r="H4539" s="1">
        <v>-3.696167E-6</v>
      </c>
      <c r="I4539">
        <v>22.985790000000001</v>
      </c>
      <c r="J4539">
        <v>-415.51729999999998</v>
      </c>
      <c r="K4539">
        <v>1.1176999999999999</v>
      </c>
      <c r="L4539">
        <v>27.829280000000001</v>
      </c>
      <c r="M4539">
        <v>0.60701740000000004</v>
      </c>
      <c r="N4539">
        <v>0</v>
      </c>
      <c r="O4539">
        <v>-0.79455769999999903</v>
      </c>
      <c r="P4539">
        <v>0.78251179999999998</v>
      </c>
      <c r="Q4539">
        <v>6.0430229999999998E-3</v>
      </c>
      <c r="R4539">
        <v>-0.62260649999999995</v>
      </c>
      <c r="S4539">
        <v>2.6872560000000001</v>
      </c>
      <c r="T4539">
        <v>-0.3270189</v>
      </c>
      <c r="U4539">
        <v>-1.449036</v>
      </c>
      <c r="V4539">
        <v>-0.24418500000000001</v>
      </c>
      <c r="W4539">
        <v>1.530713E-2</v>
      </c>
      <c r="X4539">
        <v>0.96960780000000002</v>
      </c>
      <c r="Y4539">
        <v>-0.40609200000000001</v>
      </c>
      <c r="Z4539">
        <v>9.8502560000000003E-2</v>
      </c>
      <c r="AA4539">
        <v>0.90850779999999998</v>
      </c>
      <c r="AB4539">
        <v>29</v>
      </c>
      <c r="AC4539">
        <v>9.0960999999999803</v>
      </c>
      <c r="AD4539">
        <v>-1.1177036961669999</v>
      </c>
      <c r="AE4539">
        <v>-4.8434899999999903</v>
      </c>
      <c r="AF4539">
        <v>-4.2378871636917701</v>
      </c>
      <c r="AG4539">
        <v>-1.1177036961669999</v>
      </c>
      <c r="AH4539">
        <v>9.2619450088648207</v>
      </c>
      <c r="AI4539">
        <v>96.262317123623205</v>
      </c>
      <c r="AJ4539">
        <v>114.586894433753</v>
      </c>
      <c r="AK4539">
        <v>10.246588432831899</v>
      </c>
      <c r="AL4539">
        <v>89.122931761323898</v>
      </c>
      <c r="AM4539">
        <v>104.13536609567799</v>
      </c>
      <c r="AN4539">
        <v>0.999999954137337</v>
      </c>
    </row>
    <row r="4540" spans="1:40" x14ac:dyDescent="0.25">
      <c r="A4540" t="str">
        <f>"20190312151629887"</f>
        <v>20190312151629887</v>
      </c>
      <c r="B4540" t="str">
        <f>"1552374989882311"</f>
        <v>1552374989882311</v>
      </c>
      <c r="C4540" t="s">
        <v>40</v>
      </c>
      <c r="D4540">
        <v>4.334943</v>
      </c>
      <c r="E4540">
        <v>0.43274459999999998</v>
      </c>
      <c r="F4540" t="s">
        <v>41</v>
      </c>
      <c r="G4540">
        <v>-414.57470000000001</v>
      </c>
      <c r="H4540">
        <v>1.0015879999999999</v>
      </c>
      <c r="I4540">
        <v>27.325220000000002</v>
      </c>
      <c r="J4540">
        <v>-415.42469999999997</v>
      </c>
      <c r="K4540">
        <v>1.1177010000000001</v>
      </c>
      <c r="L4540">
        <v>27.716740000000001</v>
      </c>
      <c r="M4540">
        <v>0.61121610000000004</v>
      </c>
      <c r="N4540">
        <v>0</v>
      </c>
      <c r="O4540">
        <v>-0.79133240000000005</v>
      </c>
      <c r="P4540">
        <v>0.78571979999999997</v>
      </c>
      <c r="Q4540">
        <v>6.0199559999999999E-3</v>
      </c>
      <c r="R4540">
        <v>-0.61855319999999903</v>
      </c>
      <c r="S4540">
        <v>2.6915279999999999</v>
      </c>
      <c r="T4540">
        <v>-0.33150970000000002</v>
      </c>
      <c r="U4540">
        <v>-1.438812</v>
      </c>
      <c r="V4540">
        <v>-0.24406310000000001</v>
      </c>
      <c r="W4540">
        <v>1.528711E-2</v>
      </c>
      <c r="X4540">
        <v>0.96963889999999997</v>
      </c>
      <c r="Y4540">
        <v>-0.40441329999999998</v>
      </c>
      <c r="Z4540">
        <v>9.9564120000000006E-2</v>
      </c>
      <c r="AA4540">
        <v>0.90914070000000002</v>
      </c>
      <c r="AB4540">
        <v>29</v>
      </c>
      <c r="AC4540">
        <v>0.84999999999996501</v>
      </c>
      <c r="AD4540">
        <v>-0.11611299999999999</v>
      </c>
      <c r="AE4540">
        <v>-0.39151999999999898</v>
      </c>
      <c r="AF4540">
        <v>-0.42680387738555398</v>
      </c>
      <c r="AG4540">
        <v>-0.11611299999999999</v>
      </c>
      <c r="AH4540">
        <v>0.81686719639130601</v>
      </c>
      <c r="AI4540">
        <v>97.180533452922802</v>
      </c>
      <c r="AJ4540">
        <v>117.58655896297699</v>
      </c>
      <c r="AK4540">
        <v>0.92893261061313603</v>
      </c>
      <c r="AL4540">
        <v>89.124079036229205</v>
      </c>
      <c r="AM4540">
        <v>104.12815721021801</v>
      </c>
      <c r="AN4540">
        <v>1.00000004445348</v>
      </c>
    </row>
    <row r="4541" spans="1:40" x14ac:dyDescent="0.25">
      <c r="A4541" t="str">
        <f>"20190312151629898"</f>
        <v>20190312151629898</v>
      </c>
      <c r="B4541" t="str">
        <f>"1552374989893047"</f>
        <v>1552374989893047</v>
      </c>
      <c r="C4541" t="s">
        <v>40</v>
      </c>
      <c r="D4541">
        <v>4.3322149999999997</v>
      </c>
      <c r="E4541">
        <v>0.43348490000000001</v>
      </c>
      <c r="F4541" t="s">
        <v>64</v>
      </c>
      <c r="G4541">
        <v>-406.37810000000002</v>
      </c>
      <c r="H4541" s="1">
        <v>-3.7076019999999999E-6</v>
      </c>
      <c r="I4541">
        <v>22.928270000000001</v>
      </c>
      <c r="J4541">
        <v>-415.33330000000001</v>
      </c>
      <c r="K4541">
        <v>1.1177029999999999</v>
      </c>
      <c r="L4541">
        <v>27.606870000000001</v>
      </c>
      <c r="M4541">
        <v>0.61531950000000002</v>
      </c>
      <c r="N4541">
        <v>0</v>
      </c>
      <c r="O4541">
        <v>-0.78814589999999995</v>
      </c>
      <c r="P4541">
        <v>0.78910449999999999</v>
      </c>
      <c r="Q4541">
        <v>5.9579999999999998E-3</v>
      </c>
      <c r="R4541">
        <v>-0.61423019999999995</v>
      </c>
      <c r="S4541">
        <v>2.69693</v>
      </c>
      <c r="T4541">
        <v>-0.33320620000000001</v>
      </c>
      <c r="U4541">
        <v>-1.42752099999999</v>
      </c>
      <c r="V4541">
        <v>-0.24434719999999999</v>
      </c>
      <c r="W4541">
        <v>1.521845E-2</v>
      </c>
      <c r="X4541">
        <v>0.9695684</v>
      </c>
      <c r="Y4541">
        <v>-0.40335379999999998</v>
      </c>
      <c r="Z4541">
        <v>9.9795510000000004E-2</v>
      </c>
      <c r="AA4541">
        <v>0.90958600000000001</v>
      </c>
      <c r="AB4541">
        <v>29</v>
      </c>
      <c r="AC4541">
        <v>8.9551999999999907</v>
      </c>
      <c r="AD4541">
        <v>-1.117706707602</v>
      </c>
      <c r="AE4541">
        <v>-4.6785999999999897</v>
      </c>
      <c r="AF4541">
        <v>-4.1290752244208999</v>
      </c>
      <c r="AG4541">
        <v>-1.117706707602</v>
      </c>
      <c r="AH4541">
        <v>9.0874767165462593</v>
      </c>
      <c r="AI4541">
        <v>96.389204120674904</v>
      </c>
      <c r="AJ4541">
        <v>114.43561458403801</v>
      </c>
      <c r="AK4541">
        <v>10.0439416349815</v>
      </c>
      <c r="AL4541">
        <v>89.128013399614403</v>
      </c>
      <c r="AM4541">
        <v>104.14493048969899</v>
      </c>
      <c r="AN4541">
        <v>1.0000000188233999</v>
      </c>
    </row>
    <row r="4542" spans="1:40" x14ac:dyDescent="0.25">
      <c r="A4542" t="str">
        <f>"20190312151629909"</f>
        <v>20190312151629909</v>
      </c>
      <c r="B4542" t="str">
        <f>"1552374989902806"</f>
        <v>1552374989902806</v>
      </c>
      <c r="C4542" t="s">
        <v>40</v>
      </c>
      <c r="D4542">
        <v>4.3342710000000002</v>
      </c>
      <c r="E4542">
        <v>0.43366209999999999</v>
      </c>
      <c r="F4542" t="s">
        <v>64</v>
      </c>
      <c r="G4542">
        <v>-406.41930000000002</v>
      </c>
      <c r="H4542" s="1">
        <v>-3.6870029999999999E-6</v>
      </c>
      <c r="I4542">
        <v>22.929130000000001</v>
      </c>
      <c r="J4542">
        <v>-415.2441</v>
      </c>
      <c r="K4542">
        <v>1.117704</v>
      </c>
      <c r="L4542">
        <v>27.50046</v>
      </c>
      <c r="M4542">
        <v>0.61929829999999997</v>
      </c>
      <c r="N4542">
        <v>0</v>
      </c>
      <c r="O4542">
        <v>-0.78502349999999999</v>
      </c>
      <c r="P4542">
        <v>0.79231890000000005</v>
      </c>
      <c r="Q4542">
        <v>6.1550190000000003E-3</v>
      </c>
      <c r="R4542">
        <v>-0.61007619999999996</v>
      </c>
      <c r="S4542">
        <v>2.70105</v>
      </c>
      <c r="T4542">
        <v>-0.33868009999999998</v>
      </c>
      <c r="U4542">
        <v>-1.417419</v>
      </c>
      <c r="V4542">
        <v>-0.24453920000000001</v>
      </c>
      <c r="W4542">
        <v>1.5411070000000001E-2</v>
      </c>
      <c r="X4542">
        <v>0.96951690000000001</v>
      </c>
      <c r="Y4542">
        <v>-0.40180500000000002</v>
      </c>
      <c r="Z4542">
        <v>0.1011442</v>
      </c>
      <c r="AA4542">
        <v>0.91012230000000005</v>
      </c>
      <c r="AB4542">
        <v>29</v>
      </c>
      <c r="AC4542">
        <v>8.8247999999999802</v>
      </c>
      <c r="AD4542">
        <v>-1.1177076870029901</v>
      </c>
      <c r="AE4542">
        <v>-4.5713299999999997</v>
      </c>
      <c r="AF4542">
        <v>-4.0459123555589898</v>
      </c>
      <c r="AG4542">
        <v>-1.1177076870029901</v>
      </c>
      <c r="AH4542">
        <v>8.9416340637795901</v>
      </c>
      <c r="AI4542">
        <v>96.497114587758801</v>
      </c>
      <c r="AJ4542">
        <v>114.345810125421</v>
      </c>
      <c r="AK4542">
        <v>9.8778285565702095</v>
      </c>
      <c r="AL4542">
        <v>89.116975749526702</v>
      </c>
      <c r="AM4542">
        <v>104.15632018265801</v>
      </c>
      <c r="AN4542">
        <v>0.99999997040039701</v>
      </c>
    </row>
    <row r="4543" spans="1:40" x14ac:dyDescent="0.25">
      <c r="A4543" t="str">
        <f>"20190312151629921"</f>
        <v>20190312151629921</v>
      </c>
      <c r="B4543" t="str">
        <f>"1552374989912566"</f>
        <v>1552374989912566</v>
      </c>
      <c r="C4543" t="s">
        <v>40</v>
      </c>
      <c r="D4543">
        <v>4.3531380000000004</v>
      </c>
      <c r="E4543">
        <v>0.43394569999999999</v>
      </c>
      <c r="F4543" t="s">
        <v>64</v>
      </c>
      <c r="G4543">
        <v>-406.31299999999999</v>
      </c>
      <c r="H4543" s="1">
        <v>-3.7296630000000001E-6</v>
      </c>
      <c r="I4543">
        <v>22.868230000000001</v>
      </c>
      <c r="J4543">
        <v>-415.15199999999999</v>
      </c>
      <c r="K4543">
        <v>1.1177010000000001</v>
      </c>
      <c r="L4543">
        <v>27.392150000000001</v>
      </c>
      <c r="M4543">
        <v>0.62336080000000005</v>
      </c>
      <c r="N4543">
        <v>0</v>
      </c>
      <c r="O4543">
        <v>-0.78180150000000004</v>
      </c>
      <c r="P4543">
        <v>0.79553099999999999</v>
      </c>
      <c r="Q4543">
        <v>6.1896659999999999E-3</v>
      </c>
      <c r="R4543">
        <v>-0.60588160000000002</v>
      </c>
      <c r="S4543">
        <v>2.7076419999999999</v>
      </c>
      <c r="T4543">
        <v>-0.33885660000000001</v>
      </c>
      <c r="U4543">
        <v>-1.404358</v>
      </c>
      <c r="V4543">
        <v>-0.2446344</v>
      </c>
      <c r="W4543">
        <v>1.5443490000000001E-2</v>
      </c>
      <c r="X4543">
        <v>0.96949240000000003</v>
      </c>
      <c r="Y4543">
        <v>-0.40143760000000001</v>
      </c>
      <c r="Z4543">
        <v>0.10092810000000001</v>
      </c>
      <c r="AA4543">
        <v>0.91030840000000002</v>
      </c>
      <c r="AB4543">
        <v>29</v>
      </c>
      <c r="AC4543">
        <v>8.83899999999994</v>
      </c>
      <c r="AD4543">
        <v>-1.1177047296630001</v>
      </c>
      <c r="AE4543">
        <v>-4.5239199999999897</v>
      </c>
      <c r="AF4543">
        <v>-4.0395495676914601</v>
      </c>
      <c r="AG4543">
        <v>-1.1177047296630001</v>
      </c>
      <c r="AH4543">
        <v>8.9344268177234198</v>
      </c>
      <c r="AI4543">
        <v>96.503134164308406</v>
      </c>
      <c r="AJ4543">
        <v>114.32929762433</v>
      </c>
      <c r="AK4543">
        <v>9.8686983505324903</v>
      </c>
      <c r="AL4543">
        <v>89.115118027489402</v>
      </c>
      <c r="AM4543">
        <v>104.161953080893</v>
      </c>
      <c r="AN4543">
        <v>1.00000000235225</v>
      </c>
    </row>
    <row r="4544" spans="1:40" x14ac:dyDescent="0.25">
      <c r="A4544" t="str">
        <f>"20190312151629932"</f>
        <v>20190312151629932</v>
      </c>
      <c r="B4544" t="str">
        <f>"1552374989922326"</f>
        <v>1552374989922326</v>
      </c>
      <c r="C4544" t="s">
        <v>40</v>
      </c>
      <c r="D4544">
        <v>4.3892249999999997</v>
      </c>
      <c r="E4544">
        <v>0.43406040000000001</v>
      </c>
      <c r="F4544" t="s">
        <v>64</v>
      </c>
      <c r="G4544">
        <v>-406.21550000000002</v>
      </c>
      <c r="H4544" s="1">
        <v>-3.768086E-6</v>
      </c>
      <c r="I4544">
        <v>22.80827</v>
      </c>
      <c r="J4544">
        <v>-415.06060000000002</v>
      </c>
      <c r="K4544">
        <v>1.1176999999999999</v>
      </c>
      <c r="L4544">
        <v>27.28519</v>
      </c>
      <c r="M4544">
        <v>0.62736519999999996</v>
      </c>
      <c r="N4544">
        <v>0</v>
      </c>
      <c r="O4544">
        <v>-0.77859179999999995</v>
      </c>
      <c r="P4544">
        <v>0.79871139999999996</v>
      </c>
      <c r="Q4544">
        <v>6.0305469999999998E-3</v>
      </c>
      <c r="R4544">
        <v>-0.60168449999999996</v>
      </c>
      <c r="S4544">
        <v>2.7135929999999999</v>
      </c>
      <c r="T4544">
        <v>-0.33939399999999997</v>
      </c>
      <c r="U4544">
        <v>-1.391907</v>
      </c>
      <c r="V4544">
        <v>-0.2447616</v>
      </c>
      <c r="W4544">
        <v>1.528234E-2</v>
      </c>
      <c r="X4544">
        <v>0.96946279999999996</v>
      </c>
      <c r="Y4544">
        <v>-0.40085789999999999</v>
      </c>
      <c r="Z4544">
        <v>0.10081660000000001</v>
      </c>
      <c r="AA4544">
        <v>0.91057619999999895</v>
      </c>
      <c r="AB4544">
        <v>29</v>
      </c>
      <c r="AC4544">
        <v>8.8451000000000004</v>
      </c>
      <c r="AD4544">
        <v>-1.11770376808599</v>
      </c>
      <c r="AE4544">
        <v>-4.4769199999999998</v>
      </c>
      <c r="AF4544">
        <v>-4.0272895094291696</v>
      </c>
      <c r="AG4544">
        <v>-1.11770376808599</v>
      </c>
      <c r="AH4544">
        <v>8.9223241030730307</v>
      </c>
      <c r="AI4544">
        <v>96.513717111697503</v>
      </c>
      <c r="AJ4544">
        <v>114.293095645655</v>
      </c>
      <c r="AK4544">
        <v>9.8527249990157504</v>
      </c>
      <c r="AL4544">
        <v>89.124352291264003</v>
      </c>
      <c r="AM4544">
        <v>104.169435419263</v>
      </c>
      <c r="AN4544">
        <v>0.99999995566713595</v>
      </c>
    </row>
    <row r="4545" spans="1:40" x14ac:dyDescent="0.25">
      <c r="A4545" t="str">
        <f>"20190312151629944"</f>
        <v>20190312151629944</v>
      </c>
      <c r="B4545" t="str">
        <f>"1552374989942823"</f>
        <v>1552374989942823</v>
      </c>
      <c r="C4545" t="s">
        <v>40</v>
      </c>
      <c r="D4545">
        <v>4.3540089999999996</v>
      </c>
      <c r="E4545">
        <v>0.4346353</v>
      </c>
      <c r="F4545" t="s">
        <v>64</v>
      </c>
      <c r="G4545">
        <v>-406.06319999999999</v>
      </c>
      <c r="H4545" s="1">
        <v>-3.8300869999999901E-6</v>
      </c>
      <c r="I4545">
        <v>22.72607</v>
      </c>
      <c r="J4545">
        <v>-414.96140000000003</v>
      </c>
      <c r="K4545">
        <v>1.1176980000000001</v>
      </c>
      <c r="L4545">
        <v>27.171140000000001</v>
      </c>
      <c r="M4545">
        <v>0.63165539999999998</v>
      </c>
      <c r="N4545">
        <v>0</v>
      </c>
      <c r="O4545">
        <v>-0.77511529999999995</v>
      </c>
      <c r="P4545">
        <v>0.80213789999999996</v>
      </c>
      <c r="Q4545">
        <v>5.583261E-3</v>
      </c>
      <c r="R4545">
        <v>-0.597113</v>
      </c>
      <c r="S4545">
        <v>2.7202449999999998</v>
      </c>
      <c r="T4545">
        <v>-0.337922099999999</v>
      </c>
      <c r="U4545">
        <v>-1.378387</v>
      </c>
      <c r="V4545">
        <v>-0.24493799999999999</v>
      </c>
      <c r="W4545">
        <v>1.483225E-2</v>
      </c>
      <c r="X4545">
        <v>0.96942530000000005</v>
      </c>
      <c r="Y4545">
        <v>-0.40036959999999999</v>
      </c>
      <c r="Z4545">
        <v>0.1000881</v>
      </c>
      <c r="AA4545">
        <v>0.91087130000000005</v>
      </c>
      <c r="AB4545">
        <v>29</v>
      </c>
      <c r="AC4545">
        <v>8.8982000000000294</v>
      </c>
      <c r="AD4545">
        <v>-1.1177018300870001</v>
      </c>
      <c r="AE4545">
        <v>-4.4450700000000003</v>
      </c>
      <c r="AF4545">
        <v>-4.0388059158705802</v>
      </c>
      <c r="AG4545">
        <v>-1.1177018300870001</v>
      </c>
      <c r="AH4545">
        <v>8.9539198552627308</v>
      </c>
      <c r="AI4545">
        <v>96.491657149286198</v>
      </c>
      <c r="AJ4545">
        <v>114.278501578418</v>
      </c>
      <c r="AK4545">
        <v>9.8860452852249807</v>
      </c>
      <c r="AL4545">
        <v>89.150143525085994</v>
      </c>
      <c r="AM4545">
        <v>104.179761990922</v>
      </c>
      <c r="AN4545">
        <v>1.0000000158820701</v>
      </c>
    </row>
    <row r="4546" spans="1:40" x14ac:dyDescent="0.25">
      <c r="A4546" t="str">
        <f>"20190312151629957"</f>
        <v>20190312151629957</v>
      </c>
      <c r="B4546" t="str">
        <f>"1552374989952582"</f>
        <v>1552374989952582</v>
      </c>
      <c r="C4546" t="s">
        <v>40</v>
      </c>
      <c r="D4546">
        <v>4.40998</v>
      </c>
      <c r="E4546">
        <v>0.43510729999999997</v>
      </c>
      <c r="F4546" t="s">
        <v>64</v>
      </c>
      <c r="G4546">
        <v>-405.96609999999998</v>
      </c>
      <c r="H4546" s="1">
        <v>-3.8673500000000003E-6</v>
      </c>
      <c r="I4546">
        <v>22.660830000000001</v>
      </c>
      <c r="J4546">
        <v>-414.85930000000002</v>
      </c>
      <c r="K4546">
        <v>1.117696</v>
      </c>
      <c r="L4546">
        <v>27.054600000000001</v>
      </c>
      <c r="M4546">
        <v>0.63603549999999998</v>
      </c>
      <c r="N4546">
        <v>0</v>
      </c>
      <c r="O4546">
        <v>-0.77152509999999996</v>
      </c>
      <c r="P4546">
        <v>0.80552119999999905</v>
      </c>
      <c r="Q4546">
        <v>5.1177719999999996E-3</v>
      </c>
      <c r="R4546">
        <v>-0.59254510000000005</v>
      </c>
      <c r="S4546">
        <v>2.72525</v>
      </c>
      <c r="T4546">
        <v>-0.33862209999999998</v>
      </c>
      <c r="U4546">
        <v>-1.366455</v>
      </c>
      <c r="V4546">
        <v>-0.24494940000000001</v>
      </c>
      <c r="W4546">
        <v>1.436787E-2</v>
      </c>
      <c r="X4546">
        <v>0.9694294</v>
      </c>
      <c r="Y4546">
        <v>-0.39903749999999999</v>
      </c>
      <c r="Z4546">
        <v>9.9975540000000002E-2</v>
      </c>
      <c r="AA4546">
        <v>0.91146799999999994</v>
      </c>
      <c r="AB4546">
        <v>29</v>
      </c>
      <c r="AC4546">
        <v>8.8932000000000304</v>
      </c>
      <c r="AD4546">
        <v>-1.11769986735</v>
      </c>
      <c r="AE4546">
        <v>-4.39377</v>
      </c>
      <c r="AF4546">
        <v>-4.0161651833548904</v>
      </c>
      <c r="AG4546">
        <v>-1.11769986735</v>
      </c>
      <c r="AH4546">
        <v>8.9338078351905104</v>
      </c>
      <c r="AI4546">
        <v>96.509803732398893</v>
      </c>
      <c r="AJ4546">
        <v>114.206150387055</v>
      </c>
      <c r="AK4546">
        <v>9.8585880434054793</v>
      </c>
      <c r="AL4546">
        <v>89.176753364570601</v>
      </c>
      <c r="AM4546">
        <v>104.180337775984</v>
      </c>
      <c r="AN4546">
        <v>1.0000000029165199</v>
      </c>
    </row>
    <row r="4547" spans="1:40" x14ac:dyDescent="0.25">
      <c r="A4547" t="str">
        <f>"20190312151629969"</f>
        <v>20190312151629969</v>
      </c>
      <c r="B4547" t="str">
        <f>"1552374989962343"</f>
        <v>1552374989962343</v>
      </c>
      <c r="C4547" t="s">
        <v>40</v>
      </c>
      <c r="D4547">
        <v>4.3966059999999896</v>
      </c>
      <c r="E4547">
        <v>0.43558069999999999</v>
      </c>
      <c r="F4547" t="s">
        <v>41</v>
      </c>
      <c r="G4547">
        <v>-413.86509999999998</v>
      </c>
      <c r="H4547">
        <v>0.99370570000000003</v>
      </c>
      <c r="I4547">
        <v>26.561360000000001</v>
      </c>
      <c r="J4547">
        <v>-414.75279999999998</v>
      </c>
      <c r="K4547">
        <v>1.117693</v>
      </c>
      <c r="L4547">
        <v>26.934480000000001</v>
      </c>
      <c r="M4547">
        <v>0.64055530000000005</v>
      </c>
      <c r="N4547">
        <v>0</v>
      </c>
      <c r="O4547">
        <v>-0.76777669999999998</v>
      </c>
      <c r="P4547">
        <v>0.80892909999999996</v>
      </c>
      <c r="Q4547">
        <v>4.8000780000000002E-3</v>
      </c>
      <c r="R4547">
        <v>-0.58788680000000004</v>
      </c>
      <c r="S4547">
        <v>2.7305299999999999</v>
      </c>
      <c r="T4547">
        <v>-0.34047379999999999</v>
      </c>
      <c r="U4547">
        <v>-1.3538209999999999</v>
      </c>
      <c r="V4547">
        <v>-0.24484600000000001</v>
      </c>
      <c r="W4547">
        <v>1.405462E-2</v>
      </c>
      <c r="X4547">
        <v>0.96946010000000005</v>
      </c>
      <c r="Y4547">
        <v>-0.39770309999999998</v>
      </c>
      <c r="Z4547">
        <v>0.1001827</v>
      </c>
      <c r="AA4547">
        <v>0.91202830000000001</v>
      </c>
      <c r="AB4547">
        <v>29</v>
      </c>
      <c r="AC4547">
        <v>0.88769999999999505</v>
      </c>
      <c r="AD4547">
        <v>-0.12398729999999999</v>
      </c>
      <c r="AE4547">
        <v>-0.37312000000000001</v>
      </c>
      <c r="AF4547">
        <v>-0.43537908743614101</v>
      </c>
      <c r="AG4547">
        <v>-0.12398729999999999</v>
      </c>
      <c r="AH4547">
        <v>0.84123553735157397</v>
      </c>
      <c r="AI4547">
        <v>97.4573631267384</v>
      </c>
      <c r="AJ4547">
        <v>117.363697373535</v>
      </c>
      <c r="AK4547">
        <v>0.95530363217210101</v>
      </c>
      <c r="AL4547">
        <v>89.194703070395704</v>
      </c>
      <c r="AM4547">
        <v>104.17416239576301</v>
      </c>
      <c r="AN4547">
        <v>0.99999999077567703</v>
      </c>
    </row>
    <row r="4548" spans="1:40" x14ac:dyDescent="0.25">
      <c r="A4548" t="str">
        <f>"20190312151629988"</f>
        <v>20190312151629988</v>
      </c>
      <c r="B4548" t="str">
        <f>"1552374989982838"</f>
        <v>1552374989982838</v>
      </c>
      <c r="C4548" t="s">
        <v>40</v>
      </c>
      <c r="D4548">
        <v>4.3994150000000003</v>
      </c>
      <c r="E4548">
        <v>0.43623410000000001</v>
      </c>
      <c r="F4548" t="s">
        <v>64</v>
      </c>
      <c r="G4548">
        <v>-405.81990000000002</v>
      </c>
      <c r="H4548" s="1">
        <v>-3.9224849999999999E-6</v>
      </c>
      <c r="I4548">
        <v>22.557320000000001</v>
      </c>
      <c r="J4548">
        <v>-414.5992</v>
      </c>
      <c r="K4548">
        <v>1.1176790000000001</v>
      </c>
      <c r="L4548">
        <v>26.76389</v>
      </c>
      <c r="M4548">
        <v>0.64698789999999995</v>
      </c>
      <c r="N4548">
        <v>0</v>
      </c>
      <c r="O4548">
        <v>-0.76236380000000004</v>
      </c>
      <c r="P4548">
        <v>0.81356589999999995</v>
      </c>
      <c r="Q4548">
        <v>4.4760659999999999E-3</v>
      </c>
      <c r="R4548">
        <v>-0.58145579999999997</v>
      </c>
      <c r="S4548">
        <v>2.736237</v>
      </c>
      <c r="T4548">
        <v>-0.34235969999999999</v>
      </c>
      <c r="U4548">
        <v>-1.340759</v>
      </c>
      <c r="V4548">
        <v>-0.24437510000000001</v>
      </c>
      <c r="W4548">
        <v>1.37447E-2</v>
      </c>
      <c r="X4548">
        <v>0.96958339999999998</v>
      </c>
      <c r="Y4548">
        <v>-0.39423190000000002</v>
      </c>
      <c r="Z4548">
        <v>0.1001576</v>
      </c>
      <c r="AA4548">
        <v>0.91353689999999999</v>
      </c>
      <c r="AB4548">
        <v>29</v>
      </c>
      <c r="AC4548">
        <v>8.7792999999999708</v>
      </c>
      <c r="AD4548">
        <v>-1.117682922485</v>
      </c>
      <c r="AE4548">
        <v>-4.2065700000000001</v>
      </c>
      <c r="AF4548">
        <v>-3.9201608470275602</v>
      </c>
      <c r="AG4548">
        <v>-1.117682922485</v>
      </c>
      <c r="AH4548">
        <v>8.7723311215196809</v>
      </c>
      <c r="AI4548">
        <v>96.6350238162822</v>
      </c>
      <c r="AJ4548">
        <v>114.078811926437</v>
      </c>
      <c r="AK4548">
        <v>9.6731933448766192</v>
      </c>
      <c r="AL4548">
        <v>89.212461931335199</v>
      </c>
      <c r="AM4548">
        <v>104.146270676206</v>
      </c>
      <c r="AN4548">
        <v>1.0000000379168199</v>
      </c>
    </row>
    <row r="4549" spans="1:40" x14ac:dyDescent="0.25">
      <c r="A4549" t="str">
        <f>"20190312151630003"</f>
        <v>20190312151630003</v>
      </c>
      <c r="B4549" t="str">
        <f>"1552374989992599"</f>
        <v>1552374989992599</v>
      </c>
      <c r="C4549" t="s">
        <v>40</v>
      </c>
      <c r="D4549">
        <v>4.400334</v>
      </c>
      <c r="E4549">
        <v>0.43668760000000001</v>
      </c>
      <c r="F4549" t="s">
        <v>64</v>
      </c>
      <c r="G4549">
        <v>-405.82709999999997</v>
      </c>
      <c r="H4549" s="1">
        <v>-3.9146029999999996E-6</v>
      </c>
      <c r="I4549">
        <v>22.533290000000001</v>
      </c>
      <c r="J4549">
        <v>-414.47019999999998</v>
      </c>
      <c r="K4549">
        <v>1.1176740000000001</v>
      </c>
      <c r="L4549">
        <v>26.622890000000002</v>
      </c>
      <c r="M4549">
        <v>0.65231280000000003</v>
      </c>
      <c r="N4549">
        <v>0</v>
      </c>
      <c r="O4549">
        <v>-0.75781259999999995</v>
      </c>
      <c r="P4549">
        <v>0.81753160000000002</v>
      </c>
      <c r="Q4549">
        <v>4.3139880000000004E-3</v>
      </c>
      <c r="R4549">
        <v>-0.57586789999999999</v>
      </c>
      <c r="S4549">
        <v>2.7436829999999999</v>
      </c>
      <c r="T4549">
        <v>-0.34958030000000001</v>
      </c>
      <c r="U4549">
        <v>-1.3232120000000001</v>
      </c>
      <c r="V4549">
        <v>-0.24422350000000001</v>
      </c>
      <c r="W4549">
        <v>1.358879E-2</v>
      </c>
      <c r="X4549">
        <v>0.96962369999999998</v>
      </c>
      <c r="Y4549">
        <v>-0.39329049999999999</v>
      </c>
      <c r="Z4549">
        <v>0.1018511</v>
      </c>
      <c r="AA4549">
        <v>0.9137554</v>
      </c>
      <c r="AB4549">
        <v>29</v>
      </c>
      <c r="AC4549">
        <v>8.6431000000000004</v>
      </c>
      <c r="AD4549">
        <v>-1.117677914603</v>
      </c>
      <c r="AE4549">
        <v>-4.0895999999999999</v>
      </c>
      <c r="AF4549">
        <v>-3.8302223128204398</v>
      </c>
      <c r="AG4549">
        <v>-1.117677914603</v>
      </c>
      <c r="AH4549">
        <v>8.6202831957598693</v>
      </c>
      <c r="AI4549">
        <v>96.757300948418205</v>
      </c>
      <c r="AJ4549">
        <v>113.956857071014</v>
      </c>
      <c r="AK4549">
        <v>9.4988993710597196</v>
      </c>
      <c r="AL4549">
        <v>89.221395679084907</v>
      </c>
      <c r="AM4549">
        <v>104.137282889898</v>
      </c>
      <c r="AN4549">
        <v>0.99999994638379996</v>
      </c>
    </row>
    <row r="4550" spans="1:40" x14ac:dyDescent="0.25">
      <c r="A4550" t="str">
        <f>"20190312151630021"</f>
        <v>20190312151630021</v>
      </c>
      <c r="B4550" t="str">
        <f>"1552374990012119"</f>
        <v>1552374990012119</v>
      </c>
      <c r="C4550" t="s">
        <v>40</v>
      </c>
      <c r="D4550">
        <v>4.4122459999999997</v>
      </c>
      <c r="E4550">
        <v>0.43746770000000001</v>
      </c>
      <c r="F4550" t="s">
        <v>64</v>
      </c>
      <c r="G4550">
        <v>-405.6875</v>
      </c>
      <c r="H4550" s="1">
        <v>-3.9695599999999998E-6</v>
      </c>
      <c r="I4550">
        <v>22.44755</v>
      </c>
      <c r="J4550">
        <v>-414.31349999999998</v>
      </c>
      <c r="K4550">
        <v>1.1176699999999999</v>
      </c>
      <c r="L4550">
        <v>26.4541</v>
      </c>
      <c r="M4550">
        <v>0.65869219999999995</v>
      </c>
      <c r="N4550">
        <v>0</v>
      </c>
      <c r="O4550">
        <v>-0.752274199999999</v>
      </c>
      <c r="P4550">
        <v>0.82209149999999998</v>
      </c>
      <c r="Q4550">
        <v>4.247565E-3</v>
      </c>
      <c r="R4550">
        <v>-0.56933940000000005</v>
      </c>
      <c r="S4550">
        <v>2.750397</v>
      </c>
      <c r="T4550">
        <v>-0.35001369999999998</v>
      </c>
      <c r="U4550">
        <v>-1.3075559999999999</v>
      </c>
      <c r="V4550">
        <v>-0.2437511</v>
      </c>
      <c r="W4550">
        <v>1.3536339999999999E-2</v>
      </c>
      <c r="X4550">
        <v>0.96974340000000003</v>
      </c>
      <c r="Y4550">
        <v>-0.39065949999999999</v>
      </c>
      <c r="Z4550">
        <v>0.1014058</v>
      </c>
      <c r="AA4550">
        <v>0.91493279999999999</v>
      </c>
      <c r="AB4550">
        <v>29</v>
      </c>
      <c r="AC4550">
        <v>8.6259999999999692</v>
      </c>
      <c r="AD4550">
        <v>-1.11767396956</v>
      </c>
      <c r="AE4550">
        <v>-4.0065499999999998</v>
      </c>
      <c r="AF4550">
        <v>-3.79798709733375</v>
      </c>
      <c r="AG4550">
        <v>-1.11767396956</v>
      </c>
      <c r="AH4550">
        <v>8.5783470204349292</v>
      </c>
      <c r="AI4550">
        <v>96.793957420165398</v>
      </c>
      <c r="AJ4550">
        <v>113.880942765795</v>
      </c>
      <c r="AK4550">
        <v>9.4478536555532298</v>
      </c>
      <c r="AL4550">
        <v>89.224401197001498</v>
      </c>
      <c r="AM4550">
        <v>104.109358447541</v>
      </c>
      <c r="AN4550">
        <v>1.0000000465476799</v>
      </c>
    </row>
    <row r="4551" spans="1:40" x14ac:dyDescent="0.25">
      <c r="A4551" t="str">
        <f>"20190312151630037"</f>
        <v>20190312151630037</v>
      </c>
      <c r="B4551" t="str">
        <f>"1552374990032615"</f>
        <v>1552374990032615</v>
      </c>
      <c r="C4551" t="s">
        <v>40</v>
      </c>
      <c r="D4551">
        <v>4.4276419999999996</v>
      </c>
      <c r="E4551">
        <v>0.43826399999999999</v>
      </c>
      <c r="F4551" t="s">
        <v>64</v>
      </c>
      <c r="G4551">
        <v>-405.46449999999999</v>
      </c>
      <c r="H4551" s="1">
        <v>-4.0574899999999998E-6</v>
      </c>
      <c r="I4551">
        <v>22.311240000000002</v>
      </c>
      <c r="J4551">
        <v>-414.18329999999997</v>
      </c>
      <c r="K4551">
        <v>1.117667</v>
      </c>
      <c r="L4551">
        <v>26.316009999999999</v>
      </c>
      <c r="M4551">
        <v>0.6639178</v>
      </c>
      <c r="N4551">
        <v>0</v>
      </c>
      <c r="O4551">
        <v>-0.74766650000000001</v>
      </c>
      <c r="P4551">
        <v>0.82580699999999996</v>
      </c>
      <c r="Q4551">
        <v>4.2426649999999996E-3</v>
      </c>
      <c r="R4551">
        <v>-0.56393709999999997</v>
      </c>
      <c r="S4551">
        <v>2.7570800000000002</v>
      </c>
      <c r="T4551">
        <v>-0.3482362</v>
      </c>
      <c r="U4551">
        <v>-1.290802</v>
      </c>
      <c r="V4551">
        <v>-0.24335200000000001</v>
      </c>
      <c r="W4551">
        <v>1.3543019999999999E-2</v>
      </c>
      <c r="X4551">
        <v>0.96984349999999997</v>
      </c>
      <c r="Y4551">
        <v>-0.38974789999999998</v>
      </c>
      <c r="Z4551">
        <v>0.1004915</v>
      </c>
      <c r="AA4551">
        <v>0.91542230000000002</v>
      </c>
      <c r="AB4551">
        <v>28</v>
      </c>
      <c r="AC4551">
        <v>8.7187999999999803</v>
      </c>
      <c r="AD4551">
        <v>-1.11767105749</v>
      </c>
      <c r="AE4551">
        <v>-4.0047699999999997</v>
      </c>
      <c r="AF4551">
        <v>-3.8086351055366099</v>
      </c>
      <c r="AG4551">
        <v>-1.11767105749</v>
      </c>
      <c r="AH4551">
        <v>8.6661137239755401</v>
      </c>
      <c r="AI4551">
        <v>96.733782402454494</v>
      </c>
      <c r="AJ4551">
        <v>113.724813484658</v>
      </c>
      <c r="AK4551">
        <v>9.5318632510519201</v>
      </c>
      <c r="AL4551">
        <v>89.224018399232506</v>
      </c>
      <c r="AM4551">
        <v>104.085781262867</v>
      </c>
      <c r="AN4551">
        <v>1.00000001189348</v>
      </c>
    </row>
    <row r="4552" spans="1:40" x14ac:dyDescent="0.25">
      <c r="A4552" t="str">
        <f>"20190312151630054"</f>
        <v>20190312151630054</v>
      </c>
      <c r="B4552" t="str">
        <f>"1552374990042375"</f>
        <v>1552374990042375</v>
      </c>
      <c r="C4552" t="s">
        <v>40</v>
      </c>
      <c r="D4552">
        <v>4.5124909999999998</v>
      </c>
      <c r="E4552">
        <v>0.43826399999999999</v>
      </c>
      <c r="F4552" t="s">
        <v>64</v>
      </c>
      <c r="G4552">
        <v>-405.32299999999998</v>
      </c>
      <c r="H4552" s="1">
        <v>-4.1119029999999901E-6</v>
      </c>
      <c r="I4552">
        <v>22.216799999999999</v>
      </c>
      <c r="J4552">
        <v>-414.03309999999999</v>
      </c>
      <c r="K4552">
        <v>1.1176680000000001</v>
      </c>
      <c r="L4552">
        <v>26.158909999999999</v>
      </c>
      <c r="M4552">
        <v>0.66987039999999998</v>
      </c>
      <c r="N4552">
        <v>0</v>
      </c>
      <c r="O4552">
        <v>-0.74233800000000005</v>
      </c>
      <c r="P4552">
        <v>0.83016219999999996</v>
      </c>
      <c r="Q4552">
        <v>4.5041270000000001E-3</v>
      </c>
      <c r="R4552">
        <v>-0.55750379999999999</v>
      </c>
      <c r="S4552">
        <v>2.7619929999999999</v>
      </c>
      <c r="T4552">
        <v>-0.34840789999999999</v>
      </c>
      <c r="U4552">
        <v>-1.2778320000000001</v>
      </c>
      <c r="V4552">
        <v>-0.24314250000000001</v>
      </c>
      <c r="W4552">
        <v>1.381193E-2</v>
      </c>
      <c r="X4552">
        <v>0.96989219999999998</v>
      </c>
      <c r="Y4552">
        <v>-0.3865884</v>
      </c>
      <c r="Z4552">
        <v>9.9970229999999993E-2</v>
      </c>
      <c r="AA4552">
        <v>0.91681809999999997</v>
      </c>
      <c r="AB4552">
        <v>28</v>
      </c>
      <c r="AC4552">
        <v>8.7100999999999509</v>
      </c>
      <c r="AD4552">
        <v>-1.117672111903</v>
      </c>
      <c r="AE4552">
        <v>-3.94211</v>
      </c>
      <c r="AF4552">
        <v>-3.77395681276567</v>
      </c>
      <c r="AG4552">
        <v>-1.117672111903</v>
      </c>
      <c r="AH4552">
        <v>8.6437977512773205</v>
      </c>
      <c r="AI4552">
        <v>96.7580900515228</v>
      </c>
      <c r="AJ4552">
        <v>113.586497591902</v>
      </c>
      <c r="AK4552">
        <v>9.4977460767980695</v>
      </c>
      <c r="AL4552">
        <v>89.208609510586598</v>
      </c>
      <c r="AM4552">
        <v>104.07345844749599</v>
      </c>
      <c r="AN4552">
        <v>0.99999996216870601</v>
      </c>
    </row>
    <row r="4553" spans="1:40" x14ac:dyDescent="0.25">
      <c r="A4553" t="str">
        <f>"20190312151630067"</f>
        <v>20190312151630067</v>
      </c>
      <c r="B4553" t="str">
        <f>"1552374990062870"</f>
        <v>1552374990062870</v>
      </c>
      <c r="C4553" t="s">
        <v>40</v>
      </c>
      <c r="D4553">
        <v>4.4506449999999997</v>
      </c>
      <c r="E4553">
        <v>0.44781910000000003</v>
      </c>
      <c r="F4553" t="s">
        <v>41</v>
      </c>
      <c r="G4553">
        <v>-412.99450000000002</v>
      </c>
      <c r="H4553">
        <v>0.98730280000000004</v>
      </c>
      <c r="I4553">
        <v>25.688230000000001</v>
      </c>
      <c r="J4553">
        <v>-413.91559999999998</v>
      </c>
      <c r="K4553">
        <v>1.117667</v>
      </c>
      <c r="L4553">
        <v>26.038180000000001</v>
      </c>
      <c r="M4553">
        <v>0.67446200000000001</v>
      </c>
      <c r="N4553">
        <v>0</v>
      </c>
      <c r="O4553">
        <v>-0.73816859999999995</v>
      </c>
      <c r="P4553">
        <v>0.83366169999999995</v>
      </c>
      <c r="Q4553">
        <v>4.5151719999999996E-3</v>
      </c>
      <c r="R4553">
        <v>-0.552257</v>
      </c>
      <c r="S4553">
        <v>2.7716980000000002</v>
      </c>
      <c r="T4553">
        <v>-0.34795429999999999</v>
      </c>
      <c r="U4553">
        <v>-1.256683</v>
      </c>
      <c r="V4553">
        <v>-0.24324380000000001</v>
      </c>
      <c r="W4553">
        <v>1.3821460000000001E-2</v>
      </c>
      <c r="X4553">
        <v>0.96986669999999997</v>
      </c>
      <c r="Y4553">
        <v>-0.38791710000000001</v>
      </c>
      <c r="Z4553">
        <v>9.9531389999999997E-2</v>
      </c>
      <c r="AA4553">
        <v>0.91630440000000002</v>
      </c>
      <c r="AB4553">
        <v>28</v>
      </c>
      <c r="AC4553">
        <v>0.92109999999996695</v>
      </c>
      <c r="AD4553">
        <v>-0.13036419999999899</v>
      </c>
      <c r="AE4553">
        <v>-0.34995000000000298</v>
      </c>
      <c r="AF4553">
        <v>-0.43630802332562402</v>
      </c>
      <c r="AG4553">
        <v>-0.13036419999999899</v>
      </c>
      <c r="AH4553">
        <v>0.86452758230163895</v>
      </c>
      <c r="AI4553">
        <v>97.6670636593268</v>
      </c>
      <c r="AJ4553">
        <v>116.77907195526601</v>
      </c>
      <c r="AK4553">
        <v>0.97712202739487497</v>
      </c>
      <c r="AL4553">
        <v>89.208063457549301</v>
      </c>
      <c r="AM4553">
        <v>104.079444146835</v>
      </c>
      <c r="AN4553">
        <v>0.99999999738193002</v>
      </c>
    </row>
    <row r="4554" spans="1:40" x14ac:dyDescent="0.25">
      <c r="A4554" t="str">
        <f>"20190312151630080"</f>
        <v>20190312151630080</v>
      </c>
      <c r="B4554" t="str">
        <f>"1552374990072631"</f>
        <v>1552374990072631</v>
      </c>
      <c r="C4554" t="s">
        <v>40</v>
      </c>
      <c r="D4554">
        <v>4.4334389999999999</v>
      </c>
      <c r="E4554">
        <v>0.44812879999999999</v>
      </c>
      <c r="F4554" t="s">
        <v>64</v>
      </c>
      <c r="G4554">
        <v>-405.21480000000003</v>
      </c>
      <c r="H4554" s="1">
        <v>-4.1095350000000001E-6</v>
      </c>
      <c r="I4554">
        <v>21.897490000000001</v>
      </c>
      <c r="J4554">
        <v>-413.80410000000001</v>
      </c>
      <c r="K4554">
        <v>1.1176680000000001</v>
      </c>
      <c r="L4554">
        <v>25.92484</v>
      </c>
      <c r="M4554">
        <v>0.67877359999999998</v>
      </c>
      <c r="N4554">
        <v>0</v>
      </c>
      <c r="O4554">
        <v>-0.73420609999999997</v>
      </c>
      <c r="P4554">
        <v>0.83682719999999899</v>
      </c>
      <c r="Q4554">
        <v>4.813772E-3</v>
      </c>
      <c r="R4554">
        <v>-0.5474464</v>
      </c>
      <c r="S4554">
        <v>2.7374879999999999</v>
      </c>
      <c r="T4554">
        <v>-0.35164709999999899</v>
      </c>
      <c r="U4554">
        <v>-1.302765</v>
      </c>
      <c r="V4554">
        <v>-0.24315400000000001</v>
      </c>
      <c r="W4554">
        <v>1.412327E-2</v>
      </c>
      <c r="X4554">
        <v>0.96988490000000005</v>
      </c>
      <c r="Y4554">
        <v>-0.36540289999999997</v>
      </c>
      <c r="Z4554">
        <v>9.9610649999999995E-2</v>
      </c>
      <c r="AA4554">
        <v>0.9255044</v>
      </c>
      <c r="AB4554">
        <v>28</v>
      </c>
      <c r="AC4554">
        <v>8.5892999999999802</v>
      </c>
      <c r="AD4554">
        <v>-1.117672109535</v>
      </c>
      <c r="AE4554">
        <v>-4.0273500000000002</v>
      </c>
      <c r="AF4554">
        <v>-3.5241121571182701</v>
      </c>
      <c r="AG4554">
        <v>-1.117672109535</v>
      </c>
      <c r="AH4554">
        <v>8.6676955584319604</v>
      </c>
      <c r="AI4554">
        <v>96.811773940625997</v>
      </c>
      <c r="AJ4554">
        <v>112.12567845673701</v>
      </c>
      <c r="AK4554">
        <v>9.4232427398450493</v>
      </c>
      <c r="AL4554">
        <v>89.190769353856894</v>
      </c>
      <c r="AM4554">
        <v>104.074199352045</v>
      </c>
      <c r="AN4554">
        <v>1.00000002685975</v>
      </c>
    </row>
    <row r="4555" spans="1:40" x14ac:dyDescent="0.25">
      <c r="A4555" t="str">
        <f>"20190312151630091"</f>
        <v>20190312151630091</v>
      </c>
      <c r="B4555" t="str">
        <f>"1552374990082391"</f>
        <v>1552374990082391</v>
      </c>
      <c r="C4555" t="s">
        <v>40</v>
      </c>
      <c r="D4555">
        <v>4.4359339999999996</v>
      </c>
      <c r="E4555">
        <v>0.44852160000000002</v>
      </c>
      <c r="F4555" t="s">
        <v>64</v>
      </c>
      <c r="G4555">
        <v>-405.04570000000001</v>
      </c>
      <c r="H4555" s="1">
        <v>-4.1788560000000004E-6</v>
      </c>
      <c r="I4555">
        <v>21.808979999999998</v>
      </c>
      <c r="J4555">
        <v>-413.69970000000001</v>
      </c>
      <c r="K4555">
        <v>1.117669</v>
      </c>
      <c r="L4555">
        <v>25.81955</v>
      </c>
      <c r="M4555">
        <v>0.68277600000000005</v>
      </c>
      <c r="N4555">
        <v>0</v>
      </c>
      <c r="O4555">
        <v>-0.73048559999999996</v>
      </c>
      <c r="P4555">
        <v>0.83980409999999905</v>
      </c>
      <c r="Q4555">
        <v>4.6290690000000004E-3</v>
      </c>
      <c r="R4555">
        <v>-0.54287039999999998</v>
      </c>
      <c r="S4555">
        <v>2.7435299999999998</v>
      </c>
      <c r="T4555">
        <v>-0.3501068</v>
      </c>
      <c r="U4555">
        <v>-1.2892760000000001</v>
      </c>
      <c r="V4555">
        <v>-0.2431449</v>
      </c>
      <c r="W4555">
        <v>1.393923E-2</v>
      </c>
      <c r="X4555">
        <v>0.96988980000000002</v>
      </c>
      <c r="Y4555">
        <v>-0.3649057</v>
      </c>
      <c r="Z4555">
        <v>9.8827639999999994E-2</v>
      </c>
      <c r="AA4555">
        <v>0.92578450000000001</v>
      </c>
      <c r="AB4555">
        <v>28</v>
      </c>
      <c r="AC4555">
        <v>8.6539999999999893</v>
      </c>
      <c r="AD4555">
        <v>-1.1176731788559999</v>
      </c>
      <c r="AE4555">
        <v>-4.0105700000000004</v>
      </c>
      <c r="AF4555">
        <v>-3.5351328875611001</v>
      </c>
      <c r="AG4555">
        <v>-1.1176731788559999</v>
      </c>
      <c r="AH4555">
        <v>8.7195967923453903</v>
      </c>
      <c r="AI4555">
        <v>96.774316589169004</v>
      </c>
      <c r="AJ4555">
        <v>112.06880935832299</v>
      </c>
      <c r="AK4555">
        <v>9.47511087473546</v>
      </c>
      <c r="AL4555">
        <v>89.201315073038998</v>
      </c>
      <c r="AM4555">
        <v>104.073625283872</v>
      </c>
      <c r="AN4555">
        <v>0.99999998433652104</v>
      </c>
    </row>
    <row r="4556" spans="1:40" x14ac:dyDescent="0.25">
      <c r="A4556" t="str">
        <f>"20190312151630103"</f>
        <v>20190312151630103</v>
      </c>
      <c r="B4556" t="str">
        <f>"1552374990092708"</f>
        <v>1552374990092708</v>
      </c>
      <c r="C4556" t="s">
        <v>40</v>
      </c>
      <c r="D4556">
        <v>4.4309640000000003</v>
      </c>
      <c r="E4556">
        <v>0.4489573</v>
      </c>
      <c r="F4556" t="s">
        <v>64</v>
      </c>
      <c r="G4556">
        <v>-405.00409999999999</v>
      </c>
      <c r="H4556" s="1">
        <v>-4.1948229999999996E-6</v>
      </c>
      <c r="I4556">
        <v>21.781110000000002</v>
      </c>
      <c r="J4556">
        <v>-413.60320000000002</v>
      </c>
      <c r="K4556">
        <v>1.1176699999999999</v>
      </c>
      <c r="L4556">
        <v>25.723880000000001</v>
      </c>
      <c r="M4556">
        <v>0.68643549999999998</v>
      </c>
      <c r="N4556">
        <v>0</v>
      </c>
      <c r="O4556">
        <v>-0.72704760000000002</v>
      </c>
      <c r="P4556">
        <v>0.84258569999999999</v>
      </c>
      <c r="Q4556">
        <v>5.0608900000000002E-3</v>
      </c>
      <c r="R4556">
        <v>-0.53853839999999997</v>
      </c>
      <c r="S4556">
        <v>2.7489319999999999</v>
      </c>
      <c r="T4556">
        <v>-0.35333049999999999</v>
      </c>
      <c r="U4556">
        <v>-1.276672</v>
      </c>
      <c r="V4556">
        <v>-0.24327570000000001</v>
      </c>
      <c r="W4556">
        <v>1.436787E-2</v>
      </c>
      <c r="X4556">
        <v>0.96985080000000001</v>
      </c>
      <c r="Y4556">
        <v>-0.36433330000000003</v>
      </c>
      <c r="Z4556">
        <v>9.9401320000000001E-2</v>
      </c>
      <c r="AA4556">
        <v>0.92594849999999995</v>
      </c>
      <c r="AB4556">
        <v>28</v>
      </c>
      <c r="AC4556">
        <v>8.5991000000000195</v>
      </c>
      <c r="AD4556">
        <v>-1.117674194823</v>
      </c>
      <c r="AE4556">
        <v>-3.9427699999999901</v>
      </c>
      <c r="AF4556">
        <v>-3.4970511285271502</v>
      </c>
      <c r="AG4556">
        <v>-1.117674194823</v>
      </c>
      <c r="AH4556">
        <v>8.6494828817578</v>
      </c>
      <c r="AI4556">
        <v>96.831346995319606</v>
      </c>
      <c r="AJ4556">
        <v>112.01385480315599</v>
      </c>
      <c r="AK4556">
        <v>9.3963884723401794</v>
      </c>
      <c r="AL4556">
        <v>89.176753393520599</v>
      </c>
      <c r="AM4556">
        <v>104.081438798644</v>
      </c>
      <c r="AN4556">
        <v>1.00000003807973</v>
      </c>
    </row>
    <row r="4557" spans="1:40" x14ac:dyDescent="0.25">
      <c r="A4557" t="str">
        <f>"20190312151630115"</f>
        <v>20190312151630115</v>
      </c>
      <c r="B4557" t="str">
        <f>"1552374990102468"</f>
        <v>1552374990102468</v>
      </c>
      <c r="C4557" t="s">
        <v>40</v>
      </c>
      <c r="D4557">
        <v>4.4697950000000004</v>
      </c>
      <c r="E4557">
        <v>0.44932709999999998</v>
      </c>
      <c r="F4557" t="s">
        <v>64</v>
      </c>
      <c r="G4557">
        <v>-404.74709999999999</v>
      </c>
      <c r="H4557" s="1">
        <v>-4.2936319999999999E-6</v>
      </c>
      <c r="I4557">
        <v>21.654039999999998</v>
      </c>
      <c r="J4557">
        <v>-413.49579999999997</v>
      </c>
      <c r="K4557">
        <v>1.117675</v>
      </c>
      <c r="L4557">
        <v>25.61795</v>
      </c>
      <c r="M4557">
        <v>0.69047950000000002</v>
      </c>
      <c r="N4557">
        <v>0</v>
      </c>
      <c r="O4557">
        <v>-0.72320819999999997</v>
      </c>
      <c r="P4557">
        <v>0.84555020000000003</v>
      </c>
      <c r="Q4557">
        <v>5.3826569999999999E-3</v>
      </c>
      <c r="R4557">
        <v>-0.53386880000000003</v>
      </c>
      <c r="S4557">
        <v>2.7537539999999998</v>
      </c>
      <c r="T4557">
        <v>-0.34753719999999999</v>
      </c>
      <c r="U4557">
        <v>-1.265503</v>
      </c>
      <c r="V4557">
        <v>-0.24323710000000001</v>
      </c>
      <c r="W4557">
        <v>1.4690170000000001E-2</v>
      </c>
      <c r="X4557">
        <v>0.96985560000000004</v>
      </c>
      <c r="Y4557">
        <v>-0.3630796</v>
      </c>
      <c r="Z4557">
        <v>9.7391439999999996E-2</v>
      </c>
      <c r="AA4557">
        <v>0.92665419999999998</v>
      </c>
      <c r="AB4557">
        <v>28</v>
      </c>
      <c r="AC4557">
        <v>8.7486999999999799</v>
      </c>
      <c r="AD4557">
        <v>-1.1176792936319999</v>
      </c>
      <c r="AE4557">
        <v>-3.9639099999999998</v>
      </c>
      <c r="AF4557">
        <v>-3.5425361648812399</v>
      </c>
      <c r="AG4557">
        <v>-1.1176792936319999</v>
      </c>
      <c r="AH4557">
        <v>8.7894370688488603</v>
      </c>
      <c r="AI4557">
        <v>96.726526537426594</v>
      </c>
      <c r="AJ4557">
        <v>111.95163879619599</v>
      </c>
      <c r="AK4557">
        <v>9.5421681744852798</v>
      </c>
      <c r="AL4557">
        <v>89.158284971518</v>
      </c>
      <c r="AM4557">
        <v>104.079226487415</v>
      </c>
      <c r="AN4557">
        <v>0.99999998638119902</v>
      </c>
    </row>
    <row r="4558" spans="1:40" x14ac:dyDescent="0.25">
      <c r="A4558" t="str">
        <f>"20190312151630130"</f>
        <v>20190312151630130</v>
      </c>
      <c r="B4558" t="str">
        <f>"1552374990122964"</f>
        <v>1552374990122964</v>
      </c>
      <c r="C4558" t="s">
        <v>40</v>
      </c>
      <c r="D4558">
        <v>4.4449540000000001</v>
      </c>
      <c r="E4558">
        <v>0.45034829999999998</v>
      </c>
      <c r="F4558" t="s">
        <v>64</v>
      </c>
      <c r="G4558">
        <v>-404.62520000000001</v>
      </c>
      <c r="H4558" s="1">
        <v>-4.3390710000000004E-6</v>
      </c>
      <c r="I4558">
        <v>21.590119999999999</v>
      </c>
      <c r="J4558">
        <v>-413.35270000000003</v>
      </c>
      <c r="K4558">
        <v>1.1176820000000001</v>
      </c>
      <c r="L4558">
        <v>25.478850000000001</v>
      </c>
      <c r="M4558">
        <v>0.69581099999999996</v>
      </c>
      <c r="N4558">
        <v>0</v>
      </c>
      <c r="O4558">
        <v>-0.7180801</v>
      </c>
      <c r="P4558">
        <v>0.8494893</v>
      </c>
      <c r="Q4558">
        <v>5.674526E-3</v>
      </c>
      <c r="R4558">
        <v>-0.52757569999999998</v>
      </c>
      <c r="S4558">
        <v>2.7591549999999998</v>
      </c>
      <c r="T4558">
        <v>-0.34764919999999999</v>
      </c>
      <c r="U4558">
        <v>-1.2528379999999999</v>
      </c>
      <c r="V4558">
        <v>-0.24326790000000001</v>
      </c>
      <c r="W4558">
        <v>1.497863E-2</v>
      </c>
      <c r="X4558">
        <v>0.96984340000000002</v>
      </c>
      <c r="Y4558">
        <v>-0.36043550000000002</v>
      </c>
      <c r="Z4558">
        <v>9.684777E-2</v>
      </c>
      <c r="AA4558">
        <v>0.92774279999999998</v>
      </c>
      <c r="AB4558">
        <v>28</v>
      </c>
      <c r="AC4558">
        <v>8.7275000000000098</v>
      </c>
      <c r="AD4558">
        <v>-1.1176863390709999</v>
      </c>
      <c r="AE4558">
        <v>-3.88872999999999</v>
      </c>
      <c r="AF4558">
        <v>-3.5135148679262702</v>
      </c>
      <c r="AG4558">
        <v>-1.1176863390709999</v>
      </c>
      <c r="AH4558">
        <v>8.7463482553114602</v>
      </c>
      <c r="AI4558">
        <v>96.762492069219704</v>
      </c>
      <c r="AJ4558">
        <v>111.885930454525</v>
      </c>
      <c r="AK4558">
        <v>9.4917130847321101</v>
      </c>
      <c r="AL4558">
        <v>89.141755559623306</v>
      </c>
      <c r="AM4558">
        <v>104.081108440449</v>
      </c>
      <c r="AN4558">
        <v>0.99999992552532002</v>
      </c>
    </row>
    <row r="4559" spans="1:40" x14ac:dyDescent="0.25">
      <c r="A4559" t="str">
        <f>"20190312151630142"</f>
        <v>20190312151630142</v>
      </c>
      <c r="B4559" t="str">
        <f>"1552374990132726"</f>
        <v>1552374990132726</v>
      </c>
      <c r="C4559" t="s">
        <v>40</v>
      </c>
      <c r="D4559">
        <v>4.5928950000000004</v>
      </c>
      <c r="E4559">
        <v>0.45122499999999999</v>
      </c>
      <c r="F4559" t="s">
        <v>64</v>
      </c>
      <c r="G4559">
        <v>-404.47109999999998</v>
      </c>
      <c r="H4559" s="1">
        <v>-4.3943929999999998E-6</v>
      </c>
      <c r="I4559">
        <v>21.497679999999999</v>
      </c>
      <c r="J4559">
        <v>-413.25049999999999</v>
      </c>
      <c r="K4559">
        <v>1.117686</v>
      </c>
      <c r="L4559">
        <v>25.3812</v>
      </c>
      <c r="M4559">
        <v>0.69957360000000002</v>
      </c>
      <c r="N4559">
        <v>0</v>
      </c>
      <c r="O4559">
        <v>-0.71441499999999902</v>
      </c>
      <c r="P4559">
        <v>0.8521879</v>
      </c>
      <c r="Q4559">
        <v>5.648775E-3</v>
      </c>
      <c r="R4559">
        <v>-0.52320610000000001</v>
      </c>
      <c r="S4559">
        <v>2.764313</v>
      </c>
      <c r="T4559">
        <v>-0.34787030000000002</v>
      </c>
      <c r="U4559">
        <v>-1.2391049999999999</v>
      </c>
      <c r="V4559">
        <v>-0.24315419999999999</v>
      </c>
      <c r="W4559">
        <v>1.495383E-2</v>
      </c>
      <c r="X4559">
        <v>0.96987239999999997</v>
      </c>
      <c r="Y4559">
        <v>-0.36003420000000003</v>
      </c>
      <c r="Z4559">
        <v>9.6583929999999998E-2</v>
      </c>
      <c r="AA4559">
        <v>0.92792609999999998</v>
      </c>
      <c r="AB4559">
        <v>28</v>
      </c>
      <c r="AC4559">
        <v>8.7794000000000096</v>
      </c>
      <c r="AD4559">
        <v>-1.1176903943930001</v>
      </c>
      <c r="AE4559">
        <v>-3.8835199999999999</v>
      </c>
      <c r="AF4559">
        <v>-3.5081435592906298</v>
      </c>
      <c r="AG4559">
        <v>-1.1176903943930001</v>
      </c>
      <c r="AH4559">
        <v>8.7979517281845894</v>
      </c>
      <c r="AI4559">
        <v>96.730036835588294</v>
      </c>
      <c r="AJ4559">
        <v>111.739418714042</v>
      </c>
      <c r="AK4559">
        <v>9.5373087221593593</v>
      </c>
      <c r="AL4559">
        <v>89.143176741301204</v>
      </c>
      <c r="AM4559">
        <v>104.07438465152001</v>
      </c>
      <c r="AN4559">
        <v>1.00000002714553</v>
      </c>
    </row>
    <row r="4560" spans="1:40" x14ac:dyDescent="0.25">
      <c r="A4560" t="str">
        <f>"20190312151630154"</f>
        <v>20190312151630154</v>
      </c>
      <c r="B4560" t="str">
        <f>"1552374990142485"</f>
        <v>1552374990142485</v>
      </c>
      <c r="C4560" t="s">
        <v>40</v>
      </c>
      <c r="D4560">
        <v>4.4859859999999996</v>
      </c>
      <c r="E4560">
        <v>0.451683</v>
      </c>
      <c r="F4560" t="s">
        <v>64</v>
      </c>
      <c r="G4560">
        <v>-404.24310000000003</v>
      </c>
      <c r="H4560" s="1">
        <v>-4.4786069999999998E-6</v>
      </c>
      <c r="I4560">
        <v>21.37424</v>
      </c>
      <c r="J4560">
        <v>-413.14550000000003</v>
      </c>
      <c r="K4560">
        <v>1.117693</v>
      </c>
      <c r="L4560">
        <v>25.28125</v>
      </c>
      <c r="M4560">
        <v>0.70341589999999998</v>
      </c>
      <c r="N4560">
        <v>0</v>
      </c>
      <c r="O4560">
        <v>-0.71063229999999999</v>
      </c>
      <c r="P4560">
        <v>0.85486799999999996</v>
      </c>
      <c r="Q4560">
        <v>5.584515E-3</v>
      </c>
      <c r="R4560">
        <v>-0.51881630000000001</v>
      </c>
      <c r="S4560">
        <v>2.7669069999999998</v>
      </c>
      <c r="T4560">
        <v>-0.34333419999999998</v>
      </c>
      <c r="U4560">
        <v>-1.2308650000000001</v>
      </c>
      <c r="V4560">
        <v>-0.24291170000000001</v>
      </c>
      <c r="W4560">
        <v>1.489233E-2</v>
      </c>
      <c r="X4560">
        <v>0.96993410000000002</v>
      </c>
      <c r="Y4560">
        <v>-0.35781190000000002</v>
      </c>
      <c r="Z4560">
        <v>9.4923590000000002E-2</v>
      </c>
      <c r="AA4560">
        <v>0.92895649999999996</v>
      </c>
      <c r="AB4560">
        <v>28</v>
      </c>
      <c r="AC4560">
        <v>8.9024000000000001</v>
      </c>
      <c r="AD4560">
        <v>-1.117697478607</v>
      </c>
      <c r="AE4560">
        <v>-3.9070100000000001</v>
      </c>
      <c r="AF4560">
        <v>-3.53177204033992</v>
      </c>
      <c r="AG4560">
        <v>-1.117697478607</v>
      </c>
      <c r="AH4560">
        <v>8.9215592496184897</v>
      </c>
      <c r="AI4560">
        <v>96.644167663374205</v>
      </c>
      <c r="AJ4560">
        <v>111.597095489978</v>
      </c>
      <c r="AK4560">
        <v>9.66006629599738</v>
      </c>
      <c r="AL4560">
        <v>89.146700815342399</v>
      </c>
      <c r="AM4560">
        <v>104.060046245545</v>
      </c>
      <c r="AN4560">
        <v>1.0000000169162599</v>
      </c>
    </row>
    <row r="4561" spans="1:40" x14ac:dyDescent="0.25">
      <c r="A4561" t="str">
        <f>"20190312151630164"</f>
        <v>20190312151630164</v>
      </c>
      <c r="B4561" t="str">
        <f>"1552374990152245"</f>
        <v>1552374990152245</v>
      </c>
      <c r="C4561" t="s">
        <v>40</v>
      </c>
      <c r="D4561">
        <v>4.5211819999999996</v>
      </c>
      <c r="E4561">
        <v>0.45218989999999998</v>
      </c>
      <c r="F4561" t="s">
        <v>64</v>
      </c>
      <c r="G4561">
        <v>-404.01769999999999</v>
      </c>
      <c r="H4561" s="1">
        <v>-4.5639429999999997E-6</v>
      </c>
      <c r="I4561">
        <v>21.2637</v>
      </c>
      <c r="J4561">
        <v>-413.04570000000001</v>
      </c>
      <c r="K4561">
        <v>1.117702</v>
      </c>
      <c r="L4561">
        <v>25.18787</v>
      </c>
      <c r="M4561">
        <v>0.70703549999999904</v>
      </c>
      <c r="N4561">
        <v>0</v>
      </c>
      <c r="O4561">
        <v>-0.70703110000000002</v>
      </c>
      <c r="P4561">
        <v>0.85735749999999999</v>
      </c>
      <c r="Q4561">
        <v>5.616925E-3</v>
      </c>
      <c r="R4561">
        <v>-0.51469109999999996</v>
      </c>
      <c r="S4561">
        <v>2.771271</v>
      </c>
      <c r="T4561">
        <v>-0.339341</v>
      </c>
      <c r="U4561">
        <v>-1.219757</v>
      </c>
      <c r="V4561">
        <v>-0.2426326</v>
      </c>
      <c r="W4561">
        <v>1.4927609999999999E-2</v>
      </c>
      <c r="X4561">
        <v>0.97000339999999996</v>
      </c>
      <c r="Y4561">
        <v>-0.35685699999999998</v>
      </c>
      <c r="Z4561">
        <v>9.3476900000000002E-2</v>
      </c>
      <c r="AA4561">
        <v>0.92947040000000003</v>
      </c>
      <c r="AB4561">
        <v>28</v>
      </c>
      <c r="AC4561">
        <v>9.0280000000000094</v>
      </c>
      <c r="AD4561">
        <v>-1.1177065639429999</v>
      </c>
      <c r="AE4561">
        <v>-3.9241699999999899</v>
      </c>
      <c r="AF4561">
        <v>-3.56299085374518</v>
      </c>
      <c r="AG4561">
        <v>-1.1177065639429999</v>
      </c>
      <c r="AH4561">
        <v>9.0420104588551098</v>
      </c>
      <c r="AI4561">
        <v>96.560531995567004</v>
      </c>
      <c r="AJ4561">
        <v>111.50684670822299</v>
      </c>
      <c r="AK4561">
        <v>9.7827462874695001</v>
      </c>
      <c r="AL4561">
        <v>89.144679184561596</v>
      </c>
      <c r="AM4561">
        <v>104.04356761707101</v>
      </c>
      <c r="AN4561">
        <v>1.00000000406731</v>
      </c>
    </row>
    <row r="4562" spans="1:40" x14ac:dyDescent="0.25">
      <c r="A4562" t="str">
        <f>"20190312151630175"</f>
        <v>20190312151630175</v>
      </c>
      <c r="B4562" t="str">
        <f>"1552374990172740"</f>
        <v>1552374990172740</v>
      </c>
      <c r="C4562" t="s">
        <v>40</v>
      </c>
      <c r="D4562">
        <v>4.5417059999999996</v>
      </c>
      <c r="E4562">
        <v>0.45274490000000001</v>
      </c>
      <c r="F4562" t="s">
        <v>64</v>
      </c>
      <c r="G4562">
        <v>-403.82240000000002</v>
      </c>
      <c r="H4562" s="1">
        <v>-4.6375430000000002E-6</v>
      </c>
      <c r="I4562">
        <v>21.166219999999999</v>
      </c>
      <c r="J4562">
        <v>-412.9443</v>
      </c>
      <c r="K4562">
        <v>1.1177109999999999</v>
      </c>
      <c r="L4562">
        <v>25.09348</v>
      </c>
      <c r="M4562">
        <v>0.71068830000000005</v>
      </c>
      <c r="N4562">
        <v>0</v>
      </c>
      <c r="O4562">
        <v>-0.70335909999999902</v>
      </c>
      <c r="P4562">
        <v>0.85994740000000003</v>
      </c>
      <c r="Q4562">
        <v>5.953079E-3</v>
      </c>
      <c r="R4562">
        <v>-0.51034820000000003</v>
      </c>
      <c r="S4562">
        <v>2.7749329999999999</v>
      </c>
      <c r="T4562">
        <v>-0.336275299999999</v>
      </c>
      <c r="U4562">
        <v>-1.2099610000000001</v>
      </c>
      <c r="V4562">
        <v>-0.2425195</v>
      </c>
      <c r="W4562">
        <v>1.5263270000000001E-2</v>
      </c>
      <c r="X4562">
        <v>0.97002650000000001</v>
      </c>
      <c r="Y4562">
        <v>-0.35534979999999999</v>
      </c>
      <c r="Z4562">
        <v>9.2260900000000007E-2</v>
      </c>
      <c r="AA4562">
        <v>0.93016900000000002</v>
      </c>
      <c r="AB4562">
        <v>28</v>
      </c>
      <c r="AC4562">
        <v>9.1218999999999806</v>
      </c>
      <c r="AD4562">
        <v>-1.117715637543</v>
      </c>
      <c r="AE4562">
        <v>-3.9272599999999902</v>
      </c>
      <c r="AF4562">
        <v>-3.57994693617563</v>
      </c>
      <c r="AG4562">
        <v>-1.117715637543</v>
      </c>
      <c r="AH4562">
        <v>9.1304170659506596</v>
      </c>
      <c r="AI4562">
        <v>96.501903420348398</v>
      </c>
      <c r="AJ4562">
        <v>111.409658364097</v>
      </c>
      <c r="AK4562">
        <v>9.8706546951276</v>
      </c>
      <c r="AL4562">
        <v>89.125445125663305</v>
      </c>
      <c r="AM4562">
        <v>104.03695920905901</v>
      </c>
      <c r="AN4562">
        <v>1.0000000429967899</v>
      </c>
    </row>
    <row r="4563" spans="1:40" x14ac:dyDescent="0.25">
      <c r="A4563" t="str">
        <f>"20190312151630188"</f>
        <v>20190312151630188</v>
      </c>
      <c r="B4563" t="str">
        <f>"1552374990182500"</f>
        <v>1552374990182500</v>
      </c>
      <c r="C4563" t="s">
        <v>40</v>
      </c>
      <c r="D4563">
        <v>4.5595239999999997</v>
      </c>
      <c r="E4563">
        <v>0.45305099999999998</v>
      </c>
      <c r="F4563" t="s">
        <v>64</v>
      </c>
      <c r="G4563">
        <v>-403.85669999999999</v>
      </c>
      <c r="H4563" s="1">
        <v>-4.6224190000000003E-6</v>
      </c>
      <c r="I4563">
        <v>21.17088</v>
      </c>
      <c r="J4563">
        <v>-412.83</v>
      </c>
      <c r="K4563">
        <v>1.117723</v>
      </c>
      <c r="L4563">
        <v>24.988589999999999</v>
      </c>
      <c r="M4563">
        <v>0.71476890000000004</v>
      </c>
      <c r="N4563">
        <v>0</v>
      </c>
      <c r="O4563">
        <v>-0.69921199999999994</v>
      </c>
      <c r="P4563">
        <v>0.86267249999999995</v>
      </c>
      <c r="Q4563">
        <v>5.8787409999999998E-3</v>
      </c>
      <c r="R4563">
        <v>-0.50572879999999998</v>
      </c>
      <c r="S4563">
        <v>2.7790530000000002</v>
      </c>
      <c r="T4563">
        <v>-0.34180460000000001</v>
      </c>
      <c r="U4563">
        <v>-1.199554</v>
      </c>
      <c r="V4563">
        <v>-0.24207699999999999</v>
      </c>
      <c r="W4563">
        <v>1.5194610000000001E-2</v>
      </c>
      <c r="X4563">
        <v>0.9701381</v>
      </c>
      <c r="Y4563">
        <v>-0.35320550000000001</v>
      </c>
      <c r="Z4563">
        <v>9.330049E-2</v>
      </c>
      <c r="AA4563">
        <v>0.93088179999999998</v>
      </c>
      <c r="AB4563">
        <v>28</v>
      </c>
      <c r="AC4563">
        <v>8.9732999999999894</v>
      </c>
      <c r="AD4563">
        <v>-1.117727622419</v>
      </c>
      <c r="AE4563">
        <v>-3.8177099999999902</v>
      </c>
      <c r="AF4563">
        <v>-3.4998480378041501</v>
      </c>
      <c r="AG4563">
        <v>-1.117727622419</v>
      </c>
      <c r="AH4563">
        <v>8.9663730909327697</v>
      </c>
      <c r="AI4563">
        <v>96.623801250381106</v>
      </c>
      <c r="AJ4563">
        <v>111.322213337996</v>
      </c>
      <c r="AK4563">
        <v>9.6898966832182207</v>
      </c>
      <c r="AL4563">
        <v>89.129379508747505</v>
      </c>
      <c r="AM4563">
        <v>104.010808972359</v>
      </c>
      <c r="AN4563">
        <v>1.00000004158683</v>
      </c>
    </row>
    <row r="4564" spans="1:40" x14ac:dyDescent="0.25">
      <c r="A4564" t="str">
        <f>"20190312151630202"</f>
        <v>20190312151630202</v>
      </c>
      <c r="B4564" t="str">
        <f>"1552374990192260"</f>
        <v>1552374990192260</v>
      </c>
      <c r="C4564" t="s">
        <v>40</v>
      </c>
      <c r="D4564">
        <v>4.4997920000000002</v>
      </c>
      <c r="E4564">
        <v>0.45325910000000003</v>
      </c>
      <c r="F4564" t="s">
        <v>64</v>
      </c>
      <c r="G4564">
        <v>-403.6284</v>
      </c>
      <c r="H4564" s="1">
        <v>-4.7102649999999997E-6</v>
      </c>
      <c r="I4564">
        <v>21.067060000000001</v>
      </c>
      <c r="J4564">
        <v>-412.70670000000001</v>
      </c>
      <c r="K4564">
        <v>1.1177360000000001</v>
      </c>
      <c r="L4564">
        <v>24.876799999999999</v>
      </c>
      <c r="M4564">
        <v>0.71913269999999996</v>
      </c>
      <c r="N4564">
        <v>0</v>
      </c>
      <c r="O4564">
        <v>-0.69472290000000003</v>
      </c>
      <c r="P4564">
        <v>0.86567419999999995</v>
      </c>
      <c r="Q4564">
        <v>5.844686E-3</v>
      </c>
      <c r="R4564">
        <v>-0.50057370000000001</v>
      </c>
      <c r="S4564">
        <v>2.7842410000000002</v>
      </c>
      <c r="T4564">
        <v>-0.33820499999999998</v>
      </c>
      <c r="U4564">
        <v>-1.1865840000000001</v>
      </c>
      <c r="V4564">
        <v>-0.2417899</v>
      </c>
      <c r="W4564">
        <v>1.516171E-2</v>
      </c>
      <c r="X4564">
        <v>0.97021020000000002</v>
      </c>
      <c r="Y4564">
        <v>-0.35179250000000001</v>
      </c>
      <c r="Z4564">
        <v>9.1864730000000006E-2</v>
      </c>
      <c r="AA4564">
        <v>0.93155940000000004</v>
      </c>
      <c r="AB4564">
        <v>28</v>
      </c>
      <c r="AC4564">
        <v>9.0783000000000094</v>
      </c>
      <c r="AD4564">
        <v>-1.1177407102650001</v>
      </c>
      <c r="AE4564">
        <v>-3.8097399999999899</v>
      </c>
      <c r="AF4564">
        <v>-3.5221679085930302</v>
      </c>
      <c r="AG4564">
        <v>-1.1177407102650001</v>
      </c>
      <c r="AH4564">
        <v>9.0594032053065501</v>
      </c>
      <c r="AI4564">
        <v>96.559849639881904</v>
      </c>
      <c r="AJ4564">
        <v>111.245377917704</v>
      </c>
      <c r="AK4564">
        <v>9.7840583352729897</v>
      </c>
      <c r="AL4564">
        <v>89.131264749254896</v>
      </c>
      <c r="AM4564">
        <v>103.99384663789201</v>
      </c>
      <c r="AN4564">
        <v>1.00000003268808</v>
      </c>
    </row>
    <row r="4565" spans="1:40" x14ac:dyDescent="0.25">
      <c r="A4565" t="str">
        <f>"20190312151630216"</f>
        <v>20190312151630216</v>
      </c>
      <c r="B4565" t="str">
        <f>"1552374990212757"</f>
        <v>1552374990212757</v>
      </c>
      <c r="C4565" t="s">
        <v>40</v>
      </c>
      <c r="D4565">
        <v>4.5406309999999896</v>
      </c>
      <c r="E4565">
        <v>0.45372600000000002</v>
      </c>
      <c r="F4565" t="s">
        <v>64</v>
      </c>
      <c r="G4565">
        <v>-403.45499999999998</v>
      </c>
      <c r="H4565" s="1">
        <v>-4.7778460000000002E-6</v>
      </c>
      <c r="I4565">
        <v>20.992830000000001</v>
      </c>
      <c r="J4565">
        <v>-412.57299999999998</v>
      </c>
      <c r="K4565">
        <v>1.1177469999999901</v>
      </c>
      <c r="L4565">
        <v>24.756930000000001</v>
      </c>
      <c r="M4565">
        <v>0.72382279999999999</v>
      </c>
      <c r="N4565">
        <v>0</v>
      </c>
      <c r="O4565">
        <v>-0.68983509999999904</v>
      </c>
      <c r="P4565">
        <v>0.86890689999999904</v>
      </c>
      <c r="Q4565">
        <v>5.8868009999999997E-3</v>
      </c>
      <c r="R4565">
        <v>-0.49494080000000001</v>
      </c>
      <c r="S4565">
        <v>2.7904049999999998</v>
      </c>
      <c r="T4565">
        <v>-0.33712239999999999</v>
      </c>
      <c r="U4565">
        <v>-1.171448</v>
      </c>
      <c r="V4565">
        <v>-0.2415195</v>
      </c>
      <c r="W4565">
        <v>1.520415E-2</v>
      </c>
      <c r="X4565">
        <v>0.97027680000000005</v>
      </c>
      <c r="Y4565">
        <v>-0.35055199999999997</v>
      </c>
      <c r="Z4565">
        <v>9.1078779999999998E-2</v>
      </c>
      <c r="AA4565">
        <v>0.93210409999999999</v>
      </c>
      <c r="AB4565">
        <v>28</v>
      </c>
      <c r="AC4565">
        <v>9.1180000000000501</v>
      </c>
      <c r="AD4565">
        <v>-1.11775177784599</v>
      </c>
      <c r="AE4565">
        <v>-3.7641</v>
      </c>
      <c r="AF4565">
        <v>-3.5205438928203101</v>
      </c>
      <c r="AG4565">
        <v>-1.11775177784599</v>
      </c>
      <c r="AH4565">
        <v>9.0807884334918096</v>
      </c>
      <c r="AI4565">
        <v>96.546995652603101</v>
      </c>
      <c r="AJ4565">
        <v>111.190885311511</v>
      </c>
      <c r="AK4565">
        <v>9.8032809258936897</v>
      </c>
      <c r="AL4565">
        <v>89.128832765692096</v>
      </c>
      <c r="AM4565">
        <v>103.97788906105301</v>
      </c>
      <c r="AN4565">
        <v>0.99999995183785495</v>
      </c>
    </row>
    <row r="4566" spans="1:40" x14ac:dyDescent="0.25">
      <c r="A4566" t="str">
        <f>"20190312151630232"</f>
        <v>20190312151630232</v>
      </c>
      <c r="B4566" t="str">
        <f>"1552374990222516"</f>
        <v>1552374990222516</v>
      </c>
      <c r="C4566" t="s">
        <v>40</v>
      </c>
      <c r="D4566">
        <v>4.5785830000000001</v>
      </c>
      <c r="E4566">
        <v>0.4537947</v>
      </c>
      <c r="F4566" t="s">
        <v>64</v>
      </c>
      <c r="G4566">
        <v>-403.27159999999998</v>
      </c>
      <c r="H4566" s="1">
        <v>-4.8486090000000001E-6</v>
      </c>
      <c r="I4566">
        <v>20.910509999999999</v>
      </c>
      <c r="J4566">
        <v>-412.4289</v>
      </c>
      <c r="K4566">
        <v>1.1177619999999999</v>
      </c>
      <c r="L4566">
        <v>24.629639999999998</v>
      </c>
      <c r="M4566">
        <v>0.7288268</v>
      </c>
      <c r="N4566">
        <v>0</v>
      </c>
      <c r="O4566">
        <v>-0.68454589999999904</v>
      </c>
      <c r="P4566">
        <v>0.87211479999999997</v>
      </c>
      <c r="Q4566">
        <v>5.8843890000000003E-3</v>
      </c>
      <c r="R4566">
        <v>-0.48926619999999998</v>
      </c>
      <c r="S4566">
        <v>2.796173</v>
      </c>
      <c r="T4566">
        <v>-0.336018599999999</v>
      </c>
      <c r="U4566">
        <v>-1.1563110000000001</v>
      </c>
      <c r="V4566">
        <v>-0.2407792</v>
      </c>
      <c r="W4566">
        <v>1.5211779999999999E-2</v>
      </c>
      <c r="X4566">
        <v>0.97046069999999995</v>
      </c>
      <c r="Y4566">
        <v>-0.34879399999999999</v>
      </c>
      <c r="Z4566">
        <v>9.0236670000000005E-2</v>
      </c>
      <c r="AA4566">
        <v>0.93284520000000004</v>
      </c>
      <c r="AB4566">
        <v>28</v>
      </c>
      <c r="AC4566">
        <v>9.15730000000001</v>
      </c>
      <c r="AD4566">
        <v>-1.117766848609</v>
      </c>
      <c r="AE4566">
        <v>-3.7191299999999901</v>
      </c>
      <c r="AF4566">
        <v>-3.5134256476789001</v>
      </c>
      <c r="AG4566">
        <v>-1.117766848609</v>
      </c>
      <c r="AH4566">
        <v>9.1045175548991999</v>
      </c>
      <c r="AI4566">
        <v>96.534072049651101</v>
      </c>
      <c r="AJ4566">
        <v>111.101559476494</v>
      </c>
      <c r="AK4566">
        <v>9.8227186876691608</v>
      </c>
      <c r="AL4566">
        <v>89.128395586651493</v>
      </c>
      <c r="AM4566">
        <v>103.934178803717</v>
      </c>
      <c r="AN4566">
        <v>0.99999999582394905</v>
      </c>
    </row>
    <row r="4567" spans="1:40" x14ac:dyDescent="0.25">
      <c r="A4567" t="str">
        <f>"20190312151630243"</f>
        <v>20190312151630243</v>
      </c>
      <c r="B4567" t="str">
        <f>"1552374990232277"</f>
        <v>1552374990232277</v>
      </c>
      <c r="C4567" t="s">
        <v>40</v>
      </c>
      <c r="D4567">
        <v>4.527533</v>
      </c>
      <c r="E4567">
        <v>0.45403670000000002</v>
      </c>
      <c r="F4567" t="s">
        <v>64</v>
      </c>
      <c r="G4567">
        <v>-403.14789999999999</v>
      </c>
      <c r="H4567" s="1">
        <v>-4.897503E-6</v>
      </c>
      <c r="I4567">
        <v>20.86159</v>
      </c>
      <c r="J4567">
        <v>-412.31819999999999</v>
      </c>
      <c r="K4567">
        <v>1.1177729999999999</v>
      </c>
      <c r="L4567">
        <v>24.533539999999999</v>
      </c>
      <c r="M4567">
        <v>0.73263339999999999</v>
      </c>
      <c r="N4567">
        <v>0</v>
      </c>
      <c r="O4567">
        <v>-0.68047019999999903</v>
      </c>
      <c r="P4567">
        <v>0.87453289999999995</v>
      </c>
      <c r="Q4567">
        <v>5.970309E-3</v>
      </c>
      <c r="R4567">
        <v>-0.48492960000000002</v>
      </c>
      <c r="S4567">
        <v>2.8035580000000002</v>
      </c>
      <c r="T4567">
        <v>-0.33765269999999997</v>
      </c>
      <c r="U4567">
        <v>-1.138245</v>
      </c>
      <c r="V4567">
        <v>-0.2401874</v>
      </c>
      <c r="W4567">
        <v>1.5306180000000001E-2</v>
      </c>
      <c r="X4567">
        <v>0.97060590000000002</v>
      </c>
      <c r="Y4567">
        <v>-0.34955570000000002</v>
      </c>
      <c r="Z4567">
        <v>9.0331640000000005E-2</v>
      </c>
      <c r="AA4567">
        <v>0.93255080000000001</v>
      </c>
      <c r="AB4567">
        <v>28</v>
      </c>
      <c r="AC4567">
        <v>9.1702999999999903</v>
      </c>
      <c r="AD4567">
        <v>-1.1177778975029999</v>
      </c>
      <c r="AE4567">
        <v>-3.6719499999999901</v>
      </c>
      <c r="AF4567">
        <v>-3.5054081787401099</v>
      </c>
      <c r="AG4567">
        <v>-1.1177778975029999</v>
      </c>
      <c r="AH4567">
        <v>9.1015419429997593</v>
      </c>
      <c r="AI4567">
        <v>96.537895435610295</v>
      </c>
      <c r="AJ4567">
        <v>111.063912189654</v>
      </c>
      <c r="AK4567">
        <v>9.8170962951326999</v>
      </c>
      <c r="AL4567">
        <v>89.122986273731101</v>
      </c>
      <c r="AM4567">
        <v>103.89926151264299</v>
      </c>
      <c r="AN4567">
        <v>1.00000003968988</v>
      </c>
    </row>
    <row r="4568" spans="1:40" x14ac:dyDescent="0.25">
      <c r="A4568" t="str">
        <f>"20190312151630255"</f>
        <v>20190312151630255</v>
      </c>
      <c r="B4568" t="str">
        <f>"1552374990252772"</f>
        <v>1552374990252772</v>
      </c>
      <c r="C4568" t="s">
        <v>40</v>
      </c>
      <c r="D4568">
        <v>4.5460599999999998</v>
      </c>
      <c r="E4568">
        <v>0.4546441</v>
      </c>
      <c r="F4568" t="s">
        <v>64</v>
      </c>
      <c r="G4568">
        <v>-402.99169999999998</v>
      </c>
      <c r="H4568" s="1">
        <v>-4.9583240000000003E-6</v>
      </c>
      <c r="I4568">
        <v>20.794280000000001</v>
      </c>
      <c r="J4568">
        <v>-412.20870000000002</v>
      </c>
      <c r="K4568">
        <v>1.1177840000000001</v>
      </c>
      <c r="L4568">
        <v>24.439119999999999</v>
      </c>
      <c r="M4568">
        <v>0.73636939999999995</v>
      </c>
      <c r="N4568">
        <v>0</v>
      </c>
      <c r="O4568">
        <v>-0.67642569999999902</v>
      </c>
      <c r="P4568">
        <v>0.877009499999999</v>
      </c>
      <c r="Q4568">
        <v>6.0836459999999998E-3</v>
      </c>
      <c r="R4568">
        <v>-0.48043520000000001</v>
      </c>
      <c r="S4568">
        <v>2.8083499999999999</v>
      </c>
      <c r="T4568">
        <v>-0.33657939999999997</v>
      </c>
      <c r="U4568">
        <v>-1.1259459999999999</v>
      </c>
      <c r="V4568">
        <v>-0.23982590000000001</v>
      </c>
      <c r="W4568">
        <v>1.5422989999999999E-2</v>
      </c>
      <c r="X4568">
        <v>0.97069340000000004</v>
      </c>
      <c r="Y4568">
        <v>-0.34852850000000002</v>
      </c>
      <c r="Z4568">
        <v>8.9633299999999999E-2</v>
      </c>
      <c r="AA4568">
        <v>0.93300249999999996</v>
      </c>
      <c r="AB4568">
        <v>28</v>
      </c>
      <c r="AC4568">
        <v>9.2170000000000396</v>
      </c>
      <c r="AD4568">
        <v>-1.1177889583239999</v>
      </c>
      <c r="AE4568">
        <v>-3.6448399999999999</v>
      </c>
      <c r="AF4568">
        <v>-3.5064399196199401</v>
      </c>
      <c r="AG4568">
        <v>-1.1177889583239999</v>
      </c>
      <c r="AH4568">
        <v>9.1373300565519902</v>
      </c>
      <c r="AI4568">
        <v>96.515591568959394</v>
      </c>
      <c r="AJ4568">
        <v>110.99424783504401</v>
      </c>
      <c r="AK4568">
        <v>9.8506534619599595</v>
      </c>
      <c r="AL4568">
        <v>89.116292732212401</v>
      </c>
      <c r="AM4568">
        <v>103.877948729588</v>
      </c>
      <c r="AN4568">
        <v>1.0000000038674499</v>
      </c>
    </row>
    <row r="4569" spans="1:40" x14ac:dyDescent="0.25">
      <c r="A4569" t="str">
        <f>"20190312151630267"</f>
        <v>20190312151630267</v>
      </c>
      <c r="B4569" t="str">
        <f>"1552374990262532"</f>
        <v>1552374990262532</v>
      </c>
      <c r="C4569" t="s">
        <v>40</v>
      </c>
      <c r="D4569">
        <v>4.532343</v>
      </c>
      <c r="E4569">
        <v>0.45491880000000001</v>
      </c>
      <c r="F4569" t="s">
        <v>64</v>
      </c>
      <c r="G4569">
        <v>-402.85939999999999</v>
      </c>
      <c r="H4569" s="1">
        <v>-5.008438E-6</v>
      </c>
      <c r="I4569">
        <v>20.729780000000002</v>
      </c>
      <c r="J4569">
        <v>-412.09429999999998</v>
      </c>
      <c r="K4569">
        <v>1.1177969999999999</v>
      </c>
      <c r="L4569">
        <v>24.341919999999998</v>
      </c>
      <c r="M4569">
        <v>0.74024190000000001</v>
      </c>
      <c r="N4569">
        <v>0</v>
      </c>
      <c r="O4569">
        <v>-0.67218549999999999</v>
      </c>
      <c r="P4569">
        <v>0.87953590000000004</v>
      </c>
      <c r="Q4569">
        <v>6.1208570000000004E-3</v>
      </c>
      <c r="R4569">
        <v>-0.47579389999999999</v>
      </c>
      <c r="S4569">
        <v>2.8119200000000002</v>
      </c>
      <c r="T4569">
        <v>-0.33618900000000002</v>
      </c>
      <c r="U4569">
        <v>-1.115631</v>
      </c>
      <c r="V4569">
        <v>-0.23938229999999999</v>
      </c>
      <c r="W4569">
        <v>1.546494E-2</v>
      </c>
      <c r="X4569">
        <v>0.97080219999999995</v>
      </c>
      <c r="Y4569">
        <v>-0.34655429999999998</v>
      </c>
      <c r="Z4569">
        <v>8.9064989999999997E-2</v>
      </c>
      <c r="AA4569">
        <v>0.93379199999999996</v>
      </c>
      <c r="AB4569">
        <v>28</v>
      </c>
      <c r="AC4569">
        <v>9.2348999999999801</v>
      </c>
      <c r="AD4569">
        <v>-1.117802008438</v>
      </c>
      <c r="AE4569">
        <v>-3.6121400000000001</v>
      </c>
      <c r="AF4569">
        <v>-3.4897333977884899</v>
      </c>
      <c r="AG4569">
        <v>-1.117802008438</v>
      </c>
      <c r="AH4569">
        <v>9.1488014667657396</v>
      </c>
      <c r="AI4569">
        <v>96.512537204815303</v>
      </c>
      <c r="AJ4569">
        <v>110.878931508742</v>
      </c>
      <c r="AK4569">
        <v>9.8553685266459397</v>
      </c>
      <c r="AL4569">
        <v>89.113888867066507</v>
      </c>
      <c r="AM4569">
        <v>103.85177592424</v>
      </c>
      <c r="AN4569">
        <v>0.99999998072366603</v>
      </c>
    </row>
    <row r="4570" spans="1:40" x14ac:dyDescent="0.25">
      <c r="A4570" t="str">
        <f>"20190312151630278"</f>
        <v>20190312151630278</v>
      </c>
      <c r="B4570" t="str">
        <f>"1552374990272292"</f>
        <v>1552374990272292</v>
      </c>
      <c r="C4570" t="s">
        <v>40</v>
      </c>
      <c r="D4570">
        <v>4.9602659999999998</v>
      </c>
      <c r="E4570">
        <v>0.4552657</v>
      </c>
      <c r="F4570" t="s">
        <v>64</v>
      </c>
      <c r="G4570">
        <v>-402.72640000000001</v>
      </c>
      <c r="H4570" s="1">
        <v>-5.0606189999999998E-6</v>
      </c>
      <c r="I4570">
        <v>20.674910000000001</v>
      </c>
      <c r="J4570">
        <v>-411.99549999999999</v>
      </c>
      <c r="K4570">
        <v>1.1178140000000001</v>
      </c>
      <c r="L4570">
        <v>24.25873</v>
      </c>
      <c r="M4570">
        <v>0.74356339999999999</v>
      </c>
      <c r="N4570">
        <v>0</v>
      </c>
      <c r="O4570">
        <v>-0.66850940000000003</v>
      </c>
      <c r="P4570">
        <v>0.881771999999999</v>
      </c>
      <c r="Q4570">
        <v>6.0064069999999897E-3</v>
      </c>
      <c r="R4570">
        <v>-0.4716378</v>
      </c>
      <c r="S4570">
        <v>2.8167420000000001</v>
      </c>
      <c r="T4570">
        <v>-0.33610180000000001</v>
      </c>
      <c r="U4570">
        <v>-1.1026</v>
      </c>
      <c r="V4570">
        <v>-0.23915220000000001</v>
      </c>
      <c r="W4570">
        <v>1.535099E-2</v>
      </c>
      <c r="X4570">
        <v>0.97086070000000002</v>
      </c>
      <c r="Y4570">
        <v>-0.34622199999999997</v>
      </c>
      <c r="Z4570">
        <v>8.8695789999999997E-2</v>
      </c>
      <c r="AA4570">
        <v>0.93395039999999996</v>
      </c>
      <c r="AB4570">
        <v>28</v>
      </c>
      <c r="AC4570">
        <v>9.2690999999999804</v>
      </c>
      <c r="AD4570">
        <v>-1.1178190606189999</v>
      </c>
      <c r="AE4570">
        <v>-3.5838199999999998</v>
      </c>
      <c r="AF4570">
        <v>-3.48792212042552</v>
      </c>
      <c r="AG4570">
        <v>-1.1178190606189999</v>
      </c>
      <c r="AH4570">
        <v>9.1728937880014492</v>
      </c>
      <c r="AI4570">
        <v>96.498246262177005</v>
      </c>
      <c r="AJ4570">
        <v>110.818920474406</v>
      </c>
      <c r="AK4570">
        <v>9.8770998079594392</v>
      </c>
      <c r="AL4570">
        <v>89.120418481015193</v>
      </c>
      <c r="AM4570">
        <v>103.83817150909699</v>
      </c>
      <c r="AN4570">
        <v>0.99999996323165397</v>
      </c>
    </row>
    <row r="4571" spans="1:40" x14ac:dyDescent="0.25">
      <c r="A4571" t="str">
        <f>"20190312151630288"</f>
        <v>20190312151630288</v>
      </c>
      <c r="B4571" t="str">
        <f>"1552374990283028"</f>
        <v>1552374990283028</v>
      </c>
      <c r="C4571" t="s">
        <v>40</v>
      </c>
      <c r="D4571">
        <v>4.5416999999999996</v>
      </c>
      <c r="E4571">
        <v>0.45561879999999999</v>
      </c>
      <c r="F4571" t="s">
        <v>64</v>
      </c>
      <c r="G4571">
        <v>-402.565</v>
      </c>
      <c r="H4571" s="1">
        <v>-5.1239979999999999E-6</v>
      </c>
      <c r="I4571">
        <v>20.608540000000001</v>
      </c>
      <c r="J4571">
        <v>-411.8843</v>
      </c>
      <c r="K4571">
        <v>1.117828</v>
      </c>
      <c r="L4571">
        <v>24.166139999999999</v>
      </c>
      <c r="M4571">
        <v>0.74726969999999904</v>
      </c>
      <c r="N4571">
        <v>0</v>
      </c>
      <c r="O4571">
        <v>-0.66436390000000001</v>
      </c>
      <c r="P4571">
        <v>0.88422529999999999</v>
      </c>
      <c r="Q4571">
        <v>5.7836980000000003E-3</v>
      </c>
      <c r="R4571">
        <v>-0.46702519999999997</v>
      </c>
      <c r="S4571">
        <v>2.820557</v>
      </c>
      <c r="T4571">
        <v>-0.33432849999999997</v>
      </c>
      <c r="U4571">
        <v>-1.091736</v>
      </c>
      <c r="V4571">
        <v>-0.2388216</v>
      </c>
      <c r="W4571">
        <v>1.5131199999999999E-2</v>
      </c>
      <c r="X4571">
        <v>0.97094559999999996</v>
      </c>
      <c r="Y4571">
        <v>-0.344645599999999</v>
      </c>
      <c r="Z4571">
        <v>8.7789039999999999E-2</v>
      </c>
      <c r="AA4571">
        <v>0.93461890000000003</v>
      </c>
      <c r="AB4571">
        <v>28</v>
      </c>
      <c r="AC4571">
        <v>9.3192999999999895</v>
      </c>
      <c r="AD4571">
        <v>-1.1178331239979999</v>
      </c>
      <c r="AE4571">
        <v>-3.5575999999999999</v>
      </c>
      <c r="AF4571">
        <v>-3.4894691399401299</v>
      </c>
      <c r="AG4571">
        <v>-1.1178331239979999</v>
      </c>
      <c r="AH4571">
        <v>9.2128536037721602</v>
      </c>
      <c r="AI4571">
        <v>96.4735343578932</v>
      </c>
      <c r="AJ4571">
        <v>110.744730721515</v>
      </c>
      <c r="AK4571">
        <v>9.9147676370270705</v>
      </c>
      <c r="AL4571">
        <v>89.133013045122098</v>
      </c>
      <c r="AM4571">
        <v>103.818613602014</v>
      </c>
      <c r="AN4571">
        <v>1.00000003399967</v>
      </c>
    </row>
    <row r="4572" spans="1:40" x14ac:dyDescent="0.25">
      <c r="A4572" t="str">
        <f>"20190312151630300"</f>
        <v>20190312151630300</v>
      </c>
      <c r="B4572" t="str">
        <f>"1552374990292788"</f>
        <v>1552374990292788</v>
      </c>
      <c r="C4572" t="s">
        <v>40</v>
      </c>
      <c r="D4572">
        <v>4.6500909999999998</v>
      </c>
      <c r="E4572">
        <v>0.45596619999999999</v>
      </c>
      <c r="F4572" t="s">
        <v>64</v>
      </c>
      <c r="G4572">
        <v>-402.40649999999999</v>
      </c>
      <c r="H4572" s="1">
        <v>-5.1863789999999899E-6</v>
      </c>
      <c r="I4572">
        <v>20.54419</v>
      </c>
      <c r="J4572">
        <v>-411.78339999999997</v>
      </c>
      <c r="K4572">
        <v>1.117837</v>
      </c>
      <c r="L4572">
        <v>24.083130000000001</v>
      </c>
      <c r="M4572">
        <v>0.75061020000000001</v>
      </c>
      <c r="N4572">
        <v>0</v>
      </c>
      <c r="O4572">
        <v>-0.66058739999999905</v>
      </c>
      <c r="P4572">
        <v>0.88648179999999999</v>
      </c>
      <c r="Q4572">
        <v>5.8030470000000004E-3</v>
      </c>
      <c r="R4572">
        <v>-0.46272770000000002</v>
      </c>
      <c r="S4572">
        <v>2.8247990000000001</v>
      </c>
      <c r="T4572">
        <v>-0.33316230000000002</v>
      </c>
      <c r="U4572">
        <v>-1.0794979999999901</v>
      </c>
      <c r="V4572">
        <v>-0.2386395</v>
      </c>
      <c r="W4572">
        <v>1.5150749999999999E-2</v>
      </c>
      <c r="X4572">
        <v>0.97099000000000002</v>
      </c>
      <c r="Y4572">
        <v>-0.34397460000000002</v>
      </c>
      <c r="Z4572">
        <v>8.7119230000000006E-2</v>
      </c>
      <c r="AA4572">
        <v>0.93492869999999995</v>
      </c>
      <c r="AB4572">
        <v>28</v>
      </c>
      <c r="AC4572">
        <v>9.3768999999999707</v>
      </c>
      <c r="AD4572">
        <v>-1.117842186379</v>
      </c>
      <c r="AE4572">
        <v>-3.5389400000000002</v>
      </c>
      <c r="AF4572">
        <v>-3.49479248316965</v>
      </c>
      <c r="AG4572">
        <v>-1.117842186379</v>
      </c>
      <c r="AH4572">
        <v>9.2619384765384698</v>
      </c>
      <c r="AI4572">
        <v>96.442594116745497</v>
      </c>
      <c r="AJ4572">
        <v>110.67291589505</v>
      </c>
      <c r="AK4572">
        <v>9.9622612893484899</v>
      </c>
      <c r="AL4572">
        <v>89.131892727078807</v>
      </c>
      <c r="AM4572">
        <v>103.807873173102</v>
      </c>
      <c r="AN4572">
        <v>0.99999996814290504</v>
      </c>
    </row>
    <row r="4573" spans="1:40" x14ac:dyDescent="0.25">
      <c r="A4573" t="str">
        <f>"20190312151630310"</f>
        <v>20190312151630310</v>
      </c>
      <c r="B4573" t="str">
        <f>"1552374990302548"</f>
        <v>1552374990302548</v>
      </c>
      <c r="C4573" t="s">
        <v>40</v>
      </c>
      <c r="D4573">
        <v>4.5620089999999998</v>
      </c>
      <c r="E4573">
        <v>0.4562659</v>
      </c>
      <c r="F4573" t="s">
        <v>64</v>
      </c>
      <c r="G4573">
        <v>-402.24220000000003</v>
      </c>
      <c r="H4573" s="1">
        <v>-5.2514960000000003E-6</v>
      </c>
      <c r="I4573">
        <v>20.480039999999999</v>
      </c>
      <c r="J4573">
        <v>-411.68</v>
      </c>
      <c r="K4573">
        <v>1.117848</v>
      </c>
      <c r="L4573">
        <v>23.998750000000001</v>
      </c>
      <c r="M4573">
        <v>0.75400429999999996</v>
      </c>
      <c r="N4573">
        <v>0</v>
      </c>
      <c r="O4573">
        <v>-0.65671059999999903</v>
      </c>
      <c r="P4573">
        <v>0.88880349999999997</v>
      </c>
      <c r="Q4573">
        <v>5.5430169999999999E-3</v>
      </c>
      <c r="R4573">
        <v>-0.45825519999999997</v>
      </c>
      <c r="S4573">
        <v>2.828735</v>
      </c>
      <c r="T4573">
        <v>-0.33141520000000002</v>
      </c>
      <c r="U4573">
        <v>-1.0682370000000001</v>
      </c>
      <c r="V4573">
        <v>-0.23852429999999999</v>
      </c>
      <c r="W4573">
        <v>1.488947E-2</v>
      </c>
      <c r="X4573">
        <v>0.97102239999999995</v>
      </c>
      <c r="Y4573">
        <v>-0.34290510000000002</v>
      </c>
      <c r="Z4573">
        <v>8.6270200000000005E-2</v>
      </c>
      <c r="AA4573">
        <v>0.93540020000000001</v>
      </c>
      <c r="AB4573">
        <v>28</v>
      </c>
      <c r="AC4573">
        <v>9.4377999999999798</v>
      </c>
      <c r="AD4573">
        <v>-1.117853251496</v>
      </c>
      <c r="AE4573">
        <v>-3.51871</v>
      </c>
      <c r="AF4573">
        <v>-3.5020166429294801</v>
      </c>
      <c r="AG4573">
        <v>-1.117853251496</v>
      </c>
      <c r="AH4573">
        <v>9.3131897533394099</v>
      </c>
      <c r="AI4573">
        <v>96.410225645734997</v>
      </c>
      <c r="AJ4573">
        <v>110.607647446225</v>
      </c>
      <c r="AK4573">
        <v>10.0124532378903</v>
      </c>
      <c r="AL4573">
        <v>89.146864701776096</v>
      </c>
      <c r="AM4573">
        <v>103.80101962627199</v>
      </c>
      <c r="AN4573">
        <v>1.00000001965456</v>
      </c>
    </row>
    <row r="4574" spans="1:40" x14ac:dyDescent="0.25">
      <c r="A4574" t="str">
        <f>"20190312151630321"</f>
        <v>20190312151630321</v>
      </c>
      <c r="B4574" t="str">
        <f>"1552374990312308"</f>
        <v>1552374990312308</v>
      </c>
      <c r="C4574" t="s">
        <v>40</v>
      </c>
      <c r="D4574">
        <v>4.537204</v>
      </c>
      <c r="E4574">
        <v>0.45660139999999999</v>
      </c>
      <c r="F4574" t="s">
        <v>64</v>
      </c>
      <c r="G4574">
        <v>-402.17039999999997</v>
      </c>
      <c r="H4574" s="1">
        <v>-5.2801609999999998E-6</v>
      </c>
      <c r="I4574">
        <v>20.45326</v>
      </c>
      <c r="J4574">
        <v>-411.58080000000001</v>
      </c>
      <c r="K4574">
        <v>1.1178549999999901</v>
      </c>
      <c r="L4574">
        <v>23.91901</v>
      </c>
      <c r="M4574">
        <v>0.75723619999999903</v>
      </c>
      <c r="N4574">
        <v>0</v>
      </c>
      <c r="O4574">
        <v>-0.65298120000000004</v>
      </c>
      <c r="P4574">
        <v>0.89094130000000005</v>
      </c>
      <c r="Q4574">
        <v>5.2580860000000004E-3</v>
      </c>
      <c r="R4574">
        <v>-0.4540882</v>
      </c>
      <c r="S4574">
        <v>2.8328549999999999</v>
      </c>
      <c r="T4574">
        <v>-0.33300279999999999</v>
      </c>
      <c r="U4574">
        <v>-1.0561830000000001</v>
      </c>
      <c r="V4574">
        <v>-0.23827519999999999</v>
      </c>
      <c r="W4574">
        <v>1.4606259999999999E-2</v>
      </c>
      <c r="X4574">
        <v>0.97108779999999995</v>
      </c>
      <c r="Y4574">
        <v>-0.34218520000000002</v>
      </c>
      <c r="Z4574">
        <v>8.6312929999999996E-2</v>
      </c>
      <c r="AA4574">
        <v>0.93565989999999999</v>
      </c>
      <c r="AB4574">
        <v>28</v>
      </c>
      <c r="AC4574">
        <v>9.4104000000000294</v>
      </c>
      <c r="AD4574">
        <v>-1.11786028016099</v>
      </c>
      <c r="AE4574">
        <v>-3.4657499999999999</v>
      </c>
      <c r="AF4574">
        <v>-3.4775794653359702</v>
      </c>
      <c r="AG4574">
        <v>-1.11786028016099</v>
      </c>
      <c r="AH4574">
        <v>9.2747016594260199</v>
      </c>
      <c r="AI4574">
        <v>96.438901191970203</v>
      </c>
      <c r="AJ4574">
        <v>110.553696491268</v>
      </c>
      <c r="AK4574">
        <v>9.9681122292562492</v>
      </c>
      <c r="AL4574">
        <v>89.163093158037896</v>
      </c>
      <c r="AM4574">
        <v>103.78626383191001</v>
      </c>
      <c r="AN4574">
        <v>0.99999996453753304</v>
      </c>
    </row>
    <row r="4575" spans="1:40" x14ac:dyDescent="0.25">
      <c r="A4575" t="str">
        <f>"20190312151630331"</f>
        <v>20190312151630331</v>
      </c>
      <c r="B4575" t="str">
        <f>"1552374990323044"</f>
        <v>1552374990323044</v>
      </c>
      <c r="C4575" t="s">
        <v>40</v>
      </c>
      <c r="D4575">
        <v>4.5663830000000001</v>
      </c>
      <c r="E4575">
        <v>0.45696540000000002</v>
      </c>
      <c r="F4575" t="s">
        <v>64</v>
      </c>
      <c r="G4575">
        <v>-402.084</v>
      </c>
      <c r="H4575" s="1">
        <v>-5.3144449999999899E-6</v>
      </c>
      <c r="I4575">
        <v>20.419799999999999</v>
      </c>
      <c r="J4575">
        <v>-411.47280000000001</v>
      </c>
      <c r="K4575">
        <v>1.117864</v>
      </c>
      <c r="L4575">
        <v>23.832519999999999</v>
      </c>
      <c r="M4575">
        <v>0.76072959999999901</v>
      </c>
      <c r="N4575">
        <v>0</v>
      </c>
      <c r="O4575">
        <v>-0.64890829999999999</v>
      </c>
      <c r="P4575">
        <v>0.89334919999999995</v>
      </c>
      <c r="Q4575">
        <v>4.9816280000000001E-3</v>
      </c>
      <c r="R4575">
        <v>-0.44933600000000001</v>
      </c>
      <c r="S4575">
        <v>2.8364560000000001</v>
      </c>
      <c r="T4575">
        <v>-0.3338797</v>
      </c>
      <c r="U4575">
        <v>-1.0451349999999999</v>
      </c>
      <c r="V4575">
        <v>-0.23823259999999999</v>
      </c>
      <c r="W4575">
        <v>1.4327339999999999E-2</v>
      </c>
      <c r="X4575">
        <v>0.97110240000000003</v>
      </c>
      <c r="Y4575">
        <v>-0.34073989999999998</v>
      </c>
      <c r="Z4575">
        <v>8.610611E-2</v>
      </c>
      <c r="AA4575">
        <v>0.93620619999999999</v>
      </c>
      <c r="AB4575">
        <v>28</v>
      </c>
      <c r="AC4575">
        <v>9.3887999999999998</v>
      </c>
      <c r="AD4575">
        <v>-1.117869314445</v>
      </c>
      <c r="AE4575">
        <v>-3.4127200000000002</v>
      </c>
      <c r="AF4575">
        <v>-3.4534343298803001</v>
      </c>
      <c r="AG4575">
        <v>-1.117869314445</v>
      </c>
      <c r="AH4575">
        <v>9.2421275874489801</v>
      </c>
      <c r="AI4575">
        <v>96.464171447132102</v>
      </c>
      <c r="AJ4575">
        <v>110.48881870305399</v>
      </c>
      <c r="AK4575">
        <v>9.9293888441161897</v>
      </c>
      <c r="AL4575">
        <v>89.179075764545999</v>
      </c>
      <c r="AM4575">
        <v>103.783693740882</v>
      </c>
      <c r="AN4575">
        <v>0.99999995782999695</v>
      </c>
    </row>
    <row r="4576" spans="1:40" x14ac:dyDescent="0.25">
      <c r="A4576" t="str">
        <f>"20190312151630344"</f>
        <v>20190312151630344</v>
      </c>
      <c r="B4576" t="str">
        <f>"1552374990332805"</f>
        <v>1552374990332805</v>
      </c>
      <c r="C4576" t="s">
        <v>40</v>
      </c>
      <c r="D4576">
        <v>4.595885</v>
      </c>
      <c r="E4576">
        <v>0.45731739999999999</v>
      </c>
      <c r="F4576" t="s">
        <v>64</v>
      </c>
      <c r="G4576">
        <v>-401.99630000000002</v>
      </c>
      <c r="H4576" s="1">
        <v>-5.3495489999999899E-6</v>
      </c>
      <c r="I4576">
        <v>20.387370000000001</v>
      </c>
      <c r="J4576">
        <v>-411.3603</v>
      </c>
      <c r="K4576">
        <v>1.1178760000000001</v>
      </c>
      <c r="L4576">
        <v>23.744109999999999</v>
      </c>
      <c r="M4576">
        <v>0.76433249999999997</v>
      </c>
      <c r="N4576">
        <v>0</v>
      </c>
      <c r="O4576">
        <v>-0.64466040000000002</v>
      </c>
      <c r="P4576">
        <v>0.89577989999999996</v>
      </c>
      <c r="Q4576">
        <v>4.945301E-3</v>
      </c>
      <c r="R4576">
        <v>-0.4444708</v>
      </c>
      <c r="S4576">
        <v>2.840576</v>
      </c>
      <c r="T4576">
        <v>-0.33508179999999999</v>
      </c>
      <c r="U4576">
        <v>-1.0326839999999999</v>
      </c>
      <c r="V4576">
        <v>-0.23810400000000001</v>
      </c>
      <c r="W4576">
        <v>1.429158E-2</v>
      </c>
      <c r="X4576">
        <v>0.97113450000000001</v>
      </c>
      <c r="Y4576">
        <v>-0.339557</v>
      </c>
      <c r="Z4576">
        <v>8.5972729999999997E-2</v>
      </c>
      <c r="AA4576">
        <v>0.93664809999999998</v>
      </c>
      <c r="AB4576">
        <v>28</v>
      </c>
      <c r="AC4576">
        <v>9.3639999999999706</v>
      </c>
      <c r="AD4576">
        <v>-1.1178813495489901</v>
      </c>
      <c r="AE4576">
        <v>-3.3567399999999901</v>
      </c>
      <c r="AF4576">
        <v>-3.4280049524990099</v>
      </c>
      <c r="AG4576">
        <v>-1.1178813495489901</v>
      </c>
      <c r="AH4576">
        <v>9.20587989878541</v>
      </c>
      <c r="AI4576">
        <v>96.4921969581506</v>
      </c>
      <c r="AJ4576">
        <v>110.423883795639</v>
      </c>
      <c r="AK4576">
        <v>9.8868145212140295</v>
      </c>
      <c r="AL4576">
        <v>89.181124898329003</v>
      </c>
      <c r="AM4576">
        <v>103.776098716337</v>
      </c>
      <c r="AN4576">
        <v>0.99999999058257305</v>
      </c>
    </row>
    <row r="4577" spans="1:40" x14ac:dyDescent="0.25">
      <c r="A4577" t="str">
        <f>"20190312151630355"</f>
        <v>20190312151630355</v>
      </c>
      <c r="B4577" t="str">
        <f>"1552374990352324"</f>
        <v>1552374990352324</v>
      </c>
      <c r="C4577" t="s">
        <v>40</v>
      </c>
      <c r="D4577">
        <v>4.564324</v>
      </c>
      <c r="E4577">
        <v>0.45789049999999998</v>
      </c>
      <c r="F4577" t="s">
        <v>64</v>
      </c>
      <c r="G4577">
        <v>-401.86180000000002</v>
      </c>
      <c r="H4577" s="1">
        <v>-5.4036049999999997E-6</v>
      </c>
      <c r="I4577">
        <v>20.33905</v>
      </c>
      <c r="J4577">
        <v>-411.25189999999998</v>
      </c>
      <c r="K4577">
        <v>1.1178840000000001</v>
      </c>
      <c r="L4577">
        <v>23.659479999999999</v>
      </c>
      <c r="M4577">
        <v>0.76777390000000001</v>
      </c>
      <c r="N4577">
        <v>0</v>
      </c>
      <c r="O4577">
        <v>-0.64055769999999901</v>
      </c>
      <c r="P4577">
        <v>0.89824369999999998</v>
      </c>
      <c r="Q4577">
        <v>4.6419460000000001E-3</v>
      </c>
      <c r="R4577">
        <v>-0.43947360000000002</v>
      </c>
      <c r="S4577">
        <v>2.844849</v>
      </c>
      <c r="T4577">
        <v>-0.33481240000000001</v>
      </c>
      <c r="U4577">
        <v>-1.019836</v>
      </c>
      <c r="V4577">
        <v>-0.23830879999999999</v>
      </c>
      <c r="W4577">
        <v>1.3981189999999999E-2</v>
      </c>
      <c r="X4577">
        <v>0.97108879999999997</v>
      </c>
      <c r="Y4577">
        <v>-0.3387521</v>
      </c>
      <c r="Z4577">
        <v>8.5491429999999993E-2</v>
      </c>
      <c r="AA4577">
        <v>0.93698360000000003</v>
      </c>
      <c r="AB4577">
        <v>28</v>
      </c>
      <c r="AC4577">
        <v>9.3900999999999595</v>
      </c>
      <c r="AD4577">
        <v>-1.117889403605</v>
      </c>
      <c r="AE4577">
        <v>-3.3204299999999898</v>
      </c>
      <c r="AF4577">
        <v>-3.4228044249997698</v>
      </c>
      <c r="AG4577">
        <v>-1.117889403605</v>
      </c>
      <c r="AH4577">
        <v>9.2212112970233395</v>
      </c>
      <c r="AI4577">
        <v>96.484024955711106</v>
      </c>
      <c r="AJ4577">
        <v>110.364329486901</v>
      </c>
      <c r="AK4577">
        <v>9.8992931381407896</v>
      </c>
      <c r="AL4577">
        <v>89.198910726475205</v>
      </c>
      <c r="AM4577">
        <v>103.788120037434</v>
      </c>
      <c r="AN4577">
        <v>1.00000000765834</v>
      </c>
    </row>
    <row r="4578" spans="1:40" x14ac:dyDescent="0.25">
      <c r="A4578" t="str">
        <f>"20190312151630366"</f>
        <v>20190312151630366</v>
      </c>
      <c r="B4578" t="str">
        <f>"1552374990362084"</f>
        <v>1552374990362084</v>
      </c>
      <c r="C4578" t="s">
        <v>40</v>
      </c>
      <c r="D4578">
        <v>4.5238809999999896</v>
      </c>
      <c r="E4578">
        <v>0.4581807</v>
      </c>
      <c r="F4578" t="s">
        <v>64</v>
      </c>
      <c r="G4578">
        <v>-401.84820000000002</v>
      </c>
      <c r="H4578" s="1">
        <v>-5.4086030000000001E-6</v>
      </c>
      <c r="I4578">
        <v>20.331630000000001</v>
      </c>
      <c r="J4578">
        <v>-411.1343</v>
      </c>
      <c r="K4578">
        <v>1.1178900000000001</v>
      </c>
      <c r="L4578">
        <v>23.569030000000001</v>
      </c>
      <c r="M4578">
        <v>0.77147310000000002</v>
      </c>
      <c r="N4578">
        <v>0</v>
      </c>
      <c r="O4578">
        <v>-0.63609759999999904</v>
      </c>
      <c r="P4578">
        <v>0.90073099999999995</v>
      </c>
      <c r="Q4578">
        <v>4.6044249999999997E-3</v>
      </c>
      <c r="R4578">
        <v>-0.43435319999999999</v>
      </c>
      <c r="S4578">
        <v>2.8484189999999998</v>
      </c>
      <c r="T4578">
        <v>-0.33861479999999999</v>
      </c>
      <c r="U4578">
        <v>-1.0080260000000001</v>
      </c>
      <c r="V4578">
        <v>-0.23820839999999999</v>
      </c>
      <c r="W4578">
        <v>1.394448E-2</v>
      </c>
      <c r="X4578">
        <v>0.97111389999999997</v>
      </c>
      <c r="Y4578">
        <v>-0.337038</v>
      </c>
      <c r="Z4578">
        <v>8.5966479999999998E-2</v>
      </c>
      <c r="AA4578">
        <v>0.93755809999999995</v>
      </c>
      <c r="AB4578">
        <v>28</v>
      </c>
      <c r="AC4578">
        <v>9.2860999999999692</v>
      </c>
      <c r="AD4578">
        <v>-1.117895408603</v>
      </c>
      <c r="AE4578">
        <v>-3.2373999999999898</v>
      </c>
      <c r="AF4578">
        <v>-3.3661588635521</v>
      </c>
      <c r="AG4578">
        <v>-1.117895408603</v>
      </c>
      <c r="AH4578">
        <v>9.1065706625269005</v>
      </c>
      <c r="AI4578">
        <v>96.568258723871807</v>
      </c>
      <c r="AJ4578">
        <v>110.286362521554</v>
      </c>
      <c r="AK4578">
        <v>9.7729394181505995</v>
      </c>
      <c r="AL4578">
        <v>89.201014212369003</v>
      </c>
      <c r="AM4578">
        <v>103.782189978719</v>
      </c>
      <c r="AN4578">
        <v>0.99999994856311802</v>
      </c>
    </row>
    <row r="4579" spans="1:40" x14ac:dyDescent="0.25">
      <c r="A4579" t="str">
        <f>"20190312151630376"</f>
        <v>20190312151630376</v>
      </c>
      <c r="B4579" t="str">
        <f>"1552374990372821"</f>
        <v>1552374990372821</v>
      </c>
      <c r="C4579" t="s">
        <v>40</v>
      </c>
      <c r="D4579">
        <v>4.5919660000000002</v>
      </c>
      <c r="E4579">
        <v>0.45803820000000001</v>
      </c>
      <c r="F4579" t="s">
        <v>64</v>
      </c>
      <c r="G4579">
        <v>-401.71390000000002</v>
      </c>
      <c r="H4579" s="1">
        <v>-5.4633569999999999E-6</v>
      </c>
      <c r="I4579">
        <v>20.28762</v>
      </c>
      <c r="J4579">
        <v>-411.03859999999997</v>
      </c>
      <c r="K4579">
        <v>1.117899</v>
      </c>
      <c r="L4579">
        <v>23.496030000000001</v>
      </c>
      <c r="M4579">
        <v>0.77445719999999996</v>
      </c>
      <c r="N4579">
        <v>0</v>
      </c>
      <c r="O4579">
        <v>-0.63246099999999905</v>
      </c>
      <c r="P4579">
        <v>0.90289770000000003</v>
      </c>
      <c r="Q4579">
        <v>4.6239230000000003E-3</v>
      </c>
      <c r="R4579">
        <v>-0.42983100000000002</v>
      </c>
      <c r="S4579">
        <v>2.8530579999999999</v>
      </c>
      <c r="T4579">
        <v>-0.33856510000000001</v>
      </c>
      <c r="U4579">
        <v>-0.99380489999999999</v>
      </c>
      <c r="V4579">
        <v>-0.23850940000000001</v>
      </c>
      <c r="W4579">
        <v>1.3956400000000001E-2</v>
      </c>
      <c r="X4579">
        <v>0.97103989999999996</v>
      </c>
      <c r="Y4579">
        <v>-0.33727289999999999</v>
      </c>
      <c r="Z4579">
        <v>8.5627699999999904E-2</v>
      </c>
      <c r="AA4579">
        <v>0.93750460000000002</v>
      </c>
      <c r="AB4579">
        <v>28</v>
      </c>
      <c r="AC4579">
        <v>9.3246999999999396</v>
      </c>
      <c r="AD4579">
        <v>-1.1179044633570001</v>
      </c>
      <c r="AE4579">
        <v>-3.20840999999999</v>
      </c>
      <c r="AF4579">
        <v>-3.3697836830307399</v>
      </c>
      <c r="AG4579">
        <v>-1.1179044633570001</v>
      </c>
      <c r="AH4579">
        <v>9.1343544180237597</v>
      </c>
      <c r="AI4579">
        <v>96.550041425942496</v>
      </c>
      <c r="AJ4579">
        <v>110.24968213379201</v>
      </c>
      <c r="AK4579">
        <v>9.8000807697530696</v>
      </c>
      <c r="AL4579">
        <v>89.200331222262093</v>
      </c>
      <c r="AM4579">
        <v>103.79995127246499</v>
      </c>
      <c r="AN4579">
        <v>1.00000000119066</v>
      </c>
    </row>
    <row r="4580" spans="1:40" x14ac:dyDescent="0.25">
      <c r="A4580" t="str">
        <f>"20190312151630388"</f>
        <v>20190312151630388</v>
      </c>
      <c r="B4580" t="str">
        <f>"1552374990382580"</f>
        <v>1552374990382580</v>
      </c>
      <c r="C4580" t="s">
        <v>40</v>
      </c>
      <c r="D4580">
        <v>4.5880330000000002</v>
      </c>
      <c r="E4580">
        <v>0.45769720000000003</v>
      </c>
      <c r="F4580" t="s">
        <v>64</v>
      </c>
      <c r="G4580">
        <v>-401.6508</v>
      </c>
      <c r="H4580" s="1">
        <v>-5.4917819999999996E-6</v>
      </c>
      <c r="I4580">
        <v>20.282129999999999</v>
      </c>
      <c r="J4580">
        <v>-410.91969999999998</v>
      </c>
      <c r="K4580">
        <v>1.117901</v>
      </c>
      <c r="L4580">
        <v>23.40643</v>
      </c>
      <c r="M4580">
        <v>0.77812799999999904</v>
      </c>
      <c r="N4580">
        <v>0</v>
      </c>
      <c r="O4580">
        <v>-0.62793909999999997</v>
      </c>
      <c r="P4580">
        <v>0.90553079999999997</v>
      </c>
      <c r="Q4580">
        <v>4.4273450000000001E-3</v>
      </c>
      <c r="R4580">
        <v>-0.42425790000000002</v>
      </c>
      <c r="S4580">
        <v>2.8585210000000001</v>
      </c>
      <c r="T4580">
        <v>-0.34039209999999998</v>
      </c>
      <c r="U4580">
        <v>-0.97860720000000001</v>
      </c>
      <c r="V4580">
        <v>-0.23883560000000001</v>
      </c>
      <c r="W4580">
        <v>1.3751849999999999E-2</v>
      </c>
      <c r="X4580">
        <v>0.97096260000000001</v>
      </c>
      <c r="Y4580">
        <v>-0.33677689999999999</v>
      </c>
      <c r="Z4580">
        <v>8.5622329999999996E-2</v>
      </c>
      <c r="AA4580">
        <v>0.93768339999999994</v>
      </c>
      <c r="AB4580">
        <v>28</v>
      </c>
      <c r="AC4580">
        <v>9.2688999999999702</v>
      </c>
      <c r="AD4580">
        <v>-1.1179064917820001</v>
      </c>
      <c r="AE4580">
        <v>-3.1242999999999999</v>
      </c>
      <c r="AF4580">
        <v>-3.3458498127990599</v>
      </c>
      <c r="AG4580">
        <v>-1.1179064917820001</v>
      </c>
      <c r="AH4580">
        <v>9.05691724353313</v>
      </c>
      <c r="AI4580">
        <v>96.604475491617194</v>
      </c>
      <c r="AJ4580">
        <v>110.275480060124</v>
      </c>
      <c r="AK4580">
        <v>9.7196798224212895</v>
      </c>
      <c r="AL4580">
        <v>89.212052169482007</v>
      </c>
      <c r="AM4580">
        <v>103.819159932421</v>
      </c>
      <c r="AN4580">
        <v>0.99999996390226997</v>
      </c>
    </row>
    <row r="4581" spans="1:40" x14ac:dyDescent="0.25">
      <c r="A4581" t="str">
        <f>"20190312151630401"</f>
        <v>20190312151630401</v>
      </c>
      <c r="B4581" t="str">
        <f>"1552374990392340"</f>
        <v>1552374990392340</v>
      </c>
      <c r="C4581" t="s">
        <v>40</v>
      </c>
      <c r="D4581">
        <v>4.5503049999999998</v>
      </c>
      <c r="E4581">
        <v>0.45769720000000003</v>
      </c>
      <c r="F4581" t="s">
        <v>64</v>
      </c>
      <c r="G4581">
        <v>-401.53960000000001</v>
      </c>
      <c r="H4581" s="1">
        <v>-5.5410510000000003E-6</v>
      </c>
      <c r="I4581">
        <v>20.268180000000001</v>
      </c>
      <c r="J4581">
        <v>-410.80560000000003</v>
      </c>
      <c r="K4581">
        <v>1.117902</v>
      </c>
      <c r="L4581">
        <v>23.321529999999999</v>
      </c>
      <c r="M4581">
        <v>0.78161689999999995</v>
      </c>
      <c r="N4581">
        <v>0</v>
      </c>
      <c r="O4581">
        <v>-0.62359100000000001</v>
      </c>
      <c r="P4581">
        <v>0.90799799999999997</v>
      </c>
      <c r="Q4581">
        <v>4.45715E-3</v>
      </c>
      <c r="R4581">
        <v>-0.41895120000000002</v>
      </c>
      <c r="S4581">
        <v>2.8654480000000002</v>
      </c>
      <c r="T4581">
        <v>-0.34150039999999998</v>
      </c>
      <c r="U4581">
        <v>-0.95867919999999995</v>
      </c>
      <c r="V4581">
        <v>-0.23910500000000001</v>
      </c>
      <c r="W4581">
        <v>1.377569E-2</v>
      </c>
      <c r="X4581">
        <v>0.97089599999999998</v>
      </c>
      <c r="Y4581">
        <v>-0.33806370000000002</v>
      </c>
      <c r="Z4581">
        <v>8.5536420000000002E-2</v>
      </c>
      <c r="AA4581">
        <v>0.93722810000000001</v>
      </c>
      <c r="AB4581">
        <v>28</v>
      </c>
      <c r="AC4581">
        <v>9.2660000000000196</v>
      </c>
      <c r="AD4581">
        <v>-1.117907541051</v>
      </c>
      <c r="AE4581">
        <v>-3.05335</v>
      </c>
      <c r="AF4581">
        <v>-3.3480400961026699</v>
      </c>
      <c r="AG4581">
        <v>-1.117907541051</v>
      </c>
      <c r="AH4581">
        <v>9.0289131678208108</v>
      </c>
      <c r="AI4581">
        <v>96.621817433573597</v>
      </c>
      <c r="AJ4581">
        <v>110.345444800639</v>
      </c>
      <c r="AK4581">
        <v>9.6943469479639504</v>
      </c>
      <c r="AL4581">
        <v>89.210686142461697</v>
      </c>
      <c r="AM4581">
        <v>103.83506159474101</v>
      </c>
      <c r="AN4581">
        <v>1.00000000673798</v>
      </c>
    </row>
    <row r="4582" spans="1:40" x14ac:dyDescent="0.25">
      <c r="A4582" t="str">
        <f>"20190312151630414"</f>
        <v>20190312151630414</v>
      </c>
      <c r="B4582" t="str">
        <f>"1552374990403076"</f>
        <v>1552374990403076</v>
      </c>
      <c r="C4582" t="s">
        <v>40</v>
      </c>
      <c r="D4582">
        <v>4.5558389999999997</v>
      </c>
      <c r="E4582">
        <v>0.44483</v>
      </c>
      <c r="F4582" t="s">
        <v>64</v>
      </c>
      <c r="G4582">
        <v>-401.40750000000003</v>
      </c>
      <c r="H4582" s="1">
        <v>-5.597269E-6</v>
      </c>
      <c r="I4582">
        <v>20.238119999999999</v>
      </c>
      <c r="J4582">
        <v>-410.67020000000002</v>
      </c>
      <c r="K4582">
        <v>1.117902</v>
      </c>
      <c r="L4582">
        <v>23.221800000000002</v>
      </c>
      <c r="M4582">
        <v>0.78571040000000003</v>
      </c>
      <c r="N4582">
        <v>0</v>
      </c>
      <c r="O4582">
        <v>-0.61842549999999996</v>
      </c>
      <c r="P4582">
        <v>0.91086400000000001</v>
      </c>
      <c r="Q4582">
        <v>4.4130469999999998E-3</v>
      </c>
      <c r="R4582">
        <v>-0.41268379999999999</v>
      </c>
      <c r="S4582">
        <v>2.8710330000000002</v>
      </c>
      <c r="T4582">
        <v>-0.341510799999999</v>
      </c>
      <c r="U4582">
        <v>-0.9419556</v>
      </c>
      <c r="V4582">
        <v>-0.23939579999999999</v>
      </c>
      <c r="W4582">
        <v>1.372611E-2</v>
      </c>
      <c r="X4582">
        <v>0.97082500000000005</v>
      </c>
      <c r="Y4582">
        <v>-0.3373678</v>
      </c>
      <c r="Z4582">
        <v>8.5004479999999993E-2</v>
      </c>
      <c r="AA4582">
        <v>0.9375272</v>
      </c>
      <c r="AB4582">
        <v>28</v>
      </c>
      <c r="AC4582">
        <v>9.2626999999999899</v>
      </c>
      <c r="AD4582">
        <v>-1.117907597269</v>
      </c>
      <c r="AE4582">
        <v>-2.9836800000000001</v>
      </c>
      <c r="AF4582">
        <v>-3.3402552593822499</v>
      </c>
      <c r="AG4582">
        <v>-1.117907597269</v>
      </c>
      <c r="AH4582">
        <v>9.0051006259720197</v>
      </c>
      <c r="AI4582">
        <v>96.638922998996307</v>
      </c>
      <c r="AJ4582">
        <v>110.351290700315</v>
      </c>
      <c r="AK4582">
        <v>9.6694808484087797</v>
      </c>
      <c r="AL4582">
        <v>89.2135271052462</v>
      </c>
      <c r="AM4582">
        <v>103.852214211114</v>
      </c>
      <c r="AN4582">
        <v>0.99999996788918499</v>
      </c>
    </row>
    <row r="4583" spans="1:40" x14ac:dyDescent="0.25">
      <c r="A4583" t="str">
        <f>"20190312151630427"</f>
        <v>20190312151630427</v>
      </c>
      <c r="B4583" t="str">
        <f>"1552374990422596"</f>
        <v>1552374990422596</v>
      </c>
      <c r="C4583" t="s">
        <v>40</v>
      </c>
      <c r="D4583">
        <v>4.5402079999999998</v>
      </c>
      <c r="E4583">
        <v>0.4450653</v>
      </c>
      <c r="F4583" t="s">
        <v>43</v>
      </c>
      <c r="G4583">
        <v>-398.39710000000002</v>
      </c>
      <c r="H4583" s="1">
        <v>-7.682955E-7</v>
      </c>
      <c r="I4583">
        <v>19.729469999999999</v>
      </c>
      <c r="J4583">
        <v>-410.5385</v>
      </c>
      <c r="K4583">
        <v>1.1178999999999999</v>
      </c>
      <c r="L4583">
        <v>23.126429999999999</v>
      </c>
      <c r="M4583">
        <v>0.78964160000000005</v>
      </c>
      <c r="N4583">
        <v>0</v>
      </c>
      <c r="O4583">
        <v>-0.61339779999999999</v>
      </c>
      <c r="P4583">
        <v>0.9135704</v>
      </c>
      <c r="Q4583">
        <v>4.0901269999999998E-3</v>
      </c>
      <c r="R4583">
        <v>-0.40666059999999998</v>
      </c>
      <c r="S4583">
        <v>2.9185490000000001</v>
      </c>
      <c r="T4583">
        <v>-0.26583639999999997</v>
      </c>
      <c r="U4583">
        <v>-0.83047490000000002</v>
      </c>
      <c r="V4583">
        <v>-0.23960339999999999</v>
      </c>
      <c r="W4583">
        <v>1.3399980000000001E-2</v>
      </c>
      <c r="X4583">
        <v>0.97077840000000004</v>
      </c>
      <c r="Y4583">
        <v>-0.37055830000000001</v>
      </c>
      <c r="Z4583">
        <v>6.6882129999999998E-2</v>
      </c>
      <c r="AA4583">
        <v>0.92639800000000005</v>
      </c>
      <c r="AB4583">
        <v>28</v>
      </c>
      <c r="AC4583">
        <v>12.1413999999999</v>
      </c>
      <c r="AD4583">
        <v>-1.1179007682955</v>
      </c>
      <c r="AE4583">
        <v>-3.3969599999999902</v>
      </c>
      <c r="AF4583">
        <v>-4.7284503281543797</v>
      </c>
      <c r="AG4583">
        <v>-1.1179007682955</v>
      </c>
      <c r="AH4583">
        <v>11.581211260866001</v>
      </c>
      <c r="AI4583">
        <v>95.106702836962796</v>
      </c>
      <c r="AJ4583">
        <v>112.209522783325</v>
      </c>
      <c r="AK4583">
        <v>12.559155978902</v>
      </c>
      <c r="AL4583">
        <v>89.232214741535699</v>
      </c>
      <c r="AM4583">
        <v>103.86440321540999</v>
      </c>
      <c r="AN4583">
        <v>1.0000000253310599</v>
      </c>
    </row>
    <row r="4584" spans="1:40" x14ac:dyDescent="0.25">
      <c r="A4584" t="str">
        <f>"20190312151630445"</f>
        <v>20190312151630445</v>
      </c>
      <c r="B4584" t="str">
        <f>"1552374990432356"</f>
        <v>1552374990432356</v>
      </c>
      <c r="C4584" t="s">
        <v>40</v>
      </c>
      <c r="D4584">
        <v>4.5484299999999998</v>
      </c>
      <c r="E4584">
        <v>0.4461948</v>
      </c>
      <c r="F4584" t="s">
        <v>43</v>
      </c>
      <c r="G4584">
        <v>-398.68720000000002</v>
      </c>
      <c r="H4584" s="1">
        <v>-6.5836209999999997E-7</v>
      </c>
      <c r="I4584">
        <v>19.831779999999998</v>
      </c>
      <c r="J4584">
        <v>-410.36970000000002</v>
      </c>
      <c r="K4584">
        <v>1.117893</v>
      </c>
      <c r="L4584">
        <v>23.006039999999999</v>
      </c>
      <c r="M4584">
        <v>0.79460719999999996</v>
      </c>
      <c r="N4584">
        <v>0</v>
      </c>
      <c r="O4584">
        <v>-0.60695129999999997</v>
      </c>
      <c r="P4584">
        <v>0.91703179999999995</v>
      </c>
      <c r="Q4584">
        <v>4.0529909999999997E-3</v>
      </c>
      <c r="R4584">
        <v>-0.39879330000000002</v>
      </c>
      <c r="S4584">
        <v>2.9233090000000002</v>
      </c>
      <c r="T4584">
        <v>-0.27574929999999997</v>
      </c>
      <c r="U4584">
        <v>-0.81268309999999999</v>
      </c>
      <c r="V4584">
        <v>-0.24004600000000001</v>
      </c>
      <c r="W4584">
        <v>1.335659E-2</v>
      </c>
      <c r="X4584">
        <v>0.97066960000000002</v>
      </c>
      <c r="Y4584">
        <v>-0.36840319999999999</v>
      </c>
      <c r="Z4584">
        <v>6.8785789999999999E-2</v>
      </c>
      <c r="AA4584">
        <v>0.92711790000000005</v>
      </c>
      <c r="AB4584">
        <v>28</v>
      </c>
      <c r="AC4584">
        <v>11.682499999999999</v>
      </c>
      <c r="AD4584">
        <v>-1.1178936583621</v>
      </c>
      <c r="AE4584">
        <v>-3.1742599999999999</v>
      </c>
      <c r="AF4584">
        <v>-4.5302678673283596</v>
      </c>
      <c r="AG4584">
        <v>-1.1178936583621</v>
      </c>
      <c r="AH4584">
        <v>11.1160083622734</v>
      </c>
      <c r="AI4584">
        <v>95.320554596136304</v>
      </c>
      <c r="AJ4584">
        <v>112.173081272766</v>
      </c>
      <c r="AK4584">
        <v>12.0556482650783</v>
      </c>
      <c r="AL4584">
        <v>89.234700990470301</v>
      </c>
      <c r="AM4584">
        <v>103.890519603813</v>
      </c>
      <c r="AN4584">
        <v>0.99999997648829297</v>
      </c>
    </row>
    <row r="4585" spans="1:40" x14ac:dyDescent="0.25">
      <c r="A4585" t="str">
        <f>"20190312151630455"</f>
        <v>20190312151630455</v>
      </c>
      <c r="B4585" t="str">
        <f>"1552374990452852"</f>
        <v>1552374990452852</v>
      </c>
      <c r="C4585" t="s">
        <v>40</v>
      </c>
      <c r="D4585">
        <v>4.5764180000000003</v>
      </c>
      <c r="E4585">
        <v>0.44718930000000001</v>
      </c>
      <c r="F4585" t="s">
        <v>43</v>
      </c>
      <c r="G4585">
        <v>-398.69029999999998</v>
      </c>
      <c r="H4585" s="1">
        <v>-6.5648950000000001E-7</v>
      </c>
      <c r="I4585">
        <v>19.830290000000002</v>
      </c>
      <c r="J4585">
        <v>-410.25420000000003</v>
      </c>
      <c r="K4585">
        <v>1.1178870000000001</v>
      </c>
      <c r="L4585">
        <v>22.924530000000001</v>
      </c>
      <c r="M4585">
        <v>0.79796669999999903</v>
      </c>
      <c r="N4585">
        <v>0</v>
      </c>
      <c r="O4585">
        <v>-0.60252759999999905</v>
      </c>
      <c r="P4585">
        <v>0.91929439999999996</v>
      </c>
      <c r="Q4585">
        <v>3.884031E-3</v>
      </c>
      <c r="R4585">
        <v>-0.3935515</v>
      </c>
      <c r="S4585">
        <v>2.9266049999999999</v>
      </c>
      <c r="T4585">
        <v>-0.28012029999999999</v>
      </c>
      <c r="U4585">
        <v>-0.79577640000000005</v>
      </c>
      <c r="V4585">
        <v>-0.2401924</v>
      </c>
      <c r="W4585">
        <v>1.3187330000000001E-2</v>
      </c>
      <c r="X4585">
        <v>0.97063569999999999</v>
      </c>
      <c r="Y4585">
        <v>-0.36839139999999998</v>
      </c>
      <c r="Z4585">
        <v>6.9552429999999998E-2</v>
      </c>
      <c r="AA4585">
        <v>0.92706540000000004</v>
      </c>
      <c r="AB4585">
        <v>28</v>
      </c>
      <c r="AC4585">
        <v>11.5639</v>
      </c>
      <c r="AD4585">
        <v>-1.1178876564894999</v>
      </c>
      <c r="AE4585">
        <v>-3.0942399999999899</v>
      </c>
      <c r="AF4585">
        <v>-4.4600449092349503</v>
      </c>
      <c r="AG4585">
        <v>-1.1178876564894999</v>
      </c>
      <c r="AH4585">
        <v>10.997230402059699</v>
      </c>
      <c r="AI4585">
        <v>95.381357894487394</v>
      </c>
      <c r="AJ4585">
        <v>112.07554293195</v>
      </c>
      <c r="AK4585">
        <v>11.919762997682</v>
      </c>
      <c r="AL4585">
        <v>89.244399730026004</v>
      </c>
      <c r="AM4585">
        <v>103.899129444415</v>
      </c>
      <c r="AN4585">
        <v>0.99999997840238897</v>
      </c>
    </row>
    <row r="4586" spans="1:40" x14ac:dyDescent="0.25">
      <c r="A4586" t="str">
        <f>"20190312151630466"</f>
        <v>20190312151630466</v>
      </c>
      <c r="B4586" t="str">
        <f>"1552374990462612"</f>
        <v>1552374990462612</v>
      </c>
      <c r="C4586" t="s">
        <v>40</v>
      </c>
      <c r="D4586">
        <v>4.5796130000000002</v>
      </c>
      <c r="E4586">
        <v>0.44732850000000002</v>
      </c>
      <c r="F4586" t="s">
        <v>43</v>
      </c>
      <c r="G4586">
        <v>-398.79379999999998</v>
      </c>
      <c r="H4586" s="1">
        <v>-6.1209060000000003E-7</v>
      </c>
      <c r="I4586">
        <v>19.847249999999999</v>
      </c>
      <c r="J4586">
        <v>-410.1388</v>
      </c>
      <c r="K4586">
        <v>1.117882</v>
      </c>
      <c r="L4586">
        <v>22.84442</v>
      </c>
      <c r="M4586">
        <v>0.80127869999999901</v>
      </c>
      <c r="N4586">
        <v>0</v>
      </c>
      <c r="O4586">
        <v>-0.59811650000000005</v>
      </c>
      <c r="P4586">
        <v>0.92153410000000002</v>
      </c>
      <c r="Q4586">
        <v>3.9276780000000004E-3</v>
      </c>
      <c r="R4586">
        <v>-0.38827810000000001</v>
      </c>
      <c r="S4586">
        <v>2.9280400000000002</v>
      </c>
      <c r="T4586">
        <v>-0.28561259999999999</v>
      </c>
      <c r="U4586">
        <v>-0.78622440000000005</v>
      </c>
      <c r="V4586">
        <v>-0.2403991</v>
      </c>
      <c r="W4586">
        <v>1.3229289999999999E-2</v>
      </c>
      <c r="X4586">
        <v>0.970584</v>
      </c>
      <c r="Y4586">
        <v>-0.36607659999999997</v>
      </c>
      <c r="Z4586">
        <v>7.0483229999999994E-2</v>
      </c>
      <c r="AA4586">
        <v>0.92791159999999995</v>
      </c>
      <c r="AB4586">
        <v>28</v>
      </c>
      <c r="AC4586">
        <v>11.345000000000001</v>
      </c>
      <c r="AD4586">
        <v>-1.1178826120906</v>
      </c>
      <c r="AE4586">
        <v>-2.9971700000000001</v>
      </c>
      <c r="AF4586">
        <v>-4.3450866202092797</v>
      </c>
      <c r="AG4586">
        <v>-1.1178826120906</v>
      </c>
      <c r="AH4586">
        <v>10.7864067238638</v>
      </c>
      <c r="AI4586">
        <v>95.491053716667494</v>
      </c>
      <c r="AJ4586">
        <v>111.941047565738</v>
      </c>
      <c r="AK4586">
        <v>11.682294692574301</v>
      </c>
      <c r="AL4586">
        <v>89.241995421788303</v>
      </c>
      <c r="AM4586">
        <v>103.911338345549</v>
      </c>
      <c r="AN4586">
        <v>1.0000000212253499</v>
      </c>
    </row>
    <row r="4587" spans="1:40" x14ac:dyDescent="0.25">
      <c r="A4587" t="str">
        <f>"20190312151630478"</f>
        <v>20190312151630478</v>
      </c>
      <c r="B4587" t="str">
        <f>"1552374990472372"</f>
        <v>1552374990472372</v>
      </c>
      <c r="C4587" t="s">
        <v>40</v>
      </c>
      <c r="D4587">
        <v>4.508705</v>
      </c>
      <c r="E4587">
        <v>0.44801829999999998</v>
      </c>
      <c r="F4587" t="s">
        <v>43</v>
      </c>
      <c r="G4587">
        <v>-399.09809999999999</v>
      </c>
      <c r="H4587" s="1">
        <v>-4.9398990000000005E-7</v>
      </c>
      <c r="I4587">
        <v>19.94407</v>
      </c>
      <c r="J4587">
        <v>-410.02940000000001</v>
      </c>
      <c r="K4587">
        <v>1.1178760000000001</v>
      </c>
      <c r="L4587">
        <v>22.769169999999999</v>
      </c>
      <c r="M4587">
        <v>0.80438710000000002</v>
      </c>
      <c r="N4587">
        <v>0</v>
      </c>
      <c r="O4587">
        <v>-0.59392919999999905</v>
      </c>
      <c r="P4587">
        <v>0.92359340000000001</v>
      </c>
      <c r="Q4587">
        <v>3.9312770000000004E-3</v>
      </c>
      <c r="R4587">
        <v>-0.38335330000000001</v>
      </c>
      <c r="S4587">
        <v>2.9321290000000002</v>
      </c>
      <c r="T4587">
        <v>-0.29688239999999999</v>
      </c>
      <c r="U4587">
        <v>-0.7702637</v>
      </c>
      <c r="V4587">
        <v>-0.24051800000000001</v>
      </c>
      <c r="W4587">
        <v>1.323358E-2</v>
      </c>
      <c r="X4587">
        <v>0.97055449999999999</v>
      </c>
      <c r="Y4587">
        <v>-0.3659809</v>
      </c>
      <c r="Z4587">
        <v>7.2897879999999998E-2</v>
      </c>
      <c r="AA4587">
        <v>0.92776289999999995</v>
      </c>
      <c r="AB4587">
        <v>28</v>
      </c>
      <c r="AC4587">
        <v>10.9313</v>
      </c>
      <c r="AD4587">
        <v>-1.1178764939899</v>
      </c>
      <c r="AE4587">
        <v>-2.8250999999999999</v>
      </c>
      <c r="AF4587">
        <v>-4.1794150682362998</v>
      </c>
      <c r="AG4587">
        <v>-1.1178764939899</v>
      </c>
      <c r="AH4587">
        <v>10.3703413861467</v>
      </c>
      <c r="AI4587">
        <v>95.709533327767005</v>
      </c>
      <c r="AJ4587">
        <v>111.95023084602801</v>
      </c>
      <c r="AK4587">
        <v>11.236598178881501</v>
      </c>
      <c r="AL4587">
        <v>89.241749613127695</v>
      </c>
      <c r="AM4587">
        <v>103.9183579754</v>
      </c>
      <c r="AN4587">
        <v>1.0000000367169299</v>
      </c>
    </row>
    <row r="4588" spans="1:40" x14ac:dyDescent="0.25">
      <c r="A4588" t="str">
        <f>"20190312151630489"</f>
        <v>20190312151630489</v>
      </c>
      <c r="B4588" t="str">
        <f>"1552374990482132"</f>
        <v>1552374990482132</v>
      </c>
      <c r="C4588" t="s">
        <v>40</v>
      </c>
      <c r="D4588">
        <v>4.6118569999999997</v>
      </c>
      <c r="E4588">
        <v>0.44822319999999999</v>
      </c>
      <c r="F4588" t="s">
        <v>43</v>
      </c>
      <c r="G4588">
        <v>-398.92140000000001</v>
      </c>
      <c r="H4588" s="1">
        <v>-5.64072E-7</v>
      </c>
      <c r="I4588">
        <v>19.893429999999999</v>
      </c>
      <c r="J4588">
        <v>-409.90620000000001</v>
      </c>
      <c r="K4588">
        <v>1.1178709999999901</v>
      </c>
      <c r="L4588">
        <v>22.68533</v>
      </c>
      <c r="M4588">
        <v>0.80785099999999999</v>
      </c>
      <c r="N4588">
        <v>0</v>
      </c>
      <c r="O4588">
        <v>-0.58920899999999998</v>
      </c>
      <c r="P4588">
        <v>0.92576210000000003</v>
      </c>
      <c r="Q4588">
        <v>3.796982E-3</v>
      </c>
      <c r="R4588">
        <v>-0.37808740000000002</v>
      </c>
      <c r="S4588">
        <v>2.9341430000000002</v>
      </c>
      <c r="T4588">
        <v>-0.29528270000000001</v>
      </c>
      <c r="U4588">
        <v>-0.75961299999999998</v>
      </c>
      <c r="V4588">
        <v>-0.24035970000000001</v>
      </c>
      <c r="W4588">
        <v>1.310675E-2</v>
      </c>
      <c r="X4588">
        <v>0.9705954</v>
      </c>
      <c r="Y4588">
        <v>-0.36391610000000002</v>
      </c>
      <c r="Z4588">
        <v>7.2040580000000007E-2</v>
      </c>
      <c r="AA4588">
        <v>0.92864159999999996</v>
      </c>
      <c r="AB4588">
        <v>28</v>
      </c>
      <c r="AC4588">
        <v>10.9848</v>
      </c>
      <c r="AD4588">
        <v>-1.1178715640719901</v>
      </c>
      <c r="AE4588">
        <v>-2.7919</v>
      </c>
      <c r="AF4588">
        <v>-4.1767154391360997</v>
      </c>
      <c r="AG4588">
        <v>-1.1178715640719901</v>
      </c>
      <c r="AH4588">
        <v>10.4188441010548</v>
      </c>
      <c r="AI4588">
        <v>95.687276513492506</v>
      </c>
      <c r="AJ4588">
        <v>111.84490571974401</v>
      </c>
      <c r="AK4588">
        <v>11.280376815309101</v>
      </c>
      <c r="AL4588">
        <v>89.249017040359206</v>
      </c>
      <c r="AM4588">
        <v>103.90898986798599</v>
      </c>
      <c r="AN4588">
        <v>1.0000000013904</v>
      </c>
    </row>
    <row r="4589" spans="1:40" x14ac:dyDescent="0.25">
      <c r="A4589" t="str">
        <f>"20190312151630501"</f>
        <v>20190312151630501</v>
      </c>
      <c r="B4589" t="str">
        <f>"1552374990492868"</f>
        <v>1552374990492868</v>
      </c>
      <c r="C4589" t="s">
        <v>40</v>
      </c>
      <c r="D4589">
        <v>4.627929</v>
      </c>
      <c r="E4589">
        <v>0.44869130000000002</v>
      </c>
      <c r="F4589" t="s">
        <v>43</v>
      </c>
      <c r="G4589">
        <v>-399.10359999999997</v>
      </c>
      <c r="H4589" s="1">
        <v>-4.9264949999999899E-7</v>
      </c>
      <c r="I4589">
        <v>19.948789999999999</v>
      </c>
      <c r="J4589">
        <v>-409.79700000000003</v>
      </c>
      <c r="K4589">
        <v>1.117866</v>
      </c>
      <c r="L4589">
        <v>22.61224</v>
      </c>
      <c r="M4589">
        <v>0.81088199999999999</v>
      </c>
      <c r="N4589">
        <v>0</v>
      </c>
      <c r="O4589">
        <v>-0.58503070000000001</v>
      </c>
      <c r="P4589">
        <v>0.92771130000000002</v>
      </c>
      <c r="Q4589">
        <v>3.725665E-3</v>
      </c>
      <c r="R4589">
        <v>-0.37328</v>
      </c>
      <c r="S4589">
        <v>2.9378660000000001</v>
      </c>
      <c r="T4589">
        <v>-0.30401679999999998</v>
      </c>
      <c r="U4589">
        <v>-0.74423219999999901</v>
      </c>
      <c r="V4589">
        <v>-0.24038300000000001</v>
      </c>
      <c r="W4589">
        <v>1.303809E-2</v>
      </c>
      <c r="X4589">
        <v>0.97059050000000002</v>
      </c>
      <c r="Y4589">
        <v>-0.36373620000000001</v>
      </c>
      <c r="Z4589">
        <v>7.3796239999999999E-2</v>
      </c>
      <c r="AA4589">
        <v>0.92857429999999996</v>
      </c>
      <c r="AB4589">
        <v>28</v>
      </c>
      <c r="AC4589">
        <v>10.693399999999899</v>
      </c>
      <c r="AD4589">
        <v>-1.1178664926495001</v>
      </c>
      <c r="AE4589">
        <v>-2.6634500000000001</v>
      </c>
      <c r="AF4589">
        <v>-4.05492817078468</v>
      </c>
      <c r="AG4589">
        <v>-1.1178664926495001</v>
      </c>
      <c r="AH4589">
        <v>10.1261606141894</v>
      </c>
      <c r="AI4589">
        <v>95.851391786582795</v>
      </c>
      <c r="AJ4589">
        <v>111.823180101378</v>
      </c>
      <c r="AK4589">
        <v>10.964998711809001</v>
      </c>
      <c r="AL4589">
        <v>89.252951265299501</v>
      </c>
      <c r="AM4589">
        <v>103.910353318642</v>
      </c>
      <c r="AN4589">
        <v>0.99999994858504704</v>
      </c>
    </row>
    <row r="4590" spans="1:40" x14ac:dyDescent="0.25">
      <c r="A4590" t="str">
        <f>"20190312151630512"</f>
        <v>20190312151630512</v>
      </c>
      <c r="B4590" t="str">
        <f>"1552374990502628"</f>
        <v>1552374990502628</v>
      </c>
      <c r="C4590" t="s">
        <v>40</v>
      </c>
      <c r="D4590">
        <v>4.5458949999999998</v>
      </c>
      <c r="E4590">
        <v>0.449185</v>
      </c>
      <c r="F4590" t="s">
        <v>43</v>
      </c>
      <c r="G4590">
        <v>-399.22989999999999</v>
      </c>
      <c r="H4590" s="1">
        <v>-4.4135000000000002E-7</v>
      </c>
      <c r="I4590">
        <v>19.98028</v>
      </c>
      <c r="J4590">
        <v>-409.68099999999998</v>
      </c>
      <c r="K4590">
        <v>1.1178600000000001</v>
      </c>
      <c r="L4590">
        <v>22.534970000000001</v>
      </c>
      <c r="M4590">
        <v>0.81407320000000005</v>
      </c>
      <c r="N4590">
        <v>0</v>
      </c>
      <c r="O4590">
        <v>-0.58058209999999999</v>
      </c>
      <c r="P4590">
        <v>0.92967149999999998</v>
      </c>
      <c r="Q4590">
        <v>4.0164049999999998E-3</v>
      </c>
      <c r="R4590">
        <v>-0.36836839999999998</v>
      </c>
      <c r="S4590">
        <v>2.940369</v>
      </c>
      <c r="T4590">
        <v>-0.31105359999999999</v>
      </c>
      <c r="U4590">
        <v>-0.73236080000000003</v>
      </c>
      <c r="V4590">
        <v>-0.24020620000000001</v>
      </c>
      <c r="W4590">
        <v>1.3336570000000001E-2</v>
      </c>
      <c r="X4590">
        <v>0.97063029999999995</v>
      </c>
      <c r="Y4590">
        <v>-0.36218089999999997</v>
      </c>
      <c r="Z4590">
        <v>7.5040590000000004E-2</v>
      </c>
      <c r="AA4590">
        <v>0.92908230000000003</v>
      </c>
      <c r="AB4590">
        <v>28</v>
      </c>
      <c r="AC4590">
        <v>10.451099999999901</v>
      </c>
      <c r="AD4590">
        <v>-1.11786044135</v>
      </c>
      <c r="AE4590">
        <v>-2.5546899999999999</v>
      </c>
      <c r="AF4590">
        <v>-3.9458365472629602</v>
      </c>
      <c r="AG4590">
        <v>-1.11786044135</v>
      </c>
      <c r="AH4590">
        <v>9.8854933300225003</v>
      </c>
      <c r="AI4590">
        <v>95.995429097847406</v>
      </c>
      <c r="AJ4590">
        <v>111.75962260708501</v>
      </c>
      <c r="AK4590">
        <v>10.7024397406372</v>
      </c>
      <c r="AL4590">
        <v>89.235848195798397</v>
      </c>
      <c r="AM4590">
        <v>103.899971371288</v>
      </c>
      <c r="AN4590">
        <v>1.00000003094794</v>
      </c>
    </row>
    <row r="4591" spans="1:40" x14ac:dyDescent="0.25">
      <c r="A4591" t="str">
        <f>"20190312151630523"</f>
        <v>20190312151630523</v>
      </c>
      <c r="B4591" t="str">
        <f>"1552374990512389"</f>
        <v>1552374990512389</v>
      </c>
      <c r="C4591" t="s">
        <v>40</v>
      </c>
      <c r="D4591">
        <v>4.5392289999999997</v>
      </c>
      <c r="E4591">
        <v>0.449901</v>
      </c>
      <c r="F4591" t="s">
        <v>43</v>
      </c>
      <c r="G4591">
        <v>-399.00540000000001</v>
      </c>
      <c r="H4591" s="1">
        <v>-5.3172230000000003E-7</v>
      </c>
      <c r="I4591">
        <v>19.921119999999998</v>
      </c>
      <c r="J4591">
        <v>-409.57580000000002</v>
      </c>
      <c r="K4591">
        <v>1.1178520000000001</v>
      </c>
      <c r="L4591">
        <v>22.466280000000001</v>
      </c>
      <c r="M4591">
        <v>0.8169303</v>
      </c>
      <c r="N4591">
        <v>0</v>
      </c>
      <c r="O4591">
        <v>-0.57655509999999999</v>
      </c>
      <c r="P4591">
        <v>0.9314038</v>
      </c>
      <c r="Q4591">
        <v>3.970248E-3</v>
      </c>
      <c r="R4591">
        <v>-0.36396610000000001</v>
      </c>
      <c r="S4591">
        <v>2.94278</v>
      </c>
      <c r="T4591">
        <v>-0.30814269999999999</v>
      </c>
      <c r="U4591">
        <v>-0.72051999999999905</v>
      </c>
      <c r="V4591">
        <v>-0.2400041</v>
      </c>
      <c r="W4591">
        <v>1.329842E-2</v>
      </c>
      <c r="X4591">
        <v>0.97068080000000001</v>
      </c>
      <c r="Y4591">
        <v>-0.36138870000000001</v>
      </c>
      <c r="Z4591">
        <v>7.3964959999999996E-2</v>
      </c>
      <c r="AA4591">
        <v>0.92947690000000005</v>
      </c>
      <c r="AB4591">
        <v>28</v>
      </c>
      <c r="AC4591">
        <v>10.570399999999999</v>
      </c>
      <c r="AD4591">
        <v>-1.1178525317223</v>
      </c>
      <c r="AE4591">
        <v>-2.5451599999999899</v>
      </c>
      <c r="AF4591">
        <v>-3.97361502720796</v>
      </c>
      <c r="AG4591">
        <v>-1.1178525317223</v>
      </c>
      <c r="AH4591">
        <v>9.9980731772121594</v>
      </c>
      <c r="AI4591">
        <v>95.931835029101507</v>
      </c>
      <c r="AJ4591">
        <v>111.674757211268</v>
      </c>
      <c r="AK4591">
        <v>10.816685163395499</v>
      </c>
      <c r="AL4591">
        <v>89.238034211991504</v>
      </c>
      <c r="AM4591">
        <v>103.888034841996</v>
      </c>
      <c r="AN4591">
        <v>1.00000001573997</v>
      </c>
    </row>
    <row r="4592" spans="1:40" x14ac:dyDescent="0.25">
      <c r="A4592" t="str">
        <f>"20190312151630534"</f>
        <v>20190312151630534</v>
      </c>
      <c r="B4592" t="str">
        <f>"1552374990532884"</f>
        <v>1552374990532884</v>
      </c>
      <c r="C4592" t="s">
        <v>40</v>
      </c>
      <c r="D4592">
        <v>4.54155</v>
      </c>
      <c r="E4592">
        <v>0.4512698</v>
      </c>
      <c r="F4592" t="s">
        <v>43</v>
      </c>
      <c r="G4592">
        <v>-398.8999</v>
      </c>
      <c r="H4592" s="1">
        <v>-5.7178029999999998E-7</v>
      </c>
      <c r="I4592">
        <v>19.884229999999999</v>
      </c>
      <c r="J4592">
        <v>-409.45339999999999</v>
      </c>
      <c r="K4592">
        <v>1.117845</v>
      </c>
      <c r="L4592">
        <v>22.386659999999999</v>
      </c>
      <c r="M4592">
        <v>0.82022419999999996</v>
      </c>
      <c r="N4592">
        <v>0</v>
      </c>
      <c r="O4592">
        <v>-0.57185949999999997</v>
      </c>
      <c r="P4592">
        <v>0.93346759999999995</v>
      </c>
      <c r="Q4592">
        <v>4.0119760000000004E-3</v>
      </c>
      <c r="R4592">
        <v>-0.35864000000000001</v>
      </c>
      <c r="S4592">
        <v>2.9440309999999998</v>
      </c>
      <c r="T4592">
        <v>-0.30826369999999997</v>
      </c>
      <c r="U4592">
        <v>-0.71203609999999995</v>
      </c>
      <c r="V4592">
        <v>-0.23998120000000001</v>
      </c>
      <c r="W4592">
        <v>1.3344190000000001E-2</v>
      </c>
      <c r="X4592">
        <v>0.97068580000000004</v>
      </c>
      <c r="Y4592">
        <v>-0.35869200000000001</v>
      </c>
      <c r="Z4592">
        <v>7.3475189999999996E-2</v>
      </c>
      <c r="AA4592">
        <v>0.93055980000000005</v>
      </c>
      <c r="AB4592">
        <v>28</v>
      </c>
      <c r="AC4592">
        <v>10.5534999999999</v>
      </c>
      <c r="AD4592">
        <v>-1.1178455717803</v>
      </c>
      <c r="AE4592">
        <v>-2.5024299999999999</v>
      </c>
      <c r="AF4592">
        <v>-3.9411184697508501</v>
      </c>
      <c r="AG4592">
        <v>-1.1178455717803</v>
      </c>
      <c r="AH4592">
        <v>9.9822947830549307</v>
      </c>
      <c r="AI4592">
        <v>95.946415807647398</v>
      </c>
      <c r="AJ4592">
        <v>111.54464542151599</v>
      </c>
      <c r="AK4592">
        <v>10.7901901118917</v>
      </c>
      <c r="AL4592">
        <v>89.235411526486104</v>
      </c>
      <c r="AM4592">
        <v>103.88669224322</v>
      </c>
      <c r="AN4592">
        <v>0.99999998304091797</v>
      </c>
    </row>
    <row r="4593" spans="1:40" x14ac:dyDescent="0.25">
      <c r="A4593" t="str">
        <f>"20190312151630545"</f>
        <v>20190312151630545</v>
      </c>
      <c r="B4593" t="str">
        <f>"1552374990542644"</f>
        <v>1552374990542644</v>
      </c>
      <c r="C4593" t="s">
        <v>40</v>
      </c>
      <c r="D4593">
        <v>4.6553639999999996</v>
      </c>
      <c r="E4593">
        <v>0.45164710000000002</v>
      </c>
      <c r="F4593" t="s">
        <v>43</v>
      </c>
      <c r="G4593">
        <v>-398.69049999999999</v>
      </c>
      <c r="H4593" s="1">
        <v>-6.5044109999999996E-7</v>
      </c>
      <c r="I4593">
        <v>19.807749999999999</v>
      </c>
      <c r="J4593">
        <v>-409.34190000000001</v>
      </c>
      <c r="K4593">
        <v>1.1178380000000001</v>
      </c>
      <c r="L4593">
        <v>22.315460000000002</v>
      </c>
      <c r="M4593">
        <v>0.82318609999999903</v>
      </c>
      <c r="N4593">
        <v>0</v>
      </c>
      <c r="O4593">
        <v>-0.56758710000000001</v>
      </c>
      <c r="P4593">
        <v>0.93518080000000003</v>
      </c>
      <c r="Q4593">
        <v>3.908763E-3</v>
      </c>
      <c r="R4593">
        <v>-0.35414899999999999</v>
      </c>
      <c r="S4593">
        <v>2.944153</v>
      </c>
      <c r="T4593">
        <v>-0.30578040000000001</v>
      </c>
      <c r="U4593">
        <v>-0.70544430000000002</v>
      </c>
      <c r="V4593">
        <v>-0.2395978</v>
      </c>
      <c r="W4593">
        <v>1.325313E-2</v>
      </c>
      <c r="X4593">
        <v>0.97078180000000003</v>
      </c>
      <c r="Y4593">
        <v>-0.35591739999999999</v>
      </c>
      <c r="Z4593">
        <v>7.2419079999999997E-2</v>
      </c>
      <c r="AA4593">
        <v>0.93170719999999996</v>
      </c>
      <c r="AB4593">
        <v>28</v>
      </c>
      <c r="AC4593">
        <v>10.651400000000001</v>
      </c>
      <c r="AD4593">
        <v>-1.1178386504411</v>
      </c>
      <c r="AE4593">
        <v>-2.5077099999999999</v>
      </c>
      <c r="AF4593">
        <v>-3.9405802368977501</v>
      </c>
      <c r="AG4593">
        <v>-1.1178386504411</v>
      </c>
      <c r="AH4593">
        <v>10.087230277224201</v>
      </c>
      <c r="AI4593">
        <v>95.8932347003676</v>
      </c>
      <c r="AJ4593">
        <v>111.33812042200201</v>
      </c>
      <c r="AK4593">
        <v>10.887146114459799</v>
      </c>
      <c r="AL4593">
        <v>89.240629375222795</v>
      </c>
      <c r="AM4593">
        <v>103.864044995283</v>
      </c>
      <c r="AN4593">
        <v>1.0000000272154299</v>
      </c>
    </row>
    <row r="4594" spans="1:40" x14ac:dyDescent="0.25">
      <c r="A4594" t="str">
        <f>"20190312151630557"</f>
        <v>20190312151630557</v>
      </c>
      <c r="B4594" t="str">
        <f>"1552374990552404"</f>
        <v>1552374990552404</v>
      </c>
      <c r="C4594" t="s">
        <v>40</v>
      </c>
      <c r="D4594">
        <v>4.5770330000000001</v>
      </c>
      <c r="E4594">
        <v>0.45220959999999899</v>
      </c>
      <c r="F4594" t="s">
        <v>43</v>
      </c>
      <c r="G4594">
        <v>-398.738</v>
      </c>
      <c r="H4594" s="1">
        <v>-6.3062099999999999E-7</v>
      </c>
      <c r="I4594">
        <v>19.817810000000001</v>
      </c>
      <c r="J4594">
        <v>-409.22640000000001</v>
      </c>
      <c r="K4594">
        <v>1.1178319999999999</v>
      </c>
      <c r="L4594">
        <v>22.242190000000001</v>
      </c>
      <c r="M4594">
        <v>0.82622719999999905</v>
      </c>
      <c r="N4594">
        <v>0</v>
      </c>
      <c r="O4594">
        <v>-0.56315130000000002</v>
      </c>
      <c r="P4594">
        <v>0.93699030000000005</v>
      </c>
      <c r="Q4594">
        <v>3.8046690000000001E-3</v>
      </c>
      <c r="R4594">
        <v>-0.34933520000000001</v>
      </c>
      <c r="S4594">
        <v>2.9464109999999999</v>
      </c>
      <c r="T4594">
        <v>-0.31060349999999998</v>
      </c>
      <c r="U4594">
        <v>-0.69400019999999996</v>
      </c>
      <c r="V4594">
        <v>-0.23936669999999999</v>
      </c>
      <c r="W4594">
        <v>1.3157769999999999E-2</v>
      </c>
      <c r="X4594">
        <v>0.97084009999999998</v>
      </c>
      <c r="Y4594">
        <v>-0.35437380000000002</v>
      </c>
      <c r="Z4594">
        <v>7.3097369999999995E-2</v>
      </c>
      <c r="AA4594">
        <v>0.93224249999999997</v>
      </c>
      <c r="AB4594">
        <v>28</v>
      </c>
      <c r="AC4594">
        <v>10.488399999999899</v>
      </c>
      <c r="AD4594">
        <v>-1.117832630621</v>
      </c>
      <c r="AE4594">
        <v>-2.42437999999999</v>
      </c>
      <c r="AF4594">
        <v>-3.8622303534823401</v>
      </c>
      <c r="AG4594">
        <v>-1.117832630621</v>
      </c>
      <c r="AH4594">
        <v>9.9251235464098109</v>
      </c>
      <c r="AI4594">
        <v>95.991809076182406</v>
      </c>
      <c r="AJ4594">
        <v>111.262840437741</v>
      </c>
      <c r="AK4594">
        <v>10.7086157137577</v>
      </c>
      <c r="AL4594">
        <v>89.246093573038607</v>
      </c>
      <c r="AM4594">
        <v>103.850388100327</v>
      </c>
      <c r="AN4594">
        <v>1.0000000218741301</v>
      </c>
    </row>
    <row r="4595" spans="1:40" x14ac:dyDescent="0.25">
      <c r="A4595" t="str">
        <f>"20190312151630568"</f>
        <v>20190312151630568</v>
      </c>
      <c r="B4595" t="str">
        <f>"1552374990562165"</f>
        <v>1552374990562165</v>
      </c>
      <c r="C4595" t="s">
        <v>40</v>
      </c>
      <c r="D4595">
        <v>4.6393000000000004</v>
      </c>
      <c r="E4595">
        <v>0.4526733</v>
      </c>
      <c r="F4595" t="s">
        <v>43</v>
      </c>
      <c r="G4595">
        <v>-398.56849999999997</v>
      </c>
      <c r="H4595" s="1">
        <v>-6.9897579999999999E-7</v>
      </c>
      <c r="I4595">
        <v>19.77346</v>
      </c>
      <c r="J4595">
        <v>-409.10919999999999</v>
      </c>
      <c r="K4595">
        <v>1.117826</v>
      </c>
      <c r="L4595">
        <v>22.16891</v>
      </c>
      <c r="M4595">
        <v>0.829273699999999</v>
      </c>
      <c r="N4595">
        <v>0</v>
      </c>
      <c r="O4595">
        <v>-0.55865559999999903</v>
      </c>
      <c r="P4595">
        <v>0.93874489999999999</v>
      </c>
      <c r="Q4595">
        <v>3.6798629999999998E-3</v>
      </c>
      <c r="R4595">
        <v>-0.34459380000000001</v>
      </c>
      <c r="S4595">
        <v>2.9484249999999999</v>
      </c>
      <c r="T4595">
        <v>-0.309239599999999</v>
      </c>
      <c r="U4595">
        <v>-0.68295289999999997</v>
      </c>
      <c r="V4595">
        <v>-0.23899889999999999</v>
      </c>
      <c r="W4595">
        <v>1.304524E-2</v>
      </c>
      <c r="X4595">
        <v>0.97093220000000002</v>
      </c>
      <c r="Y4595">
        <v>-0.35281899999999999</v>
      </c>
      <c r="Z4595">
        <v>7.2318460000000001E-2</v>
      </c>
      <c r="AA4595">
        <v>0.93289270000000002</v>
      </c>
      <c r="AB4595">
        <v>28</v>
      </c>
      <c r="AC4595">
        <v>10.540699999999999</v>
      </c>
      <c r="AD4595">
        <v>-1.1178266989757999</v>
      </c>
      <c r="AE4595">
        <v>-2.3954499999999999</v>
      </c>
      <c r="AF4595">
        <v>-3.8612530603619999</v>
      </c>
      <c r="AG4595">
        <v>-1.1178266989757999</v>
      </c>
      <c r="AH4595">
        <v>9.9737511774592402</v>
      </c>
      <c r="AI4595">
        <v>95.966760794219397</v>
      </c>
      <c r="AJ4595">
        <v>111.163488777724</v>
      </c>
      <c r="AK4595">
        <v>10.7533494444739</v>
      </c>
      <c r="AL4595">
        <v>89.2525416001141</v>
      </c>
      <c r="AM4595">
        <v>103.828662357037</v>
      </c>
      <c r="AN4595">
        <v>0.99999999474235302</v>
      </c>
    </row>
    <row r="4596" spans="1:40" x14ac:dyDescent="0.25">
      <c r="A4596" t="str">
        <f>"20190312151630578"</f>
        <v>20190312151630578</v>
      </c>
      <c r="B4596" t="str">
        <f>"1552374990572900"</f>
        <v>1552374990572900</v>
      </c>
      <c r="C4596" t="s">
        <v>40</v>
      </c>
      <c r="D4596">
        <v>4.592492</v>
      </c>
      <c r="E4596">
        <v>0.45334049999999998</v>
      </c>
      <c r="F4596" t="s">
        <v>43</v>
      </c>
      <c r="G4596">
        <v>-398.32670000000002</v>
      </c>
      <c r="H4596" s="1">
        <v>-7.9766989999999998E-7</v>
      </c>
      <c r="I4596">
        <v>19.714759999999998</v>
      </c>
      <c r="J4596">
        <v>-408.99810000000002</v>
      </c>
      <c r="K4596">
        <v>1.117821</v>
      </c>
      <c r="L4596">
        <v>22.100280000000001</v>
      </c>
      <c r="M4596">
        <v>0.83213090000000001</v>
      </c>
      <c r="N4596">
        <v>0</v>
      </c>
      <c r="O4596">
        <v>-0.55439059999999996</v>
      </c>
      <c r="P4596">
        <v>0.94041189999999997</v>
      </c>
      <c r="Q4596">
        <v>3.7946579999999998E-3</v>
      </c>
      <c r="R4596">
        <v>-0.34001730000000002</v>
      </c>
      <c r="S4596">
        <v>2.9504700000000001</v>
      </c>
      <c r="T4596">
        <v>-0.30587540000000002</v>
      </c>
      <c r="U4596">
        <v>-0.67153929999999995</v>
      </c>
      <c r="V4596">
        <v>-0.23874529999999999</v>
      </c>
      <c r="W4596">
        <v>1.3169210000000001E-2</v>
      </c>
      <c r="X4596">
        <v>0.97099290000000005</v>
      </c>
      <c r="Y4596">
        <v>-0.35170630000000003</v>
      </c>
      <c r="Z4596">
        <v>7.1121260000000006E-2</v>
      </c>
      <c r="AA4596">
        <v>0.93340469999999998</v>
      </c>
      <c r="AB4596">
        <v>28</v>
      </c>
      <c r="AC4596">
        <v>10.6714</v>
      </c>
      <c r="AD4596">
        <v>-1.1178217976699001</v>
      </c>
      <c r="AE4596">
        <v>-2.3855199999999899</v>
      </c>
      <c r="AF4596">
        <v>-3.8908104866545998</v>
      </c>
      <c r="AG4596">
        <v>-1.1178217976699001</v>
      </c>
      <c r="AH4596">
        <v>10.098052329702</v>
      </c>
      <c r="AI4596">
        <v>95.897425118825197</v>
      </c>
      <c r="AJ4596">
        <v>111.07182669526399</v>
      </c>
      <c r="AK4596">
        <v>10.879273535848199</v>
      </c>
      <c r="AL4596">
        <v>89.245438020267301</v>
      </c>
      <c r="AM4596">
        <v>103.813720737767</v>
      </c>
      <c r="AN4596">
        <v>0.99999997910726202</v>
      </c>
    </row>
    <row r="4597" spans="1:40" x14ac:dyDescent="0.25">
      <c r="A4597" t="str">
        <f>"20190312151630589"</f>
        <v>20190312151630589</v>
      </c>
      <c r="B4597" t="str">
        <f>"1552374990582660"</f>
        <v>1552374990582660</v>
      </c>
      <c r="C4597" t="s">
        <v>40</v>
      </c>
      <c r="D4597">
        <v>4.5918970000000003</v>
      </c>
      <c r="E4597">
        <v>0.45403189999999999</v>
      </c>
      <c r="F4597" t="s">
        <v>43</v>
      </c>
      <c r="G4597">
        <v>-398.11869999999999</v>
      </c>
      <c r="H4597" s="1">
        <v>-8.8148619999999997E-7</v>
      </c>
      <c r="I4597">
        <v>19.660260000000001</v>
      </c>
      <c r="J4597">
        <v>-408.88510000000002</v>
      </c>
      <c r="K4597">
        <v>1.1178140000000001</v>
      </c>
      <c r="L4597">
        <v>22.031130000000001</v>
      </c>
      <c r="M4597">
        <v>0.83500589999999997</v>
      </c>
      <c r="N4597">
        <v>0</v>
      </c>
      <c r="O4597">
        <v>-0.55005099999999996</v>
      </c>
      <c r="P4597">
        <v>0.94202850000000005</v>
      </c>
      <c r="Q4597">
        <v>4.1582549999999996E-3</v>
      </c>
      <c r="R4597">
        <v>-0.33550740000000001</v>
      </c>
      <c r="S4597">
        <v>2.9519039999999999</v>
      </c>
      <c r="T4597">
        <v>-0.303297599999999</v>
      </c>
      <c r="U4597">
        <v>-0.66204830000000003</v>
      </c>
      <c r="V4597">
        <v>-0.2383487</v>
      </c>
      <c r="W4597">
        <v>1.354492E-2</v>
      </c>
      <c r="X4597">
        <v>0.97108519999999998</v>
      </c>
      <c r="Y4597">
        <v>-0.3498869</v>
      </c>
      <c r="Z4597">
        <v>7.0076540000000007E-2</v>
      </c>
      <c r="AA4597">
        <v>0.93416730000000003</v>
      </c>
      <c r="AB4597">
        <v>28</v>
      </c>
      <c r="AC4597">
        <v>10.766400000000001</v>
      </c>
      <c r="AD4597">
        <v>-1.1178148814861999</v>
      </c>
      <c r="AE4597">
        <v>-2.3708699999999898</v>
      </c>
      <c r="AF4597">
        <v>-3.9026676312811999</v>
      </c>
      <c r="AG4597">
        <v>-1.1178148814861999</v>
      </c>
      <c r="AH4597">
        <v>10.1904158673956</v>
      </c>
      <c r="AI4597">
        <v>95.848834001766903</v>
      </c>
      <c r="AJ4597">
        <v>110.95555692096001</v>
      </c>
      <c r="AK4597">
        <v>10.969270727810001</v>
      </c>
      <c r="AL4597">
        <v>89.223909530961606</v>
      </c>
      <c r="AM4597">
        <v>103.79038962977801</v>
      </c>
      <c r="AN4597">
        <v>1.00000001665426</v>
      </c>
    </row>
    <row r="4598" spans="1:40" x14ac:dyDescent="0.25">
      <c r="A4598" t="str">
        <f>"20190312151630603"</f>
        <v>20190312151630603</v>
      </c>
      <c r="B4598" t="str">
        <f>"1552374990592420"</f>
        <v>1552374990592420</v>
      </c>
      <c r="C4598" t="s">
        <v>40</v>
      </c>
      <c r="D4598">
        <v>4.5762359999999997</v>
      </c>
      <c r="E4598">
        <v>0.45460640000000002</v>
      </c>
      <c r="F4598" t="s">
        <v>43</v>
      </c>
      <c r="G4598">
        <v>-397.9049</v>
      </c>
      <c r="H4598" s="1">
        <v>-9.7323079999999998E-7</v>
      </c>
      <c r="I4598">
        <v>19.60285</v>
      </c>
      <c r="J4598">
        <v>-408.75099999999998</v>
      </c>
      <c r="K4598">
        <v>1.1178079999999999</v>
      </c>
      <c r="L4598">
        <v>21.950379999999999</v>
      </c>
      <c r="M4598">
        <v>0.83837689999999998</v>
      </c>
      <c r="N4598">
        <v>0</v>
      </c>
      <c r="O4598">
        <v>-0.54489909999999997</v>
      </c>
      <c r="P4598">
        <v>0.94400949999999995</v>
      </c>
      <c r="Q4598">
        <v>4.2534239999999996E-3</v>
      </c>
      <c r="R4598">
        <v>-0.32989089999999999</v>
      </c>
      <c r="S4598">
        <v>2.9533689999999999</v>
      </c>
      <c r="T4598">
        <v>-0.30066009999999999</v>
      </c>
      <c r="U4598">
        <v>-0.65313719999999997</v>
      </c>
      <c r="V4598">
        <v>-0.23815430000000001</v>
      </c>
      <c r="W4598">
        <v>1.3648860000000001E-2</v>
      </c>
      <c r="X4598">
        <v>0.97113139999999998</v>
      </c>
      <c r="Y4598">
        <v>-0.34701209999999999</v>
      </c>
      <c r="Z4598">
        <v>6.8900790000000003E-2</v>
      </c>
      <c r="AA4598">
        <v>0.93532630000000005</v>
      </c>
      <c r="AB4598">
        <v>28</v>
      </c>
      <c r="AC4598">
        <v>10.8460999999999</v>
      </c>
      <c r="AD4598">
        <v>-1.1178089732308001</v>
      </c>
      <c r="AE4598">
        <v>-2.3475299999999901</v>
      </c>
      <c r="AF4598">
        <v>-3.9027294603915199</v>
      </c>
      <c r="AG4598">
        <v>-1.1178089732308001</v>
      </c>
      <c r="AH4598">
        <v>10.269177974516699</v>
      </c>
      <c r="AI4598">
        <v>95.809882109884498</v>
      </c>
      <c r="AJ4598">
        <v>110.80894507457801</v>
      </c>
      <c r="AK4598">
        <v>11.042500188541601</v>
      </c>
      <c r="AL4598">
        <v>89.217953627734602</v>
      </c>
      <c r="AM4598">
        <v>103.77894035059199</v>
      </c>
      <c r="AN4598">
        <v>0.99999997902687399</v>
      </c>
    </row>
    <row r="4599" spans="1:40" x14ac:dyDescent="0.25">
      <c r="A4599" t="str">
        <f>"20190312151630614"</f>
        <v>20190312151630614</v>
      </c>
      <c r="B4599" t="str">
        <f>"1552374990612918"</f>
        <v>1552374990612918</v>
      </c>
      <c r="C4599" t="s">
        <v>40</v>
      </c>
      <c r="D4599">
        <v>4.5534699999999999</v>
      </c>
      <c r="E4599">
        <v>0.4559763</v>
      </c>
      <c r="F4599" t="s">
        <v>43</v>
      </c>
      <c r="G4599">
        <v>-397.71420000000001</v>
      </c>
      <c r="H4599" s="1">
        <v>-1.0707599999999999E-6</v>
      </c>
      <c r="I4599">
        <v>19.561209999999999</v>
      </c>
      <c r="J4599">
        <v>-408.62</v>
      </c>
      <c r="K4599">
        <v>1.117804</v>
      </c>
      <c r="L4599">
        <v>21.87219</v>
      </c>
      <c r="M4599">
        <v>0.84163180000000004</v>
      </c>
      <c r="N4599">
        <v>0</v>
      </c>
      <c r="O4599">
        <v>-0.53985830000000001</v>
      </c>
      <c r="P4599">
        <v>0.94581660000000001</v>
      </c>
      <c r="Q4599">
        <v>4.6257399999999997E-3</v>
      </c>
      <c r="R4599">
        <v>-0.32466889999999998</v>
      </c>
      <c r="S4599">
        <v>2.9557190000000002</v>
      </c>
      <c r="T4599">
        <v>-0.299355599999999</v>
      </c>
      <c r="U4599">
        <v>-0.6398315</v>
      </c>
      <c r="V4599">
        <v>-0.23769970000000001</v>
      </c>
      <c r="W4599">
        <v>1.4035540000000001E-2</v>
      </c>
      <c r="X4599">
        <v>0.97123729999999997</v>
      </c>
      <c r="Y4599">
        <v>-0.34562569999999998</v>
      </c>
      <c r="Z4599">
        <v>6.8113149999999997E-2</v>
      </c>
      <c r="AA4599">
        <v>0.93589719999999998</v>
      </c>
      <c r="AB4599">
        <v>28</v>
      </c>
      <c r="AC4599">
        <v>10.905799999999999</v>
      </c>
      <c r="AD4599">
        <v>-1.11780507076</v>
      </c>
      <c r="AE4599">
        <v>-2.3109799999999998</v>
      </c>
      <c r="AF4599">
        <v>-3.9037557618727399</v>
      </c>
      <c r="AG4599">
        <v>-1.11780507076</v>
      </c>
      <c r="AH4599">
        <v>10.3235655230954</v>
      </c>
      <c r="AI4599">
        <v>95.783083129348299</v>
      </c>
      <c r="AJ4599">
        <v>110.713623465978</v>
      </c>
      <c r="AK4599">
        <v>11.0934576365628</v>
      </c>
      <c r="AL4599">
        <v>89.195796403886405</v>
      </c>
      <c r="AM4599">
        <v>103.75219546281799</v>
      </c>
      <c r="AN4599">
        <v>1.00000001833723</v>
      </c>
    </row>
    <row r="4600" spans="1:40" x14ac:dyDescent="0.25">
      <c r="A4600" t="str">
        <f>"20190312151630627"</f>
        <v>20190312151630627</v>
      </c>
      <c r="B4600" t="str">
        <f>"1552374990622676"</f>
        <v>1552374990622676</v>
      </c>
      <c r="C4600" t="s">
        <v>40</v>
      </c>
      <c r="D4600">
        <v>4.5868630000000001</v>
      </c>
      <c r="E4600">
        <v>0.45662419999999998</v>
      </c>
      <c r="F4600" t="s">
        <v>43</v>
      </c>
      <c r="G4600">
        <v>-397.25819999999999</v>
      </c>
      <c r="H4600" s="1">
        <v>-1.308635E-6</v>
      </c>
      <c r="I4600">
        <v>19.435320000000001</v>
      </c>
      <c r="J4600">
        <v>-408.48770000000002</v>
      </c>
      <c r="K4600">
        <v>1.1177979999999901</v>
      </c>
      <c r="L4600">
        <v>21.79468</v>
      </c>
      <c r="M4600">
        <v>0.84487289999999904</v>
      </c>
      <c r="N4600">
        <v>0</v>
      </c>
      <c r="O4600">
        <v>-0.53477189999999997</v>
      </c>
      <c r="P4600">
        <v>0.94764470000000001</v>
      </c>
      <c r="Q4600">
        <v>4.7918379999999997E-3</v>
      </c>
      <c r="R4600">
        <v>-0.31929150000000001</v>
      </c>
      <c r="S4600">
        <v>2.9557190000000002</v>
      </c>
      <c r="T4600">
        <v>-0.29079250000000001</v>
      </c>
      <c r="U4600">
        <v>-0.63394169999999905</v>
      </c>
      <c r="V4600">
        <v>-0.2373605</v>
      </c>
      <c r="W4600">
        <v>1.421291E-2</v>
      </c>
      <c r="X4600">
        <v>0.9713176</v>
      </c>
      <c r="Y4600">
        <v>-0.3420069</v>
      </c>
      <c r="Z4600">
        <v>6.5608659999999999E-2</v>
      </c>
      <c r="AA4600">
        <v>0.93740429999999997</v>
      </c>
      <c r="AB4600">
        <v>28</v>
      </c>
      <c r="AC4600">
        <v>11.2295</v>
      </c>
      <c r="AD4600">
        <v>-1.11779930863499</v>
      </c>
      <c r="AE4600">
        <v>-2.3593599999999899</v>
      </c>
      <c r="AF4600">
        <v>-3.9745637180097901</v>
      </c>
      <c r="AG4600">
        <v>-1.11779930863499</v>
      </c>
      <c r="AH4600">
        <v>10.649284890833901</v>
      </c>
      <c r="AI4600">
        <v>95.616343399290898</v>
      </c>
      <c r="AJ4600">
        <v>110.466757741634</v>
      </c>
      <c r="AK4600">
        <v>11.4216417702994</v>
      </c>
      <c r="AL4600">
        <v>89.185632779649296</v>
      </c>
      <c r="AM4600">
        <v>103.732222122933</v>
      </c>
      <c r="AN4600">
        <v>0.999999946920337</v>
      </c>
    </row>
    <row r="4601" spans="1:40" x14ac:dyDescent="0.25">
      <c r="A4601" t="str">
        <f>"20190312151630647"</f>
        <v>20190312151630647</v>
      </c>
      <c r="B4601" t="str">
        <f>"1552374990642197"</f>
        <v>1552374990642197</v>
      </c>
      <c r="C4601" t="s">
        <v>40</v>
      </c>
      <c r="D4601">
        <v>4.5920030000000001</v>
      </c>
      <c r="E4601">
        <v>0.4571655</v>
      </c>
      <c r="F4601" t="s">
        <v>43</v>
      </c>
      <c r="G4601">
        <v>-396.97609999999997</v>
      </c>
      <c r="H4601" s="1">
        <v>-1.452941E-6</v>
      </c>
      <c r="I4601">
        <v>19.373560000000001</v>
      </c>
      <c r="J4601">
        <v>-408.29140000000001</v>
      </c>
      <c r="K4601">
        <v>1.1177820000000001</v>
      </c>
      <c r="L4601">
        <v>21.681519999999999</v>
      </c>
      <c r="M4601">
        <v>0.84960590000000002</v>
      </c>
      <c r="N4601">
        <v>0</v>
      </c>
      <c r="O4601">
        <v>-0.52721989999999996</v>
      </c>
      <c r="P4601">
        <v>0.95037819999999995</v>
      </c>
      <c r="Q4601">
        <v>5.3534919999999996E-3</v>
      </c>
      <c r="R4601">
        <v>-0.31105159999999998</v>
      </c>
      <c r="S4601">
        <v>2.9575809999999998</v>
      </c>
      <c r="T4601">
        <v>-0.2871882</v>
      </c>
      <c r="U4601">
        <v>-0.62203980000000003</v>
      </c>
      <c r="V4601">
        <v>-0.23714460000000001</v>
      </c>
      <c r="W4601">
        <v>1.4785049999999999E-2</v>
      </c>
      <c r="X4601">
        <v>0.9713619</v>
      </c>
      <c r="Y4601">
        <v>-0.33750350000000001</v>
      </c>
      <c r="Z4601">
        <v>6.3978679999999996E-2</v>
      </c>
      <c r="AA4601">
        <v>0.93914750000000002</v>
      </c>
      <c r="AB4601">
        <v>28</v>
      </c>
      <c r="AC4601">
        <v>11.315300000000001</v>
      </c>
      <c r="AD4601">
        <v>-1.117783452941</v>
      </c>
      <c r="AE4601">
        <v>-2.30796</v>
      </c>
      <c r="AF4601">
        <v>-3.9680379521870499</v>
      </c>
      <c r="AG4601">
        <v>-1.117783452941</v>
      </c>
      <c r="AH4601">
        <v>10.7309445992726</v>
      </c>
      <c r="AI4601">
        <v>95.580034257033404</v>
      </c>
      <c r="AJ4601">
        <v>110.29314734998199</v>
      </c>
      <c r="AK4601">
        <v>11.495561623092801</v>
      </c>
      <c r="AL4601">
        <v>89.152848211226697</v>
      </c>
      <c r="AM4601">
        <v>103.71960164658</v>
      </c>
      <c r="AN4601">
        <v>1.00000004989213</v>
      </c>
    </row>
    <row r="4602" spans="1:40" x14ac:dyDescent="0.25">
      <c r="A4602" t="str">
        <f>"20190312151630657"</f>
        <v>20190312151630657</v>
      </c>
      <c r="B4602" t="str">
        <f>"1552374990652932"</f>
        <v>1552374990652932</v>
      </c>
      <c r="C4602" t="s">
        <v>40</v>
      </c>
      <c r="D4602">
        <v>4.5971900000000003</v>
      </c>
      <c r="E4602">
        <v>0.45693729999999999</v>
      </c>
      <c r="F4602" t="s">
        <v>43</v>
      </c>
      <c r="G4602">
        <v>-396.64089999999999</v>
      </c>
      <c r="H4602" s="1">
        <v>-1.620977E-6</v>
      </c>
      <c r="I4602">
        <v>19.319500000000001</v>
      </c>
      <c r="J4602">
        <v>-408.16750000000002</v>
      </c>
      <c r="K4602">
        <v>1.117772</v>
      </c>
      <c r="L4602">
        <v>21.611239999999999</v>
      </c>
      <c r="M4602">
        <v>0.85254759999999996</v>
      </c>
      <c r="N4602">
        <v>0</v>
      </c>
      <c r="O4602">
        <v>-0.52244959999999996</v>
      </c>
      <c r="P4602">
        <v>0.95207079999999999</v>
      </c>
      <c r="Q4602">
        <v>5.3998509999999998E-3</v>
      </c>
      <c r="R4602">
        <v>-0.30582969999999998</v>
      </c>
      <c r="S4602">
        <v>2.9617309999999999</v>
      </c>
      <c r="T4602">
        <v>-0.28415859999999998</v>
      </c>
      <c r="U4602">
        <v>-0.60046390000000005</v>
      </c>
      <c r="V4602">
        <v>-0.23703279999999999</v>
      </c>
      <c r="W4602">
        <v>1.48375E-2</v>
      </c>
      <c r="X4602">
        <v>0.97138829999999998</v>
      </c>
      <c r="Y4602">
        <v>-0.3391459</v>
      </c>
      <c r="Z4602">
        <v>6.298658E-2</v>
      </c>
      <c r="AA4602">
        <v>0.93862279999999998</v>
      </c>
      <c r="AB4602">
        <v>28</v>
      </c>
      <c r="AC4602">
        <v>11.5266</v>
      </c>
      <c r="AD4602">
        <v>-1.1177736209769999</v>
      </c>
      <c r="AE4602">
        <v>-2.2917399999999901</v>
      </c>
      <c r="AF4602">
        <v>-4.03219908448916</v>
      </c>
      <c r="AG4602">
        <v>-1.1177736209769999</v>
      </c>
      <c r="AH4602">
        <v>10.926601383605901</v>
      </c>
      <c r="AI4602">
        <v>95.4820085470664</v>
      </c>
      <c r="AJ4602">
        <v>110.255367732262</v>
      </c>
      <c r="AK4602">
        <v>11.700370298453199</v>
      </c>
      <c r="AL4602">
        <v>89.149842645482494</v>
      </c>
      <c r="AM4602">
        <v>103.71301927371501</v>
      </c>
      <c r="AN4602">
        <v>0.99999996452948903</v>
      </c>
    </row>
    <row r="4603" spans="1:40" x14ac:dyDescent="0.25">
      <c r="A4603" t="str">
        <f>"20190312151630668"</f>
        <v>20190312151630668</v>
      </c>
      <c r="B4603" t="str">
        <f>"1552374990662693"</f>
        <v>1552374990662693</v>
      </c>
      <c r="C4603" t="s">
        <v>40</v>
      </c>
      <c r="D4603">
        <v>4.5751049999999998</v>
      </c>
      <c r="E4603">
        <v>0.45665640000000002</v>
      </c>
      <c r="F4603" t="s">
        <v>43</v>
      </c>
      <c r="G4603">
        <v>-396.59300000000002</v>
      </c>
      <c r="H4603" s="1">
        <v>-1.64040699999999E-6</v>
      </c>
      <c r="I4603">
        <v>19.33764</v>
      </c>
      <c r="J4603">
        <v>-408.05169999999998</v>
      </c>
      <c r="K4603">
        <v>1.117766</v>
      </c>
      <c r="L4603">
        <v>21.54636</v>
      </c>
      <c r="M4603">
        <v>0.85526659999999899</v>
      </c>
      <c r="N4603">
        <v>0</v>
      </c>
      <c r="O4603">
        <v>-0.51798670000000002</v>
      </c>
      <c r="P4603">
        <v>0.95366810000000002</v>
      </c>
      <c r="Q4603">
        <v>5.3800019999999896E-3</v>
      </c>
      <c r="R4603">
        <v>-0.30081360000000001</v>
      </c>
      <c r="S4603">
        <v>2.9655149999999999</v>
      </c>
      <c r="T4603">
        <v>-0.28638540000000001</v>
      </c>
      <c r="U4603">
        <v>-0.58251949999999997</v>
      </c>
      <c r="V4603">
        <v>-0.23706940000000001</v>
      </c>
      <c r="W4603">
        <v>1.4819860000000001E-2</v>
      </c>
      <c r="X4603">
        <v>0.97137969999999896</v>
      </c>
      <c r="Y4603">
        <v>-0.339889</v>
      </c>
      <c r="Z4603">
        <v>6.3130240000000004E-2</v>
      </c>
      <c r="AA4603">
        <v>0.93834430000000002</v>
      </c>
      <c r="AB4603">
        <v>28</v>
      </c>
      <c r="AC4603">
        <v>11.458699999999901</v>
      </c>
      <c r="AD4603">
        <v>-1.1177676404070001</v>
      </c>
      <c r="AE4603">
        <v>-2.20872</v>
      </c>
      <c r="AF4603">
        <v>-4.0100416290641299</v>
      </c>
      <c r="AG4603">
        <v>-1.1177676404070001</v>
      </c>
      <c r="AH4603">
        <v>10.845966045961401</v>
      </c>
      <c r="AI4603">
        <v>95.521234937828396</v>
      </c>
      <c r="AJ4603">
        <v>110.29069166089999</v>
      </c>
      <c r="AK4603">
        <v>11.6174359406418</v>
      </c>
      <c r="AL4603">
        <v>89.1508535056618</v>
      </c>
      <c r="AM4603">
        <v>103.71517356993</v>
      </c>
      <c r="AN4603">
        <v>1.0000000251194301</v>
      </c>
    </row>
    <row r="4604" spans="1:40" x14ac:dyDescent="0.25">
      <c r="A4604" t="str">
        <f>"20190312151630682"</f>
        <v>20190312151630682</v>
      </c>
      <c r="B4604" t="str">
        <f>"1552374990672452"</f>
        <v>1552374990672452</v>
      </c>
      <c r="C4604" t="s">
        <v>40</v>
      </c>
      <c r="D4604">
        <v>4.632587</v>
      </c>
      <c r="E4604">
        <v>0.45626990000000001</v>
      </c>
      <c r="F4604" t="s">
        <v>43</v>
      </c>
      <c r="G4604">
        <v>-396.55009999999999</v>
      </c>
      <c r="H4604" s="1">
        <v>-1.6569569999999901E-6</v>
      </c>
      <c r="I4604">
        <v>19.358720000000002</v>
      </c>
      <c r="J4604">
        <v>-407.91579999999999</v>
      </c>
      <c r="K4604">
        <v>1.1177549999999901</v>
      </c>
      <c r="L4604">
        <v>21.47137</v>
      </c>
      <c r="M4604">
        <v>0.85841540000000005</v>
      </c>
      <c r="N4604">
        <v>0</v>
      </c>
      <c r="O4604">
        <v>-0.51275139999999997</v>
      </c>
      <c r="P4604">
        <v>0.9554182</v>
      </c>
      <c r="Q4604">
        <v>5.497109E-3</v>
      </c>
      <c r="R4604">
        <v>-0.29520459999999998</v>
      </c>
      <c r="S4604">
        <v>2.9692379999999998</v>
      </c>
      <c r="T4604">
        <v>-0.28856150000000003</v>
      </c>
      <c r="U4604">
        <v>-0.56475830000000005</v>
      </c>
      <c r="V4604">
        <v>-0.23684379999999999</v>
      </c>
      <c r="W4604">
        <v>1.4945730000000001E-2</v>
      </c>
      <c r="X4604">
        <v>0.97143270000000004</v>
      </c>
      <c r="Y4604">
        <v>-0.33974969999999999</v>
      </c>
      <c r="Z4604">
        <v>6.3150010000000006E-2</v>
      </c>
      <c r="AA4604">
        <v>0.93839340000000004</v>
      </c>
      <c r="AB4604">
        <v>28</v>
      </c>
      <c r="AC4604">
        <v>11.3657</v>
      </c>
      <c r="AD4604">
        <v>-1.1177566569570001</v>
      </c>
      <c r="AE4604">
        <v>-2.1126499999999901</v>
      </c>
      <c r="AF4604">
        <v>-3.9774826499736502</v>
      </c>
      <c r="AG4604">
        <v>-1.1177566569570001</v>
      </c>
      <c r="AH4604">
        <v>10.740479822573599</v>
      </c>
      <c r="AI4604">
        <v>95.573985246443698</v>
      </c>
      <c r="AJ4604">
        <v>110.320918672768</v>
      </c>
      <c r="AK4604">
        <v>11.507721537911999</v>
      </c>
      <c r="AL4604">
        <v>89.143640801952799</v>
      </c>
      <c r="AM4604">
        <v>103.70189474091799</v>
      </c>
      <c r="AN4604">
        <v>0.99999992553647798</v>
      </c>
    </row>
    <row r="4605" spans="1:40" x14ac:dyDescent="0.25">
      <c r="A4605" t="str">
        <f>"20190312151630702"</f>
        <v>20190312151630702</v>
      </c>
      <c r="B4605" t="str">
        <f>"1552374990692952"</f>
        <v>1552374990692952</v>
      </c>
      <c r="C4605" t="s">
        <v>40</v>
      </c>
      <c r="D4605">
        <v>4.5487060000000001</v>
      </c>
      <c r="E4605">
        <v>0.45590999999999998</v>
      </c>
      <c r="F4605" t="s">
        <v>43</v>
      </c>
      <c r="G4605">
        <v>-396.45859999999999</v>
      </c>
      <c r="H4605" s="1">
        <v>-1.6973029999999999E-6</v>
      </c>
      <c r="I4605">
        <v>19.375170000000001</v>
      </c>
      <c r="J4605">
        <v>-407.69810000000001</v>
      </c>
      <c r="K4605">
        <v>1.1177490000000001</v>
      </c>
      <c r="L4605">
        <v>21.353300000000001</v>
      </c>
      <c r="M4605">
        <v>0.86337609999999998</v>
      </c>
      <c r="N4605">
        <v>0</v>
      </c>
      <c r="O4605">
        <v>-0.50435419999999997</v>
      </c>
      <c r="P4605">
        <v>0.95812889999999995</v>
      </c>
      <c r="Q4605">
        <v>4.9966990000000003E-3</v>
      </c>
      <c r="R4605">
        <v>-0.2862943</v>
      </c>
      <c r="S4605">
        <v>2.973541</v>
      </c>
      <c r="T4605">
        <v>-0.2900952</v>
      </c>
      <c r="U4605">
        <v>-0.54403690000000005</v>
      </c>
      <c r="V4605">
        <v>-0.2364059</v>
      </c>
      <c r="W4605">
        <v>1.446179E-2</v>
      </c>
      <c r="X4605">
        <v>0.97154680000000004</v>
      </c>
      <c r="Y4605">
        <v>-0.337159599999999</v>
      </c>
      <c r="Z4605">
        <v>6.2637949999999998E-2</v>
      </c>
      <c r="AA4605">
        <v>0.93936140000000001</v>
      </c>
      <c r="AB4605">
        <v>28</v>
      </c>
      <c r="AC4605">
        <v>11.2395</v>
      </c>
      <c r="AD4605">
        <v>-1.11775069730299</v>
      </c>
      <c r="AE4605">
        <v>-1.9781299999999999</v>
      </c>
      <c r="AF4605">
        <v>-3.9235935033138798</v>
      </c>
      <c r="AG4605">
        <v>-1.11775069730299</v>
      </c>
      <c r="AH4605">
        <v>10.601015982230001</v>
      </c>
      <c r="AI4605">
        <v>95.647200497365901</v>
      </c>
      <c r="AJ4605">
        <v>110.310261831937</v>
      </c>
      <c r="AK4605">
        <v>11.3589388789651</v>
      </c>
      <c r="AL4605">
        <v>89.171371615511603</v>
      </c>
      <c r="AM4605">
        <v>103.675967704637</v>
      </c>
      <c r="AN4605">
        <v>1.0000000387575201</v>
      </c>
    </row>
    <row r="4606" spans="1:40" x14ac:dyDescent="0.25">
      <c r="A4606" t="str">
        <f>"20190312151630712"</f>
        <v>20190312151630712</v>
      </c>
      <c r="B4606" t="str">
        <f>"1552374990702708"</f>
        <v>1552374990702708</v>
      </c>
      <c r="C4606" t="s">
        <v>40</v>
      </c>
      <c r="D4606">
        <v>4.6056470000000003</v>
      </c>
      <c r="E4606">
        <v>0.45572040000000003</v>
      </c>
      <c r="F4606" t="s">
        <v>43</v>
      </c>
      <c r="G4606">
        <v>-396.31799999999998</v>
      </c>
      <c r="H4606" s="1">
        <v>-1.7606219999999999E-6</v>
      </c>
      <c r="I4606">
        <v>19.392949999999999</v>
      </c>
      <c r="J4606">
        <v>-407.58359999999999</v>
      </c>
      <c r="K4606">
        <v>1.1177429999999999</v>
      </c>
      <c r="L4606">
        <v>21.292020000000001</v>
      </c>
      <c r="M4606">
        <v>0.86594249999999995</v>
      </c>
      <c r="N4606">
        <v>0</v>
      </c>
      <c r="O4606">
        <v>-0.49993490000000002</v>
      </c>
      <c r="P4606">
        <v>0.95955369999999995</v>
      </c>
      <c r="Q4606">
        <v>5.2089909999999996E-3</v>
      </c>
      <c r="R4606">
        <v>-0.2814778</v>
      </c>
      <c r="S4606">
        <v>2.979279</v>
      </c>
      <c r="T4606">
        <v>-0.292624</v>
      </c>
      <c r="U4606">
        <v>-0.51321410000000001</v>
      </c>
      <c r="V4606">
        <v>-0.2363246</v>
      </c>
      <c r="W4606">
        <v>1.4678729999999999E-2</v>
      </c>
      <c r="X4606">
        <v>0.97156330000000002</v>
      </c>
      <c r="Y4606">
        <v>-0.34202500000000002</v>
      </c>
      <c r="Z4606">
        <v>6.3016219999999998E-2</v>
      </c>
      <c r="AA4606">
        <v>0.93757550000000001</v>
      </c>
      <c r="AB4606">
        <v>28</v>
      </c>
      <c r="AC4606">
        <v>11.2655999999999</v>
      </c>
      <c r="AD4606">
        <v>-1.1177447606219999</v>
      </c>
      <c r="AE4606">
        <v>-1.89907</v>
      </c>
      <c r="AF4606">
        <v>-3.9501857218727201</v>
      </c>
      <c r="AG4606">
        <v>-1.1177447606219999</v>
      </c>
      <c r="AH4606">
        <v>10.604384029497099</v>
      </c>
      <c r="AI4606">
        <v>95.641015744484406</v>
      </c>
      <c r="AJ4606">
        <v>110.43061223507701</v>
      </c>
      <c r="AK4606">
        <v>11.3712919772662</v>
      </c>
      <c r="AL4606">
        <v>89.158940528982697</v>
      </c>
      <c r="AM4606">
        <v>103.67121759522701</v>
      </c>
      <c r="AN4606">
        <v>1.0000000137932299</v>
      </c>
    </row>
    <row r="4607" spans="1:40" x14ac:dyDescent="0.25">
      <c r="A4607" t="str">
        <f>"20190312151630725"</f>
        <v>20190312151630725</v>
      </c>
      <c r="B4607" t="str">
        <f>"1552374990712469"</f>
        <v>1552374990712469</v>
      </c>
      <c r="C4607" t="s">
        <v>40</v>
      </c>
      <c r="D4607">
        <v>4.6032010000000003</v>
      </c>
      <c r="E4607">
        <v>0.45555190000000001</v>
      </c>
      <c r="F4607" t="s">
        <v>43</v>
      </c>
      <c r="G4607">
        <v>-396.3005</v>
      </c>
      <c r="H4607" s="1">
        <v>-1.7652879999999999E-6</v>
      </c>
      <c r="I4607">
        <v>19.413080000000001</v>
      </c>
      <c r="J4607">
        <v>-407.45819999999998</v>
      </c>
      <c r="K4607">
        <v>1.117737</v>
      </c>
      <c r="L4607">
        <v>21.22644</v>
      </c>
      <c r="M4607">
        <v>0.8687165</v>
      </c>
      <c r="N4607">
        <v>0</v>
      </c>
      <c r="O4607">
        <v>-0.4950987</v>
      </c>
      <c r="P4607">
        <v>0.96105580000000002</v>
      </c>
      <c r="Q4607">
        <v>5.037316E-3</v>
      </c>
      <c r="R4607">
        <v>-0.27630870000000002</v>
      </c>
      <c r="S4607">
        <v>2.982361</v>
      </c>
      <c r="T4607">
        <v>-0.29544280000000001</v>
      </c>
      <c r="U4607">
        <v>-0.4966431</v>
      </c>
      <c r="V4607">
        <v>-0.23613329999999999</v>
      </c>
      <c r="W4607">
        <v>1.451472E-2</v>
      </c>
      <c r="X4607">
        <v>0.97161229999999998</v>
      </c>
      <c r="Y4607">
        <v>-0.34196710000000002</v>
      </c>
      <c r="Z4607">
        <v>6.3188729999999999E-2</v>
      </c>
      <c r="AA4607">
        <v>0.937585</v>
      </c>
      <c r="AB4607">
        <v>28</v>
      </c>
      <c r="AC4607">
        <v>11.157699999999901</v>
      </c>
      <c r="AD4607">
        <v>-1.117738765288</v>
      </c>
      <c r="AE4607">
        <v>-1.8133600000000001</v>
      </c>
      <c r="AF4607">
        <v>-3.9110410209695798</v>
      </c>
      <c r="AG4607">
        <v>-1.117738765288</v>
      </c>
      <c r="AH4607">
        <v>10.4892227913881</v>
      </c>
      <c r="AI4607">
        <v>95.701848805209593</v>
      </c>
      <c r="AJ4607">
        <v>110.44861440579901</v>
      </c>
      <c r="AK4607">
        <v>11.250305621738001</v>
      </c>
      <c r="AL4607">
        <v>89.168338630205</v>
      </c>
      <c r="AM4607">
        <v>103.659902708169</v>
      </c>
      <c r="AN4607">
        <v>1.0000000369884201</v>
      </c>
    </row>
    <row r="4608" spans="1:40" x14ac:dyDescent="0.25">
      <c r="A4608" t="str">
        <f>"20190312151630737"</f>
        <v>20190312151630737</v>
      </c>
      <c r="B4608" t="str">
        <f>"1552374990732965"</f>
        <v>1552374990732965</v>
      </c>
      <c r="C4608" t="s">
        <v>40</v>
      </c>
      <c r="D4608">
        <v>4.5398449999999997</v>
      </c>
      <c r="E4608">
        <v>0.4554318</v>
      </c>
      <c r="F4608" t="s">
        <v>43</v>
      </c>
      <c r="G4608">
        <v>-396.34989999999999</v>
      </c>
      <c r="H4608" s="1">
        <v>-1.7366029999999999E-6</v>
      </c>
      <c r="I4608">
        <v>19.443210000000001</v>
      </c>
      <c r="J4608">
        <v>-407.32170000000002</v>
      </c>
      <c r="K4608">
        <v>1.1177330000000001</v>
      </c>
      <c r="L4608">
        <v>21.155609999999999</v>
      </c>
      <c r="M4608">
        <v>0.87170049999999899</v>
      </c>
      <c r="N4608">
        <v>0</v>
      </c>
      <c r="O4608">
        <v>-0.48982599999999998</v>
      </c>
      <c r="P4608">
        <v>0.9626768</v>
      </c>
      <c r="Q4608">
        <v>5.2580040000000001E-3</v>
      </c>
      <c r="R4608">
        <v>-0.27060299999999998</v>
      </c>
      <c r="S4608">
        <v>2.985382</v>
      </c>
      <c r="T4608">
        <v>-0.30039539999999998</v>
      </c>
      <c r="U4608">
        <v>-0.47924800000000001</v>
      </c>
      <c r="V4608">
        <v>-0.236013</v>
      </c>
      <c r="W4608">
        <v>1.4742140000000001E-2</v>
      </c>
      <c r="X4608">
        <v>0.97163809999999995</v>
      </c>
      <c r="Y4608">
        <v>-0.34165250000000003</v>
      </c>
      <c r="Z4608">
        <v>6.3754190000000002E-2</v>
      </c>
      <c r="AA4608">
        <v>0.93766150000000004</v>
      </c>
      <c r="AB4608">
        <v>28</v>
      </c>
      <c r="AC4608">
        <v>10.9718</v>
      </c>
      <c r="AD4608">
        <v>-1.1177347366029999</v>
      </c>
      <c r="AE4608">
        <v>-1.7123999999999899</v>
      </c>
      <c r="AF4608">
        <v>-3.84304271014385</v>
      </c>
      <c r="AG4608">
        <v>-1.1177347366029999</v>
      </c>
      <c r="AH4608">
        <v>10.2996376510423</v>
      </c>
      <c r="AI4608">
        <v>95.805577886329104</v>
      </c>
      <c r="AJ4608">
        <v>110.461755545808</v>
      </c>
      <c r="AK4608">
        <v>11.0499250656359</v>
      </c>
      <c r="AL4608">
        <v>89.155307025969293</v>
      </c>
      <c r="AM4608">
        <v>103.65285512595899</v>
      </c>
      <c r="AN4608">
        <v>1.0000000321161899</v>
      </c>
    </row>
    <row r="4609" spans="1:40" x14ac:dyDescent="0.25">
      <c r="A4609" t="str">
        <f>"20190312151630748"</f>
        <v>20190312151630748</v>
      </c>
      <c r="B4609" t="str">
        <f>"1552374990742725"</f>
        <v>1552374990742725</v>
      </c>
      <c r="C4609" t="s">
        <v>40</v>
      </c>
      <c r="D4609">
        <v>4.5920860000000001</v>
      </c>
      <c r="E4609">
        <v>0.45540839999999999</v>
      </c>
      <c r="F4609" t="s">
        <v>43</v>
      </c>
      <c r="G4609">
        <v>-396.31900000000002</v>
      </c>
      <c r="H4609" s="1">
        <v>-1.7482679999999901E-6</v>
      </c>
      <c r="I4609">
        <v>19.45992</v>
      </c>
      <c r="J4609">
        <v>-407.19760000000002</v>
      </c>
      <c r="K4609">
        <v>1.1177269999999999</v>
      </c>
      <c r="L4609">
        <v>21.09216</v>
      </c>
      <c r="M4609">
        <v>0.87437799999999999</v>
      </c>
      <c r="N4609">
        <v>0</v>
      </c>
      <c r="O4609">
        <v>-0.48503039999999997</v>
      </c>
      <c r="P4609">
        <v>0.96411400000000003</v>
      </c>
      <c r="Q4609">
        <v>5.4679919999999996E-3</v>
      </c>
      <c r="R4609">
        <v>-0.26543230000000001</v>
      </c>
      <c r="S4609">
        <v>2.988464</v>
      </c>
      <c r="T4609">
        <v>-0.30359019999999998</v>
      </c>
      <c r="U4609">
        <v>-0.46057130000000002</v>
      </c>
      <c r="V4609">
        <v>-0.2358941</v>
      </c>
      <c r="W4609">
        <v>1.4958600000000001E-2</v>
      </c>
      <c r="X4609">
        <v>0.97166370000000002</v>
      </c>
      <c r="Y4609">
        <v>-0.34230179999999999</v>
      </c>
      <c r="Z4609">
        <v>6.4024559999999994E-2</v>
      </c>
      <c r="AA4609">
        <v>0.93740619999999997</v>
      </c>
      <c r="AB4609">
        <v>27</v>
      </c>
      <c r="AC4609">
        <v>10.8786</v>
      </c>
      <c r="AD4609">
        <v>-1.1177287482680001</v>
      </c>
      <c r="AE4609">
        <v>-1.6322399999999899</v>
      </c>
      <c r="AF4609">
        <v>-3.81031987948462</v>
      </c>
      <c r="AG4609">
        <v>-1.1177287482680001</v>
      </c>
      <c r="AH4609">
        <v>10.1994677111573</v>
      </c>
      <c r="AI4609">
        <v>95.861298512213807</v>
      </c>
      <c r="AJ4609">
        <v>110.48469608704301</v>
      </c>
      <c r="AK4609">
        <v>10.945181438863401</v>
      </c>
      <c r="AL4609">
        <v>89.142903443183997</v>
      </c>
      <c r="AM4609">
        <v>103.645888159202</v>
      </c>
      <c r="AN4609">
        <v>1.00000006601322</v>
      </c>
    </row>
    <row r="4610" spans="1:40" x14ac:dyDescent="0.25">
      <c r="A4610" t="str">
        <f>"20190312151630759"</f>
        <v>20190312151630759</v>
      </c>
      <c r="B4610" t="str">
        <f>"1552374990752485"</f>
        <v>1552374990752485</v>
      </c>
      <c r="C4610" t="s">
        <v>40</v>
      </c>
      <c r="D4610">
        <v>4.9124970000000001</v>
      </c>
      <c r="E4610">
        <v>0.45541559999999998</v>
      </c>
      <c r="F4610" t="s">
        <v>43</v>
      </c>
      <c r="G4610">
        <v>-396.23829999999998</v>
      </c>
      <c r="H4610" s="1">
        <v>-1.785766E-6</v>
      </c>
      <c r="I4610">
        <v>19.463529999999999</v>
      </c>
      <c r="J4610">
        <v>-407.0856</v>
      </c>
      <c r="K4610">
        <v>1.1177220000000001</v>
      </c>
      <c r="L4610">
        <v>21.035799999999998</v>
      </c>
      <c r="M4610">
        <v>0.87676270000000001</v>
      </c>
      <c r="N4610">
        <v>0</v>
      </c>
      <c r="O4610">
        <v>-0.48070649999999998</v>
      </c>
      <c r="P4610">
        <v>0.96535839999999995</v>
      </c>
      <c r="Q4610">
        <v>5.4481679999999998E-3</v>
      </c>
      <c r="R4610">
        <v>-0.26087120000000003</v>
      </c>
      <c r="S4610">
        <v>2.991028</v>
      </c>
      <c r="T4610">
        <v>-0.305052299999999</v>
      </c>
      <c r="U4610">
        <v>-0.44448850000000001</v>
      </c>
      <c r="V4610">
        <v>-0.23568839999999999</v>
      </c>
      <c r="W4610">
        <v>1.494621E-2</v>
      </c>
      <c r="X4610">
        <v>0.97171370000000001</v>
      </c>
      <c r="Y4610">
        <v>-0.34269559999999999</v>
      </c>
      <c r="Z4610">
        <v>6.3955609999999996E-2</v>
      </c>
      <c r="AA4610">
        <v>0.93726699999999996</v>
      </c>
      <c r="AB4610">
        <v>27</v>
      </c>
      <c r="AC4610">
        <v>10.847300000000001</v>
      </c>
      <c r="AD4610">
        <v>-1.1177237857659901</v>
      </c>
      <c r="AE4610">
        <v>-1.5722699999999901</v>
      </c>
      <c r="AF4610">
        <v>-3.7967766590472398</v>
      </c>
      <c r="AG4610">
        <v>-1.1177237857659901</v>
      </c>
      <c r="AH4610">
        <v>10.1617058539934</v>
      </c>
      <c r="AI4610">
        <v>95.882794962310896</v>
      </c>
      <c r="AJ4610">
        <v>110.48748596144399</v>
      </c>
      <c r="AK4610">
        <v>10.9052778654666</v>
      </c>
      <c r="AL4610">
        <v>89.143613328928197</v>
      </c>
      <c r="AM4610">
        <v>103.633757883096</v>
      </c>
      <c r="AN4610">
        <v>0.99999996292780602</v>
      </c>
    </row>
    <row r="4611" spans="1:40" x14ac:dyDescent="0.25">
      <c r="A4611" t="str">
        <f>"20190312151630770"</f>
        <v>20190312151630770</v>
      </c>
      <c r="B4611" t="str">
        <f>"1552374990762244"</f>
        <v>1552374990762244</v>
      </c>
      <c r="C4611" t="s">
        <v>40</v>
      </c>
      <c r="D4611">
        <v>4.6542240000000001</v>
      </c>
      <c r="E4611">
        <v>0.4553662</v>
      </c>
      <c r="F4611" t="s">
        <v>43</v>
      </c>
      <c r="G4611">
        <v>-396.20069999999998</v>
      </c>
      <c r="H4611" s="1">
        <v>-1.8022319999999999E-6</v>
      </c>
      <c r="I4611">
        <v>19.470839999999999</v>
      </c>
      <c r="J4611">
        <v>-406.96260000000001</v>
      </c>
      <c r="K4611">
        <v>1.1177170000000001</v>
      </c>
      <c r="L4611">
        <v>20.974399999999999</v>
      </c>
      <c r="M4611">
        <v>0.87935350000000001</v>
      </c>
      <c r="N4611">
        <v>0</v>
      </c>
      <c r="O4611">
        <v>-0.47595029999999999</v>
      </c>
      <c r="P4611">
        <v>0.96667709999999996</v>
      </c>
      <c r="Q4611">
        <v>5.7895859999999898E-3</v>
      </c>
      <c r="R4611">
        <v>-0.25593349999999998</v>
      </c>
      <c r="S4611">
        <v>2.9931030000000001</v>
      </c>
      <c r="T4611">
        <v>-0.30734899999999998</v>
      </c>
      <c r="U4611">
        <v>-0.4303284</v>
      </c>
      <c r="V4611">
        <v>-0.23539760000000001</v>
      </c>
      <c r="W4611">
        <v>1.52976E-2</v>
      </c>
      <c r="X4611">
        <v>0.97177880000000005</v>
      </c>
      <c r="Y4611">
        <v>-0.34201399999999998</v>
      </c>
      <c r="Z4611">
        <v>6.3965939999999999E-2</v>
      </c>
      <c r="AA4611">
        <v>0.93751519999999999</v>
      </c>
      <c r="AB4611">
        <v>27</v>
      </c>
      <c r="AC4611">
        <v>10.761900000000001</v>
      </c>
      <c r="AD4611">
        <v>-1.1177188022319999</v>
      </c>
      <c r="AE4611">
        <v>-1.50356</v>
      </c>
      <c r="AF4611">
        <v>-3.7605779646544599</v>
      </c>
      <c r="AG4611">
        <v>-1.1177188022319999</v>
      </c>
      <c r="AH4611">
        <v>10.073616437364899</v>
      </c>
      <c r="AI4611">
        <v>95.934475498403501</v>
      </c>
      <c r="AJ4611">
        <v>110.471087242046</v>
      </c>
      <c r="AK4611">
        <v>10.810596194301899</v>
      </c>
      <c r="AL4611">
        <v>89.123477930554003</v>
      </c>
      <c r="AM4611">
        <v>103.61668455370599</v>
      </c>
      <c r="AN4611">
        <v>1.0000000413904699</v>
      </c>
    </row>
    <row r="4612" spans="1:40" x14ac:dyDescent="0.25">
      <c r="A4612" t="str">
        <f>"20190312151630782"</f>
        <v>20190312151630782</v>
      </c>
      <c r="B4612" t="str">
        <f>"1552374990772980"</f>
        <v>1552374990772980</v>
      </c>
      <c r="C4612" t="s">
        <v>40</v>
      </c>
      <c r="D4612">
        <v>4.5752329999999999</v>
      </c>
      <c r="E4612">
        <v>0.45541110000000001</v>
      </c>
      <c r="F4612" t="s">
        <v>43</v>
      </c>
      <c r="G4612">
        <v>-396.15719999999999</v>
      </c>
      <c r="H4612" s="1">
        <v>-1.821321E-6</v>
      </c>
      <c r="I4612">
        <v>19.479140000000001</v>
      </c>
      <c r="J4612">
        <v>-406.84109999999998</v>
      </c>
      <c r="K4612">
        <v>1.1177109999999999</v>
      </c>
      <c r="L4612">
        <v>20.914919999999999</v>
      </c>
      <c r="M4612">
        <v>0.88187839999999995</v>
      </c>
      <c r="N4612">
        <v>0</v>
      </c>
      <c r="O4612">
        <v>-0.4712556</v>
      </c>
      <c r="P4612">
        <v>0.96796040000000005</v>
      </c>
      <c r="Q4612">
        <v>6.0633299999999996E-3</v>
      </c>
      <c r="R4612">
        <v>-0.25102920000000001</v>
      </c>
      <c r="S4612">
        <v>2.995514</v>
      </c>
      <c r="T4612">
        <v>-0.30985879999999999</v>
      </c>
      <c r="U4612">
        <v>-0.41452030000000001</v>
      </c>
      <c r="V4612">
        <v>-0.2351472</v>
      </c>
      <c r="W4612">
        <v>1.558033E-2</v>
      </c>
      <c r="X4612">
        <v>0.97183489999999995</v>
      </c>
      <c r="Y4612">
        <v>-0.34192489999999998</v>
      </c>
      <c r="Z4612">
        <v>6.4043639999999999E-2</v>
      </c>
      <c r="AA4612">
        <v>0.9375424</v>
      </c>
      <c r="AB4612">
        <v>27</v>
      </c>
      <c r="AC4612">
        <v>10.6838999999999</v>
      </c>
      <c r="AD4612">
        <v>-1.1177128213209999</v>
      </c>
      <c r="AE4612">
        <v>-1.4357800000000001</v>
      </c>
      <c r="AF4612">
        <v>-3.7289693805858701</v>
      </c>
      <c r="AG4612">
        <v>-1.1177128213209999</v>
      </c>
      <c r="AH4612">
        <v>9.9921533271876495</v>
      </c>
      <c r="AI4612">
        <v>95.982709488916498</v>
      </c>
      <c r="AJ4612">
        <v>110.46505971710999</v>
      </c>
      <c r="AK4612">
        <v>10.7236944523013</v>
      </c>
      <c r="AL4612">
        <v>89.107276738745398</v>
      </c>
      <c r="AM4612">
        <v>103.601982435217</v>
      </c>
      <c r="AN4612">
        <v>1.00000001260437</v>
      </c>
    </row>
    <row r="4613" spans="1:40" x14ac:dyDescent="0.25">
      <c r="A4613" t="str">
        <f>"20190312151630792"</f>
        <v>20190312151630792</v>
      </c>
      <c r="B4613" t="str">
        <f>"1552374990782741"</f>
        <v>1552374990782741</v>
      </c>
      <c r="C4613" t="s">
        <v>40</v>
      </c>
      <c r="D4613">
        <v>4.6084389999999997</v>
      </c>
      <c r="E4613">
        <v>0.45540649999999999</v>
      </c>
      <c r="F4613" t="s">
        <v>43</v>
      </c>
      <c r="G4613">
        <v>-396.06740000000002</v>
      </c>
      <c r="H4613" s="1">
        <v>-1.8638620000000001E-6</v>
      </c>
      <c r="I4613">
        <v>19.478490000000001</v>
      </c>
      <c r="J4613">
        <v>-406.72489999999999</v>
      </c>
      <c r="K4613">
        <v>1.117707</v>
      </c>
      <c r="L4613">
        <v>20.858339999999998</v>
      </c>
      <c r="M4613">
        <v>0.88426839999999995</v>
      </c>
      <c r="N4613">
        <v>0</v>
      </c>
      <c r="O4613">
        <v>-0.4667559</v>
      </c>
      <c r="P4613">
        <v>0.96922180000000002</v>
      </c>
      <c r="Q4613">
        <v>5.9947759999999899E-3</v>
      </c>
      <c r="R4613">
        <v>-0.2461168</v>
      </c>
      <c r="S4613">
        <v>2.9975589999999999</v>
      </c>
      <c r="T4613">
        <v>-0.31098219999999999</v>
      </c>
      <c r="U4613">
        <v>-0.39965820000000002</v>
      </c>
      <c r="V4613">
        <v>-0.2351229</v>
      </c>
      <c r="W4613">
        <v>1.551548E-2</v>
      </c>
      <c r="X4613">
        <v>0.97184179999999998</v>
      </c>
      <c r="Y4613">
        <v>-0.34178560000000002</v>
      </c>
      <c r="Z4613">
        <v>6.3849459999999997E-2</v>
      </c>
      <c r="AA4613">
        <v>0.93760650000000001</v>
      </c>
      <c r="AB4613">
        <v>27</v>
      </c>
      <c r="AC4613">
        <v>10.657499999999899</v>
      </c>
      <c r="AD4613">
        <v>-1.1177088638619901</v>
      </c>
      <c r="AE4613">
        <v>-1.37984999999999</v>
      </c>
      <c r="AF4613">
        <v>-3.7145027353832201</v>
      </c>
      <c r="AG4613">
        <v>-1.1177088638619901</v>
      </c>
      <c r="AH4613">
        <v>9.9614346650802492</v>
      </c>
      <c r="AI4613">
        <v>96.001591279159996</v>
      </c>
      <c r="AJ4613">
        <v>110.449898411628</v>
      </c>
      <c r="AK4613">
        <v>10.690041359236499</v>
      </c>
      <c r="AL4613">
        <v>89.110992804623507</v>
      </c>
      <c r="AM4613">
        <v>103.60053604875399</v>
      </c>
      <c r="AN4613">
        <v>0.99999999622563995</v>
      </c>
    </row>
    <row r="4614" spans="1:40" x14ac:dyDescent="0.25">
      <c r="A4614" t="str">
        <f>"20190312151630805"</f>
        <v>20190312151630805</v>
      </c>
      <c r="B4614" t="str">
        <f>"1552374990792501"</f>
        <v>1552374990792501</v>
      </c>
      <c r="C4614" t="s">
        <v>40</v>
      </c>
      <c r="D4614">
        <v>4.6059229999999998</v>
      </c>
      <c r="E4614">
        <v>0.45547199999999999</v>
      </c>
      <c r="F4614" t="s">
        <v>43</v>
      </c>
      <c r="G4614">
        <v>-395.96080000000001</v>
      </c>
      <c r="H4614" s="1">
        <v>-1.914199E-6</v>
      </c>
      <c r="I4614">
        <v>19.47889</v>
      </c>
      <c r="J4614">
        <v>-406.59469999999999</v>
      </c>
      <c r="K4614">
        <v>1.1176999999999999</v>
      </c>
      <c r="L4614">
        <v>20.796389999999999</v>
      </c>
      <c r="M4614">
        <v>0.88690609999999903</v>
      </c>
      <c r="N4614">
        <v>0</v>
      </c>
      <c r="O4614">
        <v>-0.46172390000000002</v>
      </c>
      <c r="P4614">
        <v>0.97058560000000005</v>
      </c>
      <c r="Q4614">
        <v>6.1916990000000002E-3</v>
      </c>
      <c r="R4614">
        <v>-0.24067640000000001</v>
      </c>
      <c r="S4614">
        <v>2.9995419999999999</v>
      </c>
      <c r="T4614">
        <v>-0.31146249999999998</v>
      </c>
      <c r="U4614">
        <v>-0.3843994</v>
      </c>
      <c r="V4614">
        <v>-0.2350554</v>
      </c>
      <c r="W4614">
        <v>1.5717160000000001E-2</v>
      </c>
      <c r="X4614">
        <v>0.97185489999999997</v>
      </c>
      <c r="Y4614">
        <v>-0.3412367</v>
      </c>
      <c r="Z4614">
        <v>6.3451889999999997E-2</v>
      </c>
      <c r="AA4614">
        <v>0.93783340000000004</v>
      </c>
      <c r="AB4614">
        <v>27</v>
      </c>
      <c r="AC4614">
        <v>10.633899999999899</v>
      </c>
      <c r="AD4614">
        <v>-1.1177019141989999</v>
      </c>
      <c r="AE4614">
        <v>-1.3174999999999899</v>
      </c>
      <c r="AF4614">
        <v>-3.7015424761071398</v>
      </c>
      <c r="AG4614">
        <v>-1.1177019141989999</v>
      </c>
      <c r="AH4614">
        <v>9.9325675341027893</v>
      </c>
      <c r="AI4614">
        <v>96.019301127920002</v>
      </c>
      <c r="AJ4614">
        <v>110.438776172521</v>
      </c>
      <c r="AK4614">
        <v>10.658638378842801</v>
      </c>
      <c r="AL4614">
        <v>89.099435993467694</v>
      </c>
      <c r="AM4614">
        <v>103.596600047295</v>
      </c>
      <c r="AN4614">
        <v>1.00000000842081</v>
      </c>
    </row>
    <row r="4615" spans="1:40" x14ac:dyDescent="0.25">
      <c r="A4615" t="str">
        <f>"20190312151630827"</f>
        <v>20190312151630827</v>
      </c>
      <c r="B4615" t="str">
        <f>"1552374990822757"</f>
        <v>1552374990822757</v>
      </c>
      <c r="C4615" t="s">
        <v>40</v>
      </c>
      <c r="D4615">
        <v>4.6192029999999997</v>
      </c>
      <c r="E4615">
        <v>0.45563300000000001</v>
      </c>
      <c r="F4615" t="s">
        <v>43</v>
      </c>
      <c r="G4615">
        <v>-395.82400000000001</v>
      </c>
      <c r="H4615" s="1">
        <v>-1.9795260000000001E-6</v>
      </c>
      <c r="I4615">
        <v>19.475280000000001</v>
      </c>
      <c r="J4615">
        <v>-406.3528</v>
      </c>
      <c r="K4615">
        <v>1.117688</v>
      </c>
      <c r="L4615">
        <v>20.683140000000002</v>
      </c>
      <c r="M4615">
        <v>0.89171999999999996</v>
      </c>
      <c r="N4615">
        <v>0</v>
      </c>
      <c r="O4615">
        <v>-0.45235730000000002</v>
      </c>
      <c r="P4615">
        <v>0.97303119999999999</v>
      </c>
      <c r="Q4615">
        <v>6.5927819999999897E-3</v>
      </c>
      <c r="R4615">
        <v>-0.23057939999999999</v>
      </c>
      <c r="S4615">
        <v>3.0015869999999998</v>
      </c>
      <c r="T4615">
        <v>-0.31148049999999999</v>
      </c>
      <c r="U4615">
        <v>-0.36816409999999999</v>
      </c>
      <c r="V4615">
        <v>-0.2349223</v>
      </c>
      <c r="W4615">
        <v>1.612767E-2</v>
      </c>
      <c r="X4615">
        <v>0.97188039999999998</v>
      </c>
      <c r="Y4615">
        <v>-0.33648600000000001</v>
      </c>
      <c r="Z4615">
        <v>6.234257E-2</v>
      </c>
      <c r="AA4615">
        <v>0.93962259999999997</v>
      </c>
      <c r="AB4615">
        <v>27</v>
      </c>
      <c r="AC4615">
        <v>10.528799999999899</v>
      </c>
      <c r="AD4615">
        <v>-1.117689979526</v>
      </c>
      <c r="AE4615">
        <v>-1.2078599999999999</v>
      </c>
      <c r="AF4615">
        <v>-3.6455426290278701</v>
      </c>
      <c r="AG4615">
        <v>-1.117689979526</v>
      </c>
      <c r="AH4615">
        <v>9.8268604752121398</v>
      </c>
      <c r="AI4615">
        <v>96.086836915938406</v>
      </c>
      <c r="AJ4615">
        <v>110.353712906108</v>
      </c>
      <c r="AK4615">
        <v>10.5407020045952</v>
      </c>
      <c r="AL4615">
        <v>89.075912559730199</v>
      </c>
      <c r="AM4615">
        <v>103.588843223165</v>
      </c>
      <c r="AN4615">
        <v>1.00000005034053</v>
      </c>
    </row>
    <row r="4616" spans="1:40" x14ac:dyDescent="0.25">
      <c r="A4616" t="str">
        <f>"20190312151630850"</f>
        <v>20190312151630850</v>
      </c>
      <c r="B4616" t="str">
        <f>"1552374990842277"</f>
        <v>1552374990842277</v>
      </c>
      <c r="C4616" t="s">
        <v>40</v>
      </c>
      <c r="D4616">
        <v>4.5924009999999997</v>
      </c>
      <c r="E4616">
        <v>0.45600940000000001</v>
      </c>
      <c r="F4616" t="s">
        <v>43</v>
      </c>
      <c r="G4616">
        <v>-395.52960000000002</v>
      </c>
      <c r="H4616" s="1">
        <v>-2.1206180000000001E-6</v>
      </c>
      <c r="I4616">
        <v>19.464410000000001</v>
      </c>
      <c r="J4616">
        <v>-406.09859999999998</v>
      </c>
      <c r="K4616">
        <v>1.1176820000000001</v>
      </c>
      <c r="L4616">
        <v>20.567409999999999</v>
      </c>
      <c r="M4616">
        <v>0.89664719999999998</v>
      </c>
      <c r="N4616">
        <v>0</v>
      </c>
      <c r="O4616">
        <v>-0.44251049999999997</v>
      </c>
      <c r="P4616">
        <v>0.97533069999999999</v>
      </c>
      <c r="Q4616">
        <v>6.9125259999999996E-3</v>
      </c>
      <c r="R4616">
        <v>-0.22064030000000001</v>
      </c>
      <c r="S4616">
        <v>3.0050659999999998</v>
      </c>
      <c r="T4616">
        <v>-0.31032609999999999</v>
      </c>
      <c r="U4616">
        <v>-0.33837889999999998</v>
      </c>
      <c r="V4616">
        <v>-0.23413999999999999</v>
      </c>
      <c r="W4616">
        <v>1.647094E-2</v>
      </c>
      <c r="X4616">
        <v>0.97206340000000002</v>
      </c>
      <c r="Y4616">
        <v>-0.3355262</v>
      </c>
      <c r="Z4616">
        <v>6.1145949999999998E-2</v>
      </c>
      <c r="AA4616">
        <v>0.94004430000000005</v>
      </c>
      <c r="AB4616">
        <v>27</v>
      </c>
      <c r="AC4616">
        <v>10.5689999999999</v>
      </c>
      <c r="AD4616">
        <v>-1.1176841206179999</v>
      </c>
      <c r="AE4616">
        <v>-1.10299999999999</v>
      </c>
      <c r="AF4616">
        <v>-3.6479194079809298</v>
      </c>
      <c r="AG4616">
        <v>-1.1176841206179999</v>
      </c>
      <c r="AH4616">
        <v>9.8567476797244602</v>
      </c>
      <c r="AI4616">
        <v>96.070221484384106</v>
      </c>
      <c r="AJ4616">
        <v>110.309191572743</v>
      </c>
      <c r="AK4616">
        <v>10.569390172680601</v>
      </c>
      <c r="AL4616">
        <v>89.056242017947</v>
      </c>
      <c r="AM4616">
        <v>103.54280570229101</v>
      </c>
      <c r="AN4616">
        <v>1.0000000425420199</v>
      </c>
    </row>
    <row r="4617" spans="1:40" x14ac:dyDescent="0.25">
      <c r="A4617" t="str">
        <f>"20190312151630860"</f>
        <v>20190312151630860</v>
      </c>
      <c r="B4617" t="str">
        <f>"1552374990853013"</f>
        <v>1552374990853013</v>
      </c>
      <c r="C4617" t="s">
        <v>40</v>
      </c>
      <c r="D4617">
        <v>4.5919339999999904</v>
      </c>
      <c r="E4617">
        <v>0.45618700000000001</v>
      </c>
      <c r="F4617" t="s">
        <v>43</v>
      </c>
      <c r="G4617">
        <v>-395.16699999999997</v>
      </c>
      <c r="H4617" s="1">
        <v>-2.296654E-6</v>
      </c>
      <c r="I4617">
        <v>19.438300000000002</v>
      </c>
      <c r="J4617">
        <v>-405.97660000000002</v>
      </c>
      <c r="K4617">
        <v>1.1176779999999999</v>
      </c>
      <c r="L4617">
        <v>20.51324</v>
      </c>
      <c r="M4617">
        <v>0.89896399999999999</v>
      </c>
      <c r="N4617">
        <v>0</v>
      </c>
      <c r="O4617">
        <v>-0.43778450000000002</v>
      </c>
      <c r="P4617">
        <v>0.97637209999999997</v>
      </c>
      <c r="Q4617">
        <v>7.0929110000000004E-3</v>
      </c>
      <c r="R4617">
        <v>-0.21597959999999999</v>
      </c>
      <c r="S4617">
        <v>3.0077820000000002</v>
      </c>
      <c r="T4617">
        <v>-0.30752439999999998</v>
      </c>
      <c r="U4617">
        <v>-0.31066890000000003</v>
      </c>
      <c r="V4617">
        <v>-0.2336683</v>
      </c>
      <c r="W4617">
        <v>1.6665470000000002E-2</v>
      </c>
      <c r="X4617">
        <v>0.97217350000000002</v>
      </c>
      <c r="Y4617">
        <v>-0.33929819999999999</v>
      </c>
      <c r="Z4617">
        <v>6.0352830000000003E-2</v>
      </c>
      <c r="AA4617">
        <v>0.93874080000000004</v>
      </c>
      <c r="AB4617">
        <v>27</v>
      </c>
      <c r="AC4617">
        <v>10.8096</v>
      </c>
      <c r="AD4617">
        <v>-1.117680296654</v>
      </c>
      <c r="AE4617">
        <v>-1.07493999999999</v>
      </c>
      <c r="AF4617">
        <v>-3.72688183168091</v>
      </c>
      <c r="AG4617">
        <v>-1.117680296654</v>
      </c>
      <c r="AH4617">
        <v>10.082360941474199</v>
      </c>
      <c r="AI4617">
        <v>95.936211056805206</v>
      </c>
      <c r="AJ4617">
        <v>110.286518498097</v>
      </c>
      <c r="AK4617">
        <v>10.807074515659</v>
      </c>
      <c r="AL4617">
        <v>89.045094664553204</v>
      </c>
      <c r="AM4617">
        <v>103.515049671745</v>
      </c>
      <c r="AN4617">
        <v>0.99999996320872897</v>
      </c>
    </row>
    <row r="4618" spans="1:40" x14ac:dyDescent="0.25">
      <c r="A4618" t="str">
        <f>"20190312151630873"</f>
        <v>20190312151630873</v>
      </c>
      <c r="B4618" t="str">
        <f>"1552374990862773"</f>
        <v>1552374990862773</v>
      </c>
      <c r="C4618" t="s">
        <v>40</v>
      </c>
      <c r="D4618">
        <v>4.8989050000000001</v>
      </c>
      <c r="E4618">
        <v>0.4563893</v>
      </c>
      <c r="F4618" t="s">
        <v>43</v>
      </c>
      <c r="G4618">
        <v>-395.0222</v>
      </c>
      <c r="H4618" s="1">
        <v>-2.3666509999999998E-6</v>
      </c>
      <c r="I4618">
        <v>19.429569999999998</v>
      </c>
      <c r="J4618">
        <v>-405.8442</v>
      </c>
      <c r="K4618">
        <v>1.117675</v>
      </c>
      <c r="L4618">
        <v>20.454899999999999</v>
      </c>
      <c r="M4618">
        <v>0.90144809999999997</v>
      </c>
      <c r="N4618">
        <v>0</v>
      </c>
      <c r="O4618">
        <v>-0.43264659999999999</v>
      </c>
      <c r="P4618">
        <v>0.97748239999999997</v>
      </c>
      <c r="Q4618">
        <v>7.5078430000000002E-3</v>
      </c>
      <c r="R4618">
        <v>-0.2108843</v>
      </c>
      <c r="S4618">
        <v>3.0090029999999999</v>
      </c>
      <c r="T4618">
        <v>-0.3070079</v>
      </c>
      <c r="U4618">
        <v>-0.2976685</v>
      </c>
      <c r="V4618">
        <v>-0.2331965</v>
      </c>
      <c r="W4618">
        <v>1.7094080000000001E-2</v>
      </c>
      <c r="X4618">
        <v>0.97227940000000002</v>
      </c>
      <c r="Y4618">
        <v>-0.33803139999999998</v>
      </c>
      <c r="Z4618">
        <v>5.9714639999999999E-2</v>
      </c>
      <c r="AA4618">
        <v>0.93923849999999998</v>
      </c>
      <c r="AB4618">
        <v>27</v>
      </c>
      <c r="AC4618">
        <v>10.821999999999999</v>
      </c>
      <c r="AD4618">
        <v>-1.117677366651</v>
      </c>
      <c r="AE4618">
        <v>-1.0253299999999901</v>
      </c>
      <c r="AF4618">
        <v>-3.7188967253035399</v>
      </c>
      <c r="AG4618">
        <v>-1.117677366651</v>
      </c>
      <c r="AH4618">
        <v>10.093436187700799</v>
      </c>
      <c r="AI4618">
        <v>95.932017342143794</v>
      </c>
      <c r="AJ4618">
        <v>110.22617062949401</v>
      </c>
      <c r="AK4618">
        <v>10.814659015641</v>
      </c>
      <c r="AL4618">
        <v>89.020533679089297</v>
      </c>
      <c r="AM4618">
        <v>103.48734402509101</v>
      </c>
      <c r="AN4618">
        <v>1.00000002342382</v>
      </c>
    </row>
    <row r="4619" spans="1:40" x14ac:dyDescent="0.25">
      <c r="A4619" t="str">
        <f>"20190312151630883"</f>
        <v>20190312151630883</v>
      </c>
      <c r="B4619" t="str">
        <f>"1552374990872533"</f>
        <v>1552374990872533</v>
      </c>
      <c r="C4619" t="s">
        <v>40</v>
      </c>
      <c r="D4619">
        <v>4.7947959999999998</v>
      </c>
      <c r="E4619">
        <v>0.45663490000000001</v>
      </c>
      <c r="F4619" t="s">
        <v>43</v>
      </c>
      <c r="G4619">
        <v>-394.81549999999999</v>
      </c>
      <c r="H4619" s="1">
        <v>-2.4667449999999998E-6</v>
      </c>
      <c r="I4619">
        <v>19.415990000000001</v>
      </c>
      <c r="J4619">
        <v>-405.7199</v>
      </c>
      <c r="K4619">
        <v>1.1176710000000001</v>
      </c>
      <c r="L4619">
        <v>20.401520000000001</v>
      </c>
      <c r="M4619">
        <v>0.90374390000000004</v>
      </c>
      <c r="N4619">
        <v>0</v>
      </c>
      <c r="O4619">
        <v>-0.4278304</v>
      </c>
      <c r="P4619">
        <v>0.97845170000000004</v>
      </c>
      <c r="Q4619">
        <v>8.0840449999999998E-3</v>
      </c>
      <c r="R4619">
        <v>-0.20631820000000001</v>
      </c>
      <c r="S4619">
        <v>3.010284</v>
      </c>
      <c r="T4619">
        <v>-0.30507050000000002</v>
      </c>
      <c r="U4619">
        <v>-0.28356930000000002</v>
      </c>
      <c r="V4619">
        <v>-0.2325566</v>
      </c>
      <c r="W4619">
        <v>1.768718E-2</v>
      </c>
      <c r="X4619">
        <v>0.97242200000000001</v>
      </c>
      <c r="Y4619">
        <v>-0.33748509999999998</v>
      </c>
      <c r="Z4619">
        <v>5.8870159999999998E-2</v>
      </c>
      <c r="AA4619">
        <v>0.9394882</v>
      </c>
      <c r="AB4619">
        <v>27</v>
      </c>
      <c r="AC4619">
        <v>10.904400000000001</v>
      </c>
      <c r="AD4619">
        <v>-1.1176734667449999</v>
      </c>
      <c r="AE4619">
        <v>-0.98553000000000002</v>
      </c>
      <c r="AF4619">
        <v>-3.73602821226718</v>
      </c>
      <c r="AG4619">
        <v>-1.1176734667449999</v>
      </c>
      <c r="AH4619">
        <v>10.171500895468499</v>
      </c>
      <c r="AI4619">
        <v>95.888956852285403</v>
      </c>
      <c r="AJ4619">
        <v>110.16846209884299</v>
      </c>
      <c r="AK4619">
        <v>10.8934168766112</v>
      </c>
      <c r="AL4619">
        <v>88.986546365979194</v>
      </c>
      <c r="AM4619">
        <v>103.44978012176</v>
      </c>
      <c r="AN4619">
        <v>0.999999977311956</v>
      </c>
    </row>
    <row r="4620" spans="1:40" x14ac:dyDescent="0.25">
      <c r="A4620" t="str">
        <f>"20190312151630895"</f>
        <v>20190312151630895</v>
      </c>
      <c r="B4620" t="str">
        <f>"1552374990893029"</f>
        <v>1552374990893029</v>
      </c>
      <c r="C4620" t="s">
        <v>40</v>
      </c>
      <c r="D4620">
        <v>4.6712429999999996</v>
      </c>
      <c r="E4620">
        <v>0.45712320000000001</v>
      </c>
      <c r="F4620" t="s">
        <v>43</v>
      </c>
      <c r="G4620">
        <v>-394.6</v>
      </c>
      <c r="H4620" s="1">
        <v>-2.5716500000000002E-6</v>
      </c>
      <c r="I4620">
        <v>19.399000000000001</v>
      </c>
      <c r="J4620">
        <v>-405.59480000000002</v>
      </c>
      <c r="K4620">
        <v>1.117667</v>
      </c>
      <c r="L4620">
        <v>20.348109999999998</v>
      </c>
      <c r="M4620">
        <v>0.90602579999999999</v>
      </c>
      <c r="N4620">
        <v>0</v>
      </c>
      <c r="O4620">
        <v>-0.42297620000000002</v>
      </c>
      <c r="P4620">
        <v>0.97943550000000001</v>
      </c>
      <c r="Q4620">
        <v>8.941081E-3</v>
      </c>
      <c r="R4620">
        <v>-0.20155970000000001</v>
      </c>
      <c r="S4620">
        <v>3.0112920000000001</v>
      </c>
      <c r="T4620">
        <v>-0.30266739999999998</v>
      </c>
      <c r="U4620">
        <v>-0.27148440000000001</v>
      </c>
      <c r="V4620">
        <v>-0.23208000000000001</v>
      </c>
      <c r="W4620">
        <v>1.8558209999999999E-2</v>
      </c>
      <c r="X4620">
        <v>0.97251960000000004</v>
      </c>
      <c r="Y4620">
        <v>-0.3362946</v>
      </c>
      <c r="Z4620">
        <v>5.7907239999999999E-2</v>
      </c>
      <c r="AA4620">
        <v>0.9399748</v>
      </c>
      <c r="AB4620">
        <v>27</v>
      </c>
      <c r="AC4620">
        <v>10.9947999999999</v>
      </c>
      <c r="AD4620">
        <v>-1.11766957165</v>
      </c>
      <c r="AE4620">
        <v>-0.94911000000000101</v>
      </c>
      <c r="AF4620">
        <v>-3.7525252677024001</v>
      </c>
      <c r="AG4620">
        <v>-1.11766957165</v>
      </c>
      <c r="AH4620">
        <v>10.258876191262001</v>
      </c>
      <c r="AI4620">
        <v>95.841977471449695</v>
      </c>
      <c r="AJ4620">
        <v>110.091674170294</v>
      </c>
      <c r="AK4620">
        <v>10.980672650788801</v>
      </c>
      <c r="AL4620">
        <v>88.936631797109897</v>
      </c>
      <c r="AM4620">
        <v>103.42191639832799</v>
      </c>
      <c r="AN4620">
        <v>0.99999995297128097</v>
      </c>
    </row>
    <row r="4621" spans="1:40" x14ac:dyDescent="0.25">
      <c r="A4621" t="str">
        <f>"20190312151630906"</f>
        <v>20190312151630906</v>
      </c>
      <c r="B4621" t="str">
        <f>"1552374990902788"</f>
        <v>1552374990902788</v>
      </c>
      <c r="C4621" t="s">
        <v>40</v>
      </c>
      <c r="D4621">
        <v>4.6438699999999997</v>
      </c>
      <c r="E4621">
        <v>0.45733469999999998</v>
      </c>
      <c r="F4621" t="s">
        <v>43</v>
      </c>
      <c r="G4621">
        <v>-394.32639999999998</v>
      </c>
      <c r="H4621" s="1">
        <v>-2.7056649999999999E-6</v>
      </c>
      <c r="I4621">
        <v>19.372520000000002</v>
      </c>
      <c r="J4621">
        <v>-405.4676</v>
      </c>
      <c r="K4621">
        <v>1.1176649999999999</v>
      </c>
      <c r="L4621">
        <v>20.294920000000001</v>
      </c>
      <c r="M4621">
        <v>0.90831439999999997</v>
      </c>
      <c r="N4621">
        <v>0</v>
      </c>
      <c r="O4621">
        <v>-0.4180391</v>
      </c>
      <c r="P4621">
        <v>0.98042320000000005</v>
      </c>
      <c r="Q4621">
        <v>9.8942830000000002E-3</v>
      </c>
      <c r="R4621">
        <v>-0.19665279999999999</v>
      </c>
      <c r="S4621">
        <v>3.0120239999999998</v>
      </c>
      <c r="T4621">
        <v>-0.29875030000000002</v>
      </c>
      <c r="U4621">
        <v>-0.26077270000000002</v>
      </c>
      <c r="V4621">
        <v>-0.2316704</v>
      </c>
      <c r="W4621">
        <v>1.9523639999999998E-2</v>
      </c>
      <c r="X4621">
        <v>0.97259839999999997</v>
      </c>
      <c r="Y4621">
        <v>-0.33463459999999901</v>
      </c>
      <c r="Z4621">
        <v>5.6637069999999998E-2</v>
      </c>
      <c r="AA4621">
        <v>0.94064440000000005</v>
      </c>
      <c r="AB4621">
        <v>27</v>
      </c>
      <c r="AC4621">
        <v>11.1412</v>
      </c>
      <c r="AD4621">
        <v>-1.117667705665</v>
      </c>
      <c r="AE4621">
        <v>-0.922399999999999</v>
      </c>
      <c r="AF4621">
        <v>-3.7822214769228499</v>
      </c>
      <c r="AG4621">
        <v>-1.117667705665</v>
      </c>
      <c r="AH4621">
        <v>10.4024306000225</v>
      </c>
      <c r="AI4621">
        <v>95.765935757431507</v>
      </c>
      <c r="AJ4621">
        <v>109.98076872825899</v>
      </c>
      <c r="AK4621">
        <v>11.124969338792299</v>
      </c>
      <c r="AL4621">
        <v>88.881306747291305</v>
      </c>
      <c r="AM4621">
        <v>103.39803648172899</v>
      </c>
      <c r="AN4621">
        <v>0.99999999721878396</v>
      </c>
    </row>
    <row r="4622" spans="1:40" x14ac:dyDescent="0.25">
      <c r="A4622" t="str">
        <f>"20190312151630918"</f>
        <v>20190312151630918</v>
      </c>
      <c r="B4622" t="str">
        <f>"1552374990912548"</f>
        <v>1552374990912548</v>
      </c>
      <c r="C4622" t="s">
        <v>40</v>
      </c>
      <c r="D4622">
        <v>4.6464949999999998</v>
      </c>
      <c r="E4622">
        <v>0.45755659999999998</v>
      </c>
      <c r="F4622" t="s">
        <v>43</v>
      </c>
      <c r="G4622">
        <v>-394.05579999999998</v>
      </c>
      <c r="H4622" s="1">
        <v>-2.8363310000000001E-6</v>
      </c>
      <c r="I4622">
        <v>19.357119999999998</v>
      </c>
      <c r="J4622">
        <v>-405.33710000000002</v>
      </c>
      <c r="K4622">
        <v>1.1176600000000001</v>
      </c>
      <c r="L4622">
        <v>20.241060000000001</v>
      </c>
      <c r="M4622">
        <v>0.91062900000000002</v>
      </c>
      <c r="N4622">
        <v>0</v>
      </c>
      <c r="O4622">
        <v>-0.41297289999999998</v>
      </c>
      <c r="P4622">
        <v>0.98141080000000003</v>
      </c>
      <c r="Q4622">
        <v>1.1284189999999999E-2</v>
      </c>
      <c r="R4622">
        <v>-0.19158710000000001</v>
      </c>
      <c r="S4622">
        <v>3.0132140000000001</v>
      </c>
      <c r="T4622">
        <v>-0.2951125</v>
      </c>
      <c r="U4622">
        <v>-0.2476196</v>
      </c>
      <c r="V4622">
        <v>-0.23129559999999999</v>
      </c>
      <c r="W4622">
        <v>2.0925249999999999E-2</v>
      </c>
      <c r="X4622">
        <v>0.97265849999999998</v>
      </c>
      <c r="Y4622">
        <v>-0.33361150000000001</v>
      </c>
      <c r="Z4622">
        <v>5.5445620000000001E-2</v>
      </c>
      <c r="AA4622">
        <v>0.94107870000000005</v>
      </c>
      <c r="AB4622">
        <v>27</v>
      </c>
      <c r="AC4622">
        <v>11.2813</v>
      </c>
      <c r="AD4622">
        <v>-1.1176628363309999</v>
      </c>
      <c r="AE4622">
        <v>-0.88393999999999895</v>
      </c>
      <c r="AF4622">
        <v>-3.81709376787673</v>
      </c>
      <c r="AG4622">
        <v>-1.1176628363309999</v>
      </c>
      <c r="AH4622">
        <v>10.536442617384401</v>
      </c>
      <c r="AI4622">
        <v>95.695444691066797</v>
      </c>
      <c r="AJ4622">
        <v>109.91420488266201</v>
      </c>
      <c r="AK4622">
        <v>11.262148910306299</v>
      </c>
      <c r="AL4622">
        <v>88.800984024418497</v>
      </c>
      <c r="AM4622">
        <v>103.37634382323699</v>
      </c>
      <c r="AN4622">
        <v>1.00000003914458</v>
      </c>
    </row>
    <row r="4623" spans="1:40" x14ac:dyDescent="0.25">
      <c r="A4623" t="str">
        <f>"20190312151630937"</f>
        <v>20190312151630937</v>
      </c>
      <c r="B4623" t="str">
        <f>"1552374990932069"</f>
        <v>1552374990932069</v>
      </c>
      <c r="C4623" t="s">
        <v>40</v>
      </c>
      <c r="D4623">
        <v>4.6710159999999998</v>
      </c>
      <c r="E4623">
        <v>0.47494189999999997</v>
      </c>
      <c r="F4623" t="s">
        <v>43</v>
      </c>
      <c r="G4623">
        <v>-393.73039999999997</v>
      </c>
      <c r="H4623" s="1">
        <v>-2.993377E-6</v>
      </c>
      <c r="I4623">
        <v>19.33886</v>
      </c>
      <c r="J4623">
        <v>-405.1241</v>
      </c>
      <c r="K4623">
        <v>1.117658</v>
      </c>
      <c r="L4623">
        <v>20.154969999999999</v>
      </c>
      <c r="M4623">
        <v>0.91433419999999999</v>
      </c>
      <c r="N4623">
        <v>0</v>
      </c>
      <c r="O4623">
        <v>-0.4047038</v>
      </c>
      <c r="P4623">
        <v>0.98301340000000004</v>
      </c>
      <c r="Q4623">
        <v>1.3360149999999999E-2</v>
      </c>
      <c r="R4623">
        <v>-0.1830474</v>
      </c>
      <c r="S4623">
        <v>3.0144350000000002</v>
      </c>
      <c r="T4623">
        <v>-0.29027370000000002</v>
      </c>
      <c r="U4623">
        <v>-0.23431399999999999</v>
      </c>
      <c r="V4623">
        <v>-0.23096539999999999</v>
      </c>
      <c r="W4623">
        <v>2.301425E-2</v>
      </c>
      <c r="X4623">
        <v>0.97268969999999999</v>
      </c>
      <c r="Y4623">
        <v>-0.3293972</v>
      </c>
      <c r="Z4623">
        <v>5.3605880000000002E-2</v>
      </c>
      <c r="AA4623">
        <v>0.94266850000000002</v>
      </c>
      <c r="AB4623">
        <v>27</v>
      </c>
      <c r="AC4623">
        <v>11.393700000000001</v>
      </c>
      <c r="AD4623">
        <v>-1.1176609933769901</v>
      </c>
      <c r="AE4623">
        <v>-0.816110000000001</v>
      </c>
      <c r="AF4623">
        <v>-3.8286249143430999</v>
      </c>
      <c r="AG4623">
        <v>-1.1176609933769901</v>
      </c>
      <c r="AH4623">
        <v>10.6471197149411</v>
      </c>
      <c r="AI4623">
        <v>95.641414291746102</v>
      </c>
      <c r="AJ4623">
        <v>109.778206850166</v>
      </c>
      <c r="AK4623">
        <v>11.369639090803799</v>
      </c>
      <c r="AL4623">
        <v>88.681264126210095</v>
      </c>
      <c r="AM4623">
        <v>103.35751945510199</v>
      </c>
      <c r="AN4623">
        <v>0.999999962093155</v>
      </c>
    </row>
    <row r="4624" spans="1:40" x14ac:dyDescent="0.25">
      <c r="A4624" t="str">
        <f>"20190312151630948"</f>
        <v>20190312151630948</v>
      </c>
      <c r="B4624" t="str">
        <f>"1552374990942805"</f>
        <v>1552374990942805</v>
      </c>
      <c r="C4624" t="s">
        <v>40</v>
      </c>
      <c r="D4624">
        <v>4.7864899999999997</v>
      </c>
      <c r="E4624">
        <v>0.475773</v>
      </c>
      <c r="F4624" t="s">
        <v>43</v>
      </c>
      <c r="G4624">
        <v>-392.86270000000002</v>
      </c>
      <c r="H4624" s="1">
        <v>-3.5098269999999999E-6</v>
      </c>
      <c r="I4624">
        <v>18.73978</v>
      </c>
      <c r="J4624">
        <v>-404.99900000000002</v>
      </c>
      <c r="K4624">
        <v>1.1176520000000001</v>
      </c>
      <c r="L4624">
        <v>20.105409999999999</v>
      </c>
      <c r="M4624">
        <v>0.91646930000000004</v>
      </c>
      <c r="N4624">
        <v>0</v>
      </c>
      <c r="O4624">
        <v>-0.3998448</v>
      </c>
      <c r="P4624">
        <v>0.98390880000000003</v>
      </c>
      <c r="Q4624">
        <v>1.4153000000000001E-2</v>
      </c>
      <c r="R4624">
        <v>-0.17811070000000001</v>
      </c>
      <c r="S4624">
        <v>2.9912719999999999</v>
      </c>
      <c r="T4624">
        <v>-0.27266230000000002</v>
      </c>
      <c r="U4624">
        <v>-0.34524539999999998</v>
      </c>
      <c r="V4624">
        <v>-0.23069529999999999</v>
      </c>
      <c r="W4624">
        <v>2.3816540000000001E-2</v>
      </c>
      <c r="X4624">
        <v>0.97273449999999995</v>
      </c>
      <c r="Y4624">
        <v>-0.28944209999999998</v>
      </c>
      <c r="Z4624">
        <v>4.8380960000000001E-2</v>
      </c>
      <c r="AA4624">
        <v>0.95597209999999999</v>
      </c>
      <c r="AB4624">
        <v>27</v>
      </c>
      <c r="AC4624">
        <v>12.1363</v>
      </c>
      <c r="AD4624">
        <v>-1.117655509827</v>
      </c>
      <c r="AE4624">
        <v>-1.3656299999999899</v>
      </c>
      <c r="AF4624">
        <v>-3.5715420727812899</v>
      </c>
      <c r="AG4624">
        <v>-1.117655509827</v>
      </c>
      <c r="AH4624">
        <v>11.572879515140199</v>
      </c>
      <c r="AI4624">
        <v>95.2723697085639</v>
      </c>
      <c r="AJ4624">
        <v>107.15091050893599</v>
      </c>
      <c r="AK4624">
        <v>12.1629193406947</v>
      </c>
      <c r="AL4624">
        <v>88.635283707523001</v>
      </c>
      <c r="AM4624">
        <v>103.341865067664</v>
      </c>
      <c r="AN4624">
        <v>0.99999997825495501</v>
      </c>
    </row>
    <row r="4625" spans="1:40" x14ac:dyDescent="0.25">
      <c r="A4625" t="str">
        <f>"20190312151630960"</f>
        <v>20190312151630960</v>
      </c>
      <c r="B4625" t="str">
        <f>"1552374990952564"</f>
        <v>1552374990952564</v>
      </c>
      <c r="C4625" t="s">
        <v>40</v>
      </c>
      <c r="D4625">
        <v>4.6376660000000003</v>
      </c>
      <c r="E4625">
        <v>0.47631810000000002</v>
      </c>
      <c r="F4625" t="s">
        <v>43</v>
      </c>
      <c r="G4625">
        <v>-392.33569999999997</v>
      </c>
      <c r="H4625" s="1">
        <v>-3.7696759999999999E-6</v>
      </c>
      <c r="I4625">
        <v>18.679130000000001</v>
      </c>
      <c r="J4625">
        <v>-404.87369999999999</v>
      </c>
      <c r="K4625">
        <v>1.1176459999999999</v>
      </c>
      <c r="L4625">
        <v>20.05667</v>
      </c>
      <c r="M4625">
        <v>0.91857429999999995</v>
      </c>
      <c r="N4625">
        <v>0</v>
      </c>
      <c r="O4625">
        <v>-0.39498549999999999</v>
      </c>
      <c r="P4625">
        <v>0.98479609999999995</v>
      </c>
      <c r="Q4625">
        <v>1.453101E-2</v>
      </c>
      <c r="R4625">
        <v>-0.17310690000000001</v>
      </c>
      <c r="S4625">
        <v>2.9918520000000002</v>
      </c>
      <c r="T4625">
        <v>-0.26406030000000003</v>
      </c>
      <c r="U4625">
        <v>-0.33697510000000003</v>
      </c>
      <c r="V4625">
        <v>-0.23049230000000001</v>
      </c>
      <c r="W4625">
        <v>2.420315E-2</v>
      </c>
      <c r="X4625">
        <v>0.97277309999999995</v>
      </c>
      <c r="Y4625">
        <v>-0.28719800000000001</v>
      </c>
      <c r="Z4625">
        <v>4.6372179999999999E-2</v>
      </c>
      <c r="AA4625">
        <v>0.95674809999999999</v>
      </c>
      <c r="AB4625">
        <v>27</v>
      </c>
      <c r="AC4625">
        <v>12.538</v>
      </c>
      <c r="AD4625">
        <v>-1.1176497696759999</v>
      </c>
      <c r="AE4625">
        <v>-1.37754</v>
      </c>
      <c r="AF4625">
        <v>-3.65861330513474</v>
      </c>
      <c r="AG4625">
        <v>-1.1176497696759999</v>
      </c>
      <c r="AH4625">
        <v>11.9684771130313</v>
      </c>
      <c r="AI4625">
        <v>95.103175342063693</v>
      </c>
      <c r="AJ4625">
        <v>106.99773497323901</v>
      </c>
      <c r="AK4625">
        <v>12.5649925081283</v>
      </c>
      <c r="AL4625">
        <v>88.613126226087701</v>
      </c>
      <c r="AM4625">
        <v>103.330034119944</v>
      </c>
      <c r="AN4625">
        <v>0.99999999845641097</v>
      </c>
    </row>
    <row r="4626" spans="1:40" x14ac:dyDescent="0.25">
      <c r="A4626" t="str">
        <f>"20190312151630974"</f>
        <v>20190312151630974</v>
      </c>
      <c r="B4626" t="str">
        <f>"1552374990962325"</f>
        <v>1552374990962325</v>
      </c>
      <c r="C4626" t="s">
        <v>40</v>
      </c>
      <c r="D4626">
        <v>4.658989</v>
      </c>
      <c r="E4626">
        <v>0.47670089999999998</v>
      </c>
      <c r="F4626" t="s">
        <v>43</v>
      </c>
      <c r="G4626">
        <v>-391.98750000000001</v>
      </c>
      <c r="H4626" s="1">
        <v>-3.9388199999999898E-6</v>
      </c>
      <c r="I4626">
        <v>18.653600000000001</v>
      </c>
      <c r="J4626">
        <v>-404.72359999999998</v>
      </c>
      <c r="K4626">
        <v>1.1176330000000001</v>
      </c>
      <c r="L4626">
        <v>19.998989999999999</v>
      </c>
      <c r="M4626">
        <v>0.9210564</v>
      </c>
      <c r="N4626">
        <v>0</v>
      </c>
      <c r="O4626">
        <v>-0.38916190000000001</v>
      </c>
      <c r="P4626">
        <v>0.98583500000000002</v>
      </c>
      <c r="Q4626">
        <v>1.5135559999999999E-2</v>
      </c>
      <c r="R4626">
        <v>-0.16703419999999999</v>
      </c>
      <c r="S4626">
        <v>2.9928590000000002</v>
      </c>
      <c r="T4626">
        <v>-0.25957789999999997</v>
      </c>
      <c r="U4626">
        <v>-0.32586670000000001</v>
      </c>
      <c r="V4626">
        <v>-0.2303357</v>
      </c>
      <c r="W4626">
        <v>2.481713E-2</v>
      </c>
      <c r="X4626">
        <v>0.97279470000000001</v>
      </c>
      <c r="Y4626">
        <v>-0.28479320000000002</v>
      </c>
      <c r="Z4626">
        <v>4.502018E-2</v>
      </c>
      <c r="AA4626">
        <v>0.95753120000000003</v>
      </c>
      <c r="AB4626">
        <v>27</v>
      </c>
      <c r="AC4626">
        <v>12.736099999999899</v>
      </c>
      <c r="AD4626">
        <v>-1.11763693882</v>
      </c>
      <c r="AE4626">
        <v>-1.3453899999999901</v>
      </c>
      <c r="AF4626">
        <v>-3.68951350250935</v>
      </c>
      <c r="AG4626">
        <v>-1.11763693882</v>
      </c>
      <c r="AH4626">
        <v>12.1628875855254</v>
      </c>
      <c r="AI4626">
        <v>95.025236628064107</v>
      </c>
      <c r="AJ4626">
        <v>106.874749328772</v>
      </c>
      <c r="AK4626">
        <v>12.759210658592499</v>
      </c>
      <c r="AL4626">
        <v>88.577937160092105</v>
      </c>
      <c r="AM4626">
        <v>103.321015220864</v>
      </c>
      <c r="AN4626">
        <v>0.999999976492008</v>
      </c>
    </row>
    <row r="4627" spans="1:40" x14ac:dyDescent="0.25">
      <c r="A4627" t="str">
        <f>"20190312151630995"</f>
        <v>20190312151630995</v>
      </c>
      <c r="B4627" t="str">
        <f>"1552374990992582"</f>
        <v>1552374990992582</v>
      </c>
      <c r="C4627" t="s">
        <v>40</v>
      </c>
      <c r="D4627">
        <v>4.6535199999999897</v>
      </c>
      <c r="E4627">
        <v>0.47820319999999999</v>
      </c>
      <c r="F4627" t="s">
        <v>43</v>
      </c>
      <c r="G4627">
        <v>-391.6934</v>
      </c>
      <c r="H4627" s="1">
        <v>-4.0787049999999999E-6</v>
      </c>
      <c r="I4627">
        <v>18.648620000000001</v>
      </c>
      <c r="J4627">
        <v>-404.48860000000002</v>
      </c>
      <c r="K4627">
        <v>1.117605</v>
      </c>
      <c r="L4627">
        <v>19.91122</v>
      </c>
      <c r="M4627">
        <v>0.92484489999999997</v>
      </c>
      <c r="N4627">
        <v>0</v>
      </c>
      <c r="O4627">
        <v>-0.3800713</v>
      </c>
      <c r="P4627">
        <v>0.98746129999999999</v>
      </c>
      <c r="Q4627">
        <v>1.6051309999999999E-2</v>
      </c>
      <c r="R4627">
        <v>-0.15704279999999901</v>
      </c>
      <c r="S4627">
        <v>2.994507</v>
      </c>
      <c r="T4627">
        <v>-0.25684709999999999</v>
      </c>
      <c r="U4627">
        <v>-0.31033329999999998</v>
      </c>
      <c r="V4627">
        <v>-0.23061470000000001</v>
      </c>
      <c r="W4627">
        <v>2.5739519999999998E-2</v>
      </c>
      <c r="X4627">
        <v>0.97270460000000003</v>
      </c>
      <c r="Y4627">
        <v>-0.28041850000000001</v>
      </c>
      <c r="Z4627">
        <v>4.3638040000000003E-2</v>
      </c>
      <c r="AA4627">
        <v>0.9588854</v>
      </c>
      <c r="AB4627">
        <v>27</v>
      </c>
      <c r="AC4627">
        <v>12.795199999999999</v>
      </c>
      <c r="AD4627">
        <v>-1.1176090787049999</v>
      </c>
      <c r="AE4627">
        <v>-1.26259999999999</v>
      </c>
      <c r="AF4627">
        <v>-3.6680481482490799</v>
      </c>
      <c r="AG4627">
        <v>-1.1176090787049999</v>
      </c>
      <c r="AH4627">
        <v>12.222383336650701</v>
      </c>
      <c r="AI4627">
        <v>95.005225403175501</v>
      </c>
      <c r="AJ4627">
        <v>106.704977542576</v>
      </c>
      <c r="AK4627">
        <v>12.809772898014799</v>
      </c>
      <c r="AL4627">
        <v>88.525071171804399</v>
      </c>
      <c r="AM4627">
        <v>103.33776563428501</v>
      </c>
      <c r="AN4627">
        <v>0.99999995080353898</v>
      </c>
    </row>
    <row r="4628" spans="1:40" x14ac:dyDescent="0.25">
      <c r="A4628" t="str">
        <f>"20190312151631010"</f>
        <v>20190312151631010</v>
      </c>
      <c r="B4628" t="str">
        <f>"1552374991002341"</f>
        <v>1552374991002341</v>
      </c>
      <c r="C4628" t="s">
        <v>40</v>
      </c>
      <c r="D4628">
        <v>4.839486</v>
      </c>
      <c r="E4628">
        <v>0.47858699999999998</v>
      </c>
      <c r="F4628" t="s">
        <v>43</v>
      </c>
      <c r="G4628">
        <v>-391.34070000000003</v>
      </c>
      <c r="H4628" s="1">
        <v>-4.248811E-6</v>
      </c>
      <c r="I4628">
        <v>18.629580000000001</v>
      </c>
      <c r="J4628">
        <v>-404.31619999999998</v>
      </c>
      <c r="K4628">
        <v>1.117578</v>
      </c>
      <c r="L4628">
        <v>19.848420000000001</v>
      </c>
      <c r="M4628">
        <v>0.92755100000000001</v>
      </c>
      <c r="N4628">
        <v>0</v>
      </c>
      <c r="O4628">
        <v>-0.37341869999999999</v>
      </c>
      <c r="P4628">
        <v>0.98856480000000002</v>
      </c>
      <c r="Q4628">
        <v>1.6537670000000001E-2</v>
      </c>
      <c r="R4628">
        <v>-0.14988760000000001</v>
      </c>
      <c r="S4628">
        <v>2.9957579999999999</v>
      </c>
      <c r="T4628">
        <v>-0.25464799999999999</v>
      </c>
      <c r="U4628">
        <v>-0.29202270000000002</v>
      </c>
      <c r="V4628">
        <v>-0.23067670000000001</v>
      </c>
      <c r="W4628">
        <v>2.623669E-2</v>
      </c>
      <c r="X4628">
        <v>0.97267669999999995</v>
      </c>
      <c r="Y4628">
        <v>-0.27943489999999999</v>
      </c>
      <c r="Z4628">
        <v>4.2704409999999998E-2</v>
      </c>
      <c r="AA4628">
        <v>0.95921449999999997</v>
      </c>
      <c r="AB4628">
        <v>27</v>
      </c>
      <c r="AC4628">
        <v>12.975499999999901</v>
      </c>
      <c r="AD4628">
        <v>-1.1175822488110001</v>
      </c>
      <c r="AE4628">
        <v>-1.2188399999999999</v>
      </c>
      <c r="AF4628">
        <v>-3.6880237901342601</v>
      </c>
      <c r="AG4628">
        <v>-1.1175822488110001</v>
      </c>
      <c r="AH4628">
        <v>12.4006837432468</v>
      </c>
      <c r="AI4628">
        <v>94.937141262546504</v>
      </c>
      <c r="AJ4628">
        <v>106.562734375707</v>
      </c>
      <c r="AK4628">
        <v>12.9856638975248</v>
      </c>
      <c r="AL4628">
        <v>88.496575927174703</v>
      </c>
      <c r="AM4628">
        <v>103.34159224448899</v>
      </c>
      <c r="AN4628">
        <v>1.00000003327396</v>
      </c>
    </row>
    <row r="4629" spans="1:40" x14ac:dyDescent="0.25">
      <c r="A4629" t="str">
        <f>"20190312151631029"</f>
        <v>20190312151631029</v>
      </c>
      <c r="B4629" t="str">
        <f>"1552374991022837"</f>
        <v>1552374991022837</v>
      </c>
      <c r="C4629" t="s">
        <v>40</v>
      </c>
      <c r="D4629">
        <v>4.6606230000000002</v>
      </c>
      <c r="E4629">
        <v>0.47945100000000002</v>
      </c>
      <c r="F4629" t="s">
        <v>43</v>
      </c>
      <c r="G4629">
        <v>-391.12439999999998</v>
      </c>
      <c r="H4629" s="1">
        <v>-4.3483670000000003E-6</v>
      </c>
      <c r="I4629">
        <v>18.644760000000002</v>
      </c>
      <c r="J4629">
        <v>-404.10759999999999</v>
      </c>
      <c r="K4629">
        <v>1.117534</v>
      </c>
      <c r="L4629">
        <v>19.774380000000001</v>
      </c>
      <c r="M4629">
        <v>0.93073859999999997</v>
      </c>
      <c r="N4629">
        <v>0</v>
      </c>
      <c r="O4629">
        <v>-0.36540159999999999</v>
      </c>
      <c r="P4629">
        <v>0.9898188</v>
      </c>
      <c r="Q4629">
        <v>1.6147439999999999E-2</v>
      </c>
      <c r="R4629">
        <v>-0.1414137</v>
      </c>
      <c r="S4629">
        <v>2.9974669999999999</v>
      </c>
      <c r="T4629">
        <v>-0.2539401</v>
      </c>
      <c r="U4629">
        <v>-0.27349849999999998</v>
      </c>
      <c r="V4629">
        <v>-0.23060839999999999</v>
      </c>
      <c r="W4629">
        <v>2.586536E-2</v>
      </c>
      <c r="X4629">
        <v>0.97270279999999998</v>
      </c>
      <c r="Y4629">
        <v>-0.27712920000000002</v>
      </c>
      <c r="Z4629">
        <v>4.1854049999999997E-2</v>
      </c>
      <c r="AA4629">
        <v>0.95992060000000001</v>
      </c>
      <c r="AB4629">
        <v>27</v>
      </c>
      <c r="AC4629">
        <v>12.9832</v>
      </c>
      <c r="AD4629">
        <v>-1.1175383483670001</v>
      </c>
      <c r="AE4629">
        <v>-1.1296199999999901</v>
      </c>
      <c r="AF4629">
        <v>-3.6661256189140898</v>
      </c>
      <c r="AG4629">
        <v>-1.1175383483670001</v>
      </c>
      <c r="AH4629">
        <v>12.406794333177</v>
      </c>
      <c r="AI4629">
        <v>94.937087026600196</v>
      </c>
      <c r="AJ4629">
        <v>106.46206131962499</v>
      </c>
      <c r="AK4629">
        <v>12.985296093639199</v>
      </c>
      <c r="AL4629">
        <v>88.517858733362999</v>
      </c>
      <c r="AM4629">
        <v>103.33743808927601</v>
      </c>
      <c r="AN4629">
        <v>0.99999999406316398</v>
      </c>
    </row>
    <row r="4630" spans="1:40" x14ac:dyDescent="0.25">
      <c r="A4630" t="str">
        <f>"20190312151631051"</f>
        <v>20190312151631051</v>
      </c>
      <c r="B4630" t="str">
        <f>"1552374991042357"</f>
        <v>1552374991042357</v>
      </c>
      <c r="C4630" t="s">
        <v>40</v>
      </c>
      <c r="D4630">
        <v>4.6482769999999896</v>
      </c>
      <c r="E4630">
        <v>0.47988520000000001</v>
      </c>
      <c r="F4630" t="s">
        <v>43</v>
      </c>
      <c r="G4630">
        <v>-391.1148</v>
      </c>
      <c r="H4630" s="1">
        <v>-4.3484889999999999E-6</v>
      </c>
      <c r="I4630">
        <v>18.669609999999999</v>
      </c>
      <c r="J4630">
        <v>-403.86180000000002</v>
      </c>
      <c r="K4630">
        <v>1.11747</v>
      </c>
      <c r="L4630">
        <v>19.68948</v>
      </c>
      <c r="M4630">
        <v>0.93437110000000001</v>
      </c>
      <c r="N4630">
        <v>0</v>
      </c>
      <c r="O4630">
        <v>-0.35601059999999901</v>
      </c>
      <c r="P4630">
        <v>0.99116020000000005</v>
      </c>
      <c r="Q4630">
        <v>1.569678E-2</v>
      </c>
      <c r="R4630">
        <v>-0.13173979999999999</v>
      </c>
      <c r="S4630">
        <v>2.9986570000000001</v>
      </c>
      <c r="T4630">
        <v>-0.25792189999999998</v>
      </c>
      <c r="U4630">
        <v>-0.25497439999999999</v>
      </c>
      <c r="V4630">
        <v>-0.2303029</v>
      </c>
      <c r="W4630">
        <v>2.544826E-2</v>
      </c>
      <c r="X4630">
        <v>0.97278620000000005</v>
      </c>
      <c r="Y4630">
        <v>-0.27334989999999998</v>
      </c>
      <c r="Z4630">
        <v>4.1594649999999997E-2</v>
      </c>
      <c r="AA4630">
        <v>0.96101490000000001</v>
      </c>
      <c r="AB4630">
        <v>27</v>
      </c>
      <c r="AC4630">
        <v>12.747</v>
      </c>
      <c r="AD4630">
        <v>-1.117474348489</v>
      </c>
      <c r="AE4630">
        <v>-1.0198699999999901</v>
      </c>
      <c r="AF4630">
        <v>-3.55832858845279</v>
      </c>
      <c r="AG4630">
        <v>-1.117474348489</v>
      </c>
      <c r="AH4630">
        <v>12.1817594336552</v>
      </c>
      <c r="AI4630">
        <v>95.032128981767002</v>
      </c>
      <c r="AJ4630">
        <v>106.283242546964</v>
      </c>
      <c r="AK4630">
        <v>12.7399259873195</v>
      </c>
      <c r="AL4630">
        <v>88.541764703884994</v>
      </c>
      <c r="AM4630">
        <v>103.31929813821399</v>
      </c>
      <c r="AN4630">
        <v>1.00000001529793</v>
      </c>
    </row>
    <row r="4631" spans="1:40" x14ac:dyDescent="0.25">
      <c r="A4631" t="str">
        <f>"20190312151631061"</f>
        <v>20190312151631061</v>
      </c>
      <c r="B4631" t="str">
        <f>"1552374991052117"</f>
        <v>1552374991052117</v>
      </c>
      <c r="C4631" t="s">
        <v>40</v>
      </c>
      <c r="D4631">
        <v>4.6675089999999999</v>
      </c>
      <c r="E4631">
        <v>0.47988520000000001</v>
      </c>
      <c r="F4631" t="s">
        <v>43</v>
      </c>
      <c r="G4631">
        <v>-391.15219999999999</v>
      </c>
      <c r="H4631" s="1">
        <v>-4.3222209999999998E-6</v>
      </c>
      <c r="I4631">
        <v>18.718150000000001</v>
      </c>
      <c r="J4631">
        <v>-403.7319</v>
      </c>
      <c r="K4631">
        <v>1.1174269999999999</v>
      </c>
      <c r="L4631">
        <v>19.645869999999999</v>
      </c>
      <c r="M4631">
        <v>0.9362317</v>
      </c>
      <c r="N4631">
        <v>0</v>
      </c>
      <c r="O4631">
        <v>-0.35108919999999999</v>
      </c>
      <c r="P4631">
        <v>0.99180800000000002</v>
      </c>
      <c r="Q4631">
        <v>1.5627889999999998E-2</v>
      </c>
      <c r="R4631">
        <v>-0.1267797</v>
      </c>
      <c r="S4631">
        <v>3.0004580000000001</v>
      </c>
      <c r="T4631">
        <v>-0.26381100000000002</v>
      </c>
      <c r="U4631">
        <v>-0.22930909999999999</v>
      </c>
      <c r="V4631">
        <v>-0.23004759999999999</v>
      </c>
      <c r="W4631">
        <v>2.5401549999999998E-2</v>
      </c>
      <c r="X4631">
        <v>0.97284780000000004</v>
      </c>
      <c r="Y4631">
        <v>-0.27640740000000003</v>
      </c>
      <c r="Z4631">
        <v>4.2269750000000002E-2</v>
      </c>
      <c r="AA4631">
        <v>0.96011049999999998</v>
      </c>
      <c r="AB4631">
        <v>27</v>
      </c>
      <c r="AC4631">
        <v>12.579700000000001</v>
      </c>
      <c r="AD4631">
        <v>-1.1174313222209999</v>
      </c>
      <c r="AE4631">
        <v>-0.92771999999999999</v>
      </c>
      <c r="AF4631">
        <v>-3.5207723015004402</v>
      </c>
      <c r="AG4631">
        <v>-1.1174313222209999</v>
      </c>
      <c r="AH4631">
        <v>12.010223400224399</v>
      </c>
      <c r="AI4631">
        <v>95.101998363029097</v>
      </c>
      <c r="AJ4631">
        <v>106.33839060737</v>
      </c>
      <c r="AK4631">
        <v>12.56542703143</v>
      </c>
      <c r="AL4631">
        <v>88.544441817556901</v>
      </c>
      <c r="AM4631">
        <v>103.30424603278099</v>
      </c>
      <c r="AN4631">
        <v>0.99999998948650104</v>
      </c>
    </row>
    <row r="4632" spans="1:40" x14ac:dyDescent="0.25">
      <c r="A4632" t="str">
        <f>"20190312151631075"</f>
        <v>20190312151631075</v>
      </c>
      <c r="B4632" t="str">
        <f>"1552374991072613"</f>
        <v>1552374991072613</v>
      </c>
      <c r="C4632" t="s">
        <v>40</v>
      </c>
      <c r="D4632">
        <v>4.6378360000000001</v>
      </c>
      <c r="E4632">
        <v>0.47084429999999999</v>
      </c>
      <c r="F4632" t="s">
        <v>43</v>
      </c>
      <c r="G4632">
        <v>-391.03230000000002</v>
      </c>
      <c r="H4632" s="1">
        <v>-4.3752489999999999E-6</v>
      </c>
      <c r="I4632">
        <v>18.73854</v>
      </c>
      <c r="J4632">
        <v>-403.5806</v>
      </c>
      <c r="K4632">
        <v>1.1173709999999999</v>
      </c>
      <c r="L4632">
        <v>19.595700000000001</v>
      </c>
      <c r="M4632">
        <v>0.93835369999999996</v>
      </c>
      <c r="N4632">
        <v>0</v>
      </c>
      <c r="O4632">
        <v>-0.3453774</v>
      </c>
      <c r="P4632">
        <v>0.99253060000000004</v>
      </c>
      <c r="Q4632">
        <v>1.561267E-2</v>
      </c>
      <c r="R4632">
        <v>-0.1209915</v>
      </c>
      <c r="S4632">
        <v>3.0015260000000001</v>
      </c>
      <c r="T4632">
        <v>-0.26410420000000001</v>
      </c>
      <c r="U4632">
        <v>-0.214447</v>
      </c>
      <c r="V4632">
        <v>-0.229791</v>
      </c>
      <c r="W4632">
        <v>2.5413459999999999E-2</v>
      </c>
      <c r="X4632">
        <v>0.97290810000000005</v>
      </c>
      <c r="Y4632">
        <v>-0.2753275</v>
      </c>
      <c r="Z4632">
        <v>4.179596E-2</v>
      </c>
      <c r="AA4632">
        <v>0.96044149999999995</v>
      </c>
      <c r="AB4632">
        <v>27</v>
      </c>
      <c r="AC4632">
        <v>12.5482999999999</v>
      </c>
      <c r="AD4632">
        <v>-1.1173753752490001</v>
      </c>
      <c r="AE4632">
        <v>-0.85716000000000003</v>
      </c>
      <c r="AF4632">
        <v>-3.5023035343459799</v>
      </c>
      <c r="AG4632">
        <v>-1.1173753752490001</v>
      </c>
      <c r="AH4632">
        <v>11.9775049190718</v>
      </c>
      <c r="AI4632">
        <v>95.116623770241205</v>
      </c>
      <c r="AJ4632">
        <v>106.29927722705099</v>
      </c>
      <c r="AK4632">
        <v>12.5289776862398</v>
      </c>
      <c r="AL4632">
        <v>88.543759160539594</v>
      </c>
      <c r="AM4632">
        <v>103.289138576981</v>
      </c>
      <c r="AN4632">
        <v>0.99999995933788999</v>
      </c>
    </row>
    <row r="4633" spans="1:40" x14ac:dyDescent="0.25">
      <c r="A4633" t="str">
        <f>"20190312151631093"</f>
        <v>20190312151631093</v>
      </c>
      <c r="B4633" t="str">
        <f>"1552374991082372"</f>
        <v>1552374991082372</v>
      </c>
      <c r="C4633" t="s">
        <v>40</v>
      </c>
      <c r="D4633">
        <v>4.6417080000000004</v>
      </c>
      <c r="E4633">
        <v>0.4617156</v>
      </c>
      <c r="F4633" t="s">
        <v>69</v>
      </c>
      <c r="G4633">
        <v>-389.34809999999999</v>
      </c>
      <c r="H4633" s="1">
        <v>-4.1803829999999998E-7</v>
      </c>
      <c r="I4633">
        <v>18.99935</v>
      </c>
      <c r="J4633">
        <v>-403.38159999999999</v>
      </c>
      <c r="K4633">
        <v>1.117294</v>
      </c>
      <c r="L4633">
        <v>19.531310000000001</v>
      </c>
      <c r="M4633">
        <v>0.94106279999999998</v>
      </c>
      <c r="N4633">
        <v>0</v>
      </c>
      <c r="O4633">
        <v>-0.33792699999999998</v>
      </c>
      <c r="P4633">
        <v>0.99336550000000001</v>
      </c>
      <c r="Q4633">
        <v>1.5562960000000001E-2</v>
      </c>
      <c r="R4633">
        <v>-0.113942</v>
      </c>
      <c r="S4633">
        <v>3.0108950000000001</v>
      </c>
      <c r="T4633">
        <v>-0.2363809</v>
      </c>
      <c r="U4633">
        <v>-0.12615970000000001</v>
      </c>
      <c r="V4633">
        <v>-0.2289785</v>
      </c>
      <c r="W4633">
        <v>2.5412509999999999E-2</v>
      </c>
      <c r="X4633">
        <v>0.97309970000000001</v>
      </c>
      <c r="Y4633">
        <v>-0.29635450000000002</v>
      </c>
      <c r="Z4633">
        <v>3.7642309999999998E-2</v>
      </c>
      <c r="AA4633">
        <v>0.95433590000000001</v>
      </c>
      <c r="AB4633">
        <v>27</v>
      </c>
      <c r="AC4633">
        <v>14.0335</v>
      </c>
      <c r="AD4633">
        <v>-1.1172944180383</v>
      </c>
      <c r="AE4633">
        <v>-0.53196000000000099</v>
      </c>
      <c r="AF4633">
        <v>-4.2154457706660198</v>
      </c>
      <c r="AG4633">
        <v>-1.1172944180383</v>
      </c>
      <c r="AH4633">
        <v>13.303342937790999</v>
      </c>
      <c r="AI4633">
        <v>94.577489500376004</v>
      </c>
      <c r="AJ4633">
        <v>107.581907164475</v>
      </c>
      <c r="AK4633">
        <v>13.999902256175901</v>
      </c>
      <c r="AL4633">
        <v>88.543813650329596</v>
      </c>
      <c r="AM4633">
        <v>103.241293437024</v>
      </c>
      <c r="AN4633">
        <v>0.99999998763341902</v>
      </c>
    </row>
    <row r="4634" spans="1:40" x14ac:dyDescent="0.25">
      <c r="A4634" t="str">
        <f>"20190312151631104"</f>
        <v>20190312151631104</v>
      </c>
      <c r="B4634" t="str">
        <f>"1552374991092133"</f>
        <v>1552374991092133</v>
      </c>
      <c r="C4634" t="s">
        <v>40</v>
      </c>
      <c r="D4634">
        <v>4.6603009999999996</v>
      </c>
      <c r="E4634">
        <v>0.46497690000000003</v>
      </c>
      <c r="F4634" t="s">
        <v>70</v>
      </c>
      <c r="G4634">
        <v>-375.60849999999999</v>
      </c>
      <c r="H4634" s="1">
        <v>-2.1284269999999999E-6</v>
      </c>
      <c r="I4634">
        <v>19.21003</v>
      </c>
      <c r="J4634">
        <v>-403.2484</v>
      </c>
      <c r="K4634">
        <v>1.1172420000000001</v>
      </c>
      <c r="L4634">
        <v>19.489439999999998</v>
      </c>
      <c r="M4634">
        <v>0.94282060000000001</v>
      </c>
      <c r="N4634">
        <v>0</v>
      </c>
      <c r="O4634">
        <v>-0.3329915</v>
      </c>
      <c r="P4634">
        <v>0.99389110000000003</v>
      </c>
      <c r="Q4634">
        <v>1.5557659999999999E-2</v>
      </c>
      <c r="R4634">
        <v>-0.1092635</v>
      </c>
      <c r="S4634">
        <v>3.017944</v>
      </c>
      <c r="T4634">
        <v>-0.1214103</v>
      </c>
      <c r="U4634">
        <v>-3.4912110000000003E-2</v>
      </c>
      <c r="V4634">
        <v>-0.2284582</v>
      </c>
      <c r="W4634">
        <v>2.543921E-2</v>
      </c>
      <c r="X4634">
        <v>0.97322129999999996</v>
      </c>
      <c r="Y4634">
        <v>-0.32157540000000001</v>
      </c>
      <c r="Z4634">
        <v>1.9653919999999998E-2</v>
      </c>
      <c r="AA4634">
        <v>0.94667990000000002</v>
      </c>
      <c r="AB4634">
        <v>27</v>
      </c>
      <c r="AC4634">
        <v>27.639900000000001</v>
      </c>
      <c r="AD4634">
        <v>-1.117244128427</v>
      </c>
      <c r="AE4634">
        <v>-0.27940999999999799</v>
      </c>
      <c r="AF4634">
        <v>-8.9267553004472298</v>
      </c>
      <c r="AG4634">
        <v>-1.117244128427</v>
      </c>
      <c r="AH4634">
        <v>26.112541381368899</v>
      </c>
      <c r="AI4634">
        <v>92.318376064394698</v>
      </c>
      <c r="AJ4634">
        <v>108.873352791272</v>
      </c>
      <c r="AK4634">
        <v>27.618834371317501</v>
      </c>
      <c r="AL4634">
        <v>88.542283377268106</v>
      </c>
      <c r="AM4634">
        <v>103.210669236645</v>
      </c>
      <c r="AN4634">
        <v>1.00000000066317</v>
      </c>
    </row>
    <row r="4635" spans="1:40" x14ac:dyDescent="0.25">
      <c r="A4635" t="str">
        <f>"20190312151631116"</f>
        <v>20190312151631116</v>
      </c>
      <c r="B4635" t="str">
        <f>"1552374991112629"</f>
        <v>1552374991112629</v>
      </c>
      <c r="C4635" t="s">
        <v>40</v>
      </c>
      <c r="D4635">
        <v>4.6391280000000004</v>
      </c>
      <c r="E4635">
        <v>0.46838679999999999</v>
      </c>
      <c r="F4635" t="s">
        <v>69</v>
      </c>
      <c r="G4635">
        <v>-381.92840000000001</v>
      </c>
      <c r="H4635" s="1">
        <v>-3.8959110000000003E-6</v>
      </c>
      <c r="I4635">
        <v>19.165400000000002</v>
      </c>
      <c r="J4635">
        <v>-403.11939999999998</v>
      </c>
      <c r="K4635">
        <v>1.117192</v>
      </c>
      <c r="L4635">
        <v>19.449190000000002</v>
      </c>
      <c r="M4635">
        <v>0.94449229999999995</v>
      </c>
      <c r="N4635">
        <v>0</v>
      </c>
      <c r="O4635">
        <v>-0.32821990000000001</v>
      </c>
      <c r="P4635">
        <v>0.99438020000000005</v>
      </c>
      <c r="Q4635">
        <v>1.551756E-2</v>
      </c>
      <c r="R4635">
        <v>-0.10472529999999999</v>
      </c>
      <c r="S4635">
        <v>3.0158689999999999</v>
      </c>
      <c r="T4635">
        <v>-0.15804270000000001</v>
      </c>
      <c r="U4635">
        <v>-4.58374E-2</v>
      </c>
      <c r="V4635">
        <v>-0.2279756</v>
      </c>
      <c r="W4635">
        <v>2.5429190000000001E-2</v>
      </c>
      <c r="X4635">
        <v>0.9733347</v>
      </c>
      <c r="Y4635">
        <v>-0.31299510000000003</v>
      </c>
      <c r="Z4635">
        <v>2.5128129999999999E-2</v>
      </c>
      <c r="AA4635">
        <v>0.94942219999999999</v>
      </c>
      <c r="AB4635">
        <v>27</v>
      </c>
      <c r="AC4635">
        <v>21.190999999999899</v>
      </c>
      <c r="AD4635">
        <v>-1.117195895911</v>
      </c>
      <c r="AE4635">
        <v>-0.28378999999999599</v>
      </c>
      <c r="AF4635">
        <v>-6.6694254232751602</v>
      </c>
      <c r="AG4635">
        <v>-1.117195895911</v>
      </c>
      <c r="AH4635">
        <v>20.054223891820499</v>
      </c>
      <c r="AI4635">
        <v>93.025956851633893</v>
      </c>
      <c r="AJ4635">
        <v>108.395557504701</v>
      </c>
      <c r="AK4635">
        <v>21.163677800650099</v>
      </c>
      <c r="AL4635">
        <v>88.542857633821498</v>
      </c>
      <c r="AM4635">
        <v>103.182255996592</v>
      </c>
      <c r="AN4635">
        <v>0.999999978061752</v>
      </c>
    </row>
    <row r="4636" spans="1:40" x14ac:dyDescent="0.25">
      <c r="A4636" t="str">
        <f>"20190312151631128"</f>
        <v>20190312151631128</v>
      </c>
      <c r="B4636" t="str">
        <f>"1552374991122389"</f>
        <v>1552374991122389</v>
      </c>
      <c r="C4636" t="s">
        <v>40</v>
      </c>
      <c r="D4636">
        <v>4.6435709999999997</v>
      </c>
      <c r="E4636">
        <v>0.46939760000000003</v>
      </c>
      <c r="F4636" t="s">
        <v>69</v>
      </c>
      <c r="G4636">
        <v>-383.85340000000002</v>
      </c>
      <c r="H4636" s="1">
        <v>-3.0021969999999999E-6</v>
      </c>
      <c r="I4636">
        <v>19.073810000000002</v>
      </c>
      <c r="J4636">
        <v>-402.97719999999998</v>
      </c>
      <c r="K4636">
        <v>1.117135</v>
      </c>
      <c r="L4636">
        <v>19.405850000000001</v>
      </c>
      <c r="M4636">
        <v>0.94628939999999995</v>
      </c>
      <c r="N4636">
        <v>0</v>
      </c>
      <c r="O4636">
        <v>-0.32300269999999998</v>
      </c>
      <c r="P4636">
        <v>0.99489470000000002</v>
      </c>
      <c r="Q4636">
        <v>1.5949720000000001E-2</v>
      </c>
      <c r="R4636">
        <v>-9.9651359999999994E-2</v>
      </c>
      <c r="S4636">
        <v>3.0135190000000001</v>
      </c>
      <c r="T4636">
        <v>-0.17474819999999999</v>
      </c>
      <c r="U4636">
        <v>-5.8715820000000002E-2</v>
      </c>
      <c r="V4636">
        <v>-0.22757140000000001</v>
      </c>
      <c r="W4636">
        <v>2.5891569999999999E-2</v>
      </c>
      <c r="X4636">
        <v>0.97341710000000004</v>
      </c>
      <c r="Y4636">
        <v>-0.30350310000000003</v>
      </c>
      <c r="Z4636">
        <v>2.7233670000000001E-2</v>
      </c>
      <c r="AA4636">
        <v>0.95244119999999999</v>
      </c>
      <c r="AB4636">
        <v>27</v>
      </c>
      <c r="AC4636">
        <v>19.1237999999999</v>
      </c>
      <c r="AD4636">
        <v>-1.1171380021970001</v>
      </c>
      <c r="AE4636">
        <v>-0.332039999999999</v>
      </c>
      <c r="AF4636">
        <v>-5.8435013745804998</v>
      </c>
      <c r="AG4636">
        <v>-1.1171380021970001</v>
      </c>
      <c r="AH4636">
        <v>18.143874682956199</v>
      </c>
      <c r="AI4636">
        <v>93.354071840548201</v>
      </c>
      <c r="AJ4636">
        <v>107.851916750295</v>
      </c>
      <c r="AK4636">
        <v>19.094362889122401</v>
      </c>
      <c r="AL4636">
        <v>88.516356491504894</v>
      </c>
      <c r="AM4636">
        <v>103.15862270658501</v>
      </c>
      <c r="AN4636">
        <v>0.99999998303371695</v>
      </c>
    </row>
    <row r="4637" spans="1:40" x14ac:dyDescent="0.25">
      <c r="A4637" t="str">
        <f>"20190312151631138"</f>
        <v>20190312151631138</v>
      </c>
      <c r="B4637" t="str">
        <f>"1552374991132149"</f>
        <v>1552374991132149</v>
      </c>
      <c r="C4637" t="s">
        <v>40</v>
      </c>
      <c r="D4637">
        <v>4.6207609999999999</v>
      </c>
      <c r="E4637">
        <v>0.47011979999999998</v>
      </c>
      <c r="F4637" t="s">
        <v>69</v>
      </c>
      <c r="G4637">
        <v>-383.34710000000001</v>
      </c>
      <c r="H4637" s="1">
        <v>-3.242099E-6</v>
      </c>
      <c r="I4637">
        <v>19.070630000000001</v>
      </c>
      <c r="J4637">
        <v>-402.85270000000003</v>
      </c>
      <c r="K4637">
        <v>1.117089</v>
      </c>
      <c r="L4637">
        <v>19.36853</v>
      </c>
      <c r="M4637">
        <v>0.94782670000000002</v>
      </c>
      <c r="N4637">
        <v>0</v>
      </c>
      <c r="O4637">
        <v>-0.31846410000000003</v>
      </c>
      <c r="P4637">
        <v>0.99532909999999997</v>
      </c>
      <c r="Q4637">
        <v>1.632488E-2</v>
      </c>
      <c r="R4637">
        <v>-9.5152429999999996E-2</v>
      </c>
      <c r="S4637">
        <v>3.0129700000000001</v>
      </c>
      <c r="T4637">
        <v>-0.1714666</v>
      </c>
      <c r="U4637">
        <v>-5.1452640000000001E-2</v>
      </c>
      <c r="V4637">
        <v>-0.22730909999999999</v>
      </c>
      <c r="W4637">
        <v>2.6291019999999998E-2</v>
      </c>
      <c r="X4637">
        <v>0.97346770000000005</v>
      </c>
      <c r="Y4637">
        <v>-0.30127759999999998</v>
      </c>
      <c r="Z4637">
        <v>2.642021E-2</v>
      </c>
      <c r="AA4637">
        <v>0.95317039999999997</v>
      </c>
      <c r="AB4637">
        <v>27</v>
      </c>
      <c r="AC4637">
        <v>19.505600000000001</v>
      </c>
      <c r="AD4637">
        <v>-1.1170922420989999</v>
      </c>
      <c r="AE4637">
        <v>-0.297900000000002</v>
      </c>
      <c r="AF4637">
        <v>-5.9107021859550102</v>
      </c>
      <c r="AG4637">
        <v>-1.1170922420989999</v>
      </c>
      <c r="AH4637">
        <v>18.5239630707791</v>
      </c>
      <c r="AI4637">
        <v>93.288110081525204</v>
      </c>
      <c r="AJ4637">
        <v>107.69705657150099</v>
      </c>
      <c r="AK4637">
        <v>19.476177840017701</v>
      </c>
      <c r="AL4637">
        <v>88.493461929004795</v>
      </c>
      <c r="AM4637">
        <v>103.14332334610801</v>
      </c>
      <c r="AN4637">
        <v>1.0000000038093699</v>
      </c>
    </row>
    <row r="4638" spans="1:40" x14ac:dyDescent="0.25">
      <c r="A4638" t="str">
        <f>"20190312151631150"</f>
        <v>20190312151631150</v>
      </c>
      <c r="B4638" t="str">
        <f>"1552374991142885"</f>
        <v>1552374991142885</v>
      </c>
      <c r="C4638" t="s">
        <v>40</v>
      </c>
      <c r="D4638">
        <v>4.6222070000000004</v>
      </c>
      <c r="E4638">
        <v>0.47073680000000001</v>
      </c>
      <c r="F4638" t="s">
        <v>69</v>
      </c>
      <c r="G4638">
        <v>-383.27910000000003</v>
      </c>
      <c r="H4638" s="1">
        <v>-3.2717029999999998E-6</v>
      </c>
      <c r="I4638">
        <v>19.085000000000001</v>
      </c>
      <c r="J4638">
        <v>-402.71980000000002</v>
      </c>
      <c r="K4638">
        <v>1.11704</v>
      </c>
      <c r="L4638">
        <v>19.329249999999998</v>
      </c>
      <c r="M4638">
        <v>0.94943279999999997</v>
      </c>
      <c r="N4638">
        <v>0</v>
      </c>
      <c r="O4638">
        <v>-0.31364360000000002</v>
      </c>
      <c r="P4638">
        <v>0.99572470000000002</v>
      </c>
      <c r="Q4638">
        <v>1.6622189999999998E-2</v>
      </c>
      <c r="R4638">
        <v>-9.0863379999999994E-2</v>
      </c>
      <c r="S4638">
        <v>3.0126949999999999</v>
      </c>
      <c r="T4638">
        <v>-0.17193900000000001</v>
      </c>
      <c r="U4638">
        <v>-4.3640140000000001E-2</v>
      </c>
      <c r="V4638">
        <v>-0.22655600000000001</v>
      </c>
      <c r="W4638">
        <v>2.6624220000000001E-2</v>
      </c>
      <c r="X4638">
        <v>0.97363420000000001</v>
      </c>
      <c r="Y4638">
        <v>-0.2989077</v>
      </c>
      <c r="Z4638">
        <v>2.6166789999999999E-2</v>
      </c>
      <c r="AA4638">
        <v>0.95392319999999997</v>
      </c>
      <c r="AB4638">
        <v>27</v>
      </c>
      <c r="AC4638">
        <v>19.4407</v>
      </c>
      <c r="AD4638">
        <v>-1.1170432717030001</v>
      </c>
      <c r="AE4638">
        <v>-0.244249999999997</v>
      </c>
      <c r="AF4638">
        <v>-5.8468530762876503</v>
      </c>
      <c r="AG4638">
        <v>-1.1170432717030001</v>
      </c>
      <c r="AH4638">
        <v>18.475159404820999</v>
      </c>
      <c r="AI4638">
        <v>93.299114351963695</v>
      </c>
      <c r="AJ4638">
        <v>107.561071622904</v>
      </c>
      <c r="AK4638">
        <v>19.410435121349</v>
      </c>
      <c r="AL4638">
        <v>88.474364303604702</v>
      </c>
      <c r="AM4638">
        <v>103.099119329442</v>
      </c>
      <c r="AN4638">
        <v>1.0000000128181199</v>
      </c>
    </row>
    <row r="4639" spans="1:40" x14ac:dyDescent="0.25">
      <c r="A4639" t="str">
        <f>"20190312151631162"</f>
        <v>20190312151631162</v>
      </c>
      <c r="B4639" t="str">
        <f>"1552374991152645"</f>
        <v>1552374991152645</v>
      </c>
      <c r="C4639" t="s">
        <v>40</v>
      </c>
      <c r="D4639">
        <v>4.659986</v>
      </c>
      <c r="E4639">
        <v>0.47128819999999999</v>
      </c>
      <c r="F4639" t="s">
        <v>69</v>
      </c>
      <c r="G4639">
        <v>-383.13459999999998</v>
      </c>
      <c r="H4639" s="1">
        <v>-3.3376999999999998E-6</v>
      </c>
      <c r="I4639">
        <v>19.097919999999998</v>
      </c>
      <c r="J4639">
        <v>-402.59690000000001</v>
      </c>
      <c r="K4639">
        <v>1.116989</v>
      </c>
      <c r="L4639">
        <v>19.29382</v>
      </c>
      <c r="M4639">
        <v>0.95087840000000001</v>
      </c>
      <c r="N4639">
        <v>0</v>
      </c>
      <c r="O4639">
        <v>-0.309233799999999</v>
      </c>
      <c r="P4639">
        <v>0.99608149999999995</v>
      </c>
      <c r="Q4639">
        <v>1.7065980000000001E-2</v>
      </c>
      <c r="R4639">
        <v>-8.677936E-2</v>
      </c>
      <c r="S4639">
        <v>3.0125120000000001</v>
      </c>
      <c r="T4639">
        <v>-0.171819</v>
      </c>
      <c r="U4639">
        <v>-3.5583499999999997E-2</v>
      </c>
      <c r="V4639">
        <v>-0.22603129999999999</v>
      </c>
      <c r="W4639">
        <v>2.7098029999999999E-2</v>
      </c>
      <c r="X4639">
        <v>0.97374309999999997</v>
      </c>
      <c r="Y4639">
        <v>-0.29704009999999997</v>
      </c>
      <c r="Z4639">
        <v>2.585811E-2</v>
      </c>
      <c r="AA4639">
        <v>0.9545148</v>
      </c>
      <c r="AB4639">
        <v>27</v>
      </c>
      <c r="AC4639">
        <v>19.462299999999999</v>
      </c>
      <c r="AD4639">
        <v>-1.1169923376999999</v>
      </c>
      <c r="AE4639">
        <v>-0.19589999999999799</v>
      </c>
      <c r="AF4639">
        <v>-5.8135735279206502</v>
      </c>
      <c r="AG4639">
        <v>-1.1169923376999999</v>
      </c>
      <c r="AH4639">
        <v>18.5078035210108</v>
      </c>
      <c r="AI4639">
        <v>93.295379568877394</v>
      </c>
      <c r="AJ4639">
        <v>107.43827148989899</v>
      </c>
      <c r="AK4639">
        <v>19.4315233633228</v>
      </c>
      <c r="AL4639">
        <v>88.447207231022404</v>
      </c>
      <c r="AM4639">
        <v>103.068413116207</v>
      </c>
      <c r="AN4639">
        <v>1.0000000383035801</v>
      </c>
    </row>
    <row r="4640" spans="1:40" x14ac:dyDescent="0.25">
      <c r="A4640" t="str">
        <f>"20190312151631173"</f>
        <v>20190312151631173</v>
      </c>
      <c r="B4640" t="str">
        <f>"1552374991162405"</f>
        <v>1552374991162405</v>
      </c>
      <c r="C4640" t="s">
        <v>40</v>
      </c>
      <c r="D4640">
        <v>4.6748129999999897</v>
      </c>
      <c r="E4640">
        <v>0.47165439999999997</v>
      </c>
      <c r="F4640" t="s">
        <v>69</v>
      </c>
      <c r="G4640">
        <v>-382.8535</v>
      </c>
      <c r="H4640" s="1">
        <v>-3.4679150000000001E-6</v>
      </c>
      <c r="I4640">
        <v>19.113009999999999</v>
      </c>
      <c r="J4640">
        <v>-402.4667</v>
      </c>
      <c r="K4640">
        <v>1.1169370000000001</v>
      </c>
      <c r="L4640">
        <v>19.256530000000001</v>
      </c>
      <c r="M4640">
        <v>0.95238160000000005</v>
      </c>
      <c r="N4640">
        <v>0</v>
      </c>
      <c r="O4640">
        <v>-0.30457339999999999</v>
      </c>
      <c r="P4640">
        <v>0.99642280000000005</v>
      </c>
      <c r="Q4640">
        <v>1.7354729999999999E-2</v>
      </c>
      <c r="R4640">
        <v>-8.2707719999999998E-2</v>
      </c>
      <c r="S4640">
        <v>3.0123289999999998</v>
      </c>
      <c r="T4640">
        <v>-0.1704241</v>
      </c>
      <c r="U4640">
        <v>-2.758789E-2</v>
      </c>
      <c r="V4640">
        <v>-0.2252421</v>
      </c>
      <c r="W4640">
        <v>2.7423579999999999E-2</v>
      </c>
      <c r="X4640">
        <v>0.97391680000000003</v>
      </c>
      <c r="Y4640">
        <v>-0.29492289999999999</v>
      </c>
      <c r="Z4640">
        <v>2.5339199999999999E-2</v>
      </c>
      <c r="AA4640">
        <v>0.95518499999999995</v>
      </c>
      <c r="AB4640">
        <v>27</v>
      </c>
      <c r="AC4640">
        <v>19.613199999999999</v>
      </c>
      <c r="AD4640">
        <v>-1.1169404679149999</v>
      </c>
      <c r="AE4640">
        <v>-0.14351999999999801</v>
      </c>
      <c r="AF4640">
        <v>-5.8186998964192496</v>
      </c>
      <c r="AG4640">
        <v>-1.1169404679149999</v>
      </c>
      <c r="AH4640">
        <v>18.664348816239201</v>
      </c>
      <c r="AI4640">
        <v>93.269842560586497</v>
      </c>
      <c r="AJ4640">
        <v>107.315117002465</v>
      </c>
      <c r="AK4640">
        <v>19.582204708043101</v>
      </c>
      <c r="AL4640">
        <v>88.428547587577896</v>
      </c>
      <c r="AM4640">
        <v>103.022098617525</v>
      </c>
      <c r="AN4640">
        <v>0.99999999483733304</v>
      </c>
    </row>
    <row r="4641" spans="1:40" x14ac:dyDescent="0.25">
      <c r="A4641" t="str">
        <f>"20190312151631184"</f>
        <v>20190312151631184</v>
      </c>
      <c r="B4641" t="str">
        <f>"1552374991182900"</f>
        <v>1552374991182900</v>
      </c>
      <c r="C4641" t="s">
        <v>40</v>
      </c>
      <c r="D4641">
        <v>4.6549319999999996</v>
      </c>
      <c r="E4641">
        <v>0.47271869999999999</v>
      </c>
      <c r="F4641" t="s">
        <v>69</v>
      </c>
      <c r="G4641">
        <v>-382.76369999999997</v>
      </c>
      <c r="H4641" s="1">
        <v>-3.505956E-6</v>
      </c>
      <c r="I4641">
        <v>19.13796</v>
      </c>
      <c r="J4641">
        <v>-402.33150000000001</v>
      </c>
      <c r="K4641">
        <v>1.116881</v>
      </c>
      <c r="L4641">
        <v>19.21893</v>
      </c>
      <c r="M4641">
        <v>0.95389440000000003</v>
      </c>
      <c r="N4641">
        <v>0</v>
      </c>
      <c r="O4641">
        <v>-0.29980220000000002</v>
      </c>
      <c r="P4641">
        <v>0.99673389999999995</v>
      </c>
      <c r="Q4641">
        <v>1.7471569999999999E-2</v>
      </c>
      <c r="R4641">
        <v>-7.8844059999999994E-2</v>
      </c>
      <c r="S4641">
        <v>3.012238</v>
      </c>
      <c r="T4641">
        <v>-0.170760299999999</v>
      </c>
      <c r="U4641">
        <v>-1.8127440000000002E-2</v>
      </c>
      <c r="V4641">
        <v>-0.224139</v>
      </c>
      <c r="W4641">
        <v>2.7584689999999999E-2</v>
      </c>
      <c r="X4641">
        <v>0.97416670000000005</v>
      </c>
      <c r="Y4641">
        <v>-0.29314620000000002</v>
      </c>
      <c r="Z4641">
        <v>2.508179E-2</v>
      </c>
      <c r="AA4641">
        <v>0.95573850000000005</v>
      </c>
      <c r="AB4641">
        <v>27</v>
      </c>
      <c r="AC4641">
        <v>19.567799999999998</v>
      </c>
      <c r="AD4641">
        <v>-1.116884505956</v>
      </c>
      <c r="AE4641">
        <v>-8.0970000000000597E-2</v>
      </c>
      <c r="AF4641">
        <v>-5.7710227162347802</v>
      </c>
      <c r="AG4641">
        <v>-1.116884505956</v>
      </c>
      <c r="AH4641">
        <v>18.631101060023799</v>
      </c>
      <c r="AI4641">
        <v>93.277356661930199</v>
      </c>
      <c r="AJ4641">
        <v>107.21047705983101</v>
      </c>
      <c r="AK4641">
        <v>19.536377885876501</v>
      </c>
      <c r="AL4641">
        <v>88.419313152159603</v>
      </c>
      <c r="AM4641">
        <v>102.957270057054</v>
      </c>
      <c r="AN4641">
        <v>0.99999998291614201</v>
      </c>
    </row>
    <row r="4642" spans="1:40" x14ac:dyDescent="0.25">
      <c r="A4642" t="str">
        <f>"20190312151631197"</f>
        <v>20190312151631197</v>
      </c>
      <c r="B4642" t="str">
        <f>"1552374991192660"</f>
        <v>1552374991192660</v>
      </c>
      <c r="C4642" t="s">
        <v>40</v>
      </c>
      <c r="D4642">
        <v>4.6510009999999999</v>
      </c>
      <c r="E4642">
        <v>0.47313640000000001</v>
      </c>
      <c r="F4642" t="s">
        <v>69</v>
      </c>
      <c r="G4642">
        <v>-381.60680000000002</v>
      </c>
      <c r="H4642" s="1">
        <v>-4.056758E-6</v>
      </c>
      <c r="I4642">
        <v>19.115819999999999</v>
      </c>
      <c r="J4642">
        <v>-402.19510000000002</v>
      </c>
      <c r="K4642">
        <v>1.116822</v>
      </c>
      <c r="L4642">
        <v>19.1814</v>
      </c>
      <c r="M4642">
        <v>0.95538880000000004</v>
      </c>
      <c r="N4642">
        <v>0</v>
      </c>
      <c r="O4642">
        <v>-0.29500559999999998</v>
      </c>
      <c r="P4642">
        <v>0.99704130000000002</v>
      </c>
      <c r="Q4642">
        <v>1.788665E-2</v>
      </c>
      <c r="R4642">
        <v>-7.4756840000000005E-2</v>
      </c>
      <c r="S4642">
        <v>3.0114749999999999</v>
      </c>
      <c r="T4642">
        <v>-0.16229270000000001</v>
      </c>
      <c r="U4642">
        <v>-1.498413E-2</v>
      </c>
      <c r="V4642">
        <v>-0.22323860000000001</v>
      </c>
      <c r="W4642">
        <v>2.8040369999999998E-2</v>
      </c>
      <c r="X4642">
        <v>0.97436040000000002</v>
      </c>
      <c r="Y4642">
        <v>-0.28943990000000003</v>
      </c>
      <c r="Z4642">
        <v>2.3497859999999999E-2</v>
      </c>
      <c r="AA4642">
        <v>0.95690770000000003</v>
      </c>
      <c r="AB4642">
        <v>27</v>
      </c>
      <c r="AC4642">
        <v>20.5883</v>
      </c>
      <c r="AD4642">
        <v>-1.116826056758</v>
      </c>
      <c r="AE4642">
        <v>-6.5579999999997002E-2</v>
      </c>
      <c r="AF4642">
        <v>-5.9939847491070504</v>
      </c>
      <c r="AG4642">
        <v>-1.116826056758</v>
      </c>
      <c r="AH4642">
        <v>19.633413134467599</v>
      </c>
      <c r="AI4642">
        <v>93.114107495210803</v>
      </c>
      <c r="AJ4642">
        <v>106.977173389032</v>
      </c>
      <c r="AK4642">
        <v>20.558357544372701</v>
      </c>
      <c r="AL4642">
        <v>88.393194473213995</v>
      </c>
      <c r="AM4642">
        <v>102.90448527253599</v>
      </c>
      <c r="AN4642">
        <v>0.99999996198392704</v>
      </c>
    </row>
    <row r="4643" spans="1:40" x14ac:dyDescent="0.25">
      <c r="A4643" t="str">
        <f>"20190312151631219"</f>
        <v>20190312151631219</v>
      </c>
      <c r="B4643" t="str">
        <f>"1552374991212181"</f>
        <v>1552374991212181</v>
      </c>
      <c r="C4643" t="s">
        <v>40</v>
      </c>
      <c r="D4643">
        <v>4.6618729999999999</v>
      </c>
      <c r="E4643">
        <v>0.47413509999999998</v>
      </c>
      <c r="F4643" t="s">
        <v>69</v>
      </c>
      <c r="G4643">
        <v>-380.95940000000002</v>
      </c>
      <c r="H4643" s="1">
        <v>-4.3586559999999999E-6</v>
      </c>
      <c r="I4643">
        <v>19.139209999999999</v>
      </c>
      <c r="J4643">
        <v>-401.94929999999999</v>
      </c>
      <c r="K4643">
        <v>1.1167149999999999</v>
      </c>
      <c r="L4643">
        <v>19.11572</v>
      </c>
      <c r="M4643">
        <v>0.95798269999999996</v>
      </c>
      <c r="N4643">
        <v>0</v>
      </c>
      <c r="O4643">
        <v>-0.28647129999999998</v>
      </c>
      <c r="P4643">
        <v>0.99747039999999998</v>
      </c>
      <c r="Q4643">
        <v>1.9657589999999999E-2</v>
      </c>
      <c r="R4643">
        <v>-6.8310040000000002E-2</v>
      </c>
      <c r="S4643">
        <v>3.0112299999999999</v>
      </c>
      <c r="T4643">
        <v>-0.15836610000000001</v>
      </c>
      <c r="U4643">
        <v>-5.9814450000000002E-3</v>
      </c>
      <c r="V4643">
        <v>-0.22085650000000001</v>
      </c>
      <c r="W4643">
        <v>2.9899729999999999E-2</v>
      </c>
      <c r="X4643">
        <v>0.97484789999999999</v>
      </c>
      <c r="Y4643">
        <v>-0.28381729999999999</v>
      </c>
      <c r="Z4643">
        <v>2.2352879999999999E-2</v>
      </c>
      <c r="AA4643">
        <v>0.95861779999999996</v>
      </c>
      <c r="AB4643">
        <v>27</v>
      </c>
      <c r="AC4643">
        <v>20.989899999999899</v>
      </c>
      <c r="AD4643">
        <v>-1.11671935865599</v>
      </c>
      <c r="AE4643">
        <v>2.3490000000002401E-2</v>
      </c>
      <c r="AF4643">
        <v>-6.0190835204355801</v>
      </c>
      <c r="AG4643">
        <v>-1.11671935865599</v>
      </c>
      <c r="AH4643">
        <v>20.046533685524199</v>
      </c>
      <c r="AI4643">
        <v>93.054020896614006</v>
      </c>
      <c r="AJ4643">
        <v>106.71267762967</v>
      </c>
      <c r="AK4643">
        <v>20.9604375278006</v>
      </c>
      <c r="AL4643">
        <v>88.286616318660805</v>
      </c>
      <c r="AM4643">
        <v>102.76514776348</v>
      </c>
      <c r="AN4643">
        <v>1.0000000077903599</v>
      </c>
    </row>
    <row r="4644" spans="1:40" x14ac:dyDescent="0.25">
      <c r="A4644" t="str">
        <f>"20190312151631240"</f>
        <v>20190312151631240</v>
      </c>
      <c r="B4644" t="str">
        <f>"1552374991232677"</f>
        <v>1552374991232677</v>
      </c>
      <c r="C4644" t="s">
        <v>40</v>
      </c>
      <c r="D4644">
        <v>4.6586569999999998</v>
      </c>
      <c r="E4644">
        <v>0.4745626</v>
      </c>
      <c r="F4644" t="s">
        <v>70</v>
      </c>
      <c r="G4644">
        <v>-379.35410000000002</v>
      </c>
      <c r="H4644" s="1">
        <v>-3.6734229999999998E-7</v>
      </c>
      <c r="I4644">
        <v>19.156490000000002</v>
      </c>
      <c r="J4644">
        <v>-401.69799999999998</v>
      </c>
      <c r="K4644">
        <v>1.1166100000000001</v>
      </c>
      <c r="L4644">
        <v>19.05087</v>
      </c>
      <c r="M4644">
        <v>0.96051319999999996</v>
      </c>
      <c r="N4644">
        <v>0</v>
      </c>
      <c r="O4644">
        <v>-0.27787020000000001</v>
      </c>
      <c r="P4644">
        <v>0.99786280000000005</v>
      </c>
      <c r="Q4644">
        <v>2.1285189999999999E-2</v>
      </c>
      <c r="R4644">
        <v>-6.1784949999999998E-2</v>
      </c>
      <c r="S4644">
        <v>3.0109249999999999</v>
      </c>
      <c r="T4644">
        <v>-0.1488082</v>
      </c>
      <c r="U4644">
        <v>5.432129E-3</v>
      </c>
      <c r="V4644">
        <v>-0.21849830000000001</v>
      </c>
      <c r="W4644">
        <v>3.161506E-2</v>
      </c>
      <c r="X4644">
        <v>0.975325</v>
      </c>
      <c r="Y4644">
        <v>-0.27895809999999999</v>
      </c>
      <c r="Z4644">
        <v>2.0478240000000002E-2</v>
      </c>
      <c r="AA4644">
        <v>0.96008490000000002</v>
      </c>
      <c r="AB4644">
        <v>27</v>
      </c>
      <c r="AC4644">
        <v>22.343900000000001</v>
      </c>
      <c r="AD4644">
        <v>-1.1166103673423</v>
      </c>
      <c r="AE4644">
        <v>0.10561999999999799</v>
      </c>
      <c r="AF4644">
        <v>-6.2950716457667397</v>
      </c>
      <c r="AG4644">
        <v>-1.1166103673423</v>
      </c>
      <c r="AH4644">
        <v>21.381037591386299</v>
      </c>
      <c r="AI4644">
        <v>92.868010535547995</v>
      </c>
      <c r="AJ4644">
        <v>106.405647444209</v>
      </c>
      <c r="AK4644">
        <v>22.316440446945499</v>
      </c>
      <c r="AL4644">
        <v>88.188288489381705</v>
      </c>
      <c r="AM4644">
        <v>102.62726330391899</v>
      </c>
      <c r="AN4644">
        <v>0.99999993737334403</v>
      </c>
    </row>
    <row r="4645" spans="1:40" x14ac:dyDescent="0.25">
      <c r="A4645" t="str">
        <f>"20190312151631252"</f>
        <v>20190312151631252</v>
      </c>
      <c r="B4645" t="str">
        <f>"1552374991242437"</f>
        <v>1552374991242437</v>
      </c>
      <c r="C4645" t="s">
        <v>40</v>
      </c>
      <c r="D4645">
        <v>4.8468179999999998</v>
      </c>
      <c r="E4645">
        <v>0.47486970000000001</v>
      </c>
      <c r="F4645" t="s">
        <v>70</v>
      </c>
      <c r="G4645">
        <v>-378.59449999999998</v>
      </c>
      <c r="H4645" s="1">
        <v>-7.1576669999999905E-7</v>
      </c>
      <c r="I4645">
        <v>19.216670000000001</v>
      </c>
      <c r="J4645">
        <v>-401.56299999999999</v>
      </c>
      <c r="K4645">
        <v>1.116552</v>
      </c>
      <c r="L4645">
        <v>19.016749999999998</v>
      </c>
      <c r="M4645">
        <v>0.96182710000000005</v>
      </c>
      <c r="N4645">
        <v>0</v>
      </c>
      <c r="O4645">
        <v>-0.27328799999999998</v>
      </c>
      <c r="P4645">
        <v>0.99804709999999996</v>
      </c>
      <c r="Q4645">
        <v>2.1683629999999999E-2</v>
      </c>
      <c r="R4645">
        <v>-5.8584320000000002E-2</v>
      </c>
      <c r="S4645">
        <v>3.0108640000000002</v>
      </c>
      <c r="T4645">
        <v>-0.14551729999999999</v>
      </c>
      <c r="U4645">
        <v>2.1606449999999999E-2</v>
      </c>
      <c r="V4645">
        <v>-0.2169751</v>
      </c>
      <c r="W4645">
        <v>3.2064960000000003E-2</v>
      </c>
      <c r="X4645">
        <v>0.97565040000000003</v>
      </c>
      <c r="Y4645">
        <v>-0.27957189999999998</v>
      </c>
      <c r="Z4645">
        <v>1.9828660000000001E-2</v>
      </c>
      <c r="AA4645">
        <v>0.95992</v>
      </c>
      <c r="AB4645">
        <v>27</v>
      </c>
      <c r="AC4645">
        <v>22.968499999999999</v>
      </c>
      <c r="AD4645">
        <v>-1.1165527157666999</v>
      </c>
      <c r="AE4645">
        <v>0.19992000000000201</v>
      </c>
      <c r="AF4645">
        <v>-6.4547060172210999</v>
      </c>
      <c r="AG4645">
        <v>-1.1165527157666999</v>
      </c>
      <c r="AH4645">
        <v>21.987363655210501</v>
      </c>
      <c r="AI4645">
        <v>92.789551973115096</v>
      </c>
      <c r="AJ4645">
        <v>106.36035814535801</v>
      </c>
      <c r="AK4645">
        <v>22.942407899832801</v>
      </c>
      <c r="AL4645">
        <v>88.1624982090934</v>
      </c>
      <c r="AM4645">
        <v>102.537979581442</v>
      </c>
      <c r="AN4645">
        <v>1.00000002934998</v>
      </c>
    </row>
    <row r="4646" spans="1:40" x14ac:dyDescent="0.25">
      <c r="A4646" t="str">
        <f>"20190312151631266"</f>
        <v>20190312151631266</v>
      </c>
      <c r="B4646" t="str">
        <f>"1552374991262933"</f>
        <v>1552374991262933</v>
      </c>
      <c r="C4646" t="s">
        <v>40</v>
      </c>
      <c r="D4646">
        <v>4.6476179999999996</v>
      </c>
      <c r="E4646">
        <v>0.47555720000000001</v>
      </c>
      <c r="F4646" t="s">
        <v>70</v>
      </c>
      <c r="G4646">
        <v>-378.33350000000002</v>
      </c>
      <c r="H4646" s="1">
        <v>-8.3526829999999996E-7</v>
      </c>
      <c r="I4646">
        <v>19.238320000000002</v>
      </c>
      <c r="J4646">
        <v>-401.4008</v>
      </c>
      <c r="K4646">
        <v>1.1164810000000001</v>
      </c>
      <c r="L4646">
        <v>18.976990000000001</v>
      </c>
      <c r="M4646">
        <v>0.96335210000000004</v>
      </c>
      <c r="N4646">
        <v>0</v>
      </c>
      <c r="O4646">
        <v>-0.26786310000000002</v>
      </c>
      <c r="P4646">
        <v>0.99826360000000003</v>
      </c>
      <c r="Q4646">
        <v>2.1702880000000001E-2</v>
      </c>
      <c r="R4646">
        <v>-5.4761810000000001E-2</v>
      </c>
      <c r="S4646">
        <v>3.0107119999999998</v>
      </c>
      <c r="T4646">
        <v>-0.1447136</v>
      </c>
      <c r="U4646">
        <v>2.8717039999999999E-2</v>
      </c>
      <c r="V4646">
        <v>-0.21520629999999999</v>
      </c>
      <c r="W4646">
        <v>3.2143599999999897E-2</v>
      </c>
      <c r="X4646">
        <v>0.97603949999999995</v>
      </c>
      <c r="Y4646">
        <v>-0.27644419999999997</v>
      </c>
      <c r="Z4646">
        <v>1.939285E-2</v>
      </c>
      <c r="AA4646">
        <v>0.96083430000000003</v>
      </c>
      <c r="AB4646">
        <v>27</v>
      </c>
      <c r="AC4646">
        <v>23.0672999999999</v>
      </c>
      <c r="AD4646">
        <v>-1.1164818352682999</v>
      </c>
      <c r="AE4646">
        <v>0.26133000000000001</v>
      </c>
      <c r="AF4646">
        <v>-6.41625198965035</v>
      </c>
      <c r="AG4646">
        <v>-1.1164818352682999</v>
      </c>
      <c r="AH4646">
        <v>22.102398102835199</v>
      </c>
      <c r="AI4646">
        <v>92.777316742023501</v>
      </c>
      <c r="AJ4646">
        <v>106.187835696834</v>
      </c>
      <c r="AK4646">
        <v>23.041936185559301</v>
      </c>
      <c r="AL4646">
        <v>88.157990154026507</v>
      </c>
      <c r="AM4646">
        <v>102.434158257135</v>
      </c>
      <c r="AN4646">
        <v>1.00000003407044</v>
      </c>
    </row>
    <row r="4647" spans="1:40" x14ac:dyDescent="0.25">
      <c r="A4647" t="str">
        <f>"20190312151631284"</f>
        <v>20190312151631284</v>
      </c>
      <c r="B4647" t="str">
        <f>"1552374991272693"</f>
        <v>1552374991272693</v>
      </c>
      <c r="C4647" t="s">
        <v>40</v>
      </c>
      <c r="D4647">
        <v>4.9109369999999997</v>
      </c>
      <c r="E4647">
        <v>0.47593210000000002</v>
      </c>
      <c r="F4647" t="s">
        <v>70</v>
      </c>
      <c r="G4647">
        <v>-378.43529999999998</v>
      </c>
      <c r="H4647" s="1">
        <v>-7.8644110000000001E-7</v>
      </c>
      <c r="I4647">
        <v>19.2424</v>
      </c>
      <c r="J4647">
        <v>-401.19819999999999</v>
      </c>
      <c r="K4647">
        <v>1.116379</v>
      </c>
      <c r="L4647">
        <v>18.92841</v>
      </c>
      <c r="M4647">
        <v>0.96518820000000005</v>
      </c>
      <c r="N4647">
        <v>0</v>
      </c>
      <c r="O4647">
        <v>-0.26117099999999999</v>
      </c>
      <c r="P4647">
        <v>0.99842560000000002</v>
      </c>
      <c r="Q4647">
        <v>2.1851760000000001E-2</v>
      </c>
      <c r="R4647">
        <v>-5.1658969999999999E-2</v>
      </c>
      <c r="S4647">
        <v>3.0103149999999999</v>
      </c>
      <c r="T4647">
        <v>-0.14634839999999999</v>
      </c>
      <c r="U4647">
        <v>3.4790040000000001E-2</v>
      </c>
      <c r="V4647">
        <v>-0.21145639999999999</v>
      </c>
      <c r="W4647">
        <v>3.2398580000000003E-2</v>
      </c>
      <c r="X4647">
        <v>0.97685029999999995</v>
      </c>
      <c r="Y4647">
        <v>-0.27171050000000002</v>
      </c>
      <c r="Z4647">
        <v>1.918357E-2</v>
      </c>
      <c r="AA4647">
        <v>0.96218780000000004</v>
      </c>
      <c r="AB4647">
        <v>27</v>
      </c>
      <c r="AC4647">
        <v>22.762899999999998</v>
      </c>
      <c r="AD4647">
        <v>-1.1163797864411</v>
      </c>
      <c r="AE4647">
        <v>0.31398999999999999</v>
      </c>
      <c r="AF4647">
        <v>-6.2337071562845496</v>
      </c>
      <c r="AG4647">
        <v>-1.1163797864411</v>
      </c>
      <c r="AH4647">
        <v>21.838165131320402</v>
      </c>
      <c r="AI4647">
        <v>92.814228785681493</v>
      </c>
      <c r="AJ4647">
        <v>105.93140237742401</v>
      </c>
      <c r="AK4647">
        <v>22.737872922520801</v>
      </c>
      <c r="AL4647">
        <v>88.143373186896795</v>
      </c>
      <c r="AM4647">
        <v>102.21422573080299</v>
      </c>
      <c r="AN4647">
        <v>0.99999999284853303</v>
      </c>
    </row>
    <row r="4648" spans="1:40" x14ac:dyDescent="0.25">
      <c r="A4648" t="str">
        <f>"20190312151631296"</f>
        <v>20190312151631296</v>
      </c>
      <c r="B4648" t="str">
        <f>"1552374991293189"</f>
        <v>1552374991293189</v>
      </c>
      <c r="C4648" t="s">
        <v>40</v>
      </c>
      <c r="D4648">
        <v>4.6529699999999998</v>
      </c>
      <c r="E4648">
        <v>0.47664719999999999</v>
      </c>
      <c r="F4648" t="s">
        <v>70</v>
      </c>
      <c r="G4648">
        <v>-378.27980000000002</v>
      </c>
      <c r="H4648" s="1">
        <v>-8.5993209999999904E-7</v>
      </c>
      <c r="I4648">
        <v>19.242560000000001</v>
      </c>
      <c r="J4648">
        <v>-401.06819999999999</v>
      </c>
      <c r="K4648">
        <v>1.1163080000000001</v>
      </c>
      <c r="L4648">
        <v>18.897860000000001</v>
      </c>
      <c r="M4648">
        <v>0.96632680000000004</v>
      </c>
      <c r="N4648">
        <v>0</v>
      </c>
      <c r="O4648">
        <v>-0.25692690000000001</v>
      </c>
      <c r="P4648">
        <v>0.99854019999999999</v>
      </c>
      <c r="Q4648">
        <v>2.2061730000000002E-2</v>
      </c>
      <c r="R4648">
        <v>-4.930739E-2</v>
      </c>
      <c r="S4648">
        <v>3.0100709999999999</v>
      </c>
      <c r="T4648">
        <v>-0.146623799999999</v>
      </c>
      <c r="U4648">
        <v>4.1259770000000001E-2</v>
      </c>
      <c r="V4648">
        <v>-0.20946010000000001</v>
      </c>
      <c r="W4648">
        <v>3.2670230000000001E-2</v>
      </c>
      <c r="X4648">
        <v>0.97727129999999995</v>
      </c>
      <c r="Y4648">
        <v>-0.26955489999999999</v>
      </c>
      <c r="Z4648">
        <v>1.896807E-2</v>
      </c>
      <c r="AA4648">
        <v>0.96279820000000005</v>
      </c>
      <c r="AB4648">
        <v>27</v>
      </c>
      <c r="AC4648">
        <v>22.7883999999999</v>
      </c>
      <c r="AD4648">
        <v>-1.1163088599321001</v>
      </c>
      <c r="AE4648">
        <v>0.34469999999999901</v>
      </c>
      <c r="AF4648">
        <v>-6.1738565939783099</v>
      </c>
      <c r="AG4648">
        <v>-1.1163088599321001</v>
      </c>
      <c r="AH4648">
        <v>21.882187655907099</v>
      </c>
      <c r="AI4648">
        <v>92.8108362155414</v>
      </c>
      <c r="AJ4648">
        <v>105.75592135106901</v>
      </c>
      <c r="AK4648">
        <v>22.763848253801601</v>
      </c>
      <c r="AL4648">
        <v>88.127800624416807</v>
      </c>
      <c r="AM4648">
        <v>102.097269491628</v>
      </c>
      <c r="AN4648">
        <v>1.00000003561197</v>
      </c>
    </row>
    <row r="4649" spans="1:40" x14ac:dyDescent="0.25">
      <c r="A4649" t="str">
        <f>"20190312151631307"</f>
        <v>20190312151631307</v>
      </c>
      <c r="B4649" t="str">
        <f>"1552374991302949"</f>
        <v>1552374991302949</v>
      </c>
      <c r="C4649" t="s">
        <v>40</v>
      </c>
      <c r="D4649">
        <v>4.6663059999999996</v>
      </c>
      <c r="E4649">
        <v>0.476933</v>
      </c>
      <c r="F4649" t="s">
        <v>70</v>
      </c>
      <c r="G4649">
        <v>-378.28230000000002</v>
      </c>
      <c r="H4649" s="1">
        <v>-8.6261139999999996E-7</v>
      </c>
      <c r="I4649">
        <v>19.220849999999999</v>
      </c>
      <c r="J4649">
        <v>-400.9153</v>
      </c>
      <c r="K4649">
        <v>1.1162209999999999</v>
      </c>
      <c r="L4649">
        <v>18.86279</v>
      </c>
      <c r="M4649">
        <v>0.96762040000000005</v>
      </c>
      <c r="N4649">
        <v>0</v>
      </c>
      <c r="O4649">
        <v>-0.25201200000000001</v>
      </c>
      <c r="P4649">
        <v>0.99869129999999995</v>
      </c>
      <c r="Q4649">
        <v>2.2357579999999998E-2</v>
      </c>
      <c r="R4649">
        <v>-4.5999249999999998E-2</v>
      </c>
      <c r="S4649">
        <v>3.009735</v>
      </c>
      <c r="T4649">
        <v>-0.1474502</v>
      </c>
      <c r="U4649">
        <v>4.2663569999999998E-2</v>
      </c>
      <c r="V4649">
        <v>-0.2077242</v>
      </c>
      <c r="W4649">
        <v>3.3027670000000002E-2</v>
      </c>
      <c r="X4649">
        <v>0.97762969999999905</v>
      </c>
      <c r="Y4649">
        <v>-0.26511249999999997</v>
      </c>
      <c r="Z4649">
        <v>1.8733650000000001E-2</v>
      </c>
      <c r="AA4649">
        <v>0.96403550000000005</v>
      </c>
      <c r="AB4649">
        <v>27</v>
      </c>
      <c r="AC4649">
        <v>22.6329999999999</v>
      </c>
      <c r="AD4649">
        <v>-1.1162218626114</v>
      </c>
      <c r="AE4649">
        <v>0.35805999999999799</v>
      </c>
      <c r="AF4649">
        <v>-6.0361829086005203</v>
      </c>
      <c r="AG4649">
        <v>-1.1162218626114</v>
      </c>
      <c r="AH4649">
        <v>21.759194591794699</v>
      </c>
      <c r="AI4649">
        <v>92.829945792227704</v>
      </c>
      <c r="AJ4649">
        <v>105.504460272383</v>
      </c>
      <c r="AK4649">
        <v>22.6084940815668</v>
      </c>
      <c r="AL4649">
        <v>88.107309696372297</v>
      </c>
      <c r="AM4649">
        <v>101.99565942032601</v>
      </c>
      <c r="AN4649">
        <v>1.00000000028667</v>
      </c>
    </row>
    <row r="4650" spans="1:40" x14ac:dyDescent="0.25">
      <c r="A4650" t="str">
        <f>"20190312151631320"</f>
        <v>20190312151631320</v>
      </c>
      <c r="B4650" t="str">
        <f>"1552374991312709"</f>
        <v>1552374991312709</v>
      </c>
      <c r="C4650" t="s">
        <v>40</v>
      </c>
      <c r="D4650">
        <v>4.6951179999999999</v>
      </c>
      <c r="E4650">
        <v>0.47730869999999997</v>
      </c>
      <c r="F4650" t="s">
        <v>70</v>
      </c>
      <c r="G4650">
        <v>-378.02530000000002</v>
      </c>
      <c r="H4650" s="1">
        <v>-9.796772E-7</v>
      </c>
      <c r="I4650">
        <v>19.245550000000001</v>
      </c>
      <c r="J4650">
        <v>-400.77980000000002</v>
      </c>
      <c r="K4650">
        <v>1.116139</v>
      </c>
      <c r="L4650">
        <v>18.832339999999999</v>
      </c>
      <c r="M4650">
        <v>0.96873019999999999</v>
      </c>
      <c r="N4650">
        <v>0</v>
      </c>
      <c r="O4650">
        <v>-0.24771280000000001</v>
      </c>
      <c r="P4650">
        <v>0.99878630000000002</v>
      </c>
      <c r="Q4650">
        <v>2.2714000000000002E-2</v>
      </c>
      <c r="R4650">
        <v>-4.3707419999999997E-2</v>
      </c>
      <c r="S4650">
        <v>3.0095209999999999</v>
      </c>
      <c r="T4650">
        <v>-0.1467581</v>
      </c>
      <c r="U4650">
        <v>5.0323489999999999E-2</v>
      </c>
      <c r="V4650">
        <v>-0.20562259999999999</v>
      </c>
      <c r="W4650">
        <v>3.3449909999999999E-2</v>
      </c>
      <c r="X4650">
        <v>0.97805949999999997</v>
      </c>
      <c r="Y4650">
        <v>-0.26329780000000003</v>
      </c>
      <c r="Z4650">
        <v>1.8398970000000001E-2</v>
      </c>
      <c r="AA4650">
        <v>0.96453909999999998</v>
      </c>
      <c r="AB4650">
        <v>27</v>
      </c>
      <c r="AC4650">
        <v>22.7545</v>
      </c>
      <c r="AD4650">
        <v>-1.1161399796772</v>
      </c>
      <c r="AE4650">
        <v>0.41321000000000202</v>
      </c>
      <c r="AF4650">
        <v>-6.0229874314969098</v>
      </c>
      <c r="AG4650">
        <v>-1.1161399796772</v>
      </c>
      <c r="AH4650">
        <v>21.890158945142598</v>
      </c>
      <c r="AI4650">
        <v>92.814467439975104</v>
      </c>
      <c r="AJ4650">
        <v>105.38402254894</v>
      </c>
      <c r="AK4650">
        <v>22.731062551007401</v>
      </c>
      <c r="AL4650">
        <v>88.083103688741005</v>
      </c>
      <c r="AM4650">
        <v>101.87268895795501</v>
      </c>
      <c r="AN4650">
        <v>0.999999967825008</v>
      </c>
    </row>
    <row r="4651" spans="1:40" x14ac:dyDescent="0.25">
      <c r="A4651" t="str">
        <f>"20190312151631332"</f>
        <v>20190312151631332</v>
      </c>
      <c r="B4651" t="str">
        <f>"1552374991322469"</f>
        <v>1552374991322469</v>
      </c>
      <c r="C4651" t="s">
        <v>40</v>
      </c>
      <c r="D4651">
        <v>4.6654249999999999</v>
      </c>
      <c r="E4651">
        <v>0.47730869999999997</v>
      </c>
      <c r="F4651" t="s">
        <v>70</v>
      </c>
      <c r="G4651">
        <v>-377.82889999999998</v>
      </c>
      <c r="H4651" s="1">
        <v>-1.0724760000000001E-6</v>
      </c>
      <c r="I4651">
        <v>19.245920000000002</v>
      </c>
      <c r="J4651">
        <v>-400.6386</v>
      </c>
      <c r="K4651">
        <v>1.1160509999999999</v>
      </c>
      <c r="L4651">
        <v>18.80096</v>
      </c>
      <c r="M4651">
        <v>0.96985659999999896</v>
      </c>
      <c r="N4651">
        <v>0</v>
      </c>
      <c r="O4651">
        <v>-0.2432667</v>
      </c>
      <c r="P4651">
        <v>0.99889620000000001</v>
      </c>
      <c r="Q4651">
        <v>2.2525670000000001E-2</v>
      </c>
      <c r="R4651">
        <v>-4.1220140000000002E-2</v>
      </c>
      <c r="S4651">
        <v>3.0093380000000001</v>
      </c>
      <c r="T4651">
        <v>-0.14634920000000001</v>
      </c>
      <c r="U4651">
        <v>5.4229739999999999E-2</v>
      </c>
      <c r="V4651">
        <v>-0.2035612</v>
      </c>
      <c r="W4651">
        <v>3.3327910000000002E-2</v>
      </c>
      <c r="X4651">
        <v>0.9784948</v>
      </c>
      <c r="Y4651">
        <v>-0.2601366</v>
      </c>
      <c r="Z4651">
        <v>1.806116E-2</v>
      </c>
      <c r="AA4651">
        <v>0.96540289999999995</v>
      </c>
      <c r="AB4651">
        <v>27</v>
      </c>
      <c r="AC4651">
        <v>22.809699999999999</v>
      </c>
      <c r="AD4651">
        <v>-1.1160520724759999</v>
      </c>
      <c r="AE4651">
        <v>0.44496000000000102</v>
      </c>
      <c r="AF4651">
        <v>-5.9667053932090601</v>
      </c>
      <c r="AG4651">
        <v>-1.1160520724759999</v>
      </c>
      <c r="AH4651">
        <v>21.963528854656602</v>
      </c>
      <c r="AI4651">
        <v>92.807341457066798</v>
      </c>
      <c r="AJ4651">
        <v>105.198412835976</v>
      </c>
      <c r="AK4651">
        <v>22.7869204858217</v>
      </c>
      <c r="AL4651">
        <v>88.090097721158699</v>
      </c>
      <c r="AM4651">
        <v>101.75190767310001</v>
      </c>
      <c r="AN4651">
        <v>0.99999999267872397</v>
      </c>
    </row>
    <row r="4652" spans="1:40" x14ac:dyDescent="0.25">
      <c r="A4652" t="str">
        <f>"20190312151631351"</f>
        <v>20190312151631351</v>
      </c>
      <c r="B4652" t="str">
        <f>"1552374991342965"</f>
        <v>1552374991342965</v>
      </c>
      <c r="C4652" t="s">
        <v>40</v>
      </c>
      <c r="D4652">
        <v>4.8268899999999997</v>
      </c>
      <c r="E4652">
        <v>0.48816280000000001</v>
      </c>
      <c r="F4652" t="s">
        <v>70</v>
      </c>
      <c r="G4652">
        <v>-377.77519999999998</v>
      </c>
      <c r="H4652" s="1">
        <v>-1.093508E-6</v>
      </c>
      <c r="I4652">
        <v>19.27027</v>
      </c>
      <c r="J4652">
        <v>-400.41739999999999</v>
      </c>
      <c r="K4652">
        <v>1.115899</v>
      </c>
      <c r="L4652">
        <v>18.753419999999998</v>
      </c>
      <c r="M4652">
        <v>0.97153650000000003</v>
      </c>
      <c r="N4652">
        <v>0</v>
      </c>
      <c r="O4652">
        <v>-0.2364694</v>
      </c>
      <c r="P4652">
        <v>0.99899009999999999</v>
      </c>
      <c r="Q4652">
        <v>2.2477029999999999E-2</v>
      </c>
      <c r="R4652">
        <v>-3.8908909999999998E-2</v>
      </c>
      <c r="S4652">
        <v>3.0091860000000001</v>
      </c>
      <c r="T4652">
        <v>-0.14689059999999901</v>
      </c>
      <c r="U4652">
        <v>6.1767580000000002E-2</v>
      </c>
      <c r="V4652">
        <v>-0.19895689999999999</v>
      </c>
      <c r="W4652">
        <v>3.3409880000000003E-2</v>
      </c>
      <c r="X4652">
        <v>0.97943860000000005</v>
      </c>
      <c r="Y4652">
        <v>-0.25580039999999998</v>
      </c>
      <c r="Z4652">
        <v>1.7699030000000001E-2</v>
      </c>
      <c r="AA4652">
        <v>0.96656759999999997</v>
      </c>
      <c r="AB4652">
        <v>27</v>
      </c>
      <c r="AC4652">
        <v>22.642199999999999</v>
      </c>
      <c r="AD4652">
        <v>-1.1159000935079999</v>
      </c>
      <c r="AE4652">
        <v>0.51684999999999803</v>
      </c>
      <c r="AF4652">
        <v>-5.8427249063669304</v>
      </c>
      <c r="AG4652">
        <v>-1.1159000935079999</v>
      </c>
      <c r="AH4652">
        <v>21.824699175921999</v>
      </c>
      <c r="AI4652">
        <v>92.827590220046204</v>
      </c>
      <c r="AJ4652">
        <v>104.987297540898</v>
      </c>
      <c r="AK4652">
        <v>22.6207904696025</v>
      </c>
      <c r="AL4652">
        <v>88.085398620801598</v>
      </c>
      <c r="AM4652">
        <v>101.482465202152</v>
      </c>
      <c r="AN4652">
        <v>1.00000001965459</v>
      </c>
    </row>
    <row r="4653" spans="1:40" x14ac:dyDescent="0.25">
      <c r="A4653" t="str">
        <f>"20190312151631363"</f>
        <v>20190312151631363</v>
      </c>
      <c r="B4653" t="str">
        <f>"1552374991352726"</f>
        <v>1552374991352726</v>
      </c>
      <c r="C4653" t="s">
        <v>40</v>
      </c>
      <c r="D4653">
        <v>4.6978859999999996</v>
      </c>
      <c r="E4653">
        <v>0.48816280000000001</v>
      </c>
      <c r="F4653" t="s">
        <v>70</v>
      </c>
      <c r="G4653">
        <v>-378.33479999999997</v>
      </c>
      <c r="H4653" s="1">
        <v>-9.4360560000000004E-7</v>
      </c>
      <c r="I4653">
        <v>18.624269999999999</v>
      </c>
      <c r="J4653">
        <v>-400.28089999999997</v>
      </c>
      <c r="K4653">
        <v>1.115799</v>
      </c>
      <c r="L4653">
        <v>18.72485</v>
      </c>
      <c r="M4653">
        <v>0.97252349999999999</v>
      </c>
      <c r="N4653">
        <v>0</v>
      </c>
      <c r="O4653">
        <v>-0.23237820000000001</v>
      </c>
      <c r="P4653">
        <v>0.99905100000000002</v>
      </c>
      <c r="Q4653">
        <v>2.2713029999999999E-2</v>
      </c>
      <c r="R4653">
        <v>-3.7167279999999997E-2</v>
      </c>
      <c r="S4653">
        <v>3.0057369999999999</v>
      </c>
      <c r="T4653">
        <v>-0.15188840000000001</v>
      </c>
      <c r="U4653">
        <v>-1.7578130000000001E-2</v>
      </c>
      <c r="V4653">
        <v>-0.1965346</v>
      </c>
      <c r="W4653">
        <v>3.3720130000000001E-2</v>
      </c>
      <c r="X4653">
        <v>0.97991689999999998</v>
      </c>
      <c r="Y4653">
        <v>-0.22612860000000001</v>
      </c>
      <c r="Z4653">
        <v>1.7362579999999999E-2</v>
      </c>
      <c r="AA4653">
        <v>0.97394270000000005</v>
      </c>
      <c r="AB4653">
        <v>27</v>
      </c>
      <c r="AC4653">
        <v>21.946100000000001</v>
      </c>
      <c r="AD4653">
        <v>-1.1157999436056001</v>
      </c>
      <c r="AE4653">
        <v>-0.10057999999999701</v>
      </c>
      <c r="AF4653">
        <v>-4.98957739693937</v>
      </c>
      <c r="AG4653">
        <v>-1.1157999436056001</v>
      </c>
      <c r="AH4653">
        <v>21.313496698989201</v>
      </c>
      <c r="AI4653">
        <v>92.918048487551502</v>
      </c>
      <c r="AJ4653">
        <v>103.175897727847</v>
      </c>
      <c r="AK4653">
        <v>21.918166749343399</v>
      </c>
      <c r="AL4653">
        <v>88.067612571872701</v>
      </c>
      <c r="AM4653">
        <v>101.34091936412599</v>
      </c>
      <c r="AN4653">
        <v>1.00000001353499</v>
      </c>
    </row>
    <row r="4654" spans="1:40" x14ac:dyDescent="0.25">
      <c r="A4654" t="str">
        <f>"20190312151631375"</f>
        <v>20190312151631375</v>
      </c>
      <c r="B4654" t="str">
        <f>"1552374991362485"</f>
        <v>1552374991362485</v>
      </c>
      <c r="C4654" t="s">
        <v>40</v>
      </c>
      <c r="D4654">
        <v>4.6849660000000002</v>
      </c>
      <c r="E4654">
        <v>0.49030410000000002</v>
      </c>
      <c r="F4654" t="s">
        <v>70</v>
      </c>
      <c r="G4654">
        <v>-378.09249999999997</v>
      </c>
      <c r="H4654" s="1">
        <v>-1.05641E-6</v>
      </c>
      <c r="I4654">
        <v>18.634070000000001</v>
      </c>
      <c r="J4654">
        <v>-400.1472</v>
      </c>
      <c r="K4654">
        <v>1.1156999999999999</v>
      </c>
      <c r="L4654">
        <v>18.697199999999999</v>
      </c>
      <c r="M4654">
        <v>0.97346350000000004</v>
      </c>
      <c r="N4654">
        <v>0</v>
      </c>
      <c r="O4654">
        <v>-0.22840859999999999</v>
      </c>
      <c r="P4654">
        <v>0.99910909999999997</v>
      </c>
      <c r="Q4654">
        <v>2.3080179999999999E-2</v>
      </c>
      <c r="R4654">
        <v>-3.5326360000000001E-2</v>
      </c>
      <c r="S4654">
        <v>3.0058289999999999</v>
      </c>
      <c r="T4654">
        <v>-0.15115580000000001</v>
      </c>
      <c r="U4654">
        <v>-1.229858E-2</v>
      </c>
      <c r="V4654">
        <v>-0.19433600000000001</v>
      </c>
      <c r="W4654">
        <v>3.4156659999999998E-2</v>
      </c>
      <c r="X4654">
        <v>0.98034019999999999</v>
      </c>
      <c r="Y4654">
        <v>-0.22387840000000001</v>
      </c>
      <c r="Z4654">
        <v>1.7027239999999999E-2</v>
      </c>
      <c r="AA4654">
        <v>0.97446840000000001</v>
      </c>
      <c r="AB4654">
        <v>27</v>
      </c>
      <c r="AC4654">
        <v>22.0547</v>
      </c>
      <c r="AD4654">
        <v>-1.1157010564099901</v>
      </c>
      <c r="AE4654">
        <v>-6.3129999999997397E-2</v>
      </c>
      <c r="AF4654">
        <v>-4.9638189260036096</v>
      </c>
      <c r="AG4654">
        <v>-1.1157010564099901</v>
      </c>
      <c r="AH4654">
        <v>21.431150823770398</v>
      </c>
      <c r="AI4654">
        <v>92.903391350705604</v>
      </c>
      <c r="AJ4654">
        <v>103.040726014361</v>
      </c>
      <c r="AK4654">
        <v>22.026768097218</v>
      </c>
      <c r="AL4654">
        <v>88.042586866889096</v>
      </c>
      <c r="AM4654">
        <v>101.21256417938601</v>
      </c>
      <c r="AN4654">
        <v>1.0000000330271901</v>
      </c>
    </row>
    <row r="4655" spans="1:40" x14ac:dyDescent="0.25">
      <c r="A4655" t="str">
        <f>"20190312151631386"</f>
        <v>20190312151631386</v>
      </c>
      <c r="B4655" t="str">
        <f>"1552374991382981"</f>
        <v>1552374991382981</v>
      </c>
      <c r="C4655" t="s">
        <v>40</v>
      </c>
      <c r="D4655">
        <v>4.9050710000000004</v>
      </c>
      <c r="E4655">
        <v>0.49049320000000002</v>
      </c>
      <c r="F4655" t="s">
        <v>69</v>
      </c>
      <c r="G4655">
        <v>-383.70830000000001</v>
      </c>
      <c r="H4655" s="1">
        <v>-3.159654E-6</v>
      </c>
      <c r="I4655">
        <v>18.572890000000001</v>
      </c>
      <c r="J4655">
        <v>-400.00979999999998</v>
      </c>
      <c r="K4655">
        <v>1.1155949999999999</v>
      </c>
      <c r="L4655">
        <v>18.669460000000001</v>
      </c>
      <c r="M4655">
        <v>0.97438899999999995</v>
      </c>
      <c r="N4655">
        <v>0</v>
      </c>
      <c r="O4655">
        <v>-0.2244284</v>
      </c>
      <c r="P4655">
        <v>0.99916240000000001</v>
      </c>
      <c r="Q4655">
        <v>2.343986E-2</v>
      </c>
      <c r="R4655">
        <v>-3.3539670000000001E-2</v>
      </c>
      <c r="S4655">
        <v>3.006561</v>
      </c>
      <c r="T4655">
        <v>-0.20405390000000001</v>
      </c>
      <c r="U4655">
        <v>-2.2735600000000002E-2</v>
      </c>
      <c r="V4655">
        <v>-0.1920753</v>
      </c>
      <c r="W4655">
        <v>3.4586980000000003E-2</v>
      </c>
      <c r="X4655">
        <v>0.98077049999999999</v>
      </c>
      <c r="Y4655">
        <v>-0.21606909999999999</v>
      </c>
      <c r="Z4655">
        <v>2.2437720000000001E-2</v>
      </c>
      <c r="AA4655">
        <v>0.97612019999999999</v>
      </c>
      <c r="AB4655">
        <v>27</v>
      </c>
      <c r="AC4655">
        <v>16.301499999999901</v>
      </c>
      <c r="AD4655">
        <v>-1.1155981596539899</v>
      </c>
      <c r="AE4655">
        <v>-9.6569999999999795E-2</v>
      </c>
      <c r="AF4655">
        <v>-3.54815886050172</v>
      </c>
      <c r="AG4655">
        <v>-1.1155981596539899</v>
      </c>
      <c r="AH4655">
        <v>15.8330999907765</v>
      </c>
      <c r="AI4655">
        <v>93.933158525279495</v>
      </c>
      <c r="AJ4655">
        <v>102.63115873269599</v>
      </c>
      <c r="AK4655">
        <v>16.264102983906199</v>
      </c>
      <c r="AL4655">
        <v>88.017916659102298</v>
      </c>
      <c r="AM4655">
        <v>101.080634898569</v>
      </c>
      <c r="AN4655">
        <v>0.99999997686292996</v>
      </c>
    </row>
    <row r="4656" spans="1:40" x14ac:dyDescent="0.25">
      <c r="A4656" t="str">
        <f>"20190312151631407"</f>
        <v>20190312151631407</v>
      </c>
      <c r="B4656" t="str">
        <f>"1552374991402501"</f>
        <v>1552374991402501</v>
      </c>
      <c r="C4656" t="s">
        <v>40</v>
      </c>
      <c r="D4656">
        <v>4.6741720000000004</v>
      </c>
      <c r="E4656">
        <v>0.49103400000000003</v>
      </c>
      <c r="F4656" t="s">
        <v>69</v>
      </c>
      <c r="G4656">
        <v>-383.40879999999999</v>
      </c>
      <c r="H4656" s="1">
        <v>-3.3028669999999999E-6</v>
      </c>
      <c r="I4656">
        <v>18.563639999999999</v>
      </c>
      <c r="J4656">
        <v>-399.78039999999999</v>
      </c>
      <c r="K4656">
        <v>1.115418</v>
      </c>
      <c r="L4656">
        <v>18.624179999999999</v>
      </c>
      <c r="M4656">
        <v>0.97586569999999995</v>
      </c>
      <c r="N4656">
        <v>0</v>
      </c>
      <c r="O4656">
        <v>-0.2179199</v>
      </c>
      <c r="P4656">
        <v>0.99922319999999998</v>
      </c>
      <c r="Q4656">
        <v>2.3187240000000001E-2</v>
      </c>
      <c r="R4656">
        <v>-3.1866140000000001E-2</v>
      </c>
      <c r="S4656">
        <v>3.0065919999999999</v>
      </c>
      <c r="T4656">
        <v>-0.2020448</v>
      </c>
      <c r="U4656">
        <v>-1.9165040000000001E-2</v>
      </c>
      <c r="V4656">
        <v>-0.1871505</v>
      </c>
      <c r="W4656">
        <v>3.4468810000000003E-2</v>
      </c>
      <c r="X4656">
        <v>0.98172630000000005</v>
      </c>
      <c r="Y4656">
        <v>-0.21075540000000001</v>
      </c>
      <c r="Z4656">
        <v>2.161093E-2</v>
      </c>
      <c r="AA4656">
        <v>0.9772999</v>
      </c>
      <c r="AB4656">
        <v>27</v>
      </c>
      <c r="AC4656">
        <v>16.371600000000001</v>
      </c>
      <c r="AD4656">
        <v>-1.1154213028669999</v>
      </c>
      <c r="AE4656">
        <v>-6.0539999999999601E-2</v>
      </c>
      <c r="AF4656">
        <v>-3.49275149248979</v>
      </c>
      <c r="AG4656">
        <v>-1.1154213028669999</v>
      </c>
      <c r="AH4656">
        <v>15.9173656208183</v>
      </c>
      <c r="AI4656">
        <v>93.915632072565899</v>
      </c>
      <c r="AJ4656">
        <v>102.376277492837</v>
      </c>
      <c r="AK4656">
        <v>16.3341974390537</v>
      </c>
      <c r="AL4656">
        <v>88.024691324140804</v>
      </c>
      <c r="AM4656">
        <v>100.79302785687</v>
      </c>
      <c r="AN4656">
        <v>0.99999996831237703</v>
      </c>
    </row>
    <row r="4657" spans="1:40" x14ac:dyDescent="0.25">
      <c r="A4657" t="str">
        <f>"20190312151631419"</f>
        <v>20190312151631419</v>
      </c>
      <c r="B4657" t="str">
        <f>"1552374991413237"</f>
        <v>1552374991413237</v>
      </c>
      <c r="C4657" t="s">
        <v>40</v>
      </c>
      <c r="D4657">
        <v>4.7014379999999996</v>
      </c>
      <c r="E4657">
        <v>0.49130180000000001</v>
      </c>
      <c r="F4657" t="s">
        <v>70</v>
      </c>
      <c r="G4657">
        <v>-379.1721</v>
      </c>
      <c r="H4657" s="1">
        <v>-6.0168469999999902E-7</v>
      </c>
      <c r="I4657">
        <v>18.490459999999999</v>
      </c>
      <c r="J4657">
        <v>-399.64120000000003</v>
      </c>
      <c r="K4657">
        <v>1.11531</v>
      </c>
      <c r="L4657">
        <v>18.597349999999999</v>
      </c>
      <c r="M4657">
        <v>0.97671770000000002</v>
      </c>
      <c r="N4657">
        <v>0</v>
      </c>
      <c r="O4657">
        <v>-0.21406990000000001</v>
      </c>
      <c r="P4657">
        <v>0.99926990000000004</v>
      </c>
      <c r="Q4657">
        <v>2.2581940000000002E-2</v>
      </c>
      <c r="R4657">
        <v>-3.0813739999999999E-2</v>
      </c>
      <c r="S4657">
        <v>3.0054630000000002</v>
      </c>
      <c r="T4657">
        <v>-0.16267000000000001</v>
      </c>
      <c r="U4657">
        <v>-1.9500730000000001E-2</v>
      </c>
      <c r="V4657">
        <v>-0.18429699999999999</v>
      </c>
      <c r="W4657">
        <v>3.3940779999999997E-2</v>
      </c>
      <c r="X4657">
        <v>0.98228439999999995</v>
      </c>
      <c r="Y4657">
        <v>-0.20713599999999999</v>
      </c>
      <c r="Z4657">
        <v>1.7110509999999999E-2</v>
      </c>
      <c r="AA4657">
        <v>0.97816250000000005</v>
      </c>
      <c r="AB4657">
        <v>27</v>
      </c>
      <c r="AC4657">
        <v>20.469100000000001</v>
      </c>
      <c r="AD4657">
        <v>-1.1153106016846901</v>
      </c>
      <c r="AE4657">
        <v>-0.106889999999996</v>
      </c>
      <c r="AF4657">
        <v>-4.26517490226865</v>
      </c>
      <c r="AG4657">
        <v>-1.1153106016846901</v>
      </c>
      <c r="AH4657">
        <v>19.958130248856701</v>
      </c>
      <c r="AI4657">
        <v>93.128019449816605</v>
      </c>
      <c r="AJ4657">
        <v>102.063003819248</v>
      </c>
      <c r="AK4657">
        <v>20.4392416130223</v>
      </c>
      <c r="AL4657">
        <v>88.054962994306194</v>
      </c>
      <c r="AM4657">
        <v>100.62634224364</v>
      </c>
      <c r="AN4657">
        <v>1.0000000016196799</v>
      </c>
    </row>
    <row r="4658" spans="1:40" x14ac:dyDescent="0.25">
      <c r="A4658" t="str">
        <f>"20190312151631432"</f>
        <v>20190312151631432</v>
      </c>
      <c r="B4658" t="str">
        <f>"1552374991422997"</f>
        <v>1552374991422997</v>
      </c>
      <c r="C4658" t="s">
        <v>40</v>
      </c>
      <c r="D4658">
        <v>4.8915069999999998</v>
      </c>
      <c r="E4658">
        <v>0.49138310000000002</v>
      </c>
      <c r="F4658" t="s">
        <v>70</v>
      </c>
      <c r="G4658">
        <v>-379.3673</v>
      </c>
      <c r="H4658" s="1">
        <v>-5.3156519999999904E-7</v>
      </c>
      <c r="I4658">
        <v>18.472390000000001</v>
      </c>
      <c r="J4658">
        <v>-399.48540000000003</v>
      </c>
      <c r="K4658">
        <v>1.115191</v>
      </c>
      <c r="L4658">
        <v>18.567810000000001</v>
      </c>
      <c r="M4658">
        <v>0.97763710000000004</v>
      </c>
      <c r="N4658">
        <v>0</v>
      </c>
      <c r="O4658">
        <v>-0.20983280000000001</v>
      </c>
      <c r="P4658">
        <v>0.99932410000000005</v>
      </c>
      <c r="Q4658">
        <v>2.221617E-2</v>
      </c>
      <c r="R4658">
        <v>-2.9285039999999998E-2</v>
      </c>
      <c r="S4658">
        <v>3.0053709999999998</v>
      </c>
      <c r="T4658">
        <v>-0.1653316</v>
      </c>
      <c r="U4658">
        <v>-1.852417E-2</v>
      </c>
      <c r="V4658">
        <v>-0.1815252</v>
      </c>
      <c r="W4658">
        <v>3.3653889999999999E-2</v>
      </c>
      <c r="X4658">
        <v>0.98281030000000003</v>
      </c>
      <c r="Y4658">
        <v>-0.2032023</v>
      </c>
      <c r="Z4658">
        <v>1.7053789999999999E-2</v>
      </c>
      <c r="AA4658">
        <v>0.97898819999999998</v>
      </c>
      <c r="AB4658">
        <v>27</v>
      </c>
      <c r="AC4658">
        <v>20.118099999999998</v>
      </c>
      <c r="AD4658">
        <v>-1.1151915315651999</v>
      </c>
      <c r="AE4658">
        <v>-9.5420000000000699E-2</v>
      </c>
      <c r="AF4658">
        <v>-4.1159087175392903</v>
      </c>
      <c r="AG4658">
        <v>-1.1151915315651999</v>
      </c>
      <c r="AH4658">
        <v>19.6298359877003</v>
      </c>
      <c r="AI4658">
        <v>93.182480052943006</v>
      </c>
      <c r="AJ4658">
        <v>101.84200723932599</v>
      </c>
      <c r="AK4658">
        <v>20.087678253775401</v>
      </c>
      <c r="AL4658">
        <v>88.071410039361893</v>
      </c>
      <c r="AM4658">
        <v>100.464605092079</v>
      </c>
      <c r="AN4658">
        <v>1.00000003416663</v>
      </c>
    </row>
    <row r="4659" spans="1:40" x14ac:dyDescent="0.25">
      <c r="A4659" t="str">
        <f>"20190312151631454"</f>
        <v>20190312151631454</v>
      </c>
      <c r="B4659" t="str">
        <f>"1552374991442516"</f>
        <v>1552374991442516</v>
      </c>
      <c r="C4659" t="s">
        <v>40</v>
      </c>
      <c r="D4659">
        <v>4.6688510000000001</v>
      </c>
      <c r="E4659">
        <v>0.49186269999999999</v>
      </c>
      <c r="F4659" t="s">
        <v>70</v>
      </c>
      <c r="G4659">
        <v>-379.33519999999999</v>
      </c>
      <c r="H4659" s="1">
        <v>-5.4451059999999995E-7</v>
      </c>
      <c r="I4659">
        <v>18.470009999999998</v>
      </c>
      <c r="J4659">
        <v>-399.24579999999997</v>
      </c>
      <c r="K4659">
        <v>1.1150059999999999</v>
      </c>
      <c r="L4659">
        <v>18.523679999999999</v>
      </c>
      <c r="M4659">
        <v>0.97896640000000001</v>
      </c>
      <c r="N4659">
        <v>0</v>
      </c>
      <c r="O4659">
        <v>-0.20354320000000001</v>
      </c>
      <c r="P4659">
        <v>0.99932509999999997</v>
      </c>
      <c r="Q4659">
        <v>2.287515E-2</v>
      </c>
      <c r="R4659">
        <v>-2.874678E-2</v>
      </c>
      <c r="S4659">
        <v>3.0053100000000001</v>
      </c>
      <c r="T4659">
        <v>-0.16632539999999901</v>
      </c>
      <c r="U4659">
        <v>-1.45874E-2</v>
      </c>
      <c r="V4659">
        <v>-0.17572019999999999</v>
      </c>
      <c r="W4659">
        <v>3.4454499999999999E-2</v>
      </c>
      <c r="X4659">
        <v>0.98383699999999996</v>
      </c>
      <c r="Y4659">
        <v>-0.19819719999999999</v>
      </c>
      <c r="Z4659">
        <v>1.667658E-2</v>
      </c>
      <c r="AA4659">
        <v>0.98002029999999996</v>
      </c>
      <c r="AB4659">
        <v>27</v>
      </c>
      <c r="AC4659">
        <v>19.910599999999899</v>
      </c>
      <c r="AD4659">
        <v>-1.1150065445106001</v>
      </c>
      <c r="AE4659">
        <v>-5.36699999999967E-2</v>
      </c>
      <c r="AF4659">
        <v>-3.9880094900801</v>
      </c>
      <c r="AG4659">
        <v>-1.1150065445106001</v>
      </c>
      <c r="AH4659">
        <v>19.443657624400998</v>
      </c>
      <c r="AI4659">
        <v>93.215272184780602</v>
      </c>
      <c r="AJ4659">
        <v>101.59095069753199</v>
      </c>
      <c r="AK4659">
        <v>19.8797203476859</v>
      </c>
      <c r="AL4659">
        <v>88.025511721179697</v>
      </c>
      <c r="AM4659">
        <v>100.126648161703</v>
      </c>
      <c r="AN4659">
        <v>0.99999997191364398</v>
      </c>
    </row>
    <row r="4660" spans="1:40" x14ac:dyDescent="0.25">
      <c r="A4660" t="str">
        <f>"20190312151631473"</f>
        <v>20190312151631473</v>
      </c>
      <c r="B4660" t="str">
        <f>"1552374991463013"</f>
        <v>1552374991463013</v>
      </c>
      <c r="C4660" t="s">
        <v>40</v>
      </c>
      <c r="D4660">
        <v>4.6521650000000001</v>
      </c>
      <c r="E4660">
        <v>0.48930699999999999</v>
      </c>
      <c r="F4660" t="s">
        <v>70</v>
      </c>
      <c r="G4660">
        <v>-378.7303</v>
      </c>
      <c r="H4660" s="1">
        <v>-7.9493290000000002E-7</v>
      </c>
      <c r="I4660">
        <v>18.408270000000002</v>
      </c>
      <c r="J4660">
        <v>-399.00740000000002</v>
      </c>
      <c r="K4660">
        <v>1.114814</v>
      </c>
      <c r="L4660">
        <v>18.48114</v>
      </c>
      <c r="M4660">
        <v>0.9801936</v>
      </c>
      <c r="N4660">
        <v>0</v>
      </c>
      <c r="O4660">
        <v>-0.1975507</v>
      </c>
      <c r="P4660">
        <v>0.99929520000000005</v>
      </c>
      <c r="Q4660">
        <v>2.4889729999999999E-2</v>
      </c>
      <c r="R4660">
        <v>-2.8101839999999999E-2</v>
      </c>
      <c r="S4660">
        <v>3.00528</v>
      </c>
      <c r="T4660">
        <v>-0.1633358</v>
      </c>
      <c r="U4660">
        <v>-1.690674E-2</v>
      </c>
      <c r="V4660">
        <v>-0.17032929999999999</v>
      </c>
      <c r="W4660">
        <v>3.660178E-2</v>
      </c>
      <c r="X4660">
        <v>0.9847072</v>
      </c>
      <c r="Y4660">
        <v>-0.19148100000000001</v>
      </c>
      <c r="Z4660">
        <v>1.58745E-2</v>
      </c>
      <c r="AA4660">
        <v>0.98136789999999996</v>
      </c>
      <c r="AB4660">
        <v>27</v>
      </c>
      <c r="AC4660">
        <v>20.277100000000001</v>
      </c>
      <c r="AD4660">
        <v>-1.1148147949328999</v>
      </c>
      <c r="AE4660">
        <v>-7.28699999999982E-2</v>
      </c>
      <c r="AF4660">
        <v>-3.9228533038333002</v>
      </c>
      <c r="AG4660">
        <v>-1.1148147949328999</v>
      </c>
      <c r="AH4660">
        <v>19.831866197257199</v>
      </c>
      <c r="AI4660">
        <v>93.156369265985703</v>
      </c>
      <c r="AJ4660">
        <v>101.18898504993</v>
      </c>
      <c r="AK4660">
        <v>20.2468394307929</v>
      </c>
      <c r="AL4660">
        <v>87.902403982557601</v>
      </c>
      <c r="AM4660">
        <v>99.813606449939499</v>
      </c>
      <c r="AN4660">
        <v>1.0000000152347399</v>
      </c>
    </row>
    <row r="4661" spans="1:40" x14ac:dyDescent="0.25">
      <c r="A4661" t="str">
        <f>"20190312151631485"</f>
        <v>20190312151631485</v>
      </c>
      <c r="B4661" t="str">
        <f>"1552374991482534"</f>
        <v>1552374991482534</v>
      </c>
      <c r="C4661" t="s">
        <v>40</v>
      </c>
      <c r="D4661">
        <v>4.8502130000000001</v>
      </c>
      <c r="E4661">
        <v>0.49091960000000001</v>
      </c>
      <c r="F4661" t="s">
        <v>71</v>
      </c>
      <c r="G4661">
        <v>-365.43979999999999</v>
      </c>
      <c r="H4661" s="1">
        <v>-2.3495239999999999E-6</v>
      </c>
      <c r="I4661">
        <v>18.5258</v>
      </c>
      <c r="J4661">
        <v>-398.86869999999999</v>
      </c>
      <c r="K4661">
        <v>1.1147039999999999</v>
      </c>
      <c r="L4661">
        <v>18.45703</v>
      </c>
      <c r="M4661">
        <v>0.98086759999999995</v>
      </c>
      <c r="N4661">
        <v>0</v>
      </c>
      <c r="O4661">
        <v>-0.19417760000000001</v>
      </c>
      <c r="P4661">
        <v>0.9992934</v>
      </c>
      <c r="Q4661">
        <v>2.5684129999999999E-2</v>
      </c>
      <c r="R4661">
        <v>-2.7445799999999999E-2</v>
      </c>
      <c r="S4661">
        <v>3.0047299999999999</v>
      </c>
      <c r="T4661">
        <v>-9.9790100000000007E-2</v>
      </c>
      <c r="U4661">
        <v>3.9978030000000003E-3</v>
      </c>
      <c r="V4661">
        <v>-0.1675816</v>
      </c>
      <c r="W4661">
        <v>3.7462839999999997E-2</v>
      </c>
      <c r="X4661">
        <v>0.98514619999999997</v>
      </c>
      <c r="Y4661">
        <v>-0.19528780000000001</v>
      </c>
      <c r="Z4661">
        <v>9.6588539999999997E-3</v>
      </c>
      <c r="AA4661">
        <v>0.98069839999999997</v>
      </c>
      <c r="AB4661">
        <v>27</v>
      </c>
      <c r="AC4661">
        <v>33.428899999999999</v>
      </c>
      <c r="AD4661">
        <v>-1.1147063495239999</v>
      </c>
      <c r="AE4661">
        <v>6.8770000000000595E-2</v>
      </c>
      <c r="AF4661">
        <v>-6.5519482281371904</v>
      </c>
      <c r="AG4661">
        <v>-1.1147063495239999</v>
      </c>
      <c r="AH4661">
        <v>32.7427405273327</v>
      </c>
      <c r="AI4661">
        <v>91.9119718265854</v>
      </c>
      <c r="AJ4661">
        <v>101.315653318982</v>
      </c>
      <c r="AK4661">
        <v>33.410442275882801</v>
      </c>
      <c r="AL4661">
        <v>87.853035080679703</v>
      </c>
      <c r="AM4661">
        <v>99.6540791397357</v>
      </c>
      <c r="AN4661">
        <v>1.0000000462069301</v>
      </c>
    </row>
    <row r="4662" spans="1:40" x14ac:dyDescent="0.25">
      <c r="A4662" t="str">
        <f>"20190312151631498"</f>
        <v>20190312151631498</v>
      </c>
      <c r="B4662" t="str">
        <f>"1552374991492294"</f>
        <v>1552374991492294</v>
      </c>
      <c r="C4662" t="s">
        <v>40</v>
      </c>
      <c r="D4662">
        <v>4.8596570000000003</v>
      </c>
      <c r="E4662">
        <v>0.49168970000000001</v>
      </c>
      <c r="F4662" t="s">
        <v>71</v>
      </c>
      <c r="G4662">
        <v>-363.9973</v>
      </c>
      <c r="H4662" s="1">
        <v>-3.0580210000000001E-6</v>
      </c>
      <c r="I4662">
        <v>18.37557</v>
      </c>
      <c r="J4662">
        <v>-398.72890000000001</v>
      </c>
      <c r="K4662">
        <v>1.1145959999999999</v>
      </c>
      <c r="L4662">
        <v>18.433039999999998</v>
      </c>
      <c r="M4662">
        <v>0.98152510000000004</v>
      </c>
      <c r="N4662">
        <v>0</v>
      </c>
      <c r="O4662">
        <v>-0.19082750000000001</v>
      </c>
      <c r="P4662">
        <v>0.99929670000000004</v>
      </c>
      <c r="Q4662">
        <v>2.6206320000000002E-2</v>
      </c>
      <c r="R4662">
        <v>-2.6819909999999999E-2</v>
      </c>
      <c r="S4662">
        <v>3.0043950000000001</v>
      </c>
      <c r="T4662">
        <v>-9.6039299999999994E-2</v>
      </c>
      <c r="U4662">
        <v>-7.019043E-3</v>
      </c>
      <c r="V4662">
        <v>-0.1648269</v>
      </c>
      <c r="W4662">
        <v>3.804987E-2</v>
      </c>
      <c r="X4662">
        <v>0.98558829999999997</v>
      </c>
      <c r="Y4662">
        <v>-0.18835940000000001</v>
      </c>
      <c r="Z4662">
        <v>9.0802360000000002E-3</v>
      </c>
      <c r="AA4662">
        <v>0.98205819999999999</v>
      </c>
      <c r="AB4662">
        <v>27</v>
      </c>
      <c r="AC4662">
        <v>34.7316</v>
      </c>
      <c r="AD4662">
        <v>-1.1145990580209999</v>
      </c>
      <c r="AE4662">
        <v>-5.7469999999998501E-2</v>
      </c>
      <c r="AF4662">
        <v>-6.5652101277827297</v>
      </c>
      <c r="AG4662">
        <v>-1.1145990580209999</v>
      </c>
      <c r="AH4662">
        <v>34.069113993616099</v>
      </c>
      <c r="AI4662">
        <v>91.8399822311534</v>
      </c>
      <c r="AJ4662">
        <v>100.90735038282899</v>
      </c>
      <c r="AK4662">
        <v>34.713813437767001</v>
      </c>
      <c r="AL4662">
        <v>87.819376636608794</v>
      </c>
      <c r="AM4662">
        <v>99.494117705324499</v>
      </c>
      <c r="AN4662">
        <v>0.99999999833375797</v>
      </c>
    </row>
    <row r="4663" spans="1:40" x14ac:dyDescent="0.25">
      <c r="A4663" t="str">
        <f>"20190312151631508"</f>
        <v>20190312151631508</v>
      </c>
      <c r="B4663" t="str">
        <f>"1552374991503029"</f>
        <v>1552374991503029</v>
      </c>
      <c r="C4663" t="s">
        <v>40</v>
      </c>
      <c r="D4663">
        <v>4.600975</v>
      </c>
      <c r="E4663">
        <v>0.49168970000000001</v>
      </c>
      <c r="F4663" t="s">
        <v>71</v>
      </c>
      <c r="G4663">
        <v>-364.02929999999998</v>
      </c>
      <c r="H4663" s="1">
        <v>-3.0559930000000001E-6</v>
      </c>
      <c r="I4663">
        <v>18.301919999999999</v>
      </c>
      <c r="J4663">
        <v>-398.59390000000002</v>
      </c>
      <c r="K4663">
        <v>1.1144989999999999</v>
      </c>
      <c r="L4663">
        <v>18.41028</v>
      </c>
      <c r="M4663">
        <v>0.98213600000000001</v>
      </c>
      <c r="N4663">
        <v>0</v>
      </c>
      <c r="O4663">
        <v>-0.18765860000000001</v>
      </c>
      <c r="P4663">
        <v>0.99930750000000002</v>
      </c>
      <c r="Q4663">
        <v>2.6377339999999999E-2</v>
      </c>
      <c r="R4663">
        <v>-2.624773E-2</v>
      </c>
      <c r="S4663">
        <v>3.0043639999999998</v>
      </c>
      <c r="T4663">
        <v>-9.6504090000000001E-2</v>
      </c>
      <c r="U4663">
        <v>-1.135254E-2</v>
      </c>
      <c r="V4663">
        <v>-0.1621997</v>
      </c>
      <c r="W4663">
        <v>3.8281450000000002E-2</v>
      </c>
      <c r="X4663">
        <v>0.98601510000000003</v>
      </c>
      <c r="Y4663">
        <v>-0.1837732</v>
      </c>
      <c r="Z4663">
        <v>8.9500369999999992E-3</v>
      </c>
      <c r="AA4663">
        <v>0.98292789999999997</v>
      </c>
      <c r="AB4663">
        <v>27</v>
      </c>
      <c r="AC4663">
        <v>34.564599999999999</v>
      </c>
      <c r="AD4663">
        <v>-1.1145020559929999</v>
      </c>
      <c r="AE4663">
        <v>-0.108359999999997</v>
      </c>
      <c r="AF4663">
        <v>-6.3739096006325804</v>
      </c>
      <c r="AG4663">
        <v>-1.1145020559929999</v>
      </c>
      <c r="AH4663">
        <v>33.935471568584397</v>
      </c>
      <c r="AI4663">
        <v>91.848716731643805</v>
      </c>
      <c r="AJ4663">
        <v>100.63760974703099</v>
      </c>
      <c r="AK4663">
        <v>34.546853243270199</v>
      </c>
      <c r="AL4663">
        <v>87.806098397918703</v>
      </c>
      <c r="AM4663">
        <v>99.341506460207995</v>
      </c>
      <c r="AN4663">
        <v>0.99999999476110102</v>
      </c>
    </row>
    <row r="4664" spans="1:40" x14ac:dyDescent="0.25">
      <c r="A4664" t="str">
        <f>"20190312151631529"</f>
        <v>20190312151631529</v>
      </c>
      <c r="B4664" t="str">
        <f>"1552374991522549"</f>
        <v>1552374991522549</v>
      </c>
      <c r="C4664" t="s">
        <v>40</v>
      </c>
      <c r="D4664">
        <v>4.7788380000000004</v>
      </c>
      <c r="E4664">
        <v>0.49158930000000001</v>
      </c>
      <c r="F4664" t="s">
        <v>71</v>
      </c>
      <c r="G4664">
        <v>-363.71940000000001</v>
      </c>
      <c r="H4664" s="1">
        <v>-3.203219E-6</v>
      </c>
      <c r="I4664">
        <v>18.297630000000002</v>
      </c>
      <c r="J4664">
        <v>-398.36059999999998</v>
      </c>
      <c r="K4664">
        <v>1.11432</v>
      </c>
      <c r="L4664">
        <v>18.371829999999999</v>
      </c>
      <c r="M4664">
        <v>0.98312999999999995</v>
      </c>
      <c r="N4664">
        <v>0</v>
      </c>
      <c r="O4664">
        <v>-0.18238199999999999</v>
      </c>
      <c r="P4664">
        <v>0.99924219999999997</v>
      </c>
      <c r="Q4664">
        <v>2.801066E-2</v>
      </c>
      <c r="R4664">
        <v>-2.7025569999999999E-2</v>
      </c>
      <c r="S4664">
        <v>3.0043639999999998</v>
      </c>
      <c r="T4664">
        <v>-9.6012120000000006E-2</v>
      </c>
      <c r="U4664">
        <v>-9.7045900000000008E-3</v>
      </c>
      <c r="V4664">
        <v>-0.1561235</v>
      </c>
      <c r="W4664">
        <v>4.0038200000000003E-2</v>
      </c>
      <c r="X4664">
        <v>0.98692570000000002</v>
      </c>
      <c r="Y4664">
        <v>-0.1790389</v>
      </c>
      <c r="Z4664">
        <v>8.6625419999999901E-3</v>
      </c>
      <c r="AA4664">
        <v>0.98380389999999995</v>
      </c>
      <c r="AB4664">
        <v>27</v>
      </c>
      <c r="AC4664">
        <v>34.641199999999898</v>
      </c>
      <c r="AD4664">
        <v>-1.114323203219</v>
      </c>
      <c r="AE4664">
        <v>-7.4200000000001098E-2</v>
      </c>
      <c r="AF4664">
        <v>-6.2391274272664798</v>
      </c>
      <c r="AG4664">
        <v>-1.114323203219</v>
      </c>
      <c r="AH4664">
        <v>34.038389340594598</v>
      </c>
      <c r="AI4664">
        <v>91.844331556431101</v>
      </c>
      <c r="AJ4664">
        <v>100.386831986187</v>
      </c>
      <c r="AK4664">
        <v>34.623407922340697</v>
      </c>
      <c r="AL4664">
        <v>87.705366703983699</v>
      </c>
      <c r="AM4664">
        <v>98.989229309460299</v>
      </c>
      <c r="AN4664">
        <v>0.99999997101598903</v>
      </c>
    </row>
    <row r="4665" spans="1:40" x14ac:dyDescent="0.25">
      <c r="A4665" t="str">
        <f>"20190312151631608"</f>
        <v>20190312151631608</v>
      </c>
      <c r="B4665" t="str">
        <f>"1552374991602581"</f>
        <v>1552374991602581</v>
      </c>
      <c r="C4665" t="s">
        <v>40</v>
      </c>
      <c r="D4665">
        <v>4.8761320000000001</v>
      </c>
      <c r="E4665">
        <v>0.51268359999999902</v>
      </c>
      <c r="F4665" t="s">
        <v>71</v>
      </c>
      <c r="G4665">
        <v>-363.0976</v>
      </c>
      <c r="H4665" s="1">
        <v>-3.50746E-6</v>
      </c>
      <c r="I4665">
        <v>18.239660000000001</v>
      </c>
      <c r="J4665">
        <v>-397.43889999999999</v>
      </c>
      <c r="K4665">
        <v>1.1134919999999999</v>
      </c>
      <c r="L4665">
        <v>18.229189999999999</v>
      </c>
      <c r="M4665">
        <v>0.98635689999999998</v>
      </c>
      <c r="N4665">
        <v>0</v>
      </c>
      <c r="O4665">
        <v>-0.164046</v>
      </c>
      <c r="P4665">
        <v>0.99893869999999896</v>
      </c>
      <c r="Q4665">
        <v>3.3159809999999998E-2</v>
      </c>
      <c r="R4665">
        <v>-3.1964799999999897E-2</v>
      </c>
      <c r="S4665">
        <v>3.0046390000000001</v>
      </c>
      <c r="T4665">
        <v>-9.4947699999999996E-2</v>
      </c>
      <c r="U4665">
        <v>-1.126099E-2</v>
      </c>
      <c r="V4665">
        <v>-0.13275120000000001</v>
      </c>
      <c r="W4665">
        <v>4.5641599999999997E-2</v>
      </c>
      <c r="X4665">
        <v>0.99009789999999998</v>
      </c>
      <c r="Y4665">
        <v>-0.16020200000000001</v>
      </c>
      <c r="Z4665">
        <v>7.6955919999999898E-3</v>
      </c>
      <c r="AA4665">
        <v>0.98705419999999999</v>
      </c>
      <c r="AB4665">
        <v>26</v>
      </c>
      <c r="AC4665">
        <v>34.341299999999897</v>
      </c>
      <c r="AD4665">
        <v>-1.1134955074599999</v>
      </c>
      <c r="AE4665">
        <v>1.0470000000001501E-2</v>
      </c>
      <c r="AF4665">
        <v>-5.6384854415948196</v>
      </c>
      <c r="AG4665">
        <v>-1.1134955074599999</v>
      </c>
      <c r="AH4665">
        <v>33.838685521973503</v>
      </c>
      <c r="AI4665">
        <v>91.859080749021103</v>
      </c>
      <c r="AJ4665">
        <v>99.460187969727002</v>
      </c>
      <c r="AK4665">
        <v>34.323301533728198</v>
      </c>
      <c r="AL4665">
        <v>87.384020018108302</v>
      </c>
      <c r="AM4665">
        <v>97.636608800732503</v>
      </c>
      <c r="AN4665">
        <v>0.99999994416820304</v>
      </c>
    </row>
    <row r="4666" spans="1:40" x14ac:dyDescent="0.25">
      <c r="A4666" t="str">
        <f>"20190312151631622"</f>
        <v>20190312151631622</v>
      </c>
      <c r="B4666" t="str">
        <f>"1552374991612341"</f>
        <v>1552374991612341</v>
      </c>
      <c r="C4666" t="s">
        <v>40</v>
      </c>
      <c r="D4666">
        <v>4.6763969999999997</v>
      </c>
      <c r="E4666">
        <v>0.51769430000000005</v>
      </c>
      <c r="F4666" t="s">
        <v>72</v>
      </c>
      <c r="G4666">
        <v>-241.07</v>
      </c>
      <c r="H4666">
        <v>2.4043030000000001</v>
      </c>
      <c r="I4666">
        <v>8.00538699999999</v>
      </c>
      <c r="J4666">
        <v>-397.29840000000002</v>
      </c>
      <c r="K4666">
        <v>1.1133679999999999</v>
      </c>
      <c r="L4666">
        <v>18.20862</v>
      </c>
      <c r="M4666">
        <v>0.98676050000000004</v>
      </c>
      <c r="N4666">
        <v>0</v>
      </c>
      <c r="O4666">
        <v>-0.161602</v>
      </c>
      <c r="P4666">
        <v>0.99887329999999996</v>
      </c>
      <c r="Q4666">
        <v>3.4031609999999997E-2</v>
      </c>
      <c r="R4666">
        <v>-3.3080289999999998E-2</v>
      </c>
      <c r="S4666">
        <v>2.9960939999999998</v>
      </c>
      <c r="T4666">
        <v>2.473235E-2</v>
      </c>
      <c r="U4666">
        <v>-0.19589229999999999</v>
      </c>
      <c r="V4666">
        <v>-0.12917790000000001</v>
      </c>
      <c r="W4666">
        <v>4.6574259999999999E-2</v>
      </c>
      <c r="X4666">
        <v>0.99052709999999999</v>
      </c>
      <c r="Y4666">
        <v>-9.6878599999999995E-2</v>
      </c>
      <c r="Z4666">
        <v>-1.725947E-3</v>
      </c>
      <c r="AA4666">
        <v>0.99529469999999998</v>
      </c>
      <c r="AB4666">
        <v>26</v>
      </c>
      <c r="AC4666">
        <v>156.22839999999999</v>
      </c>
      <c r="AD4666">
        <v>1.2909349999999999</v>
      </c>
      <c r="AE4666">
        <v>-10.203233000000001</v>
      </c>
      <c r="AF4666">
        <v>-15.1790734486451</v>
      </c>
      <c r="AG4666">
        <v>1.2909349999999999</v>
      </c>
      <c r="AH4666">
        <v>155.81297113202299</v>
      </c>
      <c r="AI4666">
        <v>89.527542807884799</v>
      </c>
      <c r="AJ4666">
        <v>95.564114147397206</v>
      </c>
      <c r="AK4666">
        <v>156.55590936442499</v>
      </c>
      <c r="AL4666">
        <v>87.330525823954702</v>
      </c>
      <c r="AM4666">
        <v>97.430197249164607</v>
      </c>
      <c r="AN4666">
        <v>1.00000001368868</v>
      </c>
    </row>
    <row r="4667" spans="1:40" x14ac:dyDescent="0.25">
      <c r="A4667" t="str">
        <f>"20190312151631634"</f>
        <v>20190312151631634</v>
      </c>
      <c r="B4667" t="str">
        <f>"1552374991632837"</f>
        <v>1552374991632837</v>
      </c>
      <c r="C4667" t="s">
        <v>40</v>
      </c>
      <c r="D4667">
        <v>4.6932280000000004</v>
      </c>
      <c r="E4667">
        <v>0.51675669999999996</v>
      </c>
      <c r="F4667" t="s">
        <v>72</v>
      </c>
      <c r="G4667">
        <v>-241.07</v>
      </c>
      <c r="H4667">
        <v>3.8014250000000001</v>
      </c>
      <c r="I4667">
        <v>5.7067809999999897</v>
      </c>
      <c r="J4667">
        <v>-397.13889999999998</v>
      </c>
      <c r="K4667">
        <v>1.113229</v>
      </c>
      <c r="L4667">
        <v>18.185490000000001</v>
      </c>
      <c r="M4667">
        <v>0.98719829999999997</v>
      </c>
      <c r="N4667">
        <v>0</v>
      </c>
      <c r="O4667">
        <v>-0.1589072</v>
      </c>
      <c r="P4667">
        <v>0.99880599999999997</v>
      </c>
      <c r="Q4667">
        <v>3.5148749999999999E-2</v>
      </c>
      <c r="R4667">
        <v>-3.3927199999999998E-2</v>
      </c>
      <c r="S4667">
        <v>2.9936829999999999</v>
      </c>
      <c r="T4667">
        <v>5.1509020000000003E-2</v>
      </c>
      <c r="U4667">
        <v>-0.239563</v>
      </c>
      <c r="V4667">
        <v>-0.12561729999999999</v>
      </c>
      <c r="W4667">
        <v>4.7751679999999998E-2</v>
      </c>
      <c r="X4667">
        <v>0.9909289</v>
      </c>
      <c r="Y4667">
        <v>-7.9626779999999994E-2</v>
      </c>
      <c r="Z4667">
        <v>-3.4006679999999999E-3</v>
      </c>
      <c r="AA4667">
        <v>0.99681900000000001</v>
      </c>
      <c r="AB4667">
        <v>26</v>
      </c>
      <c r="AC4667">
        <v>156.06890000000001</v>
      </c>
      <c r="AD4667">
        <v>2.688196</v>
      </c>
      <c r="AE4667">
        <v>-12.478708999999901</v>
      </c>
      <c r="AF4667">
        <v>-12.4790063761951</v>
      </c>
      <c r="AG4667">
        <v>2.688196</v>
      </c>
      <c r="AH4667">
        <v>156.02258720562801</v>
      </c>
      <c r="AI4667">
        <v>89.016059815912698</v>
      </c>
      <c r="AJ4667">
        <v>94.572899341373898</v>
      </c>
      <c r="AK4667">
        <v>156.54392264220701</v>
      </c>
      <c r="AL4667">
        <v>87.262989451802397</v>
      </c>
      <c r="AM4667">
        <v>97.2246909520467</v>
      </c>
      <c r="AN4667">
        <v>1.0000000069286601</v>
      </c>
    </row>
    <row r="4668" spans="1:40" x14ac:dyDescent="0.25">
      <c r="A4668" t="str">
        <f>"20190312151631654"</f>
        <v>20190312151631654</v>
      </c>
      <c r="B4668" t="str">
        <f>"1552374991642597"</f>
        <v>1552374991642597</v>
      </c>
      <c r="C4668" t="s">
        <v>40</v>
      </c>
      <c r="D4668">
        <v>4.7014680000000002</v>
      </c>
      <c r="E4668">
        <v>0.51589700000000005</v>
      </c>
      <c r="F4668" t="s">
        <v>72</v>
      </c>
      <c r="G4668">
        <v>-241.07</v>
      </c>
      <c r="H4668">
        <v>3.4993150000000002</v>
      </c>
      <c r="I4668">
        <v>5.9602919999999999</v>
      </c>
      <c r="J4668">
        <v>-396.91930000000002</v>
      </c>
      <c r="K4668">
        <v>1.113054</v>
      </c>
      <c r="L4668">
        <v>18.154209999999999</v>
      </c>
      <c r="M4668">
        <v>0.9877553</v>
      </c>
      <c r="N4668">
        <v>0</v>
      </c>
      <c r="O4668">
        <v>-0.155410299999999</v>
      </c>
      <c r="P4668">
        <v>0.99860859999999996</v>
      </c>
      <c r="Q4668">
        <v>3.742579E-2</v>
      </c>
      <c r="R4668">
        <v>-3.7153659999999998E-2</v>
      </c>
      <c r="S4668">
        <v>2.9940190000000002</v>
      </c>
      <c r="T4668">
        <v>4.5774460000000003E-2</v>
      </c>
      <c r="U4668">
        <v>-0.2345276</v>
      </c>
      <c r="V4668">
        <v>-0.1188829</v>
      </c>
      <c r="W4668">
        <v>5.0122060000000003E-2</v>
      </c>
      <c r="X4668">
        <v>0.99164240000000003</v>
      </c>
      <c r="Y4668">
        <v>-7.7779470000000003E-2</v>
      </c>
      <c r="Z4668">
        <v>-2.9552430000000002E-3</v>
      </c>
      <c r="AA4668">
        <v>0.99696620000000002</v>
      </c>
      <c r="AB4668">
        <v>26</v>
      </c>
      <c r="AC4668">
        <v>155.8493</v>
      </c>
      <c r="AD4668">
        <v>2.3862610000000002</v>
      </c>
      <c r="AE4668">
        <v>-12.193918</v>
      </c>
      <c r="AF4668">
        <v>-12.1742818582422</v>
      </c>
      <c r="AG4668">
        <v>2.3862610000000002</v>
      </c>
      <c r="AH4668">
        <v>155.814307122342</v>
      </c>
      <c r="AI4668">
        <v>89.1252622149525</v>
      </c>
      <c r="AJ4668">
        <v>94.467630216366302</v>
      </c>
      <c r="AK4668">
        <v>156.307407643847</v>
      </c>
      <c r="AL4668">
        <v>87.127013735329299</v>
      </c>
      <c r="AM4668">
        <v>96.836269350450706</v>
      </c>
      <c r="AN4668">
        <v>1.0000000071444</v>
      </c>
    </row>
    <row r="4669" spans="1:40" x14ac:dyDescent="0.25">
      <c r="A4669" t="str">
        <f>"20190312151631675"</f>
        <v>20190312151631675</v>
      </c>
      <c r="B4669" t="str">
        <f>"1552374991672853"</f>
        <v>1552374991672853</v>
      </c>
      <c r="C4669" t="s">
        <v>40</v>
      </c>
      <c r="D4669">
        <v>4.9023070000000004</v>
      </c>
      <c r="E4669">
        <v>0.51394859999999998</v>
      </c>
      <c r="F4669" t="s">
        <v>72</v>
      </c>
      <c r="G4669">
        <v>-241.07</v>
      </c>
      <c r="H4669">
        <v>3.6569289999999999</v>
      </c>
      <c r="I4669">
        <v>5.7979200000000004</v>
      </c>
      <c r="J4669">
        <v>-396.67259999999999</v>
      </c>
      <c r="K4669">
        <v>1.1128739999999999</v>
      </c>
      <c r="L4669">
        <v>18.119810000000001</v>
      </c>
      <c r="M4669">
        <v>0.98832949999999997</v>
      </c>
      <c r="N4669">
        <v>0</v>
      </c>
      <c r="O4669">
        <v>-0.15171760000000001</v>
      </c>
      <c r="P4669">
        <v>0.99840019999999996</v>
      </c>
      <c r="Q4669">
        <v>4.0093160000000003E-2</v>
      </c>
      <c r="R4669">
        <v>-3.9874319999999998E-2</v>
      </c>
      <c r="S4669">
        <v>2.9935</v>
      </c>
      <c r="T4669">
        <v>4.8861740000000001E-2</v>
      </c>
      <c r="U4669">
        <v>-0.2373352</v>
      </c>
      <c r="V4669">
        <v>-0.1124479</v>
      </c>
      <c r="W4669">
        <v>5.2872620000000002E-2</v>
      </c>
      <c r="X4669">
        <v>0.99224999999999997</v>
      </c>
      <c r="Y4669">
        <v>-7.3107160000000004E-2</v>
      </c>
      <c r="Z4669">
        <v>-3.0573919999999999E-3</v>
      </c>
      <c r="AA4669">
        <v>0.99731939999999997</v>
      </c>
      <c r="AB4669">
        <v>26</v>
      </c>
      <c r="AC4669">
        <v>155.6026</v>
      </c>
      <c r="AD4669">
        <v>2.54405499999999</v>
      </c>
      <c r="AE4669">
        <v>-12.32189</v>
      </c>
      <c r="AF4669">
        <v>-11.427596291821301</v>
      </c>
      <c r="AG4669">
        <v>2.54405499999999</v>
      </c>
      <c r="AH4669">
        <v>155.62926738688699</v>
      </c>
      <c r="AI4669">
        <v>89.065989558543393</v>
      </c>
      <c r="AJ4669">
        <v>94.1995962109673</v>
      </c>
      <c r="AK4669">
        <v>156.06899448715299</v>
      </c>
      <c r="AL4669">
        <v>86.969208960722298</v>
      </c>
      <c r="AM4669">
        <v>96.465527320407503</v>
      </c>
      <c r="AN4669">
        <v>1.0000000533300299</v>
      </c>
    </row>
    <row r="4670" spans="1:40" x14ac:dyDescent="0.25">
      <c r="A4670" t="str">
        <f>"20190312151631687"</f>
        <v>20190312151631687</v>
      </c>
      <c r="B4670" t="str">
        <f>"1552374991682613"</f>
        <v>1552374991682613</v>
      </c>
      <c r="C4670" t="s">
        <v>40</v>
      </c>
      <c r="D4670">
        <v>4.7219309999999997</v>
      </c>
      <c r="E4670">
        <v>0.51305690000000004</v>
      </c>
      <c r="F4670" t="s">
        <v>72</v>
      </c>
      <c r="G4670">
        <v>-241.07</v>
      </c>
      <c r="H4670">
        <v>3.168571</v>
      </c>
      <c r="I4670">
        <v>6.1802700000000002</v>
      </c>
      <c r="J4670">
        <v>-396.51609999999999</v>
      </c>
      <c r="K4670">
        <v>1.1127720000000001</v>
      </c>
      <c r="L4670">
        <v>18.098330000000001</v>
      </c>
      <c r="M4670">
        <v>0.98866989999999999</v>
      </c>
      <c r="N4670">
        <v>0</v>
      </c>
      <c r="O4670">
        <v>-0.1494846</v>
      </c>
      <c r="P4670">
        <v>0.99831340000000002</v>
      </c>
      <c r="Q4670">
        <v>4.1525550000000001E-2</v>
      </c>
      <c r="R4670">
        <v>-4.0569790000000001E-2</v>
      </c>
      <c r="S4670">
        <v>2.994049</v>
      </c>
      <c r="T4670">
        <v>3.9554829999999999E-2</v>
      </c>
      <c r="U4670">
        <v>-0.2297363</v>
      </c>
      <c r="V4670">
        <v>-0.1094996</v>
      </c>
      <c r="W4670">
        <v>5.4342969999999997E-2</v>
      </c>
      <c r="X4670">
        <v>0.99250020000000005</v>
      </c>
      <c r="Y4670">
        <v>-7.3394860000000006E-2</v>
      </c>
      <c r="Z4670">
        <v>-2.4477589999999999E-3</v>
      </c>
      <c r="AA4670">
        <v>0.99729999999999996</v>
      </c>
      <c r="AB4670">
        <v>26</v>
      </c>
      <c r="AC4670">
        <v>155.4461</v>
      </c>
      <c r="AD4670">
        <v>2.0557989999999999</v>
      </c>
      <c r="AE4670">
        <v>-11.918059999999899</v>
      </c>
      <c r="AF4670">
        <v>-11.4528458394523</v>
      </c>
      <c r="AG4670">
        <v>2.0557989999999999</v>
      </c>
      <c r="AH4670">
        <v>155.45389048405599</v>
      </c>
      <c r="AI4670">
        <v>89.244384140993105</v>
      </c>
      <c r="AJ4670">
        <v>94.213573167889507</v>
      </c>
      <c r="AK4670">
        <v>155.888761795004</v>
      </c>
      <c r="AL4670">
        <v>86.884842578847099</v>
      </c>
      <c r="AM4670">
        <v>96.295811294885098</v>
      </c>
      <c r="AN4670">
        <v>0.99999998389431</v>
      </c>
    </row>
    <row r="4671" spans="1:40" x14ac:dyDescent="0.25">
      <c r="A4671" t="str">
        <f>"20190312151631699"</f>
        <v>20190312151631699</v>
      </c>
      <c r="B4671" t="str">
        <f>"1552374991692374"</f>
        <v>1552374991692374</v>
      </c>
      <c r="C4671" t="s">
        <v>40</v>
      </c>
      <c r="D4671">
        <v>4.8676879999999896</v>
      </c>
      <c r="E4671">
        <v>0.51284189999999996</v>
      </c>
      <c r="F4671" t="s">
        <v>72</v>
      </c>
      <c r="G4671">
        <v>-241.07</v>
      </c>
      <c r="H4671">
        <v>2.9493070000000001</v>
      </c>
      <c r="I4671">
        <v>6.435473</v>
      </c>
      <c r="J4671">
        <v>-396.38560000000001</v>
      </c>
      <c r="K4671">
        <v>1.1126940000000001</v>
      </c>
      <c r="L4671">
        <v>18.080660000000002</v>
      </c>
      <c r="M4671">
        <v>0.98894159999999998</v>
      </c>
      <c r="N4671">
        <v>0</v>
      </c>
      <c r="O4671">
        <v>-0.147678</v>
      </c>
      <c r="P4671">
        <v>0.9981797</v>
      </c>
      <c r="Q4671">
        <v>4.3225489999999998E-2</v>
      </c>
      <c r="R4671">
        <v>-4.2060449999999999E-2</v>
      </c>
      <c r="S4671">
        <v>2.9944760000000001</v>
      </c>
      <c r="T4671">
        <v>3.537846E-2</v>
      </c>
      <c r="U4671">
        <v>-0.22467039999999999</v>
      </c>
      <c r="V4671">
        <v>-0.1061911</v>
      </c>
      <c r="W4671">
        <v>5.6077920000000003E-2</v>
      </c>
      <c r="X4671">
        <v>0.99276319999999996</v>
      </c>
      <c r="Y4671">
        <v>-7.3265079999999996E-2</v>
      </c>
      <c r="Z4671">
        <v>-2.1673740000000001E-3</v>
      </c>
      <c r="AA4671">
        <v>0.99731020000000004</v>
      </c>
      <c r="AB4671">
        <v>26</v>
      </c>
      <c r="AC4671">
        <v>155.31559999999999</v>
      </c>
      <c r="AD4671">
        <v>1.8366130000000001</v>
      </c>
      <c r="AE4671">
        <v>-11.645187</v>
      </c>
      <c r="AF4671">
        <v>-11.4197600329595</v>
      </c>
      <c r="AG4671">
        <v>1.8366130000000001</v>
      </c>
      <c r="AH4671">
        <v>155.31062480280301</v>
      </c>
      <c r="AI4671">
        <v>89.324308969800597</v>
      </c>
      <c r="AJ4671">
        <v>94.205306054029506</v>
      </c>
      <c r="AK4671">
        <v>155.74072763140401</v>
      </c>
      <c r="AL4671">
        <v>86.785285540278593</v>
      </c>
      <c r="AM4671">
        <v>96.105439084579899</v>
      </c>
      <c r="AN4671">
        <v>1.00000002705248</v>
      </c>
    </row>
    <row r="4672" spans="1:40" x14ac:dyDescent="0.25">
      <c r="A4672" t="str">
        <f>"20190312151631710"</f>
        <v>20190312151631710</v>
      </c>
      <c r="B4672" t="str">
        <f>"1552374991702826"</f>
        <v>1552374991702826</v>
      </c>
      <c r="C4672" t="s">
        <v>40</v>
      </c>
      <c r="D4672">
        <v>4.7106279999999998</v>
      </c>
      <c r="E4672">
        <v>0.51225140000000002</v>
      </c>
      <c r="F4672" t="s">
        <v>72</v>
      </c>
      <c r="G4672">
        <v>-241.07</v>
      </c>
      <c r="H4672">
        <v>2.7168220000000001</v>
      </c>
      <c r="I4672">
        <v>6.2903719999999996</v>
      </c>
      <c r="J4672">
        <v>-396.25139999999999</v>
      </c>
      <c r="K4672">
        <v>1.1126229999999999</v>
      </c>
      <c r="L4672">
        <v>18.062619999999999</v>
      </c>
      <c r="M4672">
        <v>0.98921170000000003</v>
      </c>
      <c r="N4672">
        <v>0</v>
      </c>
      <c r="O4672">
        <v>-0.1458585</v>
      </c>
      <c r="P4672">
        <v>0.99807330000000005</v>
      </c>
      <c r="Q4672">
        <v>4.466096E-2</v>
      </c>
      <c r="R4672">
        <v>-4.3074189999999998E-2</v>
      </c>
      <c r="S4672">
        <v>2.9945979999999999</v>
      </c>
      <c r="T4672">
        <v>3.0928609999999999E-2</v>
      </c>
      <c r="U4672">
        <v>-0.22732540000000001</v>
      </c>
      <c r="V4672">
        <v>-0.1033427</v>
      </c>
      <c r="W4672">
        <v>5.7544209999999998E-2</v>
      </c>
      <c r="X4672">
        <v>0.99297979999999997</v>
      </c>
      <c r="Y4672">
        <v>-7.0557709999999996E-2</v>
      </c>
      <c r="Z4672">
        <v>-1.862095E-3</v>
      </c>
      <c r="AA4672">
        <v>0.997506</v>
      </c>
      <c r="AB4672">
        <v>26</v>
      </c>
      <c r="AC4672">
        <v>155.1814</v>
      </c>
      <c r="AD4672">
        <v>1.6041989999999999</v>
      </c>
      <c r="AE4672">
        <v>-11.772247999999999</v>
      </c>
      <c r="AF4672">
        <v>-10.9891325921828</v>
      </c>
      <c r="AG4672">
        <v>1.6041989999999999</v>
      </c>
      <c r="AH4672">
        <v>155.222245844931</v>
      </c>
      <c r="AI4672">
        <v>89.409355882041893</v>
      </c>
      <c r="AJ4672">
        <v>94.049562254189496</v>
      </c>
      <c r="AK4672">
        <v>155.619022277819</v>
      </c>
      <c r="AL4672">
        <v>86.701137202663304</v>
      </c>
      <c r="AM4672">
        <v>95.9415717879765</v>
      </c>
      <c r="AN4672">
        <v>0.99999996647792599</v>
      </c>
    </row>
    <row r="4673" spans="1:40" x14ac:dyDescent="0.25">
      <c r="A4673" t="str">
        <f>"20190312151631731"</f>
        <v>20190312151631731</v>
      </c>
      <c r="B4673" t="str">
        <f>"1552374991722350"</f>
        <v>1552374991722350</v>
      </c>
      <c r="C4673" t="s">
        <v>40</v>
      </c>
      <c r="D4673">
        <v>4.8423210000000001</v>
      </c>
      <c r="E4673">
        <v>0.51141769999999998</v>
      </c>
      <c r="F4673" t="s">
        <v>72</v>
      </c>
      <c r="G4673">
        <v>-241.07</v>
      </c>
      <c r="H4673">
        <v>2.424763</v>
      </c>
      <c r="I4673">
        <v>6.3740930000000002</v>
      </c>
      <c r="J4673">
        <v>-396.02350000000001</v>
      </c>
      <c r="K4673">
        <v>1.112492</v>
      </c>
      <c r="L4673">
        <v>18.03247</v>
      </c>
      <c r="M4673">
        <v>0.98963880000000004</v>
      </c>
      <c r="N4673">
        <v>0</v>
      </c>
      <c r="O4673">
        <v>-0.1429347</v>
      </c>
      <c r="P4673">
        <v>0.9978224</v>
      </c>
      <c r="Q4673">
        <v>4.7787719999999999E-2</v>
      </c>
      <c r="R4673">
        <v>-4.5468540000000002E-2</v>
      </c>
      <c r="S4673">
        <v>2.9949650000000001</v>
      </c>
      <c r="T4673">
        <v>2.5323869999999998E-2</v>
      </c>
      <c r="U4673">
        <v>-0.22558590000000001</v>
      </c>
      <c r="V4673">
        <v>-9.7999310000000006E-2</v>
      </c>
      <c r="W4673">
        <v>6.072342E-2</v>
      </c>
      <c r="X4673">
        <v>0.99333210000000005</v>
      </c>
      <c r="Y4673">
        <v>-6.8199029999999994E-2</v>
      </c>
      <c r="Z4673">
        <v>-1.490145E-3</v>
      </c>
      <c r="AA4673">
        <v>0.99767070000000002</v>
      </c>
      <c r="AB4673">
        <v>26</v>
      </c>
      <c r="AC4673">
        <v>154.95349999999999</v>
      </c>
      <c r="AD4673">
        <v>1.312271</v>
      </c>
      <c r="AE4673">
        <v>-11.658377</v>
      </c>
      <c r="AF4673">
        <v>-10.610873196928299</v>
      </c>
      <c r="AG4673">
        <v>1.312271</v>
      </c>
      <c r="AH4673">
        <v>155.017645913515</v>
      </c>
      <c r="AI4673">
        <v>89.516117772641095</v>
      </c>
      <c r="AJ4673">
        <v>93.9157569018667</v>
      </c>
      <c r="AK4673">
        <v>155.38591708950599</v>
      </c>
      <c r="AL4673">
        <v>86.518662356413401</v>
      </c>
      <c r="AM4673">
        <v>95.634404965968002</v>
      </c>
      <c r="AN4673">
        <v>0.99999992969368801</v>
      </c>
    </row>
    <row r="4674" spans="1:40" x14ac:dyDescent="0.25">
      <c r="A4674" t="str">
        <f>"20190312151631742"</f>
        <v>20190312151631742</v>
      </c>
      <c r="B4674" t="str">
        <f>"1552374991733083"</f>
        <v>1552374991733083</v>
      </c>
      <c r="C4674" t="s">
        <v>40</v>
      </c>
      <c r="D4674">
        <v>4.857532</v>
      </c>
      <c r="E4674">
        <v>0.51094759999999995</v>
      </c>
      <c r="F4674" t="s">
        <v>72</v>
      </c>
      <c r="G4674">
        <v>-241.07</v>
      </c>
      <c r="H4674">
        <v>2.249228</v>
      </c>
      <c r="I4674">
        <v>6.3382560000000003</v>
      </c>
      <c r="J4674">
        <v>-395.89389999999997</v>
      </c>
      <c r="K4674">
        <v>1.112411</v>
      </c>
      <c r="L4674">
        <v>18.01559</v>
      </c>
      <c r="M4674">
        <v>0.98986410000000002</v>
      </c>
      <c r="N4674">
        <v>0</v>
      </c>
      <c r="O4674">
        <v>-0.1413664</v>
      </c>
      <c r="P4674">
        <v>0.99771849999999995</v>
      </c>
      <c r="Q4674">
        <v>4.9071620000000003E-2</v>
      </c>
      <c r="R4674">
        <v>-4.63685E-2</v>
      </c>
      <c r="S4674">
        <v>2.9951780000000001</v>
      </c>
      <c r="T4674">
        <v>2.1972419999999999E-2</v>
      </c>
      <c r="U4674">
        <v>-0.22604369999999999</v>
      </c>
      <c r="V4674">
        <v>-9.5513130000000002E-2</v>
      </c>
      <c r="W4674">
        <v>6.2032730000000001E-2</v>
      </c>
      <c r="X4674">
        <v>0.99349339999999997</v>
      </c>
      <c r="Y4674">
        <v>-6.647372E-2</v>
      </c>
      <c r="Z4674">
        <v>-1.275148E-3</v>
      </c>
      <c r="AA4674">
        <v>0.99778739999999999</v>
      </c>
      <c r="AB4674">
        <v>26</v>
      </c>
      <c r="AC4674">
        <v>154.82389999999901</v>
      </c>
      <c r="AD4674">
        <v>1.136817</v>
      </c>
      <c r="AE4674">
        <v>-11.677334</v>
      </c>
      <c r="AF4674">
        <v>-10.328323393166301</v>
      </c>
      <c r="AG4674">
        <v>1.136817</v>
      </c>
      <c r="AH4674">
        <v>154.91139847826801</v>
      </c>
      <c r="AI4674">
        <v>89.5804739544581</v>
      </c>
      <c r="AJ4674">
        <v>93.814405068684906</v>
      </c>
      <c r="AK4674">
        <v>155.25948600809599</v>
      </c>
      <c r="AL4674">
        <v>86.443502869192002</v>
      </c>
      <c r="AM4674">
        <v>95.491462755972506</v>
      </c>
      <c r="AN4674">
        <v>0.99999997671860397</v>
      </c>
    </row>
    <row r="4675" spans="1:40" x14ac:dyDescent="0.25">
      <c r="A4675" t="str">
        <f>"20190312151631754"</f>
        <v>20190312151631754</v>
      </c>
      <c r="B4675" t="str">
        <f>"1552374991742843"</f>
        <v>1552374991742843</v>
      </c>
      <c r="C4675" t="s">
        <v>40</v>
      </c>
      <c r="D4675">
        <v>4.7147009999999998</v>
      </c>
      <c r="E4675">
        <v>0.51064489999999996</v>
      </c>
      <c r="F4675" t="s">
        <v>72</v>
      </c>
      <c r="G4675">
        <v>-241.07</v>
      </c>
      <c r="H4675">
        <v>2.3171179999999998</v>
      </c>
      <c r="I4675">
        <v>6.3867310000000002</v>
      </c>
      <c r="J4675">
        <v>-395.75139999999999</v>
      </c>
      <c r="K4675">
        <v>1.1123240000000001</v>
      </c>
      <c r="L4675">
        <v>17.997129999999999</v>
      </c>
      <c r="M4675">
        <v>0.99010469999999895</v>
      </c>
      <c r="N4675">
        <v>0</v>
      </c>
      <c r="O4675">
        <v>-0.13967260000000001</v>
      </c>
      <c r="P4675">
        <v>0.99760610000000005</v>
      </c>
      <c r="Q4675">
        <v>5.0445909999999997E-2</v>
      </c>
      <c r="R4675">
        <v>-4.7301839999999998E-2</v>
      </c>
      <c r="S4675">
        <v>2.9952700000000001</v>
      </c>
      <c r="T4675">
        <v>2.3306489999999999E-2</v>
      </c>
      <c r="U4675">
        <v>-0.2249756</v>
      </c>
      <c r="V4675">
        <v>-9.2865429999999999E-2</v>
      </c>
      <c r="W4675">
        <v>6.3433290000000003E-2</v>
      </c>
      <c r="X4675">
        <v>0.99365599999999998</v>
      </c>
      <c r="Y4675">
        <v>-6.5122020000000003E-2</v>
      </c>
      <c r="Z4675">
        <v>-1.3342709999999999E-3</v>
      </c>
      <c r="AA4675">
        <v>0.9978764</v>
      </c>
      <c r="AB4675">
        <v>26</v>
      </c>
      <c r="AC4675">
        <v>154.6814</v>
      </c>
      <c r="AD4675">
        <v>1.2047939999999999</v>
      </c>
      <c r="AE4675">
        <v>-11.6103989999999</v>
      </c>
      <c r="AF4675">
        <v>-10.109564246198399</v>
      </c>
      <c r="AG4675">
        <v>1.2047939999999999</v>
      </c>
      <c r="AH4675">
        <v>154.777358767885</v>
      </c>
      <c r="AI4675">
        <v>89.554964330065104</v>
      </c>
      <c r="AJ4675">
        <v>93.737069444697298</v>
      </c>
      <c r="AK4675">
        <v>155.11184869310699</v>
      </c>
      <c r="AL4675">
        <v>86.363098429667005</v>
      </c>
      <c r="AM4675">
        <v>95.339258712392905</v>
      </c>
      <c r="AN4675">
        <v>1.0000000083526499</v>
      </c>
    </row>
    <row r="4676" spans="1:40" x14ac:dyDescent="0.25">
      <c r="A4676" t="str">
        <f>"20190312151631766"</f>
        <v>20190312151631766</v>
      </c>
      <c r="B4676" t="str">
        <f>"1552374991762364"</f>
        <v>1552374991762364</v>
      </c>
      <c r="C4676" t="s">
        <v>40</v>
      </c>
      <c r="D4676">
        <v>4.7427809999999999</v>
      </c>
      <c r="E4676">
        <v>0.51017590000000002</v>
      </c>
      <c r="F4676" t="s">
        <v>72</v>
      </c>
      <c r="G4676">
        <v>-241.07</v>
      </c>
      <c r="H4676">
        <v>2.1569099999999999</v>
      </c>
      <c r="I4676">
        <v>6.3606490000000004</v>
      </c>
      <c r="J4676">
        <v>-395.61259999999999</v>
      </c>
      <c r="K4676">
        <v>1.1122369999999999</v>
      </c>
      <c r="L4676">
        <v>17.979399999999998</v>
      </c>
      <c r="M4676">
        <v>0.99032339999999996</v>
      </c>
      <c r="N4676">
        <v>0</v>
      </c>
      <c r="O4676">
        <v>-0.1381144</v>
      </c>
      <c r="P4676">
        <v>0.99748380000000003</v>
      </c>
      <c r="Q4676">
        <v>5.2038300000000003E-2</v>
      </c>
      <c r="R4676">
        <v>-4.8151810000000003E-2</v>
      </c>
      <c r="S4676">
        <v>2.995422</v>
      </c>
      <c r="T4676">
        <v>2.0228389999999999E-2</v>
      </c>
      <c r="U4676">
        <v>-0.22534179999999901</v>
      </c>
      <c r="V4676">
        <v>-9.0435959999999996E-2</v>
      </c>
      <c r="W4676">
        <v>6.5050239999999995E-2</v>
      </c>
      <c r="X4676">
        <v>0.99377550000000003</v>
      </c>
      <c r="Y4676">
        <v>-6.3435720000000001E-2</v>
      </c>
      <c r="Z4676">
        <v>-1.1419010000000001E-3</v>
      </c>
      <c r="AA4676">
        <v>0.99798520000000002</v>
      </c>
      <c r="AB4676">
        <v>26</v>
      </c>
      <c r="AC4676">
        <v>154.54259999999999</v>
      </c>
      <c r="AD4676">
        <v>1.04467299999999</v>
      </c>
      <c r="AE4676">
        <v>-11.618751</v>
      </c>
      <c r="AF4676">
        <v>-9.8386955558428397</v>
      </c>
      <c r="AG4676">
        <v>1.04467299999999</v>
      </c>
      <c r="AH4676">
        <v>154.65907061895999</v>
      </c>
      <c r="AI4676">
        <v>89.613771760047001</v>
      </c>
      <c r="AJ4676">
        <v>93.639987834522799</v>
      </c>
      <c r="AK4676">
        <v>154.97522187962201</v>
      </c>
      <c r="AL4676">
        <v>86.270262102361002</v>
      </c>
      <c r="AM4676">
        <v>95.199731512573507</v>
      </c>
      <c r="AN4676">
        <v>0.99999997049271405</v>
      </c>
    </row>
    <row r="4677" spans="1:40" x14ac:dyDescent="0.25">
      <c r="A4677" t="str">
        <f>"20190312151631777"</f>
        <v>20190312151631777</v>
      </c>
      <c r="B4677" t="str">
        <f>"1552374991773099"</f>
        <v>1552374991773099</v>
      </c>
      <c r="C4677" t="s">
        <v>40</v>
      </c>
      <c r="D4677">
        <v>4.6967119999999998</v>
      </c>
      <c r="E4677">
        <v>0.50984200000000002</v>
      </c>
      <c r="F4677" t="s">
        <v>72</v>
      </c>
      <c r="G4677">
        <v>-241.07</v>
      </c>
      <c r="H4677">
        <v>1.805277</v>
      </c>
      <c r="I4677">
        <v>6.420388</v>
      </c>
      <c r="J4677">
        <v>-395.48970000000003</v>
      </c>
      <c r="K4677">
        <v>1.112163</v>
      </c>
      <c r="L4677">
        <v>17.963750000000001</v>
      </c>
      <c r="M4677">
        <v>0.99051109999999998</v>
      </c>
      <c r="N4677">
        <v>0</v>
      </c>
      <c r="O4677">
        <v>-0.1367631</v>
      </c>
      <c r="P4677">
        <v>0.99734889999999998</v>
      </c>
      <c r="Q4677">
        <v>5.3570810000000003E-2</v>
      </c>
      <c r="R4677">
        <v>-4.9250639999999998E-2</v>
      </c>
      <c r="S4677">
        <v>2.9960629999999999</v>
      </c>
      <c r="T4677">
        <v>1.3435600000000001E-2</v>
      </c>
      <c r="U4677">
        <v>-0.2240906</v>
      </c>
      <c r="V4677">
        <v>-8.7967260000000005E-2</v>
      </c>
      <c r="W4677">
        <v>6.6605170000000005E-2</v>
      </c>
      <c r="X4677">
        <v>0.9938941</v>
      </c>
      <c r="Y4677">
        <v>-6.2507010000000002E-2</v>
      </c>
      <c r="Z4677">
        <v>-7.5023259999999997E-4</v>
      </c>
      <c r="AA4677">
        <v>0.9980443</v>
      </c>
      <c r="AB4677">
        <v>26</v>
      </c>
      <c r="AC4677">
        <v>154.41970000000001</v>
      </c>
      <c r="AD4677">
        <v>0.69311400000000001</v>
      </c>
      <c r="AE4677">
        <v>-11.543362</v>
      </c>
      <c r="AF4677">
        <v>-9.6857839160152697</v>
      </c>
      <c r="AG4677">
        <v>0.69311400000000001</v>
      </c>
      <c r="AH4677">
        <v>154.544225900306</v>
      </c>
      <c r="AI4677">
        <v>89.743539579096804</v>
      </c>
      <c r="AJ4677">
        <v>93.586220294845106</v>
      </c>
      <c r="AK4677">
        <v>154.84899927416299</v>
      </c>
      <c r="AL4677">
        <v>86.180977560813503</v>
      </c>
      <c r="AM4677">
        <v>95.0579366405114</v>
      </c>
      <c r="AN4677">
        <v>0.99999998475872298</v>
      </c>
    </row>
    <row r="4678" spans="1:40" x14ac:dyDescent="0.25">
      <c r="A4678" t="str">
        <f>"20190312151631788"</f>
        <v>20190312151631788</v>
      </c>
      <c r="B4678" t="str">
        <f>"1552374991782858"</f>
        <v>1552374991782858</v>
      </c>
      <c r="C4678" t="s">
        <v>40</v>
      </c>
      <c r="D4678">
        <v>4.6922680000000003</v>
      </c>
      <c r="E4678">
        <v>0.50957770000000002</v>
      </c>
      <c r="F4678" t="s">
        <v>72</v>
      </c>
      <c r="G4678">
        <v>-241.07</v>
      </c>
      <c r="H4678">
        <v>1.7422880000000001</v>
      </c>
      <c r="I4678">
        <v>6.3770040000000003</v>
      </c>
      <c r="J4678">
        <v>-395.34309999999999</v>
      </c>
      <c r="K4678">
        <v>1.1120760000000001</v>
      </c>
      <c r="L4678">
        <v>17.94528</v>
      </c>
      <c r="M4678">
        <v>0.9907243</v>
      </c>
      <c r="N4678">
        <v>0</v>
      </c>
      <c r="O4678">
        <v>-0.13521059999999999</v>
      </c>
      <c r="P4678">
        <v>0.99721709999999997</v>
      </c>
      <c r="Q4678">
        <v>5.5250199999999902E-2</v>
      </c>
      <c r="R4678">
        <v>-5.0057490000000003E-2</v>
      </c>
      <c r="S4678">
        <v>2.9962770000000001</v>
      </c>
      <c r="T4678">
        <v>1.222646E-2</v>
      </c>
      <c r="U4678">
        <v>-0.224823</v>
      </c>
      <c r="V4678">
        <v>-8.5583709999999993E-2</v>
      </c>
      <c r="W4678">
        <v>6.8306919999999993E-2</v>
      </c>
      <c r="X4678">
        <v>0.9939867</v>
      </c>
      <c r="Y4678">
        <v>-6.0705809999999999E-2</v>
      </c>
      <c r="Z4678">
        <v>-6.7272299999999996E-4</v>
      </c>
      <c r="AA4678">
        <v>0.99815549999999997</v>
      </c>
      <c r="AB4678">
        <v>26</v>
      </c>
      <c r="AC4678">
        <v>154.2731</v>
      </c>
      <c r="AD4678">
        <v>0.63021199999999999</v>
      </c>
      <c r="AE4678">
        <v>-11.568275999999999</v>
      </c>
      <c r="AF4678">
        <v>-9.3990925108904104</v>
      </c>
      <c r="AG4678">
        <v>0.63021199999999999</v>
      </c>
      <c r="AH4678">
        <v>154.41786534800801</v>
      </c>
      <c r="AI4678">
        <v>89.766597055125104</v>
      </c>
      <c r="AJ4678">
        <v>93.483176900956195</v>
      </c>
      <c r="AK4678">
        <v>154.70493607454401</v>
      </c>
      <c r="AL4678">
        <v>86.083251853645095</v>
      </c>
      <c r="AM4678">
        <v>94.921113611642895</v>
      </c>
      <c r="AN4678">
        <v>0.99999998325706996</v>
      </c>
    </row>
    <row r="4679" spans="1:40" x14ac:dyDescent="0.25">
      <c r="A4679" t="str">
        <f>"20190312151631801"</f>
        <v>20190312151631801</v>
      </c>
      <c r="B4679" t="str">
        <f>"1552374991792619"</f>
        <v>1552374991792619</v>
      </c>
      <c r="C4679" t="s">
        <v>40</v>
      </c>
      <c r="D4679">
        <v>4.7250690000000004</v>
      </c>
      <c r="E4679">
        <v>0.5093316</v>
      </c>
      <c r="F4679" t="s">
        <v>72</v>
      </c>
      <c r="G4679">
        <v>-241.07</v>
      </c>
      <c r="H4679">
        <v>1.7098139999999999</v>
      </c>
      <c r="I4679">
        <v>6.3511509999999998</v>
      </c>
      <c r="J4679">
        <v>-395.21629999999999</v>
      </c>
      <c r="K4679">
        <v>1.112007</v>
      </c>
      <c r="L4679">
        <v>17.929469999999998</v>
      </c>
      <c r="M4679">
        <v>0.99089919999999998</v>
      </c>
      <c r="N4679">
        <v>0</v>
      </c>
      <c r="O4679">
        <v>-0.13392319999999999</v>
      </c>
      <c r="P4679">
        <v>0.99706459999999997</v>
      </c>
      <c r="Q4679">
        <v>5.6787160000000003E-2</v>
      </c>
      <c r="R4679">
        <v>-5.135435E-2</v>
      </c>
      <c r="S4679">
        <v>2.9963989999999998</v>
      </c>
      <c r="T4679">
        <v>1.160955E-2</v>
      </c>
      <c r="U4679">
        <v>-0.22518920000000001</v>
      </c>
      <c r="V4679">
        <v>-8.2979949999999997E-2</v>
      </c>
      <c r="W4679">
        <v>6.9864839999999997E-2</v>
      </c>
      <c r="X4679">
        <v>0.99409919999999996</v>
      </c>
      <c r="Y4679">
        <v>-5.9290679999999998E-2</v>
      </c>
      <c r="Z4679">
        <v>-6.3107759999999995E-4</v>
      </c>
      <c r="AA4679">
        <v>0.99824060000000003</v>
      </c>
      <c r="AB4679">
        <v>26</v>
      </c>
      <c r="AC4679">
        <v>154.1463</v>
      </c>
      <c r="AD4679">
        <v>0.59780699999999998</v>
      </c>
      <c r="AE4679">
        <v>-11.578319</v>
      </c>
      <c r="AF4679">
        <v>-9.1715224207225692</v>
      </c>
      <c r="AG4679">
        <v>0.59780699999999998</v>
      </c>
      <c r="AH4679">
        <v>154.30589010357801</v>
      </c>
      <c r="AI4679">
        <v>89.778418664555701</v>
      </c>
      <c r="AJ4679">
        <v>93.401503466179904</v>
      </c>
      <c r="AK4679">
        <v>154.57937093085999</v>
      </c>
      <c r="AL4679">
        <v>85.993775860413805</v>
      </c>
      <c r="AM4679">
        <v>94.771560530516993</v>
      </c>
      <c r="AN4679">
        <v>0.99999999370543402</v>
      </c>
    </row>
    <row r="4680" spans="1:40" x14ac:dyDescent="0.25">
      <c r="A4680" t="str">
        <f>"20190312151631812"</f>
        <v>20190312151631812</v>
      </c>
      <c r="B4680" t="str">
        <f>"1552374991802267"</f>
        <v>1552374991802267</v>
      </c>
      <c r="C4680" t="s">
        <v>40</v>
      </c>
      <c r="D4680">
        <v>4.8919379999999997</v>
      </c>
      <c r="E4680">
        <v>0.50907519999999995</v>
      </c>
      <c r="F4680" t="s">
        <v>72</v>
      </c>
      <c r="G4680">
        <v>-241.07</v>
      </c>
      <c r="H4680">
        <v>1.6748529999999999</v>
      </c>
      <c r="I4680">
        <v>6.2434219999999998</v>
      </c>
      <c r="J4680">
        <v>-395.08620000000002</v>
      </c>
      <c r="K4680">
        <v>1.111939</v>
      </c>
      <c r="L4680">
        <v>17.9133</v>
      </c>
      <c r="M4680">
        <v>0.99107369999999995</v>
      </c>
      <c r="N4680">
        <v>0</v>
      </c>
      <c r="O4680">
        <v>-0.1326271</v>
      </c>
      <c r="P4680">
        <v>0.99692199999999997</v>
      </c>
      <c r="Q4680">
        <v>5.8580739999999999E-2</v>
      </c>
      <c r="R4680">
        <v>-5.2104549999999999E-2</v>
      </c>
      <c r="S4680">
        <v>2.9965519999999999</v>
      </c>
      <c r="T4680">
        <v>1.094139E-2</v>
      </c>
      <c r="U4680">
        <v>-0.22717290000000001</v>
      </c>
      <c r="V4680">
        <v>-8.0911140000000006E-2</v>
      </c>
      <c r="W4680">
        <v>7.1675130000000004E-2</v>
      </c>
      <c r="X4680">
        <v>0.99414089999999999</v>
      </c>
      <c r="Y4680">
        <v>-5.733187E-2</v>
      </c>
      <c r="Z4680">
        <v>-5.8645349999999997E-4</v>
      </c>
      <c r="AA4680">
        <v>0.99835499999999999</v>
      </c>
      <c r="AB4680">
        <v>26</v>
      </c>
      <c r="AC4680">
        <v>154.0162</v>
      </c>
      <c r="AD4680">
        <v>0.56291399999999903</v>
      </c>
      <c r="AE4680">
        <v>-11.669878000000001</v>
      </c>
      <c r="AF4680">
        <v>-8.8617058659910999</v>
      </c>
      <c r="AG4680">
        <v>0.56291399999999903</v>
      </c>
      <c r="AH4680">
        <v>154.20120736363401</v>
      </c>
      <c r="AI4680">
        <v>89.791186289133293</v>
      </c>
      <c r="AJ4680">
        <v>93.289082509978599</v>
      </c>
      <c r="AK4680">
        <v>154.45665753028999</v>
      </c>
      <c r="AL4680">
        <v>85.889793310288795</v>
      </c>
      <c r="AM4680">
        <v>94.652933325558905</v>
      </c>
      <c r="AN4680">
        <v>1.0000000329447101</v>
      </c>
    </row>
    <row r="4681" spans="1:40" x14ac:dyDescent="0.25">
      <c r="A4681" t="str">
        <f>"20190312151631823"</f>
        <v>20190312151631823</v>
      </c>
      <c r="B4681" t="str">
        <f>"1552374991813003"</f>
        <v>1552374991813003</v>
      </c>
      <c r="C4681" t="s">
        <v>40</v>
      </c>
      <c r="D4681">
        <v>5.1502970000000001</v>
      </c>
      <c r="E4681">
        <v>0.50885990000000003</v>
      </c>
      <c r="F4681" t="s">
        <v>72</v>
      </c>
      <c r="G4681">
        <v>-241.07</v>
      </c>
      <c r="H4681">
        <v>1.7811159999999999</v>
      </c>
      <c r="I4681">
        <v>6.220097</v>
      </c>
      <c r="J4681">
        <v>-394.9554</v>
      </c>
      <c r="K4681">
        <v>1.1118760000000001</v>
      </c>
      <c r="L4681">
        <v>17.89725</v>
      </c>
      <c r="M4681">
        <v>0.99123720000000004</v>
      </c>
      <c r="N4681">
        <v>0</v>
      </c>
      <c r="O4681">
        <v>-0.13139999999999999</v>
      </c>
      <c r="P4681">
        <v>0.9967511</v>
      </c>
      <c r="Q4681">
        <v>6.0279970000000002E-2</v>
      </c>
      <c r="R4681">
        <v>-5.3420990000000002E-2</v>
      </c>
      <c r="S4681">
        <v>2.996613</v>
      </c>
      <c r="T4681">
        <v>1.301968E-2</v>
      </c>
      <c r="U4681">
        <v>-0.2275085</v>
      </c>
      <c r="V4681">
        <v>-7.834692E-2</v>
      </c>
      <c r="W4681">
        <v>7.3391979999999996E-2</v>
      </c>
      <c r="X4681">
        <v>0.99422100000000002</v>
      </c>
      <c r="Y4681">
        <v>-5.5985689999999998E-2</v>
      </c>
      <c r="Z4681">
        <v>-6.8963439999999998E-4</v>
      </c>
      <c r="AA4681">
        <v>0.99843130000000002</v>
      </c>
      <c r="AB4681">
        <v>26</v>
      </c>
      <c r="AC4681">
        <v>153.8854</v>
      </c>
      <c r="AD4681">
        <v>0.66923999999999895</v>
      </c>
      <c r="AE4681">
        <v>-11.677153000000001</v>
      </c>
      <c r="AF4681">
        <v>-8.6463410782516892</v>
      </c>
      <c r="AG4681">
        <v>0.66923999999999895</v>
      </c>
      <c r="AH4681">
        <v>154.082501544515</v>
      </c>
      <c r="AI4681">
        <v>89.751534679631902</v>
      </c>
      <c r="AJ4681">
        <v>93.211784862446706</v>
      </c>
      <c r="AK4681">
        <v>154.32635671988899</v>
      </c>
      <c r="AL4681">
        <v>85.791165155232605</v>
      </c>
      <c r="AM4681">
        <v>94.505729098866396</v>
      </c>
      <c r="AN4681">
        <v>1.0000000097213999</v>
      </c>
    </row>
    <row r="4682" spans="1:40" x14ac:dyDescent="0.25">
      <c r="A4682" t="str">
        <f>"20190312151631843"</f>
        <v>20190312151631843</v>
      </c>
      <c r="B4682" t="str">
        <f>"1552374991832523"</f>
        <v>1552374991832523</v>
      </c>
      <c r="C4682" t="s">
        <v>40</v>
      </c>
      <c r="D4682">
        <v>4.8873629999999997</v>
      </c>
      <c r="E4682">
        <v>0.50844999999999996</v>
      </c>
      <c r="F4682" t="s">
        <v>72</v>
      </c>
      <c r="G4682">
        <v>-241.07</v>
      </c>
      <c r="H4682">
        <v>1.9088290000000001</v>
      </c>
      <c r="I4682">
        <v>6.0975199999999896</v>
      </c>
      <c r="J4682">
        <v>-394.72519999999997</v>
      </c>
      <c r="K4682">
        <v>1.1117840000000001</v>
      </c>
      <c r="L4682">
        <v>17.86917</v>
      </c>
      <c r="M4682">
        <v>0.99151089999999997</v>
      </c>
      <c r="N4682">
        <v>0</v>
      </c>
      <c r="O4682">
        <v>-0.12932149999999901</v>
      </c>
      <c r="P4682">
        <v>0.99638579999999999</v>
      </c>
      <c r="Q4682">
        <v>6.3776749999999993E-2</v>
      </c>
      <c r="R4682">
        <v>-5.611033E-2</v>
      </c>
      <c r="S4682">
        <v>2.9964900000000001</v>
      </c>
      <c r="T4682">
        <v>1.551831E-2</v>
      </c>
      <c r="U4682">
        <v>-0.22976679999999999</v>
      </c>
      <c r="V4682">
        <v>-7.3541049999999997E-2</v>
      </c>
      <c r="W4682">
        <v>7.6917250000000006E-2</v>
      </c>
      <c r="X4682">
        <v>0.99432160000000003</v>
      </c>
      <c r="Y4682">
        <v>-5.3140260000000002E-2</v>
      </c>
      <c r="Z4682">
        <v>-8.0397240000000005E-4</v>
      </c>
      <c r="AA4682">
        <v>0.99858670000000005</v>
      </c>
      <c r="AB4682">
        <v>26</v>
      </c>
      <c r="AC4682">
        <v>153.65519999999901</v>
      </c>
      <c r="AD4682">
        <v>0.797045</v>
      </c>
      <c r="AE4682">
        <v>-11.771649999999999</v>
      </c>
      <c r="AF4682">
        <v>-8.1997288921416391</v>
      </c>
      <c r="AG4682">
        <v>0.797045</v>
      </c>
      <c r="AH4682">
        <v>153.883027544865</v>
      </c>
      <c r="AI4682">
        <v>89.7036566419103</v>
      </c>
      <c r="AJ4682">
        <v>93.050147712939406</v>
      </c>
      <c r="AK4682">
        <v>154.10339711054499</v>
      </c>
      <c r="AL4682">
        <v>85.588609050281207</v>
      </c>
      <c r="AM4682">
        <v>94.229953159895501</v>
      </c>
      <c r="AN4682">
        <v>0.99999999680461205</v>
      </c>
    </row>
    <row r="4683" spans="1:40" x14ac:dyDescent="0.25">
      <c r="A4683" t="str">
        <f>"20190312151631876"</f>
        <v>20190312151631876</v>
      </c>
      <c r="B4683" t="str">
        <f>"1552374991872540"</f>
        <v>1552374991872540</v>
      </c>
      <c r="C4683" t="s">
        <v>40</v>
      </c>
      <c r="D4683">
        <v>5.2811849999999998</v>
      </c>
      <c r="E4683">
        <v>0.50850280000000003</v>
      </c>
      <c r="F4683" t="s">
        <v>72</v>
      </c>
      <c r="G4683">
        <v>-241.07</v>
      </c>
      <c r="H4683">
        <v>2.1402640000000002</v>
      </c>
      <c r="I4683">
        <v>5.8302129999999996</v>
      </c>
      <c r="J4683">
        <v>-394.34570000000002</v>
      </c>
      <c r="K4683">
        <v>1.111656</v>
      </c>
      <c r="L4683">
        <v>17.823699999999999</v>
      </c>
      <c r="M4683">
        <v>0.99192130000000001</v>
      </c>
      <c r="N4683">
        <v>0</v>
      </c>
      <c r="O4683">
        <v>-0.12613659999999999</v>
      </c>
      <c r="P4683">
        <v>0.99582389999999998</v>
      </c>
      <c r="Q4683">
        <v>6.9052429999999998E-2</v>
      </c>
      <c r="R4683">
        <v>-5.9725519999999997E-2</v>
      </c>
      <c r="S4683">
        <v>2.996429</v>
      </c>
      <c r="T4683">
        <v>2.0056250000000001E-2</v>
      </c>
      <c r="U4683">
        <v>-0.2347717</v>
      </c>
      <c r="V4683">
        <v>-6.6678360000000006E-2</v>
      </c>
      <c r="W4683">
        <v>8.2224720000000001E-2</v>
      </c>
      <c r="X4683">
        <v>0.99438079999999995</v>
      </c>
      <c r="Y4683">
        <v>-4.8271689999999999E-2</v>
      </c>
      <c r="Z4683">
        <v>-1.0016300000000001E-3</v>
      </c>
      <c r="AA4683">
        <v>0.99883370000000005</v>
      </c>
      <c r="AB4683">
        <v>26</v>
      </c>
      <c r="AC4683">
        <v>153.2757</v>
      </c>
      <c r="AD4683">
        <v>1.02860799999999</v>
      </c>
      <c r="AE4683">
        <v>-11.993486999999901</v>
      </c>
      <c r="AF4683">
        <v>-7.4374232595406804</v>
      </c>
      <c r="AG4683">
        <v>1.02860799999999</v>
      </c>
      <c r="AH4683">
        <v>153.55732724100301</v>
      </c>
      <c r="AI4683">
        <v>89.616657736502503</v>
      </c>
      <c r="AJ4683">
        <v>92.772907171648498</v>
      </c>
      <c r="AK4683">
        <v>153.74077549095301</v>
      </c>
      <c r="AL4683">
        <v>85.283545971218203</v>
      </c>
      <c r="AM4683">
        <v>93.836234589805599</v>
      </c>
      <c r="AN4683">
        <v>1.0000000418399999</v>
      </c>
    </row>
    <row r="4684" spans="1:40" x14ac:dyDescent="0.25">
      <c r="A4684" t="str">
        <f>"20190312151631888"</f>
        <v>20190312151631888</v>
      </c>
      <c r="B4684" t="str">
        <f>"1552374991882300"</f>
        <v>1552374991882300</v>
      </c>
      <c r="C4684" t="s">
        <v>40</v>
      </c>
      <c r="D4684">
        <v>4.6986350000000003</v>
      </c>
      <c r="E4684">
        <v>0.54656859999999996</v>
      </c>
      <c r="F4684" t="s">
        <v>72</v>
      </c>
      <c r="G4684">
        <v>-241.07</v>
      </c>
      <c r="H4684">
        <v>2.754429</v>
      </c>
      <c r="I4684">
        <v>5.2162430000000004</v>
      </c>
      <c r="J4684">
        <v>-394.1977</v>
      </c>
      <c r="K4684">
        <v>1.111618</v>
      </c>
      <c r="L4684">
        <v>17.806239999999999</v>
      </c>
      <c r="M4684">
        <v>0.9920698</v>
      </c>
      <c r="N4684">
        <v>0</v>
      </c>
      <c r="O4684">
        <v>-0.12496359999999999</v>
      </c>
      <c r="P4684">
        <v>0.99567419999999995</v>
      </c>
      <c r="Q4684">
        <v>7.0428009999999999E-2</v>
      </c>
      <c r="R4684">
        <v>-6.060318E-2</v>
      </c>
      <c r="S4684">
        <v>2.9956049999999999</v>
      </c>
      <c r="T4684">
        <v>3.2106040000000002E-2</v>
      </c>
      <c r="U4684">
        <v>-0.2463989</v>
      </c>
      <c r="V4684">
        <v>-6.4606730000000001E-2</v>
      </c>
      <c r="W4684">
        <v>8.3608489999999994E-2</v>
      </c>
      <c r="X4684">
        <v>0.99440209999999996</v>
      </c>
      <c r="Y4684">
        <v>-4.3210819999999997E-2</v>
      </c>
      <c r="Z4684">
        <v>-1.5639709999999999E-3</v>
      </c>
      <c r="AA4684">
        <v>0.99906470000000003</v>
      </c>
      <c r="AB4684">
        <v>26</v>
      </c>
      <c r="AC4684">
        <v>153.1277</v>
      </c>
      <c r="AD4684">
        <v>1.642811</v>
      </c>
      <c r="AE4684">
        <v>-12.589997</v>
      </c>
      <c r="AF4684">
        <v>-6.6450766511664296</v>
      </c>
      <c r="AG4684">
        <v>1.642811</v>
      </c>
      <c r="AH4684">
        <v>153.48305039181699</v>
      </c>
      <c r="AI4684">
        <v>89.387330016095007</v>
      </c>
      <c r="AJ4684">
        <v>92.479083003005101</v>
      </c>
      <c r="AK4684">
        <v>153.63561640862699</v>
      </c>
      <c r="AL4684">
        <v>85.203987496150006</v>
      </c>
      <c r="AM4684">
        <v>93.7173067452933</v>
      </c>
      <c r="AN4684">
        <v>0.99999997282289099</v>
      </c>
    </row>
    <row r="4685" spans="1:40" x14ac:dyDescent="0.25">
      <c r="A4685" t="str">
        <f>"20190312151631901"</f>
        <v>20190312151631901</v>
      </c>
      <c r="B4685" t="str">
        <f>"1552374991893035"</f>
        <v>1552374991893035</v>
      </c>
      <c r="C4685" t="s">
        <v>40</v>
      </c>
      <c r="D4685">
        <v>4.5776690000000002</v>
      </c>
      <c r="E4685">
        <v>0.54553580000000002</v>
      </c>
      <c r="F4685" t="s">
        <v>41</v>
      </c>
      <c r="G4685">
        <v>-393.42200000000003</v>
      </c>
      <c r="H4685">
        <v>1.051423</v>
      </c>
      <c r="I4685">
        <v>17.66311</v>
      </c>
      <c r="J4685">
        <v>-394.05869999999999</v>
      </c>
      <c r="K4685">
        <v>1.111586</v>
      </c>
      <c r="L4685">
        <v>17.78998</v>
      </c>
      <c r="M4685">
        <v>0.99220509999999995</v>
      </c>
      <c r="N4685">
        <v>0</v>
      </c>
      <c r="O4685">
        <v>-0.1238853</v>
      </c>
      <c r="P4685">
        <v>0.99546089999999998</v>
      </c>
      <c r="Q4685">
        <v>7.2376019999999999E-2</v>
      </c>
      <c r="R4685">
        <v>-6.180327E-2</v>
      </c>
      <c r="S4685">
        <v>2.9959410000000002</v>
      </c>
      <c r="T4685">
        <v>-0.2327535</v>
      </c>
      <c r="U4685">
        <v>-0.5515137</v>
      </c>
      <c r="V4685">
        <v>-6.2307380000000002E-2</v>
      </c>
      <c r="W4685">
        <v>8.5563639999999996E-2</v>
      </c>
      <c r="X4685">
        <v>0.99438260000000001</v>
      </c>
      <c r="Y4685">
        <v>5.7990439999999997E-2</v>
      </c>
      <c r="Z4685">
        <v>7.2554789999999996E-3</v>
      </c>
      <c r="AA4685">
        <v>0.99829080000000003</v>
      </c>
      <c r="AB4685">
        <v>26</v>
      </c>
      <c r="AC4685">
        <v>0.63670000000001803</v>
      </c>
      <c r="AD4685">
        <v>-6.0162999999999897E-2</v>
      </c>
      <c r="AE4685">
        <v>-0.12687000000000001</v>
      </c>
      <c r="AF4685">
        <v>4.6607304460740601E-2</v>
      </c>
      <c r="AG4685">
        <v>-6.0162999999999897E-2</v>
      </c>
      <c r="AH4685">
        <v>0.64199974201230403</v>
      </c>
      <c r="AI4685">
        <v>95.339688762680396</v>
      </c>
      <c r="AJ4685">
        <v>85.847778215006102</v>
      </c>
      <c r="AK4685">
        <v>0.646494776577476</v>
      </c>
      <c r="AL4685">
        <v>85.091563103789596</v>
      </c>
      <c r="AM4685">
        <v>93.585429566592893</v>
      </c>
      <c r="AN4685">
        <v>1.0000000506376301</v>
      </c>
    </row>
    <row r="4686" spans="1:40" x14ac:dyDescent="0.25">
      <c r="A4686" t="str">
        <f>"20190312151631921"</f>
        <v>20190312151631921</v>
      </c>
      <c r="B4686" t="str">
        <f>"1552374991912940"</f>
        <v>1552374991912940</v>
      </c>
      <c r="C4686" t="s">
        <v>40</v>
      </c>
      <c r="D4686">
        <v>4.7058619999999998</v>
      </c>
      <c r="E4686">
        <v>0.5440739</v>
      </c>
      <c r="F4686" t="s">
        <v>41</v>
      </c>
      <c r="G4686">
        <v>-393.19389999999999</v>
      </c>
      <c r="H4686">
        <v>1.048756</v>
      </c>
      <c r="I4686">
        <v>17.631930000000001</v>
      </c>
      <c r="J4686">
        <v>-393.82100000000003</v>
      </c>
      <c r="K4686">
        <v>1.1115469999999901</v>
      </c>
      <c r="L4686">
        <v>17.762419999999999</v>
      </c>
      <c r="M4686">
        <v>0.99242900000000001</v>
      </c>
      <c r="N4686">
        <v>0</v>
      </c>
      <c r="O4686">
        <v>-0.12207999999999999</v>
      </c>
      <c r="P4686">
        <v>0.99504840000000006</v>
      </c>
      <c r="Q4686">
        <v>7.5754680000000005E-2</v>
      </c>
      <c r="R4686">
        <v>-6.434405E-2</v>
      </c>
      <c r="S4686">
        <v>2.9955750000000001</v>
      </c>
      <c r="T4686">
        <v>-0.217751</v>
      </c>
      <c r="U4686">
        <v>-0.54702759999999995</v>
      </c>
      <c r="V4686">
        <v>-5.7924410000000003E-2</v>
      </c>
      <c r="W4686">
        <v>8.8954800000000001E-2</v>
      </c>
      <c r="X4686">
        <v>0.99434999999999996</v>
      </c>
      <c r="Y4686">
        <v>5.8353040000000002E-2</v>
      </c>
      <c r="Z4686">
        <v>6.6493849999999998E-3</v>
      </c>
      <c r="AA4686">
        <v>0.99827379999999999</v>
      </c>
      <c r="AB4686">
        <v>26</v>
      </c>
      <c r="AC4686">
        <v>0.627099999999984</v>
      </c>
      <c r="AD4686">
        <v>-6.2790999999999805E-2</v>
      </c>
      <c r="AE4686">
        <v>-0.13049000000000099</v>
      </c>
      <c r="AF4686">
        <v>5.24464906249597E-2</v>
      </c>
      <c r="AG4686">
        <v>-6.2790999999999805E-2</v>
      </c>
      <c r="AH4686">
        <v>0.63226436138061803</v>
      </c>
      <c r="AI4686">
        <v>95.652235837039598</v>
      </c>
      <c r="AJ4686">
        <v>85.258156344278504</v>
      </c>
      <c r="AK4686">
        <v>0.63753554154408898</v>
      </c>
      <c r="AL4686">
        <v>84.8965199352171</v>
      </c>
      <c r="AM4686">
        <v>93.333914349162697</v>
      </c>
      <c r="AN4686">
        <v>1.0000000581084401</v>
      </c>
    </row>
    <row r="4687" spans="1:40" x14ac:dyDescent="0.25">
      <c r="A4687" t="str">
        <f>"20190312151631933"</f>
        <v>20190312151631933</v>
      </c>
      <c r="B4687" t="str">
        <f>"1552374991922700"</f>
        <v>1552374991922700</v>
      </c>
      <c r="C4687" t="s">
        <v>40</v>
      </c>
      <c r="D4687">
        <v>4.7113310000000004</v>
      </c>
      <c r="E4687">
        <v>0.54325389999999996</v>
      </c>
      <c r="F4687" t="s">
        <v>70</v>
      </c>
      <c r="G4687">
        <v>-376.5693</v>
      </c>
      <c r="H4687" s="1">
        <v>-2.6277560000000001E-6</v>
      </c>
      <c r="I4687">
        <v>14.632350000000001</v>
      </c>
      <c r="J4687">
        <v>-393.67880000000002</v>
      </c>
      <c r="K4687">
        <v>1.1115280000000001</v>
      </c>
      <c r="L4687">
        <v>17.74606</v>
      </c>
      <c r="M4687">
        <v>0.99255939999999998</v>
      </c>
      <c r="N4687">
        <v>0</v>
      </c>
      <c r="O4687">
        <v>-0.12101580000000001</v>
      </c>
      <c r="P4687">
        <v>0.99489419999999995</v>
      </c>
      <c r="Q4687">
        <v>7.6878260000000004E-2</v>
      </c>
      <c r="R4687">
        <v>-6.538795E-2</v>
      </c>
      <c r="S4687">
        <v>2.9944760000000001</v>
      </c>
      <c r="T4687">
        <v>-0.1929379</v>
      </c>
      <c r="U4687">
        <v>-0.54330440000000002</v>
      </c>
      <c r="V4687">
        <v>-5.580061E-2</v>
      </c>
      <c r="W4687">
        <v>9.0083689999999994E-2</v>
      </c>
      <c r="X4687">
        <v>0.99436970000000002</v>
      </c>
      <c r="Y4687">
        <v>5.8250589999999998E-2</v>
      </c>
      <c r="Z4687">
        <v>5.832276E-3</v>
      </c>
      <c r="AA4687">
        <v>0.99828490000000003</v>
      </c>
      <c r="AB4687">
        <v>26</v>
      </c>
      <c r="AC4687">
        <v>17.109500000000001</v>
      </c>
      <c r="AD4687">
        <v>-1.111530627756</v>
      </c>
      <c r="AE4687">
        <v>-3.11370999999999</v>
      </c>
      <c r="AF4687">
        <v>1.0159641717327701</v>
      </c>
      <c r="AG4687">
        <v>-1.111530627756</v>
      </c>
      <c r="AH4687">
        <v>17.289940897411</v>
      </c>
      <c r="AI4687">
        <v>93.672035796818093</v>
      </c>
      <c r="AJ4687">
        <v>86.6371428409239</v>
      </c>
      <c r="AK4687">
        <v>17.355395119980699</v>
      </c>
      <c r="AL4687">
        <v>84.831577956118494</v>
      </c>
      <c r="AM4687">
        <v>93.211873581957505</v>
      </c>
      <c r="AN4687">
        <v>0.99999993977923696</v>
      </c>
    </row>
    <row r="4688" spans="1:40" x14ac:dyDescent="0.25">
      <c r="A4688" t="str">
        <f>"20190312151631945"</f>
        <v>20190312151631945</v>
      </c>
      <c r="B4688" t="str">
        <f>"1552374991932460"</f>
        <v>1552374991932460</v>
      </c>
      <c r="C4688" t="s">
        <v>40</v>
      </c>
      <c r="D4688">
        <v>4.72356</v>
      </c>
      <c r="E4688">
        <v>0.54306540000000003</v>
      </c>
      <c r="F4688" t="s">
        <v>41</v>
      </c>
      <c r="G4688">
        <v>-392.72919999999999</v>
      </c>
      <c r="H4688">
        <v>1.0524659999999999</v>
      </c>
      <c r="I4688">
        <v>17.574719999999999</v>
      </c>
      <c r="J4688">
        <v>-393.54140000000001</v>
      </c>
      <c r="K4688">
        <v>1.1115159999999999</v>
      </c>
      <c r="L4688">
        <v>17.730529999999899</v>
      </c>
      <c r="M4688">
        <v>0.99268250000000002</v>
      </c>
      <c r="N4688">
        <v>0</v>
      </c>
      <c r="O4688">
        <v>-0.12000180000000001</v>
      </c>
      <c r="P4688">
        <v>0.99474510000000005</v>
      </c>
      <c r="Q4688">
        <v>7.8045760000000006E-2</v>
      </c>
      <c r="R4688">
        <v>-6.6266930000000002E-2</v>
      </c>
      <c r="S4688">
        <v>2.9943240000000002</v>
      </c>
      <c r="T4688">
        <v>-0.18636620000000001</v>
      </c>
      <c r="U4688">
        <v>-0.53991699999999998</v>
      </c>
      <c r="V4688">
        <v>-5.3892910000000002E-2</v>
      </c>
      <c r="W4688">
        <v>9.1255210000000003E-2</v>
      </c>
      <c r="X4688">
        <v>0.99436809999999998</v>
      </c>
      <c r="Y4688">
        <v>5.8175749999999998E-2</v>
      </c>
      <c r="Z4688">
        <v>5.5754000000000003E-3</v>
      </c>
      <c r="AA4688">
        <v>0.99829080000000003</v>
      </c>
      <c r="AB4688">
        <v>26</v>
      </c>
      <c r="AC4688">
        <v>0.81220000000001802</v>
      </c>
      <c r="AD4688">
        <v>-5.9049999999999998E-2</v>
      </c>
      <c r="AE4688">
        <v>-0.15580999999999501</v>
      </c>
      <c r="AF4688">
        <v>5.6919389349417399E-2</v>
      </c>
      <c r="AG4688">
        <v>-5.9049999999999998E-2</v>
      </c>
      <c r="AH4688">
        <v>0.82084404422332702</v>
      </c>
      <c r="AI4688">
        <v>94.104840906831299</v>
      </c>
      <c r="AJ4688">
        <v>86.033316274525504</v>
      </c>
      <c r="AK4688">
        <v>0.82493130884990595</v>
      </c>
      <c r="AL4688">
        <v>84.7641771698394</v>
      </c>
      <c r="AM4688">
        <v>93.102289949101902</v>
      </c>
      <c r="AN4688">
        <v>0.99999993869900905</v>
      </c>
    </row>
    <row r="4689" spans="1:40" x14ac:dyDescent="0.25">
      <c r="A4689" t="str">
        <f>"20190312151631965"</f>
        <v>20190312151631965</v>
      </c>
      <c r="B4689" t="str">
        <f>"1552374991962716"</f>
        <v>1552374991962716</v>
      </c>
      <c r="C4689" t="s">
        <v>40</v>
      </c>
      <c r="D4689">
        <v>4.6314000000000002</v>
      </c>
      <c r="E4689">
        <v>0.54261789999999999</v>
      </c>
      <c r="F4689" t="s">
        <v>70</v>
      </c>
      <c r="G4689">
        <v>-376.10140000000001</v>
      </c>
      <c r="H4689" s="1">
        <v>-2.8217099999999999E-6</v>
      </c>
      <c r="I4689">
        <v>14.5787</v>
      </c>
      <c r="J4689">
        <v>-393.30650000000003</v>
      </c>
      <c r="K4689">
        <v>1.1114980000000001</v>
      </c>
      <c r="L4689">
        <v>17.704129999999999</v>
      </c>
      <c r="M4689">
        <v>0.9928903</v>
      </c>
      <c r="N4689">
        <v>0</v>
      </c>
      <c r="O4689">
        <v>-0.1182728</v>
      </c>
      <c r="P4689">
        <v>0.99446140000000005</v>
      </c>
      <c r="Q4689">
        <v>7.9668970000000006E-2</v>
      </c>
      <c r="R4689">
        <v>-6.8554329999999997E-2</v>
      </c>
      <c r="S4689">
        <v>2.9947810000000001</v>
      </c>
      <c r="T4689">
        <v>-0.19086890000000001</v>
      </c>
      <c r="U4689">
        <v>-0.54122919999999997</v>
      </c>
      <c r="V4689">
        <v>-4.9855570000000002E-2</v>
      </c>
      <c r="W4689">
        <v>9.2887129999999998E-2</v>
      </c>
      <c r="X4689">
        <v>0.99442770000000003</v>
      </c>
      <c r="Y4689">
        <v>6.0309290000000002E-2</v>
      </c>
      <c r="Z4689">
        <v>5.5332970000000004E-3</v>
      </c>
      <c r="AA4689">
        <v>0.99816439999999995</v>
      </c>
      <c r="AB4689">
        <v>26</v>
      </c>
      <c r="AC4689">
        <v>17.205100000000002</v>
      </c>
      <c r="AD4689">
        <v>-1.11150082171</v>
      </c>
      <c r="AE4689">
        <v>-3.1254300000000002</v>
      </c>
      <c r="AF4689">
        <v>1.0641109090058101</v>
      </c>
      <c r="AG4689">
        <v>-1.11150082171</v>
      </c>
      <c r="AH4689">
        <v>17.383770377422501</v>
      </c>
      <c r="AI4689">
        <v>93.651638103328906</v>
      </c>
      <c r="AJ4689">
        <v>86.497130213591007</v>
      </c>
      <c r="AK4689">
        <v>17.4517402753502</v>
      </c>
      <c r="AL4689">
        <v>84.670276627759506</v>
      </c>
      <c r="AM4689">
        <v>92.870117209457803</v>
      </c>
      <c r="AN4689">
        <v>1.0000000236534701</v>
      </c>
    </row>
    <row r="4690" spans="1:40" x14ac:dyDescent="0.25">
      <c r="A4690" t="str">
        <f>"20190312151631990"</f>
        <v>20190312151631990</v>
      </c>
      <c r="B4690" t="str">
        <f>"1552374991982236"</f>
        <v>1552374991982236</v>
      </c>
      <c r="C4690" t="s">
        <v>40</v>
      </c>
      <c r="D4690">
        <v>4.6589580000000002</v>
      </c>
      <c r="E4690">
        <v>0.54292959999999901</v>
      </c>
      <c r="F4690" t="s">
        <v>70</v>
      </c>
      <c r="G4690">
        <v>-375.73410000000001</v>
      </c>
      <c r="H4690" s="1">
        <v>-2.9819330000000001E-6</v>
      </c>
      <c r="I4690">
        <v>14.50671</v>
      </c>
      <c r="J4690">
        <v>-393.03300000000002</v>
      </c>
      <c r="K4690">
        <v>1.111483</v>
      </c>
      <c r="L4690">
        <v>17.67389</v>
      </c>
      <c r="M4690">
        <v>0.9931276</v>
      </c>
      <c r="N4690">
        <v>0</v>
      </c>
      <c r="O4690">
        <v>-0.1162625</v>
      </c>
      <c r="P4690">
        <v>0.99432960000000004</v>
      </c>
      <c r="Q4690">
        <v>8.0037750000000005E-2</v>
      </c>
      <c r="R4690">
        <v>-7.0019659999999997E-2</v>
      </c>
      <c r="S4690">
        <v>2.9942929999999999</v>
      </c>
      <c r="T4690">
        <v>-0.18939629999999999</v>
      </c>
      <c r="U4690">
        <v>-0.54483029999999999</v>
      </c>
      <c r="V4690">
        <v>-4.6367949999999998E-2</v>
      </c>
      <c r="W4690">
        <v>9.3261720000000006E-2</v>
      </c>
      <c r="X4690">
        <v>0.99456129999999998</v>
      </c>
      <c r="Y4690">
        <v>6.3508770000000006E-2</v>
      </c>
      <c r="Z4690">
        <v>5.2658999999999996E-3</v>
      </c>
      <c r="AA4690">
        <v>0.99796739999999995</v>
      </c>
      <c r="AB4690">
        <v>26</v>
      </c>
      <c r="AC4690">
        <v>17.2989</v>
      </c>
      <c r="AD4690">
        <v>-1.1114859819329901</v>
      </c>
      <c r="AE4690">
        <v>-3.1671800000000001</v>
      </c>
      <c r="AF4690">
        <v>1.12979010583609</v>
      </c>
      <c r="AG4690">
        <v>-1.1114859819329901</v>
      </c>
      <c r="AH4690">
        <v>17.480001948594801</v>
      </c>
      <c r="AI4690">
        <v>93.6307642200765</v>
      </c>
      <c r="AJ4690">
        <v>86.301928829372599</v>
      </c>
      <c r="AK4690">
        <v>17.551703475564899</v>
      </c>
      <c r="AL4690">
        <v>84.648720274890906</v>
      </c>
      <c r="AM4690">
        <v>92.669282947083303</v>
      </c>
      <c r="AN4690">
        <v>0.99999995733112401</v>
      </c>
    </row>
    <row r="4691" spans="1:40" x14ac:dyDescent="0.25">
      <c r="A4691" t="str">
        <f>"20190312151632011"</f>
        <v>20190312151632011</v>
      </c>
      <c r="B4691" t="str">
        <f>"1552374992002460"</f>
        <v>1552374992002460</v>
      </c>
      <c r="C4691" t="s">
        <v>40</v>
      </c>
      <c r="D4691">
        <v>4.7139069999999998</v>
      </c>
      <c r="E4691">
        <v>0.54281359999999901</v>
      </c>
      <c r="F4691" t="s">
        <v>70</v>
      </c>
      <c r="G4691">
        <v>-375.221</v>
      </c>
      <c r="H4691" s="1">
        <v>-3.2099680000000001E-6</v>
      </c>
      <c r="I4691">
        <v>14.3902</v>
      </c>
      <c r="J4691">
        <v>-392.79059999999998</v>
      </c>
      <c r="K4691">
        <v>1.111477</v>
      </c>
      <c r="L4691">
        <v>17.647549999999999</v>
      </c>
      <c r="M4691">
        <v>0.99333550000000004</v>
      </c>
      <c r="N4691">
        <v>0</v>
      </c>
      <c r="O4691">
        <v>-0.1144739</v>
      </c>
      <c r="P4691">
        <v>0.99429009999999995</v>
      </c>
      <c r="Q4691">
        <v>7.913953E-2</v>
      </c>
      <c r="R4691">
        <v>-7.1586209999999997E-2</v>
      </c>
      <c r="S4691">
        <v>2.9932859999999999</v>
      </c>
      <c r="T4691">
        <v>-0.1867837</v>
      </c>
      <c r="U4691">
        <v>-0.55181880000000005</v>
      </c>
      <c r="V4691">
        <v>-4.3011260000000003E-2</v>
      </c>
      <c r="W4691">
        <v>9.2371049999999996E-2</v>
      </c>
      <c r="X4691">
        <v>0.99479530000000005</v>
      </c>
      <c r="Y4691">
        <v>6.7605129999999999E-2</v>
      </c>
      <c r="Z4691">
        <v>4.9577270000000003E-3</v>
      </c>
      <c r="AA4691">
        <v>0.99769989999999997</v>
      </c>
      <c r="AB4691">
        <v>26</v>
      </c>
      <c r="AC4691">
        <v>17.569599999999902</v>
      </c>
      <c r="AD4691">
        <v>-1.1114802099679999</v>
      </c>
      <c r="AE4691">
        <v>-3.25734999999999</v>
      </c>
      <c r="AF4691">
        <v>1.2197718138068601</v>
      </c>
      <c r="AG4691">
        <v>-1.1114802099679999</v>
      </c>
      <c r="AH4691">
        <v>17.758288742589802</v>
      </c>
      <c r="AI4691">
        <v>93.573038349859701</v>
      </c>
      <c r="AJ4691">
        <v>86.070669951798095</v>
      </c>
      <c r="AK4691">
        <v>17.834798866264201</v>
      </c>
      <c r="AL4691">
        <v>84.699973565273595</v>
      </c>
      <c r="AM4691">
        <v>92.475715135984899</v>
      </c>
      <c r="AN4691">
        <v>1.00000003413348</v>
      </c>
    </row>
    <row r="4692" spans="1:40" x14ac:dyDescent="0.25">
      <c r="A4692" t="str">
        <f>"20190312151632024"</f>
        <v>20190312151632024</v>
      </c>
      <c r="B4692" t="str">
        <f>"1552374992013195"</f>
        <v>1552374992013195</v>
      </c>
      <c r="C4692" t="s">
        <v>40</v>
      </c>
      <c r="D4692">
        <v>4.676666</v>
      </c>
      <c r="E4692">
        <v>0.54262010000000005</v>
      </c>
      <c r="F4692" t="s">
        <v>70</v>
      </c>
      <c r="G4692">
        <v>-374.76670000000001</v>
      </c>
      <c r="H4692" s="1">
        <v>-3.4084339999999999E-6</v>
      </c>
      <c r="I4692">
        <v>14.299939999999999</v>
      </c>
      <c r="J4692">
        <v>-392.6311</v>
      </c>
      <c r="K4692">
        <v>1.1114729999999999</v>
      </c>
      <c r="L4692">
        <v>17.630520000000001</v>
      </c>
      <c r="M4692">
        <v>0.99347129999999995</v>
      </c>
      <c r="N4692">
        <v>0</v>
      </c>
      <c r="O4692">
        <v>-0.1132909</v>
      </c>
      <c r="P4692">
        <v>0.99429999999999996</v>
      </c>
      <c r="Q4692">
        <v>7.8626109999999999E-2</v>
      </c>
      <c r="R4692">
        <v>-7.2012469999999995E-2</v>
      </c>
      <c r="S4692">
        <v>2.9919129999999998</v>
      </c>
      <c r="T4692">
        <v>-0.184503</v>
      </c>
      <c r="U4692">
        <v>-0.55569460000000004</v>
      </c>
      <c r="V4692">
        <v>-4.1401309999999997E-2</v>
      </c>
      <c r="W4692">
        <v>9.1860140000000007E-2</v>
      </c>
      <c r="X4692">
        <v>0.99491090000000004</v>
      </c>
      <c r="Y4692">
        <v>7.0115590000000005E-2</v>
      </c>
      <c r="Z4692">
        <v>4.7505819999999997E-3</v>
      </c>
      <c r="AA4692">
        <v>0.99752750000000001</v>
      </c>
      <c r="AB4692">
        <v>26</v>
      </c>
      <c r="AC4692">
        <v>17.8643999999999</v>
      </c>
      <c r="AD4692">
        <v>-1.1114764084340001</v>
      </c>
      <c r="AE4692">
        <v>-3.3305799999999999</v>
      </c>
      <c r="AF4692">
        <v>1.28028779520251</v>
      </c>
      <c r="AG4692">
        <v>-1.1114764084340001</v>
      </c>
      <c r="AH4692">
        <v>18.059165256955801</v>
      </c>
      <c r="AI4692">
        <v>93.513110705463603</v>
      </c>
      <c r="AJ4692">
        <v>85.944853376483806</v>
      </c>
      <c r="AK4692">
        <v>18.138576747448798</v>
      </c>
      <c r="AL4692">
        <v>84.729371501028396</v>
      </c>
      <c r="AM4692">
        <v>92.382879234526897</v>
      </c>
      <c r="AN4692">
        <v>1.00000002636467</v>
      </c>
    </row>
    <row r="4693" spans="1:40" x14ac:dyDescent="0.25">
      <c r="A4693" t="str">
        <f>"20190312151632066"</f>
        <v>20190312151632066</v>
      </c>
      <c r="B4693" t="str">
        <f>"1552374992062971"</f>
        <v>1552374992062971</v>
      </c>
      <c r="C4693" t="s">
        <v>40</v>
      </c>
      <c r="D4693">
        <v>4.8071159999999997</v>
      </c>
      <c r="E4693">
        <v>0.54190019999999905</v>
      </c>
      <c r="F4693" t="s">
        <v>70</v>
      </c>
      <c r="G4693">
        <v>-374.70269999999999</v>
      </c>
      <c r="H4693" s="1">
        <v>-3.43251E-6</v>
      </c>
      <c r="I4693">
        <v>14.301830000000001</v>
      </c>
      <c r="J4693">
        <v>-392.1429</v>
      </c>
      <c r="K4693">
        <v>1.111478</v>
      </c>
      <c r="L4693">
        <v>17.579470000000001</v>
      </c>
      <c r="M4693">
        <v>0.99388069999999895</v>
      </c>
      <c r="N4693">
        <v>0</v>
      </c>
      <c r="O4693">
        <v>-0.10964169999999999</v>
      </c>
      <c r="P4693">
        <v>0.99432659999999995</v>
      </c>
      <c r="Q4693">
        <v>7.5871069999999999E-2</v>
      </c>
      <c r="R4693">
        <v>-7.4554960000000003E-2</v>
      </c>
      <c r="S4693">
        <v>2.9916689999999999</v>
      </c>
      <c r="T4693">
        <v>-0.1854692</v>
      </c>
      <c r="U4693">
        <v>-0.55545040000000001</v>
      </c>
      <c r="V4693">
        <v>-3.5213069999999999E-2</v>
      </c>
      <c r="W4693">
        <v>8.9120560000000001E-2</v>
      </c>
      <c r="X4693">
        <v>0.99539820000000001</v>
      </c>
      <c r="Y4693">
        <v>7.3701959999999997E-2</v>
      </c>
      <c r="Z4693">
        <v>4.4437859999999999E-3</v>
      </c>
      <c r="AA4693">
        <v>0.9972704</v>
      </c>
      <c r="AB4693">
        <v>26</v>
      </c>
      <c r="AC4693">
        <v>17.440200000000001</v>
      </c>
      <c r="AD4693">
        <v>-1.11148143251</v>
      </c>
      <c r="AE4693">
        <v>-3.2776399999999999</v>
      </c>
      <c r="AF4693">
        <v>1.3402729694014299</v>
      </c>
      <c r="AG4693">
        <v>-1.11148143251</v>
      </c>
      <c r="AH4693">
        <v>17.625290078480401</v>
      </c>
      <c r="AI4693">
        <v>93.598032885366294</v>
      </c>
      <c r="AJ4693">
        <v>85.651448591886506</v>
      </c>
      <c r="AK4693">
        <v>17.711086159744699</v>
      </c>
      <c r="AL4693">
        <v>84.886984446415696</v>
      </c>
      <c r="AM4693">
        <v>92.026042743190899</v>
      </c>
      <c r="AN4693">
        <v>1.00000000553838</v>
      </c>
    </row>
    <row r="4694" spans="1:40" x14ac:dyDescent="0.25">
      <c r="A4694" t="str">
        <f>"20190312151632078"</f>
        <v>20190312151632078</v>
      </c>
      <c r="B4694" t="str">
        <f>"1552374992072732"</f>
        <v>1552374992072732</v>
      </c>
      <c r="C4694" t="s">
        <v>40</v>
      </c>
      <c r="D4694">
        <v>4.7230869999999996</v>
      </c>
      <c r="E4694">
        <v>0.54176930000000001</v>
      </c>
      <c r="F4694" t="s">
        <v>70</v>
      </c>
      <c r="G4694">
        <v>-374.1019</v>
      </c>
      <c r="H4694" s="1">
        <v>-3.726278E-6</v>
      </c>
      <c r="I4694">
        <v>14.217169999999999</v>
      </c>
      <c r="J4694">
        <v>-392.00619999999998</v>
      </c>
      <c r="K4694">
        <v>1.1114839999999999</v>
      </c>
      <c r="L4694">
        <v>17.565519999999999</v>
      </c>
      <c r="M4694">
        <v>0.99399360000000003</v>
      </c>
      <c r="N4694">
        <v>0</v>
      </c>
      <c r="O4694">
        <v>-0.1086133</v>
      </c>
      <c r="P4694">
        <v>0.9943322</v>
      </c>
      <c r="Q4694">
        <v>7.5309219999999996E-2</v>
      </c>
      <c r="R4694">
        <v>-7.5049119999999997E-2</v>
      </c>
      <c r="S4694">
        <v>2.9893800000000001</v>
      </c>
      <c r="T4694">
        <v>-0.18417120000000001</v>
      </c>
      <c r="U4694">
        <v>-0.55712890000000004</v>
      </c>
      <c r="V4694">
        <v>-3.3689690000000001E-2</v>
      </c>
      <c r="W4694">
        <v>8.8562009999999997E-2</v>
      </c>
      <c r="X4694">
        <v>0.99550070000000002</v>
      </c>
      <c r="Y4694">
        <v>7.5406189999999998E-2</v>
      </c>
      <c r="Z4694">
        <v>4.3016039999999997E-3</v>
      </c>
      <c r="AA4694">
        <v>0.99714360000000002</v>
      </c>
      <c r="AB4694">
        <v>26</v>
      </c>
      <c r="AC4694">
        <v>17.9042999999999</v>
      </c>
      <c r="AD4694">
        <v>-1.1114877262780001</v>
      </c>
      <c r="AE4694">
        <v>-3.3483499999999999</v>
      </c>
      <c r="AF4694">
        <v>1.3785844941341301</v>
      </c>
      <c r="AG4694">
        <v>-1.1114877262780001</v>
      </c>
      <c r="AH4694">
        <v>18.0946907518064</v>
      </c>
      <c r="AI4694">
        <v>93.504912355442997</v>
      </c>
      <c r="AJ4694">
        <v>85.643209510642293</v>
      </c>
      <c r="AK4694">
        <v>18.181136751497199</v>
      </c>
      <c r="AL4694">
        <v>84.919113688263096</v>
      </c>
      <c r="AM4694">
        <v>91.938261474685305</v>
      </c>
      <c r="AN4694">
        <v>0.99999993426401101</v>
      </c>
    </row>
    <row r="4695" spans="1:40" x14ac:dyDescent="0.25">
      <c r="A4695" t="str">
        <f>"20190312151632090"</f>
        <v>20190312151632090</v>
      </c>
      <c r="B4695" t="str">
        <f>"1552374992082492"</f>
        <v>1552374992082492</v>
      </c>
      <c r="C4695" t="s">
        <v>40</v>
      </c>
      <c r="D4695">
        <v>4.6972680000000002</v>
      </c>
      <c r="E4695">
        <v>0.54158859999999998</v>
      </c>
      <c r="F4695" t="s">
        <v>70</v>
      </c>
      <c r="G4695">
        <v>-373.75360000000001</v>
      </c>
      <c r="H4695" s="1">
        <v>-3.9009880000000001E-6</v>
      </c>
      <c r="I4695">
        <v>14.160329999999901</v>
      </c>
      <c r="J4695">
        <v>-391.87009999999998</v>
      </c>
      <c r="K4695">
        <v>1.1114809999999999</v>
      </c>
      <c r="L4695">
        <v>17.5517</v>
      </c>
      <c r="M4695">
        <v>0.99410540000000003</v>
      </c>
      <c r="N4695">
        <v>0</v>
      </c>
      <c r="O4695">
        <v>-0.1075868</v>
      </c>
      <c r="P4695">
        <v>0.99433740000000004</v>
      </c>
      <c r="Q4695">
        <v>7.5071959999999993E-2</v>
      </c>
      <c r="R4695">
        <v>-7.5217850000000003E-2</v>
      </c>
      <c r="S4695">
        <v>2.9887999999999999</v>
      </c>
      <c r="T4695">
        <v>-0.18200189999999999</v>
      </c>
      <c r="U4695">
        <v>-0.55758669999999899</v>
      </c>
      <c r="V4695">
        <v>-3.2493170000000002E-2</v>
      </c>
      <c r="W4695">
        <v>8.8326899999999903E-2</v>
      </c>
      <c r="X4695">
        <v>0.99556140000000004</v>
      </c>
      <c r="Y4695">
        <v>7.6612949999999999E-2</v>
      </c>
      <c r="Z4695">
        <v>4.1540240000000001E-3</v>
      </c>
      <c r="AA4695">
        <v>0.9970523</v>
      </c>
      <c r="AB4695">
        <v>26</v>
      </c>
      <c r="AC4695">
        <v>18.116499999999899</v>
      </c>
      <c r="AD4695">
        <v>-1.1114849009879999</v>
      </c>
      <c r="AE4695">
        <v>-3.3913700000000002</v>
      </c>
      <c r="AF4695">
        <v>1.4172566096588699</v>
      </c>
      <c r="AG4695">
        <v>-1.1114849009879999</v>
      </c>
      <c r="AH4695">
        <v>18.3096412334246</v>
      </c>
      <c r="AI4695">
        <v>93.463536357174405</v>
      </c>
      <c r="AJ4695">
        <v>85.573849564256506</v>
      </c>
      <c r="AK4695">
        <v>18.398015574497901</v>
      </c>
      <c r="AL4695">
        <v>84.932637701458205</v>
      </c>
      <c r="AM4695">
        <v>91.869358198508493</v>
      </c>
      <c r="AN4695">
        <v>0.999999974265109</v>
      </c>
    </row>
    <row r="4696" spans="1:40" x14ac:dyDescent="0.25">
      <c r="A4696" t="str">
        <f>"20190312151632103"</f>
        <v>20190312151632103</v>
      </c>
      <c r="B4696" t="str">
        <f>"1552374992092251"</f>
        <v>1552374992092251</v>
      </c>
      <c r="C4696" t="s">
        <v>40</v>
      </c>
      <c r="D4696">
        <v>4.7974819999999996</v>
      </c>
      <c r="E4696">
        <v>0.54126300000000005</v>
      </c>
      <c r="F4696" t="s">
        <v>70</v>
      </c>
      <c r="G4696">
        <v>-373.29430000000002</v>
      </c>
      <c r="H4696" s="1">
        <v>-4.1304140000000003E-6</v>
      </c>
      <c r="I4696">
        <v>14.090780000000001</v>
      </c>
      <c r="J4696">
        <v>-391.71690000000001</v>
      </c>
      <c r="K4696">
        <v>1.111483</v>
      </c>
      <c r="L4696">
        <v>17.53641</v>
      </c>
      <c r="M4696">
        <v>0.99422969999999999</v>
      </c>
      <c r="N4696">
        <v>0</v>
      </c>
      <c r="O4696">
        <v>-0.106430399999999</v>
      </c>
      <c r="P4696">
        <v>0.9943516</v>
      </c>
      <c r="Q4696">
        <v>7.4937080000000003E-2</v>
      </c>
      <c r="R4696">
        <v>-7.5164789999999995E-2</v>
      </c>
      <c r="S4696">
        <v>2.988464</v>
      </c>
      <c r="T4696">
        <v>-0.17881610000000001</v>
      </c>
      <c r="U4696">
        <v>-0.55679319999999999</v>
      </c>
      <c r="V4696">
        <v>-3.1387900000000003E-2</v>
      </c>
      <c r="W4696">
        <v>8.8193430000000003E-2</v>
      </c>
      <c r="X4696">
        <v>0.99560870000000001</v>
      </c>
      <c r="Y4696">
        <v>7.7531649999999994E-2</v>
      </c>
      <c r="Z4696">
        <v>3.9868600000000001E-3</v>
      </c>
      <c r="AA4696">
        <v>0.99698189999999998</v>
      </c>
      <c r="AB4696">
        <v>26</v>
      </c>
      <c r="AC4696">
        <v>18.4225999999999</v>
      </c>
      <c r="AD4696">
        <v>-1.1114871304139999</v>
      </c>
      <c r="AE4696">
        <v>-3.44563</v>
      </c>
      <c r="AF4696">
        <v>1.4600198558434401</v>
      </c>
      <c r="AG4696">
        <v>-1.1114871304139999</v>
      </c>
      <c r="AH4696">
        <v>18.619212269781599</v>
      </c>
      <c r="AI4696">
        <v>93.405827942157401</v>
      </c>
      <c r="AJ4696">
        <v>85.516343688760998</v>
      </c>
      <c r="AK4696">
        <v>18.7094127959089</v>
      </c>
      <c r="AL4696">
        <v>84.940314971534207</v>
      </c>
      <c r="AM4696">
        <v>91.805728233106095</v>
      </c>
      <c r="AN4696">
        <v>0.99999998243863197</v>
      </c>
    </row>
    <row r="4697" spans="1:40" x14ac:dyDescent="0.25">
      <c r="A4697" t="str">
        <f>"20190312151632122"</f>
        <v>20190312151632122</v>
      </c>
      <c r="B4697" t="str">
        <f>"1552374992112278"</f>
        <v>1552374992112278</v>
      </c>
      <c r="C4697" t="s">
        <v>40</v>
      </c>
      <c r="D4697">
        <v>4.6743420000000002</v>
      </c>
      <c r="E4697">
        <v>0.540987</v>
      </c>
      <c r="F4697" t="s">
        <v>70</v>
      </c>
      <c r="G4697">
        <v>-373.26420000000002</v>
      </c>
      <c r="H4697" s="1">
        <v>-4.1403260000000003E-6</v>
      </c>
      <c r="I4697">
        <v>14.115259999999999</v>
      </c>
      <c r="J4697">
        <v>-391.51670000000001</v>
      </c>
      <c r="K4697">
        <v>1.111478</v>
      </c>
      <c r="L4697">
        <v>17.516690000000001</v>
      </c>
      <c r="M4697">
        <v>0.99439080000000002</v>
      </c>
      <c r="N4697">
        <v>0</v>
      </c>
      <c r="O4697">
        <v>-0.10491640000000001</v>
      </c>
      <c r="P4697">
        <v>0.99433839999999996</v>
      </c>
      <c r="Q4697">
        <v>7.5016109999999997E-2</v>
      </c>
      <c r="R4697">
        <v>-7.5258259999999993E-2</v>
      </c>
      <c r="S4697">
        <v>2.9887079999999999</v>
      </c>
      <c r="T4697">
        <v>-0.1800225</v>
      </c>
      <c r="U4697">
        <v>-0.55410769999999998</v>
      </c>
      <c r="V4697">
        <v>-2.9776839999999999E-2</v>
      </c>
      <c r="W4697">
        <v>8.8274660000000005E-2</v>
      </c>
      <c r="X4697">
        <v>0.99565099999999995</v>
      </c>
      <c r="Y4697">
        <v>7.8165999999999999E-2</v>
      </c>
      <c r="Z4697">
        <v>3.9053299999999998E-3</v>
      </c>
      <c r="AA4697">
        <v>0.9969327</v>
      </c>
      <c r="AB4697">
        <v>26</v>
      </c>
      <c r="AC4697">
        <v>18.252500000000001</v>
      </c>
      <c r="AD4697">
        <v>-1.111482140326</v>
      </c>
      <c r="AE4697">
        <v>-3.4014299999999902</v>
      </c>
      <c r="AF4697">
        <v>1.46225549641176</v>
      </c>
      <c r="AG4697">
        <v>-1.111482140326</v>
      </c>
      <c r="AH4697">
        <v>18.442552013860801</v>
      </c>
      <c r="AI4697">
        <v>93.438124415660994</v>
      </c>
      <c r="AJ4697">
        <v>85.466670434379097</v>
      </c>
      <c r="AK4697">
        <v>18.5337882924407</v>
      </c>
      <c r="AL4697">
        <v>84.935642674772097</v>
      </c>
      <c r="AM4697">
        <v>91.713028839911104</v>
      </c>
      <c r="AN4697">
        <v>0.99999999479974999</v>
      </c>
    </row>
    <row r="4698" spans="1:40" x14ac:dyDescent="0.25">
      <c r="A4698" t="str">
        <f>"20190312151632131"</f>
        <v>20190312151632131</v>
      </c>
      <c r="B4698" t="str">
        <f>"1552374992123014"</f>
        <v>1552374992123014</v>
      </c>
      <c r="C4698" t="s">
        <v>40</v>
      </c>
      <c r="D4698">
        <v>4.7733309999999998</v>
      </c>
      <c r="E4698">
        <v>0.540655</v>
      </c>
      <c r="F4698" t="s">
        <v>70</v>
      </c>
      <c r="G4698">
        <v>-372.27839999999998</v>
      </c>
      <c r="H4698" s="1">
        <v>-4.6340180000000001E-6</v>
      </c>
      <c r="I4698">
        <v>13.959250000000001</v>
      </c>
      <c r="J4698">
        <v>-391.38940000000002</v>
      </c>
      <c r="K4698">
        <v>1.1114790000000001</v>
      </c>
      <c r="L4698">
        <v>17.504239999999999</v>
      </c>
      <c r="M4698">
        <v>0.99449189999999998</v>
      </c>
      <c r="N4698">
        <v>0</v>
      </c>
      <c r="O4698">
        <v>-0.10395359999999999</v>
      </c>
      <c r="P4698">
        <v>0.99436559999999896</v>
      </c>
      <c r="Q4698">
        <v>7.5105530000000004E-2</v>
      </c>
      <c r="R4698">
        <v>-7.4808540000000007E-2</v>
      </c>
      <c r="S4698">
        <v>2.9883120000000001</v>
      </c>
      <c r="T4698">
        <v>-0.172648</v>
      </c>
      <c r="U4698">
        <v>-0.55258180000000001</v>
      </c>
      <c r="V4698">
        <v>-2.9262429999999999E-2</v>
      </c>
      <c r="W4698">
        <v>8.8363949999999997E-2</v>
      </c>
      <c r="X4698">
        <v>0.9956583</v>
      </c>
      <c r="Y4698">
        <v>7.8656799999999999E-2</v>
      </c>
      <c r="Z4698">
        <v>3.6776349999999998E-3</v>
      </c>
      <c r="AA4698">
        <v>0.99689499999999998</v>
      </c>
      <c r="AB4698">
        <v>26</v>
      </c>
      <c r="AC4698">
        <v>19.111000000000001</v>
      </c>
      <c r="AD4698">
        <v>-1.1114836340180001</v>
      </c>
      <c r="AE4698">
        <v>-3.5449899999999901</v>
      </c>
      <c r="AF4698">
        <v>1.53392878290986</v>
      </c>
      <c r="AG4698">
        <v>-1.1114836340180001</v>
      </c>
      <c r="AH4698">
        <v>19.312835432648399</v>
      </c>
      <c r="AI4698">
        <v>93.283509790421306</v>
      </c>
      <c r="AJ4698">
        <v>85.458795666704901</v>
      </c>
      <c r="AK4698">
        <v>19.405513284329501</v>
      </c>
      <c r="AL4698">
        <v>84.930506507179501</v>
      </c>
      <c r="AM4698">
        <v>91.683440241360799</v>
      </c>
      <c r="AN4698">
        <v>0.99999996391399804</v>
      </c>
    </row>
    <row r="4699" spans="1:40" x14ac:dyDescent="0.25">
      <c r="A4699" t="str">
        <f>"20190312151632144"</f>
        <v>20190312151632144</v>
      </c>
      <c r="B4699" t="str">
        <f>"1552374992132774"</f>
        <v>1552374992132774</v>
      </c>
      <c r="C4699" t="s">
        <v>40</v>
      </c>
      <c r="D4699">
        <v>4.8978970000000004</v>
      </c>
      <c r="E4699">
        <v>0.54051359999999904</v>
      </c>
      <c r="F4699" t="s">
        <v>70</v>
      </c>
      <c r="G4699">
        <v>-372.13690000000003</v>
      </c>
      <c r="H4699" s="1">
        <v>-4.6990899999999998E-6</v>
      </c>
      <c r="I4699">
        <v>13.9693</v>
      </c>
      <c r="J4699">
        <v>-391.25510000000003</v>
      </c>
      <c r="K4699">
        <v>1.1114790000000001</v>
      </c>
      <c r="L4699">
        <v>17.491329999999898</v>
      </c>
      <c r="M4699">
        <v>0.99459759999999997</v>
      </c>
      <c r="N4699">
        <v>0</v>
      </c>
      <c r="O4699">
        <v>-0.1029378</v>
      </c>
      <c r="P4699">
        <v>0.9944288</v>
      </c>
      <c r="Q4699">
        <v>7.5263750000000004E-2</v>
      </c>
      <c r="R4699">
        <v>-7.3806430000000006E-2</v>
      </c>
      <c r="S4699">
        <v>2.9887700000000001</v>
      </c>
      <c r="T4699">
        <v>-0.1725477</v>
      </c>
      <c r="U4699">
        <v>-0.54876709999999995</v>
      </c>
      <c r="V4699">
        <v>-2.9248260000000002E-2</v>
      </c>
      <c r="W4699">
        <v>8.8520219999999997E-2</v>
      </c>
      <c r="X4699">
        <v>0.99564490000000005</v>
      </c>
      <c r="Y4699">
        <v>7.8415799999999994E-2</v>
      </c>
      <c r="Z4699">
        <v>3.624754E-3</v>
      </c>
      <c r="AA4699">
        <v>0.99691410000000003</v>
      </c>
      <c r="AB4699">
        <v>26</v>
      </c>
      <c r="AC4699">
        <v>19.118200000000002</v>
      </c>
      <c r="AD4699">
        <v>-1.1114836990899899</v>
      </c>
      <c r="AE4699">
        <v>-3.5220299999999898</v>
      </c>
      <c r="AF4699">
        <v>1.53015276554446</v>
      </c>
      <c r="AG4699">
        <v>-1.1114836990899899</v>
      </c>
      <c r="AH4699">
        <v>19.3160598998833</v>
      </c>
      <c r="AI4699">
        <v>93.283016959698202</v>
      </c>
      <c r="AJ4699">
        <v>85.470681066368002</v>
      </c>
      <c r="AK4699">
        <v>19.408424293464002</v>
      </c>
      <c r="AL4699">
        <v>84.921517999767801</v>
      </c>
      <c r="AM4699">
        <v>91.682648156029501</v>
      </c>
      <c r="AN4699">
        <v>1.0000000284789401</v>
      </c>
    </row>
    <row r="4700" spans="1:40" x14ac:dyDescent="0.25">
      <c r="A4700" t="str">
        <f>"20190312151632156"</f>
        <v>20190312151632156</v>
      </c>
      <c r="B4700" t="str">
        <f>"1552374992152294"</f>
        <v>1552374992152294</v>
      </c>
      <c r="C4700" t="s">
        <v>40</v>
      </c>
      <c r="D4700">
        <v>4.7899269999999996</v>
      </c>
      <c r="E4700">
        <v>0.54037669999999904</v>
      </c>
      <c r="F4700" t="s">
        <v>70</v>
      </c>
      <c r="G4700">
        <v>-371.4862</v>
      </c>
      <c r="H4700" s="1">
        <v>-5.0211640000000002E-6</v>
      </c>
      <c r="I4700">
        <v>13.88762</v>
      </c>
      <c r="J4700">
        <v>-391.1216</v>
      </c>
      <c r="K4700">
        <v>1.111478</v>
      </c>
      <c r="L4700">
        <v>17.47861</v>
      </c>
      <c r="M4700">
        <v>0.99470170000000002</v>
      </c>
      <c r="N4700">
        <v>0</v>
      </c>
      <c r="O4700">
        <v>-0.1019274</v>
      </c>
      <c r="P4700">
        <v>0.9945098</v>
      </c>
      <c r="Q4700">
        <v>7.507461E-2</v>
      </c>
      <c r="R4700">
        <v>-7.2900149999999997E-2</v>
      </c>
      <c r="S4700">
        <v>2.9891049999999999</v>
      </c>
      <c r="T4700">
        <v>-0.16805929999999999</v>
      </c>
      <c r="U4700">
        <v>-0.54489140000000003</v>
      </c>
      <c r="V4700">
        <v>-2.9144779999999999E-2</v>
      </c>
      <c r="W4700">
        <v>8.8329749999999999E-2</v>
      </c>
      <c r="X4700">
        <v>0.99566480000000002</v>
      </c>
      <c r="Y4700">
        <v>7.8154730000000006E-2</v>
      </c>
      <c r="Z4700">
        <v>3.482176E-3</v>
      </c>
      <c r="AA4700">
        <v>0.99693520000000002</v>
      </c>
      <c r="AB4700">
        <v>26</v>
      </c>
      <c r="AC4700">
        <v>19.635400000000001</v>
      </c>
      <c r="AD4700">
        <v>-1.1114830211640001</v>
      </c>
      <c r="AE4700">
        <v>-3.5909899999999899</v>
      </c>
      <c r="AF4700">
        <v>1.5658644000147901</v>
      </c>
      <c r="AG4700">
        <v>-1.1114830211640001</v>
      </c>
      <c r="AH4700">
        <v>19.8376628129393</v>
      </c>
      <c r="AI4700">
        <v>93.196945116899698</v>
      </c>
      <c r="AJ4700">
        <v>85.486777564549598</v>
      </c>
      <c r="AK4700">
        <v>19.930383631667599</v>
      </c>
      <c r="AL4700">
        <v>84.932473788984097</v>
      </c>
      <c r="AM4700">
        <v>91.676664878413504</v>
      </c>
      <c r="AN4700">
        <v>0.99999997844767496</v>
      </c>
    </row>
    <row r="4701" spans="1:40" x14ac:dyDescent="0.25">
      <c r="A4701" t="str">
        <f>"20190312151632166"</f>
        <v>20190312151632166</v>
      </c>
      <c r="B4701" t="str">
        <f>"1552374992163031"</f>
        <v>1552374992163031</v>
      </c>
      <c r="C4701" t="s">
        <v>40</v>
      </c>
      <c r="D4701">
        <v>5.1901590000000004</v>
      </c>
      <c r="E4701">
        <v>0.53773470000000001</v>
      </c>
      <c r="F4701" t="s">
        <v>70</v>
      </c>
      <c r="G4701">
        <v>-371.0976</v>
      </c>
      <c r="H4701" s="1">
        <v>-5.2111830000000003E-6</v>
      </c>
      <c r="I4701">
        <v>13.85206</v>
      </c>
      <c r="J4701">
        <v>-390.98570000000001</v>
      </c>
      <c r="K4701">
        <v>1.111477</v>
      </c>
      <c r="L4701">
        <v>17.465789999999998</v>
      </c>
      <c r="M4701">
        <v>0.99480650000000004</v>
      </c>
      <c r="N4701">
        <v>0</v>
      </c>
      <c r="O4701">
        <v>-0.1009</v>
      </c>
      <c r="P4701">
        <v>0.99462169999999905</v>
      </c>
      <c r="Q4701">
        <v>7.4722960000000005E-2</v>
      </c>
      <c r="R4701">
        <v>-7.1724769999999993E-2</v>
      </c>
      <c r="S4701">
        <v>2.9894099999999999</v>
      </c>
      <c r="T4701">
        <v>-0.1659352</v>
      </c>
      <c r="U4701">
        <v>-0.54141240000000002</v>
      </c>
      <c r="V4701">
        <v>-2.9295249999999998E-2</v>
      </c>
      <c r="W4701">
        <v>8.7976840000000001E-2</v>
      </c>
      <c r="X4701">
        <v>0.99569169999999996</v>
      </c>
      <c r="Y4701">
        <v>7.8041100000000002E-2</v>
      </c>
      <c r="Z4701">
        <v>3.385388E-3</v>
      </c>
      <c r="AA4701">
        <v>0.99694439999999995</v>
      </c>
      <c r="AB4701">
        <v>26</v>
      </c>
      <c r="AC4701">
        <v>19.888100000000001</v>
      </c>
      <c r="AD4701">
        <v>-1.1114822111830001</v>
      </c>
      <c r="AE4701">
        <v>-3.6137299999999901</v>
      </c>
      <c r="AF4701">
        <v>1.5836070921808501</v>
      </c>
      <c r="AG4701">
        <v>-1.1114822111830001</v>
      </c>
      <c r="AH4701">
        <v>20.090498499317</v>
      </c>
      <c r="AI4701">
        <v>93.156818894245802</v>
      </c>
      <c r="AJ4701">
        <v>85.493054347329902</v>
      </c>
      <c r="AK4701">
        <v>20.183442077089801</v>
      </c>
      <c r="AL4701">
        <v>84.952773425545502</v>
      </c>
      <c r="AM4701">
        <v>91.685270756109205</v>
      </c>
      <c r="AN4701">
        <v>1.00000004874891</v>
      </c>
    </row>
    <row r="4702" spans="1:40" x14ac:dyDescent="0.25">
      <c r="A4702" t="str">
        <f>"20190312151632178"</f>
        <v>20190312151632178</v>
      </c>
      <c r="B4702" t="str">
        <f>"1552374992172790"</f>
        <v>1552374992172790</v>
      </c>
      <c r="C4702" t="s">
        <v>40</v>
      </c>
      <c r="D4702">
        <v>4.874695</v>
      </c>
      <c r="E4702">
        <v>0.53773470000000001</v>
      </c>
      <c r="F4702" t="s">
        <v>70</v>
      </c>
      <c r="G4702">
        <v>-371.41430000000003</v>
      </c>
      <c r="H4702" s="1">
        <v>-5.0203839999999998E-6</v>
      </c>
      <c r="I4702">
        <v>14.083679999999999</v>
      </c>
      <c r="J4702">
        <v>-390.85939999999999</v>
      </c>
      <c r="K4702">
        <v>1.1114759999999999</v>
      </c>
      <c r="L4702">
        <v>17.454039999999999</v>
      </c>
      <c r="M4702">
        <v>0.99490270000000003</v>
      </c>
      <c r="N4702">
        <v>0</v>
      </c>
      <c r="O4702">
        <v>-9.9945279999999997E-2</v>
      </c>
      <c r="P4702">
        <v>0.99473290000000003</v>
      </c>
      <c r="Q4702">
        <v>7.4533820000000001E-2</v>
      </c>
      <c r="R4702">
        <v>-7.0364339999999997E-2</v>
      </c>
      <c r="S4702">
        <v>2.99173</v>
      </c>
      <c r="T4702">
        <v>-0.1699041</v>
      </c>
      <c r="U4702">
        <v>-0.51699830000000002</v>
      </c>
      <c r="V4702">
        <v>-2.9702639999999999E-2</v>
      </c>
      <c r="W4702">
        <v>8.7784459999999995E-2</v>
      </c>
      <c r="X4702">
        <v>0.99569649999999998</v>
      </c>
      <c r="Y4702">
        <v>7.0982809999999993E-2</v>
      </c>
      <c r="Z4702">
        <v>3.6120560000000002E-3</v>
      </c>
      <c r="AA4702">
        <v>0.997471</v>
      </c>
      <c r="AB4702">
        <v>26</v>
      </c>
      <c r="AC4702">
        <v>19.445099999999901</v>
      </c>
      <c r="AD4702">
        <v>-1.111481020384</v>
      </c>
      <c r="AE4702">
        <v>-3.3703599999999998</v>
      </c>
      <c r="AF4702">
        <v>1.4054029894104301</v>
      </c>
      <c r="AG4702">
        <v>-1.111481020384</v>
      </c>
      <c r="AH4702">
        <v>19.622359929118701</v>
      </c>
      <c r="AI4702">
        <v>93.233708775864102</v>
      </c>
      <c r="AJ4702">
        <v>85.903326989115897</v>
      </c>
      <c r="AK4702">
        <v>19.703998498000399</v>
      </c>
      <c r="AL4702">
        <v>84.963838245639707</v>
      </c>
      <c r="AM4702">
        <v>91.708684690958407</v>
      </c>
      <c r="AN4702">
        <v>0.99999993917635299</v>
      </c>
    </row>
    <row r="4703" spans="1:40" x14ac:dyDescent="0.25">
      <c r="A4703" t="str">
        <f>"20190312151632189"</f>
        <v>20190312151632189</v>
      </c>
      <c r="B4703" t="str">
        <f>"1552374992182551"</f>
        <v>1552374992182551</v>
      </c>
      <c r="C4703" t="s">
        <v>40</v>
      </c>
      <c r="D4703">
        <v>4.6798489999999999</v>
      </c>
      <c r="E4703">
        <v>0.46218419999999999</v>
      </c>
      <c r="F4703" t="s">
        <v>70</v>
      </c>
      <c r="G4703">
        <v>-371.32170000000002</v>
      </c>
      <c r="H4703" s="1">
        <v>-5.0607880000000004E-6</v>
      </c>
      <c r="I4703">
        <v>14.102550000000001</v>
      </c>
      <c r="J4703">
        <v>-390.72620000000001</v>
      </c>
      <c r="K4703">
        <v>1.111472</v>
      </c>
      <c r="L4703">
        <v>17.441739999999999</v>
      </c>
      <c r="M4703">
        <v>0.99500359999999999</v>
      </c>
      <c r="N4703">
        <v>0</v>
      </c>
      <c r="O4703">
        <v>-9.8938120000000004E-2</v>
      </c>
      <c r="P4703">
        <v>0.99486739999999996</v>
      </c>
      <c r="Q4703">
        <v>7.4162889999999995E-2</v>
      </c>
      <c r="R4703">
        <v>-6.8843009999999996E-2</v>
      </c>
      <c r="S4703">
        <v>2.99234</v>
      </c>
      <c r="T4703">
        <v>-0.17023170000000001</v>
      </c>
      <c r="U4703">
        <v>-0.51330569999999998</v>
      </c>
      <c r="V4703">
        <v>-3.021973E-2</v>
      </c>
      <c r="W4703">
        <v>8.7410639999999998E-2</v>
      </c>
      <c r="X4703">
        <v>0.99571390000000004</v>
      </c>
      <c r="Y4703">
        <v>7.0761850000000001E-2</v>
      </c>
      <c r="Z4703">
        <v>3.568589E-3</v>
      </c>
      <c r="AA4703">
        <v>0.99748680000000001</v>
      </c>
      <c r="AB4703">
        <v>26</v>
      </c>
      <c r="AC4703">
        <v>19.404499999999899</v>
      </c>
      <c r="AD4703">
        <v>-1.111477060788</v>
      </c>
      <c r="AE4703">
        <v>-3.3391899999999901</v>
      </c>
      <c r="AF4703">
        <v>1.39833106868899</v>
      </c>
      <c r="AG4703">
        <v>-1.111477060788</v>
      </c>
      <c r="AH4703">
        <v>19.577294953337098</v>
      </c>
      <c r="AI4703">
        <v>93.241170269693399</v>
      </c>
      <c r="AJ4703">
        <v>85.914520488339406</v>
      </c>
      <c r="AK4703">
        <v>19.658616144690299</v>
      </c>
      <c r="AL4703">
        <v>84.985339569129906</v>
      </c>
      <c r="AM4703">
        <v>91.738382538777799</v>
      </c>
      <c r="AN4703">
        <v>1.00000001135984</v>
      </c>
    </row>
    <row r="4704" spans="1:40" x14ac:dyDescent="0.25">
      <c r="A4704" t="str">
        <f>"20190312151632202"</f>
        <v>20190312151632202</v>
      </c>
      <c r="B4704" t="str">
        <f>"1552374992192310"</f>
        <v>1552374992192310</v>
      </c>
      <c r="C4704" t="s">
        <v>40</v>
      </c>
      <c r="D4704">
        <v>4.6850759999999996</v>
      </c>
      <c r="E4704">
        <v>0.45452720000000002</v>
      </c>
      <c r="F4704" t="s">
        <v>70</v>
      </c>
      <c r="G4704">
        <v>-374.50400000000002</v>
      </c>
      <c r="H4704" s="1">
        <v>-2.876962E-6</v>
      </c>
      <c r="I4704">
        <v>17.93365</v>
      </c>
      <c r="J4704">
        <v>-390.59539999999998</v>
      </c>
      <c r="K4704">
        <v>1.11147</v>
      </c>
      <c r="L4704">
        <v>17.429839999999999</v>
      </c>
      <c r="M4704">
        <v>0.99510129999999997</v>
      </c>
      <c r="N4704">
        <v>0</v>
      </c>
      <c r="O4704">
        <v>-9.7949560000000005E-2</v>
      </c>
      <c r="P4704">
        <v>0.99500140000000004</v>
      </c>
      <c r="Q4704">
        <v>7.38095E-2</v>
      </c>
      <c r="R4704">
        <v>-6.7263420000000004E-2</v>
      </c>
      <c r="S4704">
        <v>3.0373230000000002</v>
      </c>
      <c r="T4704">
        <v>-0.20810429999999999</v>
      </c>
      <c r="U4704">
        <v>9.2102050000000005E-2</v>
      </c>
      <c r="V4704">
        <v>-3.0812760000000002E-2</v>
      </c>
      <c r="W4704">
        <v>8.7053900000000004E-2</v>
      </c>
      <c r="X4704">
        <v>0.99572689999999997</v>
      </c>
      <c r="Y4704">
        <v>-0.127549</v>
      </c>
      <c r="Z4704">
        <v>1.106013E-2</v>
      </c>
      <c r="AA4704">
        <v>0.99177059999999995</v>
      </c>
      <c r="AB4704">
        <v>26</v>
      </c>
      <c r="AC4704">
        <v>16.091399999999901</v>
      </c>
      <c r="AD4704">
        <v>-1.1114728769619999</v>
      </c>
      <c r="AE4704">
        <v>0.50381000000000098</v>
      </c>
      <c r="AF4704">
        <v>-2.0678178807961398</v>
      </c>
      <c r="AG4704">
        <v>-1.1114728769619999</v>
      </c>
      <c r="AH4704">
        <v>15.888924342752199</v>
      </c>
      <c r="AI4704">
        <v>93.968120436658594</v>
      </c>
      <c r="AJ4704">
        <v>97.414918050462802</v>
      </c>
      <c r="AK4704">
        <v>16.061418353123901</v>
      </c>
      <c r="AL4704">
        <v>85.005857090007297</v>
      </c>
      <c r="AM4704">
        <v>91.7724517659762</v>
      </c>
      <c r="AN4704">
        <v>0.999999933533816</v>
      </c>
    </row>
    <row r="4705" spans="1:40" x14ac:dyDescent="0.25">
      <c r="A4705" t="str">
        <f>"20190312151632213"</f>
        <v>20190312151632213</v>
      </c>
      <c r="B4705" t="str">
        <f>"1552374992203046"</f>
        <v>1552374992203046</v>
      </c>
      <c r="C4705" t="s">
        <v>40</v>
      </c>
      <c r="D4705">
        <v>4.6354089999999903</v>
      </c>
      <c r="E4705">
        <v>0.45091300000000001</v>
      </c>
      <c r="F4705" t="s">
        <v>70</v>
      </c>
      <c r="G4705">
        <v>-376.2724</v>
      </c>
      <c r="H4705" s="1">
        <v>-1.9987890000000002E-6</v>
      </c>
      <c r="I4705">
        <v>18.171679999999999</v>
      </c>
      <c r="J4705">
        <v>-390.46140000000003</v>
      </c>
      <c r="K4705">
        <v>1.111472</v>
      </c>
      <c r="L4705">
        <v>17.41769</v>
      </c>
      <c r="M4705">
        <v>0.99520039999999999</v>
      </c>
      <c r="N4705">
        <v>0</v>
      </c>
      <c r="O4705">
        <v>-9.6937750000000003E-2</v>
      </c>
      <c r="P4705">
        <v>0.99512829999999997</v>
      </c>
      <c r="Q4705">
        <v>7.3526220000000003E-2</v>
      </c>
      <c r="R4705">
        <v>-6.5679479999999998E-2</v>
      </c>
      <c r="S4705">
        <v>3.0432739999999998</v>
      </c>
      <c r="T4705">
        <v>-0.23616000000000001</v>
      </c>
      <c r="U4705">
        <v>0.15762329999999999</v>
      </c>
      <c r="V4705">
        <v>-3.1387569999999997E-2</v>
      </c>
      <c r="W4705">
        <v>8.6767460000000005E-2</v>
      </c>
      <c r="X4705">
        <v>0.99573400000000001</v>
      </c>
      <c r="Y4705">
        <v>-0.14756429999999901</v>
      </c>
      <c r="Z4705">
        <v>1.321578E-2</v>
      </c>
      <c r="AA4705">
        <v>0.98896410000000001</v>
      </c>
      <c r="AB4705">
        <v>26</v>
      </c>
      <c r="AC4705">
        <v>14.189</v>
      </c>
      <c r="AD4705">
        <v>-1.1114739987890001</v>
      </c>
      <c r="AE4705">
        <v>0.75398999999999805</v>
      </c>
      <c r="AF4705">
        <v>-2.1130817735181702</v>
      </c>
      <c r="AG4705">
        <v>-1.1114739987890001</v>
      </c>
      <c r="AH4705">
        <v>13.9636260361174</v>
      </c>
      <c r="AI4705">
        <v>94.500003609995503</v>
      </c>
      <c r="AJ4705">
        <v>98.605142168130001</v>
      </c>
      <c r="AK4705">
        <v>14.166274778786899</v>
      </c>
      <c r="AL4705">
        <v>85.0223314884974</v>
      </c>
      <c r="AM4705">
        <v>91.805482186648604</v>
      </c>
      <c r="AN4705">
        <v>0.99999998521067801</v>
      </c>
    </row>
    <row r="4706" spans="1:40" x14ac:dyDescent="0.25">
      <c r="A4706" t="str">
        <f>"20190312151632224"</f>
        <v>20190312151632224</v>
      </c>
      <c r="B4706" t="str">
        <f>"1552374992212806"</f>
        <v>1552374992212806</v>
      </c>
      <c r="C4706" t="s">
        <v>40</v>
      </c>
      <c r="D4706">
        <v>4.6705800000000002</v>
      </c>
      <c r="E4706">
        <v>0.44892359999999998</v>
      </c>
      <c r="F4706" t="s">
        <v>70</v>
      </c>
      <c r="G4706">
        <v>-377.86099999999999</v>
      </c>
      <c r="H4706" s="1">
        <v>-1.2414230000000001E-6</v>
      </c>
      <c r="I4706">
        <v>18.207940000000001</v>
      </c>
      <c r="J4706">
        <v>-390.32990000000001</v>
      </c>
      <c r="K4706">
        <v>1.1114679999999999</v>
      </c>
      <c r="L4706">
        <v>17.406009999999998</v>
      </c>
      <c r="M4706">
        <v>0.99529659999999998</v>
      </c>
      <c r="N4706">
        <v>0</v>
      </c>
      <c r="O4706">
        <v>-9.5944310000000005E-2</v>
      </c>
      <c r="P4706">
        <v>0.99525050000000004</v>
      </c>
      <c r="Q4706">
        <v>7.3225570000000004E-2</v>
      </c>
      <c r="R4706">
        <v>-6.4145069999999998E-2</v>
      </c>
      <c r="S4706">
        <v>3.0471189999999999</v>
      </c>
      <c r="T4706">
        <v>-0.26878350000000001</v>
      </c>
      <c r="U4706">
        <v>0.1911011</v>
      </c>
      <c r="V4706">
        <v>-3.1930640000000003E-2</v>
      </c>
      <c r="W4706">
        <v>8.6463419999999999E-2</v>
      </c>
      <c r="X4706">
        <v>0.99574320000000005</v>
      </c>
      <c r="Y4706">
        <v>-0.15708900000000001</v>
      </c>
      <c r="Z4706">
        <v>1.5344E-2</v>
      </c>
      <c r="AA4706">
        <v>0.98746529999999999</v>
      </c>
      <c r="AB4706">
        <v>26</v>
      </c>
      <c r="AC4706">
        <v>12.4689</v>
      </c>
      <c r="AD4706">
        <v>-1.1114692414229901</v>
      </c>
      <c r="AE4706">
        <v>0.80192999999999803</v>
      </c>
      <c r="AF4706">
        <v>-1.9789971296822899</v>
      </c>
      <c r="AG4706">
        <v>-1.1114692414229901</v>
      </c>
      <c r="AH4706">
        <v>12.237582350441301</v>
      </c>
      <c r="AI4706">
        <v>95.123408403217098</v>
      </c>
      <c r="AJ4706">
        <v>99.186044772483299</v>
      </c>
      <c r="AK4706">
        <v>12.4462932352469</v>
      </c>
      <c r="AL4706">
        <v>85.039817509070701</v>
      </c>
      <c r="AM4706">
        <v>91.836682596718305</v>
      </c>
      <c r="AN4706">
        <v>1.0000000045575701</v>
      </c>
    </row>
    <row r="4707" spans="1:40" x14ac:dyDescent="0.25">
      <c r="A4707" t="str">
        <f>"20190312151632257"</f>
        <v>20190312151632257</v>
      </c>
      <c r="B4707" t="str">
        <f>"1552374992252822"</f>
        <v>1552374992252822</v>
      </c>
      <c r="C4707" t="s">
        <v>40</v>
      </c>
      <c r="D4707">
        <v>4.6138139999999996</v>
      </c>
      <c r="E4707">
        <v>0.44635809999999998</v>
      </c>
      <c r="F4707" t="s">
        <v>70</v>
      </c>
      <c r="G4707">
        <v>-378.51100000000002</v>
      </c>
      <c r="H4707" s="1">
        <v>-9.3093619999999998E-7</v>
      </c>
      <c r="I4707">
        <v>18.225909999999999</v>
      </c>
      <c r="J4707">
        <v>-389.95870000000002</v>
      </c>
      <c r="K4707">
        <v>1.1114660000000001</v>
      </c>
      <c r="L4707">
        <v>17.3736</v>
      </c>
      <c r="M4707">
        <v>0.99556299999999998</v>
      </c>
      <c r="N4707">
        <v>0</v>
      </c>
      <c r="O4707">
        <v>-9.3140879999999995E-2</v>
      </c>
      <c r="P4707">
        <v>0.99553729999999996</v>
      </c>
      <c r="Q4707">
        <v>7.3187619999999995E-2</v>
      </c>
      <c r="R4707">
        <v>-5.957465E-2</v>
      </c>
      <c r="S4707">
        <v>3.0490110000000001</v>
      </c>
      <c r="T4707">
        <v>-0.28673510000000002</v>
      </c>
      <c r="U4707">
        <v>0.21151729999999999</v>
      </c>
      <c r="V4707">
        <v>-3.3699390000000003E-2</v>
      </c>
      <c r="W4707">
        <v>8.6415439999999996E-2</v>
      </c>
      <c r="X4707">
        <v>0.99568909999999999</v>
      </c>
      <c r="Y4707">
        <v>-0.16071540000000001</v>
      </c>
      <c r="Z4707">
        <v>1.6259119999999998E-2</v>
      </c>
      <c r="AA4707">
        <v>0.98686680000000004</v>
      </c>
      <c r="AB4707">
        <v>26</v>
      </c>
      <c r="AC4707">
        <v>11.447699999999999</v>
      </c>
      <c r="AD4707">
        <v>-1.1114669309362</v>
      </c>
      <c r="AE4707">
        <v>0.85230999999999901</v>
      </c>
      <c r="AF4707">
        <v>-1.89716335746446</v>
      </c>
      <c r="AG4707">
        <v>-1.1114669309362</v>
      </c>
      <c r="AH4707">
        <v>11.213413188450099</v>
      </c>
      <c r="AI4707">
        <v>95.581821972742105</v>
      </c>
      <c r="AJ4707">
        <v>99.602764280576807</v>
      </c>
      <c r="AK4707">
        <v>11.4269516004215</v>
      </c>
      <c r="AL4707">
        <v>85.042577017587604</v>
      </c>
      <c r="AM4707">
        <v>91.938452541688704</v>
      </c>
      <c r="AN4707">
        <v>1.0000000305077801</v>
      </c>
    </row>
    <row r="4708" spans="1:40" x14ac:dyDescent="0.25">
      <c r="A4708" t="str">
        <f>"20190312151632277"</f>
        <v>20190312151632277</v>
      </c>
      <c r="B4708" t="str">
        <f>"1552374992272342"</f>
        <v>1552374992272342</v>
      </c>
      <c r="C4708" t="s">
        <v>40</v>
      </c>
      <c r="D4708">
        <v>4.6072259999999998</v>
      </c>
      <c r="E4708">
        <v>0.44590180000000001</v>
      </c>
      <c r="F4708" t="s">
        <v>70</v>
      </c>
      <c r="G4708">
        <v>-379.38929999999999</v>
      </c>
      <c r="H4708" s="1">
        <v>-5.8953579999999998E-7</v>
      </c>
      <c r="I4708">
        <v>18.222770000000001</v>
      </c>
      <c r="J4708">
        <v>-389.73</v>
      </c>
      <c r="K4708">
        <v>1.111464</v>
      </c>
      <c r="L4708">
        <v>17.354189999999999</v>
      </c>
      <c r="M4708">
        <v>0.99572320000000003</v>
      </c>
      <c r="N4708">
        <v>0</v>
      </c>
      <c r="O4708">
        <v>-9.1413380000000002E-2</v>
      </c>
      <c r="P4708">
        <v>0.99567620000000001</v>
      </c>
      <c r="Q4708">
        <v>7.3273060000000001E-2</v>
      </c>
      <c r="R4708">
        <v>-5.7100140000000001E-2</v>
      </c>
      <c r="S4708">
        <v>3.051666</v>
      </c>
      <c r="T4708">
        <v>-0.32090829999999998</v>
      </c>
      <c r="U4708">
        <v>0.24517820000000001</v>
      </c>
      <c r="V4708">
        <v>-3.4446440000000002E-2</v>
      </c>
      <c r="W4708">
        <v>8.6496210000000004E-2</v>
      </c>
      <c r="X4708">
        <v>0.99565650000000006</v>
      </c>
      <c r="Y4708">
        <v>-0.16944609999999999</v>
      </c>
      <c r="Z4708">
        <v>1.8441389999999998E-2</v>
      </c>
      <c r="AA4708">
        <v>0.98536690000000005</v>
      </c>
      <c r="AB4708">
        <v>26</v>
      </c>
      <c r="AC4708">
        <v>10.3407</v>
      </c>
      <c r="AD4708">
        <v>-1.1114645895358</v>
      </c>
      <c r="AE4708">
        <v>0.86858000000000102</v>
      </c>
      <c r="AF4708">
        <v>-1.7897733101075</v>
      </c>
      <c r="AG4708">
        <v>-1.1114645895358</v>
      </c>
      <c r="AH4708">
        <v>10.102098140238599</v>
      </c>
      <c r="AI4708">
        <v>96.183082219844195</v>
      </c>
      <c r="AJ4708">
        <v>100.046753436518</v>
      </c>
      <c r="AK4708">
        <v>10.3194490584709</v>
      </c>
      <c r="AL4708">
        <v>85.037931736555606</v>
      </c>
      <c r="AM4708">
        <v>91.981455210836799</v>
      </c>
      <c r="AN4708">
        <v>1.0000000087826399</v>
      </c>
    </row>
    <row r="4709" spans="1:40" x14ac:dyDescent="0.25">
      <c r="A4709" t="str">
        <f>"20190312151632288"</f>
        <v>20190312151632288</v>
      </c>
      <c r="B4709" t="str">
        <f>"1552374992283079"</f>
        <v>1552374992283079</v>
      </c>
      <c r="C4709" t="s">
        <v>40</v>
      </c>
      <c r="D4709">
        <v>4.6200279999999996</v>
      </c>
      <c r="E4709">
        <v>0.44578770000000001</v>
      </c>
      <c r="F4709" t="s">
        <v>70</v>
      </c>
      <c r="G4709">
        <v>-379.37830000000002</v>
      </c>
      <c r="H4709" s="1">
        <v>-5.9348100000000002E-7</v>
      </c>
      <c r="I4709">
        <v>18.223710000000001</v>
      </c>
      <c r="J4709">
        <v>-389.59309999999999</v>
      </c>
      <c r="K4709">
        <v>1.1114630000000001</v>
      </c>
      <c r="L4709">
        <v>17.34271</v>
      </c>
      <c r="M4709">
        <v>0.99581759999999997</v>
      </c>
      <c r="N4709">
        <v>0</v>
      </c>
      <c r="O4709">
        <v>-9.0380119999999994E-2</v>
      </c>
      <c r="P4709">
        <v>0.9957414</v>
      </c>
      <c r="Q4709">
        <v>7.3247090000000001E-2</v>
      </c>
      <c r="R4709">
        <v>-5.5985640000000003E-2</v>
      </c>
      <c r="S4709">
        <v>3.0518190000000001</v>
      </c>
      <c r="T4709">
        <v>-0.32767629999999998</v>
      </c>
      <c r="U4709">
        <v>0.25634770000000001</v>
      </c>
      <c r="V4709">
        <v>-3.4527710000000003E-2</v>
      </c>
      <c r="W4709">
        <v>8.6468660000000003E-2</v>
      </c>
      <c r="X4709">
        <v>0.99565610000000004</v>
      </c>
      <c r="Y4709">
        <v>-0.1719329</v>
      </c>
      <c r="Z4709">
        <v>1.8847389999999999E-2</v>
      </c>
      <c r="AA4709">
        <v>0.98492840000000004</v>
      </c>
      <c r="AB4709">
        <v>26</v>
      </c>
      <c r="AC4709">
        <v>10.214799999999901</v>
      </c>
      <c r="AD4709">
        <v>-1.11146359348099</v>
      </c>
      <c r="AE4709">
        <v>0.88100000000000001</v>
      </c>
      <c r="AF4709">
        <v>-1.7797751560861801</v>
      </c>
      <c r="AG4709">
        <v>-1.11146359348099</v>
      </c>
      <c r="AH4709">
        <v>9.9761154167111705</v>
      </c>
      <c r="AI4709">
        <v>96.259221174974797</v>
      </c>
      <c r="AJ4709">
        <v>100.115354070092</v>
      </c>
      <c r="AK4709">
        <v>10.194401882081999</v>
      </c>
      <c r="AL4709">
        <v>85.039516280511407</v>
      </c>
      <c r="AM4709">
        <v>91.986127145305005</v>
      </c>
      <c r="AN4709">
        <v>1.0000000306936201</v>
      </c>
    </row>
    <row r="4710" spans="1:40" x14ac:dyDescent="0.25">
      <c r="A4710" t="str">
        <f>"20190312151632300"</f>
        <v>20190312151632300</v>
      </c>
      <c r="B4710" t="str">
        <f>"1552374992292838"</f>
        <v>1552374992292838</v>
      </c>
      <c r="C4710" t="s">
        <v>40</v>
      </c>
      <c r="D4710">
        <v>4.5875589999999997</v>
      </c>
      <c r="E4710">
        <v>0.44564819999999999</v>
      </c>
      <c r="F4710" t="s">
        <v>70</v>
      </c>
      <c r="G4710">
        <v>-379.34089999999998</v>
      </c>
      <c r="H4710" s="1">
        <v>-6.0902609999999898E-7</v>
      </c>
      <c r="I4710">
        <v>18.219349999999999</v>
      </c>
      <c r="J4710">
        <v>-389.47570000000002</v>
      </c>
      <c r="K4710">
        <v>1.111464</v>
      </c>
      <c r="L4710">
        <v>17.33304</v>
      </c>
      <c r="M4710">
        <v>0.99589749999999999</v>
      </c>
      <c r="N4710">
        <v>0</v>
      </c>
      <c r="O4710">
        <v>-8.9493619999999996E-2</v>
      </c>
      <c r="P4710">
        <v>0.99577740000000003</v>
      </c>
      <c r="Q4710">
        <v>7.3393420000000001E-2</v>
      </c>
      <c r="R4710">
        <v>-5.514517E-2</v>
      </c>
      <c r="S4710">
        <v>3.0518800000000001</v>
      </c>
      <c r="T4710">
        <v>-0.33085879999999901</v>
      </c>
      <c r="U4710">
        <v>0.26095580000000002</v>
      </c>
      <c r="V4710">
        <v>-3.4480749999999998E-2</v>
      </c>
      <c r="W4710">
        <v>8.6614010000000005E-2</v>
      </c>
      <c r="X4710">
        <v>0.995645</v>
      </c>
      <c r="Y4710">
        <v>-0.17250399999999999</v>
      </c>
      <c r="Z4710">
        <v>1.8963230000000001E-2</v>
      </c>
      <c r="AA4710">
        <v>0.98482630000000004</v>
      </c>
      <c r="AB4710">
        <v>26</v>
      </c>
      <c r="AC4710">
        <v>10.1348</v>
      </c>
      <c r="AD4710">
        <v>-1.1114646090261</v>
      </c>
      <c r="AE4710">
        <v>0.88630999999999804</v>
      </c>
      <c r="AF4710">
        <v>-1.76872295371719</v>
      </c>
      <c r="AG4710">
        <v>-1.1114646090261</v>
      </c>
      <c r="AH4710">
        <v>9.89667467670699</v>
      </c>
      <c r="AI4710">
        <v>96.308724758815202</v>
      </c>
      <c r="AJ4710">
        <v>100.132860623474</v>
      </c>
      <c r="AK4710">
        <v>10.114736977336401</v>
      </c>
      <c r="AL4710">
        <v>85.031156512741305</v>
      </c>
      <c r="AM4710">
        <v>91.983450132956804</v>
      </c>
      <c r="AN4710">
        <v>0.99999993743691895</v>
      </c>
    </row>
    <row r="4711" spans="1:40" x14ac:dyDescent="0.25">
      <c r="A4711" t="str">
        <f>"20190312151632310"</f>
        <v>20190312151632310</v>
      </c>
      <c r="B4711" t="str">
        <f>"1552374992302598"</f>
        <v>1552374992302598</v>
      </c>
      <c r="C4711" t="s">
        <v>40</v>
      </c>
      <c r="D4711">
        <v>4.597823</v>
      </c>
      <c r="E4711">
        <v>0.44555040000000001</v>
      </c>
      <c r="F4711" t="s">
        <v>70</v>
      </c>
      <c r="G4711">
        <v>-379.1157</v>
      </c>
      <c r="H4711" s="1">
        <v>-6.9211550000000001E-7</v>
      </c>
      <c r="I4711">
        <v>18.232050000000001</v>
      </c>
      <c r="J4711">
        <v>-389.34809999999999</v>
      </c>
      <c r="K4711">
        <v>1.1114649999999999</v>
      </c>
      <c r="L4711">
        <v>17.322569999999999</v>
      </c>
      <c r="M4711">
        <v>0.99598370000000003</v>
      </c>
      <c r="N4711">
        <v>0</v>
      </c>
      <c r="O4711">
        <v>-8.8529620000000003E-2</v>
      </c>
      <c r="P4711">
        <v>0.9958053</v>
      </c>
      <c r="Q4711">
        <v>7.3791860000000001E-2</v>
      </c>
      <c r="R4711">
        <v>-5.4100250000000003E-2</v>
      </c>
      <c r="S4711">
        <v>3.0515140000000001</v>
      </c>
      <c r="T4711">
        <v>-0.32737830000000001</v>
      </c>
      <c r="U4711">
        <v>0.26480100000000001</v>
      </c>
      <c r="V4711">
        <v>-3.4560260000000002E-2</v>
      </c>
      <c r="W4711">
        <v>8.7011149999999995E-2</v>
      </c>
      <c r="X4711">
        <v>0.99560769999999998</v>
      </c>
      <c r="Y4711">
        <v>-0.17282800000000001</v>
      </c>
      <c r="Z4711">
        <v>1.868071E-2</v>
      </c>
      <c r="AA4711">
        <v>0.98477479999999995</v>
      </c>
      <c r="AB4711">
        <v>26</v>
      </c>
      <c r="AC4711">
        <v>10.232399999999901</v>
      </c>
      <c r="AD4711">
        <v>-1.1114656921154999</v>
      </c>
      <c r="AE4711">
        <v>0.90947999999999796</v>
      </c>
      <c r="AF4711">
        <v>-1.79089513128203</v>
      </c>
      <c r="AG4711">
        <v>-1.1114656921154999</v>
      </c>
      <c r="AH4711">
        <v>9.9946917532298407</v>
      </c>
      <c r="AI4711">
        <v>96.246852791453307</v>
      </c>
      <c r="AJ4711">
        <v>100.158716104615</v>
      </c>
      <c r="AK4711">
        <v>10.2145251773188</v>
      </c>
      <c r="AL4711">
        <v>85.008316257401304</v>
      </c>
      <c r="AM4711">
        <v>91.988094573589905</v>
      </c>
      <c r="AN4711">
        <v>1.0000000220474301</v>
      </c>
    </row>
    <row r="4712" spans="1:40" x14ac:dyDescent="0.25">
      <c r="A4712" t="str">
        <f>"20190312151632323"</f>
        <v>20190312151632323</v>
      </c>
      <c r="B4712" t="str">
        <f>"1552374992313334"</f>
        <v>1552374992313334</v>
      </c>
      <c r="C4712" t="s">
        <v>40</v>
      </c>
      <c r="D4712">
        <v>4.6031579999999996</v>
      </c>
      <c r="E4712">
        <v>0.4454765</v>
      </c>
      <c r="F4712" t="s">
        <v>70</v>
      </c>
      <c r="G4712">
        <v>-379.00580000000002</v>
      </c>
      <c r="H4712" s="1">
        <v>-7.3396409999999999E-7</v>
      </c>
      <c r="I4712">
        <v>18.23339</v>
      </c>
      <c r="J4712">
        <v>-389.21719999999999</v>
      </c>
      <c r="K4712">
        <v>1.111462</v>
      </c>
      <c r="L4712">
        <v>17.31204</v>
      </c>
      <c r="M4712">
        <v>0.99607109999999999</v>
      </c>
      <c r="N4712">
        <v>0</v>
      </c>
      <c r="O4712">
        <v>-8.7540469999999995E-2</v>
      </c>
      <c r="P4712">
        <v>0.99580650000000004</v>
      </c>
      <c r="Q4712">
        <v>7.4414010000000003E-2</v>
      </c>
      <c r="R4712">
        <v>-5.3218389999999997E-2</v>
      </c>
      <c r="S4712">
        <v>3.0515140000000001</v>
      </c>
      <c r="T4712">
        <v>-0.32794069999999997</v>
      </c>
      <c r="U4712">
        <v>0.26873780000000003</v>
      </c>
      <c r="V4712">
        <v>-3.445061E-2</v>
      </c>
      <c r="W4712">
        <v>8.7631520000000004E-2</v>
      </c>
      <c r="X4712">
        <v>0.99555709999999997</v>
      </c>
      <c r="Y4712">
        <v>-0.17311009999999999</v>
      </c>
      <c r="Z4712">
        <v>1.8621100000000002E-2</v>
      </c>
      <c r="AA4712">
        <v>0.9847264</v>
      </c>
      <c r="AB4712">
        <v>26</v>
      </c>
      <c r="AC4712">
        <v>10.2113999999999</v>
      </c>
      <c r="AD4712">
        <v>-1.1114627339640999</v>
      </c>
      <c r="AE4712">
        <v>0.92135</v>
      </c>
      <c r="AF4712">
        <v>-1.7907587277797701</v>
      </c>
      <c r="AG4712">
        <v>-1.1114627339640999</v>
      </c>
      <c r="AH4712">
        <v>9.9743139969240495</v>
      </c>
      <c r="AI4712">
        <v>96.259117264025505</v>
      </c>
      <c r="AJ4712">
        <v>100.178277991486</v>
      </c>
      <c r="AK4712">
        <v>10.194562567336799</v>
      </c>
      <c r="AL4712">
        <v>84.972635439136397</v>
      </c>
      <c r="AM4712">
        <v>91.981892591375399</v>
      </c>
      <c r="AN4712">
        <v>1.0000000335936401</v>
      </c>
    </row>
    <row r="4713" spans="1:40" x14ac:dyDescent="0.25">
      <c r="A4713" t="str">
        <f>"20190312151632333"</f>
        <v>20190312151632333</v>
      </c>
      <c r="B4713" t="str">
        <f>"1552374992323094"</f>
        <v>1552374992323094</v>
      </c>
      <c r="C4713" t="s">
        <v>40</v>
      </c>
      <c r="D4713">
        <v>4.7566040000000003</v>
      </c>
      <c r="E4713">
        <v>0.44554919999999998</v>
      </c>
      <c r="F4713" t="s">
        <v>70</v>
      </c>
      <c r="G4713">
        <v>-378.7321</v>
      </c>
      <c r="H4713" s="1">
        <v>-8.3559259999999898E-7</v>
      </c>
      <c r="I4713">
        <v>18.246500000000001</v>
      </c>
      <c r="J4713">
        <v>-389.09300000000002</v>
      </c>
      <c r="K4713">
        <v>1.1114630000000001</v>
      </c>
      <c r="L4713">
        <v>17.30209</v>
      </c>
      <c r="M4713">
        <v>0.99615319999999996</v>
      </c>
      <c r="N4713">
        <v>0</v>
      </c>
      <c r="O4713">
        <v>-8.6603299999999994E-2</v>
      </c>
      <c r="P4713">
        <v>0.99584839999999997</v>
      </c>
      <c r="Q4713">
        <v>7.450263E-2</v>
      </c>
      <c r="R4713">
        <v>-5.2303679999999998E-2</v>
      </c>
      <c r="S4713">
        <v>3.0513309999999998</v>
      </c>
      <c r="T4713">
        <v>-0.3234535</v>
      </c>
      <c r="U4713">
        <v>0.27194210000000002</v>
      </c>
      <c r="V4713">
        <v>-3.4427550000000001E-2</v>
      </c>
      <c r="W4713">
        <v>8.7719400000000003E-2</v>
      </c>
      <c r="X4713">
        <v>0.99555009999999999</v>
      </c>
      <c r="Y4713">
        <v>-0.17325969999999999</v>
      </c>
      <c r="Z4713">
        <v>1.8277189999999999E-2</v>
      </c>
      <c r="AA4713">
        <v>0.98470659999999999</v>
      </c>
      <c r="AB4713">
        <v>26</v>
      </c>
      <c r="AC4713">
        <v>10.360900000000001</v>
      </c>
      <c r="AD4713">
        <v>-1.1114638355926001</v>
      </c>
      <c r="AE4713">
        <v>0.94441000000000097</v>
      </c>
      <c r="AF4713">
        <v>-1.8174863131260299</v>
      </c>
      <c r="AG4713">
        <v>-1.1114638355926001</v>
      </c>
      <c r="AH4713">
        <v>10.1246166195988</v>
      </c>
      <c r="AI4713">
        <v>96.166953415517</v>
      </c>
      <c r="AJ4713">
        <v>100.176867371252</v>
      </c>
      <c r="AK4713">
        <v>10.3463264036124</v>
      </c>
      <c r="AL4713">
        <v>84.967580528090494</v>
      </c>
      <c r="AM4713">
        <v>91.980580955443699</v>
      </c>
      <c r="AN4713">
        <v>0.99999997547268504</v>
      </c>
    </row>
    <row r="4714" spans="1:40" x14ac:dyDescent="0.25">
      <c r="A4714" t="str">
        <f>"20190312151632344"</f>
        <v>20190312151632344</v>
      </c>
      <c r="B4714" t="str">
        <f>"1552374992332854"</f>
        <v>1552374992332854</v>
      </c>
      <c r="C4714" t="s">
        <v>40</v>
      </c>
      <c r="D4714">
        <v>4.5628780000000004</v>
      </c>
      <c r="E4714">
        <v>0.44559700000000002</v>
      </c>
      <c r="F4714" t="s">
        <v>70</v>
      </c>
      <c r="G4714">
        <v>-378.36439999999999</v>
      </c>
      <c r="H4714" s="1">
        <v>-9.9313100000000008E-7</v>
      </c>
      <c r="I4714">
        <v>18.266110000000001</v>
      </c>
      <c r="J4714">
        <v>-388.96319999999997</v>
      </c>
      <c r="K4714">
        <v>1.1114660000000001</v>
      </c>
      <c r="L4714">
        <v>17.291929999999901</v>
      </c>
      <c r="M4714">
        <v>0.99623790000000001</v>
      </c>
      <c r="N4714">
        <v>0</v>
      </c>
      <c r="O4714">
        <v>-8.5622379999999998E-2</v>
      </c>
      <c r="P4714">
        <v>0.99584850000000003</v>
      </c>
      <c r="Q4714">
        <v>7.489941E-2</v>
      </c>
      <c r="R4714">
        <v>-5.1730610000000003E-2</v>
      </c>
      <c r="S4714">
        <v>3.0505680000000002</v>
      </c>
      <c r="T4714">
        <v>-0.31603209999999998</v>
      </c>
      <c r="U4714">
        <v>0.27410889999999999</v>
      </c>
      <c r="V4714">
        <v>-3.401858E-2</v>
      </c>
      <c r="W4714">
        <v>8.8116009999999995E-2</v>
      </c>
      <c r="X4714">
        <v>0.9955292</v>
      </c>
      <c r="Y4714">
        <v>-0.17307690000000001</v>
      </c>
      <c r="Z4714">
        <v>1.7753519999999998E-2</v>
      </c>
      <c r="AA4714">
        <v>0.98474830000000002</v>
      </c>
      <c r="AB4714">
        <v>26</v>
      </c>
      <c r="AC4714">
        <v>10.598799999999899</v>
      </c>
      <c r="AD4714">
        <v>-1.1114669931309999</v>
      </c>
      <c r="AE4714">
        <v>0.97418000000000404</v>
      </c>
      <c r="AF4714">
        <v>-1.8579168807620701</v>
      </c>
      <c r="AG4714">
        <v>-1.1114669931309999</v>
      </c>
      <c r="AH4714">
        <v>10.3634381508936</v>
      </c>
      <c r="AI4714">
        <v>96.026157961474894</v>
      </c>
      <c r="AJ4714">
        <v>100.16379447466601</v>
      </c>
      <c r="AK4714">
        <v>10.5871650747514</v>
      </c>
      <c r="AL4714">
        <v>84.944768447484904</v>
      </c>
      <c r="AM4714">
        <v>91.957112799212496</v>
      </c>
      <c r="AN4714">
        <v>1.0000000415280801</v>
      </c>
    </row>
    <row r="4715" spans="1:40" x14ac:dyDescent="0.25">
      <c r="A4715" t="str">
        <f>"20190312151632356"</f>
        <v>20190312151632356</v>
      </c>
      <c r="B4715" t="str">
        <f>"1552374992352374"</f>
        <v>1552374992352374</v>
      </c>
      <c r="C4715" t="s">
        <v>40</v>
      </c>
      <c r="D4715">
        <v>4.6212739999999997</v>
      </c>
      <c r="E4715">
        <v>0.44556709999999999</v>
      </c>
      <c r="F4715" t="s">
        <v>70</v>
      </c>
      <c r="G4715">
        <v>-377.99799999999999</v>
      </c>
      <c r="H4715" s="1">
        <v>-1.163463E-6</v>
      </c>
      <c r="I4715">
        <v>18.28229</v>
      </c>
      <c r="J4715">
        <v>-388.8331</v>
      </c>
      <c r="K4715">
        <v>1.1114630000000001</v>
      </c>
      <c r="L4715">
        <v>17.281770000000002</v>
      </c>
      <c r="M4715">
        <v>0.99632189999999998</v>
      </c>
      <c r="N4715">
        <v>0</v>
      </c>
      <c r="O4715">
        <v>-8.4639779999999998E-2</v>
      </c>
      <c r="P4715">
        <v>0.99586699999999995</v>
      </c>
      <c r="Q4715">
        <v>7.5123190000000006E-2</v>
      </c>
      <c r="R4715">
        <v>-5.1046939999999999E-2</v>
      </c>
      <c r="S4715">
        <v>3.0501100000000001</v>
      </c>
      <c r="T4715">
        <v>-0.30916880000000002</v>
      </c>
      <c r="U4715">
        <v>0.27548220000000001</v>
      </c>
      <c r="V4715">
        <v>-3.3718360000000003E-2</v>
      </c>
      <c r="W4715">
        <v>8.8340199999999994E-2</v>
      </c>
      <c r="X4715">
        <v>0.9955195</v>
      </c>
      <c r="Y4715">
        <v>-0.17262459999999999</v>
      </c>
      <c r="Z4715">
        <v>1.7250339999999999E-2</v>
      </c>
      <c r="AA4715">
        <v>0.98483659999999995</v>
      </c>
      <c r="AB4715">
        <v>26</v>
      </c>
      <c r="AC4715">
        <v>10.835099999999899</v>
      </c>
      <c r="AD4715">
        <v>-1.11146416346299</v>
      </c>
      <c r="AE4715">
        <v>1.0005199999999901</v>
      </c>
      <c r="AF4715">
        <v>-1.8943267700511299</v>
      </c>
      <c r="AG4715">
        <v>-1.11146416346299</v>
      </c>
      <c r="AH4715">
        <v>10.600914584407199</v>
      </c>
      <c r="AI4715">
        <v>95.892698580886005</v>
      </c>
      <c r="AJ4715">
        <v>100.131513659723</v>
      </c>
      <c r="AK4715">
        <v>10.8260434381307</v>
      </c>
      <c r="AL4715">
        <v>84.931872791606096</v>
      </c>
      <c r="AM4715">
        <v>91.939873073241003</v>
      </c>
      <c r="AN4715">
        <v>0.99999999680868901</v>
      </c>
    </row>
    <row r="4716" spans="1:40" x14ac:dyDescent="0.25">
      <c r="A4716" t="str">
        <f>"20190312151632367"</f>
        <v>20190312151632367</v>
      </c>
      <c r="B4716" t="str">
        <f>"1552374992363110"</f>
        <v>1552374992363110</v>
      </c>
      <c r="C4716" t="s">
        <v>40</v>
      </c>
      <c r="D4716">
        <v>4.6229300000000002</v>
      </c>
      <c r="E4716">
        <v>0.44560729999999998</v>
      </c>
      <c r="F4716" t="s">
        <v>70</v>
      </c>
      <c r="G4716">
        <v>-377.70609999999999</v>
      </c>
      <c r="H4716" s="1">
        <v>-1.299025E-6</v>
      </c>
      <c r="I4716">
        <v>18.29579</v>
      </c>
      <c r="J4716">
        <v>-388.68979999999999</v>
      </c>
      <c r="K4716">
        <v>1.111462</v>
      </c>
      <c r="L4716">
        <v>17.270810000000001</v>
      </c>
      <c r="M4716">
        <v>0.9964134</v>
      </c>
      <c r="N4716">
        <v>0</v>
      </c>
      <c r="O4716">
        <v>-8.3557060000000002E-2</v>
      </c>
      <c r="P4716">
        <v>0.99590339999999999</v>
      </c>
      <c r="Q4716">
        <v>7.5081079999999994E-2</v>
      </c>
      <c r="R4716">
        <v>-5.0395009999999997E-2</v>
      </c>
      <c r="S4716">
        <v>3.0496829999999999</v>
      </c>
      <c r="T4716">
        <v>-0.30463030000000002</v>
      </c>
      <c r="U4716">
        <v>0.27792359999999999</v>
      </c>
      <c r="V4716">
        <v>-3.328793E-2</v>
      </c>
      <c r="W4716">
        <v>8.8298879999999996E-2</v>
      </c>
      <c r="X4716">
        <v>0.99553760000000002</v>
      </c>
      <c r="Y4716">
        <v>-0.17239309999999999</v>
      </c>
      <c r="Z4716">
        <v>1.688108E-2</v>
      </c>
      <c r="AA4716">
        <v>0.98488350000000002</v>
      </c>
      <c r="AB4716">
        <v>26</v>
      </c>
      <c r="AC4716">
        <v>10.983700000000001</v>
      </c>
      <c r="AD4716">
        <v>-1.111463299025</v>
      </c>
      <c r="AE4716">
        <v>1.02497999999999</v>
      </c>
      <c r="AF4716">
        <v>-1.9197543671917101</v>
      </c>
      <c r="AG4716">
        <v>-1.111463299025</v>
      </c>
      <c r="AH4716">
        <v>10.750498148050401</v>
      </c>
      <c r="AI4716">
        <v>95.811388552935796</v>
      </c>
      <c r="AJ4716">
        <v>100.124788149791</v>
      </c>
      <c r="AK4716">
        <v>10.976976720694299</v>
      </c>
      <c r="AL4716">
        <v>84.934249281789803</v>
      </c>
      <c r="AM4716">
        <v>91.915093489002402</v>
      </c>
      <c r="AN4716">
        <v>0.99999994575334805</v>
      </c>
    </row>
    <row r="4717" spans="1:40" x14ac:dyDescent="0.25">
      <c r="A4717" t="str">
        <f>"20190312151632379"</f>
        <v>20190312151632379</v>
      </c>
      <c r="B4717" t="str">
        <f>"1552374992372871"</f>
        <v>1552374992372871</v>
      </c>
      <c r="C4717" t="s">
        <v>40</v>
      </c>
      <c r="D4717">
        <v>4.5873749999999998</v>
      </c>
      <c r="E4717">
        <v>0.44560919999999998</v>
      </c>
      <c r="F4717" t="s">
        <v>70</v>
      </c>
      <c r="G4717">
        <v>-377.50380000000001</v>
      </c>
      <c r="H4717" s="1">
        <v>-1.3944970000000001E-6</v>
      </c>
      <c r="I4717">
        <v>18.296720000000001</v>
      </c>
      <c r="J4717">
        <v>-388.56479999999999</v>
      </c>
      <c r="K4717">
        <v>1.1114649999999999</v>
      </c>
      <c r="L4717">
        <v>17.261320000000001</v>
      </c>
      <c r="M4717">
        <v>0.99649209999999999</v>
      </c>
      <c r="N4717">
        <v>0</v>
      </c>
      <c r="O4717">
        <v>-8.2612130000000006E-2</v>
      </c>
      <c r="P4717">
        <v>0.99593229999999999</v>
      </c>
      <c r="Q4717">
        <v>7.5034310000000007E-2</v>
      </c>
      <c r="R4717">
        <v>-4.9889870000000003E-2</v>
      </c>
      <c r="S4717">
        <v>3.0493160000000001</v>
      </c>
      <c r="T4717">
        <v>-0.3029867</v>
      </c>
      <c r="U4717">
        <v>0.2796631</v>
      </c>
      <c r="V4717">
        <v>-3.2848000000000002E-2</v>
      </c>
      <c r="W4717">
        <v>8.8252339999999999E-2</v>
      </c>
      <c r="X4717">
        <v>0.99555640000000001</v>
      </c>
      <c r="Y4717">
        <v>-0.172046799999999</v>
      </c>
      <c r="Z4717">
        <v>1.668153E-2</v>
      </c>
      <c r="AA4717">
        <v>0.98494749999999998</v>
      </c>
      <c r="AB4717">
        <v>26</v>
      </c>
      <c r="AC4717">
        <v>11.0609999999999</v>
      </c>
      <c r="AD4717">
        <v>-1.111466394497</v>
      </c>
      <c r="AE4717">
        <v>1.0353999999999901</v>
      </c>
      <c r="AF4717">
        <v>-1.9264318433824701</v>
      </c>
      <c r="AG4717">
        <v>-1.111466394497</v>
      </c>
      <c r="AH4717">
        <v>10.829244045995001</v>
      </c>
      <c r="AI4717">
        <v>95.770107606214495</v>
      </c>
      <c r="AJ4717">
        <v>100.086921102369</v>
      </c>
      <c r="AK4717">
        <v>11.055271312863001</v>
      </c>
      <c r="AL4717">
        <v>84.9369265846113</v>
      </c>
      <c r="AM4717">
        <v>91.889766616299895</v>
      </c>
      <c r="AN4717">
        <v>1.0000000061002099</v>
      </c>
    </row>
    <row r="4718" spans="1:40" x14ac:dyDescent="0.25">
      <c r="A4718" t="str">
        <f>"20190312151632391"</f>
        <v>20190312151632391</v>
      </c>
      <c r="B4718" t="str">
        <f>"1552374992382630"</f>
        <v>1552374992382630</v>
      </c>
      <c r="C4718" t="s">
        <v>40</v>
      </c>
      <c r="D4718">
        <v>4.596705</v>
      </c>
      <c r="E4718">
        <v>0.44576539999999998</v>
      </c>
      <c r="F4718" t="s">
        <v>70</v>
      </c>
      <c r="G4718">
        <v>-377.43900000000002</v>
      </c>
      <c r="H4718" s="1">
        <v>-1.426662E-6</v>
      </c>
      <c r="I4718">
        <v>18.288160000000001</v>
      </c>
      <c r="J4718">
        <v>-388.4307</v>
      </c>
      <c r="K4718">
        <v>1.1114630000000001</v>
      </c>
      <c r="L4718">
        <v>17.251279999999898</v>
      </c>
      <c r="M4718">
        <v>0.99657549999999995</v>
      </c>
      <c r="N4718">
        <v>0</v>
      </c>
      <c r="O4718">
        <v>-8.1598680000000007E-2</v>
      </c>
      <c r="P4718">
        <v>0.99595809999999996</v>
      </c>
      <c r="Q4718">
        <v>7.5146809999999994E-2</v>
      </c>
      <c r="R4718">
        <v>-4.9197930000000001E-2</v>
      </c>
      <c r="S4718">
        <v>3.0493160000000001</v>
      </c>
      <c r="T4718">
        <v>-0.30462689999999998</v>
      </c>
      <c r="U4718">
        <v>0.28143309999999999</v>
      </c>
      <c r="V4718">
        <v>-3.2526289999999999E-2</v>
      </c>
      <c r="W4718">
        <v>8.8365369999999999E-2</v>
      </c>
      <c r="X4718">
        <v>0.99555700000000003</v>
      </c>
      <c r="Y4718">
        <v>-0.17160590000000001</v>
      </c>
      <c r="Z4718">
        <v>1.6648349999999999E-2</v>
      </c>
      <c r="AA4718">
        <v>0.98502500000000004</v>
      </c>
      <c r="AB4718">
        <v>26</v>
      </c>
      <c r="AC4718">
        <v>10.9916999999999</v>
      </c>
      <c r="AD4718">
        <v>-1.111464426662</v>
      </c>
      <c r="AE4718">
        <v>1.03688</v>
      </c>
      <c r="AF4718">
        <v>-1.91104215570429</v>
      </c>
      <c r="AG4718">
        <v>-1.111464426662</v>
      </c>
      <c r="AH4718">
        <v>10.761359552488001</v>
      </c>
      <c r="AI4718">
        <v>95.806554244642996</v>
      </c>
      <c r="AJ4718">
        <v>100.06981902872</v>
      </c>
      <c r="AK4718">
        <v>10.986095517086101</v>
      </c>
      <c r="AL4718">
        <v>84.930425362821296</v>
      </c>
      <c r="AM4718">
        <v>91.8712705291871</v>
      </c>
      <c r="AN4718">
        <v>1.00000006920269</v>
      </c>
    </row>
    <row r="4719" spans="1:40" x14ac:dyDescent="0.25">
      <c r="A4719" t="str">
        <f>"20190312151632402"</f>
        <v>20190312151632402</v>
      </c>
      <c r="B4719" t="str">
        <f>"1552374992392390"</f>
        <v>1552374992392390</v>
      </c>
      <c r="C4719" t="s">
        <v>40</v>
      </c>
      <c r="D4719">
        <v>4.7257699999999998</v>
      </c>
      <c r="E4719">
        <v>0.44609270000000001</v>
      </c>
      <c r="F4719" t="s">
        <v>70</v>
      </c>
      <c r="G4719">
        <v>-377.2473</v>
      </c>
      <c r="H4719" s="1">
        <v>-1.5174920000000001E-6</v>
      </c>
      <c r="I4719">
        <v>18.287140000000001</v>
      </c>
      <c r="J4719">
        <v>-388.31189999999998</v>
      </c>
      <c r="K4719">
        <v>1.111462</v>
      </c>
      <c r="L4719">
        <v>17.242550000000001</v>
      </c>
      <c r="M4719">
        <v>0.99664870000000005</v>
      </c>
      <c r="N4719">
        <v>0</v>
      </c>
      <c r="O4719">
        <v>-8.0701190000000006E-2</v>
      </c>
      <c r="P4719">
        <v>0.99598310000000001</v>
      </c>
      <c r="Q4719">
        <v>7.503232E-2</v>
      </c>
      <c r="R4719">
        <v>-4.8866090000000001E-2</v>
      </c>
      <c r="S4719">
        <v>3.0489809999999999</v>
      </c>
      <c r="T4719">
        <v>-0.30302289999999998</v>
      </c>
      <c r="U4719">
        <v>0.28240969999999999</v>
      </c>
      <c r="V4719">
        <v>-3.1960740000000001E-2</v>
      </c>
      <c r="W4719">
        <v>8.8252339999999999E-2</v>
      </c>
      <c r="X4719">
        <v>0.99558530000000001</v>
      </c>
      <c r="Y4719">
        <v>-0.17106150000000001</v>
      </c>
      <c r="Z4719">
        <v>1.644704E-2</v>
      </c>
      <c r="AA4719">
        <v>0.98512299999999997</v>
      </c>
      <c r="AB4719">
        <v>26</v>
      </c>
      <c r="AC4719">
        <v>11.064599999999899</v>
      </c>
      <c r="AD4719">
        <v>-1.111463517492</v>
      </c>
      <c r="AE4719">
        <v>1.0445899999999899</v>
      </c>
      <c r="AF4719">
        <v>-1.9150352349650099</v>
      </c>
      <c r="AG4719">
        <v>-1.111463517492</v>
      </c>
      <c r="AH4719">
        <v>10.8358228621601</v>
      </c>
      <c r="AI4719">
        <v>95.767755213597397</v>
      </c>
      <c r="AJ4719">
        <v>100.02249735733</v>
      </c>
      <c r="AK4719">
        <v>11.059736353186</v>
      </c>
      <c r="AL4719">
        <v>84.936926690686704</v>
      </c>
      <c r="AM4719">
        <v>91.838704163971897</v>
      </c>
      <c r="AN4719">
        <v>1.00000002699645</v>
      </c>
    </row>
    <row r="4720" spans="1:40" x14ac:dyDescent="0.25">
      <c r="A4720" t="str">
        <f>"20190312151632414"</f>
        <v>20190312151632414</v>
      </c>
      <c r="B4720" t="str">
        <f>"1552374992403126"</f>
        <v>1552374992403126</v>
      </c>
      <c r="C4720" t="s">
        <v>40</v>
      </c>
      <c r="D4720">
        <v>4.5900019999999904</v>
      </c>
      <c r="E4720">
        <v>0.4462546</v>
      </c>
      <c r="F4720" t="s">
        <v>70</v>
      </c>
      <c r="G4720">
        <v>-377.02609999999999</v>
      </c>
      <c r="H4720" s="1">
        <v>-1.622825E-6</v>
      </c>
      <c r="I4720">
        <v>18.28275</v>
      </c>
      <c r="J4720">
        <v>-388.17039999999997</v>
      </c>
      <c r="K4720">
        <v>1.1114569999999999</v>
      </c>
      <c r="L4720">
        <v>17.232240000000001</v>
      </c>
      <c r="M4720">
        <v>0.99673469999999997</v>
      </c>
      <c r="N4720">
        <v>0</v>
      </c>
      <c r="O4720">
        <v>-7.9632179999999997E-2</v>
      </c>
      <c r="P4720">
        <v>0.99602930000000001</v>
      </c>
      <c r="Q4720">
        <v>7.4813370000000004E-2</v>
      </c>
      <c r="R4720">
        <v>-4.8258860000000001E-2</v>
      </c>
      <c r="S4720">
        <v>3.048492</v>
      </c>
      <c r="T4720">
        <v>-0.30022500000000002</v>
      </c>
      <c r="U4720">
        <v>0.28097529999999998</v>
      </c>
      <c r="V4720">
        <v>-3.1500380000000001E-2</v>
      </c>
      <c r="W4720">
        <v>8.8034319999999999E-2</v>
      </c>
      <c r="X4720">
        <v>0.99561920000000004</v>
      </c>
      <c r="Y4720">
        <v>-0.16959399999999999</v>
      </c>
      <c r="Z4720">
        <v>1.612212E-2</v>
      </c>
      <c r="AA4720">
        <v>0.98538210000000004</v>
      </c>
      <c r="AB4720">
        <v>26</v>
      </c>
      <c r="AC4720">
        <v>11.1442999999999</v>
      </c>
      <c r="AD4720">
        <v>-1.1114586228250001</v>
      </c>
      <c r="AE4720">
        <v>1.0505099999999901</v>
      </c>
      <c r="AF4720">
        <v>-1.9158092704167899</v>
      </c>
      <c r="AG4720">
        <v>-1.1114586228250001</v>
      </c>
      <c r="AH4720">
        <v>10.917602839556301</v>
      </c>
      <c r="AI4720">
        <v>95.726031134505206</v>
      </c>
      <c r="AJ4720">
        <v>99.952868638886002</v>
      </c>
      <c r="AK4720">
        <v>11.1400052600147</v>
      </c>
      <c r="AL4720">
        <v>84.949466753529293</v>
      </c>
      <c r="AM4720">
        <v>91.812175738198505</v>
      </c>
      <c r="AN4720">
        <v>0.99999995342332204</v>
      </c>
    </row>
    <row r="4721" spans="1:40" x14ac:dyDescent="0.25">
      <c r="A4721" t="str">
        <f>"20190312151632426"</f>
        <v>20190312151632426</v>
      </c>
      <c r="B4721" t="str">
        <f>"1552374992422646"</f>
        <v>1552374992422646</v>
      </c>
      <c r="C4721" t="s">
        <v>40</v>
      </c>
      <c r="D4721">
        <v>4.5772599999999999</v>
      </c>
      <c r="E4721">
        <v>0.4463974</v>
      </c>
      <c r="F4721" t="s">
        <v>70</v>
      </c>
      <c r="G4721">
        <v>-376.77859999999998</v>
      </c>
      <c r="H4721" s="1">
        <v>-1.7393400000000001E-6</v>
      </c>
      <c r="I4721">
        <v>18.285250000000001</v>
      </c>
      <c r="J4721">
        <v>-388.03710000000001</v>
      </c>
      <c r="K4721">
        <v>1.111453</v>
      </c>
      <c r="L4721">
        <v>17.22269</v>
      </c>
      <c r="M4721">
        <v>0.99681470000000005</v>
      </c>
      <c r="N4721">
        <v>0</v>
      </c>
      <c r="O4721">
        <v>-7.8624199999999894E-2</v>
      </c>
      <c r="P4721">
        <v>0.99605569999999999</v>
      </c>
      <c r="Q4721">
        <v>7.5019630000000004E-2</v>
      </c>
      <c r="R4721">
        <v>-4.7383099999999997E-2</v>
      </c>
      <c r="S4721">
        <v>3.0479430000000001</v>
      </c>
      <c r="T4721">
        <v>-0.29737720000000001</v>
      </c>
      <c r="U4721">
        <v>0.2817383</v>
      </c>
      <c r="V4721">
        <v>-3.1367829999999999E-2</v>
      </c>
      <c r="W4721">
        <v>8.8240440000000003E-2</v>
      </c>
      <c r="X4721">
        <v>0.99560519999999997</v>
      </c>
      <c r="Y4721">
        <v>-0.1688887</v>
      </c>
      <c r="Z4721">
        <v>1.5840489999999999E-2</v>
      </c>
      <c r="AA4721">
        <v>0.98550780000000004</v>
      </c>
      <c r="AB4721">
        <v>26</v>
      </c>
      <c r="AC4721">
        <v>11.2585</v>
      </c>
      <c r="AD4721">
        <v>-1.1114547393400001</v>
      </c>
      <c r="AE4721">
        <v>1.0625599999999999</v>
      </c>
      <c r="AF4721">
        <v>-1.92593544097915</v>
      </c>
      <c r="AG4721">
        <v>-1.1114547393400001</v>
      </c>
      <c r="AH4721">
        <v>11.033508473935701</v>
      </c>
      <c r="AI4721">
        <v>95.667138620255301</v>
      </c>
      <c r="AJ4721">
        <v>99.901410761992494</v>
      </c>
      <c r="AK4721">
        <v>11.255348426629499</v>
      </c>
      <c r="AL4721">
        <v>84.937611120676095</v>
      </c>
      <c r="AM4721">
        <v>91.804580720655693</v>
      </c>
      <c r="AN4721">
        <v>1.0000000151386701</v>
      </c>
    </row>
    <row r="4722" spans="1:40" x14ac:dyDescent="0.25">
      <c r="A4722" t="str">
        <f>"20190312151632448"</f>
        <v>20190312151632448</v>
      </c>
      <c r="B4722" t="str">
        <f>"1552374992443142"</f>
        <v>1552374992443142</v>
      </c>
      <c r="C4722" t="s">
        <v>40</v>
      </c>
      <c r="D4722">
        <v>4.5932170000000001</v>
      </c>
      <c r="E4722">
        <v>0.4465943</v>
      </c>
      <c r="F4722" t="s">
        <v>70</v>
      </c>
      <c r="G4722">
        <v>-376.61259999999999</v>
      </c>
      <c r="H4722" s="1">
        <v>-1.8177950000000001E-6</v>
      </c>
      <c r="I4722">
        <v>18.285430000000002</v>
      </c>
      <c r="J4722">
        <v>-387.80709999999999</v>
      </c>
      <c r="K4722">
        <v>1.1114550000000001</v>
      </c>
      <c r="L4722">
        <v>17.20654</v>
      </c>
      <c r="M4722">
        <v>0.99695029999999996</v>
      </c>
      <c r="N4722">
        <v>0</v>
      </c>
      <c r="O4722">
        <v>-7.6885510000000004E-2</v>
      </c>
      <c r="P4722">
        <v>0.99609800000000004</v>
      </c>
      <c r="Q4722">
        <v>7.5204549999999995E-2</v>
      </c>
      <c r="R4722">
        <v>-4.6190500000000002E-2</v>
      </c>
      <c r="S4722">
        <v>3.0476990000000002</v>
      </c>
      <c r="T4722">
        <v>-0.29650199999999999</v>
      </c>
      <c r="U4722">
        <v>0.28350829999999999</v>
      </c>
      <c r="V4722">
        <v>-3.0821359999999999E-2</v>
      </c>
      <c r="W4722">
        <v>8.8425699999999996E-2</v>
      </c>
      <c r="X4722">
        <v>0.99560579999999999</v>
      </c>
      <c r="Y4722">
        <v>-0.16776469999999999</v>
      </c>
      <c r="Z4722">
        <v>1.557221E-2</v>
      </c>
      <c r="AA4722">
        <v>0.98570409999999997</v>
      </c>
      <c r="AB4722">
        <v>26</v>
      </c>
      <c r="AC4722">
        <v>11.1945</v>
      </c>
      <c r="AD4722">
        <v>-1.1114568177949999</v>
      </c>
      <c r="AE4722">
        <v>1.0788899999999899</v>
      </c>
      <c r="AF4722">
        <v>-1.91773709194988</v>
      </c>
      <c r="AG4722">
        <v>-1.1114568177949999</v>
      </c>
      <c r="AH4722">
        <v>10.9712431681188</v>
      </c>
      <c r="AI4722">
        <v>95.698867331147994</v>
      </c>
      <c r="AJ4722">
        <v>99.914942967359394</v>
      </c>
      <c r="AK4722">
        <v>11.192909740798299</v>
      </c>
      <c r="AL4722">
        <v>84.926954695088298</v>
      </c>
      <c r="AM4722">
        <v>91.773161664443506</v>
      </c>
      <c r="AN4722">
        <v>0.99999998482318897</v>
      </c>
    </row>
    <row r="4723" spans="1:40" x14ac:dyDescent="0.25">
      <c r="A4723" t="str">
        <f>"20190312151632461"</f>
        <v>20190312151632461</v>
      </c>
      <c r="B4723" t="str">
        <f>"1552374992452902"</f>
        <v>1552374992452902</v>
      </c>
      <c r="C4723" t="s">
        <v>40</v>
      </c>
      <c r="D4723">
        <v>4.5510149999999996</v>
      </c>
      <c r="E4723">
        <v>0.44665969999999999</v>
      </c>
      <c r="F4723" t="s">
        <v>70</v>
      </c>
      <c r="G4723">
        <v>-376.34949999999998</v>
      </c>
      <c r="H4723" s="1">
        <v>-1.942944E-6</v>
      </c>
      <c r="I4723">
        <v>18.28087</v>
      </c>
      <c r="J4723">
        <v>-387.64190000000002</v>
      </c>
      <c r="K4723">
        <v>1.111456</v>
      </c>
      <c r="L4723">
        <v>17.195160000000001</v>
      </c>
      <c r="M4723">
        <v>0.99704579999999998</v>
      </c>
      <c r="N4723">
        <v>0</v>
      </c>
      <c r="O4723">
        <v>-7.5636610000000007E-2</v>
      </c>
      <c r="P4723">
        <v>0.9961179</v>
      </c>
      <c r="Q4723">
        <v>7.5472129999999998E-2</v>
      </c>
      <c r="R4723">
        <v>-4.5315000000000001E-2</v>
      </c>
      <c r="S4723">
        <v>3.0473330000000001</v>
      </c>
      <c r="T4723">
        <v>-0.29561159999999997</v>
      </c>
      <c r="U4723">
        <v>0.28573609999999999</v>
      </c>
      <c r="V4723">
        <v>-3.0448429999999999E-2</v>
      </c>
      <c r="W4723">
        <v>8.8693569999999999E-2</v>
      </c>
      <c r="X4723">
        <v>0.99559350000000002</v>
      </c>
      <c r="Y4723">
        <v>-0.16727020000000001</v>
      </c>
      <c r="Z4723">
        <v>1.53826E-2</v>
      </c>
      <c r="AA4723">
        <v>0.98579110000000003</v>
      </c>
      <c r="AB4723">
        <v>26</v>
      </c>
      <c r="AC4723">
        <v>11.292400000000001</v>
      </c>
      <c r="AD4723">
        <v>-1.1114579429439999</v>
      </c>
      <c r="AE4723">
        <v>1.08570999999999</v>
      </c>
      <c r="AF4723">
        <v>-1.9183804136417799</v>
      </c>
      <c r="AG4723">
        <v>-1.1114579429439999</v>
      </c>
      <c r="AH4723">
        <v>11.0716451578632</v>
      </c>
      <c r="AI4723">
        <v>95.648976545795506</v>
      </c>
      <c r="AJ4723">
        <v>99.830023237304601</v>
      </c>
      <c r="AK4723">
        <v>11.2914502466252</v>
      </c>
      <c r="AL4723">
        <v>84.911546597891899</v>
      </c>
      <c r="AM4723">
        <v>91.751741971650105</v>
      </c>
      <c r="AN4723">
        <v>1.00000003674552</v>
      </c>
    </row>
    <row r="4724" spans="1:40" x14ac:dyDescent="0.25">
      <c r="A4724" t="str">
        <f>"20190312151632479"</f>
        <v>20190312151632479</v>
      </c>
      <c r="B4724" t="str">
        <f>"1552374992472422"</f>
        <v>1552374992472422</v>
      </c>
      <c r="C4724" t="s">
        <v>40</v>
      </c>
      <c r="D4724">
        <v>4.5893050000000004</v>
      </c>
      <c r="E4724">
        <v>0.446656</v>
      </c>
      <c r="F4724" t="s">
        <v>70</v>
      </c>
      <c r="G4724">
        <v>-376.1515</v>
      </c>
      <c r="H4724" s="1">
        <v>-2.0364039999999998E-6</v>
      </c>
      <c r="I4724">
        <v>18.28172</v>
      </c>
      <c r="J4724">
        <v>-387.44099999999997</v>
      </c>
      <c r="K4724">
        <v>1.1114580000000001</v>
      </c>
      <c r="L4724">
        <v>17.181609999999999</v>
      </c>
      <c r="M4724">
        <v>0.99715980000000004</v>
      </c>
      <c r="N4724">
        <v>0</v>
      </c>
      <c r="O4724">
        <v>-7.4117849999999999E-2</v>
      </c>
      <c r="P4724">
        <v>0.99613600000000002</v>
      </c>
      <c r="Q4724">
        <v>7.5883969999999995E-2</v>
      </c>
      <c r="R4724">
        <v>-4.4208369999999997E-2</v>
      </c>
      <c r="S4724">
        <v>3.0471499999999998</v>
      </c>
      <c r="T4724">
        <v>-0.29474899999999998</v>
      </c>
      <c r="U4724">
        <v>0.28814699999999999</v>
      </c>
      <c r="V4724">
        <v>-3.003573E-2</v>
      </c>
      <c r="W4724">
        <v>8.9104879999999997E-2</v>
      </c>
      <c r="X4724">
        <v>0.99556929999999999</v>
      </c>
      <c r="Y4724">
        <v>-0.16656409999999999</v>
      </c>
      <c r="Z4724">
        <v>1.5158130000000001E-2</v>
      </c>
      <c r="AA4724">
        <v>0.98591410000000002</v>
      </c>
      <c r="AB4724">
        <v>25</v>
      </c>
      <c r="AC4724">
        <v>11.289499999999901</v>
      </c>
      <c r="AD4724">
        <v>-1.1114600364039999</v>
      </c>
      <c r="AE4724">
        <v>1.1001099999999999</v>
      </c>
      <c r="AF4724">
        <v>-1.91552026340406</v>
      </c>
      <c r="AG4724">
        <v>-1.1114600364039999</v>
      </c>
      <c r="AH4724">
        <v>11.0706043400822</v>
      </c>
      <c r="AI4724">
        <v>95.649743193074499</v>
      </c>
      <c r="AJ4724">
        <v>99.816557628012603</v>
      </c>
      <c r="AK4724">
        <v>11.2899442756234</v>
      </c>
      <c r="AL4724">
        <v>84.8878865474111</v>
      </c>
      <c r="AM4724">
        <v>91.728055219646905</v>
      </c>
      <c r="AN4724">
        <v>1.0000000279094601</v>
      </c>
    </row>
    <row r="4725" spans="1:40" x14ac:dyDescent="0.25">
      <c r="A4725" t="str">
        <f>"20190312151632489"</f>
        <v>20190312151632489</v>
      </c>
      <c r="B4725" t="str">
        <f>"1552374992483158"</f>
        <v>1552374992483158</v>
      </c>
      <c r="C4725" t="s">
        <v>40</v>
      </c>
      <c r="D4725">
        <v>4.5501019999999999</v>
      </c>
      <c r="E4725">
        <v>0.44623190000000001</v>
      </c>
      <c r="F4725" t="s">
        <v>70</v>
      </c>
      <c r="G4725">
        <v>-375.81650000000002</v>
      </c>
      <c r="H4725" s="1">
        <v>-2.192455E-6</v>
      </c>
      <c r="I4725">
        <v>18.294840000000001</v>
      </c>
      <c r="J4725">
        <v>-387.30500000000001</v>
      </c>
      <c r="K4725">
        <v>1.1114580000000001</v>
      </c>
      <c r="L4725">
        <v>17.172609999999999</v>
      </c>
      <c r="M4725">
        <v>0.99723589999999995</v>
      </c>
      <c r="N4725">
        <v>0</v>
      </c>
      <c r="O4725">
        <v>-7.3089719999999997E-2</v>
      </c>
      <c r="P4725">
        <v>0.99616990000000005</v>
      </c>
      <c r="Q4725">
        <v>7.6062920000000006E-2</v>
      </c>
      <c r="R4725">
        <v>-4.3131339999999997E-2</v>
      </c>
      <c r="S4725">
        <v>3.046783</v>
      </c>
      <c r="T4725">
        <v>-0.2913133</v>
      </c>
      <c r="U4725">
        <v>0.291778599999999</v>
      </c>
      <c r="V4725">
        <v>-3.0085089999999998E-2</v>
      </c>
      <c r="W4725">
        <v>8.9282979999999998E-2</v>
      </c>
      <c r="X4725">
        <v>0.99555179999999999</v>
      </c>
      <c r="Y4725">
        <v>-0.16675290000000001</v>
      </c>
      <c r="Z4725">
        <v>1.489441E-2</v>
      </c>
      <c r="AA4725">
        <v>0.98588620000000005</v>
      </c>
      <c r="AB4725">
        <v>25</v>
      </c>
      <c r="AC4725">
        <v>11.488499999999901</v>
      </c>
      <c r="AD4725">
        <v>-1.1114601924550001</v>
      </c>
      <c r="AE4725">
        <v>1.1222300000000001</v>
      </c>
      <c r="AF4725">
        <v>-1.94099867178959</v>
      </c>
      <c r="AG4725">
        <v>-1.1114601924550001</v>
      </c>
      <c r="AH4725">
        <v>11.271238113640001</v>
      </c>
      <c r="AI4725">
        <v>95.550566812372693</v>
      </c>
      <c r="AJ4725">
        <v>99.7709623618438</v>
      </c>
      <c r="AK4725">
        <v>11.491023810682499</v>
      </c>
      <c r="AL4725">
        <v>84.8776410621211</v>
      </c>
      <c r="AM4725">
        <v>91.730923745622505</v>
      </c>
      <c r="AN4725">
        <v>0.99999997482061398</v>
      </c>
    </row>
    <row r="4726" spans="1:40" x14ac:dyDescent="0.25">
      <c r="A4726" t="str">
        <f>"20190312151632501"</f>
        <v>20190312151632501</v>
      </c>
      <c r="B4726" t="str">
        <f>"1552374992492918"</f>
        <v>1552374992492918</v>
      </c>
      <c r="C4726" t="s">
        <v>40</v>
      </c>
      <c r="D4726">
        <v>4.5623870000000002</v>
      </c>
      <c r="E4726">
        <v>0.44623190000000001</v>
      </c>
      <c r="F4726" t="s">
        <v>70</v>
      </c>
      <c r="G4726">
        <v>-375.6191</v>
      </c>
      <c r="H4726" s="1">
        <v>-2.2815819999999998E-6</v>
      </c>
      <c r="I4726">
        <v>18.318470000000001</v>
      </c>
      <c r="J4726">
        <v>-387.18340000000001</v>
      </c>
      <c r="K4726">
        <v>1.1114569999999999</v>
      </c>
      <c r="L4726">
        <v>17.1647</v>
      </c>
      <c r="M4726">
        <v>0.99730289999999999</v>
      </c>
      <c r="N4726">
        <v>0</v>
      </c>
      <c r="O4726">
        <v>-7.2169940000000002E-2</v>
      </c>
      <c r="P4726">
        <v>0.99617540000000004</v>
      </c>
      <c r="Q4726">
        <v>7.6287300000000002E-2</v>
      </c>
      <c r="R4726">
        <v>-4.2605999999999998E-2</v>
      </c>
      <c r="S4726">
        <v>3.0466310000000001</v>
      </c>
      <c r="T4726">
        <v>-0.28976750000000001</v>
      </c>
      <c r="U4726">
        <v>0.29873660000000002</v>
      </c>
      <c r="V4726">
        <v>-2.969047E-2</v>
      </c>
      <c r="W4726">
        <v>8.9507619999999996E-2</v>
      </c>
      <c r="X4726">
        <v>0.99554350000000003</v>
      </c>
      <c r="Y4726">
        <v>-0.1680886</v>
      </c>
      <c r="Z4726">
        <v>1.4791159999999999E-2</v>
      </c>
      <c r="AA4726">
        <v>0.98566089999999995</v>
      </c>
      <c r="AB4726">
        <v>25</v>
      </c>
      <c r="AC4726">
        <v>11.564299999999999</v>
      </c>
      <c r="AD4726">
        <v>-1.1114592815819999</v>
      </c>
      <c r="AE4726">
        <v>1.15377</v>
      </c>
      <c r="AF4726">
        <v>-1.9674353275794401</v>
      </c>
      <c r="AG4726">
        <v>-1.1114592815819999</v>
      </c>
      <c r="AH4726">
        <v>11.3470799015784</v>
      </c>
      <c r="AI4726">
        <v>95.512609006786107</v>
      </c>
      <c r="AJ4726">
        <v>99.836545125823605</v>
      </c>
      <c r="AK4726">
        <v>11.569890483303</v>
      </c>
      <c r="AL4726">
        <v>84.864718524051696</v>
      </c>
      <c r="AM4726">
        <v>91.708247345935703</v>
      </c>
      <c r="AN4726">
        <v>0.99999999921956695</v>
      </c>
    </row>
    <row r="4727" spans="1:40" x14ac:dyDescent="0.25">
      <c r="A4727" t="str">
        <f>"20190312151632513"</f>
        <v>20190312151632513</v>
      </c>
      <c r="B4727" t="str">
        <f>"1552374992502678"</f>
        <v>1552374992502678</v>
      </c>
      <c r="C4727" t="s">
        <v>40</v>
      </c>
      <c r="D4727">
        <v>4.5398399999999999</v>
      </c>
      <c r="E4727">
        <v>0.42466100000000001</v>
      </c>
      <c r="F4727" t="s">
        <v>70</v>
      </c>
      <c r="G4727">
        <v>-375.46600000000001</v>
      </c>
      <c r="H4727" s="1">
        <v>-2.3536129999999999E-6</v>
      </c>
      <c r="I4727">
        <v>18.320260000000001</v>
      </c>
      <c r="J4727">
        <v>-387.05329999999998</v>
      </c>
      <c r="K4727">
        <v>1.1114550000000001</v>
      </c>
      <c r="L4727">
        <v>17.156310000000001</v>
      </c>
      <c r="M4727">
        <v>0.99737350000000002</v>
      </c>
      <c r="N4727">
        <v>0</v>
      </c>
      <c r="O4727">
        <v>-7.1185689999999996E-2</v>
      </c>
      <c r="P4727">
        <v>0.99621649999999995</v>
      </c>
      <c r="Q4727">
        <v>7.6338050000000005E-2</v>
      </c>
      <c r="R4727">
        <v>-4.1535049999999997E-2</v>
      </c>
      <c r="S4727">
        <v>3.0465390000000001</v>
      </c>
      <c r="T4727">
        <v>-0.2889813</v>
      </c>
      <c r="U4727">
        <v>0.30044559999999998</v>
      </c>
      <c r="V4727">
        <v>-2.977817E-2</v>
      </c>
      <c r="W4727">
        <v>8.9557010000000006E-2</v>
      </c>
      <c r="X4727">
        <v>0.99553639999999999</v>
      </c>
      <c r="Y4727">
        <v>-0.16767850000000001</v>
      </c>
      <c r="Z4727">
        <v>1.4638999999999999E-2</v>
      </c>
      <c r="AA4727">
        <v>0.98573299999999997</v>
      </c>
      <c r="AB4727">
        <v>25</v>
      </c>
      <c r="AC4727">
        <v>11.5872999999999</v>
      </c>
      <c r="AD4727">
        <v>-1.1114573536129999</v>
      </c>
      <c r="AE4727">
        <v>1.16394999999999</v>
      </c>
      <c r="AF4727">
        <v>-1.9679942250657001</v>
      </c>
      <c r="AG4727">
        <v>-1.1114573536129999</v>
      </c>
      <c r="AH4727">
        <v>11.3714544655798</v>
      </c>
      <c r="AI4727">
        <v>95.5011524076792</v>
      </c>
      <c r="AJ4727">
        <v>99.818605360389498</v>
      </c>
      <c r="AK4727">
        <v>11.593891295917301</v>
      </c>
      <c r="AL4727">
        <v>84.861877075774999</v>
      </c>
      <c r="AM4727">
        <v>91.713302392328202</v>
      </c>
      <c r="AN4727">
        <v>0.99999996058682294</v>
      </c>
    </row>
    <row r="4728" spans="1:40" x14ac:dyDescent="0.25">
      <c r="A4728" t="str">
        <f>"20190312151632525"</f>
        <v>20190312151632525</v>
      </c>
      <c r="B4728" t="str">
        <f>"1552374992522198"</f>
        <v>1552374992522198</v>
      </c>
      <c r="C4728" t="s">
        <v>40</v>
      </c>
      <c r="D4728">
        <v>4.5132440000000003</v>
      </c>
      <c r="E4728">
        <v>0.4245003</v>
      </c>
      <c r="F4728" t="s">
        <v>70</v>
      </c>
      <c r="G4728">
        <v>-376.12689999999998</v>
      </c>
      <c r="H4728" s="1">
        <v>-1.9458859999999999E-6</v>
      </c>
      <c r="I4728">
        <v>18.857559999999999</v>
      </c>
      <c r="J4728">
        <v>-386.91430000000003</v>
      </c>
      <c r="K4728">
        <v>1.1114520000000001</v>
      </c>
      <c r="L4728">
        <v>17.147579999999898</v>
      </c>
      <c r="M4728">
        <v>0.997448</v>
      </c>
      <c r="N4728">
        <v>0</v>
      </c>
      <c r="O4728">
        <v>-7.0134920000000003E-2</v>
      </c>
      <c r="P4728">
        <v>0.99623329999999999</v>
      </c>
      <c r="Q4728">
        <v>7.6562290000000005E-2</v>
      </c>
      <c r="R4728">
        <v>-4.0711749999999998E-2</v>
      </c>
      <c r="S4728">
        <v>3.0550540000000002</v>
      </c>
      <c r="T4728">
        <v>-0.31076809999999899</v>
      </c>
      <c r="U4728">
        <v>0.47567749999999998</v>
      </c>
      <c r="V4728">
        <v>-2.9551129999999998E-2</v>
      </c>
      <c r="W4728">
        <v>8.9781639999999996E-2</v>
      </c>
      <c r="X4728">
        <v>0.99552300000000005</v>
      </c>
      <c r="Y4728">
        <v>-0.22130330000000001</v>
      </c>
      <c r="Z4728">
        <v>1.823961E-2</v>
      </c>
      <c r="AA4728">
        <v>0.97503450000000003</v>
      </c>
      <c r="AB4728">
        <v>25</v>
      </c>
      <c r="AC4728">
        <v>10.7874</v>
      </c>
      <c r="AD4728">
        <v>-1.111453945886</v>
      </c>
      <c r="AE4728">
        <v>1.7099800000000001</v>
      </c>
      <c r="AF4728">
        <v>-2.4371712928337401</v>
      </c>
      <c r="AG4728">
        <v>-1.111453945886</v>
      </c>
      <c r="AH4728">
        <v>10.531828948534899</v>
      </c>
      <c r="AI4728">
        <v>95.870285804513799</v>
      </c>
      <c r="AJ4728">
        <v>103.029472876074</v>
      </c>
      <c r="AK4728">
        <v>10.8671318564576</v>
      </c>
      <c r="AL4728">
        <v>84.848955014949098</v>
      </c>
      <c r="AM4728">
        <v>91.700270097845106</v>
      </c>
      <c r="AN4728">
        <v>1.0000000278471799</v>
      </c>
    </row>
    <row r="4729" spans="1:40" x14ac:dyDescent="0.25">
      <c r="A4729" t="str">
        <f>"20190312151632536"</f>
        <v>20190312151632536</v>
      </c>
      <c r="B4729" t="str">
        <f>"1552374992532934"</f>
        <v>1552374992532934</v>
      </c>
      <c r="C4729" t="s">
        <v>40</v>
      </c>
      <c r="D4729">
        <v>4.5103569999999999</v>
      </c>
      <c r="E4729">
        <v>0.42447170000000001</v>
      </c>
      <c r="F4729" t="s">
        <v>70</v>
      </c>
      <c r="G4729">
        <v>-376.43700000000001</v>
      </c>
      <c r="H4729" s="1">
        <v>-1.810943E-6</v>
      </c>
      <c r="I4729">
        <v>18.791979999999999</v>
      </c>
      <c r="J4729">
        <v>-386.78399999999999</v>
      </c>
      <c r="K4729">
        <v>1.11145</v>
      </c>
      <c r="L4729">
        <v>17.139469999999999</v>
      </c>
      <c r="M4729">
        <v>0.99751690000000004</v>
      </c>
      <c r="N4729">
        <v>0</v>
      </c>
      <c r="O4729">
        <v>-6.9148749999999995E-2</v>
      </c>
      <c r="P4729">
        <v>0.99625710000000001</v>
      </c>
      <c r="Q4729">
        <v>7.6673489999999997E-2</v>
      </c>
      <c r="R4729">
        <v>-3.991931E-2</v>
      </c>
      <c r="S4729">
        <v>3.0558779999999999</v>
      </c>
      <c r="T4729">
        <v>-0.32417309999999999</v>
      </c>
      <c r="U4729">
        <v>0.47961429999999999</v>
      </c>
      <c r="V4729">
        <v>-2.9358099999999901E-2</v>
      </c>
      <c r="W4729">
        <v>8.9892299999999994E-2</v>
      </c>
      <c r="X4729">
        <v>0.99551869999999998</v>
      </c>
      <c r="Y4729">
        <v>-0.2214024</v>
      </c>
      <c r="Z4729">
        <v>1.891673E-2</v>
      </c>
      <c r="AA4729">
        <v>0.97499910000000001</v>
      </c>
      <c r="AB4729">
        <v>25</v>
      </c>
      <c r="AC4729">
        <v>10.347</v>
      </c>
      <c r="AD4729">
        <v>-1.1114518109430001</v>
      </c>
      <c r="AE4729">
        <v>1.6525099999999899</v>
      </c>
      <c r="AF4729">
        <v>-2.3377958443852598</v>
      </c>
      <c r="AG4729">
        <v>-1.1114518109430001</v>
      </c>
      <c r="AH4729">
        <v>10.094371692015301</v>
      </c>
      <c r="AI4729">
        <v>96.122534999842401</v>
      </c>
      <c r="AJ4729">
        <v>103.039474739857</v>
      </c>
      <c r="AK4729">
        <v>10.420986248653801</v>
      </c>
      <c r="AL4729">
        <v>84.842588793459896</v>
      </c>
      <c r="AM4729">
        <v>91.689177564775505</v>
      </c>
      <c r="AN4729">
        <v>1.00000000284229</v>
      </c>
    </row>
    <row r="4730" spans="1:40" x14ac:dyDescent="0.25">
      <c r="A4730" t="str">
        <f>"20190312151632548"</f>
        <v>20190312151632548</v>
      </c>
      <c r="B4730" t="str">
        <f>"1552374992542694"</f>
        <v>1552374992542694</v>
      </c>
      <c r="C4730" t="s">
        <v>40</v>
      </c>
      <c r="D4730">
        <v>4.5402570000000004</v>
      </c>
      <c r="E4730">
        <v>0.42452630000000002</v>
      </c>
      <c r="F4730" t="s">
        <v>70</v>
      </c>
      <c r="G4730">
        <v>-376.3836</v>
      </c>
      <c r="H4730" s="1">
        <v>-1.8381419999999999E-6</v>
      </c>
      <c r="I4730">
        <v>18.781079999999999</v>
      </c>
      <c r="J4730">
        <v>-386.64429999999999</v>
      </c>
      <c r="K4730">
        <v>1.1114459999999999</v>
      </c>
      <c r="L4730">
        <v>17.130949999999999</v>
      </c>
      <c r="M4730">
        <v>0.99758950000000002</v>
      </c>
      <c r="N4730">
        <v>0</v>
      </c>
      <c r="O4730">
        <v>-6.8092959999999994E-2</v>
      </c>
      <c r="P4730">
        <v>0.9962915</v>
      </c>
      <c r="Q4730">
        <v>7.6566199999999904E-2</v>
      </c>
      <c r="R4730">
        <v>-3.9258349999999997E-2</v>
      </c>
      <c r="S4730">
        <v>3.0557859999999999</v>
      </c>
      <c r="T4730">
        <v>-0.32656049999999998</v>
      </c>
      <c r="U4730">
        <v>0.48233029999999999</v>
      </c>
      <c r="V4730">
        <v>-2.896437E-2</v>
      </c>
      <c r="W4730">
        <v>8.9786389999999994E-2</v>
      </c>
      <c r="X4730">
        <v>0.99553979999999997</v>
      </c>
      <c r="Y4730">
        <v>-0.2212045</v>
      </c>
      <c r="Z4730">
        <v>1.893218E-2</v>
      </c>
      <c r="AA4730">
        <v>0.97504369999999996</v>
      </c>
      <c r="AB4730">
        <v>25</v>
      </c>
      <c r="AC4730">
        <v>10.2606999999999</v>
      </c>
      <c r="AD4730">
        <v>-1.1114478381420001</v>
      </c>
      <c r="AE4730">
        <v>1.6501300000000001</v>
      </c>
      <c r="AF4730">
        <v>-2.3185247965878499</v>
      </c>
      <c r="AG4730">
        <v>-1.1114478381420001</v>
      </c>
      <c r="AH4730">
        <v>10.0100176589585</v>
      </c>
      <c r="AI4730">
        <v>96.173675055351396</v>
      </c>
      <c r="AJ4730">
        <v>103.04091346406</v>
      </c>
      <c r="AK4730">
        <v>10.334956558300799</v>
      </c>
      <c r="AL4730">
        <v>84.848681674381297</v>
      </c>
      <c r="AM4730">
        <v>91.666501074530998</v>
      </c>
      <c r="AN4730">
        <v>1.0000000119713801</v>
      </c>
    </row>
    <row r="4731" spans="1:40" x14ac:dyDescent="0.25">
      <c r="A4731" t="str">
        <f>"20190312151632560"</f>
        <v>20190312151632560</v>
      </c>
      <c r="B4731" t="str">
        <f>"1552374992552454"</f>
        <v>1552374992552454</v>
      </c>
      <c r="C4731" t="s">
        <v>40</v>
      </c>
      <c r="D4731">
        <v>4.5061640000000001</v>
      </c>
      <c r="E4731">
        <v>0.42465249999999999</v>
      </c>
      <c r="F4731" t="s">
        <v>70</v>
      </c>
      <c r="G4731">
        <v>-376.30470000000003</v>
      </c>
      <c r="H4731" s="1">
        <v>-1.8774250000000001E-6</v>
      </c>
      <c r="I4731">
        <v>18.76962</v>
      </c>
      <c r="J4731">
        <v>-386.52539999999999</v>
      </c>
      <c r="K4731">
        <v>1.111443</v>
      </c>
      <c r="L4731">
        <v>17.123809999999999</v>
      </c>
      <c r="M4731">
        <v>0.9976507</v>
      </c>
      <c r="N4731">
        <v>0</v>
      </c>
      <c r="O4731">
        <v>-6.7193219999999998E-2</v>
      </c>
      <c r="P4731">
        <v>0.99632189999999998</v>
      </c>
      <c r="Q4731">
        <v>7.6563000000000006E-2</v>
      </c>
      <c r="R4731">
        <v>-3.8486190000000003E-2</v>
      </c>
      <c r="S4731">
        <v>3.0555110000000001</v>
      </c>
      <c r="T4731">
        <v>-0.32845059999999998</v>
      </c>
      <c r="U4731">
        <v>0.48425289999999999</v>
      </c>
      <c r="V4731">
        <v>-2.8837640000000001E-2</v>
      </c>
      <c r="W4731">
        <v>8.9782600000000004E-2</v>
      </c>
      <c r="X4731">
        <v>0.99554379999999998</v>
      </c>
      <c r="Y4731">
        <v>-0.22092519999999999</v>
      </c>
      <c r="Z4731">
        <v>1.8931119999999999E-2</v>
      </c>
      <c r="AA4731">
        <v>0.97510699999999995</v>
      </c>
      <c r="AB4731">
        <v>25</v>
      </c>
      <c r="AC4731">
        <v>10.2206999999999</v>
      </c>
      <c r="AD4731">
        <v>-1.1114448774250001</v>
      </c>
      <c r="AE4731">
        <v>1.64581</v>
      </c>
      <c r="AF4731">
        <v>-2.3023744133949902</v>
      </c>
      <c r="AG4731">
        <v>-1.1114448774250001</v>
      </c>
      <c r="AH4731">
        <v>9.9720570022500308</v>
      </c>
      <c r="AI4731">
        <v>96.197973493496804</v>
      </c>
      <c r="AJ4731">
        <v>103.000783600118</v>
      </c>
      <c r="AK4731">
        <v>10.294569369873299</v>
      </c>
      <c r="AL4731">
        <v>84.848899598840802</v>
      </c>
      <c r="AM4731">
        <v>91.659206928207098</v>
      </c>
      <c r="AN4731">
        <v>0.99999999123098404</v>
      </c>
    </row>
    <row r="4732" spans="1:40" x14ac:dyDescent="0.25">
      <c r="A4732" t="str">
        <f>"20190312151632570"</f>
        <v>20190312151632570</v>
      </c>
      <c r="B4732" t="str">
        <f>"1552374992562215"</f>
        <v>1552374992562215</v>
      </c>
      <c r="C4732" t="s">
        <v>40</v>
      </c>
      <c r="D4732">
        <v>4.4949120000000002</v>
      </c>
      <c r="E4732">
        <v>0.42476330000000001</v>
      </c>
      <c r="F4732" t="s">
        <v>70</v>
      </c>
      <c r="G4732">
        <v>-376.31659999999999</v>
      </c>
      <c r="H4732" s="1">
        <v>-1.8758929999999999E-6</v>
      </c>
      <c r="I4732">
        <v>18.74671</v>
      </c>
      <c r="J4732">
        <v>-386.39940000000001</v>
      </c>
      <c r="K4732">
        <v>1.111442</v>
      </c>
      <c r="L4732">
        <v>17.116329999999898</v>
      </c>
      <c r="M4732">
        <v>0.99771430000000005</v>
      </c>
      <c r="N4732">
        <v>0</v>
      </c>
      <c r="O4732">
        <v>-6.6239950000000006E-2</v>
      </c>
      <c r="P4732">
        <v>0.99633769999999999</v>
      </c>
      <c r="Q4732">
        <v>7.6644409999999996E-2</v>
      </c>
      <c r="R4732">
        <v>-3.7908780000000003E-2</v>
      </c>
      <c r="S4732">
        <v>3.0553889999999999</v>
      </c>
      <c r="T4732">
        <v>-0.33264460000000001</v>
      </c>
      <c r="U4732">
        <v>0.48571779999999998</v>
      </c>
      <c r="V4732">
        <v>-2.8462399999999999E-2</v>
      </c>
      <c r="W4732">
        <v>8.9864749999999993E-2</v>
      </c>
      <c r="X4732">
        <v>0.99554719999999997</v>
      </c>
      <c r="Y4732">
        <v>-0.2204226</v>
      </c>
      <c r="Z4732">
        <v>1.904148E-2</v>
      </c>
      <c r="AA4732">
        <v>0.97521860000000005</v>
      </c>
      <c r="AB4732">
        <v>25</v>
      </c>
      <c r="AC4732">
        <v>10.082800000000001</v>
      </c>
      <c r="AD4732">
        <v>-1.1114438758930001</v>
      </c>
      <c r="AE4732">
        <v>1.6303799999999999</v>
      </c>
      <c r="AF4732">
        <v>-2.2678873792751202</v>
      </c>
      <c r="AG4732">
        <v>-1.1114438758930001</v>
      </c>
      <c r="AH4732">
        <v>9.8361713709841592</v>
      </c>
      <c r="AI4732">
        <v>96.283344231103101</v>
      </c>
      <c r="AJ4732">
        <v>102.98356461103999</v>
      </c>
      <c r="AK4732">
        <v>10.1552394306438</v>
      </c>
      <c r="AL4732">
        <v>84.844173715144606</v>
      </c>
      <c r="AM4732">
        <v>91.637623305368805</v>
      </c>
      <c r="AN4732">
        <v>1.00000000446708</v>
      </c>
    </row>
    <row r="4733" spans="1:40" x14ac:dyDescent="0.25">
      <c r="A4733" t="str">
        <f>"20190312151632581"</f>
        <v>20190312151632581</v>
      </c>
      <c r="B4733" t="str">
        <f>"1552374992572950"</f>
        <v>1552374992572950</v>
      </c>
      <c r="C4733" t="s">
        <v>40</v>
      </c>
      <c r="D4733">
        <v>4.5183999999999997</v>
      </c>
      <c r="E4733">
        <v>0.42486020000000002</v>
      </c>
      <c r="F4733" t="s">
        <v>70</v>
      </c>
      <c r="G4733">
        <v>-376.29719999999998</v>
      </c>
      <c r="H4733" s="1">
        <v>-1.8889020000000001E-6</v>
      </c>
      <c r="I4733">
        <v>18.724989999999998</v>
      </c>
      <c r="J4733">
        <v>-386.28269999999998</v>
      </c>
      <c r="K4733">
        <v>1.11144</v>
      </c>
      <c r="L4733">
        <v>17.109590000000001</v>
      </c>
      <c r="M4733">
        <v>0.99777249999999995</v>
      </c>
      <c r="N4733">
        <v>0</v>
      </c>
      <c r="O4733">
        <v>-6.5357490000000004E-2</v>
      </c>
      <c r="P4733">
        <v>0.99636020000000003</v>
      </c>
      <c r="Q4733">
        <v>7.6616439999999994E-2</v>
      </c>
      <c r="R4733">
        <v>-3.7372099999999998E-2</v>
      </c>
      <c r="S4733">
        <v>3.0554199999999998</v>
      </c>
      <c r="T4733">
        <v>-0.33615790000000001</v>
      </c>
      <c r="U4733">
        <v>0.48654170000000002</v>
      </c>
      <c r="V4733">
        <v>-2.8117349999999999E-2</v>
      </c>
      <c r="W4733">
        <v>8.9837689999999998E-2</v>
      </c>
      <c r="X4733">
        <v>0.99555950000000004</v>
      </c>
      <c r="Y4733">
        <v>-0.21978919999999999</v>
      </c>
      <c r="Z4733">
        <v>1.9110019999999998E-2</v>
      </c>
      <c r="AA4733">
        <v>0.97536020000000001</v>
      </c>
      <c r="AB4733">
        <v>25</v>
      </c>
      <c r="AC4733">
        <v>9.9855</v>
      </c>
      <c r="AD4733">
        <v>-1.1114418889019999</v>
      </c>
      <c r="AE4733">
        <v>1.61539999999999</v>
      </c>
      <c r="AF4733">
        <v>-2.2376162926295202</v>
      </c>
      <c r="AG4733">
        <v>-1.1114418889019999</v>
      </c>
      <c r="AH4733">
        <v>9.7409561350420901</v>
      </c>
      <c r="AI4733">
        <v>96.3454270594127</v>
      </c>
      <c r="AJ4733">
        <v>102.937101326828</v>
      </c>
      <c r="AK4733">
        <v>10.056264523681801</v>
      </c>
      <c r="AL4733">
        <v>84.845730706943101</v>
      </c>
      <c r="AM4733">
        <v>91.6177610173294</v>
      </c>
      <c r="AN4733">
        <v>1.0000000569779</v>
      </c>
    </row>
    <row r="4734" spans="1:40" x14ac:dyDescent="0.25">
      <c r="A4734" t="str">
        <f>"20190312151632592"</f>
        <v>20190312151632592</v>
      </c>
      <c r="B4734" t="str">
        <f>"1552374992582711"</f>
        <v>1552374992582711</v>
      </c>
      <c r="C4734" t="s">
        <v>40</v>
      </c>
      <c r="D4734">
        <v>4.504283</v>
      </c>
      <c r="E4734">
        <v>0.42504160000000002</v>
      </c>
      <c r="F4734" t="s">
        <v>70</v>
      </c>
      <c r="G4734">
        <v>-376.25200000000001</v>
      </c>
      <c r="H4734" s="1">
        <v>-1.9130039999999998E-6</v>
      </c>
      <c r="I4734">
        <v>18.70964</v>
      </c>
      <c r="J4734">
        <v>-386.15559999999999</v>
      </c>
      <c r="K4734">
        <v>1.111437</v>
      </c>
      <c r="L4734">
        <v>17.102229999999999</v>
      </c>
      <c r="M4734">
        <v>0.99783489999999997</v>
      </c>
      <c r="N4734">
        <v>0</v>
      </c>
      <c r="O4734">
        <v>-6.4395519999999998E-2</v>
      </c>
      <c r="P4734">
        <v>0.99638629999999995</v>
      </c>
      <c r="Q4734">
        <v>7.6734350000000007E-2</v>
      </c>
      <c r="R4734">
        <v>-3.6412050000000001E-2</v>
      </c>
      <c r="S4734">
        <v>3.0552980000000001</v>
      </c>
      <c r="T4734">
        <v>-0.3385379</v>
      </c>
      <c r="U4734">
        <v>0.48736570000000001</v>
      </c>
      <c r="V4734">
        <v>-2.8116579999999999E-2</v>
      </c>
      <c r="W4734">
        <v>8.9954519999999996E-2</v>
      </c>
      <c r="X4734">
        <v>0.99554889999999996</v>
      </c>
      <c r="Y4734">
        <v>-0.2190976</v>
      </c>
      <c r="Z4734">
        <v>1.910121E-2</v>
      </c>
      <c r="AA4734">
        <v>0.97551600000000005</v>
      </c>
      <c r="AB4734">
        <v>25</v>
      </c>
      <c r="AC4734">
        <v>9.9036000000000399</v>
      </c>
      <c r="AD4734">
        <v>-1.1114389130040001</v>
      </c>
      <c r="AE4734">
        <v>1.60741</v>
      </c>
      <c r="AF4734">
        <v>-2.2147002540826599</v>
      </c>
      <c r="AG4734">
        <v>-1.1114389130040001</v>
      </c>
      <c r="AH4734">
        <v>9.6609685429337393</v>
      </c>
      <c r="AI4734">
        <v>96.398163219054197</v>
      </c>
      <c r="AJ4734">
        <v>102.911512353147</v>
      </c>
      <c r="AK4734">
        <v>9.9736907341429397</v>
      </c>
      <c r="AL4734">
        <v>84.839009256349797</v>
      </c>
      <c r="AM4734">
        <v>91.617733953431497</v>
      </c>
      <c r="AN4734">
        <v>0.99999998501526799</v>
      </c>
    </row>
    <row r="4735" spans="1:40" x14ac:dyDescent="0.25">
      <c r="A4735" t="str">
        <f>"20190312151632605"</f>
        <v>20190312151632605</v>
      </c>
      <c r="B4735" t="str">
        <f>"1552374992592471"</f>
        <v>1552374992592471</v>
      </c>
      <c r="C4735" t="s">
        <v>40</v>
      </c>
      <c r="D4735">
        <v>4.5125849999999996</v>
      </c>
      <c r="E4735">
        <v>0.42479600000000001</v>
      </c>
      <c r="F4735" t="s">
        <v>70</v>
      </c>
      <c r="G4735">
        <v>-376.16520000000003</v>
      </c>
      <c r="H4735" s="1">
        <v>-1.9556660000000001E-6</v>
      </c>
      <c r="I4735">
        <v>18.70044</v>
      </c>
      <c r="J4735">
        <v>-386.02170000000001</v>
      </c>
      <c r="K4735">
        <v>1.1114360000000001</v>
      </c>
      <c r="L4735">
        <v>17.094760000000001</v>
      </c>
      <c r="M4735">
        <v>0.99789989999999995</v>
      </c>
      <c r="N4735">
        <v>0</v>
      </c>
      <c r="O4735">
        <v>-6.3382770000000005E-2</v>
      </c>
      <c r="P4735">
        <v>0.9964269</v>
      </c>
      <c r="Q4735">
        <v>7.6663700000000001E-2</v>
      </c>
      <c r="R4735">
        <v>-3.5443509999999998E-2</v>
      </c>
      <c r="S4735">
        <v>3.054932</v>
      </c>
      <c r="T4735">
        <v>-0.33986230000000001</v>
      </c>
      <c r="U4735">
        <v>0.48870849999999999</v>
      </c>
      <c r="V4735">
        <v>-2.8074040000000001E-2</v>
      </c>
      <c r="W4735">
        <v>8.9883279999999996E-2</v>
      </c>
      <c r="X4735">
        <v>0.99555649999999996</v>
      </c>
      <c r="Y4735">
        <v>-0.21854000000000001</v>
      </c>
      <c r="Z4735">
        <v>1.9034639999999999E-2</v>
      </c>
      <c r="AA4735">
        <v>0.97564229999999996</v>
      </c>
      <c r="AB4735">
        <v>25</v>
      </c>
      <c r="AC4735">
        <v>9.8564999999999792</v>
      </c>
      <c r="AD4735">
        <v>-1.1114379556659999</v>
      </c>
      <c r="AE4735">
        <v>1.60567999999999</v>
      </c>
      <c r="AF4735">
        <v>-2.1999886407226699</v>
      </c>
      <c r="AG4735">
        <v>-1.1114379556659999</v>
      </c>
      <c r="AH4735">
        <v>9.6157900530991007</v>
      </c>
      <c r="AI4735">
        <v>96.428595800352596</v>
      </c>
      <c r="AJ4735">
        <v>102.88685732389401</v>
      </c>
      <c r="AK4735">
        <v>9.9266642279208401</v>
      </c>
      <c r="AL4735">
        <v>84.843107429875204</v>
      </c>
      <c r="AM4735">
        <v>91.6152753173684</v>
      </c>
      <c r="AN4735">
        <v>0.99999995021886301</v>
      </c>
    </row>
    <row r="4736" spans="1:40" x14ac:dyDescent="0.25">
      <c r="A4736" t="str">
        <f>"20190312151632616"</f>
        <v>20190312151632616</v>
      </c>
      <c r="B4736" t="str">
        <f>"1552374992612967"</f>
        <v>1552374992612967</v>
      </c>
      <c r="C4736" t="s">
        <v>40</v>
      </c>
      <c r="D4736">
        <v>4.5225299999999997</v>
      </c>
      <c r="E4736">
        <v>0.4247977</v>
      </c>
      <c r="F4736" t="s">
        <v>70</v>
      </c>
      <c r="G4736">
        <v>-376.06200000000001</v>
      </c>
      <c r="H4736" s="1">
        <v>-2.0038429999999999E-6</v>
      </c>
      <c r="I4736">
        <v>18.703859999999999</v>
      </c>
      <c r="J4736">
        <v>-385.8836</v>
      </c>
      <c r="K4736">
        <v>1.111434</v>
      </c>
      <c r="L4736">
        <v>17.087129999999998</v>
      </c>
      <c r="M4736">
        <v>0.99796580000000001</v>
      </c>
      <c r="N4736">
        <v>0</v>
      </c>
      <c r="O4736">
        <v>-6.2337839999999999E-2</v>
      </c>
      <c r="P4736">
        <v>0.99645819999999996</v>
      </c>
      <c r="Q4736">
        <v>7.6763150000000002E-2</v>
      </c>
      <c r="R4736">
        <v>-3.4332349999999998E-2</v>
      </c>
      <c r="S4736">
        <v>3.0545650000000002</v>
      </c>
      <c r="T4736">
        <v>-0.34086919999999998</v>
      </c>
      <c r="U4736">
        <v>0.49349979999999899</v>
      </c>
      <c r="V4736">
        <v>-2.8141200000000002E-2</v>
      </c>
      <c r="W4736">
        <v>8.9982060000000003E-2</v>
      </c>
      <c r="X4736">
        <v>0.99554569999999998</v>
      </c>
      <c r="Y4736">
        <v>-0.2190221</v>
      </c>
      <c r="Z4736">
        <v>1.90017E-2</v>
      </c>
      <c r="AA4736">
        <v>0.97553489999999998</v>
      </c>
      <c r="AB4736">
        <v>25</v>
      </c>
      <c r="AC4736">
        <v>9.8216000000000392</v>
      </c>
      <c r="AD4736">
        <v>-1.111436003843</v>
      </c>
      <c r="AE4736">
        <v>1.61673</v>
      </c>
      <c r="AF4736">
        <v>-2.1984864692967898</v>
      </c>
      <c r="AG4736">
        <v>-1.111436003843</v>
      </c>
      <c r="AH4736">
        <v>9.5822318811911593</v>
      </c>
      <c r="AI4736">
        <v>96.450011524987502</v>
      </c>
      <c r="AJ4736">
        <v>102.92194176158399</v>
      </c>
      <c r="AK4736">
        <v>9.8938263867543093</v>
      </c>
      <c r="AL4736">
        <v>84.837424825236894</v>
      </c>
      <c r="AM4736">
        <v>91.619154953838503</v>
      </c>
      <c r="AN4736">
        <v>0.99999996952388603</v>
      </c>
    </row>
    <row r="4737" spans="1:40" x14ac:dyDescent="0.25">
      <c r="A4737" t="str">
        <f>"20190312151632636"</f>
        <v>20190312151632636</v>
      </c>
      <c r="B4737" t="str">
        <f>"1552374992633161"</f>
        <v>1552374992633161</v>
      </c>
      <c r="C4737" t="s">
        <v>40</v>
      </c>
      <c r="D4737">
        <v>4.5312910000000004</v>
      </c>
      <c r="E4737">
        <v>0.42509609999999898</v>
      </c>
      <c r="F4737" t="s">
        <v>70</v>
      </c>
      <c r="G4737">
        <v>-375.94060000000002</v>
      </c>
      <c r="H4737" s="1">
        <v>-2.0611289999999998E-6</v>
      </c>
      <c r="I4737">
        <v>18.704419999999999</v>
      </c>
      <c r="J4737">
        <v>-385.67399999999998</v>
      </c>
      <c r="K4737">
        <v>1.1114310000000001</v>
      </c>
      <c r="L4737">
        <v>17.075810000000001</v>
      </c>
      <c r="M4737">
        <v>0.99806340000000004</v>
      </c>
      <c r="N4737">
        <v>0</v>
      </c>
      <c r="O4737">
        <v>-6.0751720000000002E-2</v>
      </c>
      <c r="P4737">
        <v>0.99654019999999999</v>
      </c>
      <c r="Q4737">
        <v>7.6458120000000004E-2</v>
      </c>
      <c r="R4737">
        <v>-3.258374E-2</v>
      </c>
      <c r="S4737">
        <v>3.0540769999999999</v>
      </c>
      <c r="T4737">
        <v>-0.3413873</v>
      </c>
      <c r="U4737">
        <v>0.49676510000000001</v>
      </c>
      <c r="V4737">
        <v>-2.8306230000000002E-2</v>
      </c>
      <c r="W4737">
        <v>8.9675740000000004E-2</v>
      </c>
      <c r="X4737">
        <v>0.99556869999999997</v>
      </c>
      <c r="Y4737">
        <v>-0.2185203</v>
      </c>
      <c r="Z4737">
        <v>1.8828259999999999E-2</v>
      </c>
      <c r="AA4737">
        <v>0.97565069999999998</v>
      </c>
      <c r="AB4737">
        <v>25</v>
      </c>
      <c r="AC4737">
        <v>9.7334000000000103</v>
      </c>
      <c r="AD4737">
        <v>-1.111433061129</v>
      </c>
      <c r="AE4737">
        <v>1.6286099999999999</v>
      </c>
      <c r="AF4737">
        <v>-2.1892076532743898</v>
      </c>
      <c r="AG4737">
        <v>-1.111433061129</v>
      </c>
      <c r="AH4737">
        <v>9.49602392715917</v>
      </c>
      <c r="AI4737">
        <v>96.506491361356296</v>
      </c>
      <c r="AJ4737">
        <v>102.982113613777</v>
      </c>
      <c r="AK4737">
        <v>9.8082814001080294</v>
      </c>
      <c r="AL4737">
        <v>84.855047113537694</v>
      </c>
      <c r="AM4737">
        <v>91.628607549697705</v>
      </c>
      <c r="AN4737">
        <v>1.0000000087105201</v>
      </c>
    </row>
    <row r="4738" spans="1:40" x14ac:dyDescent="0.25">
      <c r="A4738" t="str">
        <f>"20190312151632647"</f>
        <v>20190312151632647</v>
      </c>
      <c r="B4738" t="str">
        <f>"1552374992642921"</f>
        <v>1552374992642921</v>
      </c>
      <c r="C4738" t="s">
        <v>40</v>
      </c>
      <c r="D4738">
        <v>4.5037159999999998</v>
      </c>
      <c r="E4738">
        <v>0.42534119999999997</v>
      </c>
      <c r="F4738" t="s">
        <v>70</v>
      </c>
      <c r="G4738">
        <v>-375.81700000000001</v>
      </c>
      <c r="H4738" s="1">
        <v>-2.122192E-6</v>
      </c>
      <c r="I4738">
        <v>18.689419999999998</v>
      </c>
      <c r="J4738">
        <v>-385.53519999999997</v>
      </c>
      <c r="K4738">
        <v>1.1114329999999999</v>
      </c>
      <c r="L4738">
        <v>17.06851</v>
      </c>
      <c r="M4738">
        <v>0.99812690000000004</v>
      </c>
      <c r="N4738">
        <v>0</v>
      </c>
      <c r="O4738">
        <v>-5.970131E-2</v>
      </c>
      <c r="P4738">
        <v>0.99657249999999997</v>
      </c>
      <c r="Q4738">
        <v>7.6550019999999996E-2</v>
      </c>
      <c r="R4738">
        <v>-3.1356929999999998E-2</v>
      </c>
      <c r="S4738">
        <v>3.0531920000000001</v>
      </c>
      <c r="T4738">
        <v>-0.3442656</v>
      </c>
      <c r="U4738">
        <v>0.49981690000000001</v>
      </c>
      <c r="V4738">
        <v>-2.848355E-2</v>
      </c>
      <c r="W4738">
        <v>8.976597E-2</v>
      </c>
      <c r="X4738">
        <v>0.99555550000000004</v>
      </c>
      <c r="Y4738">
        <v>-0.21846599999999999</v>
      </c>
      <c r="Z4738">
        <v>1.8869509999999999E-2</v>
      </c>
      <c r="AA4738">
        <v>0.97566209999999998</v>
      </c>
      <c r="AB4738">
        <v>25</v>
      </c>
      <c r="AC4738">
        <v>9.7182000000000208</v>
      </c>
      <c r="AD4738">
        <v>-1.11143512219199</v>
      </c>
      <c r="AE4738">
        <v>1.6209100000000001</v>
      </c>
      <c r="AF4738">
        <v>-2.17063653750031</v>
      </c>
      <c r="AG4738">
        <v>-1.11143512219199</v>
      </c>
      <c r="AH4738">
        <v>9.4834009350981301</v>
      </c>
      <c r="AI4738">
        <v>96.517417326035499</v>
      </c>
      <c r="AJ4738">
        <v>102.89223722319601</v>
      </c>
      <c r="AK4738">
        <v>9.7919275071149006</v>
      </c>
      <c r="AL4738">
        <v>84.849856324500905</v>
      </c>
      <c r="AM4738">
        <v>91.638825880674702</v>
      </c>
      <c r="AN4738">
        <v>0.99999999778544602</v>
      </c>
    </row>
    <row r="4739" spans="1:40" x14ac:dyDescent="0.25">
      <c r="A4739" t="str">
        <f>"20190312151632660"</f>
        <v>20190312151632660</v>
      </c>
      <c r="B4739" t="str">
        <f>"1552374992652682"</f>
        <v>1552374992652682</v>
      </c>
      <c r="C4739" t="s">
        <v>40</v>
      </c>
      <c r="D4739">
        <v>4.5140560000000001</v>
      </c>
      <c r="E4739">
        <v>0.42552079999999998</v>
      </c>
      <c r="F4739" t="s">
        <v>70</v>
      </c>
      <c r="G4739">
        <v>-375.69130000000001</v>
      </c>
      <c r="H4739" s="1">
        <v>-2.1821759999999998E-6</v>
      </c>
      <c r="I4739">
        <v>18.686540000000001</v>
      </c>
      <c r="J4739">
        <v>-385.39830000000001</v>
      </c>
      <c r="K4739">
        <v>1.111432</v>
      </c>
      <c r="L4739">
        <v>17.06146</v>
      </c>
      <c r="M4739">
        <v>0.99818839999999998</v>
      </c>
      <c r="N4739">
        <v>0</v>
      </c>
      <c r="O4739">
        <v>-5.866532E-2</v>
      </c>
      <c r="P4739">
        <v>0.99663049999999997</v>
      </c>
      <c r="Q4739">
        <v>7.631578E-2</v>
      </c>
      <c r="R4739">
        <v>-3.006234E-2</v>
      </c>
      <c r="S4739">
        <v>3.0525509999999998</v>
      </c>
      <c r="T4739">
        <v>-0.34464790000000001</v>
      </c>
      <c r="U4739">
        <v>0.5017395</v>
      </c>
      <c r="V4739">
        <v>-2.8743830000000001E-2</v>
      </c>
      <c r="W4739">
        <v>8.9530419999999999E-2</v>
      </c>
      <c r="X4739">
        <v>0.99556920000000004</v>
      </c>
      <c r="Y4739">
        <v>-0.21808910000000001</v>
      </c>
      <c r="Z4739">
        <v>1.875628E-2</v>
      </c>
      <c r="AA4739">
        <v>0.97574859999999997</v>
      </c>
      <c r="AB4739">
        <v>25</v>
      </c>
      <c r="AC4739">
        <v>9.7069999999999901</v>
      </c>
      <c r="AD4739">
        <v>-1.1114341821760001</v>
      </c>
      <c r="AE4739">
        <v>1.6250800000000001</v>
      </c>
      <c r="AF4739">
        <v>-2.1641969089731501</v>
      </c>
      <c r="AG4739">
        <v>-1.1114341821760001</v>
      </c>
      <c r="AH4739">
        <v>9.4741164025591402</v>
      </c>
      <c r="AI4739">
        <v>96.524383863580795</v>
      </c>
      <c r="AJ4739">
        <v>102.867441210424</v>
      </c>
      <c r="AK4739">
        <v>9.7815088719153298</v>
      </c>
      <c r="AL4739">
        <v>84.863406753151395</v>
      </c>
      <c r="AM4739">
        <v>91.653770293486502</v>
      </c>
      <c r="AN4739">
        <v>0.99999996792854196</v>
      </c>
    </row>
    <row r="4740" spans="1:40" x14ac:dyDescent="0.25">
      <c r="A4740" t="str">
        <f>"20190312151632673"</f>
        <v>20190312151632673</v>
      </c>
      <c r="B4740" t="str">
        <f>"1552374992662442"</f>
        <v>1552374992662442</v>
      </c>
      <c r="C4740" t="s">
        <v>40</v>
      </c>
      <c r="D4740">
        <v>4.551825</v>
      </c>
      <c r="E4740">
        <v>0.42562260000000002</v>
      </c>
      <c r="F4740" t="s">
        <v>70</v>
      </c>
      <c r="G4740">
        <v>-375.57</v>
      </c>
      <c r="H4740" s="1">
        <v>-2.2396239999999999E-6</v>
      </c>
      <c r="I4740">
        <v>18.685680000000001</v>
      </c>
      <c r="J4740">
        <v>-385.25170000000003</v>
      </c>
      <c r="K4740">
        <v>1.1114299999999999</v>
      </c>
      <c r="L4740">
        <v>17.054020000000001</v>
      </c>
      <c r="M4740">
        <v>0.9982531</v>
      </c>
      <c r="N4740">
        <v>0</v>
      </c>
      <c r="O4740">
        <v>-5.7555660000000002E-2</v>
      </c>
      <c r="P4740">
        <v>0.99666290000000002</v>
      </c>
      <c r="Q4740">
        <v>7.6472799999999994E-2</v>
      </c>
      <c r="R4740">
        <v>-2.8550240000000001E-2</v>
      </c>
      <c r="S4740">
        <v>3.051758</v>
      </c>
      <c r="T4740">
        <v>-0.34510930000000001</v>
      </c>
      <c r="U4740">
        <v>0.50433349999999999</v>
      </c>
      <c r="V4740">
        <v>-2.9146930000000001E-2</v>
      </c>
      <c r="W4740">
        <v>8.9685230000000005E-2</v>
      </c>
      <c r="X4740">
        <v>0.99554359999999997</v>
      </c>
      <c r="Y4740">
        <v>-0.21785589999999999</v>
      </c>
      <c r="Z4740">
        <v>1.864733E-2</v>
      </c>
      <c r="AA4740">
        <v>0.97580279999999997</v>
      </c>
      <c r="AB4740">
        <v>25</v>
      </c>
      <c r="AC4740">
        <v>9.6817000000000295</v>
      </c>
      <c r="AD4740">
        <v>-1.111432239624</v>
      </c>
      <c r="AE4740">
        <v>1.6316599999999899</v>
      </c>
      <c r="AF4740">
        <v>-2.1585799804534598</v>
      </c>
      <c r="AG4740">
        <v>-1.111432239624</v>
      </c>
      <c r="AH4740">
        <v>9.4506236943062607</v>
      </c>
      <c r="AI4740">
        <v>96.540488028446902</v>
      </c>
      <c r="AJ4740">
        <v>102.8659982393</v>
      </c>
      <c r="AK4740">
        <v>9.75751184301987</v>
      </c>
      <c r="AL4740">
        <v>84.854501244090599</v>
      </c>
      <c r="AM4740">
        <v>91.676992514694604</v>
      </c>
      <c r="AN4740">
        <v>1.00000002175476</v>
      </c>
    </row>
    <row r="4741" spans="1:40" x14ac:dyDescent="0.25">
      <c r="A4741" t="str">
        <f>"20190312151632690"</f>
        <v>20190312151632690</v>
      </c>
      <c r="B4741" t="str">
        <f>"1552374992682937"</f>
        <v>1552374992682937</v>
      </c>
      <c r="C4741" t="s">
        <v>40</v>
      </c>
      <c r="D4741">
        <v>4.5300339999999997</v>
      </c>
      <c r="E4741">
        <v>0.42600009999999999</v>
      </c>
      <c r="F4741" t="s">
        <v>70</v>
      </c>
      <c r="G4741">
        <v>-375.40980000000002</v>
      </c>
      <c r="H4741" s="1">
        <v>-2.3140260000000001E-6</v>
      </c>
      <c r="I4741">
        <v>18.693390000000001</v>
      </c>
      <c r="J4741">
        <v>-385.05250000000001</v>
      </c>
      <c r="K4741">
        <v>1.1114299999999999</v>
      </c>
      <c r="L4741">
        <v>17.044250000000002</v>
      </c>
      <c r="M4741">
        <v>0.99833890000000003</v>
      </c>
      <c r="N4741">
        <v>0</v>
      </c>
      <c r="O4741">
        <v>-5.6047380000000001E-2</v>
      </c>
      <c r="P4741">
        <v>0.99672620000000001</v>
      </c>
      <c r="Q4741">
        <v>7.6476509999999998E-2</v>
      </c>
      <c r="R4741">
        <v>-2.624423E-2</v>
      </c>
      <c r="S4741">
        <v>3.0510250000000001</v>
      </c>
      <c r="T4741">
        <v>-0.34454620000000002</v>
      </c>
      <c r="U4741">
        <v>0.50820920000000003</v>
      </c>
      <c r="V4741">
        <v>-2.9947290000000001E-2</v>
      </c>
      <c r="W4741">
        <v>8.9685249999999994E-2</v>
      </c>
      <c r="X4741">
        <v>0.99551979999999995</v>
      </c>
      <c r="Y4741">
        <v>-0.2176419</v>
      </c>
      <c r="Z4741">
        <v>1.8438820000000002E-2</v>
      </c>
      <c r="AA4741">
        <v>0.97585449999999996</v>
      </c>
      <c r="AB4741">
        <v>25</v>
      </c>
      <c r="AC4741">
        <v>9.6426999999999907</v>
      </c>
      <c r="AD4741">
        <v>-1.1114323140259901</v>
      </c>
      <c r="AE4741">
        <v>1.6491399999999901</v>
      </c>
      <c r="AF4741">
        <v>-2.1591735698379901</v>
      </c>
      <c r="AG4741">
        <v>-1.1114323140259901</v>
      </c>
      <c r="AH4741">
        <v>9.4135941940302104</v>
      </c>
      <c r="AI4741">
        <v>96.564631058139099</v>
      </c>
      <c r="AJ4741">
        <v>102.918346739386</v>
      </c>
      <c r="AK4741">
        <v>9.7217831668489403</v>
      </c>
      <c r="AL4741">
        <v>84.854499868920897</v>
      </c>
      <c r="AM4741">
        <v>91.723055663645894</v>
      </c>
      <c r="AN4741">
        <v>0.99999997821897302</v>
      </c>
    </row>
    <row r="4742" spans="1:40" x14ac:dyDescent="0.25">
      <c r="A4742" t="str">
        <f>"20190312151632702"</f>
        <v>20190312151632702</v>
      </c>
      <c r="B4742" t="str">
        <f>"1552374992692697"</f>
        <v>1552374992692697</v>
      </c>
      <c r="C4742" t="s">
        <v>40</v>
      </c>
      <c r="D4742">
        <v>4.5340579999999999</v>
      </c>
      <c r="E4742">
        <v>0.42617440000000001</v>
      </c>
      <c r="F4742" t="s">
        <v>70</v>
      </c>
      <c r="G4742">
        <v>-375.23610000000002</v>
      </c>
      <c r="H4742" s="1">
        <v>-2.3961299999999998E-6</v>
      </c>
      <c r="I4742">
        <v>18.693449999999999</v>
      </c>
      <c r="J4742">
        <v>-384.9239</v>
      </c>
      <c r="K4742">
        <v>1.1114299999999999</v>
      </c>
      <c r="L4742">
        <v>17.038119999999999</v>
      </c>
      <c r="M4742">
        <v>0.99839299999999997</v>
      </c>
      <c r="N4742">
        <v>0</v>
      </c>
      <c r="O4742">
        <v>-5.5073850000000001E-2</v>
      </c>
      <c r="P4742">
        <v>0.99677349999999998</v>
      </c>
      <c r="Q4742">
        <v>7.6303140000000005E-2</v>
      </c>
      <c r="R4742">
        <v>-2.4912170000000001E-2</v>
      </c>
      <c r="S4742">
        <v>3.0498660000000002</v>
      </c>
      <c r="T4742">
        <v>-0.34531139999999999</v>
      </c>
      <c r="U4742">
        <v>0.51239009999999996</v>
      </c>
      <c r="V4742">
        <v>-3.0307110000000002E-2</v>
      </c>
      <c r="W4742">
        <v>8.9510469999999995E-2</v>
      </c>
      <c r="X4742">
        <v>0.99552459999999998</v>
      </c>
      <c r="Y4742">
        <v>-0.2180473</v>
      </c>
      <c r="Z4742">
        <v>1.839787E-2</v>
      </c>
      <c r="AA4742">
        <v>0.97576479999999999</v>
      </c>
      <c r="AB4742">
        <v>25</v>
      </c>
      <c r="AC4742">
        <v>9.6877999999999798</v>
      </c>
      <c r="AD4742">
        <v>-1.1114323961300001</v>
      </c>
      <c r="AE4742">
        <v>1.65532999999999</v>
      </c>
      <c r="AF4742">
        <v>-2.15880152416335</v>
      </c>
      <c r="AG4742">
        <v>-1.1114323961300001</v>
      </c>
      <c r="AH4742">
        <v>9.4609299188395397</v>
      </c>
      <c r="AI4742">
        <v>96.533742500707305</v>
      </c>
      <c r="AJ4742">
        <v>102.85372369306501</v>
      </c>
      <c r="AK4742">
        <v>9.7675432387622596</v>
      </c>
      <c r="AL4742">
        <v>84.864554253528595</v>
      </c>
      <c r="AM4742">
        <v>91.743737259970203</v>
      </c>
      <c r="AN4742">
        <v>0.99999993718066404</v>
      </c>
    </row>
    <row r="4743" spans="1:40" x14ac:dyDescent="0.25">
      <c r="A4743" t="str">
        <f>"20190312151632714"</f>
        <v>20190312151632714</v>
      </c>
      <c r="B4743" t="str">
        <f>"1552374992702458"</f>
        <v>1552374992702458</v>
      </c>
      <c r="C4743" t="s">
        <v>40</v>
      </c>
      <c r="D4743">
        <v>4.5215940000000003</v>
      </c>
      <c r="E4743">
        <v>0.42628709999999997</v>
      </c>
      <c r="F4743" t="s">
        <v>70</v>
      </c>
      <c r="G4743">
        <v>-375.13889999999998</v>
      </c>
      <c r="H4743" s="1">
        <v>-2.4423709999999999E-6</v>
      </c>
      <c r="I4743">
        <v>18.691549999999999</v>
      </c>
      <c r="J4743">
        <v>-384.79570000000001</v>
      </c>
      <c r="K4743">
        <v>1.1114310000000001</v>
      </c>
      <c r="L4743">
        <v>17.032070000000001</v>
      </c>
      <c r="M4743">
        <v>0.9984461</v>
      </c>
      <c r="N4743">
        <v>0</v>
      </c>
      <c r="O4743">
        <v>-5.4104140000000002E-2</v>
      </c>
      <c r="P4743">
        <v>0.99678520000000004</v>
      </c>
      <c r="Q4743">
        <v>7.6502139999999996E-2</v>
      </c>
      <c r="R4743">
        <v>-2.381049E-2</v>
      </c>
      <c r="S4743">
        <v>3.0491030000000001</v>
      </c>
      <c r="T4743">
        <v>-0.3463349</v>
      </c>
      <c r="U4743">
        <v>0.51522829999999997</v>
      </c>
      <c r="V4743">
        <v>-3.0440439999999999E-2</v>
      </c>
      <c r="W4743">
        <v>8.9708040000000003E-2</v>
      </c>
      <c r="X4743">
        <v>0.99550280000000002</v>
      </c>
      <c r="Y4743">
        <v>-0.2180185</v>
      </c>
      <c r="Z4743">
        <v>1.8344450000000002E-2</v>
      </c>
      <c r="AA4743">
        <v>0.97577219999999998</v>
      </c>
      <c r="AB4743">
        <v>25</v>
      </c>
      <c r="AC4743">
        <v>9.6568000000000307</v>
      </c>
      <c r="AD4743">
        <v>-1.1114334423709999</v>
      </c>
      <c r="AE4743">
        <v>1.6594799999999901</v>
      </c>
      <c r="AF4743">
        <v>-2.1518811050831199</v>
      </c>
      <c r="AG4743">
        <v>-1.1114334423709999</v>
      </c>
      <c r="AH4743">
        <v>9.4315097208002605</v>
      </c>
      <c r="AI4743">
        <v>96.553983580076803</v>
      </c>
      <c r="AJ4743">
        <v>102.8525266897</v>
      </c>
      <c r="AK4743">
        <v>9.73751776382381</v>
      </c>
      <c r="AL4743">
        <v>84.853188868083294</v>
      </c>
      <c r="AM4743">
        <v>91.751442041270394</v>
      </c>
      <c r="AN4743">
        <v>0.99999998881793695</v>
      </c>
    </row>
    <row r="4744" spans="1:40" x14ac:dyDescent="0.25">
      <c r="A4744" t="str">
        <f>"20190312151632723"</f>
        <v>20190312151632723</v>
      </c>
      <c r="B4744" t="str">
        <f>"1552374992713194"</f>
        <v>1552374992713194</v>
      </c>
      <c r="C4744" t="s">
        <v>40</v>
      </c>
      <c r="D4744">
        <v>4.5317080000000001</v>
      </c>
      <c r="E4744">
        <v>0.4264889</v>
      </c>
      <c r="F4744" t="s">
        <v>70</v>
      </c>
      <c r="G4744">
        <v>-374.97629999999998</v>
      </c>
      <c r="H4744" s="1">
        <v>-2.5177979999999998E-6</v>
      </c>
      <c r="I4744">
        <v>18.69971</v>
      </c>
      <c r="J4744">
        <v>-384.67169999999999</v>
      </c>
      <c r="K4744">
        <v>1.1114329999999999</v>
      </c>
      <c r="L4744">
        <v>17.026399999999999</v>
      </c>
      <c r="M4744">
        <v>0.99849650000000001</v>
      </c>
      <c r="N4744">
        <v>0</v>
      </c>
      <c r="O4744">
        <v>-5.3164820000000002E-2</v>
      </c>
      <c r="P4744">
        <v>0.99679130000000005</v>
      </c>
      <c r="Q4744">
        <v>7.6666520000000002E-2</v>
      </c>
      <c r="R4744">
        <v>-2.3009669999999999E-2</v>
      </c>
      <c r="S4744">
        <v>3.0485229999999999</v>
      </c>
      <c r="T4744">
        <v>-0.34505330000000001</v>
      </c>
      <c r="U4744">
        <v>0.51773069999999999</v>
      </c>
      <c r="V4744">
        <v>-3.030327E-2</v>
      </c>
      <c r="W4744">
        <v>8.9872350000000004E-2</v>
      </c>
      <c r="X4744">
        <v>0.99549219999999905</v>
      </c>
      <c r="Y4744">
        <v>-0.2179285</v>
      </c>
      <c r="Z4744">
        <v>1.8168779999999999E-2</v>
      </c>
      <c r="AA4744">
        <v>0.97579559999999999</v>
      </c>
      <c r="AB4744">
        <v>25</v>
      </c>
      <c r="AC4744">
        <v>9.6953999999999994</v>
      </c>
      <c r="AD4744">
        <v>-1.111435517798</v>
      </c>
      <c r="AE4744">
        <v>1.6733100000000001</v>
      </c>
      <c r="AF4744">
        <v>-2.1588932781854502</v>
      </c>
      <c r="AG4744">
        <v>-1.111435517798</v>
      </c>
      <c r="AH4744">
        <v>9.4718450484447292</v>
      </c>
      <c r="AI4744">
        <v>96.5266515633148</v>
      </c>
      <c r="AJ4744">
        <v>102.839930175037</v>
      </c>
      <c r="AK4744">
        <v>9.7781367201816192</v>
      </c>
      <c r="AL4744">
        <v>84.843736598369205</v>
      </c>
      <c r="AM4744">
        <v>91.743573170408695</v>
      </c>
      <c r="AN4744">
        <v>1.0000000238640201</v>
      </c>
    </row>
    <row r="4745" spans="1:40" x14ac:dyDescent="0.25">
      <c r="A4745" t="str">
        <f>"20190312151632736"</f>
        <v>20190312151632736</v>
      </c>
      <c r="B4745" t="str">
        <f>"1552374992732714"</f>
        <v>1552374992732714</v>
      </c>
      <c r="C4745" t="s">
        <v>40</v>
      </c>
      <c r="D4745">
        <v>4.5657240000000003</v>
      </c>
      <c r="E4745">
        <v>0.42667280000000002</v>
      </c>
      <c r="F4745" t="s">
        <v>70</v>
      </c>
      <c r="G4745">
        <v>-374.84660000000002</v>
      </c>
      <c r="H4745" s="1">
        <v>-2.57939E-6</v>
      </c>
      <c r="I4745">
        <v>18.698239999999998</v>
      </c>
      <c r="J4745">
        <v>-384.54520000000002</v>
      </c>
      <c r="K4745">
        <v>1.1114310000000001</v>
      </c>
      <c r="L4745">
        <v>17.020720000000001</v>
      </c>
      <c r="M4745">
        <v>0.99854710000000002</v>
      </c>
      <c r="N4745">
        <v>0</v>
      </c>
      <c r="O4745">
        <v>-5.2206780000000001E-2</v>
      </c>
      <c r="P4745">
        <v>0.99682329999999997</v>
      </c>
      <c r="Q4745">
        <v>7.6503860000000007E-2</v>
      </c>
      <c r="R4745">
        <v>-2.216357E-2</v>
      </c>
      <c r="S4745">
        <v>3.048187</v>
      </c>
      <c r="T4745">
        <v>-0.34481499999999998</v>
      </c>
      <c r="U4745">
        <v>0.51867680000000005</v>
      </c>
      <c r="V4745">
        <v>-3.019264E-2</v>
      </c>
      <c r="W4745">
        <v>8.9709460000000005E-2</v>
      </c>
      <c r="X4745">
        <v>0.99551020000000001</v>
      </c>
      <c r="Y4745">
        <v>-0.21731639999999999</v>
      </c>
      <c r="Z4745">
        <v>1.8016150000000002E-2</v>
      </c>
      <c r="AA4745">
        <v>0.97593490000000005</v>
      </c>
      <c r="AB4745">
        <v>25</v>
      </c>
      <c r="AC4745">
        <v>9.6986000000000008</v>
      </c>
      <c r="AD4745">
        <v>-1.1114335793899901</v>
      </c>
      <c r="AE4745">
        <v>1.6775199999999899</v>
      </c>
      <c r="AF4745">
        <v>-2.15414211073479</v>
      </c>
      <c r="AG4745">
        <v>-1.1114335793899901</v>
      </c>
      <c r="AH4745">
        <v>9.4769446932517702</v>
      </c>
      <c r="AI4745">
        <v>96.524031814305303</v>
      </c>
      <c r="AJ4745">
        <v>102.805939226402</v>
      </c>
      <c r="AK4745">
        <v>9.7820291122849099</v>
      </c>
      <c r="AL4745">
        <v>84.853107084243902</v>
      </c>
      <c r="AM4745">
        <v>91.737180317242405</v>
      </c>
      <c r="AN4745">
        <v>0.99999997051385003</v>
      </c>
    </row>
    <row r="4746" spans="1:40" x14ac:dyDescent="0.25">
      <c r="A4746" t="str">
        <f>"20190312151632747"</f>
        <v>20190312151632747</v>
      </c>
      <c r="B4746" t="str">
        <f>"1552374992742474"</f>
        <v>1552374992742474</v>
      </c>
      <c r="C4746" t="s">
        <v>40</v>
      </c>
      <c r="D4746">
        <v>4.5690679999999997</v>
      </c>
      <c r="E4746">
        <v>0.42679020000000001</v>
      </c>
      <c r="F4746" t="s">
        <v>70</v>
      </c>
      <c r="G4746">
        <v>-374.77390000000003</v>
      </c>
      <c r="H4746" s="1">
        <v>-2.6155589999999999E-6</v>
      </c>
      <c r="I4746">
        <v>18.688040000000001</v>
      </c>
      <c r="J4746">
        <v>-384.41289999999998</v>
      </c>
      <c r="K4746">
        <v>1.111429</v>
      </c>
      <c r="L4746">
        <v>17.014890000000001</v>
      </c>
      <c r="M4746">
        <v>0.99859889999999996</v>
      </c>
      <c r="N4746">
        <v>0</v>
      </c>
      <c r="O4746">
        <v>-5.1204760000000002E-2</v>
      </c>
      <c r="P4746">
        <v>0.99682999999999999</v>
      </c>
      <c r="Q4746">
        <v>7.6759899999999895E-2</v>
      </c>
      <c r="R4746">
        <v>-2.0924359999999999E-2</v>
      </c>
      <c r="S4746">
        <v>3.0477599999999998</v>
      </c>
      <c r="T4746">
        <v>-0.3466649</v>
      </c>
      <c r="U4746">
        <v>0.52005000000000001</v>
      </c>
      <c r="V4746">
        <v>-3.043119E-2</v>
      </c>
      <c r="W4746">
        <v>8.9964000000000002E-2</v>
      </c>
      <c r="X4746">
        <v>0.99548000000000003</v>
      </c>
      <c r="Y4746">
        <v>-0.21677869999999999</v>
      </c>
      <c r="Z4746">
        <v>1.7970819999999998E-2</v>
      </c>
      <c r="AA4746">
        <v>0.97605529999999996</v>
      </c>
      <c r="AB4746">
        <v>25</v>
      </c>
      <c r="AC4746">
        <v>9.6389999999999496</v>
      </c>
      <c r="AD4746">
        <v>-1.1114316155589901</v>
      </c>
      <c r="AE4746">
        <v>1.6731499999999899</v>
      </c>
      <c r="AF4746">
        <v>-2.1369804308847602</v>
      </c>
      <c r="AG4746">
        <v>-1.1114316155589901</v>
      </c>
      <c r="AH4746">
        <v>9.4191042888318499</v>
      </c>
      <c r="AI4746">
        <v>96.564333118856297</v>
      </c>
      <c r="AJ4746">
        <v>102.78271769675899</v>
      </c>
      <c r="AK4746">
        <v>9.7222163729233593</v>
      </c>
      <c r="AL4746">
        <v>84.838463981996398</v>
      </c>
      <c r="AM4746">
        <v>91.750950235305396</v>
      </c>
      <c r="AN4746">
        <v>1.0000000045104001</v>
      </c>
    </row>
    <row r="4747" spans="1:40" x14ac:dyDescent="0.25">
      <c r="A4747" t="str">
        <f>"20190312151632758"</f>
        <v>20190312151632758</v>
      </c>
      <c r="B4747" t="str">
        <f>"1552374992752234"</f>
        <v>1552374992752234</v>
      </c>
      <c r="C4747" t="s">
        <v>40</v>
      </c>
      <c r="D4747">
        <v>4.5391260000000004</v>
      </c>
      <c r="E4747">
        <v>0.42693930000000002</v>
      </c>
      <c r="F4747" t="s">
        <v>70</v>
      </c>
      <c r="G4747">
        <v>-374.62130000000002</v>
      </c>
      <c r="H4747" s="1">
        <v>-2.6863699999999998E-6</v>
      </c>
      <c r="I4747">
        <v>18.695540000000001</v>
      </c>
      <c r="J4747">
        <v>-384.2955</v>
      </c>
      <c r="K4747">
        <v>1.111426</v>
      </c>
      <c r="L4747">
        <v>17.00986</v>
      </c>
      <c r="M4747">
        <v>0.99864430000000004</v>
      </c>
      <c r="N4747">
        <v>0</v>
      </c>
      <c r="O4747">
        <v>-5.0316100000000002E-2</v>
      </c>
      <c r="P4747">
        <v>0.99683160000000004</v>
      </c>
      <c r="Q4747">
        <v>7.6896660000000006E-2</v>
      </c>
      <c r="R4747">
        <v>-2.035151E-2</v>
      </c>
      <c r="S4747">
        <v>3.0471189999999999</v>
      </c>
      <c r="T4747">
        <v>-0.34587299999999999</v>
      </c>
      <c r="U4747">
        <v>0.52301030000000004</v>
      </c>
      <c r="V4747">
        <v>-3.0116569999999999E-2</v>
      </c>
      <c r="W4747">
        <v>9.0100780000000005E-2</v>
      </c>
      <c r="X4747">
        <v>0.99547719999999995</v>
      </c>
      <c r="Y4747">
        <v>-0.21687790000000001</v>
      </c>
      <c r="Z4747">
        <v>1.7837929999999998E-2</v>
      </c>
      <c r="AA4747">
        <v>0.97603580000000001</v>
      </c>
      <c r="AB4747">
        <v>25</v>
      </c>
      <c r="AC4747">
        <v>9.6741999999999795</v>
      </c>
      <c r="AD4747">
        <v>-1.11142868637</v>
      </c>
      <c r="AE4747">
        <v>1.6856800000000001</v>
      </c>
      <c r="AF4747">
        <v>-2.14290548159358</v>
      </c>
      <c r="AG4747">
        <v>-1.11142868637</v>
      </c>
      <c r="AH4747">
        <v>9.4559898636399797</v>
      </c>
      <c r="AI4747">
        <v>96.539293566848599</v>
      </c>
      <c r="AJ4747">
        <v>102.768636340044</v>
      </c>
      <c r="AK4747">
        <v>9.7592551933634795</v>
      </c>
      <c r="AL4747">
        <v>84.830595121606095</v>
      </c>
      <c r="AM4747">
        <v>91.732863591033606</v>
      </c>
      <c r="AN4747">
        <v>1.0000000070324999</v>
      </c>
    </row>
    <row r="4748" spans="1:40" x14ac:dyDescent="0.25">
      <c r="A4748" t="str">
        <f>"20190312151632768"</f>
        <v>20190312151632768</v>
      </c>
      <c r="B4748" t="str">
        <f>"1552374992762969"</f>
        <v>1552374992762969</v>
      </c>
      <c r="C4748" t="s">
        <v>40</v>
      </c>
      <c r="D4748">
        <v>4.5663850000000004</v>
      </c>
      <c r="E4748">
        <v>0.42693930000000002</v>
      </c>
      <c r="F4748" t="s">
        <v>70</v>
      </c>
      <c r="G4748">
        <v>-374.48430000000002</v>
      </c>
      <c r="H4748" s="1">
        <v>-2.7511030000000001E-6</v>
      </c>
      <c r="I4748">
        <v>18.69558</v>
      </c>
      <c r="J4748">
        <v>-384.16770000000002</v>
      </c>
      <c r="K4748">
        <v>1.1114280000000001</v>
      </c>
      <c r="L4748">
        <v>17.004429999999999</v>
      </c>
      <c r="M4748">
        <v>0.99869249999999998</v>
      </c>
      <c r="N4748">
        <v>0</v>
      </c>
      <c r="O4748">
        <v>-4.9347460000000003E-2</v>
      </c>
      <c r="P4748">
        <v>0.99685840000000003</v>
      </c>
      <c r="Q4748">
        <v>7.6724539999999994E-2</v>
      </c>
      <c r="R4748">
        <v>-1.9676510000000001E-2</v>
      </c>
      <c r="S4748">
        <v>3.0468440000000001</v>
      </c>
      <c r="T4748">
        <v>-0.34515180000000001</v>
      </c>
      <c r="U4748">
        <v>0.52349849999999998</v>
      </c>
      <c r="V4748">
        <v>-2.9824630000000001E-2</v>
      </c>
      <c r="W4748">
        <v>8.9929330000000002E-2</v>
      </c>
      <c r="X4748">
        <v>0.99550150000000004</v>
      </c>
      <c r="Y4748">
        <v>-0.21611540000000001</v>
      </c>
      <c r="Z4748">
        <v>1.7650840000000001E-2</v>
      </c>
      <c r="AA4748">
        <v>0.97620830000000003</v>
      </c>
      <c r="AB4748">
        <v>25</v>
      </c>
      <c r="AC4748">
        <v>9.6834000000000007</v>
      </c>
      <c r="AD4748">
        <v>-1.1114307511029999</v>
      </c>
      <c r="AE4748">
        <v>1.6911499999999999</v>
      </c>
      <c r="AF4748">
        <v>-2.1396303539243098</v>
      </c>
      <c r="AG4748">
        <v>-1.1114307511029999</v>
      </c>
      <c r="AH4748">
        <v>9.46711303140113</v>
      </c>
      <c r="AI4748">
        <v>96.532542327668395</v>
      </c>
      <c r="AJ4748">
        <v>102.73526839865799</v>
      </c>
      <c r="AK4748">
        <v>9.7693155090444694</v>
      </c>
      <c r="AL4748">
        <v>84.840458564169396</v>
      </c>
      <c r="AM4748">
        <v>91.716034017644503</v>
      </c>
      <c r="AN4748">
        <v>1.0000000147255601</v>
      </c>
    </row>
    <row r="4749" spans="1:40" x14ac:dyDescent="0.25">
      <c r="A4749" t="str">
        <f>"20190312151632780"</f>
        <v>20190312151632780</v>
      </c>
      <c r="B4749" t="str">
        <f>"1552374992772730"</f>
        <v>1552374992772730</v>
      </c>
      <c r="C4749" t="s">
        <v>40</v>
      </c>
      <c r="D4749">
        <v>4.5901930000000002</v>
      </c>
      <c r="E4749">
        <v>0.4189406</v>
      </c>
      <c r="F4749" t="s">
        <v>70</v>
      </c>
      <c r="G4749">
        <v>-374.37360000000001</v>
      </c>
      <c r="H4749" s="1">
        <v>-2.8036999999999999E-6</v>
      </c>
      <c r="I4749">
        <v>18.694099999999999</v>
      </c>
      <c r="J4749">
        <v>-384.04640000000001</v>
      </c>
      <c r="K4749">
        <v>1.111426</v>
      </c>
      <c r="L4749">
        <v>16.999479999999998</v>
      </c>
      <c r="M4749">
        <v>0.99873749999999994</v>
      </c>
      <c r="N4749">
        <v>0</v>
      </c>
      <c r="O4749">
        <v>-4.8428760000000001E-2</v>
      </c>
      <c r="P4749">
        <v>0.99687829999999999</v>
      </c>
      <c r="Q4749">
        <v>7.6653159999999998E-2</v>
      </c>
      <c r="R4749">
        <v>-1.8930889999999999E-2</v>
      </c>
      <c r="S4749">
        <v>3.0464479999999998</v>
      </c>
      <c r="T4749">
        <v>-0.34571099999999999</v>
      </c>
      <c r="U4749">
        <v>0.52557369999999903</v>
      </c>
      <c r="V4749">
        <v>-2.9652979999999999E-2</v>
      </c>
      <c r="W4749">
        <v>8.9857629999999994E-2</v>
      </c>
      <c r="X4749">
        <v>0.99551310000000004</v>
      </c>
      <c r="Y4749">
        <v>-0.21588640000000001</v>
      </c>
      <c r="Z4749">
        <v>1.7564369999999999E-2</v>
      </c>
      <c r="AA4749">
        <v>0.97626049999999998</v>
      </c>
      <c r="AB4749">
        <v>25</v>
      </c>
      <c r="AC4749">
        <v>9.6727999999999899</v>
      </c>
      <c r="AD4749">
        <v>-1.1114288037</v>
      </c>
      <c r="AE4749">
        <v>1.69462</v>
      </c>
      <c r="AF4749">
        <v>-2.1337821504469399</v>
      </c>
      <c r="AG4749">
        <v>-1.1114288037</v>
      </c>
      <c r="AH4749">
        <v>9.4582183326112599</v>
      </c>
      <c r="AI4749">
        <v>96.539186261510807</v>
      </c>
      <c r="AJ4749">
        <v>102.713146913523</v>
      </c>
      <c r="AK4749">
        <v>9.7594156730105404</v>
      </c>
      <c r="AL4749">
        <v>84.844583360172606</v>
      </c>
      <c r="AM4749">
        <v>91.706143694770404</v>
      </c>
      <c r="AN4749">
        <v>1.00000001258185</v>
      </c>
    </row>
    <row r="4750" spans="1:40" x14ac:dyDescent="0.25">
      <c r="A4750" t="str">
        <f>"20190312151632794"</f>
        <v>20190312151632794</v>
      </c>
      <c r="B4750" t="str">
        <f>"1552374992782490"</f>
        <v>1552374992782490</v>
      </c>
      <c r="C4750" t="s">
        <v>40</v>
      </c>
      <c r="D4750">
        <v>4.5658050000000001</v>
      </c>
      <c r="E4750">
        <v>0.4191802</v>
      </c>
      <c r="F4750" t="s">
        <v>70</v>
      </c>
      <c r="G4750">
        <v>-374.81209999999999</v>
      </c>
      <c r="H4750" s="1">
        <v>-2.5791150000000002E-6</v>
      </c>
      <c r="I4750">
        <v>18.791630000000001</v>
      </c>
      <c r="J4750">
        <v>-383.90109999999999</v>
      </c>
      <c r="K4750">
        <v>1.1114250000000001</v>
      </c>
      <c r="L4750">
        <v>16.993590000000001</v>
      </c>
      <c r="M4750">
        <v>0.99879030000000002</v>
      </c>
      <c r="N4750">
        <v>0</v>
      </c>
      <c r="O4750">
        <v>-4.7328519999999999E-2</v>
      </c>
      <c r="P4750">
        <v>0.99688849999999996</v>
      </c>
      <c r="Q4750">
        <v>7.6691789999999996E-2</v>
      </c>
      <c r="R4750">
        <v>-1.8226329999999999E-2</v>
      </c>
      <c r="S4750">
        <v>3.0488279999999999</v>
      </c>
      <c r="T4750">
        <v>-0.36695489999999997</v>
      </c>
      <c r="U4750">
        <v>0.59170529999999999</v>
      </c>
      <c r="V4750">
        <v>-2.9258880000000001E-2</v>
      </c>
      <c r="W4750">
        <v>8.9897069999999996E-2</v>
      </c>
      <c r="X4750">
        <v>0.9955212</v>
      </c>
      <c r="Y4750">
        <v>-0.23480670000000001</v>
      </c>
      <c r="Z4750">
        <v>1.958035E-2</v>
      </c>
      <c r="AA4750">
        <v>0.97184490000000001</v>
      </c>
      <c r="AB4750">
        <v>25</v>
      </c>
      <c r="AC4750">
        <v>9.0890000000000004</v>
      </c>
      <c r="AD4750">
        <v>-1.1114275791149999</v>
      </c>
      <c r="AE4750">
        <v>1.7980399999999901</v>
      </c>
      <c r="AF4750">
        <v>-2.1946510804032</v>
      </c>
      <c r="AG4750">
        <v>-1.1114275791149999</v>
      </c>
      <c r="AH4750">
        <v>8.8661239684640396</v>
      </c>
      <c r="AI4750">
        <v>96.937878729499005</v>
      </c>
      <c r="AJ4750">
        <v>103.903088636579</v>
      </c>
      <c r="AK4750">
        <v>9.2010824826487099</v>
      </c>
      <c r="AL4750">
        <v>84.842314431269898</v>
      </c>
      <c r="AM4750">
        <v>91.683467807195697</v>
      </c>
      <c r="AN4750">
        <v>1.0000000124514301</v>
      </c>
    </row>
    <row r="4751" spans="1:40" x14ac:dyDescent="0.25">
      <c r="A4751" t="str">
        <f>"20190312151632805"</f>
        <v>20190312151632805</v>
      </c>
      <c r="B4751" t="str">
        <f>"1552374992802986"</f>
        <v>1552374992802986</v>
      </c>
      <c r="C4751" t="s">
        <v>40</v>
      </c>
      <c r="D4751">
        <v>4.5749079999999998</v>
      </c>
      <c r="E4751">
        <v>0.41997000000000001</v>
      </c>
      <c r="F4751" t="s">
        <v>70</v>
      </c>
      <c r="G4751">
        <v>-374.56729999999999</v>
      </c>
      <c r="H4751" s="1">
        <v>-2.6922170000000001E-6</v>
      </c>
      <c r="I4751">
        <v>18.806419999999999</v>
      </c>
      <c r="J4751">
        <v>-383.76229999999998</v>
      </c>
      <c r="K4751">
        <v>1.111423</v>
      </c>
      <c r="L4751">
        <v>16.988189999999999</v>
      </c>
      <c r="M4751">
        <v>0.99883960000000005</v>
      </c>
      <c r="N4751">
        <v>0</v>
      </c>
      <c r="O4751">
        <v>-4.627655E-2</v>
      </c>
      <c r="P4751">
        <v>0.99691560000000001</v>
      </c>
      <c r="Q4751">
        <v>7.652979E-2</v>
      </c>
      <c r="R4751">
        <v>-1.7401940000000001E-2</v>
      </c>
      <c r="S4751">
        <v>3.0481259999999999</v>
      </c>
      <c r="T4751">
        <v>-0.362956</v>
      </c>
      <c r="U4751">
        <v>0.5920105</v>
      </c>
      <c r="V4751">
        <v>-2.9033340000000001E-2</v>
      </c>
      <c r="W4751">
        <v>8.9735110000000007E-2</v>
      </c>
      <c r="X4751">
        <v>0.99554240000000005</v>
      </c>
      <c r="Y4751">
        <v>-0.2339736</v>
      </c>
      <c r="Z4751">
        <v>1.9199770000000001E-2</v>
      </c>
      <c r="AA4751">
        <v>0.97205330000000001</v>
      </c>
      <c r="AB4751">
        <v>25</v>
      </c>
      <c r="AC4751">
        <v>9.1949999999999896</v>
      </c>
      <c r="AD4751">
        <v>-1.111425692217</v>
      </c>
      <c r="AE4751">
        <v>1.81823</v>
      </c>
      <c r="AF4751">
        <v>-2.2107483325729298</v>
      </c>
      <c r="AG4751">
        <v>-1.111425692217</v>
      </c>
      <c r="AH4751">
        <v>8.9748085389000192</v>
      </c>
      <c r="AI4751">
        <v>96.856556771415399</v>
      </c>
      <c r="AJ4751">
        <v>103.83806901287799</v>
      </c>
      <c r="AK4751">
        <v>9.3096650621387393</v>
      </c>
      <c r="AL4751">
        <v>84.851631635446495</v>
      </c>
      <c r="AM4751">
        <v>91.670462743426498</v>
      </c>
      <c r="AN4751">
        <v>0.99999999749801305</v>
      </c>
    </row>
    <row r="4752" spans="1:40" x14ac:dyDescent="0.25">
      <c r="A4752" t="str">
        <f>"20190312151632824"</f>
        <v>20190312151632824</v>
      </c>
      <c r="B4752" t="str">
        <f>"1552374992822506"</f>
        <v>1552374992822506</v>
      </c>
      <c r="C4752" t="s">
        <v>40</v>
      </c>
      <c r="D4752">
        <v>4.586379</v>
      </c>
      <c r="E4752">
        <v>0.4198886</v>
      </c>
      <c r="F4752" t="s">
        <v>70</v>
      </c>
      <c r="G4752">
        <v>-374.26229999999998</v>
      </c>
      <c r="H4752" s="1">
        <v>-2.8335780000000001E-6</v>
      </c>
      <c r="I4752">
        <v>18.822220000000002</v>
      </c>
      <c r="J4752">
        <v>-383.55250000000001</v>
      </c>
      <c r="K4752">
        <v>1.111418</v>
      </c>
      <c r="L4752">
        <v>16.98029</v>
      </c>
      <c r="M4752">
        <v>0.99891189999999996</v>
      </c>
      <c r="N4752">
        <v>0</v>
      </c>
      <c r="O4752">
        <v>-4.4686980000000001E-2</v>
      </c>
      <c r="P4752">
        <v>0.99695210000000001</v>
      </c>
      <c r="Q4752">
        <v>7.6313229999999996E-2</v>
      </c>
      <c r="R4752">
        <v>-1.6213109999999999E-2</v>
      </c>
      <c r="S4752">
        <v>3.0469059999999999</v>
      </c>
      <c r="T4752">
        <v>-0.3564658</v>
      </c>
      <c r="U4752">
        <v>0.58822629999999998</v>
      </c>
      <c r="V4752">
        <v>-2.863514E-2</v>
      </c>
      <c r="W4752">
        <v>8.9519489999999993E-2</v>
      </c>
      <c r="X4752">
        <v>0.99557329999999999</v>
      </c>
      <c r="Y4752">
        <v>-0.23142850000000001</v>
      </c>
      <c r="Z4752">
        <v>1.8537290000000001E-2</v>
      </c>
      <c r="AA4752">
        <v>0.97267530000000002</v>
      </c>
      <c r="AB4752">
        <v>25</v>
      </c>
      <c r="AC4752">
        <v>9.29020000000002</v>
      </c>
      <c r="AD4752">
        <v>-1.111420833578</v>
      </c>
      <c r="AE4752">
        <v>1.8419300000000001</v>
      </c>
      <c r="AF4752">
        <v>-2.2246422970835602</v>
      </c>
      <c r="AG4752">
        <v>-1.111420833578</v>
      </c>
      <c r="AH4752">
        <v>9.0736479369872605</v>
      </c>
      <c r="AI4752">
        <v>96.784332592847903</v>
      </c>
      <c r="AJ4752">
        <v>103.77582280924101</v>
      </c>
      <c r="AK4752">
        <v>9.4082610775678202</v>
      </c>
      <c r="AL4752">
        <v>84.864035443944204</v>
      </c>
      <c r="AM4752">
        <v>91.647513508761705</v>
      </c>
      <c r="AN4752">
        <v>0.99999995300278299</v>
      </c>
    </row>
    <row r="4753" spans="1:40" x14ac:dyDescent="0.25">
      <c r="A4753" t="str">
        <f>"20190312151632837"</f>
        <v>20190312151632837</v>
      </c>
      <c r="B4753" t="str">
        <f>"1552374992832265"</f>
        <v>1552374992832265</v>
      </c>
      <c r="C4753" t="s">
        <v>40</v>
      </c>
      <c r="D4753">
        <v>4.5532949999999897</v>
      </c>
      <c r="E4753">
        <v>0.4198673</v>
      </c>
      <c r="F4753" t="s">
        <v>70</v>
      </c>
      <c r="G4753">
        <v>-374.00029999999998</v>
      </c>
      <c r="H4753" s="1">
        <v>-2.9546020000000001E-6</v>
      </c>
      <c r="I4753">
        <v>18.838200000000001</v>
      </c>
      <c r="J4753">
        <v>-383.41629999999998</v>
      </c>
      <c r="K4753">
        <v>1.1114170000000001</v>
      </c>
      <c r="L4753">
        <v>16.97531</v>
      </c>
      <c r="M4753">
        <v>0.9989576</v>
      </c>
      <c r="N4753">
        <v>0</v>
      </c>
      <c r="O4753">
        <v>-4.3654800000000001E-2</v>
      </c>
      <c r="P4753">
        <v>0.99697880000000005</v>
      </c>
      <c r="Q4753">
        <v>7.6143340000000004E-2</v>
      </c>
      <c r="R4753">
        <v>-1.53609E-2</v>
      </c>
      <c r="S4753">
        <v>3.0459290000000001</v>
      </c>
      <c r="T4753">
        <v>-0.35440110000000002</v>
      </c>
      <c r="U4753">
        <v>0.59243769999999996</v>
      </c>
      <c r="V4753">
        <v>-2.845756E-2</v>
      </c>
      <c r="W4753">
        <v>8.934947E-2</v>
      </c>
      <c r="X4753">
        <v>0.99559370000000003</v>
      </c>
      <c r="Y4753">
        <v>-0.2318027</v>
      </c>
      <c r="Z4753">
        <v>1.8336769999999999E-2</v>
      </c>
      <c r="AA4753">
        <v>0.97258999999999995</v>
      </c>
      <c r="AB4753">
        <v>25</v>
      </c>
      <c r="AC4753">
        <v>9.4159999999999897</v>
      </c>
      <c r="AD4753">
        <v>-1.111419954602</v>
      </c>
      <c r="AE4753">
        <v>1.8628899999999999</v>
      </c>
      <c r="AF4753">
        <v>-2.2421423423613001</v>
      </c>
      <c r="AG4753">
        <v>-1.111419954602</v>
      </c>
      <c r="AH4753">
        <v>9.2023103508700608</v>
      </c>
      <c r="AI4753">
        <v>96.692671939304603</v>
      </c>
      <c r="AJ4753">
        <v>103.693305253641</v>
      </c>
      <c r="AK4753">
        <v>9.5365073476942896</v>
      </c>
      <c r="AL4753">
        <v>84.873816246521798</v>
      </c>
      <c r="AM4753">
        <v>91.637268549033905</v>
      </c>
      <c r="AN4753">
        <v>0.99999998799506196</v>
      </c>
    </row>
    <row r="4754" spans="1:40" x14ac:dyDescent="0.25">
      <c r="A4754" t="str">
        <f>"20190312151632847"</f>
        <v>20190312151632847</v>
      </c>
      <c r="B4754" t="str">
        <f>"1552374992843001"</f>
        <v>1552374992843001</v>
      </c>
      <c r="C4754" t="s">
        <v>40</v>
      </c>
      <c r="D4754">
        <v>4.5753550000000001</v>
      </c>
      <c r="E4754">
        <v>0.42010150000000002</v>
      </c>
      <c r="F4754" t="s">
        <v>70</v>
      </c>
      <c r="G4754">
        <v>-373.86790000000002</v>
      </c>
      <c r="H4754" s="1">
        <v>-3.0166839999999998E-6</v>
      </c>
      <c r="I4754">
        <v>18.840979999999998</v>
      </c>
      <c r="J4754">
        <v>-383.28960000000001</v>
      </c>
      <c r="K4754">
        <v>1.1114139999999999</v>
      </c>
      <c r="L4754">
        <v>16.970829999999999</v>
      </c>
      <c r="M4754">
        <v>0.99899919999999998</v>
      </c>
      <c r="N4754">
        <v>0</v>
      </c>
      <c r="O4754">
        <v>-4.2695219999999999E-2</v>
      </c>
      <c r="P4754">
        <v>0.99700180000000005</v>
      </c>
      <c r="Q4754">
        <v>7.6024129999999995E-2</v>
      </c>
      <c r="R4754">
        <v>-1.4418129999999999E-2</v>
      </c>
      <c r="S4754">
        <v>3.0453190000000001</v>
      </c>
      <c r="T4754">
        <v>-0.35447279999999998</v>
      </c>
      <c r="U4754">
        <v>0.59503169999999905</v>
      </c>
      <c r="V4754">
        <v>-2.8442200000000001E-2</v>
      </c>
      <c r="W4754">
        <v>8.9230260000000006E-2</v>
      </c>
      <c r="X4754">
        <v>0.99560479999999996</v>
      </c>
      <c r="Y4754">
        <v>-0.2317092</v>
      </c>
      <c r="Z4754">
        <v>1.8226780000000001E-2</v>
      </c>
      <c r="AA4754">
        <v>0.97261430000000004</v>
      </c>
      <c r="AB4754">
        <v>25</v>
      </c>
      <c r="AC4754">
        <v>9.42169999999998</v>
      </c>
      <c r="AD4754">
        <v>-1.1114170166839901</v>
      </c>
      <c r="AE4754">
        <v>1.87014999999999</v>
      </c>
      <c r="AF4754">
        <v>-2.24074282017791</v>
      </c>
      <c r="AG4754">
        <v>-1.1114170166839901</v>
      </c>
      <c r="AH4754">
        <v>9.20995163448233</v>
      </c>
      <c r="AI4754">
        <v>96.687691343305204</v>
      </c>
      <c r="AJ4754">
        <v>103.674151743614</v>
      </c>
      <c r="AK4754">
        <v>9.5435520264028195</v>
      </c>
      <c r="AL4754">
        <v>84.880673713582993</v>
      </c>
      <c r="AM4754">
        <v>91.636367077961793</v>
      </c>
      <c r="AN4754">
        <v>0.99999995791177199</v>
      </c>
    </row>
    <row r="4755" spans="1:40" x14ac:dyDescent="0.25">
      <c r="A4755" t="str">
        <f>"20190312151632861"</f>
        <v>20190312151632861</v>
      </c>
      <c r="B4755" t="str">
        <f>"1552374992852762"</f>
        <v>1552374992852762</v>
      </c>
      <c r="C4755" t="s">
        <v>40</v>
      </c>
      <c r="D4755">
        <v>4.561515</v>
      </c>
      <c r="E4755">
        <v>0.4201607</v>
      </c>
      <c r="F4755" t="s">
        <v>70</v>
      </c>
      <c r="G4755">
        <v>-373.84269999999998</v>
      </c>
      <c r="H4755" s="1">
        <v>-3.0323909999999999E-6</v>
      </c>
      <c r="I4755">
        <v>18.819749999999999</v>
      </c>
      <c r="J4755">
        <v>-383.14949999999999</v>
      </c>
      <c r="K4755">
        <v>1.1114109999999999</v>
      </c>
      <c r="L4755">
        <v>16.965999999999902</v>
      </c>
      <c r="M4755">
        <v>0.99904389999999998</v>
      </c>
      <c r="N4755">
        <v>0</v>
      </c>
      <c r="O4755">
        <v>-4.163348E-2</v>
      </c>
      <c r="P4755">
        <v>0.99700420000000001</v>
      </c>
      <c r="Q4755">
        <v>7.6149019999999998E-2</v>
      </c>
      <c r="R4755">
        <v>-1.357526E-2</v>
      </c>
      <c r="S4755">
        <v>3.0449519999999999</v>
      </c>
      <c r="T4755">
        <v>-0.35823300000000002</v>
      </c>
      <c r="U4755">
        <v>0.59594729999999996</v>
      </c>
      <c r="V4755">
        <v>-2.8225400000000001E-2</v>
      </c>
      <c r="W4755">
        <v>8.9355169999999998E-2</v>
      </c>
      <c r="X4755">
        <v>0.99559980000000003</v>
      </c>
      <c r="Y4755">
        <v>-0.2309533</v>
      </c>
      <c r="Z4755">
        <v>1.8253080000000001E-2</v>
      </c>
      <c r="AA4755">
        <v>0.97279360000000004</v>
      </c>
      <c r="AB4755">
        <v>25</v>
      </c>
      <c r="AC4755">
        <v>9.3068000000000097</v>
      </c>
      <c r="AD4755">
        <v>-1.111414032391</v>
      </c>
      <c r="AE4755">
        <v>1.85375</v>
      </c>
      <c r="AF4755">
        <v>-2.2093461305344602</v>
      </c>
      <c r="AG4755">
        <v>-1.111414032391</v>
      </c>
      <c r="AH4755">
        <v>9.0967653322779896</v>
      </c>
      <c r="AI4755">
        <v>96.770770172654693</v>
      </c>
      <c r="AJ4755">
        <v>103.65120239898999</v>
      </c>
      <c r="AK4755">
        <v>9.4269608563119593</v>
      </c>
      <c r="AL4755">
        <v>84.873488362840703</v>
      </c>
      <c r="AM4755">
        <v>91.623908763738598</v>
      </c>
      <c r="AN4755">
        <v>0.99999999068546397</v>
      </c>
    </row>
    <row r="4756" spans="1:40" x14ac:dyDescent="0.25">
      <c r="A4756" t="str">
        <f>"20190312151632875"</f>
        <v>20190312151632875</v>
      </c>
      <c r="B4756" t="str">
        <f>"1552374992862522"</f>
        <v>1552374992862522</v>
      </c>
      <c r="C4756" t="s">
        <v>40</v>
      </c>
      <c r="D4756">
        <v>4.5790810000000004</v>
      </c>
      <c r="E4756">
        <v>0.42038490000000001</v>
      </c>
      <c r="F4756" t="s">
        <v>70</v>
      </c>
      <c r="G4756">
        <v>-373.70800000000003</v>
      </c>
      <c r="H4756" s="1">
        <v>-3.0958410000000001E-6</v>
      </c>
      <c r="I4756">
        <v>18.82086</v>
      </c>
      <c r="J4756">
        <v>-382.99380000000002</v>
      </c>
      <c r="K4756">
        <v>1.1114109999999999</v>
      </c>
      <c r="L4756">
        <v>16.960819999999998</v>
      </c>
      <c r="M4756">
        <v>0.99909239999999999</v>
      </c>
      <c r="N4756">
        <v>0</v>
      </c>
      <c r="O4756">
        <v>-4.0453129999999997E-2</v>
      </c>
      <c r="P4756">
        <v>0.9970059</v>
      </c>
      <c r="Q4756">
        <v>7.6311420000000005E-2</v>
      </c>
      <c r="R4756">
        <v>-1.248634E-2</v>
      </c>
      <c r="S4756">
        <v>3.044495</v>
      </c>
      <c r="T4756">
        <v>-0.35838560000000003</v>
      </c>
      <c r="U4756">
        <v>0.59811400000000003</v>
      </c>
      <c r="V4756">
        <v>-2.8135739999999999E-2</v>
      </c>
      <c r="W4756">
        <v>8.9516639999999995E-2</v>
      </c>
      <c r="X4756">
        <v>0.99558780000000002</v>
      </c>
      <c r="Y4756">
        <v>-0.23050760000000001</v>
      </c>
      <c r="Z4756">
        <v>1.809902E-2</v>
      </c>
      <c r="AA4756">
        <v>0.97290220000000005</v>
      </c>
      <c r="AB4756">
        <v>25</v>
      </c>
      <c r="AC4756">
        <v>9.2857999999999894</v>
      </c>
      <c r="AD4756">
        <v>-1.1114140958409999</v>
      </c>
      <c r="AE4756">
        <v>1.8600399999999899</v>
      </c>
      <c r="AF4756">
        <v>-2.2038368607238401</v>
      </c>
      <c r="AG4756">
        <v>-1.1114140958409999</v>
      </c>
      <c r="AH4756">
        <v>9.0779165237522506</v>
      </c>
      <c r="AI4756">
        <v>96.784856173210002</v>
      </c>
      <c r="AJ4756">
        <v>103.64565095427901</v>
      </c>
      <c r="AK4756">
        <v>9.4074814171133703</v>
      </c>
      <c r="AL4756">
        <v>84.864199421432204</v>
      </c>
      <c r="AM4756">
        <v>91.618772551201005</v>
      </c>
      <c r="AN4756">
        <v>0.99999995810553699</v>
      </c>
    </row>
    <row r="4757" spans="1:40" x14ac:dyDescent="0.25">
      <c r="A4757" t="str">
        <f>"20190312151632893"</f>
        <v>20190312151632893</v>
      </c>
      <c r="B4757" t="str">
        <f>"1552374992883017"</f>
        <v>1552374992883017</v>
      </c>
      <c r="C4757" t="s">
        <v>40</v>
      </c>
      <c r="D4757">
        <v>4.577299</v>
      </c>
      <c r="E4757">
        <v>0.42088370000000003</v>
      </c>
      <c r="F4757" t="s">
        <v>70</v>
      </c>
      <c r="G4757">
        <v>-373.52600000000001</v>
      </c>
      <c r="H4757" s="1">
        <v>-3.1809980000000001E-6</v>
      </c>
      <c r="I4757">
        <v>18.825859999999999</v>
      </c>
      <c r="J4757">
        <v>-382.78449999999998</v>
      </c>
      <c r="K4757">
        <v>1.1114010000000001</v>
      </c>
      <c r="L4757">
        <v>16.9541</v>
      </c>
      <c r="M4757">
        <v>0.99915549999999997</v>
      </c>
      <c r="N4757">
        <v>0</v>
      </c>
      <c r="O4757">
        <v>-3.8866779999999997E-2</v>
      </c>
      <c r="P4757">
        <v>0.99700089999999997</v>
      </c>
      <c r="Q4757">
        <v>7.6634079999999993E-2</v>
      </c>
      <c r="R4757">
        <v>-1.080039E-2</v>
      </c>
      <c r="S4757">
        <v>3.0438839999999998</v>
      </c>
      <c r="T4757">
        <v>-0.35731849999999998</v>
      </c>
      <c r="U4757">
        <v>0.59960939999999996</v>
      </c>
      <c r="V4757">
        <v>-2.8238409999999999E-2</v>
      </c>
      <c r="W4757">
        <v>8.9837689999999998E-2</v>
      </c>
      <c r="X4757">
        <v>0.995556</v>
      </c>
      <c r="Y4757">
        <v>-0.22948779999999999</v>
      </c>
      <c r="Z4757">
        <v>1.7805000000000001E-2</v>
      </c>
      <c r="AA4757">
        <v>0.97314860000000003</v>
      </c>
      <c r="AB4757">
        <v>25</v>
      </c>
      <c r="AC4757">
        <v>9.2584999999999695</v>
      </c>
      <c r="AD4757">
        <v>-1.111404180998</v>
      </c>
      <c r="AE4757">
        <v>1.8717600000000001</v>
      </c>
      <c r="AF4757">
        <v>-2.1997715731822098</v>
      </c>
      <c r="AG4757">
        <v>-1.111404180998</v>
      </c>
      <c r="AH4757">
        <v>9.0534106850818894</v>
      </c>
      <c r="AI4757">
        <v>96.802667829182099</v>
      </c>
      <c r="AJ4757">
        <v>103.656909798599</v>
      </c>
      <c r="AK4757">
        <v>9.3828811811977708</v>
      </c>
      <c r="AL4757">
        <v>84.845730328433206</v>
      </c>
      <c r="AM4757">
        <v>91.624728314065493</v>
      </c>
      <c r="AN4757">
        <v>0.99999998373993104</v>
      </c>
    </row>
    <row r="4758" spans="1:40" x14ac:dyDescent="0.25">
      <c r="A4758" t="str">
        <f>"20190312151632915"</f>
        <v>20190312151632915</v>
      </c>
      <c r="B4758" t="str">
        <f>"1552374992912298"</f>
        <v>1552374992912298</v>
      </c>
      <c r="C4758" t="s">
        <v>40</v>
      </c>
      <c r="D4758">
        <v>4.5571799999999998</v>
      </c>
      <c r="E4758">
        <v>0.42105049999999999</v>
      </c>
      <c r="F4758" t="s">
        <v>70</v>
      </c>
      <c r="G4758">
        <v>-373.35520000000002</v>
      </c>
      <c r="H4758" s="1">
        <v>-3.2634290000000001E-6</v>
      </c>
      <c r="I4758">
        <v>18.816289999999999</v>
      </c>
      <c r="J4758">
        <v>-382.54820000000001</v>
      </c>
      <c r="K4758">
        <v>1.111399</v>
      </c>
      <c r="L4758">
        <v>16.94699</v>
      </c>
      <c r="M4758">
        <v>0.99922339999999998</v>
      </c>
      <c r="N4758">
        <v>0</v>
      </c>
      <c r="O4758">
        <v>-3.7078630000000001E-2</v>
      </c>
      <c r="P4758">
        <v>0.9970116</v>
      </c>
      <c r="Q4758">
        <v>7.6762559999999994E-2</v>
      </c>
      <c r="R4758">
        <v>-8.7047140000000005E-3</v>
      </c>
      <c r="S4758">
        <v>3.043091</v>
      </c>
      <c r="T4758">
        <v>-0.3586819</v>
      </c>
      <c r="U4758">
        <v>0.60098269999999998</v>
      </c>
      <c r="V4758">
        <v>-2.8549499999999998E-2</v>
      </c>
      <c r="W4758">
        <v>8.9964009999999997E-2</v>
      </c>
      <c r="X4758">
        <v>0.99553570000000002</v>
      </c>
      <c r="Y4758">
        <v>-0.2282237</v>
      </c>
      <c r="Z4758">
        <v>1.759438E-2</v>
      </c>
      <c r="AA4758">
        <v>0.97344980000000003</v>
      </c>
      <c r="AB4758">
        <v>25</v>
      </c>
      <c r="AC4758">
        <v>9.1929999999999801</v>
      </c>
      <c r="AD4758">
        <v>-1.1114022634289999</v>
      </c>
      <c r="AE4758">
        <v>1.86929999999999</v>
      </c>
      <c r="AF4758">
        <v>-2.1783341574697799</v>
      </c>
      <c r="AG4758">
        <v>-1.1114022634289999</v>
      </c>
      <c r="AH4758">
        <v>8.9911632392772205</v>
      </c>
      <c r="AI4758">
        <v>96.850397848163993</v>
      </c>
      <c r="AJ4758">
        <v>103.618918767941</v>
      </c>
      <c r="AK4758">
        <v>9.3177986181331907</v>
      </c>
      <c r="AL4758">
        <v>84.838463194506403</v>
      </c>
      <c r="AM4758">
        <v>91.642650946778801</v>
      </c>
      <c r="AN4758">
        <v>0.99999996351000897</v>
      </c>
    </row>
    <row r="4759" spans="1:40" x14ac:dyDescent="0.25">
      <c r="A4759" t="str">
        <f>"20190312151632926"</f>
        <v>20190312151632926</v>
      </c>
      <c r="B4759" t="str">
        <f>"1552374992923034"</f>
        <v>1552374992923034</v>
      </c>
      <c r="C4759" t="s">
        <v>40</v>
      </c>
      <c r="D4759">
        <v>4.5739450000000001</v>
      </c>
      <c r="E4759">
        <v>0.42102850000000003</v>
      </c>
      <c r="F4759" t="s">
        <v>70</v>
      </c>
      <c r="G4759">
        <v>-373.13369999999998</v>
      </c>
      <c r="H4759" s="1">
        <v>-3.3671840000000001E-6</v>
      </c>
      <c r="I4759">
        <v>18.821719999999999</v>
      </c>
      <c r="J4759">
        <v>-382.4051</v>
      </c>
      <c r="K4759">
        <v>1.1113980000000001</v>
      </c>
      <c r="L4759">
        <v>16.942869999999999</v>
      </c>
      <c r="M4759">
        <v>0.99926289999999995</v>
      </c>
      <c r="N4759">
        <v>0</v>
      </c>
      <c r="O4759">
        <v>-3.5996399999999998E-2</v>
      </c>
      <c r="P4759">
        <v>0.99704060000000005</v>
      </c>
      <c r="Q4759">
        <v>7.6539369999999995E-2</v>
      </c>
      <c r="R4759">
        <v>-7.1975700000000004E-3</v>
      </c>
      <c r="S4759">
        <v>3.0419309999999999</v>
      </c>
      <c r="T4759">
        <v>-0.3591048</v>
      </c>
      <c r="U4759">
        <v>0.60574340000000004</v>
      </c>
      <c r="V4759">
        <v>-2.8975420000000002E-2</v>
      </c>
      <c r="W4759">
        <v>8.9738910000000005E-2</v>
      </c>
      <c r="X4759">
        <v>0.99554370000000003</v>
      </c>
      <c r="Y4759">
        <v>-0.2287053</v>
      </c>
      <c r="Z4759">
        <v>1.7520730000000002E-2</v>
      </c>
      <c r="AA4759">
        <v>0.97333800000000004</v>
      </c>
      <c r="AB4759">
        <v>25</v>
      </c>
      <c r="AC4759">
        <v>9.2714000000000194</v>
      </c>
      <c r="AD4759">
        <v>-1.111401367184</v>
      </c>
      <c r="AE4759">
        <v>1.8788499999999999</v>
      </c>
      <c r="AF4759">
        <v>-2.1812905667922902</v>
      </c>
      <c r="AG4759">
        <v>-1.111401367184</v>
      </c>
      <c r="AH4759">
        <v>9.07252468743064</v>
      </c>
      <c r="AI4759">
        <v>96.792368467543696</v>
      </c>
      <c r="AJ4759">
        <v>103.518927608639</v>
      </c>
      <c r="AK4759">
        <v>9.3970179173924109</v>
      </c>
      <c r="AL4759">
        <v>84.851412798614206</v>
      </c>
      <c r="AM4759">
        <v>91.667129964064301</v>
      </c>
      <c r="AN4759">
        <v>0.99999995277092601</v>
      </c>
    </row>
    <row r="4760" spans="1:40" x14ac:dyDescent="0.25">
      <c r="A4760" t="str">
        <f>"20190312151632939"</f>
        <v>20190312151632939</v>
      </c>
      <c r="B4760" t="str">
        <f>"1552374992932793"</f>
        <v>1552374992932793</v>
      </c>
      <c r="C4760" t="s">
        <v>40</v>
      </c>
      <c r="D4760">
        <v>4.5533109999999999</v>
      </c>
      <c r="E4760">
        <v>0.4210139</v>
      </c>
      <c r="F4760" t="s">
        <v>70</v>
      </c>
      <c r="G4760">
        <v>-373.01280000000003</v>
      </c>
      <c r="H4760" s="1">
        <v>-3.423157E-6</v>
      </c>
      <c r="I4760">
        <v>18.828379999999999</v>
      </c>
      <c r="J4760">
        <v>-382.2722</v>
      </c>
      <c r="K4760">
        <v>1.111394</v>
      </c>
      <c r="L4760">
        <v>16.939209999999999</v>
      </c>
      <c r="M4760">
        <v>0.99929849999999998</v>
      </c>
      <c r="N4760">
        <v>0</v>
      </c>
      <c r="O4760">
        <v>-3.4993570000000002E-2</v>
      </c>
      <c r="P4760">
        <v>0.99703450000000005</v>
      </c>
      <c r="Q4760">
        <v>7.6724979999999998E-2</v>
      </c>
      <c r="R4760">
        <v>-5.9237769999999999E-3</v>
      </c>
      <c r="S4760">
        <v>3.0409549999999999</v>
      </c>
      <c r="T4760">
        <v>-0.35983939999999998</v>
      </c>
      <c r="U4760">
        <v>0.61047359999999995</v>
      </c>
      <c r="V4760">
        <v>-2.9247889999999999E-2</v>
      </c>
      <c r="W4760">
        <v>8.9922699999999994E-2</v>
      </c>
      <c r="X4760">
        <v>0.99551920000000005</v>
      </c>
      <c r="Y4760">
        <v>-0.2292399</v>
      </c>
      <c r="Z4760">
        <v>1.7473180000000001E-2</v>
      </c>
      <c r="AA4760">
        <v>0.97321310000000005</v>
      </c>
      <c r="AB4760">
        <v>25</v>
      </c>
      <c r="AC4760">
        <v>9.2593999999999692</v>
      </c>
      <c r="AD4760">
        <v>-1.1113974231569901</v>
      </c>
      <c r="AE4760">
        <v>1.88917</v>
      </c>
      <c r="AF4760">
        <v>-2.1818829207221002</v>
      </c>
      <c r="AG4760">
        <v>-1.1113974231569901</v>
      </c>
      <c r="AH4760">
        <v>9.0622709167016993</v>
      </c>
      <c r="AI4760">
        <v>96.799441161651004</v>
      </c>
      <c r="AJ4760">
        <v>103.537201626382</v>
      </c>
      <c r="AK4760">
        <v>9.3872558013317295</v>
      </c>
      <c r="AL4760">
        <v>84.840839926611594</v>
      </c>
      <c r="AM4760">
        <v>91.682839218244098</v>
      </c>
      <c r="AN4760">
        <v>1.0000000043066899</v>
      </c>
    </row>
    <row r="4761" spans="1:40" x14ac:dyDescent="0.25">
      <c r="A4761" t="str">
        <f>"20190312151632950"</f>
        <v>20190312151632950</v>
      </c>
      <c r="B4761" t="str">
        <f>"1552374992942554"</f>
        <v>1552374992942554</v>
      </c>
      <c r="C4761" t="s">
        <v>40</v>
      </c>
      <c r="D4761">
        <v>4.5537960000000002</v>
      </c>
      <c r="E4761">
        <v>0.4210487</v>
      </c>
      <c r="F4761" t="s">
        <v>70</v>
      </c>
      <c r="G4761">
        <v>-372.8537</v>
      </c>
      <c r="H4761" s="1">
        <v>-3.495766E-6</v>
      </c>
      <c r="I4761">
        <v>18.84282</v>
      </c>
      <c r="J4761">
        <v>-382.15289999999999</v>
      </c>
      <c r="K4761">
        <v>1.111391</v>
      </c>
      <c r="L4761">
        <v>16.935970000000001</v>
      </c>
      <c r="M4761">
        <v>0.99932960000000004</v>
      </c>
      <c r="N4761">
        <v>0</v>
      </c>
      <c r="O4761">
        <v>-3.409504E-2</v>
      </c>
      <c r="P4761">
        <v>0.99703719999999996</v>
      </c>
      <c r="Q4761">
        <v>7.6772499999999994E-2</v>
      </c>
      <c r="R4761">
        <v>-4.7983210000000004E-3</v>
      </c>
      <c r="S4761">
        <v>3.0401919999999998</v>
      </c>
      <c r="T4761">
        <v>-0.35875059999999998</v>
      </c>
      <c r="U4761">
        <v>0.6144714</v>
      </c>
      <c r="V4761">
        <v>-2.9476579999999999E-2</v>
      </c>
      <c r="W4761">
        <v>8.9968770000000003E-2</v>
      </c>
      <c r="X4761">
        <v>0.99550830000000001</v>
      </c>
      <c r="Y4761">
        <v>-0.22965569999999999</v>
      </c>
      <c r="Z4761">
        <v>1.7342179999999999E-2</v>
      </c>
      <c r="AA4761">
        <v>0.97311740000000002</v>
      </c>
      <c r="AB4761">
        <v>25</v>
      </c>
      <c r="AC4761">
        <v>9.2991999999999795</v>
      </c>
      <c r="AD4761">
        <v>-1.111394495766</v>
      </c>
      <c r="AE4761">
        <v>1.9068499999999899</v>
      </c>
      <c r="AF4761">
        <v>-2.1927686104858202</v>
      </c>
      <c r="AG4761">
        <v>-1.111394495766</v>
      </c>
      <c r="AH4761">
        <v>9.1039798762874895</v>
      </c>
      <c r="AI4761">
        <v>96.768420785164906</v>
      </c>
      <c r="AJ4761">
        <v>103.542219852833</v>
      </c>
      <c r="AK4761">
        <v>9.4300520408001205</v>
      </c>
      <c r="AL4761">
        <v>84.838189606349005</v>
      </c>
      <c r="AM4761">
        <v>91.696008285031496</v>
      </c>
      <c r="AN4761">
        <v>1.0000000118563399</v>
      </c>
    </row>
    <row r="4762" spans="1:40" x14ac:dyDescent="0.25">
      <c r="A4762" t="str">
        <f>"20190312151632971"</f>
        <v>20190312151632971</v>
      </c>
      <c r="B4762" t="str">
        <f>"1552374992963049"</f>
        <v>1552374992963049</v>
      </c>
      <c r="C4762" t="s">
        <v>40</v>
      </c>
      <c r="D4762">
        <v>7.1552619999999996</v>
      </c>
      <c r="E4762">
        <v>0.42132920000000001</v>
      </c>
      <c r="F4762" t="s">
        <v>70</v>
      </c>
      <c r="G4762">
        <v>-372.7244</v>
      </c>
      <c r="H4762" s="1">
        <v>-3.555183E-6</v>
      </c>
      <c r="I4762">
        <v>18.852650000000001</v>
      </c>
      <c r="J4762">
        <v>-381.91800000000001</v>
      </c>
      <c r="K4762">
        <v>1.1113759999999999</v>
      </c>
      <c r="L4762">
        <v>16.929960000000001</v>
      </c>
      <c r="M4762">
        <v>0.9993881</v>
      </c>
      <c r="N4762">
        <v>0</v>
      </c>
      <c r="O4762">
        <v>-3.2339649999999998E-2</v>
      </c>
      <c r="P4762">
        <v>0.99706070000000002</v>
      </c>
      <c r="Q4762">
        <v>7.6572509999999996E-2</v>
      </c>
      <c r="R4762">
        <v>-2.6619429999999999E-3</v>
      </c>
      <c r="S4762">
        <v>3.03952</v>
      </c>
      <c r="T4762">
        <v>-0.35828649999999901</v>
      </c>
      <c r="U4762">
        <v>0.61788940000000003</v>
      </c>
      <c r="V4762">
        <v>-2.9858300000000001E-2</v>
      </c>
      <c r="W4762">
        <v>8.9766929999999995E-2</v>
      </c>
      <c r="X4762">
        <v>0.99551509999999999</v>
      </c>
      <c r="Y4762">
        <v>-0.2290597</v>
      </c>
      <c r="Z4762">
        <v>1.7082670000000001E-2</v>
      </c>
      <c r="AA4762">
        <v>0.97326250000000003</v>
      </c>
      <c r="AB4762">
        <v>25</v>
      </c>
      <c r="AC4762">
        <v>9.1936</v>
      </c>
      <c r="AD4762">
        <v>-1.1113795551829999</v>
      </c>
      <c r="AE4762">
        <v>1.92269</v>
      </c>
      <c r="AF4762">
        <v>-2.1883884641812599</v>
      </c>
      <c r="AG4762">
        <v>-1.1113795551829999</v>
      </c>
      <c r="AH4762">
        <v>9.0005874185506105</v>
      </c>
      <c r="AI4762">
        <v>96.841813359837602</v>
      </c>
      <c r="AJ4762">
        <v>103.665635729431</v>
      </c>
      <c r="AK4762">
        <v>9.3292434025923008</v>
      </c>
      <c r="AL4762">
        <v>84.849800938944995</v>
      </c>
      <c r="AM4762">
        <v>91.7179466886802</v>
      </c>
      <c r="AN4762">
        <v>0.99999996706426098</v>
      </c>
    </row>
    <row r="4763" spans="1:40" x14ac:dyDescent="0.25">
      <c r="A4763" t="str">
        <f>"20190312151632995"</f>
        <v>20190312151632995</v>
      </c>
      <c r="B4763" t="str">
        <f>"1552374992992330"</f>
        <v>1552374992992330</v>
      </c>
      <c r="C4763" t="s">
        <v>40</v>
      </c>
      <c r="D4763">
        <v>4.5388320000000002</v>
      </c>
      <c r="E4763">
        <v>0.42155999999999999</v>
      </c>
      <c r="F4763" t="s">
        <v>70</v>
      </c>
      <c r="G4763">
        <v>-372.42559999999997</v>
      </c>
      <c r="H4763" s="1">
        <v>-3.6924060000000002E-6</v>
      </c>
      <c r="I4763">
        <v>18.875299999999999</v>
      </c>
      <c r="J4763">
        <v>-381.66120000000001</v>
      </c>
      <c r="K4763">
        <v>1.1113519999999999</v>
      </c>
      <c r="L4763">
        <v>16.923860000000001</v>
      </c>
      <c r="M4763">
        <v>0.99944750000000004</v>
      </c>
      <c r="N4763">
        <v>0</v>
      </c>
      <c r="O4763">
        <v>-3.0452549999999998E-2</v>
      </c>
      <c r="P4763">
        <v>0.99705270000000001</v>
      </c>
      <c r="Q4763">
        <v>7.6725009999999996E-2</v>
      </c>
      <c r="R4763" s="1">
        <v>4.4526069999999998E-5</v>
      </c>
      <c r="S4763">
        <v>3.037811</v>
      </c>
      <c r="T4763">
        <v>-0.35566969999999998</v>
      </c>
      <c r="U4763">
        <v>0.62255859999999996</v>
      </c>
      <c r="V4763">
        <v>-3.0677200000000002E-2</v>
      </c>
      <c r="W4763">
        <v>8.9916040000000003E-2</v>
      </c>
      <c r="X4763">
        <v>0.99547680000000005</v>
      </c>
      <c r="Y4763">
        <v>-0.2288037</v>
      </c>
      <c r="Z4763">
        <v>1.6732469999999999E-2</v>
      </c>
      <c r="AA4763">
        <v>0.97332879999999999</v>
      </c>
      <c r="AB4763">
        <v>25</v>
      </c>
      <c r="AC4763">
        <v>9.23560000000003</v>
      </c>
      <c r="AD4763">
        <v>-1.111355692406</v>
      </c>
      <c r="AE4763">
        <v>1.9514399999999901</v>
      </c>
      <c r="AF4763">
        <v>-2.2012942941780098</v>
      </c>
      <c r="AG4763">
        <v>-1.111355692406</v>
      </c>
      <c r="AH4763">
        <v>9.0464873813506799</v>
      </c>
      <c r="AI4763">
        <v>96.8069823951475</v>
      </c>
      <c r="AJ4763">
        <v>103.67607501640001</v>
      </c>
      <c r="AK4763">
        <v>9.3765527773036599</v>
      </c>
      <c r="AL4763">
        <v>84.841223160599</v>
      </c>
      <c r="AM4763">
        <v>91.765101914199704</v>
      </c>
      <c r="AN4763">
        <v>1.00000002209368</v>
      </c>
    </row>
    <row r="4764" spans="1:40" x14ac:dyDescent="0.25">
      <c r="A4764" t="str">
        <f>"20190312151633007"</f>
        <v>20190312151633007</v>
      </c>
      <c r="B4764" t="str">
        <f>"1552374993003066"</f>
        <v>1552374993003066</v>
      </c>
      <c r="C4764" t="s">
        <v>40</v>
      </c>
      <c r="D4764">
        <v>4.5271379999999999</v>
      </c>
      <c r="E4764">
        <v>0.4216821</v>
      </c>
      <c r="F4764" t="s">
        <v>70</v>
      </c>
      <c r="G4764">
        <v>-372.14609999999999</v>
      </c>
      <c r="H4764" s="1">
        <v>-3.8212139999999999E-6</v>
      </c>
      <c r="I4764">
        <v>18.893750000000001</v>
      </c>
      <c r="J4764">
        <v>-381.50729999999999</v>
      </c>
      <c r="K4764">
        <v>1.11134</v>
      </c>
      <c r="L4764">
        <v>16.920439999999999</v>
      </c>
      <c r="M4764">
        <v>0.99948060000000005</v>
      </c>
      <c r="N4764">
        <v>0</v>
      </c>
      <c r="O4764">
        <v>-2.9342630000000001E-2</v>
      </c>
      <c r="P4764">
        <v>0.99705010000000005</v>
      </c>
      <c r="Q4764">
        <v>7.6739879999999996E-2</v>
      </c>
      <c r="R4764">
        <v>1.5715169999999999E-3</v>
      </c>
      <c r="S4764">
        <v>3.036133</v>
      </c>
      <c r="T4764">
        <v>-0.35462129999999997</v>
      </c>
      <c r="U4764">
        <v>0.62857059999999998</v>
      </c>
      <c r="V4764">
        <v>-3.1092979999999999E-2</v>
      </c>
      <c r="W4764">
        <v>8.9929809999999999E-2</v>
      </c>
      <c r="X4764">
        <v>0.99546270000000003</v>
      </c>
      <c r="Y4764">
        <v>-0.22968810000000001</v>
      </c>
      <c r="Z4764">
        <v>1.6612120000000001E-2</v>
      </c>
      <c r="AA4764">
        <v>0.9731225</v>
      </c>
      <c r="AB4764">
        <v>25</v>
      </c>
      <c r="AC4764">
        <v>9.3611999999999895</v>
      </c>
      <c r="AD4764">
        <v>-1.1113438212139899</v>
      </c>
      <c r="AE4764">
        <v>1.9733099999999999</v>
      </c>
      <c r="AF4764">
        <v>-2.2172464576642898</v>
      </c>
      <c r="AG4764">
        <v>-1.1113438212139899</v>
      </c>
      <c r="AH4764">
        <v>9.1754444645934292</v>
      </c>
      <c r="AI4764">
        <v>96.714682598173297</v>
      </c>
      <c r="AJ4764">
        <v>103.585090754392</v>
      </c>
      <c r="AK4764">
        <v>9.5047381902824402</v>
      </c>
      <c r="AL4764">
        <v>84.840431213569801</v>
      </c>
      <c r="AM4764">
        <v>91.7890349068944</v>
      </c>
      <c r="AN4764">
        <v>1.0000000656115999</v>
      </c>
    </row>
    <row r="4765" spans="1:40" x14ac:dyDescent="0.25">
      <c r="A4765" t="str">
        <f>"20190312151633027"</f>
        <v>20190312151633027</v>
      </c>
      <c r="B4765" t="str">
        <f>"1552374993022586"</f>
        <v>1552374993022586</v>
      </c>
      <c r="C4765" t="s">
        <v>40</v>
      </c>
      <c r="D4765">
        <v>4.5890050000000002</v>
      </c>
      <c r="E4765">
        <v>0.42187989999999997</v>
      </c>
      <c r="F4765" t="s">
        <v>70</v>
      </c>
      <c r="G4765">
        <v>-371.98399999999998</v>
      </c>
      <c r="H4765" s="1">
        <v>-3.8961400000000001E-6</v>
      </c>
      <c r="I4765">
        <v>18.90353</v>
      </c>
      <c r="J4765">
        <v>-381.29849999999999</v>
      </c>
      <c r="K4765">
        <v>1.111308</v>
      </c>
      <c r="L4765">
        <v>16.91602</v>
      </c>
      <c r="M4765">
        <v>0.99952300000000005</v>
      </c>
      <c r="N4765">
        <v>0</v>
      </c>
      <c r="O4765">
        <v>-2.785814E-2</v>
      </c>
      <c r="P4765">
        <v>0.99707290000000004</v>
      </c>
      <c r="Q4765">
        <v>7.6391000000000001E-2</v>
      </c>
      <c r="R4765">
        <v>3.1791020000000001E-3</v>
      </c>
      <c r="S4765">
        <v>3.035126</v>
      </c>
      <c r="T4765">
        <v>-0.35419050000000002</v>
      </c>
      <c r="U4765">
        <v>0.632019</v>
      </c>
      <c r="V4765">
        <v>-3.1213109999999999E-2</v>
      </c>
      <c r="W4765">
        <v>8.9581240000000006E-2</v>
      </c>
      <c r="X4765">
        <v>0.99549030000000005</v>
      </c>
      <c r="Y4765">
        <v>-0.22938249999999999</v>
      </c>
      <c r="Z4765">
        <v>1.640693E-2</v>
      </c>
      <c r="AA4765">
        <v>0.97319809999999995</v>
      </c>
      <c r="AB4765">
        <v>25</v>
      </c>
      <c r="AC4765">
        <v>9.3144999999999492</v>
      </c>
      <c r="AD4765">
        <v>-1.1113118961399999</v>
      </c>
      <c r="AE4765">
        <v>1.9875100000000001</v>
      </c>
      <c r="AF4765">
        <v>-2.2160744302026498</v>
      </c>
      <c r="AG4765">
        <v>-1.1113118961399999</v>
      </c>
      <c r="AH4765">
        <v>9.1311902679344694</v>
      </c>
      <c r="AI4765">
        <v>96.745139516740196</v>
      </c>
      <c r="AJ4765">
        <v>103.641528836145</v>
      </c>
      <c r="AK4765">
        <v>9.4617459128810601</v>
      </c>
      <c r="AL4765">
        <v>84.860483384573996</v>
      </c>
      <c r="AM4765">
        <v>91.795892696130593</v>
      </c>
      <c r="AN4765">
        <v>0.99999999709494902</v>
      </c>
    </row>
    <row r="4766" spans="1:40" x14ac:dyDescent="0.25">
      <c r="A4766" t="str">
        <f>"20190312151633040"</f>
        <v>20190312151633040</v>
      </c>
      <c r="B4766" t="str">
        <f>"1552374993032346"</f>
        <v>1552374993032346</v>
      </c>
      <c r="C4766" t="s">
        <v>40</v>
      </c>
      <c r="D4766">
        <v>4.5453769999999896</v>
      </c>
      <c r="E4766">
        <v>0.42194569999999998</v>
      </c>
      <c r="F4766" t="s">
        <v>70</v>
      </c>
      <c r="G4766">
        <v>-371.79989999999998</v>
      </c>
      <c r="H4766" s="1">
        <v>-3.9830060000000004E-6</v>
      </c>
      <c r="I4766">
        <v>18.90447</v>
      </c>
      <c r="J4766">
        <v>-381.15910000000002</v>
      </c>
      <c r="K4766">
        <v>1.111289</v>
      </c>
      <c r="L4766">
        <v>16.913239999999998</v>
      </c>
      <c r="M4766">
        <v>0.99954969999999999</v>
      </c>
      <c r="N4766">
        <v>0</v>
      </c>
      <c r="O4766">
        <v>-2.688639E-2</v>
      </c>
      <c r="P4766">
        <v>0.99707730000000006</v>
      </c>
      <c r="Q4766">
        <v>7.6296790000000003E-2</v>
      </c>
      <c r="R4766">
        <v>3.9747230000000003E-3</v>
      </c>
      <c r="S4766">
        <v>3.0339659999999999</v>
      </c>
      <c r="T4766">
        <v>-0.35496409999999901</v>
      </c>
      <c r="U4766">
        <v>0.63513180000000002</v>
      </c>
      <c r="V4766">
        <v>-3.1035360000000001E-2</v>
      </c>
      <c r="W4766">
        <v>8.9487670000000005E-2</v>
      </c>
      <c r="X4766">
        <v>0.99550430000000001</v>
      </c>
      <c r="Y4766">
        <v>-0.22946540000000001</v>
      </c>
      <c r="Z4766">
        <v>1.6339510000000002E-2</v>
      </c>
      <c r="AA4766">
        <v>0.97317960000000003</v>
      </c>
      <c r="AB4766">
        <v>25</v>
      </c>
      <c r="AC4766">
        <v>9.3592000000000404</v>
      </c>
      <c r="AD4766">
        <v>-1.1112929830060001</v>
      </c>
      <c r="AE4766">
        <v>1.9912300000000001</v>
      </c>
      <c r="AF4766">
        <v>-2.2123272190442198</v>
      </c>
      <c r="AG4766">
        <v>-1.1112929830060001</v>
      </c>
      <c r="AH4766">
        <v>9.1784734236519192</v>
      </c>
      <c r="AI4766">
        <v>96.7131166310228</v>
      </c>
      <c r="AJ4766">
        <v>103.551755393178</v>
      </c>
      <c r="AK4766">
        <v>9.5065103064629906</v>
      </c>
      <c r="AL4766">
        <v>84.8658663078525</v>
      </c>
      <c r="AM4766">
        <v>91.785647129648098</v>
      </c>
      <c r="AN4766">
        <v>1.0000000239854201</v>
      </c>
    </row>
    <row r="4767" spans="1:40" x14ac:dyDescent="0.25">
      <c r="A4767" t="str">
        <f>"20190312151633051"</f>
        <v>20190312151633051</v>
      </c>
      <c r="B4767" t="str">
        <f>"1552374993043082"</f>
        <v>1552374993043082</v>
      </c>
      <c r="C4767" t="s">
        <v>40</v>
      </c>
      <c r="D4767">
        <v>4.5456810000000001</v>
      </c>
      <c r="E4767">
        <v>0.42204570000000002</v>
      </c>
      <c r="F4767" t="s">
        <v>70</v>
      </c>
      <c r="G4767">
        <v>-371.6474</v>
      </c>
      <c r="H4767" s="1">
        <v>-4.0538309999999998E-6</v>
      </c>
      <c r="I4767">
        <v>18.911539999999999</v>
      </c>
      <c r="J4767">
        <v>-381.03050000000002</v>
      </c>
      <c r="K4767">
        <v>1.1112679999999999</v>
      </c>
      <c r="L4767">
        <v>16.910710000000002</v>
      </c>
      <c r="M4767">
        <v>0.99957320000000005</v>
      </c>
      <c r="N4767">
        <v>0</v>
      </c>
      <c r="O4767">
        <v>-2.6000100000000002E-2</v>
      </c>
      <c r="P4767">
        <v>0.99709250000000005</v>
      </c>
      <c r="Q4767">
        <v>7.604872E-2</v>
      </c>
      <c r="R4767">
        <v>4.8468679999999998E-3</v>
      </c>
      <c r="S4767">
        <v>3.0333559999999999</v>
      </c>
      <c r="T4767">
        <v>-0.35439769999999998</v>
      </c>
      <c r="U4767">
        <v>0.6372681</v>
      </c>
      <c r="V4767">
        <v>-3.101897E-2</v>
      </c>
      <c r="W4767">
        <v>8.9238819999999996E-2</v>
      </c>
      <c r="X4767">
        <v>0.9955271</v>
      </c>
      <c r="Y4767">
        <v>-0.22931029999999999</v>
      </c>
      <c r="Z4767">
        <v>1.62045E-2</v>
      </c>
      <c r="AA4767">
        <v>0.97321849999999999</v>
      </c>
      <c r="AB4767">
        <v>25</v>
      </c>
      <c r="AC4767">
        <v>9.3831000000000095</v>
      </c>
      <c r="AD4767">
        <v>-1.1112720538309999</v>
      </c>
      <c r="AE4767">
        <v>2.0008299999999899</v>
      </c>
      <c r="AF4767">
        <v>-2.2144269960186498</v>
      </c>
      <c r="AG4767">
        <v>-1.1112720538309999</v>
      </c>
      <c r="AH4767">
        <v>9.2044108211119404</v>
      </c>
      <c r="AI4767">
        <v>96.694927642238895</v>
      </c>
      <c r="AJ4767">
        <v>103.527326396484</v>
      </c>
      <c r="AK4767">
        <v>9.5320402360735201</v>
      </c>
      <c r="AL4767">
        <v>84.880181385831406</v>
      </c>
      <c r="AM4767">
        <v>91.784663878733596</v>
      </c>
      <c r="AN4767">
        <v>0.99999997516463102</v>
      </c>
    </row>
    <row r="4768" spans="1:40" x14ac:dyDescent="0.25">
      <c r="A4768" t="str">
        <f>"20190312151633065"</f>
        <v>20190312151633065</v>
      </c>
      <c r="B4768" t="str">
        <f>"1552374993062602"</f>
        <v>1552374993062602</v>
      </c>
      <c r="C4768" t="s">
        <v>40</v>
      </c>
      <c r="D4768">
        <v>4.5176379999999998</v>
      </c>
      <c r="E4768">
        <v>0.42238520000000002</v>
      </c>
      <c r="F4768" t="s">
        <v>70</v>
      </c>
      <c r="G4768">
        <v>-371.51889999999997</v>
      </c>
      <c r="H4768" s="1">
        <v>-4.1139149999999999E-6</v>
      </c>
      <c r="I4768">
        <v>18.915289999999999</v>
      </c>
      <c r="J4768">
        <v>-380.88220000000001</v>
      </c>
      <c r="K4768">
        <v>1.1112409999999999</v>
      </c>
      <c r="L4768">
        <v>16.907989999999899</v>
      </c>
      <c r="M4768">
        <v>0.9995984</v>
      </c>
      <c r="N4768">
        <v>0</v>
      </c>
      <c r="O4768">
        <v>-2.5009099999999999E-2</v>
      </c>
      <c r="P4768">
        <v>0.99708739999999996</v>
      </c>
      <c r="Q4768">
        <v>7.6057639999999996E-2</v>
      </c>
      <c r="R4768">
        <v>5.6703250000000004E-3</v>
      </c>
      <c r="S4768">
        <v>3.0326230000000001</v>
      </c>
      <c r="T4768">
        <v>-0.35431089999999998</v>
      </c>
      <c r="U4768">
        <v>0.63912959999999996</v>
      </c>
      <c r="V4768">
        <v>-3.0849000000000001E-2</v>
      </c>
      <c r="W4768">
        <v>8.9246880000000001E-2</v>
      </c>
      <c r="X4768">
        <v>0.99553170000000002</v>
      </c>
      <c r="Y4768">
        <v>-0.22897410000000001</v>
      </c>
      <c r="Z4768">
        <v>1.6069719999999999E-2</v>
      </c>
      <c r="AA4768">
        <v>0.9732999</v>
      </c>
      <c r="AB4768">
        <v>25</v>
      </c>
      <c r="AC4768">
        <v>9.3633000000000308</v>
      </c>
      <c r="AD4768">
        <v>-1.1112451139149999</v>
      </c>
      <c r="AE4768">
        <v>2.0072999999999999</v>
      </c>
      <c r="AF4768">
        <v>-2.211085476274</v>
      </c>
      <c r="AG4768">
        <v>-1.1112451139149999</v>
      </c>
      <c r="AH4768">
        <v>9.1864582954120504</v>
      </c>
      <c r="AI4768">
        <v>96.707569999244498</v>
      </c>
      <c r="AJ4768">
        <v>103.53308967509599</v>
      </c>
      <c r="AK4768">
        <v>9.5139256198445601</v>
      </c>
      <c r="AL4768">
        <v>84.879717941701898</v>
      </c>
      <c r="AM4768">
        <v>91.774882799887905</v>
      </c>
      <c r="AN4768">
        <v>1.00000001604781</v>
      </c>
    </row>
    <row r="4769" spans="1:40" x14ac:dyDescent="0.25">
      <c r="A4769" t="str">
        <f>"20190312151633083"</f>
        <v>20190312151633083</v>
      </c>
      <c r="B4769" t="str">
        <f>"1552374993072362"</f>
        <v>1552374993072362</v>
      </c>
      <c r="C4769" t="s">
        <v>40</v>
      </c>
      <c r="D4769">
        <v>4.5222860000000003</v>
      </c>
      <c r="E4769">
        <v>0.4225392</v>
      </c>
      <c r="F4769" t="s">
        <v>70</v>
      </c>
      <c r="G4769">
        <v>-371.35950000000003</v>
      </c>
      <c r="H4769" s="1">
        <v>-4.1894890000000002E-6</v>
      </c>
      <c r="I4769">
        <v>18.913879999999999</v>
      </c>
      <c r="J4769">
        <v>-380.68239999999997</v>
      </c>
      <c r="K4769">
        <v>1.1111949999999999</v>
      </c>
      <c r="L4769">
        <v>16.904509999999998</v>
      </c>
      <c r="M4769">
        <v>0.99963029999999997</v>
      </c>
      <c r="N4769">
        <v>0</v>
      </c>
      <c r="O4769">
        <v>-2.3706140000000001E-2</v>
      </c>
      <c r="P4769">
        <v>0.99710679999999996</v>
      </c>
      <c r="Q4769">
        <v>7.5751769999999996E-2</v>
      </c>
      <c r="R4769">
        <v>6.3414939999999996E-3</v>
      </c>
      <c r="S4769">
        <v>3.0321660000000001</v>
      </c>
      <c r="T4769">
        <v>-0.3538364</v>
      </c>
      <c r="U4769">
        <v>0.6387024</v>
      </c>
      <c r="V4769">
        <v>-3.021277E-2</v>
      </c>
      <c r="W4769">
        <v>8.8939119999999997E-2</v>
      </c>
      <c r="X4769">
        <v>0.99557879999999999</v>
      </c>
      <c r="Y4769">
        <v>-0.2276251</v>
      </c>
      <c r="Z4769">
        <v>1.5823250000000001E-2</v>
      </c>
      <c r="AA4769">
        <v>0.97362029999999999</v>
      </c>
      <c r="AB4769">
        <v>25</v>
      </c>
      <c r="AC4769">
        <v>9.3228999999999402</v>
      </c>
      <c r="AD4769">
        <v>-1.1111991894890001</v>
      </c>
      <c r="AE4769">
        <v>2.0093699999999899</v>
      </c>
      <c r="AF4769">
        <v>-2.19996868208358</v>
      </c>
      <c r="AG4769">
        <v>-1.1111991894890001</v>
      </c>
      <c r="AH4769">
        <v>9.1484444559057607</v>
      </c>
      <c r="AI4769">
        <v>96.735236486776202</v>
      </c>
      <c r="AJ4769">
        <v>103.5214430524</v>
      </c>
      <c r="AK4769">
        <v>9.4746325418805792</v>
      </c>
      <c r="AL4769">
        <v>84.897421931945999</v>
      </c>
      <c r="AM4769">
        <v>91.738218111531197</v>
      </c>
      <c r="AN4769">
        <v>1.00000006277344</v>
      </c>
    </row>
    <row r="4770" spans="1:40" x14ac:dyDescent="0.25">
      <c r="A4770" t="str">
        <f>"20190312151633097"</f>
        <v>20190312151633097</v>
      </c>
      <c r="B4770" t="str">
        <f>"1552374993092858"</f>
        <v>1552374993092858</v>
      </c>
      <c r="C4770" t="s">
        <v>40</v>
      </c>
      <c r="D4770">
        <v>4.7667789999999997</v>
      </c>
      <c r="E4770">
        <v>0.4442275</v>
      </c>
      <c r="F4770" t="s">
        <v>70</v>
      </c>
      <c r="G4770">
        <v>-371.16300000000001</v>
      </c>
      <c r="H4770" s="1">
        <v>-4.2824550000000003E-6</v>
      </c>
      <c r="I4770">
        <v>18.91348</v>
      </c>
      <c r="J4770">
        <v>-380.53140000000002</v>
      </c>
      <c r="K4770">
        <v>1.111165</v>
      </c>
      <c r="L4770">
        <v>16.902010000000001</v>
      </c>
      <c r="M4770">
        <v>0.99965269999999995</v>
      </c>
      <c r="N4770">
        <v>0</v>
      </c>
      <c r="O4770">
        <v>-2.2748310000000001E-2</v>
      </c>
      <c r="P4770">
        <v>0.99711079999999996</v>
      </c>
      <c r="Q4770">
        <v>7.5645450000000003E-2</v>
      </c>
      <c r="R4770">
        <v>6.9215680000000003E-3</v>
      </c>
      <c r="S4770">
        <v>3.0315249999999998</v>
      </c>
      <c r="T4770">
        <v>-0.35386859999999998</v>
      </c>
      <c r="U4770">
        <v>0.63977050000000002</v>
      </c>
      <c r="V4770">
        <v>-2.9831389999999999E-2</v>
      </c>
      <c r="W4770">
        <v>8.8828470000000007E-2</v>
      </c>
      <c r="X4770">
        <v>0.99560009999999999</v>
      </c>
      <c r="Y4770">
        <v>-0.22707140000000001</v>
      </c>
      <c r="Z4770">
        <v>1.568516E-2</v>
      </c>
      <c r="AA4770">
        <v>0.97375179999999995</v>
      </c>
      <c r="AB4770">
        <v>25</v>
      </c>
      <c r="AC4770">
        <v>9.3683999999999994</v>
      </c>
      <c r="AD4770">
        <v>-1.1111692824549999</v>
      </c>
      <c r="AE4770">
        <v>2.0114699999999899</v>
      </c>
      <c r="AF4770">
        <v>-2.19457100057293</v>
      </c>
      <c r="AG4770">
        <v>-1.1111692824549999</v>
      </c>
      <c r="AH4770">
        <v>9.1965389141611897</v>
      </c>
      <c r="AI4770">
        <v>96.702931063897296</v>
      </c>
      <c r="AJ4770">
        <v>103.4214955226</v>
      </c>
      <c r="AK4770">
        <v>9.5198302007182996</v>
      </c>
      <c r="AL4770">
        <v>84.903786499659702</v>
      </c>
      <c r="AM4770">
        <v>91.716252852822194</v>
      </c>
      <c r="AN4770">
        <v>0.99999998401594103</v>
      </c>
    </row>
    <row r="4771" spans="1:40" x14ac:dyDescent="0.25">
      <c r="A4771" t="str">
        <f>"20190312151633116"</f>
        <v>20190312151633116</v>
      </c>
      <c r="B4771" t="str">
        <f>"1552374993112378"</f>
        <v>1552374993112378</v>
      </c>
      <c r="C4771" t="s">
        <v>40</v>
      </c>
      <c r="D4771">
        <v>4.7598949999999904</v>
      </c>
      <c r="E4771">
        <v>0.50075139999999996</v>
      </c>
      <c r="F4771" t="s">
        <v>71</v>
      </c>
      <c r="G4771">
        <v>-369.0043</v>
      </c>
      <c r="H4771" s="1">
        <v>-6.3637809999999897E-7</v>
      </c>
      <c r="I4771">
        <v>18.684699999999999</v>
      </c>
      <c r="J4771">
        <v>-380.32229999999998</v>
      </c>
      <c r="K4771">
        <v>1.1111249999999999</v>
      </c>
      <c r="L4771">
        <v>16.89874</v>
      </c>
      <c r="M4771">
        <v>0.99968109999999999</v>
      </c>
      <c r="N4771">
        <v>0</v>
      </c>
      <c r="O4771">
        <v>-2.1466740000000002E-2</v>
      </c>
      <c r="P4771">
        <v>0.99710849999999995</v>
      </c>
      <c r="Q4771">
        <v>7.5679199999999905E-2</v>
      </c>
      <c r="R4771">
        <v>6.888389E-3</v>
      </c>
      <c r="S4771">
        <v>3.0276489999999998</v>
      </c>
      <c r="T4771">
        <v>-0.29185129999999998</v>
      </c>
      <c r="U4771">
        <v>0.46823120000000001</v>
      </c>
      <c r="V4771">
        <v>-2.851151E-2</v>
      </c>
      <c r="W4771">
        <v>8.8857920000000007E-2</v>
      </c>
      <c r="X4771">
        <v>0.99563619999999997</v>
      </c>
      <c r="Y4771">
        <v>-0.17313429999999999</v>
      </c>
      <c r="Z4771">
        <v>1.032982E-2</v>
      </c>
      <c r="AA4771">
        <v>0.98484400000000005</v>
      </c>
      <c r="AB4771">
        <v>25</v>
      </c>
      <c r="AC4771">
        <v>11.3179999999999</v>
      </c>
      <c r="AD4771">
        <v>-1.1111256363780999</v>
      </c>
      <c r="AE4771">
        <v>1.78595999999999</v>
      </c>
      <c r="AF4771">
        <v>-2.0096321647366899</v>
      </c>
      <c r="AG4771">
        <v>-1.1111256363780999</v>
      </c>
      <c r="AH4771">
        <v>11.171989690461301</v>
      </c>
      <c r="AI4771">
        <v>95.590606384133295</v>
      </c>
      <c r="AJ4771">
        <v>100.19738668749901</v>
      </c>
      <c r="AK4771">
        <v>11.405550195459</v>
      </c>
      <c r="AL4771">
        <v>84.902092723323094</v>
      </c>
      <c r="AM4771">
        <v>91.6403008145043</v>
      </c>
      <c r="AN4771">
        <v>1.0000000394498201</v>
      </c>
    </row>
    <row r="4772" spans="1:40" x14ac:dyDescent="0.25">
      <c r="A4772" t="str">
        <f>"20190312151633127"</f>
        <v>20190312151633127</v>
      </c>
      <c r="B4772" t="str">
        <f>"1552374993123114"</f>
        <v>1552374993123114</v>
      </c>
      <c r="C4772" t="s">
        <v>40</v>
      </c>
      <c r="D4772">
        <v>4.5934369999999998</v>
      </c>
      <c r="E4772">
        <v>0.51283869999999998</v>
      </c>
      <c r="F4772" t="s">
        <v>43</v>
      </c>
      <c r="G4772">
        <v>-346.96910000000003</v>
      </c>
      <c r="H4772" s="1">
        <v>-1.7325689999999999E-6</v>
      </c>
      <c r="I4772">
        <v>17.0792</v>
      </c>
      <c r="J4772">
        <v>-380.1789</v>
      </c>
      <c r="K4772">
        <v>1.1110960000000001</v>
      </c>
      <c r="L4772">
        <v>16.896639999999898</v>
      </c>
      <c r="M4772">
        <v>0.99969920000000001</v>
      </c>
      <c r="N4772">
        <v>0</v>
      </c>
      <c r="O4772">
        <v>-2.0617630000000001E-2</v>
      </c>
      <c r="P4772">
        <v>0.99710829999999995</v>
      </c>
      <c r="Q4772">
        <v>7.5682550000000001E-2</v>
      </c>
      <c r="R4772">
        <v>6.8951530000000002E-3</v>
      </c>
      <c r="S4772">
        <v>3.0162659999999999</v>
      </c>
      <c r="T4772">
        <v>-0.1004837</v>
      </c>
      <c r="U4772">
        <v>1.6326899999999998E-2</v>
      </c>
      <c r="V4772">
        <v>-2.7665479999999999E-2</v>
      </c>
      <c r="W4772">
        <v>8.8858380000000001E-2</v>
      </c>
      <c r="X4772">
        <v>0.99565999999999999</v>
      </c>
      <c r="Y4772">
        <v>-2.6005009999999999E-2</v>
      </c>
      <c r="Z4772">
        <v>1.1197339999999901E-3</v>
      </c>
      <c r="AA4772">
        <v>0.99966120000000003</v>
      </c>
      <c r="AB4772">
        <v>25</v>
      </c>
      <c r="AC4772">
        <v>33.209799999999902</v>
      </c>
      <c r="AD4772">
        <v>-1.1110977325689999</v>
      </c>
      <c r="AE4772">
        <v>0.182560000000002</v>
      </c>
      <c r="AF4772">
        <v>-0.86631926411424698</v>
      </c>
      <c r="AG4772">
        <v>-1.1110977325689999</v>
      </c>
      <c r="AH4772">
        <v>33.161856072588002</v>
      </c>
      <c r="AI4772">
        <v>91.918340057722503</v>
      </c>
      <c r="AJ4772">
        <v>91.496452743826396</v>
      </c>
      <c r="AK4772">
        <v>33.191772254848601</v>
      </c>
      <c r="AL4772">
        <v>84.902066127602296</v>
      </c>
      <c r="AM4772">
        <v>91.591615102877597</v>
      </c>
      <c r="AN4772">
        <v>1.00000001303992</v>
      </c>
    </row>
    <row r="4773" spans="1:40" x14ac:dyDescent="0.25">
      <c r="A4773" t="str">
        <f>"20190312151633140"</f>
        <v>20190312151633140</v>
      </c>
      <c r="B4773" t="str">
        <f>"1552374993132874"</f>
        <v>1552374993132874</v>
      </c>
      <c r="C4773" t="s">
        <v>40</v>
      </c>
      <c r="D4773">
        <v>4.6085960000000004</v>
      </c>
      <c r="E4773">
        <v>0.52083979999999996</v>
      </c>
      <c r="F4773" t="s">
        <v>43</v>
      </c>
      <c r="G4773">
        <v>-350.55020000000002</v>
      </c>
      <c r="H4773" s="1">
        <v>-4.6580479999999998E-6</v>
      </c>
      <c r="I4773">
        <v>16.110669999999999</v>
      </c>
      <c r="J4773">
        <v>-380.04360000000003</v>
      </c>
      <c r="K4773">
        <v>1.1110660000000001</v>
      </c>
      <c r="L4773">
        <v>16.89471</v>
      </c>
      <c r="M4773">
        <v>0.99971509999999997</v>
      </c>
      <c r="N4773">
        <v>0</v>
      </c>
      <c r="O4773">
        <v>-1.9836309999999999E-2</v>
      </c>
      <c r="P4773">
        <v>0.99710120000000002</v>
      </c>
      <c r="Q4773">
        <v>7.5790220000000005E-2</v>
      </c>
      <c r="R4773">
        <v>6.7367130000000001E-3</v>
      </c>
      <c r="S4773">
        <v>3.0178530000000001</v>
      </c>
      <c r="T4773">
        <v>-0.1131721</v>
      </c>
      <c r="U4773">
        <v>-8.0047610000000005E-2</v>
      </c>
      <c r="V4773">
        <v>-2.6722329999999999E-2</v>
      </c>
      <c r="W4773">
        <v>8.896192E-2</v>
      </c>
      <c r="X4773">
        <v>0.99567649999999996</v>
      </c>
      <c r="Y4773">
        <v>6.6882919999999898E-3</v>
      </c>
      <c r="Z4773">
        <v>6.1812459999999896E-4</v>
      </c>
      <c r="AA4773">
        <v>0.99997749999999996</v>
      </c>
      <c r="AB4773">
        <v>25</v>
      </c>
      <c r="AC4773">
        <v>29.493400000000001</v>
      </c>
      <c r="AD4773">
        <v>-1.1110706580480001</v>
      </c>
      <c r="AE4773">
        <v>-0.78403999999999696</v>
      </c>
      <c r="AF4773">
        <v>0.198512396701199</v>
      </c>
      <c r="AG4773">
        <v>-1.1110706580480001</v>
      </c>
      <c r="AH4773">
        <v>29.461368625098402</v>
      </c>
      <c r="AI4773">
        <v>92.1597116845996</v>
      </c>
      <c r="AJ4773">
        <v>89.613943583861101</v>
      </c>
      <c r="AK4773">
        <v>29.482980284271701</v>
      </c>
      <c r="AL4773">
        <v>84.896110065008401</v>
      </c>
      <c r="AM4773">
        <v>91.537356034928195</v>
      </c>
      <c r="AN4773">
        <v>0.99999999939148199</v>
      </c>
    </row>
    <row r="4774" spans="1:40" x14ac:dyDescent="0.25">
      <c r="A4774" t="str">
        <f>"20190312151633152"</f>
        <v>20190312151633152</v>
      </c>
      <c r="B4774" t="str">
        <f>"1552374993142634"</f>
        <v>1552374993142634</v>
      </c>
      <c r="C4774" t="s">
        <v>40</v>
      </c>
      <c r="D4774">
        <v>4.6541810000000003</v>
      </c>
      <c r="E4774">
        <v>0.52572909999999995</v>
      </c>
      <c r="F4774" t="s">
        <v>43</v>
      </c>
      <c r="G4774">
        <v>-355.56939999999997</v>
      </c>
      <c r="H4774" s="1">
        <v>-2.5731800000000001E-6</v>
      </c>
      <c r="I4774">
        <v>15.725379999999999</v>
      </c>
      <c r="J4774">
        <v>-379.91759999999999</v>
      </c>
      <c r="K4774">
        <v>1.11104</v>
      </c>
      <c r="L4774">
        <v>16.89301</v>
      </c>
      <c r="M4774">
        <v>0.99972910000000004</v>
      </c>
      <c r="N4774">
        <v>0</v>
      </c>
      <c r="O4774">
        <v>-1.9118860000000001E-2</v>
      </c>
      <c r="P4774">
        <v>0.99712179999999995</v>
      </c>
      <c r="Q4774">
        <v>7.5554769999999993E-2</v>
      </c>
      <c r="R4774">
        <v>6.2753979999999997E-3</v>
      </c>
      <c r="S4774">
        <v>3.0201419999999999</v>
      </c>
      <c r="T4774">
        <v>-0.13710710000000001</v>
      </c>
      <c r="U4774">
        <v>-0.1442871</v>
      </c>
      <c r="V4774">
        <v>-2.5540199999999999E-2</v>
      </c>
      <c r="W4774">
        <v>8.872207E-2</v>
      </c>
      <c r="X4774">
        <v>0.99572890000000003</v>
      </c>
      <c r="Y4774">
        <v>2.860329E-2</v>
      </c>
      <c r="Z4774">
        <v>2.183907E-4</v>
      </c>
      <c r="AA4774">
        <v>0.9995908</v>
      </c>
      <c r="AB4774">
        <v>25</v>
      </c>
      <c r="AC4774">
        <v>24.348199999999999</v>
      </c>
      <c r="AD4774">
        <v>-1.11104257318</v>
      </c>
      <c r="AE4774">
        <v>-1.1676299999999999</v>
      </c>
      <c r="AF4774">
        <v>0.70041063125303804</v>
      </c>
      <c r="AG4774">
        <v>-1.11104257318</v>
      </c>
      <c r="AH4774">
        <v>24.3155602208125</v>
      </c>
      <c r="AI4774">
        <v>92.615093580559105</v>
      </c>
      <c r="AJ4774">
        <v>88.350049142522806</v>
      </c>
      <c r="AK4774">
        <v>24.3510053078667</v>
      </c>
      <c r="AL4774">
        <v>84.909906889654295</v>
      </c>
      <c r="AM4774">
        <v>91.469300407018594</v>
      </c>
      <c r="AN4774">
        <v>0.99999997490816706</v>
      </c>
    </row>
    <row r="4775" spans="1:40" x14ac:dyDescent="0.25">
      <c r="A4775" t="str">
        <f>"20190312151633171"</f>
        <v>20190312151633171</v>
      </c>
      <c r="B4775" t="str">
        <f>"1552374993163130"</f>
        <v>1552374993163130</v>
      </c>
      <c r="C4775" t="s">
        <v>40</v>
      </c>
      <c r="D4775">
        <v>4.5957910000000002</v>
      </c>
      <c r="E4775">
        <v>0.53146749999999998</v>
      </c>
      <c r="F4775" t="s">
        <v>43</v>
      </c>
      <c r="G4775">
        <v>-357.81420000000003</v>
      </c>
      <c r="H4775" s="1">
        <v>-1.8138859999999999E-6</v>
      </c>
      <c r="I4775">
        <v>15.542179999999901</v>
      </c>
      <c r="J4775">
        <v>-379.7081</v>
      </c>
      <c r="K4775">
        <v>1.1110009999999999</v>
      </c>
      <c r="L4775">
        <v>16.890350000000002</v>
      </c>
      <c r="M4775">
        <v>0.99975060000000004</v>
      </c>
      <c r="N4775">
        <v>0</v>
      </c>
      <c r="O4775">
        <v>-1.798054E-2</v>
      </c>
      <c r="P4775">
        <v>0.99713059999999998</v>
      </c>
      <c r="Q4775">
        <v>7.5521920000000006E-2</v>
      </c>
      <c r="R4775">
        <v>5.2253209999999998E-3</v>
      </c>
      <c r="S4775">
        <v>3.0213009999999998</v>
      </c>
      <c r="T4775">
        <v>-0.151868</v>
      </c>
      <c r="U4775">
        <v>-0.1846313</v>
      </c>
      <c r="V4775">
        <v>-2.3346660000000002E-2</v>
      </c>
      <c r="W4775">
        <v>8.8675530000000002E-2</v>
      </c>
      <c r="X4775">
        <v>0.99578690000000003</v>
      </c>
      <c r="Y4775">
        <v>4.3006129999999997E-2</v>
      </c>
      <c r="Z4775">
        <v>-1.7686709999999999E-4</v>
      </c>
      <c r="AA4775">
        <v>0.99907480000000004</v>
      </c>
      <c r="AB4775">
        <v>25</v>
      </c>
      <c r="AC4775">
        <v>21.893899999999899</v>
      </c>
      <c r="AD4775">
        <v>-1.111002813886</v>
      </c>
      <c r="AE4775">
        <v>-1.3481700000000001</v>
      </c>
      <c r="AF4775">
        <v>0.95181163639973798</v>
      </c>
      <c r="AG4775">
        <v>-1.111002813886</v>
      </c>
      <c r="AH4775">
        <v>21.8585289208497</v>
      </c>
      <c r="AI4775">
        <v>92.906917190686301</v>
      </c>
      <c r="AJ4775">
        <v>87.506677540163295</v>
      </c>
      <c r="AK4775">
        <v>21.907431598142001</v>
      </c>
      <c r="AL4775">
        <v>84.912584029304298</v>
      </c>
      <c r="AM4775">
        <v>91.343078589204396</v>
      </c>
      <c r="AN4775">
        <v>0.99999998318277294</v>
      </c>
    </row>
    <row r="4776" spans="1:40" x14ac:dyDescent="0.25">
      <c r="A4776" t="str">
        <f>"20190312151633183"</f>
        <v>20190312151633183</v>
      </c>
      <c r="B4776" t="str">
        <f>"1552374993172890"</f>
        <v>1552374993172890</v>
      </c>
      <c r="C4776" t="s">
        <v>40</v>
      </c>
      <c r="D4776">
        <v>4.513541</v>
      </c>
      <c r="E4776">
        <v>0.53314890000000004</v>
      </c>
      <c r="F4776" t="s">
        <v>43</v>
      </c>
      <c r="G4776">
        <v>-357.74669999999998</v>
      </c>
      <c r="H4776" s="1">
        <v>-1.929879E-6</v>
      </c>
      <c r="I4776">
        <v>15.19267</v>
      </c>
      <c r="J4776">
        <v>-379.5718</v>
      </c>
      <c r="K4776">
        <v>1.11097</v>
      </c>
      <c r="L4776">
        <v>16.888729999999999</v>
      </c>
      <c r="M4776">
        <v>0.99976319999999996</v>
      </c>
      <c r="N4776">
        <v>0</v>
      </c>
      <c r="O4776">
        <v>-1.7277069999999999E-2</v>
      </c>
      <c r="P4776">
        <v>0.99713859999999999</v>
      </c>
      <c r="Q4776">
        <v>7.5429620000000003E-2</v>
      </c>
      <c r="R4776">
        <v>5.0184799999999996E-3</v>
      </c>
      <c r="S4776">
        <v>3.0213930000000002</v>
      </c>
      <c r="T4776">
        <v>-0.1528487</v>
      </c>
      <c r="U4776">
        <v>-0.23355100000000001</v>
      </c>
      <c r="V4776">
        <v>-2.2431389999999999E-2</v>
      </c>
      <c r="W4776">
        <v>8.8571979999999995E-2</v>
      </c>
      <c r="X4776">
        <v>0.99581719999999896</v>
      </c>
      <c r="Y4776">
        <v>5.9776509999999998E-2</v>
      </c>
      <c r="Z4776">
        <v>-6.367314E-4</v>
      </c>
      <c r="AA4776">
        <v>0.99821159999999998</v>
      </c>
      <c r="AB4776">
        <v>25</v>
      </c>
      <c r="AC4776">
        <v>21.825099999999999</v>
      </c>
      <c r="AD4776">
        <v>-1.110971929879</v>
      </c>
      <c r="AE4776">
        <v>-1.6960599999999899</v>
      </c>
      <c r="AF4776">
        <v>1.31531229302453</v>
      </c>
      <c r="AG4776">
        <v>-1.110971929879</v>
      </c>
      <c r="AH4776">
        <v>21.795012045890999</v>
      </c>
      <c r="AI4776">
        <v>92.912760825215102</v>
      </c>
      <c r="AJ4776">
        <v>86.5464321677497</v>
      </c>
      <c r="AK4776">
        <v>21.862910491005</v>
      </c>
      <c r="AL4776">
        <v>84.918540680087602</v>
      </c>
      <c r="AM4776">
        <v>91.290404168775297</v>
      </c>
      <c r="AN4776">
        <v>1.0000000293571401</v>
      </c>
    </row>
    <row r="4777" spans="1:40" x14ac:dyDescent="0.25">
      <c r="A4777" t="str">
        <f>"20190312151633195"</f>
        <v>20190312151633195</v>
      </c>
      <c r="B4777" t="str">
        <f>"1552374993192410"</f>
        <v>1552374993192410</v>
      </c>
      <c r="C4777" t="s">
        <v>40</v>
      </c>
      <c r="D4777">
        <v>4.5986019999999996</v>
      </c>
      <c r="E4777">
        <v>0.53515639999999998</v>
      </c>
      <c r="F4777" t="s">
        <v>43</v>
      </c>
      <c r="G4777">
        <v>-357.88670000000002</v>
      </c>
      <c r="H4777" s="1">
        <v>-1.903881E-6</v>
      </c>
      <c r="I4777">
        <v>15.111319999999999</v>
      </c>
      <c r="J4777">
        <v>-379.44159999999999</v>
      </c>
      <c r="K4777">
        <v>1.11094</v>
      </c>
      <c r="L4777">
        <v>16.88721</v>
      </c>
      <c r="M4777">
        <v>0.99977450000000001</v>
      </c>
      <c r="N4777">
        <v>0</v>
      </c>
      <c r="O4777">
        <v>-1.6618299999999999E-2</v>
      </c>
      <c r="P4777">
        <v>0.99714040000000004</v>
      </c>
      <c r="Q4777">
        <v>7.5456049999999997E-2</v>
      </c>
      <c r="R4777">
        <v>4.1615009999999997E-3</v>
      </c>
      <c r="S4777">
        <v>3.021576</v>
      </c>
      <c r="T4777">
        <v>-0.15480139999999901</v>
      </c>
      <c r="U4777">
        <v>-0.24765010000000001</v>
      </c>
      <c r="V4777">
        <v>-2.0911829999999999E-2</v>
      </c>
      <c r="W4777">
        <v>8.8589559999999998E-2</v>
      </c>
      <c r="X4777">
        <v>0.99584870000000003</v>
      </c>
      <c r="Y4777">
        <v>6.5048129999999996E-2</v>
      </c>
      <c r="Z4777">
        <v>-8.1308889999999999E-4</v>
      </c>
      <c r="AA4777">
        <v>0.99788180000000004</v>
      </c>
      <c r="AB4777">
        <v>25</v>
      </c>
      <c r="AC4777">
        <v>21.5548999999999</v>
      </c>
      <c r="AD4777">
        <v>-1.110941903881</v>
      </c>
      <c r="AE4777">
        <v>-1.77588999999999</v>
      </c>
      <c r="AF4777">
        <v>1.4136776653483001</v>
      </c>
      <c r="AG4777">
        <v>-1.110941903881</v>
      </c>
      <c r="AH4777">
        <v>21.524645544690799</v>
      </c>
      <c r="AI4777">
        <v>92.948219324501693</v>
      </c>
      <c r="AJ4777">
        <v>86.242372348232294</v>
      </c>
      <c r="AK4777">
        <v>21.599607456615502</v>
      </c>
      <c r="AL4777">
        <v>84.917529418016699</v>
      </c>
      <c r="AM4777">
        <v>91.202977455044007</v>
      </c>
      <c r="AN4777">
        <v>1.00000002403331</v>
      </c>
    </row>
    <row r="4778" spans="1:40" x14ac:dyDescent="0.25">
      <c r="A4778" t="str">
        <f>"20190312151633207"</f>
        <v>20190312151633207</v>
      </c>
      <c r="B4778" t="str">
        <f>"1552374993203146"</f>
        <v>1552374993203146</v>
      </c>
      <c r="C4778" t="s">
        <v>40</v>
      </c>
      <c r="D4778">
        <v>4.5799880000000002</v>
      </c>
      <c r="E4778">
        <v>0.53587700000000005</v>
      </c>
      <c r="F4778" t="s">
        <v>43</v>
      </c>
      <c r="G4778">
        <v>-358.60090000000002</v>
      </c>
      <c r="H4778" s="1">
        <v>-1.677031E-6</v>
      </c>
      <c r="I4778">
        <v>15.05039</v>
      </c>
      <c r="J4778">
        <v>-379.31619999999998</v>
      </c>
      <c r="K4778">
        <v>1.1109059999999999</v>
      </c>
      <c r="L4778">
        <v>16.885829999999999</v>
      </c>
      <c r="M4778">
        <v>0.99978440000000002</v>
      </c>
      <c r="N4778">
        <v>0</v>
      </c>
      <c r="O4778">
        <v>-1.6011879999999999E-2</v>
      </c>
      <c r="P4778">
        <v>0.99713149999999995</v>
      </c>
      <c r="Q4778">
        <v>7.5594300000000003E-2</v>
      </c>
      <c r="R4778">
        <v>3.7540669999999998E-3</v>
      </c>
      <c r="S4778">
        <v>3.0219119999999999</v>
      </c>
      <c r="T4778">
        <v>-0.16108699999999901</v>
      </c>
      <c r="U4778">
        <v>-0.26632689999999998</v>
      </c>
      <c r="V4778">
        <v>-1.9893500000000001E-2</v>
      </c>
      <c r="W4778">
        <v>8.8719220000000001E-2</v>
      </c>
      <c r="X4778">
        <v>0.99585800000000002</v>
      </c>
      <c r="Y4778">
        <v>7.1750419999999995E-2</v>
      </c>
      <c r="Z4778">
        <v>-1.0561500000000001E-3</v>
      </c>
      <c r="AA4778">
        <v>0.99742200000000003</v>
      </c>
      <c r="AB4778">
        <v>25</v>
      </c>
      <c r="AC4778">
        <v>20.7152999999999</v>
      </c>
      <c r="AD4778">
        <v>-1.110907677031</v>
      </c>
      <c r="AE4778">
        <v>-1.83543999999999</v>
      </c>
      <c r="AF4778">
        <v>1.4992067900499599</v>
      </c>
      <c r="AG4778">
        <v>-1.110907677031</v>
      </c>
      <c r="AH4778">
        <v>20.683016364516</v>
      </c>
      <c r="AI4778">
        <v>93.0664357896799</v>
      </c>
      <c r="AJ4778">
        <v>85.854170667892504</v>
      </c>
      <c r="AK4778">
        <v>20.767014778274099</v>
      </c>
      <c r="AL4778">
        <v>84.910070976317002</v>
      </c>
      <c r="AM4778">
        <v>91.144402125346303</v>
      </c>
      <c r="AN4778">
        <v>1.00000000375182</v>
      </c>
    </row>
    <row r="4779" spans="1:40" x14ac:dyDescent="0.25">
      <c r="A4779" t="str">
        <f>"20190312151633218"</f>
        <v>20190312151633218</v>
      </c>
      <c r="B4779" t="str">
        <f>"1552374993212906"</f>
        <v>1552374993212906</v>
      </c>
      <c r="C4779" t="s">
        <v>40</v>
      </c>
      <c r="D4779">
        <v>4.6422780000000001</v>
      </c>
      <c r="E4779">
        <v>0.53649099999999905</v>
      </c>
      <c r="F4779" t="s">
        <v>43</v>
      </c>
      <c r="G4779">
        <v>-359.28469999999999</v>
      </c>
      <c r="H4779" s="1">
        <v>-1.437962E-6</v>
      </c>
      <c r="I4779">
        <v>15.07429</v>
      </c>
      <c r="J4779">
        <v>-379.19060000000002</v>
      </c>
      <c r="K4779">
        <v>1.110876</v>
      </c>
      <c r="L4779">
        <v>16.88449</v>
      </c>
      <c r="M4779">
        <v>0.99979399999999996</v>
      </c>
      <c r="N4779">
        <v>0</v>
      </c>
      <c r="O4779">
        <v>-1.541941E-2</v>
      </c>
      <c r="P4779">
        <v>0.99712259999999997</v>
      </c>
      <c r="Q4779">
        <v>7.5749780000000003E-2</v>
      </c>
      <c r="R4779">
        <v>2.896371E-3</v>
      </c>
      <c r="S4779">
        <v>3.0223689999999999</v>
      </c>
      <c r="T4779">
        <v>-0.16761509999999999</v>
      </c>
      <c r="U4779">
        <v>-0.27331539999999999</v>
      </c>
      <c r="V4779">
        <v>-1.8439199999999999E-2</v>
      </c>
      <c r="W4779">
        <v>8.8867390000000004E-2</v>
      </c>
      <c r="X4779">
        <v>0.9958728</v>
      </c>
      <c r="Y4779">
        <v>7.4604370000000003E-2</v>
      </c>
      <c r="Z4779">
        <v>-1.2102829999999999E-3</v>
      </c>
      <c r="AA4779">
        <v>0.99721249999999995</v>
      </c>
      <c r="AB4779">
        <v>25</v>
      </c>
      <c r="AC4779">
        <v>19.905899999999999</v>
      </c>
      <c r="AD4779">
        <v>-1.1108774379619999</v>
      </c>
      <c r="AE4779">
        <v>-1.8102</v>
      </c>
      <c r="AF4779">
        <v>1.4983925258227999</v>
      </c>
      <c r="AG4779">
        <v>-1.1108774379619999</v>
      </c>
      <c r="AH4779">
        <v>19.8700727138994</v>
      </c>
      <c r="AI4779">
        <v>93.190866819861597</v>
      </c>
      <c r="AJ4779">
        <v>85.687515206658503</v>
      </c>
      <c r="AK4779">
        <v>19.957430157694802</v>
      </c>
      <c r="AL4779">
        <v>84.9015479056239</v>
      </c>
      <c r="AM4779">
        <v>91.060745540123193</v>
      </c>
      <c r="AN4779">
        <v>1.00000002544094</v>
      </c>
    </row>
    <row r="4780" spans="1:40" x14ac:dyDescent="0.25">
      <c r="A4780" t="str">
        <f>"20190312151633229"</f>
        <v>20190312151633229</v>
      </c>
      <c r="B4780" t="str">
        <f>"1552374993222666"</f>
        <v>1552374993222666</v>
      </c>
      <c r="C4780" t="s">
        <v>40</v>
      </c>
      <c r="D4780">
        <v>4.620736</v>
      </c>
      <c r="E4780">
        <v>0.53702799999999995</v>
      </c>
      <c r="F4780" t="s">
        <v>43</v>
      </c>
      <c r="G4780">
        <v>-359.56450000000001</v>
      </c>
      <c r="H4780" s="1">
        <v>-1.3462980000000001E-6</v>
      </c>
      <c r="I4780">
        <v>15.060919999999999</v>
      </c>
      <c r="J4780">
        <v>-379.0634</v>
      </c>
      <c r="K4780">
        <v>1.1108439999999999</v>
      </c>
      <c r="L4780">
        <v>16.883179999999999</v>
      </c>
      <c r="M4780">
        <v>0.99980290000000005</v>
      </c>
      <c r="N4780">
        <v>0</v>
      </c>
      <c r="O4780">
        <v>-1.483552E-2</v>
      </c>
      <c r="P4780">
        <v>0.99712129999999999</v>
      </c>
      <c r="Q4780">
        <v>7.5795080000000001E-2</v>
      </c>
      <c r="R4780">
        <v>2.00987E-3</v>
      </c>
      <c r="S4780">
        <v>3.022491</v>
      </c>
      <c r="T4780">
        <v>-0.1710795</v>
      </c>
      <c r="U4780">
        <v>-0.28082279999999998</v>
      </c>
      <c r="V4780">
        <v>-1.6964179999999999E-2</v>
      </c>
      <c r="W4780">
        <v>8.8905399999999996E-2</v>
      </c>
      <c r="X4780">
        <v>0.99589559999999999</v>
      </c>
      <c r="Y4780">
        <v>7.7629589999999998E-2</v>
      </c>
      <c r="Z4780">
        <v>-1.3533799999999999E-3</v>
      </c>
      <c r="AA4780">
        <v>0.99698129999999996</v>
      </c>
      <c r="AB4780">
        <v>25</v>
      </c>
      <c r="AC4780">
        <v>19.4988999999999</v>
      </c>
      <c r="AD4780">
        <v>-1.1108453462979999</v>
      </c>
      <c r="AE4780">
        <v>-1.82225999999999</v>
      </c>
      <c r="AF4780">
        <v>1.52784217966211</v>
      </c>
      <c r="AG4780">
        <v>-1.1108453462979999</v>
      </c>
      <c r="AH4780">
        <v>19.461175094972798</v>
      </c>
      <c r="AI4780">
        <v>93.256902829436797</v>
      </c>
      <c r="AJ4780">
        <v>85.511076528883805</v>
      </c>
      <c r="AK4780">
        <v>19.552637039195901</v>
      </c>
      <c r="AL4780">
        <v>84.899361307562302</v>
      </c>
      <c r="AM4780">
        <v>90.975887355691299</v>
      </c>
      <c r="AN4780">
        <v>0.99999999982579602</v>
      </c>
    </row>
    <row r="4781" spans="1:40" x14ac:dyDescent="0.25">
      <c r="A4781" t="str">
        <f>"20190312151633249"</f>
        <v>20190312151633249</v>
      </c>
      <c r="B4781" t="str">
        <f>"1552374993243162"</f>
        <v>1552374993243162</v>
      </c>
      <c r="C4781" t="s">
        <v>40</v>
      </c>
      <c r="D4781">
        <v>4.5650079999999997</v>
      </c>
      <c r="E4781">
        <v>0.53769080000000002</v>
      </c>
      <c r="F4781" t="s">
        <v>43</v>
      </c>
      <c r="G4781">
        <v>-359.82510000000002</v>
      </c>
      <c r="H4781" s="1">
        <v>-1.259963E-6</v>
      </c>
      <c r="I4781">
        <v>15.052110000000001</v>
      </c>
      <c r="J4781">
        <v>-378.8451</v>
      </c>
      <c r="K4781">
        <v>1.110798</v>
      </c>
      <c r="L4781">
        <v>16.8811</v>
      </c>
      <c r="M4781">
        <v>0.99981699999999996</v>
      </c>
      <c r="N4781">
        <v>0</v>
      </c>
      <c r="O4781">
        <v>-1.3879799999999999E-2</v>
      </c>
      <c r="P4781">
        <v>0.99712559999999995</v>
      </c>
      <c r="Q4781">
        <v>7.5767409999999993E-2</v>
      </c>
      <c r="R4781">
        <v>2.8718660000000003E-4</v>
      </c>
      <c r="S4781">
        <v>3.0224609999999998</v>
      </c>
      <c r="T4781">
        <v>-0.17452110000000001</v>
      </c>
      <c r="U4781">
        <v>-0.28765869999999999</v>
      </c>
      <c r="V4781">
        <v>-1.427873E-2</v>
      </c>
      <c r="W4781">
        <v>8.8865509999999995E-2</v>
      </c>
      <c r="X4781">
        <v>0.99594130000000003</v>
      </c>
      <c r="Y4781">
        <v>8.0807400000000001E-2</v>
      </c>
      <c r="Z4781">
        <v>-1.5268930000000001E-3</v>
      </c>
      <c r="AA4781">
        <v>0.99672850000000002</v>
      </c>
      <c r="AB4781">
        <v>25</v>
      </c>
      <c r="AC4781">
        <v>19.0199999999999</v>
      </c>
      <c r="AD4781">
        <v>-1.1107992599630001</v>
      </c>
      <c r="AE4781">
        <v>-1.8289899999999899</v>
      </c>
      <c r="AF4781">
        <v>1.5595266851748499</v>
      </c>
      <c r="AG4781">
        <v>-1.1107992599630001</v>
      </c>
      <c r="AH4781">
        <v>18.9794147555425</v>
      </c>
      <c r="AI4781">
        <v>93.338276984549594</v>
      </c>
      <c r="AJ4781">
        <v>85.302594519352198</v>
      </c>
      <c r="AK4781">
        <v>19.075748555184202</v>
      </c>
      <c r="AL4781">
        <v>84.901656006515495</v>
      </c>
      <c r="AM4781">
        <v>90.821388689505397</v>
      </c>
      <c r="AN4781">
        <v>1.0000000170218299</v>
      </c>
    </row>
    <row r="4782" spans="1:40" x14ac:dyDescent="0.25">
      <c r="A4782" t="str">
        <f>"20190312151633263"</f>
        <v>20190312151633263</v>
      </c>
      <c r="B4782" t="str">
        <f>"1552374993251946"</f>
        <v>1552374993251946</v>
      </c>
      <c r="C4782" t="s">
        <v>40</v>
      </c>
      <c r="D4782">
        <v>4.5837760000000003</v>
      </c>
      <c r="E4782">
        <v>0.53801560000000004</v>
      </c>
      <c r="F4782" t="s">
        <v>71</v>
      </c>
      <c r="G4782">
        <v>-360.34989999999999</v>
      </c>
      <c r="H4782" s="1">
        <v>-5.370774E-6</v>
      </c>
      <c r="I4782">
        <v>15.057399999999999</v>
      </c>
      <c r="J4782">
        <v>-378.69639999999998</v>
      </c>
      <c r="K4782">
        <v>1.110725</v>
      </c>
      <c r="L4782">
        <v>16.8797</v>
      </c>
      <c r="M4782">
        <v>0.99982990000000005</v>
      </c>
      <c r="N4782">
        <v>0</v>
      </c>
      <c r="O4782">
        <v>-1.303064E-2</v>
      </c>
      <c r="P4782">
        <v>0.9971139</v>
      </c>
      <c r="Q4782">
        <v>7.5921459999999996E-2</v>
      </c>
      <c r="R4782">
        <v>-2.3143980000000001E-4</v>
      </c>
      <c r="S4782">
        <v>3.0225219999999999</v>
      </c>
      <c r="T4782">
        <v>-0.1815302</v>
      </c>
      <c r="U4782">
        <v>-0.29803469999999999</v>
      </c>
      <c r="V4782">
        <v>-1.290287E-2</v>
      </c>
      <c r="W4782">
        <v>8.8914430000000003E-2</v>
      </c>
      <c r="X4782">
        <v>0.9959557</v>
      </c>
      <c r="Y4782">
        <v>8.5023109999999999E-2</v>
      </c>
      <c r="Z4782">
        <v>-1.764814E-3</v>
      </c>
      <c r="AA4782">
        <v>0.99637739999999997</v>
      </c>
      <c r="AB4782">
        <v>25</v>
      </c>
      <c r="AC4782">
        <v>18.346499999999899</v>
      </c>
      <c r="AD4782">
        <v>-1.1107303707739999</v>
      </c>
      <c r="AE4782">
        <v>-1.8223</v>
      </c>
      <c r="AF4782">
        <v>1.57733331520831</v>
      </c>
      <c r="AG4782">
        <v>-1.1107303707739999</v>
      </c>
      <c r="AH4782">
        <v>18.302261715904599</v>
      </c>
      <c r="AI4782">
        <v>93.460120533131303</v>
      </c>
      <c r="AJ4782">
        <v>85.074281774226407</v>
      </c>
      <c r="AK4782">
        <v>18.403654155120702</v>
      </c>
      <c r="AL4782">
        <v>84.898841912049704</v>
      </c>
      <c r="AM4782">
        <v>90.742240481973695</v>
      </c>
      <c r="AN4782">
        <v>1.00000000813947</v>
      </c>
    </row>
    <row r="4783" spans="1:40" x14ac:dyDescent="0.25">
      <c r="A4783" t="str">
        <f>"20190312151633284"</f>
        <v>20190312151633284</v>
      </c>
      <c r="B4783" t="str">
        <f>"1552374993272758"</f>
        <v>1552374993272758</v>
      </c>
      <c r="C4783" t="s">
        <v>40</v>
      </c>
      <c r="D4783">
        <v>4.5777239999999999</v>
      </c>
      <c r="E4783">
        <v>0.53850279999999995</v>
      </c>
      <c r="F4783" t="s">
        <v>71</v>
      </c>
      <c r="G4783">
        <v>-360.53379999999999</v>
      </c>
      <c r="H4783" s="1">
        <v>-5.2828499999999997E-6</v>
      </c>
      <c r="I4783">
        <v>15.063179999999999</v>
      </c>
      <c r="J4783">
        <v>-378.46850000000001</v>
      </c>
      <c r="K4783">
        <v>1.110665</v>
      </c>
      <c r="L4783">
        <v>16.877659999999999</v>
      </c>
      <c r="M4783">
        <v>0.99984550000000005</v>
      </c>
      <c r="N4783">
        <v>0</v>
      </c>
      <c r="O4783">
        <v>-1.188679E-2</v>
      </c>
      <c r="P4783">
        <v>0.99709020000000004</v>
      </c>
      <c r="Q4783">
        <v>7.6217380000000001E-2</v>
      </c>
      <c r="R4783">
        <v>-1.4871559999999999E-3</v>
      </c>
      <c r="S4783">
        <v>3.0226440000000001</v>
      </c>
      <c r="T4783">
        <v>-0.18484829999999999</v>
      </c>
      <c r="U4783">
        <v>-0.3023071</v>
      </c>
      <c r="V4783">
        <v>-1.0503419999999999E-2</v>
      </c>
      <c r="W4783">
        <v>8.9102500000000001E-2</v>
      </c>
      <c r="X4783">
        <v>0.99596709999999999</v>
      </c>
      <c r="Y4783">
        <v>8.7541949999999993E-2</v>
      </c>
      <c r="Z4783">
        <v>-1.943267E-3</v>
      </c>
      <c r="AA4783">
        <v>0.99615900000000002</v>
      </c>
      <c r="AB4783">
        <v>25</v>
      </c>
      <c r="AC4783">
        <v>17.934699999999999</v>
      </c>
      <c r="AD4783">
        <v>-1.1106702828499999</v>
      </c>
      <c r="AE4783">
        <v>-1.8144800000000001</v>
      </c>
      <c r="AF4783">
        <v>1.5950924629121701</v>
      </c>
      <c r="AG4783">
        <v>-1.1106702828499999</v>
      </c>
      <c r="AH4783">
        <v>17.887098234264599</v>
      </c>
      <c r="AI4783">
        <v>93.539118231284604</v>
      </c>
      <c r="AJ4783">
        <v>84.904094803079005</v>
      </c>
      <c r="AK4783">
        <v>17.9923926058954</v>
      </c>
      <c r="AL4783">
        <v>84.888023419548006</v>
      </c>
      <c r="AM4783">
        <v>90.604216070727105</v>
      </c>
      <c r="AN4783">
        <v>1.00000002081017</v>
      </c>
    </row>
    <row r="4784" spans="1:40" x14ac:dyDescent="0.25">
      <c r="A4784" t="str">
        <f>"20190312151633300"</f>
        <v>20190312151633300</v>
      </c>
      <c r="B4784" t="str">
        <f>"1552374993293254"</f>
        <v>1552374993293254</v>
      </c>
      <c r="C4784" t="s">
        <v>40</v>
      </c>
      <c r="D4784">
        <v>4.8541949999999998</v>
      </c>
      <c r="E4784">
        <v>0.53869129999999998</v>
      </c>
      <c r="F4784" t="s">
        <v>71</v>
      </c>
      <c r="G4784">
        <v>-360.72680000000003</v>
      </c>
      <c r="H4784" s="1">
        <v>-5.1925940000000003E-6</v>
      </c>
      <c r="I4784">
        <v>15.05744</v>
      </c>
      <c r="J4784">
        <v>-378.3</v>
      </c>
      <c r="K4784">
        <v>1.11069</v>
      </c>
      <c r="L4784">
        <v>16.876279999999898</v>
      </c>
      <c r="M4784">
        <v>0.99985170000000001</v>
      </c>
      <c r="N4784">
        <v>0</v>
      </c>
      <c r="O4784">
        <v>-1.1354309999999999E-2</v>
      </c>
      <c r="P4784">
        <v>0.99707749999999995</v>
      </c>
      <c r="Q4784">
        <v>7.6357739999999993E-2</v>
      </c>
      <c r="R4784">
        <v>-2.4931369999999999E-3</v>
      </c>
      <c r="S4784">
        <v>3.0227360000000001</v>
      </c>
      <c r="T4784">
        <v>-0.18923029999999999</v>
      </c>
      <c r="U4784">
        <v>-0.3101196</v>
      </c>
      <c r="V4784">
        <v>-8.9788070000000001E-3</v>
      </c>
      <c r="W4784">
        <v>8.9253529999999998E-2</v>
      </c>
      <c r="X4784">
        <v>0.99596850000000003</v>
      </c>
      <c r="Y4784">
        <v>9.0603929999999999E-2</v>
      </c>
      <c r="Z4784">
        <v>-2.1176379999999998E-3</v>
      </c>
      <c r="AA4784">
        <v>0.99588480000000001</v>
      </c>
      <c r="AB4784">
        <v>25</v>
      </c>
      <c r="AC4784">
        <v>17.5731999999999</v>
      </c>
      <c r="AD4784">
        <v>-1.1106951925939901</v>
      </c>
      <c r="AE4784">
        <v>-1.81883999999999</v>
      </c>
      <c r="AF4784">
        <v>1.6128000199252099</v>
      </c>
      <c r="AG4784">
        <v>-1.1106951925939901</v>
      </c>
      <c r="AH4784">
        <v>17.5234607455583</v>
      </c>
      <c r="AI4784">
        <v>93.611522185989998</v>
      </c>
      <c r="AJ4784">
        <v>84.741504756172304</v>
      </c>
      <c r="AK4784">
        <v>17.632539358136899</v>
      </c>
      <c r="AL4784">
        <v>84.879335481539101</v>
      </c>
      <c r="AM4784">
        <v>90.516516144782997</v>
      </c>
      <c r="AN4784">
        <v>1.0000000322924201</v>
      </c>
    </row>
    <row r="4785" spans="1:40" x14ac:dyDescent="0.25">
      <c r="A4785" t="str">
        <f>"20190312151633317"</f>
        <v>20190312151633317</v>
      </c>
      <c r="B4785" t="str">
        <f>"1552374993312775"</f>
        <v>1552374993312775</v>
      </c>
      <c r="C4785" t="s">
        <v>40</v>
      </c>
      <c r="D4785">
        <v>4.5863699999999996</v>
      </c>
      <c r="E4785">
        <v>0.53904739999999995</v>
      </c>
      <c r="F4785" t="s">
        <v>41</v>
      </c>
      <c r="G4785">
        <v>-377.41199999999998</v>
      </c>
      <c r="H4785">
        <v>1.0533589999999999</v>
      </c>
      <c r="I4785">
        <v>16.783629999999999</v>
      </c>
      <c r="J4785">
        <v>-378.10149999999999</v>
      </c>
      <c r="K4785">
        <v>1.110738</v>
      </c>
      <c r="L4785">
        <v>16.87482</v>
      </c>
      <c r="M4785">
        <v>0.99985500000000005</v>
      </c>
      <c r="N4785">
        <v>0</v>
      </c>
      <c r="O4785">
        <v>-1.0984590000000001E-2</v>
      </c>
      <c r="P4785">
        <v>0.99707159999999995</v>
      </c>
      <c r="Q4785">
        <v>7.6322660000000001E-2</v>
      </c>
      <c r="R4785">
        <v>-4.775708E-3</v>
      </c>
      <c r="S4785">
        <v>3.02298</v>
      </c>
      <c r="T4785">
        <v>-0.19532260000000001</v>
      </c>
      <c r="U4785">
        <v>-0.31454470000000001</v>
      </c>
      <c r="V4785">
        <v>-6.3458430000000003E-3</v>
      </c>
      <c r="W4785">
        <v>8.9269210000000002E-2</v>
      </c>
      <c r="X4785">
        <v>0.99598730000000002</v>
      </c>
      <c r="Y4785">
        <v>9.2391810000000005E-2</v>
      </c>
      <c r="Z4785">
        <v>-2.2666779999999998E-3</v>
      </c>
      <c r="AA4785">
        <v>0.9957201</v>
      </c>
      <c r="AB4785">
        <v>25</v>
      </c>
      <c r="AC4785">
        <v>0.68950000000000899</v>
      </c>
      <c r="AD4785">
        <v>-5.7378999999999999E-2</v>
      </c>
      <c r="AE4785">
        <v>-9.1190000000001006E-2</v>
      </c>
      <c r="AF4785">
        <v>8.3044759514438599E-2</v>
      </c>
      <c r="AG4785">
        <v>-5.7378999999999999E-2</v>
      </c>
      <c r="AH4785">
        <v>0.68579250162396199</v>
      </c>
      <c r="AI4785">
        <v>94.748167805830093</v>
      </c>
      <c r="AJ4785">
        <v>83.095492038407102</v>
      </c>
      <c r="AK4785">
        <v>0.69318117185008898</v>
      </c>
      <c r="AL4785">
        <v>84.878433223219602</v>
      </c>
      <c r="AM4785">
        <v>90.365049937394204</v>
      </c>
      <c r="AN4785">
        <v>0.999999981669347</v>
      </c>
    </row>
    <row r="4786" spans="1:40" x14ac:dyDescent="0.25">
      <c r="A4786" t="str">
        <f>"20190312151633328"</f>
        <v>20190312151633328</v>
      </c>
      <c r="B4786" t="str">
        <f>"1552374993322534"</f>
        <v>1552374993322534</v>
      </c>
      <c r="C4786" t="s">
        <v>40</v>
      </c>
      <c r="D4786">
        <v>4.6101869999999998</v>
      </c>
      <c r="E4786">
        <v>0.539242</v>
      </c>
      <c r="F4786" t="s">
        <v>41</v>
      </c>
      <c r="G4786">
        <v>-377.19470000000001</v>
      </c>
      <c r="H4786">
        <v>1.0509269999999999</v>
      </c>
      <c r="I4786">
        <v>16.777339999999999</v>
      </c>
      <c r="J4786">
        <v>-377.9796</v>
      </c>
      <c r="K4786">
        <v>1.1107340000000001</v>
      </c>
      <c r="L4786">
        <v>16.87396</v>
      </c>
      <c r="M4786">
        <v>0.9998572</v>
      </c>
      <c r="N4786">
        <v>0</v>
      </c>
      <c r="O4786">
        <v>-1.0788499999999999E-2</v>
      </c>
      <c r="P4786">
        <v>0.99707570000000001</v>
      </c>
      <c r="Q4786">
        <v>7.6195760000000001E-2</v>
      </c>
      <c r="R4786">
        <v>-5.8590669999999999E-3</v>
      </c>
      <c r="S4786">
        <v>3.0225219999999999</v>
      </c>
      <c r="T4786">
        <v>-0.19941159999999999</v>
      </c>
      <c r="U4786">
        <v>-0.32409670000000002</v>
      </c>
      <c r="V4786">
        <v>-5.0716700000000003E-3</v>
      </c>
      <c r="W4786">
        <v>8.9153789999999997E-2</v>
      </c>
      <c r="X4786">
        <v>0.99600489999999997</v>
      </c>
      <c r="Y4786">
        <v>9.5699500000000007E-2</v>
      </c>
      <c r="Z4786">
        <v>-2.4355650000000002E-3</v>
      </c>
      <c r="AA4786">
        <v>0.99540729999999999</v>
      </c>
      <c r="AB4786">
        <v>25</v>
      </c>
      <c r="AC4786">
        <v>0.78489999999999305</v>
      </c>
      <c r="AD4786">
        <v>-5.9807000000000103E-2</v>
      </c>
      <c r="AE4786">
        <v>-9.6620000000001399E-2</v>
      </c>
      <c r="AF4786">
        <v>8.7644499704544604E-2</v>
      </c>
      <c r="AG4786">
        <v>-5.9807000000000103E-2</v>
      </c>
      <c r="AH4786">
        <v>0.78142755820311405</v>
      </c>
      <c r="AI4786">
        <v>94.349466078720397</v>
      </c>
      <c r="AJ4786">
        <v>83.600481157989407</v>
      </c>
      <c r="AK4786">
        <v>0.7885984176352</v>
      </c>
      <c r="AL4786">
        <v>84.885072564759795</v>
      </c>
      <c r="AM4786">
        <v>90.291748338419296</v>
      </c>
      <c r="AN4786">
        <v>0.99999994046597895</v>
      </c>
    </row>
    <row r="4787" spans="1:40" x14ac:dyDescent="0.25">
      <c r="A4787" t="str">
        <f>"20190312151633339"</f>
        <v>20190312151633339</v>
      </c>
      <c r="B4787" t="str">
        <f>"1552374993332294"</f>
        <v>1552374993332294</v>
      </c>
      <c r="C4787" t="s">
        <v>40</v>
      </c>
      <c r="D4787">
        <v>4.6060970000000001</v>
      </c>
      <c r="E4787">
        <v>0.53929950000000004</v>
      </c>
      <c r="F4787" t="s">
        <v>71</v>
      </c>
      <c r="G4787">
        <v>-361.34359999999998</v>
      </c>
      <c r="H4787" s="1">
        <v>-4.8999409999999999E-6</v>
      </c>
      <c r="I4787">
        <v>15.0636299999999</v>
      </c>
      <c r="J4787">
        <v>-377.85879999999997</v>
      </c>
      <c r="K4787">
        <v>1.1106959999999999</v>
      </c>
      <c r="L4787">
        <v>16.873139999999999</v>
      </c>
      <c r="M4787">
        <v>0.99986010000000003</v>
      </c>
      <c r="N4787">
        <v>0</v>
      </c>
      <c r="O4787">
        <v>-1.052256E-2</v>
      </c>
      <c r="P4787">
        <v>0.99708209999999997</v>
      </c>
      <c r="Q4787">
        <v>7.602362E-2</v>
      </c>
      <c r="R4787">
        <v>-6.8896130000000002E-3</v>
      </c>
      <c r="S4787">
        <v>3.0223080000000002</v>
      </c>
      <c r="T4787">
        <v>-0.201791</v>
      </c>
      <c r="U4787">
        <v>-0.32888790000000001</v>
      </c>
      <c r="V4787">
        <v>-3.7732619999999999E-3</v>
      </c>
      <c r="W4787">
        <v>8.8977609999999999E-2</v>
      </c>
      <c r="X4787">
        <v>0.99602650000000004</v>
      </c>
      <c r="Y4787">
        <v>9.7522419999999999E-2</v>
      </c>
      <c r="Z4787">
        <v>-2.542819E-3</v>
      </c>
      <c r="AA4787">
        <v>0.99523010000000001</v>
      </c>
      <c r="AB4787">
        <v>25</v>
      </c>
      <c r="AC4787">
        <v>16.515199999999901</v>
      </c>
      <c r="AD4787">
        <v>-1.110700899941</v>
      </c>
      <c r="AE4787">
        <v>-1.80951</v>
      </c>
      <c r="AF4787">
        <v>1.62833533318519</v>
      </c>
      <c r="AG4787">
        <v>-1.110700899941</v>
      </c>
      <c r="AH4787">
        <v>16.459763407688701</v>
      </c>
      <c r="AI4787">
        <v>93.841756155142505</v>
      </c>
      <c r="AJ4787">
        <v>84.350212939013105</v>
      </c>
      <c r="AK4787">
        <v>16.577362392235901</v>
      </c>
      <c r="AL4787">
        <v>84.895207623791293</v>
      </c>
      <c r="AM4787">
        <v>90.217053415136903</v>
      </c>
      <c r="AN4787">
        <v>1.0000000206448401</v>
      </c>
    </row>
    <row r="4788" spans="1:40" x14ac:dyDescent="0.25">
      <c r="A4788" t="str">
        <f>"20190312151633350"</f>
        <v>20190312151633350</v>
      </c>
      <c r="B4788" t="str">
        <f>"1552374993343031"</f>
        <v>1552374993343031</v>
      </c>
      <c r="C4788" t="s">
        <v>40</v>
      </c>
      <c r="D4788">
        <v>4.7961070000000001</v>
      </c>
      <c r="E4788">
        <v>0.53943769999999902</v>
      </c>
      <c r="F4788" t="s">
        <v>41</v>
      </c>
      <c r="G4788">
        <v>-376.9751</v>
      </c>
      <c r="H4788">
        <v>1.050967</v>
      </c>
      <c r="I4788">
        <v>16.7759</v>
      </c>
      <c r="J4788">
        <v>-377.73320000000001</v>
      </c>
      <c r="K4788">
        <v>1.1106320000000001</v>
      </c>
      <c r="L4788">
        <v>16.872339999999902</v>
      </c>
      <c r="M4788">
        <v>0.99986390000000003</v>
      </c>
      <c r="N4788">
        <v>0</v>
      </c>
      <c r="O4788">
        <v>-1.019431E-2</v>
      </c>
      <c r="P4788">
        <v>0.99708799999999997</v>
      </c>
      <c r="Q4788">
        <v>7.5842380000000001E-2</v>
      </c>
      <c r="R4788">
        <v>-8.0073230000000002E-3</v>
      </c>
      <c r="S4788">
        <v>3.0220340000000001</v>
      </c>
      <c r="T4788">
        <v>-0.20424320000000001</v>
      </c>
      <c r="U4788">
        <v>-0.33245849999999999</v>
      </c>
      <c r="V4788">
        <v>-2.3199760000000001E-3</v>
      </c>
      <c r="W4788">
        <v>8.8780490000000004E-2</v>
      </c>
      <c r="X4788">
        <v>0.9960485</v>
      </c>
      <c r="Y4788">
        <v>9.9011959999999996E-2</v>
      </c>
      <c r="Z4788">
        <v>-2.6459330000000001E-3</v>
      </c>
      <c r="AA4788">
        <v>0.99508269999999999</v>
      </c>
      <c r="AB4788">
        <v>25</v>
      </c>
      <c r="AC4788">
        <v>0.75810000000001299</v>
      </c>
      <c r="AD4788">
        <v>-5.9665000000000003E-2</v>
      </c>
      <c r="AE4788">
        <v>-9.6439999999997597E-2</v>
      </c>
      <c r="AF4788">
        <v>8.8168593301927903E-2</v>
      </c>
      <c r="AG4788">
        <v>-5.9665000000000003E-2</v>
      </c>
      <c r="AH4788">
        <v>0.75444504922711098</v>
      </c>
      <c r="AI4788">
        <v>94.491363450619303</v>
      </c>
      <c r="AJ4788">
        <v>83.334336224834999</v>
      </c>
      <c r="AK4788">
        <v>0.76191925121573001</v>
      </c>
      <c r="AL4788">
        <v>84.906546465826494</v>
      </c>
      <c r="AM4788">
        <v>90.133451928291095</v>
      </c>
      <c r="AN4788">
        <v>0.99999998602276496</v>
      </c>
    </row>
    <row r="4789" spans="1:40" x14ac:dyDescent="0.25">
      <c r="A4789" t="str">
        <f>"20190312151633361"</f>
        <v>20190312151633361</v>
      </c>
      <c r="B4789" t="str">
        <f>"1552374993352791"</f>
        <v>1552374993352791</v>
      </c>
      <c r="C4789" t="s">
        <v>40</v>
      </c>
      <c r="D4789">
        <v>4.594036</v>
      </c>
      <c r="E4789">
        <v>0.53956499999999996</v>
      </c>
      <c r="F4789" t="s">
        <v>71</v>
      </c>
      <c r="G4789">
        <v>-361.25119999999998</v>
      </c>
      <c r="H4789" s="1">
        <v>-4.9488309999999997E-6</v>
      </c>
      <c r="I4789">
        <v>15.03435</v>
      </c>
      <c r="J4789">
        <v>-377.61750000000001</v>
      </c>
      <c r="K4789">
        <v>1.110557</v>
      </c>
      <c r="L4789">
        <v>16.87161</v>
      </c>
      <c r="M4789">
        <v>0.99986810000000004</v>
      </c>
      <c r="N4789">
        <v>0</v>
      </c>
      <c r="O4789">
        <v>-9.8038220000000002E-3</v>
      </c>
      <c r="P4789">
        <v>0.99708430000000003</v>
      </c>
      <c r="Q4789">
        <v>7.5779529999999998E-2</v>
      </c>
      <c r="R4789">
        <v>-8.9857169999999903E-3</v>
      </c>
      <c r="S4789">
        <v>3.021515</v>
      </c>
      <c r="T4789">
        <v>-0.2036039</v>
      </c>
      <c r="U4789">
        <v>-0.33694459999999998</v>
      </c>
      <c r="V4789">
        <v>-9.4024229999999998E-4</v>
      </c>
      <c r="W4789">
        <v>8.8694519999999999E-2</v>
      </c>
      <c r="X4789">
        <v>0.99605840000000001</v>
      </c>
      <c r="Y4789">
        <v>0.10087459999999999</v>
      </c>
      <c r="Z4789">
        <v>-2.7265950000000001E-3</v>
      </c>
      <c r="AA4789">
        <v>0.99489539999999999</v>
      </c>
      <c r="AB4789">
        <v>25</v>
      </c>
      <c r="AC4789">
        <v>16.366299999999999</v>
      </c>
      <c r="AD4789">
        <v>-1.1105619488309999</v>
      </c>
      <c r="AE4789">
        <v>-1.8372599999999999</v>
      </c>
      <c r="AF4789">
        <v>1.6691161092240001</v>
      </c>
      <c r="AG4789">
        <v>-1.1105619488309999</v>
      </c>
      <c r="AH4789">
        <v>16.309364769958599</v>
      </c>
      <c r="AI4789">
        <v>93.875278453943494</v>
      </c>
      <c r="AJ4789">
        <v>84.156638521884005</v>
      </c>
      <c r="AK4789">
        <v>16.432123284220701</v>
      </c>
      <c r="AL4789">
        <v>84.911491606272406</v>
      </c>
      <c r="AM4789">
        <v>90.054085081264802</v>
      </c>
      <c r="AN4789">
        <v>0.99999996907208599</v>
      </c>
    </row>
    <row r="4790" spans="1:40" x14ac:dyDescent="0.25">
      <c r="A4790" t="str">
        <f>"20190312151633373"</f>
        <v>20190312151633373</v>
      </c>
      <c r="B4790" t="str">
        <f>"1552374993362551"</f>
        <v>1552374993362551</v>
      </c>
      <c r="C4790" t="s">
        <v>40</v>
      </c>
      <c r="D4790">
        <v>4.5994650000000004</v>
      </c>
      <c r="E4790">
        <v>0.5396803</v>
      </c>
      <c r="F4790" t="s">
        <v>41</v>
      </c>
      <c r="G4790">
        <v>-376.75439999999998</v>
      </c>
      <c r="H4790">
        <v>1.0524770000000001</v>
      </c>
      <c r="I4790">
        <v>16.77373</v>
      </c>
      <c r="J4790">
        <v>-377.49020000000002</v>
      </c>
      <c r="K4790">
        <v>1.1104700000000001</v>
      </c>
      <c r="L4790">
        <v>16.87079</v>
      </c>
      <c r="M4790">
        <v>0.99987280000000001</v>
      </c>
      <c r="N4790">
        <v>0</v>
      </c>
      <c r="O4790">
        <v>-9.3508919999999995E-3</v>
      </c>
      <c r="P4790">
        <v>0.99706249999999996</v>
      </c>
      <c r="Q4790">
        <v>7.5932730000000004E-2</v>
      </c>
      <c r="R4790">
        <v>-1.003895E-2</v>
      </c>
      <c r="S4790">
        <v>3.0211489999999999</v>
      </c>
      <c r="T4790">
        <v>-0.20334859999999999</v>
      </c>
      <c r="U4790">
        <v>-0.34097290000000002</v>
      </c>
      <c r="V4790">
        <v>5.7972570000000003E-4</v>
      </c>
      <c r="W4790">
        <v>8.881944E-2</v>
      </c>
      <c r="X4790">
        <v>0.99604760000000003</v>
      </c>
      <c r="Y4790">
        <v>0.102644</v>
      </c>
      <c r="Z4790">
        <v>-2.8129539999999999E-3</v>
      </c>
      <c r="AA4790">
        <v>0.99471419999999999</v>
      </c>
      <c r="AB4790">
        <v>25</v>
      </c>
      <c r="AC4790">
        <v>0.73580000000003998</v>
      </c>
      <c r="AD4790">
        <v>-5.7992999999999899E-2</v>
      </c>
      <c r="AE4790">
        <v>-9.7059999999998994E-2</v>
      </c>
      <c r="AF4790">
        <v>8.9627550833547898E-2</v>
      </c>
      <c r="AG4790">
        <v>-5.7992999999999899E-2</v>
      </c>
      <c r="AH4790">
        <v>0.73220483224085997</v>
      </c>
      <c r="AI4790">
        <v>94.495145499059205</v>
      </c>
      <c r="AJ4790">
        <v>83.021269621604105</v>
      </c>
      <c r="AK4790">
        <v>0.73994608065337197</v>
      </c>
      <c r="AL4790">
        <v>84.904306144296896</v>
      </c>
      <c r="AM4790">
        <v>89.966652364671504</v>
      </c>
      <c r="AN4790">
        <v>1.00000002523478</v>
      </c>
    </row>
    <row r="4791" spans="1:40" x14ac:dyDescent="0.25">
      <c r="A4791" t="str">
        <f>"20190312151633384"</f>
        <v>20190312151633384</v>
      </c>
      <c r="B4791" t="str">
        <f>"1552374993372311"</f>
        <v>1552374993372311</v>
      </c>
      <c r="C4791" t="s">
        <v>40</v>
      </c>
      <c r="D4791">
        <v>4.5659929999999997</v>
      </c>
      <c r="E4791">
        <v>0.53979750000000004</v>
      </c>
      <c r="F4791" t="s">
        <v>41</v>
      </c>
      <c r="G4791">
        <v>-376.53960000000001</v>
      </c>
      <c r="H4791">
        <v>1.046843</v>
      </c>
      <c r="I4791">
        <v>16.762179999999901</v>
      </c>
      <c r="J4791">
        <v>-377.37139999999999</v>
      </c>
      <c r="K4791">
        <v>1.110403</v>
      </c>
      <c r="L4791">
        <v>16.87003</v>
      </c>
      <c r="M4791">
        <v>0.99987720000000002</v>
      </c>
      <c r="N4791">
        <v>0</v>
      </c>
      <c r="O4791">
        <v>-8.9132469999999991E-3</v>
      </c>
      <c r="P4791">
        <v>0.99705600000000005</v>
      </c>
      <c r="Q4791">
        <v>7.586627E-2</v>
      </c>
      <c r="R4791">
        <v>-1.1129450000000001E-2</v>
      </c>
      <c r="S4791">
        <v>3.0207820000000001</v>
      </c>
      <c r="T4791">
        <v>-0.2021481</v>
      </c>
      <c r="U4791">
        <v>-0.34506229999999999</v>
      </c>
      <c r="V4791">
        <v>2.1181749999999999E-3</v>
      </c>
      <c r="W4791">
        <v>8.8721599999999998E-2</v>
      </c>
      <c r="X4791">
        <v>0.9960542</v>
      </c>
      <c r="Y4791">
        <v>0.1044197</v>
      </c>
      <c r="Z4791">
        <v>-2.884817E-3</v>
      </c>
      <c r="AA4791">
        <v>0.99452910000000005</v>
      </c>
      <c r="AB4791">
        <v>25</v>
      </c>
      <c r="AC4791">
        <v>0.83179999999998699</v>
      </c>
      <c r="AD4791">
        <v>-6.3560000000000005E-2</v>
      </c>
      <c r="AE4791">
        <v>-0.107850000000002</v>
      </c>
      <c r="AF4791">
        <v>9.9857642860907495E-2</v>
      </c>
      <c r="AG4791">
        <v>-6.3560000000000005E-2</v>
      </c>
      <c r="AH4791">
        <v>0.82797381148036098</v>
      </c>
      <c r="AI4791">
        <v>94.358282675604798</v>
      </c>
      <c r="AJ4791">
        <v>83.123066623819795</v>
      </c>
      <c r="AK4791">
        <v>0.83639228531536203</v>
      </c>
      <c r="AL4791">
        <v>84.909933997995395</v>
      </c>
      <c r="AM4791">
        <v>89.878156926776199</v>
      </c>
      <c r="AN4791">
        <v>0.99999998915476496</v>
      </c>
    </row>
    <row r="4792" spans="1:40" x14ac:dyDescent="0.25">
      <c r="A4792" t="str">
        <f>"20190312151633394"</f>
        <v>20190312151633394</v>
      </c>
      <c r="B4792" t="str">
        <f>"1552374993383047"</f>
        <v>1552374993383047</v>
      </c>
      <c r="C4792" t="s">
        <v>40</v>
      </c>
      <c r="D4792">
        <v>4.600409</v>
      </c>
      <c r="E4792">
        <v>0.53982680000000005</v>
      </c>
      <c r="F4792" t="s">
        <v>71</v>
      </c>
      <c r="G4792">
        <v>-360.72460000000001</v>
      </c>
      <c r="H4792" s="1">
        <v>-5.2137230000000002E-6</v>
      </c>
      <c r="I4792">
        <v>14.944279999999999</v>
      </c>
      <c r="J4792">
        <v>-377.25580000000002</v>
      </c>
      <c r="K4792">
        <v>1.1103419999999999</v>
      </c>
      <c r="L4792">
        <v>16.869319999999998</v>
      </c>
      <c r="M4792">
        <v>0.99988129999999997</v>
      </c>
      <c r="N4792">
        <v>0</v>
      </c>
      <c r="O4792">
        <v>-8.4960509999999993E-3</v>
      </c>
      <c r="P4792">
        <v>0.99704179999999998</v>
      </c>
      <c r="Q4792">
        <v>7.5878870000000001E-2</v>
      </c>
      <c r="R4792">
        <v>-1.2265379999999999E-2</v>
      </c>
      <c r="S4792">
        <v>3.0202939999999998</v>
      </c>
      <c r="T4792">
        <v>-0.20146600000000001</v>
      </c>
      <c r="U4792">
        <v>-0.34939579999999998</v>
      </c>
      <c r="V4792">
        <v>3.6806310000000002E-3</v>
      </c>
      <c r="W4792">
        <v>8.8704019999999995E-2</v>
      </c>
      <c r="X4792">
        <v>0.99605129999999997</v>
      </c>
      <c r="Y4792">
        <v>0.1062574</v>
      </c>
      <c r="Z4792">
        <v>-2.964052E-3</v>
      </c>
      <c r="AA4792">
        <v>0.99433419999999895</v>
      </c>
      <c r="AB4792">
        <v>25</v>
      </c>
      <c r="AC4792">
        <v>16.531199999999998</v>
      </c>
      <c r="AD4792">
        <v>-1.1103472137229999</v>
      </c>
      <c r="AE4792">
        <v>-1.9250400000000001</v>
      </c>
      <c r="AF4792">
        <v>1.7766013062593</v>
      </c>
      <c r="AG4792">
        <v>-1.1103472137229999</v>
      </c>
      <c r="AH4792">
        <v>16.473635415371898</v>
      </c>
      <c r="AI4792">
        <v>93.833824062042794</v>
      </c>
      <c r="AJ4792">
        <v>83.8447189539839</v>
      </c>
      <c r="AK4792">
        <v>16.606319487924399</v>
      </c>
      <c r="AL4792">
        <v>84.910945663645293</v>
      </c>
      <c r="AM4792">
        <v>89.788280320100199</v>
      </c>
      <c r="AN4792">
        <v>1.0000000712202</v>
      </c>
    </row>
    <row r="4793" spans="1:40" x14ac:dyDescent="0.25">
      <c r="A4793" t="str">
        <f>"20190312151633405"</f>
        <v>20190312151633405</v>
      </c>
      <c r="B4793" t="str">
        <f>"1552374993402567"</f>
        <v>1552374993402567</v>
      </c>
      <c r="C4793" t="s">
        <v>40</v>
      </c>
      <c r="D4793">
        <v>4.572972</v>
      </c>
      <c r="E4793">
        <v>0.53989140000000002</v>
      </c>
      <c r="F4793" t="s">
        <v>41</v>
      </c>
      <c r="G4793">
        <v>-376.31880000000001</v>
      </c>
      <c r="H4793">
        <v>1.048308</v>
      </c>
      <c r="I4793">
        <v>16.75949</v>
      </c>
      <c r="J4793">
        <v>-377.12959999999998</v>
      </c>
      <c r="K4793">
        <v>1.1103019999999999</v>
      </c>
      <c r="L4793">
        <v>16.868559999999999</v>
      </c>
      <c r="M4793">
        <v>0.99988500000000002</v>
      </c>
      <c r="N4793">
        <v>0</v>
      </c>
      <c r="O4793">
        <v>-8.0964839999999993E-3</v>
      </c>
      <c r="P4793">
        <v>0.99701850000000003</v>
      </c>
      <c r="Q4793">
        <v>7.6018660000000002E-2</v>
      </c>
      <c r="R4793">
        <v>-1.325644E-2</v>
      </c>
      <c r="S4793">
        <v>3.0197750000000001</v>
      </c>
      <c r="T4793">
        <v>-0.19992589999999999</v>
      </c>
      <c r="U4793">
        <v>-0.35311890000000001</v>
      </c>
      <c r="V4793">
        <v>5.0766910000000004E-3</v>
      </c>
      <c r="W4793">
        <v>8.8812790000000003E-2</v>
      </c>
      <c r="X4793">
        <v>0.99603540000000002</v>
      </c>
      <c r="Y4793">
        <v>0.10788250000000001</v>
      </c>
      <c r="Z4793">
        <v>-3.0216219999999998E-3</v>
      </c>
      <c r="AA4793">
        <v>0.99415900000000001</v>
      </c>
      <c r="AB4793">
        <v>25</v>
      </c>
      <c r="AC4793">
        <v>0.81079999999997199</v>
      </c>
      <c r="AD4793">
        <v>-6.1994000000000098E-2</v>
      </c>
      <c r="AE4793">
        <v>-0.109070000000002</v>
      </c>
      <c r="AF4793">
        <v>0.101916026748072</v>
      </c>
      <c r="AG4793">
        <v>-6.1994000000000098E-2</v>
      </c>
      <c r="AH4793">
        <v>0.80702244082372299</v>
      </c>
      <c r="AI4793">
        <v>94.358249992968993</v>
      </c>
      <c r="AJ4793">
        <v>82.802419064413002</v>
      </c>
      <c r="AK4793">
        <v>0.81579124323395003</v>
      </c>
      <c r="AL4793">
        <v>84.904688550457195</v>
      </c>
      <c r="AM4793">
        <v>89.707971775471606</v>
      </c>
      <c r="AN4793">
        <v>1.0000000012561201</v>
      </c>
    </row>
    <row r="4794" spans="1:40" x14ac:dyDescent="0.25">
      <c r="A4794" t="str">
        <f>"20190312151633418"</f>
        <v>20190312151633418</v>
      </c>
      <c r="B4794" t="str">
        <f>"1552374993412327"</f>
        <v>1552374993412327</v>
      </c>
      <c r="C4794" t="s">
        <v>40</v>
      </c>
      <c r="D4794">
        <v>4.5822129999999897</v>
      </c>
      <c r="E4794">
        <v>0.53989449999999894</v>
      </c>
      <c r="F4794" t="s">
        <v>71</v>
      </c>
      <c r="G4794">
        <v>-360.25139999999999</v>
      </c>
      <c r="H4794" s="1">
        <v>-5.449811E-6</v>
      </c>
      <c r="I4794">
        <v>14.874459999999999</v>
      </c>
      <c r="J4794">
        <v>-376.99990000000003</v>
      </c>
      <c r="K4794">
        <v>1.1102730000000001</v>
      </c>
      <c r="L4794">
        <v>16.867829999999898</v>
      </c>
      <c r="M4794">
        <v>0.99988840000000001</v>
      </c>
      <c r="N4794">
        <v>0</v>
      </c>
      <c r="O4794">
        <v>-7.7219879999999999E-3</v>
      </c>
      <c r="P4794">
        <v>0.99698220000000004</v>
      </c>
      <c r="Q4794">
        <v>7.6256630000000006E-2</v>
      </c>
      <c r="R4794">
        <v>-1.455336E-2</v>
      </c>
      <c r="S4794">
        <v>3.0193180000000002</v>
      </c>
      <c r="T4794">
        <v>-0.1986204</v>
      </c>
      <c r="U4794">
        <v>-0.35671999999999998</v>
      </c>
      <c r="V4794">
        <v>6.7522449999999996E-3</v>
      </c>
      <c r="W4794">
        <v>8.9022240000000002E-2</v>
      </c>
      <c r="X4794">
        <v>0.99600670000000002</v>
      </c>
      <c r="Y4794">
        <v>0.1094403</v>
      </c>
      <c r="Z4794">
        <v>-3.077705E-3</v>
      </c>
      <c r="AA4794">
        <v>0.9939886</v>
      </c>
      <c r="AB4794">
        <v>25</v>
      </c>
      <c r="AC4794">
        <v>16.7485</v>
      </c>
      <c r="AD4794">
        <v>-1.1102784498109901</v>
      </c>
      <c r="AE4794">
        <v>-1.9933699999999901</v>
      </c>
      <c r="AF4794">
        <v>1.85592626561657</v>
      </c>
      <c r="AG4794">
        <v>-1.1102784498109901</v>
      </c>
      <c r="AH4794">
        <v>16.691069767676399</v>
      </c>
      <c r="AI4794">
        <v>93.782426694725501</v>
      </c>
      <c r="AJ4794">
        <v>83.655186697905194</v>
      </c>
      <c r="AK4794">
        <v>16.830596855993001</v>
      </c>
      <c r="AL4794">
        <v>84.892639959541299</v>
      </c>
      <c r="AM4794">
        <v>89.611579707158697</v>
      </c>
      <c r="AN4794">
        <v>0.99999994923602198</v>
      </c>
    </row>
    <row r="4795" spans="1:40" x14ac:dyDescent="0.25">
      <c r="A4795" t="str">
        <f>"20190312151633429"</f>
        <v>20190312151633429</v>
      </c>
      <c r="B4795" t="str">
        <f>"1552374993423063"</f>
        <v>1552374993423063</v>
      </c>
      <c r="C4795" t="s">
        <v>40</v>
      </c>
      <c r="D4795">
        <v>4.5504540000000002</v>
      </c>
      <c r="E4795">
        <v>0.54004700000000005</v>
      </c>
      <c r="F4795" t="s">
        <v>41</v>
      </c>
      <c r="G4795">
        <v>-376.09699999999998</v>
      </c>
      <c r="H4795">
        <v>1.051364</v>
      </c>
      <c r="I4795">
        <v>16.759820000000001</v>
      </c>
      <c r="J4795">
        <v>-376.86869999999999</v>
      </c>
      <c r="K4795">
        <v>1.110258</v>
      </c>
      <c r="L4795">
        <v>16.867159999999998</v>
      </c>
      <c r="M4795">
        <v>0.99989110000000003</v>
      </c>
      <c r="N4795">
        <v>0</v>
      </c>
      <c r="O4795">
        <v>-7.3973099999999998E-3</v>
      </c>
      <c r="P4795">
        <v>0.99694349999999998</v>
      </c>
      <c r="Q4795">
        <v>7.6536789999999993E-2</v>
      </c>
      <c r="R4795">
        <v>-1.568311E-2</v>
      </c>
      <c r="S4795">
        <v>3.0188600000000001</v>
      </c>
      <c r="T4795">
        <v>-0.1970229</v>
      </c>
      <c r="U4795">
        <v>-0.36059570000000002</v>
      </c>
      <c r="V4795">
        <v>8.2086339999999994E-3</v>
      </c>
      <c r="W4795">
        <v>8.927823E-2</v>
      </c>
      <c r="X4795">
        <v>0.99597290000000005</v>
      </c>
      <c r="Y4795">
        <v>0.1110382</v>
      </c>
      <c r="Z4795">
        <v>-3.1262260000000002E-3</v>
      </c>
      <c r="AA4795">
        <v>0.99381120000000001</v>
      </c>
      <c r="AB4795">
        <v>25</v>
      </c>
      <c r="AC4795">
        <v>0.77170000000000905</v>
      </c>
      <c r="AD4795">
        <v>-5.8894000000000002E-2</v>
      </c>
      <c r="AE4795">
        <v>-0.10734</v>
      </c>
      <c r="AF4795">
        <v>0.10105071241581901</v>
      </c>
      <c r="AG4795">
        <v>-5.8894000000000002E-2</v>
      </c>
      <c r="AH4795">
        <v>0.76808431673325095</v>
      </c>
      <c r="AI4795">
        <v>94.347342858907098</v>
      </c>
      <c r="AJ4795">
        <v>82.505096590572293</v>
      </c>
      <c r="AK4795">
        <v>0.77693839352121796</v>
      </c>
      <c r="AL4795">
        <v>84.877914441603494</v>
      </c>
      <c r="AM4795">
        <v>89.527788923823195</v>
      </c>
      <c r="AN4795">
        <v>1.00000000077924</v>
      </c>
    </row>
    <row r="4796" spans="1:40" x14ac:dyDescent="0.25">
      <c r="A4796" t="str">
        <f>"20190312151633440"</f>
        <v>20190312151633440</v>
      </c>
      <c r="B4796" t="str">
        <f>"1552374993432823"</f>
        <v>1552374993432823</v>
      </c>
      <c r="C4796" t="s">
        <v>40</v>
      </c>
      <c r="D4796">
        <v>4.5518390000000002</v>
      </c>
      <c r="E4796">
        <v>0.54004700000000005</v>
      </c>
      <c r="F4796" t="s">
        <v>43</v>
      </c>
      <c r="G4796">
        <v>-359.7183</v>
      </c>
      <c r="H4796" s="1">
        <v>-1.365534E-6</v>
      </c>
      <c r="I4796">
        <v>14.79204</v>
      </c>
      <c r="J4796">
        <v>-376.74869999999999</v>
      </c>
      <c r="K4796">
        <v>1.1102559999999999</v>
      </c>
      <c r="L4796">
        <v>16.866579999999999</v>
      </c>
      <c r="M4796">
        <v>0.99989309999999998</v>
      </c>
      <c r="N4796">
        <v>0</v>
      </c>
      <c r="O4796">
        <v>-7.1435530000000004E-3</v>
      </c>
      <c r="P4796">
        <v>0.99693670000000001</v>
      </c>
      <c r="Q4796">
        <v>7.635401E-2</v>
      </c>
      <c r="R4796">
        <v>-1.6952910000000002E-2</v>
      </c>
      <c r="S4796">
        <v>3.0184630000000001</v>
      </c>
      <c r="T4796">
        <v>-0.19540440000000001</v>
      </c>
      <c r="U4796">
        <v>-0.36520390000000003</v>
      </c>
      <c r="V4796">
        <v>9.733808E-3</v>
      </c>
      <c r="W4796">
        <v>8.9077809999999993E-2</v>
      </c>
      <c r="X4796">
        <v>0.99597709999999995</v>
      </c>
      <c r="Y4796">
        <v>0.1128006</v>
      </c>
      <c r="Z4796">
        <v>-3.1738500000000002E-3</v>
      </c>
      <c r="AA4796">
        <v>0.99361259999999996</v>
      </c>
      <c r="AB4796">
        <v>25</v>
      </c>
      <c r="AC4796">
        <v>17.030399999999901</v>
      </c>
      <c r="AD4796">
        <v>-1.110257365534</v>
      </c>
      <c r="AE4796">
        <v>-2.0745399999999901</v>
      </c>
      <c r="AF4796">
        <v>1.94467540445544</v>
      </c>
      <c r="AG4796">
        <v>-1.110257365534</v>
      </c>
      <c r="AH4796">
        <v>16.973701309606898</v>
      </c>
      <c r="AI4796">
        <v>93.718156909781001</v>
      </c>
      <c r="AJ4796">
        <v>83.464125575584404</v>
      </c>
      <c r="AK4796">
        <v>17.120775975234601</v>
      </c>
      <c r="AL4796">
        <v>84.889443559965201</v>
      </c>
      <c r="AM4796">
        <v>89.440059051790897</v>
      </c>
      <c r="AN4796">
        <v>0.999999993488493</v>
      </c>
    </row>
    <row r="4797" spans="1:40" x14ac:dyDescent="0.25">
      <c r="A4797" t="str">
        <f>"20190312151633451"</f>
        <v>20190312151633451</v>
      </c>
      <c r="B4797" t="str">
        <f>"1552374993442583"</f>
        <v>1552374993442583</v>
      </c>
      <c r="C4797" t="s">
        <v>40</v>
      </c>
      <c r="D4797">
        <v>4.631418</v>
      </c>
      <c r="E4797">
        <v>0.55944559999999999</v>
      </c>
      <c r="F4797" t="s">
        <v>43</v>
      </c>
      <c r="G4797">
        <v>-359.65190000000001</v>
      </c>
      <c r="H4797" s="1">
        <v>-1.392307E-6</v>
      </c>
      <c r="I4797">
        <v>14.776350000000001</v>
      </c>
      <c r="J4797">
        <v>-376.62419999999997</v>
      </c>
      <c r="K4797">
        <v>1.110249</v>
      </c>
      <c r="L4797">
        <v>16.865970000000001</v>
      </c>
      <c r="M4797">
        <v>0.99989510000000004</v>
      </c>
      <c r="N4797">
        <v>0</v>
      </c>
      <c r="O4797">
        <v>-6.8993319999999898E-3</v>
      </c>
      <c r="P4797">
        <v>0.99690659999999998</v>
      </c>
      <c r="Q4797">
        <v>7.6434520000000006E-2</v>
      </c>
      <c r="R4797">
        <v>-1.83048E-2</v>
      </c>
      <c r="S4797">
        <v>3.0179749999999999</v>
      </c>
      <c r="T4797">
        <v>-0.19598560000000001</v>
      </c>
      <c r="U4797">
        <v>-0.36895749999999999</v>
      </c>
      <c r="V4797">
        <v>1.133137E-2</v>
      </c>
      <c r="W4797">
        <v>8.9141440000000002E-2</v>
      </c>
      <c r="X4797">
        <v>0.99595449999999996</v>
      </c>
      <c r="Y4797">
        <v>0.1142753</v>
      </c>
      <c r="Z4797">
        <v>-3.2469780000000002E-3</v>
      </c>
      <c r="AA4797">
        <v>0.99344379999999999</v>
      </c>
      <c r="AB4797">
        <v>25</v>
      </c>
      <c r="AC4797">
        <v>16.972299999999901</v>
      </c>
      <c r="AD4797">
        <v>-1.110250392307</v>
      </c>
      <c r="AE4797">
        <v>-2.08962</v>
      </c>
      <c r="AF4797">
        <v>1.9641836395410499</v>
      </c>
      <c r="AG4797">
        <v>-1.110250392307</v>
      </c>
      <c r="AH4797">
        <v>16.915012581265898</v>
      </c>
      <c r="AI4797">
        <v>93.730341051302602</v>
      </c>
      <c r="AJ4797">
        <v>83.376436618159204</v>
      </c>
      <c r="AK4797">
        <v>17.064827099266001</v>
      </c>
      <c r="AL4797">
        <v>84.885783205043793</v>
      </c>
      <c r="AM4797">
        <v>89.348151280374495</v>
      </c>
      <c r="AN4797">
        <v>0.99999998117080002</v>
      </c>
    </row>
    <row r="4798" spans="1:40" x14ac:dyDescent="0.25">
      <c r="A4798" t="str">
        <f>"20190312151633464"</f>
        <v>20190312151633464</v>
      </c>
      <c r="B4798" t="str">
        <f>"1552374993452343"</f>
        <v>1552374993452343</v>
      </c>
      <c r="C4798" t="s">
        <v>40</v>
      </c>
      <c r="D4798">
        <v>4.5904680000000004</v>
      </c>
      <c r="E4798">
        <v>0.56286519999999995</v>
      </c>
      <c r="F4798" t="s">
        <v>41</v>
      </c>
      <c r="G4798">
        <v>-375.88749999999999</v>
      </c>
      <c r="H4798">
        <v>1.037822</v>
      </c>
      <c r="I4798">
        <v>16.736840000000001</v>
      </c>
      <c r="J4798">
        <v>-376.50760000000002</v>
      </c>
      <c r="K4798">
        <v>1.1102369999999999</v>
      </c>
      <c r="L4798">
        <v>16.865479999999899</v>
      </c>
      <c r="M4798">
        <v>0.99989669999999997</v>
      </c>
      <c r="N4798">
        <v>0</v>
      </c>
      <c r="O4798">
        <v>-6.7006319999999998E-3</v>
      </c>
      <c r="P4798">
        <v>0.99688359999999998</v>
      </c>
      <c r="Q4798">
        <v>7.6393539999999996E-2</v>
      </c>
      <c r="R4798">
        <v>-1.9687280000000001E-2</v>
      </c>
      <c r="S4798">
        <v>3.0223390000000001</v>
      </c>
      <c r="T4798">
        <v>-0.29716219999999999</v>
      </c>
      <c r="U4798">
        <v>-0.52746579999999998</v>
      </c>
      <c r="V4798">
        <v>1.291553E-2</v>
      </c>
      <c r="W4798">
        <v>8.9085890000000001E-2</v>
      </c>
      <c r="X4798">
        <v>0.99594020000000005</v>
      </c>
      <c r="Y4798">
        <v>0.1645799</v>
      </c>
      <c r="Z4798">
        <v>-7.3590390000000004E-3</v>
      </c>
      <c r="AA4798">
        <v>0.98633630000000005</v>
      </c>
      <c r="AB4798">
        <v>25</v>
      </c>
      <c r="AC4798">
        <v>0.62010000000003596</v>
      </c>
      <c r="AD4798">
        <v>-7.2415000000000104E-2</v>
      </c>
      <c r="AE4798">
        <v>-0.12863999999999701</v>
      </c>
      <c r="AF4798">
        <v>0.122875148037022</v>
      </c>
      <c r="AG4798">
        <v>-7.2415000000000104E-2</v>
      </c>
      <c r="AH4798">
        <v>0.61293413581825795</v>
      </c>
      <c r="AI4798">
        <v>96.607694815966497</v>
      </c>
      <c r="AJ4798">
        <v>78.664154850587295</v>
      </c>
      <c r="AK4798">
        <v>0.62930953360122799</v>
      </c>
      <c r="AL4798">
        <v>84.888978766556207</v>
      </c>
      <c r="AM4798">
        <v>89.257019768629903</v>
      </c>
      <c r="AN4798">
        <v>0.99999999434415598</v>
      </c>
    </row>
    <row r="4799" spans="1:40" x14ac:dyDescent="0.25">
      <c r="A4799" t="str">
        <f>"20190312151633477"</f>
        <v>20190312151633477</v>
      </c>
      <c r="B4799" t="str">
        <f>"1552374993472839"</f>
        <v>1552374993472839</v>
      </c>
      <c r="C4799" t="s">
        <v>40</v>
      </c>
      <c r="D4799">
        <v>4.5781109999999998</v>
      </c>
      <c r="E4799">
        <v>0.565046099999999</v>
      </c>
      <c r="F4799" t="s">
        <v>41</v>
      </c>
      <c r="G4799">
        <v>-375.6748</v>
      </c>
      <c r="H4799">
        <v>1.0248649999999999</v>
      </c>
      <c r="I4799">
        <v>16.711379999999998</v>
      </c>
      <c r="J4799">
        <v>-376.34539999999998</v>
      </c>
      <c r="K4799">
        <v>1.11022</v>
      </c>
      <c r="L4799">
        <v>16.86478</v>
      </c>
      <c r="M4799">
        <v>0.99989859999999997</v>
      </c>
      <c r="N4799">
        <v>0</v>
      </c>
      <c r="O4799">
        <v>-6.4350689999999999E-3</v>
      </c>
      <c r="P4799">
        <v>0.99687619999999999</v>
      </c>
      <c r="Q4799">
        <v>7.6148960000000002E-2</v>
      </c>
      <c r="R4799">
        <v>-2.095814E-2</v>
      </c>
      <c r="S4799">
        <v>3.022125</v>
      </c>
      <c r="T4799">
        <v>-0.30982859999999901</v>
      </c>
      <c r="U4799">
        <v>-0.55886840000000004</v>
      </c>
      <c r="V4799">
        <v>1.4457499999999899E-2</v>
      </c>
      <c r="W4799">
        <v>8.8818980000000006E-2</v>
      </c>
      <c r="X4799">
        <v>0.99594280000000002</v>
      </c>
      <c r="Y4799">
        <v>0.17465799999999901</v>
      </c>
      <c r="Z4799">
        <v>-8.2026259999999993E-3</v>
      </c>
      <c r="AA4799">
        <v>0.984595</v>
      </c>
      <c r="AB4799">
        <v>25</v>
      </c>
      <c r="AC4799">
        <v>0.67059999999997899</v>
      </c>
      <c r="AD4799">
        <v>-8.5355E-2</v>
      </c>
      <c r="AE4799">
        <v>-0.15340000000000101</v>
      </c>
      <c r="AF4799">
        <v>0.14682080862749899</v>
      </c>
      <c r="AG4799">
        <v>-8.5355E-2</v>
      </c>
      <c r="AH4799">
        <v>0.66139120186828704</v>
      </c>
      <c r="AI4799">
        <v>97.180680835054403</v>
      </c>
      <c r="AJ4799">
        <v>77.483989722280498</v>
      </c>
      <c r="AK4799">
        <v>0.68284708960338303</v>
      </c>
      <c r="AL4799">
        <v>84.904332198543798</v>
      </c>
      <c r="AM4799">
        <v>89.168330194754205</v>
      </c>
      <c r="AN4799">
        <v>0.99999994569316297</v>
      </c>
    </row>
    <row r="4800" spans="1:40" x14ac:dyDescent="0.25">
      <c r="A4800" t="str">
        <f>"20190312151633497"</f>
        <v>20190312151633497</v>
      </c>
      <c r="B4800" t="str">
        <f>"1552374993493335"</f>
        <v>1552374993493335</v>
      </c>
      <c r="C4800" t="s">
        <v>40</v>
      </c>
      <c r="D4800">
        <v>4.5673180000000002</v>
      </c>
      <c r="E4800">
        <v>0.56572279999999997</v>
      </c>
      <c r="F4800" t="s">
        <v>41</v>
      </c>
      <c r="G4800">
        <v>-375.45949999999999</v>
      </c>
      <c r="H4800">
        <v>1.016545</v>
      </c>
      <c r="I4800">
        <v>16.694569999999999</v>
      </c>
      <c r="J4800">
        <v>-376.13470000000001</v>
      </c>
      <c r="K4800">
        <v>1.1101780000000001</v>
      </c>
      <c r="L4800">
        <v>16.86392</v>
      </c>
      <c r="M4800">
        <v>0.99990120000000005</v>
      </c>
      <c r="N4800">
        <v>0</v>
      </c>
      <c r="O4800">
        <v>-6.1149660000000003E-3</v>
      </c>
      <c r="P4800">
        <v>0.99680999999999997</v>
      </c>
      <c r="Q4800">
        <v>7.6022220000000001E-2</v>
      </c>
      <c r="R4800">
        <v>-2.4303129999999999E-2</v>
      </c>
      <c r="S4800">
        <v>3.0216059999999998</v>
      </c>
      <c r="T4800">
        <v>-0.31950780000000001</v>
      </c>
      <c r="U4800">
        <v>-0.5800476</v>
      </c>
      <c r="V4800">
        <v>1.813352E-2</v>
      </c>
      <c r="W4800">
        <v>8.8659379999999996E-2</v>
      </c>
      <c r="X4800">
        <v>0.99589689999999997</v>
      </c>
      <c r="Y4800">
        <v>0.18157180000000001</v>
      </c>
      <c r="Z4800">
        <v>-8.848234E-3</v>
      </c>
      <c r="AA4800">
        <v>0.98333789999999999</v>
      </c>
      <c r="AB4800">
        <v>25</v>
      </c>
      <c r="AC4800">
        <v>0.67520000000001701</v>
      </c>
      <c r="AD4800">
        <v>-9.3632999999999994E-2</v>
      </c>
      <c r="AE4800">
        <v>-0.169349999999997</v>
      </c>
      <c r="AF4800">
        <v>0.162281605774589</v>
      </c>
      <c r="AG4800">
        <v>-9.3632999999999994E-2</v>
      </c>
      <c r="AH4800">
        <v>0.66420591493820202</v>
      </c>
      <c r="AI4800">
        <v>97.797682634327501</v>
      </c>
      <c r="AJ4800">
        <v>76.270230720926804</v>
      </c>
      <c r="AK4800">
        <v>0.69012459433110596</v>
      </c>
      <c r="AL4800">
        <v>84.913512962319004</v>
      </c>
      <c r="AM4800">
        <v>88.956860528258005</v>
      </c>
      <c r="AN4800">
        <v>0.99999997281959196</v>
      </c>
    </row>
    <row r="4801" spans="1:40" x14ac:dyDescent="0.25">
      <c r="A4801" t="str">
        <f>"20190312151633518"</f>
        <v>20190312151633518</v>
      </c>
      <c r="B4801" t="str">
        <f>"1552374993512855"</f>
        <v>1552374993512855</v>
      </c>
      <c r="C4801" t="s">
        <v>40</v>
      </c>
      <c r="D4801">
        <v>4.603561</v>
      </c>
      <c r="E4801">
        <v>0.56604390000000004</v>
      </c>
      <c r="F4801" t="s">
        <v>41</v>
      </c>
      <c r="G4801">
        <v>-375.23860000000002</v>
      </c>
      <c r="H4801">
        <v>1.0170549999999901</v>
      </c>
      <c r="I4801">
        <v>16.68694</v>
      </c>
      <c r="J4801">
        <v>-375.89580000000001</v>
      </c>
      <c r="K4801">
        <v>1.1101219999999901</v>
      </c>
      <c r="L4801">
        <v>16.862919999999999</v>
      </c>
      <c r="M4801">
        <v>0.9999036</v>
      </c>
      <c r="N4801">
        <v>0</v>
      </c>
      <c r="O4801">
        <v>-5.7764740000000002E-3</v>
      </c>
      <c r="P4801">
        <v>0.99674359999999995</v>
      </c>
      <c r="Q4801">
        <v>7.5777010000000006E-2</v>
      </c>
      <c r="R4801">
        <v>-2.7567919999999999E-2</v>
      </c>
      <c r="S4801">
        <v>3.019012</v>
      </c>
      <c r="T4801">
        <v>-0.31381920000000002</v>
      </c>
      <c r="U4801">
        <v>-0.59545899999999996</v>
      </c>
      <c r="V4801">
        <v>2.1750829999999999E-2</v>
      </c>
      <c r="W4801">
        <v>8.8378180000000001E-2</v>
      </c>
      <c r="X4801">
        <v>0.99584950000000005</v>
      </c>
      <c r="Y4801">
        <v>0.18689819999999999</v>
      </c>
      <c r="Z4801">
        <v>-9.0028780000000006E-3</v>
      </c>
      <c r="AA4801">
        <v>0.98233800000000004</v>
      </c>
      <c r="AB4801">
        <v>25</v>
      </c>
      <c r="AC4801">
        <v>0.65719999999998802</v>
      </c>
      <c r="AD4801">
        <v>-9.3066999999999997E-2</v>
      </c>
      <c r="AE4801">
        <v>-0.175980000000002</v>
      </c>
      <c r="AF4801">
        <v>0.16901778635826301</v>
      </c>
      <c r="AG4801">
        <v>-9.3066999999999997E-2</v>
      </c>
      <c r="AH4801">
        <v>0.64611548830410104</v>
      </c>
      <c r="AI4801">
        <v>97.933182109889998</v>
      </c>
      <c r="AJ4801">
        <v>75.340448870556003</v>
      </c>
      <c r="AK4801">
        <v>0.67430979736386398</v>
      </c>
      <c r="AL4801">
        <v>84.929688240349194</v>
      </c>
      <c r="AM4801">
        <v>88.7487741420872</v>
      </c>
      <c r="AN4801">
        <v>1.0000000139780201</v>
      </c>
    </row>
    <row r="4802" spans="1:40" x14ac:dyDescent="0.25">
      <c r="A4802" t="str">
        <f>"20190312151633529"</f>
        <v>20190312151633529</v>
      </c>
      <c r="B4802" t="str">
        <f>"1552374993522616"</f>
        <v>1552374993522616</v>
      </c>
      <c r="C4802" t="s">
        <v>40</v>
      </c>
      <c r="D4802">
        <v>4.6346350000000003</v>
      </c>
      <c r="E4802">
        <v>0.56581499999999996</v>
      </c>
      <c r="F4802" t="s">
        <v>41</v>
      </c>
      <c r="G4802">
        <v>-375.01769999999999</v>
      </c>
      <c r="H4802">
        <v>1.019231</v>
      </c>
      <c r="I4802">
        <v>16.68554</v>
      </c>
      <c r="J4802">
        <v>-375.77420000000001</v>
      </c>
      <c r="K4802">
        <v>1.1101000000000001</v>
      </c>
      <c r="L4802">
        <v>16.86243</v>
      </c>
      <c r="M4802">
        <v>0.99990480000000004</v>
      </c>
      <c r="N4802">
        <v>0</v>
      </c>
      <c r="O4802">
        <v>-5.6155669999999897E-3</v>
      </c>
      <c r="P4802">
        <v>0.99670510000000001</v>
      </c>
      <c r="Q4802">
        <v>7.5700359999999994E-2</v>
      </c>
      <c r="R4802">
        <v>-2.9134420000000001E-2</v>
      </c>
      <c r="S4802">
        <v>3.0166930000000001</v>
      </c>
      <c r="T4802">
        <v>-0.31226609999999899</v>
      </c>
      <c r="U4802">
        <v>-0.60809329999999995</v>
      </c>
      <c r="V4802">
        <v>2.3484950000000001E-2</v>
      </c>
      <c r="W4802">
        <v>8.828416E-2</v>
      </c>
      <c r="X4802">
        <v>0.99581839999999999</v>
      </c>
      <c r="Y4802">
        <v>0.1911407</v>
      </c>
      <c r="Z4802">
        <v>-9.194944E-3</v>
      </c>
      <c r="AA4802">
        <v>0.98151960000000005</v>
      </c>
      <c r="AB4802">
        <v>25</v>
      </c>
      <c r="AC4802">
        <v>0.75650000000001605</v>
      </c>
      <c r="AD4802">
        <v>-9.0869000000000005E-2</v>
      </c>
      <c r="AE4802">
        <v>-0.17688999999999999</v>
      </c>
      <c r="AF4802">
        <v>0.170308824158624</v>
      </c>
      <c r="AG4802">
        <v>-9.0869000000000005E-2</v>
      </c>
      <c r="AH4802">
        <v>0.74725877731044898</v>
      </c>
      <c r="AI4802">
        <v>96.761583785331894</v>
      </c>
      <c r="AJ4802">
        <v>77.160940609220603</v>
      </c>
      <c r="AK4802">
        <v>0.771788799487787</v>
      </c>
      <c r="AL4802">
        <v>84.935096058661102</v>
      </c>
      <c r="AM4802">
        <v>88.649011571715505</v>
      </c>
      <c r="AN4802">
        <v>0.99999996078098297</v>
      </c>
    </row>
    <row r="4803" spans="1:40" x14ac:dyDescent="0.25">
      <c r="A4803" t="str">
        <f>"20190312151633540"</f>
        <v>20190312151633540</v>
      </c>
      <c r="B4803" t="str">
        <f>"1552374993532374"</f>
        <v>1552374993532374</v>
      </c>
      <c r="C4803" t="s">
        <v>40</v>
      </c>
      <c r="D4803">
        <v>4.5995780000000002</v>
      </c>
      <c r="E4803">
        <v>0.56594100000000003</v>
      </c>
      <c r="F4803" t="s">
        <v>41</v>
      </c>
      <c r="G4803">
        <v>-375.0127</v>
      </c>
      <c r="H4803">
        <v>1.0309630000000001</v>
      </c>
      <c r="I4803">
        <v>16.707709999999999</v>
      </c>
      <c r="J4803">
        <v>-375.65809999999999</v>
      </c>
      <c r="K4803">
        <v>1.11008</v>
      </c>
      <c r="L4803">
        <v>16.861969999999999</v>
      </c>
      <c r="M4803">
        <v>0.99990570000000001</v>
      </c>
      <c r="N4803">
        <v>0</v>
      </c>
      <c r="O4803">
        <v>-5.4772379999999997E-3</v>
      </c>
      <c r="P4803">
        <v>0.99665000000000004</v>
      </c>
      <c r="Q4803">
        <v>7.572247E-2</v>
      </c>
      <c r="R4803">
        <v>-3.0907E-2</v>
      </c>
      <c r="S4803">
        <v>3.0158999999999998</v>
      </c>
      <c r="T4803">
        <v>-0.31343850000000001</v>
      </c>
      <c r="U4803">
        <v>-0.61120609999999997</v>
      </c>
      <c r="V4803">
        <v>2.54016E-2</v>
      </c>
      <c r="W4803">
        <v>8.8291759999999997E-2</v>
      </c>
      <c r="X4803">
        <v>0.99577070000000001</v>
      </c>
      <c r="Y4803">
        <v>0.1922856</v>
      </c>
      <c r="Z4803">
        <v>-9.3036639999999997E-3</v>
      </c>
      <c r="AA4803">
        <v>0.98129489999999997</v>
      </c>
      <c r="AB4803">
        <v>25</v>
      </c>
      <c r="AC4803">
        <v>0.64539999999999498</v>
      </c>
      <c r="AD4803">
        <v>-7.9117000000000104E-2</v>
      </c>
      <c r="AE4803">
        <v>-0.15425999999999701</v>
      </c>
      <c r="AF4803">
        <v>0.14860987124670999</v>
      </c>
      <c r="AG4803">
        <v>-7.9117000000000104E-2</v>
      </c>
      <c r="AH4803">
        <v>0.63717767076126597</v>
      </c>
      <c r="AI4803">
        <v>96.894874073435801</v>
      </c>
      <c r="AJ4803">
        <v>76.871513964097602</v>
      </c>
      <c r="AK4803">
        <v>0.65904459457438502</v>
      </c>
      <c r="AL4803">
        <v>84.934659009217597</v>
      </c>
      <c r="AM4803">
        <v>88.538730952431393</v>
      </c>
      <c r="AN4803">
        <v>0.99999998157247305</v>
      </c>
    </row>
    <row r="4804" spans="1:40" x14ac:dyDescent="0.25">
      <c r="A4804" t="str">
        <f>"20190312151633550"</f>
        <v>20190312151633550</v>
      </c>
      <c r="B4804" t="str">
        <f>"1552374993543111"</f>
        <v>1552374993543111</v>
      </c>
      <c r="C4804" t="s">
        <v>40</v>
      </c>
      <c r="D4804">
        <v>4.5955190000000004</v>
      </c>
      <c r="E4804">
        <v>0.56584889999999999</v>
      </c>
      <c r="F4804" t="s">
        <v>41</v>
      </c>
      <c r="G4804">
        <v>-374.79649999999998</v>
      </c>
      <c r="H4804">
        <v>1.022305</v>
      </c>
      <c r="I4804">
        <v>16.685179999999999</v>
      </c>
      <c r="J4804">
        <v>-375.53359999999998</v>
      </c>
      <c r="K4804">
        <v>1.110063</v>
      </c>
      <c r="L4804">
        <v>16.861450000000001</v>
      </c>
      <c r="M4804">
        <v>0.99990659999999998</v>
      </c>
      <c r="N4804">
        <v>0</v>
      </c>
      <c r="O4804">
        <v>-5.336164E-3</v>
      </c>
      <c r="P4804">
        <v>0.99662280000000003</v>
      </c>
      <c r="Q4804">
        <v>7.5444220000000006E-2</v>
      </c>
      <c r="R4804">
        <v>-3.2424050000000003E-2</v>
      </c>
      <c r="S4804">
        <v>3.0142519999999999</v>
      </c>
      <c r="T4804">
        <v>-0.30712399999999901</v>
      </c>
      <c r="U4804">
        <v>-0.61776730000000002</v>
      </c>
      <c r="V4804">
        <v>2.7065100000000002E-2</v>
      </c>
      <c r="W4804">
        <v>8.7997729999999996E-2</v>
      </c>
      <c r="X4804">
        <v>0.99575290000000005</v>
      </c>
      <c r="Y4804">
        <v>0.19460450000000001</v>
      </c>
      <c r="Z4804">
        <v>-9.2509069999999992E-3</v>
      </c>
      <c r="AA4804">
        <v>0.98083819999999999</v>
      </c>
      <c r="AB4804">
        <v>25</v>
      </c>
      <c r="AC4804">
        <v>0.73709999999999798</v>
      </c>
      <c r="AD4804">
        <v>-8.7758000000000003E-2</v>
      </c>
      <c r="AE4804">
        <v>-0.17627000000000201</v>
      </c>
      <c r="AF4804">
        <v>0.17005378762634599</v>
      </c>
      <c r="AG4804">
        <v>-8.7758000000000003E-2</v>
      </c>
      <c r="AH4804">
        <v>0.72826550046722605</v>
      </c>
      <c r="AI4804">
        <v>96.692827113721194</v>
      </c>
      <c r="AJ4804">
        <v>76.856638790381496</v>
      </c>
      <c r="AK4804">
        <v>0.75298764692446696</v>
      </c>
      <c r="AL4804">
        <v>84.951571503519503</v>
      </c>
      <c r="AM4804">
        <v>88.443053200147006</v>
      </c>
      <c r="AN4804">
        <v>0.99999997899078596</v>
      </c>
    </row>
    <row r="4805" spans="1:40" x14ac:dyDescent="0.25">
      <c r="A4805" t="str">
        <f>"20190312151633562"</f>
        <v>20190312151633562</v>
      </c>
      <c r="B4805" t="str">
        <f>"1552374993552871"</f>
        <v>1552374993552871</v>
      </c>
      <c r="C4805" t="s">
        <v>40</v>
      </c>
      <c r="D4805">
        <v>4.6205579999999999</v>
      </c>
      <c r="E4805">
        <v>0.56571629999999995</v>
      </c>
      <c r="F4805" t="s">
        <v>41</v>
      </c>
      <c r="G4805">
        <v>-374.79079999999999</v>
      </c>
      <c r="H4805">
        <v>1.0347550000000001</v>
      </c>
      <c r="I4805">
        <v>16.707940000000001</v>
      </c>
      <c r="J4805">
        <v>-375.41449999999998</v>
      </c>
      <c r="K4805">
        <v>1.1100490000000001</v>
      </c>
      <c r="L4805">
        <v>16.860990000000001</v>
      </c>
      <c r="M4805">
        <v>0.99990730000000005</v>
      </c>
      <c r="N4805">
        <v>0</v>
      </c>
      <c r="O4805">
        <v>-5.2275589999999997E-3</v>
      </c>
      <c r="P4805">
        <v>0.99657220000000002</v>
      </c>
      <c r="Q4805">
        <v>7.5389209999999998E-2</v>
      </c>
      <c r="R4805">
        <v>-3.4069439999999999E-2</v>
      </c>
      <c r="S4805">
        <v>3.0130620000000001</v>
      </c>
      <c r="T4805">
        <v>-0.30547669999999999</v>
      </c>
      <c r="U4805">
        <v>-0.6218262</v>
      </c>
      <c r="V4805">
        <v>2.882349E-2</v>
      </c>
      <c r="W4805">
        <v>8.7926019999999994E-2</v>
      </c>
      <c r="X4805">
        <v>0.99570990000000004</v>
      </c>
      <c r="Y4805">
        <v>0.19605649999999999</v>
      </c>
      <c r="Z4805">
        <v>-9.287376E-3</v>
      </c>
      <c r="AA4805">
        <v>0.98054859999999999</v>
      </c>
      <c r="AB4805">
        <v>25</v>
      </c>
      <c r="AC4805">
        <v>0.62369999999998504</v>
      </c>
      <c r="AD4805">
        <v>-7.5294000000000194E-2</v>
      </c>
      <c r="AE4805">
        <v>-0.15304999999999999</v>
      </c>
      <c r="AF4805">
        <v>0.147756173426389</v>
      </c>
      <c r="AG4805">
        <v>-7.5294000000000194E-2</v>
      </c>
      <c r="AH4805">
        <v>0.61602378647904499</v>
      </c>
      <c r="AI4805">
        <v>96.778077307044896</v>
      </c>
      <c r="AJ4805">
        <v>76.512141028361896</v>
      </c>
      <c r="AK4805">
        <v>0.63795484066632002</v>
      </c>
      <c r="AL4805">
        <v>84.955696236418405</v>
      </c>
      <c r="AM4805">
        <v>88.341883245150399</v>
      </c>
      <c r="AN4805">
        <v>0.99999999176341503</v>
      </c>
    </row>
    <row r="4806" spans="1:40" x14ac:dyDescent="0.25">
      <c r="A4806" t="str">
        <f>"20190312151633573"</f>
        <v>20190312151633573</v>
      </c>
      <c r="B4806" t="str">
        <f>"1552374993562631"</f>
        <v>1552374993562631</v>
      </c>
      <c r="C4806" t="s">
        <v>40</v>
      </c>
      <c r="D4806">
        <v>4.598433</v>
      </c>
      <c r="E4806">
        <v>0.56560390000000005</v>
      </c>
      <c r="F4806" t="s">
        <v>41</v>
      </c>
      <c r="G4806">
        <v>-374.57319999999999</v>
      </c>
      <c r="H4806">
        <v>1.025531</v>
      </c>
      <c r="I4806">
        <v>16.685700000000001</v>
      </c>
      <c r="J4806">
        <v>-375.29320000000001</v>
      </c>
      <c r="K4806">
        <v>1.110033</v>
      </c>
      <c r="L4806">
        <v>16.860469999999999</v>
      </c>
      <c r="M4806">
        <v>0.99990809999999997</v>
      </c>
      <c r="N4806">
        <v>0</v>
      </c>
      <c r="O4806">
        <v>-5.1222849999999999E-3</v>
      </c>
      <c r="P4806">
        <v>0.99652529999999995</v>
      </c>
      <c r="Q4806">
        <v>7.528675E-2</v>
      </c>
      <c r="R4806">
        <v>-3.562916E-2</v>
      </c>
      <c r="S4806">
        <v>3.0118100000000001</v>
      </c>
      <c r="T4806">
        <v>-0.30252669999999998</v>
      </c>
      <c r="U4806">
        <v>-0.62603759999999997</v>
      </c>
      <c r="V4806">
        <v>3.049321E-2</v>
      </c>
      <c r="W4806">
        <v>8.7805839999999996E-2</v>
      </c>
      <c r="X4806">
        <v>0.99567079999999997</v>
      </c>
      <c r="Y4806">
        <v>0.19756460000000001</v>
      </c>
      <c r="Z4806">
        <v>-9.285761E-3</v>
      </c>
      <c r="AA4806">
        <v>0.9802459</v>
      </c>
      <c r="AB4806">
        <v>24</v>
      </c>
      <c r="AC4806">
        <v>0.72000000000002695</v>
      </c>
      <c r="AD4806">
        <v>-8.4501999999999994E-2</v>
      </c>
      <c r="AE4806">
        <v>-0.17476999999999801</v>
      </c>
      <c r="AF4806">
        <v>0.168882572024252</v>
      </c>
      <c r="AG4806">
        <v>-8.4501999999999994E-2</v>
      </c>
      <c r="AH4806">
        <v>0.71162908129230995</v>
      </c>
      <c r="AI4806">
        <v>96.590477634917605</v>
      </c>
      <c r="AJ4806">
        <v>76.649639152290902</v>
      </c>
      <c r="AK4806">
        <v>0.73625937038414901</v>
      </c>
      <c r="AL4806">
        <v>84.962608929943599</v>
      </c>
      <c r="AM4806">
        <v>88.245819492425795</v>
      </c>
      <c r="AN4806">
        <v>1.0000000216834199</v>
      </c>
    </row>
    <row r="4807" spans="1:40" x14ac:dyDescent="0.25">
      <c r="A4807" t="str">
        <f>"20190312151633585"</f>
        <v>20190312151633585</v>
      </c>
      <c r="B4807" t="str">
        <f>"1552374993572391"</f>
        <v>1552374993572391</v>
      </c>
      <c r="C4807" t="s">
        <v>40</v>
      </c>
      <c r="D4807">
        <v>4.587612</v>
      </c>
      <c r="E4807">
        <v>0.56548949999999998</v>
      </c>
      <c r="F4807" t="s">
        <v>71</v>
      </c>
      <c r="G4807">
        <v>-364.15280000000001</v>
      </c>
      <c r="H4807" s="1">
        <v>-3.6668109999999999E-6</v>
      </c>
      <c r="I4807">
        <v>14.529120000000001</v>
      </c>
      <c r="J4807">
        <v>-375.16890000000001</v>
      </c>
      <c r="K4807">
        <v>1.1100179999999999</v>
      </c>
      <c r="L4807">
        <v>16.85999</v>
      </c>
      <c r="M4807">
        <v>0.99990869999999998</v>
      </c>
      <c r="N4807">
        <v>0</v>
      </c>
      <c r="O4807">
        <v>-5.0389040000000003E-3</v>
      </c>
      <c r="P4807">
        <v>0.99644370000000004</v>
      </c>
      <c r="Q4807">
        <v>7.5459940000000003E-2</v>
      </c>
      <c r="R4807">
        <v>-3.7496429999999997E-2</v>
      </c>
      <c r="S4807">
        <v>3.0106199999999999</v>
      </c>
      <c r="T4807">
        <v>-0.29998079999999999</v>
      </c>
      <c r="U4807">
        <v>-0.63003540000000002</v>
      </c>
      <c r="V4807">
        <v>3.2448249999999998E-2</v>
      </c>
      <c r="W4807">
        <v>8.7957370000000007E-2</v>
      </c>
      <c r="X4807">
        <v>0.99559560000000002</v>
      </c>
      <c r="Y4807">
        <v>0.19897880000000001</v>
      </c>
      <c r="Z4807">
        <v>-9.2880429999999993E-3</v>
      </c>
      <c r="AA4807">
        <v>0.97995980000000005</v>
      </c>
      <c r="AB4807">
        <v>24</v>
      </c>
      <c r="AC4807">
        <v>11.0160999999999</v>
      </c>
      <c r="AD4807">
        <v>-1.1100216668109999</v>
      </c>
      <c r="AE4807">
        <v>-2.3308699999999898</v>
      </c>
      <c r="AF4807">
        <v>2.2534276623565099</v>
      </c>
      <c r="AG4807">
        <v>-1.1100216668109999</v>
      </c>
      <c r="AH4807">
        <v>10.921567868781301</v>
      </c>
      <c r="AI4807">
        <v>95.684444059714494</v>
      </c>
      <c r="AJ4807">
        <v>78.341860650060596</v>
      </c>
      <c r="AK4807">
        <v>11.206726954943599</v>
      </c>
      <c r="AL4807">
        <v>84.953893035191399</v>
      </c>
      <c r="AM4807">
        <v>88.1332883362427</v>
      </c>
      <c r="AN4807">
        <v>0.99999999330236899</v>
      </c>
    </row>
    <row r="4808" spans="1:40" x14ac:dyDescent="0.25">
      <c r="A4808" t="str">
        <f>"20190312151633595"</f>
        <v>20190312151633595</v>
      </c>
      <c r="B4808" t="str">
        <f>"1552374993592887"</f>
        <v>1552374993592887</v>
      </c>
      <c r="C4808" t="s">
        <v>40</v>
      </c>
      <c r="D4808">
        <v>4.6793519999999997</v>
      </c>
      <c r="E4808">
        <v>0.56531580000000003</v>
      </c>
      <c r="F4808" t="s">
        <v>71</v>
      </c>
      <c r="G4808">
        <v>-364.01409999999998</v>
      </c>
      <c r="H4808" s="1">
        <v>-3.7362930000000001E-6</v>
      </c>
      <c r="I4808">
        <v>14.507110000000001</v>
      </c>
      <c r="J4808">
        <v>-375.053</v>
      </c>
      <c r="K4808">
        <v>1.1100049999999999</v>
      </c>
      <c r="L4808">
        <v>16.859500000000001</v>
      </c>
      <c r="M4808">
        <v>0.99990950000000001</v>
      </c>
      <c r="N4808">
        <v>0</v>
      </c>
      <c r="O4808">
        <v>-4.9647989999999998E-3</v>
      </c>
      <c r="P4808">
        <v>0.99637719999999996</v>
      </c>
      <c r="Q4808">
        <v>7.5501750000000006E-2</v>
      </c>
      <c r="R4808">
        <v>-3.9147889999999998E-2</v>
      </c>
      <c r="S4808">
        <v>3.0095209999999999</v>
      </c>
      <c r="T4808">
        <v>-0.2994792</v>
      </c>
      <c r="U4808">
        <v>-0.63479609999999997</v>
      </c>
      <c r="V4808">
        <v>3.4177819999999998E-2</v>
      </c>
      <c r="W4808">
        <v>8.7978749999999994E-2</v>
      </c>
      <c r="X4808">
        <v>0.99553590000000003</v>
      </c>
      <c r="Y4808">
        <v>0.20060230000000001</v>
      </c>
      <c r="Z4808">
        <v>-9.361388E-3</v>
      </c>
      <c r="AA4808">
        <v>0.97962800000000005</v>
      </c>
      <c r="AB4808">
        <v>24</v>
      </c>
      <c r="AC4808">
        <v>11.0389</v>
      </c>
      <c r="AD4808">
        <v>-1.110008736293</v>
      </c>
      <c r="AE4808">
        <v>-2.3523900000000002</v>
      </c>
      <c r="AF4808">
        <v>2.2755418800209002</v>
      </c>
      <c r="AG4808">
        <v>-1.110008736293</v>
      </c>
      <c r="AH4808">
        <v>10.944588513523801</v>
      </c>
      <c r="AI4808">
        <v>95.670724465482294</v>
      </c>
      <c r="AJ4808">
        <v>78.2546959290774</v>
      </c>
      <c r="AK4808">
        <v>11.2336204303302</v>
      </c>
      <c r="AL4808">
        <v>84.952663601364193</v>
      </c>
      <c r="AM4808">
        <v>88.033746408836194</v>
      </c>
      <c r="AN4808">
        <v>1.0000000560101601</v>
      </c>
    </row>
    <row r="4809" spans="1:40" x14ac:dyDescent="0.25">
      <c r="A4809" t="str">
        <f>"20190312151633607"</f>
        <v>20190312151633607</v>
      </c>
      <c r="B4809" t="str">
        <f>"1552374993602646"</f>
        <v>1552374993602646</v>
      </c>
      <c r="C4809" t="s">
        <v>40</v>
      </c>
      <c r="D4809">
        <v>4.5833320000000004</v>
      </c>
      <c r="E4809">
        <v>0.56510159999999998</v>
      </c>
      <c r="F4809" t="s">
        <v>71</v>
      </c>
      <c r="G4809">
        <v>-363.8442</v>
      </c>
      <c r="H4809" s="1">
        <v>-3.8213110000000002E-6</v>
      </c>
      <c r="I4809">
        <v>14.480689999999999</v>
      </c>
      <c r="J4809">
        <v>-374.9237</v>
      </c>
      <c r="K4809">
        <v>1.1099829999999999</v>
      </c>
      <c r="L4809">
        <v>16.858979999999999</v>
      </c>
      <c r="M4809">
        <v>0.99990999999999997</v>
      </c>
      <c r="N4809">
        <v>0</v>
      </c>
      <c r="O4809">
        <v>-4.8936580000000004E-3</v>
      </c>
      <c r="P4809">
        <v>0.99631239999999999</v>
      </c>
      <c r="Q4809">
        <v>7.5552560000000005E-2</v>
      </c>
      <c r="R4809">
        <v>-4.0667189999999999E-2</v>
      </c>
      <c r="S4809">
        <v>3.0083920000000002</v>
      </c>
      <c r="T4809">
        <v>-0.29792030000000003</v>
      </c>
      <c r="U4809">
        <v>-0.63845830000000003</v>
      </c>
      <c r="V4809">
        <v>3.57723E-2</v>
      </c>
      <c r="W4809">
        <v>8.8004860000000004E-2</v>
      </c>
      <c r="X4809">
        <v>0.99547750000000002</v>
      </c>
      <c r="Y4809">
        <v>0.20189019999999999</v>
      </c>
      <c r="Z4809">
        <v>-9.3850110000000004E-3</v>
      </c>
      <c r="AA4809">
        <v>0.97936319999999999</v>
      </c>
      <c r="AB4809">
        <v>24</v>
      </c>
      <c r="AC4809">
        <v>11.0794999999999</v>
      </c>
      <c r="AD4809">
        <v>-1.109986821311</v>
      </c>
      <c r="AE4809">
        <v>-2.3782899999999998</v>
      </c>
      <c r="AF4809">
        <v>2.3019514673288399</v>
      </c>
      <c r="AG4809">
        <v>-1.109986821311</v>
      </c>
      <c r="AH4809">
        <v>10.985603181902899</v>
      </c>
      <c r="AI4809">
        <v>95.647752075741906</v>
      </c>
      <c r="AJ4809">
        <v>78.165325287157998</v>
      </c>
      <c r="AK4809">
        <v>11.2789418196769</v>
      </c>
      <c r="AL4809">
        <v>84.951161413406197</v>
      </c>
      <c r="AM4809">
        <v>87.941972297752201</v>
      </c>
      <c r="AN4809">
        <v>0.99999998291857894</v>
      </c>
    </row>
    <row r="4810" spans="1:40" x14ac:dyDescent="0.25">
      <c r="A4810" t="str">
        <f>"20190312151633619"</f>
        <v>20190312151633619</v>
      </c>
      <c r="B4810" t="str">
        <f>"1552374993612407"</f>
        <v>1552374993612407</v>
      </c>
      <c r="C4810" t="s">
        <v>40</v>
      </c>
      <c r="D4810">
        <v>4.6013919999999997</v>
      </c>
      <c r="E4810">
        <v>0.56493559999999998</v>
      </c>
      <c r="F4810" t="s">
        <v>71</v>
      </c>
      <c r="G4810">
        <v>-363.65879999999999</v>
      </c>
      <c r="H4810" s="1">
        <v>-3.9132960000000002E-6</v>
      </c>
      <c r="I4810">
        <v>14.456149999999999</v>
      </c>
      <c r="J4810">
        <v>-374.80020000000002</v>
      </c>
      <c r="K4810">
        <v>1.109969</v>
      </c>
      <c r="L4810">
        <v>16.85849</v>
      </c>
      <c r="M4810">
        <v>0.99991059999999998</v>
      </c>
      <c r="N4810">
        <v>0</v>
      </c>
      <c r="O4810">
        <v>-4.8301150000000003E-3</v>
      </c>
      <c r="P4810">
        <v>0.99623759999999995</v>
      </c>
      <c r="Q4810">
        <v>7.5700770000000001E-2</v>
      </c>
      <c r="R4810">
        <v>-4.2192390000000003E-2</v>
      </c>
      <c r="S4810">
        <v>3.0073850000000002</v>
      </c>
      <c r="T4810">
        <v>-0.29633219999999999</v>
      </c>
      <c r="U4810">
        <v>-0.64147949999999998</v>
      </c>
      <c r="V4810">
        <v>3.7364809999999998E-2</v>
      </c>
      <c r="W4810">
        <v>8.8128360000000003E-2</v>
      </c>
      <c r="X4810">
        <v>0.99540810000000002</v>
      </c>
      <c r="Y4810">
        <v>0.20296429999999999</v>
      </c>
      <c r="Z4810">
        <v>-9.3956850000000008E-3</v>
      </c>
      <c r="AA4810">
        <v>0.97914109999999999</v>
      </c>
      <c r="AB4810">
        <v>24</v>
      </c>
      <c r="AC4810">
        <v>11.141400000000001</v>
      </c>
      <c r="AD4810">
        <v>-1.1099729132959999</v>
      </c>
      <c r="AE4810">
        <v>-2.4023400000000001</v>
      </c>
      <c r="AF4810">
        <v>2.3264288169029799</v>
      </c>
      <c r="AG4810">
        <v>-1.1099729132959999</v>
      </c>
      <c r="AH4810">
        <v>11.0480902396408</v>
      </c>
      <c r="AI4810">
        <v>95.614787155084002</v>
      </c>
      <c r="AJ4810">
        <v>78.108784118064804</v>
      </c>
      <c r="AK4810">
        <v>11.3448053686088</v>
      </c>
      <c r="AL4810">
        <v>84.944057927364398</v>
      </c>
      <c r="AM4810">
        <v>87.850287482817606</v>
      </c>
      <c r="AN4810">
        <v>1.0000000112041101</v>
      </c>
    </row>
    <row r="4811" spans="1:40" x14ac:dyDescent="0.25">
      <c r="A4811" t="str">
        <f>"20190312151633628"</f>
        <v>20190312151633628</v>
      </c>
      <c r="B4811" t="str">
        <f>"1552374993623143"</f>
        <v>1552374993623143</v>
      </c>
      <c r="C4811" t="s">
        <v>40</v>
      </c>
      <c r="D4811">
        <v>4.6105409999999996</v>
      </c>
      <c r="E4811">
        <v>0.56471879999999997</v>
      </c>
      <c r="F4811" t="s">
        <v>71</v>
      </c>
      <c r="G4811">
        <v>-363.47469999999998</v>
      </c>
      <c r="H4811" s="1">
        <v>-4.0052950000000001E-6</v>
      </c>
      <c r="I4811">
        <v>14.42816</v>
      </c>
      <c r="J4811">
        <v>-374.6807</v>
      </c>
      <c r="K4811">
        <v>1.1099570000000001</v>
      </c>
      <c r="L4811">
        <v>16.858000000000001</v>
      </c>
      <c r="M4811">
        <v>0.99991110000000005</v>
      </c>
      <c r="N4811">
        <v>0</v>
      </c>
      <c r="O4811">
        <v>-4.772742E-3</v>
      </c>
      <c r="P4811">
        <v>0.99616229999999995</v>
      </c>
      <c r="Q4811">
        <v>7.597487E-2</v>
      </c>
      <c r="R4811">
        <v>-4.3456849999999998E-2</v>
      </c>
      <c r="S4811">
        <v>3.0064090000000001</v>
      </c>
      <c r="T4811">
        <v>-0.29464759999999901</v>
      </c>
      <c r="U4811">
        <v>-0.64514159999999998</v>
      </c>
      <c r="V4811">
        <v>3.8689939999999999E-2</v>
      </c>
      <c r="W4811">
        <v>8.8377720000000007E-2</v>
      </c>
      <c r="X4811">
        <v>0.99533530000000003</v>
      </c>
      <c r="Y4811">
        <v>0.20422969999999999</v>
      </c>
      <c r="Z4811">
        <v>-9.4110180000000002E-3</v>
      </c>
      <c r="AA4811">
        <v>0.97887769999999996</v>
      </c>
      <c r="AB4811">
        <v>24</v>
      </c>
      <c r="AC4811">
        <v>11.206</v>
      </c>
      <c r="AD4811">
        <v>-1.109961005295</v>
      </c>
      <c r="AE4811">
        <v>-2.42984</v>
      </c>
      <c r="AF4811">
        <v>2.35426430903015</v>
      </c>
      <c r="AG4811">
        <v>-1.109961005295</v>
      </c>
      <c r="AH4811">
        <v>11.113333297912501</v>
      </c>
      <c r="AI4811">
        <v>95.580551305373405</v>
      </c>
      <c r="AJ4811">
        <v>78.039209064475401</v>
      </c>
      <c r="AK4811">
        <v>11.4140593506666</v>
      </c>
      <c r="AL4811">
        <v>84.9297143550736</v>
      </c>
      <c r="AM4811">
        <v>87.773961409940298</v>
      </c>
      <c r="AN4811">
        <v>0.99999994613784404</v>
      </c>
    </row>
    <row r="4812" spans="1:40" x14ac:dyDescent="0.25">
      <c r="A4812" t="str">
        <f>"20190312151633639"</f>
        <v>20190312151633639</v>
      </c>
      <c r="B4812" t="str">
        <f>"1552374993632903"</f>
        <v>1552374993632903</v>
      </c>
      <c r="C4812" t="s">
        <v>40</v>
      </c>
      <c r="D4812">
        <v>4.6204729999999996</v>
      </c>
      <c r="E4812">
        <v>0.56461249999999996</v>
      </c>
      <c r="F4812" t="s">
        <v>71</v>
      </c>
      <c r="G4812">
        <v>-363.27289999999999</v>
      </c>
      <c r="H4812" s="1">
        <v>-4.1055050000000003E-6</v>
      </c>
      <c r="I4812">
        <v>14.40082</v>
      </c>
      <c r="J4812">
        <v>-374.56849999999997</v>
      </c>
      <c r="K4812">
        <v>1.1099509999999999</v>
      </c>
      <c r="L4812">
        <v>16.857510000000001</v>
      </c>
      <c r="M4812">
        <v>0.99991180000000002</v>
      </c>
      <c r="N4812">
        <v>0</v>
      </c>
      <c r="O4812">
        <v>-4.7236630000000003E-3</v>
      </c>
      <c r="P4812">
        <v>0.99609360000000002</v>
      </c>
      <c r="Q4812">
        <v>7.6003280000000006E-2</v>
      </c>
      <c r="R4812">
        <v>-4.4961769999999998E-2</v>
      </c>
      <c r="S4812">
        <v>3.005646</v>
      </c>
      <c r="T4812">
        <v>-0.29244510000000001</v>
      </c>
      <c r="U4812">
        <v>-0.64739990000000003</v>
      </c>
      <c r="V4812">
        <v>4.0246369999999997E-2</v>
      </c>
      <c r="W4812">
        <v>8.8382009999999997E-2</v>
      </c>
      <c r="X4812">
        <v>0.99527319999999997</v>
      </c>
      <c r="Y4812">
        <v>0.2050411</v>
      </c>
      <c r="Z4812">
        <v>-9.3862200000000007E-3</v>
      </c>
      <c r="AA4812">
        <v>0.97870840000000003</v>
      </c>
      <c r="AB4812">
        <v>24</v>
      </c>
      <c r="AC4812">
        <v>11.295599999999901</v>
      </c>
      <c r="AD4812">
        <v>-1.1099551055050001</v>
      </c>
      <c r="AE4812">
        <v>-2.45669</v>
      </c>
      <c r="AF4812">
        <v>2.3813463986447201</v>
      </c>
      <c r="AG4812">
        <v>-1.1099551055050001</v>
      </c>
      <c r="AH4812">
        <v>11.2037831080772</v>
      </c>
      <c r="AI4812">
        <v>95.5349607139987</v>
      </c>
      <c r="AJ4812">
        <v>78.000446314374003</v>
      </c>
      <c r="AK4812">
        <v>11.5077177120145</v>
      </c>
      <c r="AL4812">
        <v>84.929467591433607</v>
      </c>
      <c r="AM4812">
        <v>87.684362962353504</v>
      </c>
      <c r="AN4812">
        <v>0.999999946314027</v>
      </c>
    </row>
    <row r="4813" spans="1:40" x14ac:dyDescent="0.25">
      <c r="A4813" t="str">
        <f>"20190312151633651"</f>
        <v>20190312151633651</v>
      </c>
      <c r="B4813" t="str">
        <f>"1552374993642663"</f>
        <v>1552374993642663</v>
      </c>
      <c r="C4813" t="s">
        <v>40</v>
      </c>
      <c r="D4813">
        <v>4.6012240000000002</v>
      </c>
      <c r="E4813">
        <v>0.5645268</v>
      </c>
      <c r="F4813" t="s">
        <v>71</v>
      </c>
      <c r="G4813">
        <v>-363.07690000000002</v>
      </c>
      <c r="H4813" s="1">
        <v>-4.2042140000000003E-6</v>
      </c>
      <c r="I4813">
        <v>14.36664</v>
      </c>
      <c r="J4813">
        <v>-374.44170000000003</v>
      </c>
      <c r="K4813">
        <v>1.109942</v>
      </c>
      <c r="L4813">
        <v>16.85699</v>
      </c>
      <c r="M4813">
        <v>0.99991229999999998</v>
      </c>
      <c r="N4813">
        <v>0</v>
      </c>
      <c r="O4813">
        <v>-4.6706300000000003E-3</v>
      </c>
      <c r="P4813">
        <v>0.99599269999999995</v>
      </c>
      <c r="Q4813">
        <v>7.6501E-2</v>
      </c>
      <c r="R4813">
        <v>-4.6330709999999997E-2</v>
      </c>
      <c r="S4813">
        <v>3.004486</v>
      </c>
      <c r="T4813">
        <v>-0.29020020000000002</v>
      </c>
      <c r="U4813">
        <v>-0.65124510000000002</v>
      </c>
      <c r="V4813">
        <v>4.1671060000000003E-2</v>
      </c>
      <c r="W4813">
        <v>8.8850799999999994E-2</v>
      </c>
      <c r="X4813">
        <v>0.99517290000000003</v>
      </c>
      <c r="Y4813">
        <v>0.20637449999999999</v>
      </c>
      <c r="Z4813">
        <v>-9.3853219999999998E-3</v>
      </c>
      <c r="AA4813">
        <v>0.97842810000000002</v>
      </c>
      <c r="AB4813">
        <v>24</v>
      </c>
      <c r="AC4813">
        <v>11.364800000000001</v>
      </c>
      <c r="AD4813">
        <v>-1.109946204214</v>
      </c>
      <c r="AE4813">
        <v>-2.4903499999999901</v>
      </c>
      <c r="AF4813">
        <v>2.41525558880033</v>
      </c>
      <c r="AG4813">
        <v>-1.109946204214</v>
      </c>
      <c r="AH4813">
        <v>11.2737010940034</v>
      </c>
      <c r="AI4813">
        <v>95.498915993962498</v>
      </c>
      <c r="AJ4813">
        <v>77.907854743190796</v>
      </c>
      <c r="AK4813">
        <v>11.582822475217901</v>
      </c>
      <c r="AL4813">
        <v>84.902502196981004</v>
      </c>
      <c r="AM4813">
        <v>87.602243889085599</v>
      </c>
      <c r="AN4813">
        <v>1.00000002139828</v>
      </c>
    </row>
    <row r="4814" spans="1:40" x14ac:dyDescent="0.25">
      <c r="A4814" t="str">
        <f>"20190312151633662"</f>
        <v>20190312151633662</v>
      </c>
      <c r="B4814" t="str">
        <f>"1552374993652423"</f>
        <v>1552374993652423</v>
      </c>
      <c r="C4814" t="s">
        <v>40</v>
      </c>
      <c r="D4814">
        <v>4.6487439999999998</v>
      </c>
      <c r="E4814">
        <v>0.56443520000000003</v>
      </c>
      <c r="F4814" t="s">
        <v>71</v>
      </c>
      <c r="G4814">
        <v>-362.84899999999999</v>
      </c>
      <c r="H4814" s="1">
        <v>-4.3184169999999999E-6</v>
      </c>
      <c r="I4814">
        <v>14.33032</v>
      </c>
      <c r="J4814">
        <v>-374.32429999999999</v>
      </c>
      <c r="K4814">
        <v>1.1099380000000001</v>
      </c>
      <c r="L4814">
        <v>16.85651</v>
      </c>
      <c r="M4814">
        <v>0.99991269999999999</v>
      </c>
      <c r="N4814">
        <v>0</v>
      </c>
      <c r="O4814">
        <v>-4.6280180000000002E-3</v>
      </c>
      <c r="P4814">
        <v>0.99591050000000003</v>
      </c>
      <c r="Q4814">
        <v>7.6770930000000001E-2</v>
      </c>
      <c r="R4814">
        <v>-4.7632149999999998E-2</v>
      </c>
      <c r="S4814">
        <v>3.0036930000000002</v>
      </c>
      <c r="T4814">
        <v>-0.28758790000000001</v>
      </c>
      <c r="U4814">
        <v>-0.65466309999999905</v>
      </c>
      <c r="V4814">
        <v>4.3016989999999998E-2</v>
      </c>
      <c r="W4814">
        <v>8.909301E-2</v>
      </c>
      <c r="X4814">
        <v>0.99509389999999998</v>
      </c>
      <c r="Y4814">
        <v>0.20754320000000001</v>
      </c>
      <c r="Z4814">
        <v>-9.3617010000000001E-3</v>
      </c>
      <c r="AA4814">
        <v>0.97818110000000003</v>
      </c>
      <c r="AB4814">
        <v>24</v>
      </c>
      <c r="AC4814">
        <v>11.475300000000001</v>
      </c>
      <c r="AD4814">
        <v>-1.1099423184170001</v>
      </c>
      <c r="AE4814">
        <v>-2.5261900000000002</v>
      </c>
      <c r="AF4814">
        <v>2.4511786580248902</v>
      </c>
      <c r="AG4814">
        <v>-1.1099423184170001</v>
      </c>
      <c r="AH4814">
        <v>11.3852763071294</v>
      </c>
      <c r="AI4814">
        <v>95.4441604547265</v>
      </c>
      <c r="AJ4814">
        <v>77.850034619460004</v>
      </c>
      <c r="AK4814">
        <v>11.6989215465979</v>
      </c>
      <c r="AL4814">
        <v>84.888568953639606</v>
      </c>
      <c r="AM4814">
        <v>87.524697525203806</v>
      </c>
      <c r="AN4814">
        <v>0.99999994783836299</v>
      </c>
    </row>
    <row r="4815" spans="1:40" x14ac:dyDescent="0.25">
      <c r="A4815" t="str">
        <f>"20190312151633675"</f>
        <v>20190312151633675</v>
      </c>
      <c r="B4815" t="str">
        <f>"1552374993663159"</f>
        <v>1552374993663159</v>
      </c>
      <c r="C4815" t="s">
        <v>40</v>
      </c>
      <c r="D4815">
        <v>4.6234190000000002</v>
      </c>
      <c r="E4815">
        <v>0.56410760000000004</v>
      </c>
      <c r="F4815" t="s">
        <v>71</v>
      </c>
      <c r="G4815">
        <v>-362.6404</v>
      </c>
      <c r="H4815" s="1">
        <v>-4.4228460000000002E-6</v>
      </c>
      <c r="I4815">
        <v>14.29752</v>
      </c>
      <c r="J4815">
        <v>-374.1848</v>
      </c>
      <c r="K4815">
        <v>1.109936</v>
      </c>
      <c r="L4815">
        <v>16.855899999999998</v>
      </c>
      <c r="M4815">
        <v>0.99991339999999995</v>
      </c>
      <c r="N4815">
        <v>0</v>
      </c>
      <c r="O4815">
        <v>-4.5797629999999997E-3</v>
      </c>
      <c r="P4815">
        <v>0.99584159999999999</v>
      </c>
      <c r="Q4815">
        <v>7.6877909999999994E-2</v>
      </c>
      <c r="R4815">
        <v>-4.8883280000000001E-2</v>
      </c>
      <c r="S4815">
        <v>3.0028990000000002</v>
      </c>
      <c r="T4815">
        <v>-0.28526649999999998</v>
      </c>
      <c r="U4815">
        <v>-0.6576843</v>
      </c>
      <c r="V4815">
        <v>4.4317960000000003E-2</v>
      </c>
      <c r="W4815">
        <v>8.9166129999999996E-2</v>
      </c>
      <c r="X4815">
        <v>0.99503030000000003</v>
      </c>
      <c r="Y4815">
        <v>0.20859269999999999</v>
      </c>
      <c r="Z4815">
        <v>-9.3415440000000002E-3</v>
      </c>
      <c r="AA4815">
        <v>0.97795799999999999</v>
      </c>
      <c r="AB4815">
        <v>24</v>
      </c>
      <c r="AC4815">
        <v>11.5443999999999</v>
      </c>
      <c r="AD4815">
        <v>-1.1099404228459999</v>
      </c>
      <c r="AE4815">
        <v>-2.5583799999999899</v>
      </c>
      <c r="AF4815">
        <v>2.4835950873537902</v>
      </c>
      <c r="AG4815">
        <v>-1.1099404228459999</v>
      </c>
      <c r="AH4815">
        <v>11.4550637905689</v>
      </c>
      <c r="AI4815">
        <v>95.409495876135196</v>
      </c>
      <c r="AJ4815">
        <v>77.766924925420597</v>
      </c>
      <c r="AK4815">
        <v>11.773644242383</v>
      </c>
      <c r="AL4815">
        <v>84.884362957213597</v>
      </c>
      <c r="AM4815">
        <v>87.4497711343855</v>
      </c>
      <c r="AN4815">
        <v>0.99999998911791399</v>
      </c>
    </row>
    <row r="4816" spans="1:40" x14ac:dyDescent="0.25">
      <c r="A4816" t="str">
        <f>"20190312151633689"</f>
        <v>20190312151633689</v>
      </c>
      <c r="B4816" t="str">
        <f>"1552374993682678"</f>
        <v>1552374993682678</v>
      </c>
      <c r="C4816" t="s">
        <v>40</v>
      </c>
      <c r="D4816">
        <v>4.6852720000000003</v>
      </c>
      <c r="E4816">
        <v>0.56383179999999999</v>
      </c>
      <c r="F4816" t="s">
        <v>71</v>
      </c>
      <c r="G4816">
        <v>-362.49880000000002</v>
      </c>
      <c r="H4816" s="1">
        <v>-4.4907799999999997E-6</v>
      </c>
      <c r="I4816">
        <v>14.29182</v>
      </c>
      <c r="J4816">
        <v>-374.0258</v>
      </c>
      <c r="K4816">
        <v>1.1099319999999999</v>
      </c>
      <c r="L4816">
        <v>16.855219999999999</v>
      </c>
      <c r="M4816">
        <v>0.99991430000000003</v>
      </c>
      <c r="N4816">
        <v>0</v>
      </c>
      <c r="O4816">
        <v>-4.5313920000000004E-3</v>
      </c>
      <c r="P4816">
        <v>0.99576989999999999</v>
      </c>
      <c r="Q4816">
        <v>7.7132919999999994E-2</v>
      </c>
      <c r="R4816">
        <v>-4.9933249999999998E-2</v>
      </c>
      <c r="S4816">
        <v>3.002167</v>
      </c>
      <c r="T4816">
        <v>-0.28514800000000001</v>
      </c>
      <c r="U4816">
        <v>-0.65872189999999997</v>
      </c>
      <c r="V4816">
        <v>4.5417150000000003E-2</v>
      </c>
      <c r="W4816">
        <v>8.9377020000000001E-2</v>
      </c>
      <c r="X4816">
        <v>0.99496180000000001</v>
      </c>
      <c r="Y4816">
        <v>0.20901069999999999</v>
      </c>
      <c r="Z4816">
        <v>-9.3636629999999995E-3</v>
      </c>
      <c r="AA4816">
        <v>0.97786859999999998</v>
      </c>
      <c r="AB4816">
        <v>24</v>
      </c>
      <c r="AC4816">
        <v>11.5269999999999</v>
      </c>
      <c r="AD4816">
        <v>-1.10993649078</v>
      </c>
      <c r="AE4816">
        <v>-2.5634000000000001</v>
      </c>
      <c r="AF4816">
        <v>2.4891451005772298</v>
      </c>
      <c r="AG4816">
        <v>-1.10993649078</v>
      </c>
      <c r="AH4816">
        <v>11.437449862952001</v>
      </c>
      <c r="AI4816">
        <v>95.416842988267007</v>
      </c>
      <c r="AJ4816">
        <v>77.722106187897495</v>
      </c>
      <c r="AK4816">
        <v>11.757680966620701</v>
      </c>
      <c r="AL4816">
        <v>84.872231347064002</v>
      </c>
      <c r="AM4816">
        <v>87.386426399454194</v>
      </c>
      <c r="AN4816">
        <v>0.99999997633872095</v>
      </c>
    </row>
    <row r="4817" spans="1:40" x14ac:dyDescent="0.25">
      <c r="A4817" t="str">
        <f>"20190312151633709"</f>
        <v>20190312151633709</v>
      </c>
      <c r="B4817" t="str">
        <f>"1552374993703175"</f>
        <v>1552374993703175</v>
      </c>
      <c r="C4817" t="s">
        <v>40</v>
      </c>
      <c r="D4817">
        <v>4.7433329999999998</v>
      </c>
      <c r="E4817">
        <v>0.56343369999999904</v>
      </c>
      <c r="F4817" t="s">
        <v>71</v>
      </c>
      <c r="G4817">
        <v>-362.2645</v>
      </c>
      <c r="H4817" s="1">
        <v>-4.6052990000000004E-6</v>
      </c>
      <c r="I4817">
        <v>14.27069</v>
      </c>
      <c r="J4817">
        <v>-373.81529999999998</v>
      </c>
      <c r="K4817">
        <v>1.1099239999999999</v>
      </c>
      <c r="L4817">
        <v>16.854340000000001</v>
      </c>
      <c r="M4817">
        <v>0.9999152</v>
      </c>
      <c r="N4817">
        <v>0</v>
      </c>
      <c r="O4817">
        <v>-4.4707339999999996E-3</v>
      </c>
      <c r="P4817">
        <v>0.99565219999999999</v>
      </c>
      <c r="Q4817">
        <v>7.7539380000000005E-2</v>
      </c>
      <c r="R4817">
        <v>-5.1623269999999999E-2</v>
      </c>
      <c r="S4817">
        <v>3.0016479999999999</v>
      </c>
      <c r="T4817">
        <v>-0.28327010000000002</v>
      </c>
      <c r="U4817">
        <v>-0.6596069</v>
      </c>
      <c r="V4817">
        <v>4.7168170000000002E-2</v>
      </c>
      <c r="W4817">
        <v>8.9726089999999994E-2</v>
      </c>
      <c r="X4817">
        <v>0.99484890000000004</v>
      </c>
      <c r="Y4817">
        <v>0.20938989999999999</v>
      </c>
      <c r="Z4817">
        <v>-9.3268220000000002E-3</v>
      </c>
      <c r="AA4817">
        <v>0.97778770000000004</v>
      </c>
      <c r="AB4817">
        <v>24</v>
      </c>
      <c r="AC4817">
        <v>11.550799999999899</v>
      </c>
      <c r="AD4817">
        <v>-1.1099286052989901</v>
      </c>
      <c r="AE4817">
        <v>-2.58365</v>
      </c>
      <c r="AF4817">
        <v>2.5099087798170201</v>
      </c>
      <c r="AG4817">
        <v>-1.1099286052989901</v>
      </c>
      <c r="AH4817">
        <v>11.4614495302305</v>
      </c>
      <c r="AI4817">
        <v>95.404011465518295</v>
      </c>
      <c r="AJ4817">
        <v>77.647952789756104</v>
      </c>
      <c r="AK4817">
        <v>11.7854320636065</v>
      </c>
      <c r="AL4817">
        <v>84.852150398054704</v>
      </c>
      <c r="AM4817">
        <v>87.285502599985506</v>
      </c>
      <c r="AN4817">
        <v>0.99999997065952295</v>
      </c>
    </row>
    <row r="4818" spans="1:40" x14ac:dyDescent="0.25">
      <c r="A4818" t="str">
        <f>"20190312151633729"</f>
        <v>20190312151633729</v>
      </c>
      <c r="B4818" t="str">
        <f>"1552374993722698"</f>
        <v>1552374993722698</v>
      </c>
      <c r="C4818" t="s">
        <v>40</v>
      </c>
      <c r="D4818">
        <v>4.6780670000000004</v>
      </c>
      <c r="E4818">
        <v>0.56312050000000002</v>
      </c>
      <c r="F4818" t="s">
        <v>71</v>
      </c>
      <c r="G4818">
        <v>-361.97620000000001</v>
      </c>
      <c r="H4818" s="1">
        <v>-4.7463109999999999E-6</v>
      </c>
      <c r="I4818">
        <v>14.24405</v>
      </c>
      <c r="J4818">
        <v>-373.58870000000002</v>
      </c>
      <c r="K4818">
        <v>1.1099239999999999</v>
      </c>
      <c r="L4818">
        <v>16.85342</v>
      </c>
      <c r="M4818">
        <v>0.99991629999999998</v>
      </c>
      <c r="N4818">
        <v>0</v>
      </c>
      <c r="O4818">
        <v>-4.405595E-3</v>
      </c>
      <c r="P4818">
        <v>0.99551259999999997</v>
      </c>
      <c r="Q4818">
        <v>7.8048389999999995E-2</v>
      </c>
      <c r="R4818">
        <v>-5.3510910000000002E-2</v>
      </c>
      <c r="S4818">
        <v>3.000702</v>
      </c>
      <c r="T4818">
        <v>-0.28131719999999999</v>
      </c>
      <c r="U4818">
        <v>-0.66159060000000003</v>
      </c>
      <c r="V4818">
        <v>4.9120629999999998E-2</v>
      </c>
      <c r="W4818">
        <v>9.0173459999999997E-2</v>
      </c>
      <c r="X4818">
        <v>0.99471399999999999</v>
      </c>
      <c r="Y4818">
        <v>0.21014269999999999</v>
      </c>
      <c r="Z4818">
        <v>-9.3058059999999998E-3</v>
      </c>
      <c r="AA4818">
        <v>0.97762640000000001</v>
      </c>
      <c r="AB4818">
        <v>24</v>
      </c>
      <c r="AC4818">
        <v>11.612500000000001</v>
      </c>
      <c r="AD4818">
        <v>-1.1099287463109999</v>
      </c>
      <c r="AE4818">
        <v>-2.6093700000000002</v>
      </c>
      <c r="AF4818">
        <v>2.5361254182042998</v>
      </c>
      <c r="AG4818">
        <v>-1.1099287463109999</v>
      </c>
      <c r="AH4818">
        <v>11.523668012253401</v>
      </c>
      <c r="AI4818">
        <v>95.373783477513697</v>
      </c>
      <c r="AJ4818">
        <v>77.588225794854395</v>
      </c>
      <c r="AK4818">
        <v>11.8515314797448</v>
      </c>
      <c r="AL4818">
        <v>84.826413887787794</v>
      </c>
      <c r="AM4818">
        <v>87.172935698226695</v>
      </c>
      <c r="AN4818">
        <v>1.00000001548798</v>
      </c>
    </row>
    <row r="4819" spans="1:40" x14ac:dyDescent="0.25">
      <c r="A4819" t="str">
        <f>"20190312151633740"</f>
        <v>20190312151633740</v>
      </c>
      <c r="B4819" t="str">
        <f>"1552374993732455"</f>
        <v>1552374993732455</v>
      </c>
      <c r="C4819" t="s">
        <v>40</v>
      </c>
      <c r="D4819">
        <v>4.7700469999999999</v>
      </c>
      <c r="E4819">
        <v>0.56301330000000005</v>
      </c>
      <c r="F4819" t="s">
        <v>71</v>
      </c>
      <c r="G4819">
        <v>-361.6909</v>
      </c>
      <c r="H4819" s="1">
        <v>-4.8859049999999996E-6</v>
      </c>
      <c r="I4819">
        <v>14.21726</v>
      </c>
      <c r="J4819">
        <v>-373.46480000000003</v>
      </c>
      <c r="K4819">
        <v>1.1099300000000001</v>
      </c>
      <c r="L4819">
        <v>16.852910000000001</v>
      </c>
      <c r="M4819">
        <v>0.99991669999999999</v>
      </c>
      <c r="N4819">
        <v>0</v>
      </c>
      <c r="O4819">
        <v>-4.3685319999999996E-3</v>
      </c>
      <c r="P4819">
        <v>0.99546639999999997</v>
      </c>
      <c r="Q4819">
        <v>7.7966590000000002E-2</v>
      </c>
      <c r="R4819">
        <v>-5.4480750000000001E-2</v>
      </c>
      <c r="S4819">
        <v>2.9997250000000002</v>
      </c>
      <c r="T4819">
        <v>-0.27984059999999999</v>
      </c>
      <c r="U4819">
        <v>-0.66464230000000002</v>
      </c>
      <c r="V4819">
        <v>5.0127140000000001E-2</v>
      </c>
      <c r="W4819">
        <v>9.0059470000000003E-2</v>
      </c>
      <c r="X4819">
        <v>0.99467410000000001</v>
      </c>
      <c r="Y4819">
        <v>0.2111981</v>
      </c>
      <c r="Z4819">
        <v>-9.3110450000000004E-3</v>
      </c>
      <c r="AA4819">
        <v>0.97739889999999996</v>
      </c>
      <c r="AB4819">
        <v>25</v>
      </c>
      <c r="AC4819">
        <v>11.773899999999999</v>
      </c>
      <c r="AD4819">
        <v>-1.10993488590499</v>
      </c>
      <c r="AE4819">
        <v>-2.63565</v>
      </c>
      <c r="AF4819">
        <v>2.5625002197736899</v>
      </c>
      <c r="AG4819">
        <v>-1.10993488590499</v>
      </c>
      <c r="AH4819">
        <v>11.686401599762499</v>
      </c>
      <c r="AI4819">
        <v>95.300303511040397</v>
      </c>
      <c r="AJ4819">
        <v>77.6323752646055</v>
      </c>
      <c r="AK4819">
        <v>12.0154211402772</v>
      </c>
      <c r="AL4819">
        <v>84.8329716447181</v>
      </c>
      <c r="AM4819">
        <v>87.114988871731995</v>
      </c>
      <c r="AN4819">
        <v>1.00000000175603</v>
      </c>
    </row>
    <row r="4820" spans="1:40" x14ac:dyDescent="0.25">
      <c r="A4820" t="str">
        <f>"20190312151633751"</f>
        <v>20190312151633751</v>
      </c>
      <c r="B4820" t="str">
        <f>"1552374993743191"</f>
        <v>1552374993743191</v>
      </c>
      <c r="C4820" t="s">
        <v>40</v>
      </c>
      <c r="D4820">
        <v>4.620584</v>
      </c>
      <c r="E4820">
        <v>0.56294319999999998</v>
      </c>
      <c r="F4820" t="s">
        <v>71</v>
      </c>
      <c r="G4820">
        <v>-361.63339999999999</v>
      </c>
      <c r="H4820" s="1">
        <v>-4.9118290000000003E-6</v>
      </c>
      <c r="I4820">
        <v>14.224259999999999</v>
      </c>
      <c r="J4820">
        <v>-373.34269999999998</v>
      </c>
      <c r="K4820">
        <v>1.1099319999999999</v>
      </c>
      <c r="L4820">
        <v>16.852450000000001</v>
      </c>
      <c r="M4820">
        <v>0.99991730000000001</v>
      </c>
      <c r="N4820">
        <v>0</v>
      </c>
      <c r="O4820">
        <v>-4.3313520000000001E-3</v>
      </c>
      <c r="P4820">
        <v>0.99542330000000001</v>
      </c>
      <c r="Q4820">
        <v>7.7740710000000005E-2</v>
      </c>
      <c r="R4820">
        <v>-5.5580400000000002E-2</v>
      </c>
      <c r="S4820">
        <v>2.9992070000000002</v>
      </c>
      <c r="T4820">
        <v>-0.28136409999999901</v>
      </c>
      <c r="U4820">
        <v>-0.66635129999999998</v>
      </c>
      <c r="V4820">
        <v>5.1263349999999999E-2</v>
      </c>
      <c r="W4820">
        <v>8.9802549999999995E-2</v>
      </c>
      <c r="X4820">
        <v>0.99463939999999995</v>
      </c>
      <c r="Y4820">
        <v>0.2117888</v>
      </c>
      <c r="Z4820">
        <v>-9.393284E-3</v>
      </c>
      <c r="AA4820">
        <v>0.97727030000000004</v>
      </c>
      <c r="AB4820">
        <v>25</v>
      </c>
      <c r="AC4820">
        <v>11.709299999999899</v>
      </c>
      <c r="AD4820">
        <v>-1.1099369118289999</v>
      </c>
      <c r="AE4820">
        <v>-2.62819</v>
      </c>
      <c r="AF4820">
        <v>2.5555830927188299</v>
      </c>
      <c r="AG4820">
        <v>-1.1099369118289999</v>
      </c>
      <c r="AH4820">
        <v>11.621162743047201</v>
      </c>
      <c r="AI4820">
        <v>95.329191439262402</v>
      </c>
      <c r="AJ4820">
        <v>77.597626192778193</v>
      </c>
      <c r="AK4820">
        <v>11.950497411924699</v>
      </c>
      <c r="AL4820">
        <v>84.847751867014594</v>
      </c>
      <c r="AM4820">
        <v>87.049607092431401</v>
      </c>
      <c r="AN4820">
        <v>0.99999998253604205</v>
      </c>
    </row>
    <row r="4821" spans="1:40" x14ac:dyDescent="0.25">
      <c r="A4821" t="str">
        <f>"20190312151633762"</f>
        <v>20190312151633762</v>
      </c>
      <c r="B4821" t="str">
        <f>"1552374993752953"</f>
        <v>1552374993752953</v>
      </c>
      <c r="C4821" t="s">
        <v>40</v>
      </c>
      <c r="D4821">
        <v>5.0062049999999996</v>
      </c>
      <c r="E4821">
        <v>0.56303709999999996</v>
      </c>
      <c r="F4821" t="s">
        <v>71</v>
      </c>
      <c r="G4821">
        <v>-361.53550000000001</v>
      </c>
      <c r="H4821" s="1">
        <v>-4.9592249999999999E-6</v>
      </c>
      <c r="I4821">
        <v>14.21819</v>
      </c>
      <c r="J4821">
        <v>-373.23079999999999</v>
      </c>
      <c r="K4821">
        <v>1.1099349999999999</v>
      </c>
      <c r="L4821">
        <v>16.851959999999998</v>
      </c>
      <c r="M4821">
        <v>0.99991770000000002</v>
      </c>
      <c r="N4821">
        <v>0</v>
      </c>
      <c r="O4821">
        <v>-4.295035E-3</v>
      </c>
      <c r="P4821">
        <v>0.99536440000000004</v>
      </c>
      <c r="Q4821">
        <v>7.7727299999999999E-2</v>
      </c>
      <c r="R4821">
        <v>-5.6640799999999998E-2</v>
      </c>
      <c r="S4821">
        <v>2.9984739999999999</v>
      </c>
      <c r="T4821">
        <v>-0.28187109999999999</v>
      </c>
      <c r="U4821">
        <v>-0.66897580000000001</v>
      </c>
      <c r="V4821">
        <v>5.2359669999999997E-2</v>
      </c>
      <c r="W4821">
        <v>8.97617E-2</v>
      </c>
      <c r="X4821">
        <v>0.99458599999999997</v>
      </c>
      <c r="Y4821">
        <v>0.2126825</v>
      </c>
      <c r="Z4821">
        <v>-9.4562650000000002E-3</v>
      </c>
      <c r="AA4821">
        <v>0.97707560000000004</v>
      </c>
      <c r="AB4821">
        <v>25</v>
      </c>
      <c r="AC4821">
        <v>11.6952999999999</v>
      </c>
      <c r="AD4821">
        <v>-1.1099399592249899</v>
      </c>
      <c r="AE4821">
        <v>-2.6337700000000002</v>
      </c>
      <c r="AF4821">
        <v>2.5615522130570101</v>
      </c>
      <c r="AG4821">
        <v>-1.1099399592249899</v>
      </c>
      <c r="AH4821">
        <v>11.6070076678417</v>
      </c>
      <c r="AI4821">
        <v>95.334795593333993</v>
      </c>
      <c r="AJ4821">
        <v>77.554870004782899</v>
      </c>
      <c r="AK4821">
        <v>11.9380125420707</v>
      </c>
      <c r="AL4821">
        <v>84.850102004382705</v>
      </c>
      <c r="AM4821">
        <v>86.986463458206202</v>
      </c>
      <c r="AN4821">
        <v>1.00000000461269</v>
      </c>
    </row>
    <row r="4822" spans="1:40" x14ac:dyDescent="0.25">
      <c r="A4822" t="str">
        <f>"20190312151633774"</f>
        <v>20190312151633774</v>
      </c>
      <c r="B4822" t="str">
        <f>"1552374993762711"</f>
        <v>1552374993762711</v>
      </c>
      <c r="C4822" t="s">
        <v>40</v>
      </c>
      <c r="D4822">
        <v>4.7301599999999997</v>
      </c>
      <c r="E4822">
        <v>0.56286159999999996</v>
      </c>
      <c r="F4822" t="s">
        <v>71</v>
      </c>
      <c r="G4822">
        <v>-361.4203</v>
      </c>
      <c r="H4822" s="1">
        <v>-5.0166460000000004E-6</v>
      </c>
      <c r="I4822">
        <v>14.201370000000001</v>
      </c>
      <c r="J4822">
        <v>-373.10230000000001</v>
      </c>
      <c r="K4822">
        <v>1.109931</v>
      </c>
      <c r="L4822">
        <v>16.851469999999999</v>
      </c>
      <c r="M4822">
        <v>0.99991819999999998</v>
      </c>
      <c r="N4822">
        <v>0</v>
      </c>
      <c r="O4822">
        <v>-4.2530900000000002E-3</v>
      </c>
      <c r="P4822">
        <v>0.99529109999999998</v>
      </c>
      <c r="Q4822">
        <v>7.7789250000000004E-2</v>
      </c>
      <c r="R4822">
        <v>-5.7831720000000003E-2</v>
      </c>
      <c r="S4822">
        <v>2.997681</v>
      </c>
      <c r="T4822">
        <v>-0.28171960000000001</v>
      </c>
      <c r="U4822">
        <v>-0.67276000000000002</v>
      </c>
      <c r="V4822">
        <v>5.3592050000000002E-2</v>
      </c>
      <c r="W4822">
        <v>8.9793040000000005E-2</v>
      </c>
      <c r="X4822">
        <v>0.99451750000000005</v>
      </c>
      <c r="Y4822">
        <v>0.21394820000000001</v>
      </c>
      <c r="Z4822">
        <v>-9.51486E-3</v>
      </c>
      <c r="AA4822">
        <v>0.97679870000000002</v>
      </c>
      <c r="AB4822">
        <v>25</v>
      </c>
      <c r="AC4822">
        <v>11.682</v>
      </c>
      <c r="AD4822">
        <v>-1.1099360166459999</v>
      </c>
      <c r="AE4822">
        <v>-2.6501000000000001</v>
      </c>
      <c r="AF4822">
        <v>2.5782521227162798</v>
      </c>
      <c r="AG4822">
        <v>-1.1099360166459999</v>
      </c>
      <c r="AH4822">
        <v>11.5936286718901</v>
      </c>
      <c r="AI4822">
        <v>95.338997028015001</v>
      </c>
      <c r="AJ4822">
        <v>77.462290833887394</v>
      </c>
      <c r="AK4822">
        <v>11.9286029253644</v>
      </c>
      <c r="AL4822">
        <v>84.848298935829305</v>
      </c>
      <c r="AM4822">
        <v>86.915457746099506</v>
      </c>
      <c r="AN4822">
        <v>0.99999997783094596</v>
      </c>
    </row>
    <row r="4823" spans="1:40" x14ac:dyDescent="0.25">
      <c r="A4823" t="str">
        <f>"20190312151633785"</f>
        <v>20190312151633785</v>
      </c>
      <c r="B4823" t="str">
        <f>"1552374993772471"</f>
        <v>1552374993772471</v>
      </c>
      <c r="C4823" t="s">
        <v>40</v>
      </c>
      <c r="D4823">
        <v>4.7188489999999996</v>
      </c>
      <c r="E4823">
        <v>0.56268509999999905</v>
      </c>
      <c r="F4823" t="s">
        <v>71</v>
      </c>
      <c r="G4823">
        <v>-361.29289999999997</v>
      </c>
      <c r="H4823" s="1">
        <v>-5.0785630000000004E-6</v>
      </c>
      <c r="I4823">
        <v>14.191649999999999</v>
      </c>
      <c r="J4823">
        <v>-372.9778</v>
      </c>
      <c r="K4823">
        <v>1.1099330000000001</v>
      </c>
      <c r="L4823">
        <v>16.85098</v>
      </c>
      <c r="M4823">
        <v>0.99991890000000005</v>
      </c>
      <c r="N4823">
        <v>0</v>
      </c>
      <c r="O4823">
        <v>-4.2103339999999996E-3</v>
      </c>
      <c r="P4823">
        <v>0.99520399999999998</v>
      </c>
      <c r="Q4823">
        <v>7.7928319999999995E-2</v>
      </c>
      <c r="R4823">
        <v>-5.9129269999999998E-2</v>
      </c>
      <c r="S4823">
        <v>2.9970089999999998</v>
      </c>
      <c r="T4823">
        <v>-0.28168339999999997</v>
      </c>
      <c r="U4823">
        <v>-0.67501829999999996</v>
      </c>
      <c r="V4823">
        <v>5.49322E-2</v>
      </c>
      <c r="W4823">
        <v>8.9904170000000005E-2</v>
      </c>
      <c r="X4823">
        <v>0.99443440000000005</v>
      </c>
      <c r="Y4823">
        <v>0.2147337</v>
      </c>
      <c r="Z4823">
        <v>-9.5552899999999993E-3</v>
      </c>
      <c r="AA4823">
        <v>0.97662590000000005</v>
      </c>
      <c r="AB4823">
        <v>25</v>
      </c>
      <c r="AC4823">
        <v>11.684900000000001</v>
      </c>
      <c r="AD4823">
        <v>-1.109938078563</v>
      </c>
      <c r="AE4823">
        <v>-2.6593300000000002</v>
      </c>
      <c r="AF4823">
        <v>2.5879049559728502</v>
      </c>
      <c r="AG4823">
        <v>-1.109938078563</v>
      </c>
      <c r="AH4823">
        <v>11.5965121323233</v>
      </c>
      <c r="AI4823">
        <v>95.336811823666693</v>
      </c>
      <c r="AJ4823">
        <v>77.419871741085203</v>
      </c>
      <c r="AK4823">
        <v>11.933495222880699</v>
      </c>
      <c r="AL4823">
        <v>84.8419061256932</v>
      </c>
      <c r="AM4823">
        <v>86.838215029080402</v>
      </c>
      <c r="AN4823">
        <v>1.00000004114179</v>
      </c>
    </row>
    <row r="4824" spans="1:40" x14ac:dyDescent="0.25">
      <c r="A4824" t="str">
        <f>"20190312151633796"</f>
        <v>20190312151633796</v>
      </c>
      <c r="B4824" t="str">
        <f>"1552374993792967"</f>
        <v>1552374993792967</v>
      </c>
      <c r="C4824" t="s">
        <v>40</v>
      </c>
      <c r="D4824">
        <v>4.7389809999999999</v>
      </c>
      <c r="E4824">
        <v>0.56244550000000004</v>
      </c>
      <c r="F4824" t="s">
        <v>71</v>
      </c>
      <c r="G4824">
        <v>-361.1463</v>
      </c>
      <c r="H4824" s="1">
        <v>-5.1508059999999996E-6</v>
      </c>
      <c r="I4824">
        <v>14.17525</v>
      </c>
      <c r="J4824">
        <v>-372.85300000000001</v>
      </c>
      <c r="K4824">
        <v>1.109934</v>
      </c>
      <c r="L4824">
        <v>16.850519999999999</v>
      </c>
      <c r="M4824">
        <v>0.99991929999999996</v>
      </c>
      <c r="N4824">
        <v>0</v>
      </c>
      <c r="O4824">
        <v>-4.1666300000000002E-3</v>
      </c>
      <c r="P4824">
        <v>0.99510810000000005</v>
      </c>
      <c r="Q4824">
        <v>7.8297469999999994E-2</v>
      </c>
      <c r="R4824">
        <v>-6.0242990000000003E-2</v>
      </c>
      <c r="S4824">
        <v>2.9962460000000002</v>
      </c>
      <c r="T4824">
        <v>-0.28108470000000002</v>
      </c>
      <c r="U4824">
        <v>-0.67761229999999995</v>
      </c>
      <c r="V4824">
        <v>5.6089189999999997E-2</v>
      </c>
      <c r="W4824">
        <v>9.0246099999999996E-2</v>
      </c>
      <c r="X4824">
        <v>0.99433879999999997</v>
      </c>
      <c r="Y4824">
        <v>0.21563370000000001</v>
      </c>
      <c r="Z4824">
        <v>-9.5821670000000008E-3</v>
      </c>
      <c r="AA4824">
        <v>0.9764273</v>
      </c>
      <c r="AB4824">
        <v>25</v>
      </c>
      <c r="AC4824">
        <v>11.7067</v>
      </c>
      <c r="AD4824">
        <v>-1.1099391508059999</v>
      </c>
      <c r="AE4824">
        <v>-2.6752699999999998</v>
      </c>
      <c r="AF4824">
        <v>2.6042173837407798</v>
      </c>
      <c r="AG4824">
        <v>-1.1099391508059999</v>
      </c>
      <c r="AH4824">
        <v>11.6184867949026</v>
      </c>
      <c r="AI4824">
        <v>95.325673689783599</v>
      </c>
      <c r="AJ4824">
        <v>77.366291573045302</v>
      </c>
      <c r="AK4824">
        <v>11.9583923879255</v>
      </c>
      <c r="AL4824">
        <v>84.822234816264</v>
      </c>
      <c r="AM4824">
        <v>86.771450734352499</v>
      </c>
      <c r="AN4824">
        <v>1.00000000249275</v>
      </c>
    </row>
    <row r="4825" spans="1:40" x14ac:dyDescent="0.25">
      <c r="A4825" t="str">
        <f>"20190312151633807"</f>
        <v>20190312151633807</v>
      </c>
      <c r="B4825" t="str">
        <f>"1552374993802727"</f>
        <v>1552374993802727</v>
      </c>
      <c r="C4825" t="s">
        <v>40</v>
      </c>
      <c r="D4825">
        <v>4.7631540000000001</v>
      </c>
      <c r="E4825">
        <v>0.5623669</v>
      </c>
      <c r="F4825" t="s">
        <v>71</v>
      </c>
      <c r="G4825">
        <v>-360.99</v>
      </c>
      <c r="H4825" s="1">
        <v>-5.2273069999999999E-6</v>
      </c>
      <c r="I4825">
        <v>14.16046</v>
      </c>
      <c r="J4825">
        <v>-372.72789999999998</v>
      </c>
      <c r="K4825">
        <v>1.1099380000000001</v>
      </c>
      <c r="L4825">
        <v>16.85004</v>
      </c>
      <c r="M4825">
        <v>0.99991980000000003</v>
      </c>
      <c r="N4825">
        <v>0</v>
      </c>
      <c r="O4825">
        <v>-4.1221039999999997E-3</v>
      </c>
      <c r="P4825">
        <v>0.99503830000000004</v>
      </c>
      <c r="Q4825">
        <v>7.8392459999999997E-2</v>
      </c>
      <c r="R4825">
        <v>-6.1264600000000002E-2</v>
      </c>
      <c r="S4825">
        <v>2.9956360000000002</v>
      </c>
      <c r="T4825">
        <v>-0.28028009999999998</v>
      </c>
      <c r="U4825">
        <v>-0.67929079999999997</v>
      </c>
      <c r="V4825">
        <v>5.7154789999999997E-2</v>
      </c>
      <c r="W4825">
        <v>9.0315430000000002E-2</v>
      </c>
      <c r="X4825">
        <v>0.99427180000000004</v>
      </c>
      <c r="Y4825">
        <v>0.2162425</v>
      </c>
      <c r="Z4825">
        <v>-9.5883340000000004E-3</v>
      </c>
      <c r="AA4825">
        <v>0.97629259999999995</v>
      </c>
      <c r="AB4825">
        <v>25</v>
      </c>
      <c r="AC4825">
        <v>11.7378999999999</v>
      </c>
      <c r="AD4825">
        <v>-1.10994322730699</v>
      </c>
      <c r="AE4825">
        <v>-2.6895799999999901</v>
      </c>
      <c r="AF4825">
        <v>2.6189193807037801</v>
      </c>
      <c r="AG4825">
        <v>-1.10994322730699</v>
      </c>
      <c r="AH4825">
        <v>11.649914063626101</v>
      </c>
      <c r="AI4825">
        <v>95.310666822477003</v>
      </c>
      <c r="AJ4825">
        <v>77.330436423636499</v>
      </c>
      <c r="AK4825">
        <v>11.992131185921201</v>
      </c>
      <c r="AL4825">
        <v>84.818246092857805</v>
      </c>
      <c r="AM4825">
        <v>86.710026014442704</v>
      </c>
      <c r="AN4825">
        <v>0.99999997959563403</v>
      </c>
    </row>
    <row r="4826" spans="1:40" x14ac:dyDescent="0.25">
      <c r="A4826" t="str">
        <f>"20190312151633820"</f>
        <v>20190312151633820</v>
      </c>
      <c r="B4826" t="str">
        <f>"1552374993813362"</f>
        <v>1552374993813362</v>
      </c>
      <c r="C4826" t="s">
        <v>40</v>
      </c>
      <c r="D4826">
        <v>5.0360769999999997</v>
      </c>
      <c r="E4826">
        <v>0.5625405</v>
      </c>
      <c r="F4826" t="s">
        <v>71</v>
      </c>
      <c r="G4826">
        <v>-360.93970000000002</v>
      </c>
      <c r="H4826" s="1">
        <v>-5.2500389999999997E-6</v>
      </c>
      <c r="I4826">
        <v>14.16635</v>
      </c>
      <c r="J4826">
        <v>-372.60309999999998</v>
      </c>
      <c r="K4826">
        <v>1.1099410000000001</v>
      </c>
      <c r="L4826">
        <v>16.84958</v>
      </c>
      <c r="M4826">
        <v>0.99992020000000004</v>
      </c>
      <c r="N4826">
        <v>0</v>
      </c>
      <c r="O4826">
        <v>-4.0769939999999996E-3</v>
      </c>
      <c r="P4826">
        <v>0.99496110000000004</v>
      </c>
      <c r="Q4826">
        <v>7.8568680000000002E-2</v>
      </c>
      <c r="R4826">
        <v>-6.2286689999999999E-2</v>
      </c>
      <c r="S4826">
        <v>2.995209</v>
      </c>
      <c r="T4826">
        <v>-0.282020099999999</v>
      </c>
      <c r="U4826">
        <v>-0.68188479999999996</v>
      </c>
      <c r="V4826">
        <v>5.8221630000000003E-2</v>
      </c>
      <c r="W4826">
        <v>9.0467409999999998E-2</v>
      </c>
      <c r="X4826">
        <v>0.99419610000000003</v>
      </c>
      <c r="Y4826">
        <v>0.21710570000000001</v>
      </c>
      <c r="Z4826">
        <v>-9.6922610000000006E-3</v>
      </c>
      <c r="AA4826">
        <v>0.97609999999999997</v>
      </c>
      <c r="AB4826">
        <v>25</v>
      </c>
      <c r="AC4826">
        <v>11.6633999999999</v>
      </c>
      <c r="AD4826">
        <v>-1.109946250039</v>
      </c>
      <c r="AE4826">
        <v>-2.68323</v>
      </c>
      <c r="AF4826">
        <v>2.6131763957460699</v>
      </c>
      <c r="AG4826">
        <v>-1.109946250039</v>
      </c>
      <c r="AH4826">
        <v>11.5746878653837</v>
      </c>
      <c r="AI4826">
        <v>95.343897917050398</v>
      </c>
      <c r="AJ4826">
        <v>77.277824091864204</v>
      </c>
      <c r="AK4826">
        <v>11.9178047783273</v>
      </c>
      <c r="AL4826">
        <v>84.809502581622496</v>
      </c>
      <c r="AM4826">
        <v>86.648500109204505</v>
      </c>
      <c r="AN4826">
        <v>0.99999999786358695</v>
      </c>
    </row>
    <row r="4827" spans="1:40" x14ac:dyDescent="0.25">
      <c r="A4827" t="str">
        <f>"20190312151633829"</f>
        <v>20190312151633829</v>
      </c>
      <c r="B4827" t="str">
        <f>"1552374993823121"</f>
        <v>1552374993823121</v>
      </c>
      <c r="C4827" t="s">
        <v>40</v>
      </c>
      <c r="D4827">
        <v>5.1454449999999996</v>
      </c>
      <c r="E4827">
        <v>0.5625405</v>
      </c>
      <c r="F4827" t="s">
        <v>71</v>
      </c>
      <c r="G4827">
        <v>-360.86799999999999</v>
      </c>
      <c r="H4827" s="1">
        <v>-5.2853050000000004E-6</v>
      </c>
      <c r="I4827">
        <v>14.1585</v>
      </c>
      <c r="J4827">
        <v>-372.48180000000002</v>
      </c>
      <c r="K4827">
        <v>1.1099429999999999</v>
      </c>
      <c r="L4827">
        <v>16.84909</v>
      </c>
      <c r="M4827">
        <v>0.99992080000000005</v>
      </c>
      <c r="N4827">
        <v>0</v>
      </c>
      <c r="O4827">
        <v>-4.03273E-3</v>
      </c>
      <c r="P4827">
        <v>0.99486330000000001</v>
      </c>
      <c r="Q4827">
        <v>7.9008579999999995E-2</v>
      </c>
      <c r="R4827">
        <v>-6.3285190000000005E-2</v>
      </c>
      <c r="S4827">
        <v>2.9945369999999998</v>
      </c>
      <c r="T4827">
        <v>-0.28323549999999997</v>
      </c>
      <c r="U4827">
        <v>-0.6867065</v>
      </c>
      <c r="V4827">
        <v>5.926418E-2</v>
      </c>
      <c r="W4827">
        <v>9.0884329999999999E-2</v>
      </c>
      <c r="X4827">
        <v>0.99409650000000005</v>
      </c>
      <c r="Y4827">
        <v>0.21867519999999999</v>
      </c>
      <c r="Z4827">
        <v>-9.8114980000000001E-3</v>
      </c>
      <c r="AA4827">
        <v>0.97574839999999996</v>
      </c>
      <c r="AB4827">
        <v>25</v>
      </c>
      <c r="AC4827">
        <v>11.6137999999999</v>
      </c>
      <c r="AD4827">
        <v>-1.109948285305</v>
      </c>
      <c r="AE4827">
        <v>-2.6905899999999998</v>
      </c>
      <c r="AF4827">
        <v>2.6210088631861002</v>
      </c>
      <c r="AG4827">
        <v>-1.109948285305</v>
      </c>
      <c r="AH4827">
        <v>11.524653562557299</v>
      </c>
      <c r="AI4827">
        <v>95.365064653338905</v>
      </c>
      <c r="AJ4827">
        <v>77.187369470021494</v>
      </c>
      <c r="AK4827">
        <v>11.870944039709601</v>
      </c>
      <c r="AL4827">
        <v>84.785516168327007</v>
      </c>
      <c r="AM4827">
        <v>86.588285730200397</v>
      </c>
      <c r="AN4827">
        <v>1.0000000278914301</v>
      </c>
    </row>
    <row r="4828" spans="1:40" x14ac:dyDescent="0.25">
      <c r="A4828" t="str">
        <f>"20190312151633841"</f>
        <v>20190312151633841</v>
      </c>
      <c r="B4828" t="str">
        <f>"1552374993832882"</f>
        <v>1552374993832882</v>
      </c>
      <c r="C4828" t="s">
        <v>40</v>
      </c>
      <c r="D4828">
        <v>4.9113509999999998</v>
      </c>
      <c r="E4828">
        <v>0.56852100000000005</v>
      </c>
      <c r="F4828" t="s">
        <v>71</v>
      </c>
      <c r="G4828">
        <v>-360.67739999999998</v>
      </c>
      <c r="H4828" s="1">
        <v>-5.3808950000000001E-6</v>
      </c>
      <c r="I4828">
        <v>14.12757</v>
      </c>
      <c r="J4828">
        <v>-372.35980000000001</v>
      </c>
      <c r="K4828">
        <v>1.109947</v>
      </c>
      <c r="L4828">
        <v>16.848659999999999</v>
      </c>
      <c r="M4828">
        <v>0.99992110000000001</v>
      </c>
      <c r="N4828">
        <v>0</v>
      </c>
      <c r="O4828">
        <v>-3.9877649999999999E-3</v>
      </c>
      <c r="P4828">
        <v>0.99478140000000004</v>
      </c>
      <c r="Q4828">
        <v>7.9194700000000007E-2</v>
      </c>
      <c r="R4828">
        <v>-6.4329940000000002E-2</v>
      </c>
      <c r="S4828">
        <v>2.9938959999999999</v>
      </c>
      <c r="T4828">
        <v>-0.2815107</v>
      </c>
      <c r="U4828">
        <v>-0.69024659999999904</v>
      </c>
      <c r="V4828">
        <v>6.0353530000000002E-2</v>
      </c>
      <c r="W4828">
        <v>9.1049110000000003E-2</v>
      </c>
      <c r="X4828">
        <v>0.99401589999999995</v>
      </c>
      <c r="Y4828">
        <v>0.2198659</v>
      </c>
      <c r="Z4828">
        <v>-9.8120640000000005E-3</v>
      </c>
      <c r="AA4828">
        <v>0.97548069999999998</v>
      </c>
      <c r="AB4828">
        <v>25</v>
      </c>
      <c r="AC4828">
        <v>11.682399999999999</v>
      </c>
      <c r="AD4828">
        <v>-1.109952380895</v>
      </c>
      <c r="AE4828">
        <v>-2.72108999999999</v>
      </c>
      <c r="AF4828">
        <v>2.6517726270528699</v>
      </c>
      <c r="AG4828">
        <v>-1.109952380895</v>
      </c>
      <c r="AH4828">
        <v>11.593886459301499</v>
      </c>
      <c r="AI4828">
        <v>95.331743116749493</v>
      </c>
      <c r="AJ4828">
        <v>77.116820005601895</v>
      </c>
      <c r="AK4828">
        <v>11.944961095985899</v>
      </c>
      <c r="AL4828">
        <v>84.776035775026799</v>
      </c>
      <c r="AM4828">
        <v>86.525445347588303</v>
      </c>
      <c r="AN4828">
        <v>1.00000004923403</v>
      </c>
    </row>
    <row r="4829" spans="1:40" x14ac:dyDescent="0.25">
      <c r="A4829" t="str">
        <f>"20190312151633853"</f>
        <v>20190312151633853</v>
      </c>
      <c r="B4829" t="str">
        <f>"1552374993842642"</f>
        <v>1552374993842642</v>
      </c>
      <c r="C4829" t="s">
        <v>40</v>
      </c>
      <c r="D4829">
        <v>4.7561549999999997</v>
      </c>
      <c r="E4829">
        <v>0.5651079</v>
      </c>
      <c r="F4829" t="s">
        <v>71</v>
      </c>
      <c r="G4829">
        <v>-363.53030000000001</v>
      </c>
      <c r="H4829" s="1">
        <v>-3.9372070000000002E-6</v>
      </c>
      <c r="I4829">
        <v>14.66366</v>
      </c>
      <c r="J4829">
        <v>-372.2303</v>
      </c>
      <c r="K4829">
        <v>1.1099490000000001</v>
      </c>
      <c r="L4829">
        <v>16.848210000000002</v>
      </c>
      <c r="M4829">
        <v>0.99992159999999997</v>
      </c>
      <c r="N4829">
        <v>0</v>
      </c>
      <c r="O4829">
        <v>-3.9404130000000002E-3</v>
      </c>
      <c r="P4829">
        <v>0.99468160000000005</v>
      </c>
      <c r="Q4829">
        <v>7.9872059999999995E-2</v>
      </c>
      <c r="R4829">
        <v>-6.5031389999999994E-2</v>
      </c>
      <c r="S4829">
        <v>2.9977719999999999</v>
      </c>
      <c r="T4829">
        <v>-0.37684970000000001</v>
      </c>
      <c r="U4829">
        <v>-0.74185179999999995</v>
      </c>
      <c r="V4829">
        <v>6.1102219999999999E-2</v>
      </c>
      <c r="W4829">
        <v>9.1704880000000003E-2</v>
      </c>
      <c r="X4829">
        <v>0.99390979999999995</v>
      </c>
      <c r="Y4829">
        <v>0.234683</v>
      </c>
      <c r="Z4829">
        <v>-1.3991190000000001E-2</v>
      </c>
      <c r="AA4829">
        <v>0.97197129999999998</v>
      </c>
      <c r="AB4829">
        <v>25</v>
      </c>
      <c r="AC4829">
        <v>8.6999999999999797</v>
      </c>
      <c r="AD4829">
        <v>-1.1099529372070001</v>
      </c>
      <c r="AE4829">
        <v>-2.1845500000000002</v>
      </c>
      <c r="AF4829">
        <v>2.1178220526857601</v>
      </c>
      <c r="AG4829">
        <v>-1.1099529372070001</v>
      </c>
      <c r="AH4829">
        <v>8.5772113645160299</v>
      </c>
      <c r="AI4829">
        <v>97.160789367857504</v>
      </c>
      <c r="AJ4829">
        <v>76.130363388347803</v>
      </c>
      <c r="AK4829">
        <v>8.9042529479591597</v>
      </c>
      <c r="AL4829">
        <v>84.738304697949701</v>
      </c>
      <c r="AM4829">
        <v>86.482076245927104</v>
      </c>
      <c r="AN4829">
        <v>0.99999997842039101</v>
      </c>
    </row>
    <row r="4830" spans="1:40" x14ac:dyDescent="0.25">
      <c r="A4830" t="str">
        <f>"20190312151633864"</f>
        <v>20190312151633864</v>
      </c>
      <c r="B4830" t="str">
        <f>"1552374993852402"</f>
        <v>1552374993852402</v>
      </c>
      <c r="C4830" t="s">
        <v>40</v>
      </c>
      <c r="D4830">
        <v>4.7190539999999999</v>
      </c>
      <c r="E4830">
        <v>0.56331219999999904</v>
      </c>
      <c r="F4830" t="s">
        <v>71</v>
      </c>
      <c r="G4830">
        <v>-363.24090000000001</v>
      </c>
      <c r="H4830" s="1">
        <v>-4.0679819999999998E-6</v>
      </c>
      <c r="I4830">
        <v>14.6976</v>
      </c>
      <c r="J4830">
        <v>-372.10599999999999</v>
      </c>
      <c r="K4830">
        <v>1.1099509999999999</v>
      </c>
      <c r="L4830">
        <v>16.847750000000001</v>
      </c>
      <c r="M4830">
        <v>0.99992190000000003</v>
      </c>
      <c r="N4830">
        <v>0</v>
      </c>
      <c r="O4830">
        <v>-3.894514E-3</v>
      </c>
      <c r="P4830">
        <v>0.99462459999999997</v>
      </c>
      <c r="Q4830">
        <v>8.0204040000000004E-2</v>
      </c>
      <c r="R4830">
        <v>-6.5494200000000002E-2</v>
      </c>
      <c r="S4830">
        <v>2.99884</v>
      </c>
      <c r="T4830">
        <v>-0.37027860000000001</v>
      </c>
      <c r="U4830">
        <v>-0.71743769999999996</v>
      </c>
      <c r="V4830">
        <v>6.1610539999999998E-2</v>
      </c>
      <c r="W4830">
        <v>9.2017779999999993E-2</v>
      </c>
      <c r="X4830">
        <v>0.99384950000000005</v>
      </c>
      <c r="Y4830">
        <v>0.22727839999999999</v>
      </c>
      <c r="Z4830">
        <v>-1.331361E-2</v>
      </c>
      <c r="AA4830">
        <v>0.97373880000000002</v>
      </c>
      <c r="AB4830">
        <v>25</v>
      </c>
      <c r="AC4830">
        <v>8.8650999999999804</v>
      </c>
      <c r="AD4830">
        <v>-1.1099550679820001</v>
      </c>
      <c r="AE4830">
        <v>-2.15015</v>
      </c>
      <c r="AF4830">
        <v>2.0847406719291</v>
      </c>
      <c r="AG4830">
        <v>-1.1099550679820001</v>
      </c>
      <c r="AH4830">
        <v>8.7439498453306399</v>
      </c>
      <c r="AI4830">
        <v>97.039179470070906</v>
      </c>
      <c r="AJ4830">
        <v>76.589843774284105</v>
      </c>
      <c r="AK4830">
        <v>9.0573065985309391</v>
      </c>
      <c r="AL4830">
        <v>84.720300729885395</v>
      </c>
      <c r="AM4830">
        <v>86.452669775775405</v>
      </c>
      <c r="AN4830">
        <v>0.99999997956273401</v>
      </c>
    </row>
    <row r="4831" spans="1:40" x14ac:dyDescent="0.25">
      <c r="A4831" t="str">
        <f>"20190312151633875"</f>
        <v>20190312151633875</v>
      </c>
      <c r="B4831" t="str">
        <f>"1552374993863138"</f>
        <v>1552374993863138</v>
      </c>
      <c r="C4831" t="s">
        <v>40</v>
      </c>
      <c r="D4831">
        <v>4.7007750000000001</v>
      </c>
      <c r="E4831">
        <v>0.56199279999999996</v>
      </c>
      <c r="F4831" t="s">
        <v>71</v>
      </c>
      <c r="G4831">
        <v>-362.67529999999999</v>
      </c>
      <c r="H4831" s="1">
        <v>-4.3473260000000002E-6</v>
      </c>
      <c r="I4831">
        <v>14.6303</v>
      </c>
      <c r="J4831">
        <v>-371.98860000000002</v>
      </c>
      <c r="K4831">
        <v>1.109952</v>
      </c>
      <c r="L4831">
        <v>16.847349999999999</v>
      </c>
      <c r="M4831">
        <v>0.99992230000000004</v>
      </c>
      <c r="N4831">
        <v>0</v>
      </c>
      <c r="O4831">
        <v>-3.8512479999999998E-3</v>
      </c>
      <c r="P4831">
        <v>0.9945638</v>
      </c>
      <c r="Q4831">
        <v>8.0579579999999998E-2</v>
      </c>
      <c r="R4831">
        <v>-6.5955150000000004E-2</v>
      </c>
      <c r="S4831">
        <v>2.998291</v>
      </c>
      <c r="T4831">
        <v>-0.3528847</v>
      </c>
      <c r="U4831">
        <v>-0.70498660000000002</v>
      </c>
      <c r="V4831">
        <v>6.2114389999999998E-2</v>
      </c>
      <c r="W4831">
        <v>9.2376249999999993E-2</v>
      </c>
      <c r="X4831">
        <v>0.99378489999999997</v>
      </c>
      <c r="Y4831">
        <v>0.2236986</v>
      </c>
      <c r="Z4831">
        <v>-1.2498459999999999E-2</v>
      </c>
      <c r="AA4831">
        <v>0.97457819999999995</v>
      </c>
      <c r="AB4831">
        <v>25</v>
      </c>
      <c r="AC4831">
        <v>9.3133000000000195</v>
      </c>
      <c r="AD4831">
        <v>-1.1099563473259999</v>
      </c>
      <c r="AE4831">
        <v>-2.2170499999999902</v>
      </c>
      <c r="AF4831">
        <v>2.1522327706625499</v>
      </c>
      <c r="AG4831">
        <v>-1.1099563473259999</v>
      </c>
      <c r="AH4831">
        <v>9.1981281662429399</v>
      </c>
      <c r="AI4831">
        <v>96.701432986176101</v>
      </c>
      <c r="AJ4831">
        <v>76.8305212400182</v>
      </c>
      <c r="AK4831">
        <v>9.5115545919011009</v>
      </c>
      <c r="AL4831">
        <v>84.699674157101498</v>
      </c>
      <c r="AM4831">
        <v>86.423502883419303</v>
      </c>
      <c r="AN4831">
        <v>0.999999998238572</v>
      </c>
    </row>
    <row r="4832" spans="1:40" x14ac:dyDescent="0.25">
      <c r="A4832" t="str">
        <f>"20190312151633888"</f>
        <v>20190312151633888</v>
      </c>
      <c r="B4832" t="str">
        <f>"1552374993883120"</f>
        <v>1552374993883120</v>
      </c>
      <c r="C4832" t="s">
        <v>40</v>
      </c>
      <c r="D4832">
        <v>4.731617</v>
      </c>
      <c r="E4832">
        <v>0.56065730000000003</v>
      </c>
      <c r="F4832" t="s">
        <v>71</v>
      </c>
      <c r="G4832">
        <v>-362.30040000000002</v>
      </c>
      <c r="H4832" s="1">
        <v>-4.530436E-6</v>
      </c>
      <c r="I4832">
        <v>14.59689</v>
      </c>
      <c r="J4832">
        <v>-371.8399</v>
      </c>
      <c r="K4832">
        <v>1.109953</v>
      </c>
      <c r="L4832">
        <v>16.846829999999901</v>
      </c>
      <c r="M4832">
        <v>0.99992270000000005</v>
      </c>
      <c r="N4832">
        <v>0</v>
      </c>
      <c r="O4832">
        <v>-3.7964040000000002E-3</v>
      </c>
      <c r="P4832">
        <v>0.99449739999999998</v>
      </c>
      <c r="Q4832">
        <v>8.1107209999999999E-2</v>
      </c>
      <c r="R4832">
        <v>-6.6308130000000007E-2</v>
      </c>
      <c r="S4832">
        <v>2.9980470000000001</v>
      </c>
      <c r="T4832">
        <v>-0.34347919999999998</v>
      </c>
      <c r="U4832">
        <v>-0.69641109999999995</v>
      </c>
      <c r="V4832">
        <v>6.252199E-2</v>
      </c>
      <c r="W4832">
        <v>9.2883800000000002E-2</v>
      </c>
      <c r="X4832">
        <v>0.99371200000000004</v>
      </c>
      <c r="Y4832">
        <v>0.22121489999999999</v>
      </c>
      <c r="Z4832">
        <v>-1.2038490000000001E-2</v>
      </c>
      <c r="AA4832">
        <v>0.97515079999999998</v>
      </c>
      <c r="AB4832">
        <v>25</v>
      </c>
      <c r="AC4832">
        <v>9.5394999999999701</v>
      </c>
      <c r="AD4832">
        <v>-1.1099575304360001</v>
      </c>
      <c r="AE4832">
        <v>-2.2499399999999898</v>
      </c>
      <c r="AF4832">
        <v>2.18567460028176</v>
      </c>
      <c r="AG4832">
        <v>-1.1099575304360001</v>
      </c>
      <c r="AH4832">
        <v>9.4270731571550304</v>
      </c>
      <c r="AI4832">
        <v>96.543175937066394</v>
      </c>
      <c r="AJ4832">
        <v>76.946560249037404</v>
      </c>
      <c r="AK4832">
        <v>9.7405794226032292</v>
      </c>
      <c r="AL4832">
        <v>84.670467960289201</v>
      </c>
      <c r="AM4832">
        <v>86.399831717180703</v>
      </c>
      <c r="AN4832">
        <v>0.99999996923999901</v>
      </c>
    </row>
    <row r="4833" spans="1:40" x14ac:dyDescent="0.25">
      <c r="A4833" t="str">
        <f>"20190312151633910"</f>
        <v>20190312151633910</v>
      </c>
      <c r="B4833" t="str">
        <f>"1552374993902640"</f>
        <v>1552374993902640</v>
      </c>
      <c r="C4833" t="s">
        <v>40</v>
      </c>
      <c r="D4833">
        <v>4.7818559999999897</v>
      </c>
      <c r="E4833">
        <v>0.55930630000000003</v>
      </c>
      <c r="F4833" t="s">
        <v>41</v>
      </c>
      <c r="G4833">
        <v>-371.06490000000002</v>
      </c>
      <c r="H4833">
        <v>1.0239130000000001</v>
      </c>
      <c r="I4833">
        <v>16.66882</v>
      </c>
      <c r="J4833">
        <v>-371.61110000000002</v>
      </c>
      <c r="K4833">
        <v>1.1099619999999999</v>
      </c>
      <c r="L4833">
        <v>16.8461</v>
      </c>
      <c r="M4833">
        <v>0.99992349999999997</v>
      </c>
      <c r="N4833">
        <v>0</v>
      </c>
      <c r="O4833">
        <v>-3.712786E-3</v>
      </c>
      <c r="P4833">
        <v>0.99437880000000001</v>
      </c>
      <c r="Q4833">
        <v>8.2058590000000001E-2</v>
      </c>
      <c r="R4833">
        <v>-6.6916160000000002E-2</v>
      </c>
      <c r="S4833">
        <v>2.9978940000000001</v>
      </c>
      <c r="T4833">
        <v>-0.33283879999999999</v>
      </c>
      <c r="U4833">
        <v>-0.6875</v>
      </c>
      <c r="V4833">
        <v>6.3213249999999999E-2</v>
      </c>
      <c r="W4833">
        <v>9.3806730000000005E-2</v>
      </c>
      <c r="X4833">
        <v>0.99358159999999895</v>
      </c>
      <c r="Y4833">
        <v>0.21865000000000001</v>
      </c>
      <c r="Z4833">
        <v>-1.154116E-2</v>
      </c>
      <c r="AA4833">
        <v>0.97573509999999997</v>
      </c>
      <c r="AB4833">
        <v>25</v>
      </c>
      <c r="AC4833">
        <v>0.54619999999999802</v>
      </c>
      <c r="AD4833">
        <v>-8.6049000000000195E-2</v>
      </c>
      <c r="AE4833">
        <v>-0.17727999999999899</v>
      </c>
      <c r="AF4833">
        <v>0.171402081841111</v>
      </c>
      <c r="AG4833">
        <v>-8.6049000000000195E-2</v>
      </c>
      <c r="AH4833">
        <v>0.53484516710085594</v>
      </c>
      <c r="AI4833">
        <v>98.710586090186496</v>
      </c>
      <c r="AJ4833">
        <v>72.230879683348803</v>
      </c>
      <c r="AK4833">
        <v>0.56819227100657599</v>
      </c>
      <c r="AL4833">
        <v>84.617356268009402</v>
      </c>
      <c r="AM4833">
        <v>86.359657289707897</v>
      </c>
      <c r="AN4833">
        <v>1.0000000067137</v>
      </c>
    </row>
    <row r="4834" spans="1:40" x14ac:dyDescent="0.25">
      <c r="A4834" t="str">
        <f>"20190312151633923"</f>
        <v>20190312151633923</v>
      </c>
      <c r="B4834" t="str">
        <f>"1552374993913376"</f>
        <v>1552374993913376</v>
      </c>
      <c r="C4834" t="s">
        <v>40</v>
      </c>
      <c r="D4834">
        <v>4.6199050000000002</v>
      </c>
      <c r="E4834">
        <v>0.55930630000000003</v>
      </c>
      <c r="F4834" t="s">
        <v>41</v>
      </c>
      <c r="G4834">
        <v>-370.84460000000001</v>
      </c>
      <c r="H4834">
        <v>1.0262709999999999</v>
      </c>
      <c r="I4834">
        <v>16.672260000000001</v>
      </c>
      <c r="J4834">
        <v>-371.46969999999999</v>
      </c>
      <c r="K4834">
        <v>1.109964</v>
      </c>
      <c r="L4834">
        <v>16.845610000000001</v>
      </c>
      <c r="M4834">
        <v>0.99992380000000003</v>
      </c>
      <c r="N4834">
        <v>0</v>
      </c>
      <c r="O4834">
        <v>-3.6611959999999998E-3</v>
      </c>
      <c r="P4834">
        <v>0.99432980000000004</v>
      </c>
      <c r="Q4834">
        <v>8.264792E-2</v>
      </c>
      <c r="R4834">
        <v>-6.6914970000000004E-2</v>
      </c>
      <c r="S4834">
        <v>2.99823</v>
      </c>
      <c r="T4834">
        <v>-0.3274224</v>
      </c>
      <c r="U4834">
        <v>-0.67962650000000002</v>
      </c>
      <c r="V4834">
        <v>6.3263589999999995E-2</v>
      </c>
      <c r="W4834">
        <v>9.4380190000000003E-2</v>
      </c>
      <c r="X4834">
        <v>0.99352410000000002</v>
      </c>
      <c r="Y4834">
        <v>0.21629300000000001</v>
      </c>
      <c r="Z4834">
        <v>-1.123526E-2</v>
      </c>
      <c r="AA4834">
        <v>0.97626389999999996</v>
      </c>
      <c r="AB4834">
        <v>25</v>
      </c>
      <c r="AC4834">
        <v>0.62509999999997401</v>
      </c>
      <c r="AD4834">
        <v>-8.3693000000000004E-2</v>
      </c>
      <c r="AE4834">
        <v>-0.173349999999999</v>
      </c>
      <c r="AF4834">
        <v>0.16825927046347999</v>
      </c>
      <c r="AG4834">
        <v>-8.3693000000000004E-2</v>
      </c>
      <c r="AH4834">
        <v>0.61548533252416204</v>
      </c>
      <c r="AI4834">
        <v>97.472590533752197</v>
      </c>
      <c r="AJ4834">
        <v>74.710260417747094</v>
      </c>
      <c r="AK4834">
        <v>0.64353546514413795</v>
      </c>
      <c r="AL4834">
        <v>84.584353077182996</v>
      </c>
      <c r="AM4834">
        <v>86.356555816731998</v>
      </c>
      <c r="AN4834">
        <v>1.0000000196824601</v>
      </c>
    </row>
    <row r="4835" spans="1:40" x14ac:dyDescent="0.25">
      <c r="A4835" t="str">
        <f>"20190312151633933"</f>
        <v>20190312151633933</v>
      </c>
      <c r="B4835" t="str">
        <f>"1552374993923137"</f>
        <v>1552374993923137</v>
      </c>
      <c r="C4835" t="s">
        <v>40</v>
      </c>
      <c r="D4835">
        <v>4.6452059999999999</v>
      </c>
      <c r="E4835">
        <v>0.53939630000000005</v>
      </c>
      <c r="F4835" t="s">
        <v>71</v>
      </c>
      <c r="G4835">
        <v>-361.23570000000001</v>
      </c>
      <c r="H4835" s="1">
        <v>-5.0466229999999997E-6</v>
      </c>
      <c r="I4835">
        <v>14.524150000000001</v>
      </c>
      <c r="J4835">
        <v>-371.34469999999999</v>
      </c>
      <c r="K4835">
        <v>1.1099680000000001</v>
      </c>
      <c r="L4835">
        <v>16.845210000000002</v>
      </c>
      <c r="M4835">
        <v>0.99992420000000004</v>
      </c>
      <c r="N4835">
        <v>0</v>
      </c>
      <c r="O4835">
        <v>-3.6158190000000002E-3</v>
      </c>
      <c r="P4835">
        <v>0.99425580000000002</v>
      </c>
      <c r="Q4835">
        <v>8.3319630000000006E-2</v>
      </c>
      <c r="R4835">
        <v>-6.7183069999999998E-2</v>
      </c>
      <c r="S4835">
        <v>2.9983520000000001</v>
      </c>
      <c r="T4835">
        <v>-0.32520090000000001</v>
      </c>
      <c r="U4835">
        <v>-0.68014529999999995</v>
      </c>
      <c r="V4835">
        <v>6.3576659999999993E-2</v>
      </c>
      <c r="W4835">
        <v>9.5038129999999998E-2</v>
      </c>
      <c r="X4835">
        <v>0.99344140000000003</v>
      </c>
      <c r="Y4835">
        <v>0.21650430000000001</v>
      </c>
      <c r="Z4835">
        <v>-1.117494E-2</v>
      </c>
      <c r="AA4835">
        <v>0.97621769999999997</v>
      </c>
      <c r="AB4835">
        <v>25</v>
      </c>
      <c r="AC4835">
        <v>10.108999999999901</v>
      </c>
      <c r="AD4835">
        <v>-1.109973046623</v>
      </c>
      <c r="AE4835">
        <v>-2.3210600000000001</v>
      </c>
      <c r="AF4835">
        <v>2.25862331837723</v>
      </c>
      <c r="AG4835">
        <v>-1.109973046623</v>
      </c>
      <c r="AH4835">
        <v>10.0027712718983</v>
      </c>
      <c r="AI4835">
        <v>96.177728421077106</v>
      </c>
      <c r="AJ4835">
        <v>77.276009301762301</v>
      </c>
      <c r="AK4835">
        <v>10.314497204248999</v>
      </c>
      <c r="AL4835">
        <v>84.546485715045506</v>
      </c>
      <c r="AM4835">
        <v>86.338270606741006</v>
      </c>
      <c r="AN4835">
        <v>1.0000000265422999</v>
      </c>
    </row>
    <row r="4836" spans="1:40" x14ac:dyDescent="0.25">
      <c r="A4836" t="str">
        <f>"20190312151633945"</f>
        <v>20190312151633945</v>
      </c>
      <c r="B4836" t="str">
        <f>"1552374993942656"</f>
        <v>1552374993942656</v>
      </c>
      <c r="C4836" t="s">
        <v>40</v>
      </c>
      <c r="D4836">
        <v>4.6723019999999904</v>
      </c>
      <c r="E4836">
        <v>0.52894149999999995</v>
      </c>
      <c r="F4836" t="s">
        <v>43</v>
      </c>
      <c r="G4836">
        <v>-353.90550000000002</v>
      </c>
      <c r="H4836" s="1">
        <v>-3.6258940000000001E-6</v>
      </c>
      <c r="I4836">
        <v>13.8147</v>
      </c>
      <c r="J4836">
        <v>-371.2174</v>
      </c>
      <c r="K4836">
        <v>1.109972</v>
      </c>
      <c r="L4836">
        <v>16.844819999999999</v>
      </c>
      <c r="M4836">
        <v>0.99992440000000005</v>
      </c>
      <c r="N4836">
        <v>0</v>
      </c>
      <c r="O4836">
        <v>-3.5697350000000001E-3</v>
      </c>
      <c r="P4836">
        <v>0.99420399999999998</v>
      </c>
      <c r="Q4836">
        <v>8.3877359999999998E-2</v>
      </c>
      <c r="R4836">
        <v>-6.7253510000000002E-2</v>
      </c>
      <c r="S4836">
        <v>2.9981689999999999</v>
      </c>
      <c r="T4836">
        <v>-0.1908281</v>
      </c>
      <c r="U4836">
        <v>-0.52099609999999996</v>
      </c>
      <c r="V4836">
        <v>6.3693169999999993E-2</v>
      </c>
      <c r="W4836">
        <v>9.5583979999999999E-2</v>
      </c>
      <c r="X4836">
        <v>0.99338159999999998</v>
      </c>
      <c r="Y4836">
        <v>0.16736570000000001</v>
      </c>
      <c r="Z4836">
        <v>-5.0561319999999996E-3</v>
      </c>
      <c r="AA4836">
        <v>0.98588189999999998</v>
      </c>
      <c r="AB4836">
        <v>25</v>
      </c>
      <c r="AC4836">
        <v>17.311899999999898</v>
      </c>
      <c r="AD4836">
        <v>-1.1099756258939999</v>
      </c>
      <c r="AE4836">
        <v>-3.0301200000000001</v>
      </c>
      <c r="AF4836">
        <v>2.9565048845264501</v>
      </c>
      <c r="AG4836">
        <v>-1.1099756258939999</v>
      </c>
      <c r="AH4836">
        <v>17.253786851176798</v>
      </c>
      <c r="AI4836">
        <v>93.628160685025406</v>
      </c>
      <c r="AJ4836">
        <v>80.276573787428006</v>
      </c>
      <c r="AK4836">
        <v>17.540414126472299</v>
      </c>
      <c r="AL4836">
        <v>84.515067970386696</v>
      </c>
      <c r="AM4836">
        <v>86.331358232373105</v>
      </c>
      <c r="AN4836">
        <v>1.00000006017792</v>
      </c>
    </row>
    <row r="4837" spans="1:40" x14ac:dyDescent="0.25">
      <c r="A4837" t="str">
        <f>"20190312151633965"</f>
        <v>20190312151633965</v>
      </c>
      <c r="B4837" t="str">
        <f>"1552374993952417"</f>
        <v>1552374993952417</v>
      </c>
      <c r="C4837" t="s">
        <v>40</v>
      </c>
      <c r="D4837">
        <v>4.6689210000000001</v>
      </c>
      <c r="E4837">
        <v>0.5262985</v>
      </c>
      <c r="F4837" t="s">
        <v>43</v>
      </c>
      <c r="G4837">
        <v>-354.16129999999998</v>
      </c>
      <c r="H4837" s="1">
        <v>-3.4201029999999898E-6</v>
      </c>
      <c r="I4837">
        <v>14.356299999999999</v>
      </c>
      <c r="J4837">
        <v>-371.00599999999997</v>
      </c>
      <c r="K4837">
        <v>1.1099749999999999</v>
      </c>
      <c r="L4837">
        <v>16.844179999999898</v>
      </c>
      <c r="M4837">
        <v>0.99992499999999995</v>
      </c>
      <c r="N4837">
        <v>0</v>
      </c>
      <c r="O4837">
        <v>-3.4934580000000001E-3</v>
      </c>
      <c r="P4837">
        <v>0.99407800000000002</v>
      </c>
      <c r="Q4837">
        <v>8.5471749999999999E-2</v>
      </c>
      <c r="R4837">
        <v>-6.7110080000000003E-2</v>
      </c>
      <c r="S4837">
        <v>3.0043329999999999</v>
      </c>
      <c r="T4837">
        <v>-0.19551560000000001</v>
      </c>
      <c r="U4837">
        <v>-0.43832399999999999</v>
      </c>
      <c r="V4837">
        <v>6.3625870000000001E-2</v>
      </c>
      <c r="W4837">
        <v>9.7158770000000005E-2</v>
      </c>
      <c r="X4837">
        <v>0.99323309999999998</v>
      </c>
      <c r="Y4837">
        <v>0.1406269</v>
      </c>
      <c r="Z4837">
        <v>-4.3211050000000004E-3</v>
      </c>
      <c r="AA4837">
        <v>0.99005319999999997</v>
      </c>
      <c r="AB4837">
        <v>25</v>
      </c>
      <c r="AC4837">
        <v>16.8446999999999</v>
      </c>
      <c r="AD4837">
        <v>-1.1099784201030001</v>
      </c>
      <c r="AE4837">
        <v>-2.4878799999999899</v>
      </c>
      <c r="AF4837">
        <v>2.4187362584058101</v>
      </c>
      <c r="AG4837">
        <v>-1.1099784201030001</v>
      </c>
      <c r="AH4837">
        <v>16.781975263594699</v>
      </c>
      <c r="AI4837">
        <v>93.745504565455093</v>
      </c>
      <c r="AJ4837">
        <v>81.798606346331695</v>
      </c>
      <c r="AK4837">
        <v>16.991675342023399</v>
      </c>
      <c r="AL4837">
        <v>84.424417062729304</v>
      </c>
      <c r="AM4837">
        <v>86.334677619696905</v>
      </c>
      <c r="AN4837">
        <v>1.0000000344283799</v>
      </c>
    </row>
    <row r="4838" spans="1:40" x14ac:dyDescent="0.25">
      <c r="A4838" t="str">
        <f>"20190312151633977"</f>
        <v>20190312151633977</v>
      </c>
      <c r="B4838" t="str">
        <f>"1552374993972913"</f>
        <v>1552374993972913</v>
      </c>
      <c r="C4838" t="s">
        <v>40</v>
      </c>
      <c r="D4838">
        <v>4.665591</v>
      </c>
      <c r="E4838">
        <v>0.52367870000000005</v>
      </c>
      <c r="F4838" t="s">
        <v>43</v>
      </c>
      <c r="G4838">
        <v>-353.72449999999998</v>
      </c>
      <c r="H4838" s="1">
        <v>-3.5918940000000001E-6</v>
      </c>
      <c r="I4838">
        <v>14.444369999999999</v>
      </c>
      <c r="J4838">
        <v>-370.86599999999999</v>
      </c>
      <c r="K4838">
        <v>1.109982</v>
      </c>
      <c r="L4838">
        <v>16.843720000000001</v>
      </c>
      <c r="M4838">
        <v>0.99992519999999996</v>
      </c>
      <c r="N4838">
        <v>0</v>
      </c>
      <c r="O4838">
        <v>-3.4430910000000001E-3</v>
      </c>
      <c r="P4838">
        <v>0.99404879999999995</v>
      </c>
      <c r="Q4838">
        <v>8.6058709999999997E-2</v>
      </c>
      <c r="R4838">
        <v>-6.6791409999999996E-2</v>
      </c>
      <c r="S4838">
        <v>3.006256</v>
      </c>
      <c r="T4838">
        <v>-0.19308910000000001</v>
      </c>
      <c r="U4838">
        <v>-0.41744999999999999</v>
      </c>
      <c r="V4838">
        <v>6.3357319999999995E-2</v>
      </c>
      <c r="W4838">
        <v>9.7734879999999996E-2</v>
      </c>
      <c r="X4838">
        <v>0.99319369999999996</v>
      </c>
      <c r="Y4838">
        <v>0.1338657</v>
      </c>
      <c r="Z4838">
        <v>-4.0542989999999999E-3</v>
      </c>
      <c r="AA4838">
        <v>0.99099119999999996</v>
      </c>
      <c r="AB4838">
        <v>25</v>
      </c>
      <c r="AC4838">
        <v>17.141500000000001</v>
      </c>
      <c r="AD4838">
        <v>-1.109985591894</v>
      </c>
      <c r="AE4838">
        <v>-2.3993500000000001</v>
      </c>
      <c r="AF4838">
        <v>2.33072675345006</v>
      </c>
      <c r="AG4838">
        <v>-1.109985591894</v>
      </c>
      <c r="AH4838">
        <v>17.079420286295399</v>
      </c>
      <c r="AI4838">
        <v>93.684351417387703</v>
      </c>
      <c r="AJ4838">
        <v>82.229186173173801</v>
      </c>
      <c r="AK4838">
        <v>17.273417511580501</v>
      </c>
      <c r="AL4838">
        <v>84.391250300548506</v>
      </c>
      <c r="AM4838">
        <v>86.349961785759504</v>
      </c>
      <c r="AN4838">
        <v>0.99999999124294303</v>
      </c>
    </row>
    <row r="4839" spans="1:40" x14ac:dyDescent="0.25">
      <c r="A4839" t="str">
        <f>"20190312151633991"</f>
        <v>20190312151633991</v>
      </c>
      <c r="B4839" t="str">
        <f>"1552374993982673"</f>
        <v>1552374993982673</v>
      </c>
      <c r="C4839" t="s">
        <v>40</v>
      </c>
      <c r="D4839">
        <v>4.8524669999999999</v>
      </c>
      <c r="E4839">
        <v>0.52342109999999997</v>
      </c>
      <c r="F4839" t="s">
        <v>43</v>
      </c>
      <c r="G4839">
        <v>-353.79050000000001</v>
      </c>
      <c r="H4839" s="1">
        <v>-3.5365989999999999E-6</v>
      </c>
      <c r="I4839">
        <v>14.596450000000001</v>
      </c>
      <c r="J4839">
        <v>-370.71510000000001</v>
      </c>
      <c r="K4839">
        <v>1.1099840000000001</v>
      </c>
      <c r="L4839">
        <v>16.843260000000001</v>
      </c>
      <c r="M4839">
        <v>0.99992559999999997</v>
      </c>
      <c r="N4839">
        <v>0</v>
      </c>
      <c r="O4839">
        <v>-3.3887909999999999E-3</v>
      </c>
      <c r="P4839">
        <v>0.99399720000000003</v>
      </c>
      <c r="Q4839">
        <v>8.6992109999999997E-2</v>
      </c>
      <c r="R4839">
        <v>-6.634951E-2</v>
      </c>
      <c r="S4839">
        <v>3.0083310000000001</v>
      </c>
      <c r="T4839">
        <v>-0.19555529999999999</v>
      </c>
      <c r="U4839">
        <v>-0.39590449999999999</v>
      </c>
      <c r="V4839">
        <v>6.2969559999999994E-2</v>
      </c>
      <c r="W4839">
        <v>9.865691E-2</v>
      </c>
      <c r="X4839">
        <v>0.99312719999999999</v>
      </c>
      <c r="Y4839">
        <v>0.12686069999999999</v>
      </c>
      <c r="Z4839">
        <v>-3.8821770000000001E-3</v>
      </c>
      <c r="AA4839">
        <v>0.99191300000000004</v>
      </c>
      <c r="AB4839">
        <v>25</v>
      </c>
      <c r="AC4839">
        <v>16.924599999999899</v>
      </c>
      <c r="AD4839">
        <v>-1.109987536599</v>
      </c>
      <c r="AE4839">
        <v>-2.24681</v>
      </c>
      <c r="AF4839">
        <v>2.1802238463988002</v>
      </c>
      <c r="AG4839">
        <v>-1.109987536599</v>
      </c>
      <c r="AH4839">
        <v>16.860849778556702</v>
      </c>
      <c r="AI4839">
        <v>93.735464345973298</v>
      </c>
      <c r="AJ4839">
        <v>82.632144292576697</v>
      </c>
      <c r="AK4839">
        <v>17.03742068527</v>
      </c>
      <c r="AL4839">
        <v>84.338165328510996</v>
      </c>
      <c r="AM4839">
        <v>86.371998674351502</v>
      </c>
      <c r="AN4839">
        <v>0.99999999337859002</v>
      </c>
    </row>
    <row r="4840" spans="1:40" x14ac:dyDescent="0.25">
      <c r="A4840" t="str">
        <f>"20190312151634010"</f>
        <v>20190312151634010</v>
      </c>
      <c r="B4840" t="str">
        <f>"1552374994003169"</f>
        <v>1552374994003169</v>
      </c>
      <c r="C4840" t="s">
        <v>40</v>
      </c>
      <c r="D4840">
        <v>4.6495139999999999</v>
      </c>
      <c r="E4840">
        <v>0.52232349999999905</v>
      </c>
      <c r="F4840" t="s">
        <v>43</v>
      </c>
      <c r="G4840">
        <v>-353.79730000000001</v>
      </c>
      <c r="H4840" s="1">
        <v>-3.5269859999999999E-6</v>
      </c>
      <c r="I4840">
        <v>14.634169999999999</v>
      </c>
      <c r="J4840">
        <v>-370.5147</v>
      </c>
      <c r="K4840">
        <v>1.1099920000000001</v>
      </c>
      <c r="L4840">
        <v>16.842649999999999</v>
      </c>
      <c r="M4840">
        <v>0.99992599999999998</v>
      </c>
      <c r="N4840">
        <v>0</v>
      </c>
      <c r="O4840">
        <v>-3.3167190000000001E-3</v>
      </c>
      <c r="P4840">
        <v>0.99391130000000005</v>
      </c>
      <c r="Q4840">
        <v>8.8605249999999997E-2</v>
      </c>
      <c r="R4840">
        <v>-6.5498459999999994E-2</v>
      </c>
      <c r="S4840">
        <v>3.0091549999999998</v>
      </c>
      <c r="T4840">
        <v>-0.19743189999999999</v>
      </c>
      <c r="U4840">
        <v>-0.39291379999999998</v>
      </c>
      <c r="V4840">
        <v>6.219015E-2</v>
      </c>
      <c r="W4840">
        <v>0.1002559</v>
      </c>
      <c r="X4840">
        <v>0.99301620000000002</v>
      </c>
      <c r="Y4840">
        <v>0.1259248</v>
      </c>
      <c r="Z4840">
        <v>-3.8927050000000002E-3</v>
      </c>
      <c r="AA4840">
        <v>0.99203220000000003</v>
      </c>
      <c r="AB4840">
        <v>25</v>
      </c>
      <c r="AC4840">
        <v>16.717399999999898</v>
      </c>
      <c r="AD4840">
        <v>-1.109995526986</v>
      </c>
      <c r="AE4840">
        <v>-2.20847999999999</v>
      </c>
      <c r="AF4840">
        <v>2.1437283105225702</v>
      </c>
      <c r="AG4840">
        <v>-1.109995526986</v>
      </c>
      <c r="AH4840">
        <v>16.652477877268701</v>
      </c>
      <c r="AI4840">
        <v>93.782372927385296</v>
      </c>
      <c r="AJ4840">
        <v>82.664470203299501</v>
      </c>
      <c r="AK4840">
        <v>16.826546900424599</v>
      </c>
      <c r="AL4840">
        <v>84.246093575034706</v>
      </c>
      <c r="AM4840">
        <v>86.416387290375297</v>
      </c>
      <c r="AN4840">
        <v>1.0000000168521299</v>
      </c>
    </row>
    <row r="4841" spans="1:40" x14ac:dyDescent="0.25">
      <c r="A4841" t="str">
        <f>"20190312151634031"</f>
        <v>20190312151634031</v>
      </c>
      <c r="B4841" t="str">
        <f>"1552374994022689"</f>
        <v>1552374994022689</v>
      </c>
      <c r="C4841" t="s">
        <v>40</v>
      </c>
      <c r="D4841">
        <v>4.6723600000000003</v>
      </c>
      <c r="E4841">
        <v>0.52160260000000003</v>
      </c>
      <c r="F4841" t="s">
        <v>43</v>
      </c>
      <c r="G4841">
        <v>-353.55939999999998</v>
      </c>
      <c r="H4841" s="1">
        <v>-3.6191440000000002E-6</v>
      </c>
      <c r="I4841">
        <v>14.68999</v>
      </c>
      <c r="J4841">
        <v>-370.27199999999999</v>
      </c>
      <c r="K4841">
        <v>1.1099969999999999</v>
      </c>
      <c r="L4841">
        <v>16.84198</v>
      </c>
      <c r="M4841">
        <v>0.99992630000000005</v>
      </c>
      <c r="N4841">
        <v>0</v>
      </c>
      <c r="O4841">
        <v>-3.229623E-3</v>
      </c>
      <c r="P4841">
        <v>0.99377570000000004</v>
      </c>
      <c r="Q4841">
        <v>9.0357499999999993E-2</v>
      </c>
      <c r="R4841">
        <v>-6.5158400000000005E-2</v>
      </c>
      <c r="S4841">
        <v>3.010742</v>
      </c>
      <c r="T4841">
        <v>-0.1971012</v>
      </c>
      <c r="U4841">
        <v>-0.38223269999999998</v>
      </c>
      <c r="V4841">
        <v>6.1937039999999999E-2</v>
      </c>
      <c r="W4841">
        <v>0.1019936</v>
      </c>
      <c r="X4841">
        <v>0.99285500000000004</v>
      </c>
      <c r="Y4841">
        <v>0.1224894</v>
      </c>
      <c r="Z4841">
        <v>-3.7788320000000002E-3</v>
      </c>
      <c r="AA4841">
        <v>0.99246259999999997</v>
      </c>
      <c r="AB4841">
        <v>25</v>
      </c>
      <c r="AC4841">
        <v>16.712599999999998</v>
      </c>
      <c r="AD4841">
        <v>-1.1100006191439999</v>
      </c>
      <c r="AE4841">
        <v>-2.1519900000000001</v>
      </c>
      <c r="AF4841">
        <v>2.0889352264384602</v>
      </c>
      <c r="AG4841">
        <v>-1.1100006191439999</v>
      </c>
      <c r="AH4841">
        <v>16.647226602541998</v>
      </c>
      <c r="AI4841">
        <v>93.785114268552704</v>
      </c>
      <c r="AJ4841">
        <v>82.847766673816494</v>
      </c>
      <c r="AK4841">
        <v>16.814455248717898</v>
      </c>
      <c r="AL4841">
        <v>84.1460174056498</v>
      </c>
      <c r="AM4841">
        <v>86.430356616338898</v>
      </c>
      <c r="AN4841">
        <v>0.99999997119495998</v>
      </c>
    </row>
    <row r="4842" spans="1:40" x14ac:dyDescent="0.25">
      <c r="A4842" t="str">
        <f>"20190312151634044"</f>
        <v>20190312151634044</v>
      </c>
      <c r="B4842" t="str">
        <f>"1552374994032449"</f>
        <v>1552374994032449</v>
      </c>
      <c r="C4842" t="s">
        <v>40</v>
      </c>
      <c r="D4842">
        <v>4.6322929999999998</v>
      </c>
      <c r="E4842">
        <v>0.52139429999999998</v>
      </c>
      <c r="F4842" t="s">
        <v>43</v>
      </c>
      <c r="G4842">
        <v>-353.22629999999998</v>
      </c>
      <c r="H4842" s="1">
        <v>-3.7578080000000001E-6</v>
      </c>
      <c r="I4842">
        <v>14.713900000000001</v>
      </c>
      <c r="J4842">
        <v>-370.13619999999997</v>
      </c>
      <c r="K4842">
        <v>1.1099969999999999</v>
      </c>
      <c r="L4842">
        <v>16.84158</v>
      </c>
      <c r="M4842">
        <v>0.9999266</v>
      </c>
      <c r="N4842">
        <v>0</v>
      </c>
      <c r="O4842">
        <v>-3.1809500000000001E-3</v>
      </c>
      <c r="P4842">
        <v>0.99374960000000001</v>
      </c>
      <c r="Q4842">
        <v>9.0858649999999999E-2</v>
      </c>
      <c r="R4842">
        <v>-6.4858780000000005E-2</v>
      </c>
      <c r="S4842">
        <v>3.0119020000000001</v>
      </c>
      <c r="T4842">
        <v>-0.19613169999999999</v>
      </c>
      <c r="U4842">
        <v>-0.37600709999999998</v>
      </c>
      <c r="V4842">
        <v>6.1685959999999998E-2</v>
      </c>
      <c r="W4842">
        <v>0.10248740000000001</v>
      </c>
      <c r="X4842">
        <v>0.99281980000000003</v>
      </c>
      <c r="Y4842">
        <v>0.1204769</v>
      </c>
      <c r="Z4842">
        <v>-3.6972839999999999E-3</v>
      </c>
      <c r="AA4842">
        <v>0.99270919999999896</v>
      </c>
      <c r="AB4842">
        <v>25</v>
      </c>
      <c r="AC4842">
        <v>16.909899999999901</v>
      </c>
      <c r="AD4842">
        <v>-1.110000757808</v>
      </c>
      <c r="AE4842">
        <v>-2.1276799999999998</v>
      </c>
      <c r="AF4842">
        <v>2.06511635265027</v>
      </c>
      <c r="AG4842">
        <v>-1.110000757808</v>
      </c>
      <c r="AH4842">
        <v>16.845130506694101</v>
      </c>
      <c r="AI4842">
        <v>93.742088882455306</v>
      </c>
      <c r="AJ4842">
        <v>83.010741600319506</v>
      </c>
      <c r="AK4842">
        <v>17.007505079225201</v>
      </c>
      <c r="AL4842">
        <v>84.117575817121903</v>
      </c>
      <c r="AM4842">
        <v>86.444664300139195</v>
      </c>
      <c r="AN4842">
        <v>0.99999999004595996</v>
      </c>
    </row>
    <row r="4843" spans="1:40" x14ac:dyDescent="0.25">
      <c r="A4843" t="str">
        <f>"20190312151634055"</f>
        <v>20190312151634055</v>
      </c>
      <c r="B4843" t="str">
        <f>"1552374994043185"</f>
        <v>1552374994043185</v>
      </c>
      <c r="C4843" t="s">
        <v>40</v>
      </c>
      <c r="D4843">
        <v>4.6566179999999999</v>
      </c>
      <c r="E4843">
        <v>0.52127699999999999</v>
      </c>
      <c r="F4843" t="s">
        <v>43</v>
      </c>
      <c r="G4843">
        <v>-353.16340000000002</v>
      </c>
      <c r="H4843" s="1">
        <v>-3.7808669999999998E-6</v>
      </c>
      <c r="I4843">
        <v>14.736050000000001</v>
      </c>
      <c r="J4843">
        <v>-370.01310000000001</v>
      </c>
      <c r="K4843">
        <v>1.109998</v>
      </c>
      <c r="L4843">
        <v>16.841249999999999</v>
      </c>
      <c r="M4843">
        <v>0.99992669999999995</v>
      </c>
      <c r="N4843">
        <v>0</v>
      </c>
      <c r="O4843">
        <v>-3.136692E-3</v>
      </c>
      <c r="P4843">
        <v>0.99370060000000004</v>
      </c>
      <c r="Q4843">
        <v>9.1488979999999998E-2</v>
      </c>
      <c r="R4843">
        <v>-6.4723310000000006E-2</v>
      </c>
      <c r="S4843">
        <v>3.012451</v>
      </c>
      <c r="T4843">
        <v>-0.1970102</v>
      </c>
      <c r="U4843">
        <v>-0.37368770000000001</v>
      </c>
      <c r="V4843">
        <v>6.1594549999999998E-2</v>
      </c>
      <c r="W4843">
        <v>0.1031116</v>
      </c>
      <c r="X4843">
        <v>0.9927608</v>
      </c>
      <c r="Y4843">
        <v>0.1197452</v>
      </c>
      <c r="Z4843">
        <v>-3.6923839999999999E-3</v>
      </c>
      <c r="AA4843">
        <v>0.99279779999999995</v>
      </c>
      <c r="AB4843">
        <v>25</v>
      </c>
      <c r="AC4843">
        <v>16.849699999999899</v>
      </c>
      <c r="AD4843">
        <v>-1.110001780867</v>
      </c>
      <c r="AE4843">
        <v>-2.1051999999999902</v>
      </c>
      <c r="AF4843">
        <v>2.0436013368118799</v>
      </c>
      <c r="AG4843">
        <v>-1.110001780867</v>
      </c>
      <c r="AH4843">
        <v>16.784500223289498</v>
      </c>
      <c r="AI4843">
        <v>93.755949416963801</v>
      </c>
      <c r="AJ4843">
        <v>83.0581054150054</v>
      </c>
      <c r="AK4843">
        <v>16.944847539088499</v>
      </c>
      <c r="AL4843">
        <v>84.081621059326295</v>
      </c>
      <c r="AM4843">
        <v>86.449708886025803</v>
      </c>
      <c r="AN4843">
        <v>0.99999994833044903</v>
      </c>
    </row>
    <row r="4844" spans="1:40" x14ac:dyDescent="0.25">
      <c r="A4844" t="str">
        <f>"20190312151634066"</f>
        <v>20190312151634066</v>
      </c>
      <c r="B4844" t="str">
        <f>"1552374994062705"</f>
        <v>1552374994062705</v>
      </c>
      <c r="C4844" t="s">
        <v>40</v>
      </c>
      <c r="D4844">
        <v>4.6511809999999896</v>
      </c>
      <c r="E4844">
        <v>0.52116669999999998</v>
      </c>
      <c r="F4844" t="s">
        <v>41</v>
      </c>
      <c r="G4844">
        <v>-369.08170000000001</v>
      </c>
      <c r="H4844">
        <v>1.0492969999999999</v>
      </c>
      <c r="I4844">
        <v>16.726040000000001</v>
      </c>
      <c r="J4844">
        <v>-369.8886</v>
      </c>
      <c r="K4844">
        <v>1.1100000000000001</v>
      </c>
      <c r="L4844">
        <v>16.84094</v>
      </c>
      <c r="M4844">
        <v>0.99992689999999995</v>
      </c>
      <c r="N4844">
        <v>0</v>
      </c>
      <c r="O4844">
        <v>-3.0918410000000001E-3</v>
      </c>
      <c r="P4844">
        <v>0.9936644</v>
      </c>
      <c r="Q4844">
        <v>9.1894050000000005E-2</v>
      </c>
      <c r="R4844">
        <v>-6.4703699999999906E-2</v>
      </c>
      <c r="S4844">
        <v>3.012848</v>
      </c>
      <c r="T4844">
        <v>-0.19637640000000001</v>
      </c>
      <c r="U4844">
        <v>-0.37258910000000001</v>
      </c>
      <c r="V4844">
        <v>6.161937E-2</v>
      </c>
      <c r="W4844">
        <v>0.1035109</v>
      </c>
      <c r="X4844">
        <v>0.99271770000000004</v>
      </c>
      <c r="Y4844">
        <v>0.1194195</v>
      </c>
      <c r="Z4844">
        <v>-3.6724769999999999E-3</v>
      </c>
      <c r="AA4844">
        <v>0.99283710000000003</v>
      </c>
      <c r="AB4844">
        <v>25</v>
      </c>
      <c r="AC4844">
        <v>0.80689999999998396</v>
      </c>
      <c r="AD4844">
        <v>-6.0703000000000097E-2</v>
      </c>
      <c r="AE4844">
        <v>-0.114899999999998</v>
      </c>
      <c r="AF4844">
        <v>0.111784399032134</v>
      </c>
      <c r="AG4844">
        <v>-6.0703000000000097E-2</v>
      </c>
      <c r="AH4844">
        <v>0.80279824964199997</v>
      </c>
      <c r="AI4844">
        <v>94.282984163387496</v>
      </c>
      <c r="AJ4844">
        <v>82.072907788356204</v>
      </c>
      <c r="AK4844">
        <v>0.81281340767991495</v>
      </c>
      <c r="AL4844">
        <v>84.058619740550697</v>
      </c>
      <c r="AM4844">
        <v>86.448128122903796</v>
      </c>
      <c r="AN4844">
        <v>0.99999994253564695</v>
      </c>
    </row>
    <row r="4845" spans="1:40" x14ac:dyDescent="0.25">
      <c r="A4845" t="str">
        <f>"20190312151634077"</f>
        <v>20190312151634077</v>
      </c>
      <c r="B4845" t="str">
        <f>"1552374994072465"</f>
        <v>1552374994072465</v>
      </c>
      <c r="C4845" t="s">
        <v>40</v>
      </c>
      <c r="D4845">
        <v>4.6322330000000003</v>
      </c>
      <c r="E4845">
        <v>0.52104980000000001</v>
      </c>
      <c r="F4845" t="s">
        <v>43</v>
      </c>
      <c r="G4845">
        <v>-353.12049999999999</v>
      </c>
      <c r="H4845" s="1">
        <v>-3.7930649999999998E-6</v>
      </c>
      <c r="I4845">
        <v>14.77079</v>
      </c>
      <c r="J4845">
        <v>-369.77440000000001</v>
      </c>
      <c r="K4845">
        <v>1.1100019999999999</v>
      </c>
      <c r="L4845">
        <v>16.840610000000002</v>
      </c>
      <c r="M4845">
        <v>0.99992709999999996</v>
      </c>
      <c r="N4845">
        <v>0</v>
      </c>
      <c r="O4845">
        <v>-3.0508089999999998E-3</v>
      </c>
      <c r="P4845">
        <v>0.99360850000000001</v>
      </c>
      <c r="Q4845">
        <v>9.2424530000000005E-2</v>
      </c>
      <c r="R4845">
        <v>-6.4807729999999994E-2</v>
      </c>
      <c r="S4845">
        <v>3.0133670000000001</v>
      </c>
      <c r="T4845">
        <v>-0.19947780000000001</v>
      </c>
      <c r="U4845">
        <v>-0.37200929999999999</v>
      </c>
      <c r="V4845">
        <v>6.176442E-2</v>
      </c>
      <c r="W4845">
        <v>0.1040359</v>
      </c>
      <c r="X4845">
        <v>0.99265380000000003</v>
      </c>
      <c r="Y4845">
        <v>0.1192438</v>
      </c>
      <c r="Z4845">
        <v>-3.7266780000000002E-3</v>
      </c>
      <c r="AA4845">
        <v>0.99285800000000002</v>
      </c>
      <c r="AB4845">
        <v>25</v>
      </c>
      <c r="AC4845">
        <v>16.6539</v>
      </c>
      <c r="AD4845">
        <v>-1.110005793065</v>
      </c>
      <c r="AE4845">
        <v>-2.06982</v>
      </c>
      <c r="AF4845">
        <v>2.0102047204605</v>
      </c>
      <c r="AG4845">
        <v>-1.110005793065</v>
      </c>
      <c r="AH4845">
        <v>16.587569694022999</v>
      </c>
      <c r="AI4845">
        <v>93.800682074845298</v>
      </c>
      <c r="AJ4845">
        <v>83.090167854265005</v>
      </c>
      <c r="AK4845">
        <v>16.745760783937801</v>
      </c>
      <c r="AL4845">
        <v>84.028376149091599</v>
      </c>
      <c r="AM4845">
        <v>86.4395600197726</v>
      </c>
      <c r="AN4845">
        <v>0.99999993936059095</v>
      </c>
    </row>
    <row r="4846" spans="1:40" x14ac:dyDescent="0.25">
      <c r="A4846" t="str">
        <f>"20190312151634090"</f>
        <v>20190312151634090</v>
      </c>
      <c r="B4846" t="str">
        <f>"1552374994083201"</f>
        <v>1552374994083201</v>
      </c>
      <c r="C4846" t="s">
        <v>40</v>
      </c>
      <c r="D4846">
        <v>4.6366319999999996</v>
      </c>
      <c r="E4846">
        <v>0.52086899999999903</v>
      </c>
      <c r="F4846" t="s">
        <v>41</v>
      </c>
      <c r="G4846">
        <v>-368.86200000000002</v>
      </c>
      <c r="H4846">
        <v>1.049396</v>
      </c>
      <c r="I4846">
        <v>16.727900000000002</v>
      </c>
      <c r="J4846">
        <v>-369.62650000000002</v>
      </c>
      <c r="K4846">
        <v>1.1100049999999999</v>
      </c>
      <c r="L4846">
        <v>16.840209999999999</v>
      </c>
      <c r="M4846">
        <v>0.99992749999999997</v>
      </c>
      <c r="N4846">
        <v>0</v>
      </c>
      <c r="O4846">
        <v>-2.9977319999999999E-3</v>
      </c>
      <c r="P4846">
        <v>0.99354450000000005</v>
      </c>
      <c r="Q4846">
        <v>9.3179230000000002E-2</v>
      </c>
      <c r="R4846">
        <v>-6.4709370000000002E-2</v>
      </c>
      <c r="S4846">
        <v>3.0137019999999999</v>
      </c>
      <c r="T4846">
        <v>-0.2001433</v>
      </c>
      <c r="U4846">
        <v>-0.37176510000000001</v>
      </c>
      <c r="V4846">
        <v>6.171898E-2</v>
      </c>
      <c r="W4846">
        <v>0.1047843</v>
      </c>
      <c r="X4846">
        <v>0.99257799999999996</v>
      </c>
      <c r="Y4846">
        <v>0.11920219999999999</v>
      </c>
      <c r="Z4846">
        <v>-3.7408229999999999E-3</v>
      </c>
      <c r="AA4846">
        <v>0.99286289999999999</v>
      </c>
      <c r="AB4846">
        <v>25</v>
      </c>
      <c r="AC4846">
        <v>0.76450000000005502</v>
      </c>
      <c r="AD4846">
        <v>-6.0608999999999899E-2</v>
      </c>
      <c r="AE4846">
        <v>-0.112309999999997</v>
      </c>
      <c r="AF4846">
        <v>0.10934483755520399</v>
      </c>
      <c r="AG4846">
        <v>-6.0608999999999899E-2</v>
      </c>
      <c r="AH4846">
        <v>0.760156458084706</v>
      </c>
      <c r="AI4846">
        <v>94.512428183872899</v>
      </c>
      <c r="AJ4846">
        <v>81.814427553223595</v>
      </c>
      <c r="AK4846">
        <v>0.77036847362081196</v>
      </c>
      <c r="AL4846">
        <v>83.985260898762107</v>
      </c>
      <c r="AM4846">
        <v>86.441901698027493</v>
      </c>
      <c r="AN4846">
        <v>1.00000003405136</v>
      </c>
    </row>
    <row r="4847" spans="1:40" x14ac:dyDescent="0.25">
      <c r="A4847" t="str">
        <f>"20190312151634103"</f>
        <v>20190312151634103</v>
      </c>
      <c r="B4847" t="str">
        <f>"1552374994092961"</f>
        <v>1552374994092961</v>
      </c>
      <c r="C4847" t="s">
        <v>40</v>
      </c>
      <c r="D4847">
        <v>4.6107399999999998</v>
      </c>
      <c r="E4847">
        <v>0.52078139999999995</v>
      </c>
      <c r="F4847" t="s">
        <v>43</v>
      </c>
      <c r="G4847">
        <v>-352.89359999999999</v>
      </c>
      <c r="H4847" s="1">
        <v>-3.88805799999999E-6</v>
      </c>
      <c r="I4847">
        <v>14.78407</v>
      </c>
      <c r="J4847">
        <v>-369.48579999999998</v>
      </c>
      <c r="K4847">
        <v>1.110007</v>
      </c>
      <c r="L4847">
        <v>16.839870000000001</v>
      </c>
      <c r="M4847">
        <v>0.99992760000000003</v>
      </c>
      <c r="N4847">
        <v>0</v>
      </c>
      <c r="O4847">
        <v>-2.9470429999999999E-3</v>
      </c>
      <c r="P4847">
        <v>0.9934828</v>
      </c>
      <c r="Q4847">
        <v>9.3728329999999999E-2</v>
      </c>
      <c r="R4847">
        <v>-6.486277E-2</v>
      </c>
      <c r="S4847">
        <v>3.0141300000000002</v>
      </c>
      <c r="T4847">
        <v>-0.19994819999999999</v>
      </c>
      <c r="U4847">
        <v>-0.3703613</v>
      </c>
      <c r="V4847">
        <v>6.1922810000000002E-2</v>
      </c>
      <c r="W4847">
        <v>0.1053282</v>
      </c>
      <c r="X4847">
        <v>0.99250769999999999</v>
      </c>
      <c r="Y4847">
        <v>0.11878130000000001</v>
      </c>
      <c r="Z4847">
        <v>-3.7262160000000001E-3</v>
      </c>
      <c r="AA4847">
        <v>0.99291339999999995</v>
      </c>
      <c r="AB4847">
        <v>25</v>
      </c>
      <c r="AC4847">
        <v>16.592199999999899</v>
      </c>
      <c r="AD4847">
        <v>-1.110010888058</v>
      </c>
      <c r="AE4847">
        <v>-2.0558000000000001</v>
      </c>
      <c r="AF4847">
        <v>1.99808250231186</v>
      </c>
      <c r="AG4847">
        <v>-1.110010888058</v>
      </c>
      <c r="AH4847">
        <v>16.525345091576298</v>
      </c>
      <c r="AI4847">
        <v>93.815094263132806</v>
      </c>
      <c r="AJ4847">
        <v>83.105822775271093</v>
      </c>
      <c r="AK4847">
        <v>16.682670297447501</v>
      </c>
      <c r="AL4847">
        <v>83.953924106452106</v>
      </c>
      <c r="AM4847">
        <v>86.429929039769306</v>
      </c>
      <c r="AN4847">
        <v>0.99999999933641304</v>
      </c>
    </row>
    <row r="4848" spans="1:40" x14ac:dyDescent="0.25">
      <c r="A4848" t="str">
        <f>"20190312151634121"</f>
        <v>20190312151634121</v>
      </c>
      <c r="B4848" t="str">
        <f>"1552374994112987"</f>
        <v>1552374994112987</v>
      </c>
      <c r="C4848" t="s">
        <v>40</v>
      </c>
      <c r="D4848">
        <v>4.6173039999999999</v>
      </c>
      <c r="E4848">
        <v>0.52044869999999999</v>
      </c>
      <c r="F4848" t="s">
        <v>43</v>
      </c>
      <c r="G4848">
        <v>-352.74610000000001</v>
      </c>
      <c r="H4848" s="1">
        <v>-3.9517760000000002E-6</v>
      </c>
      <c r="I4848">
        <v>14.78168</v>
      </c>
      <c r="J4848">
        <v>-369.2876</v>
      </c>
      <c r="K4848">
        <v>1.1100179999999999</v>
      </c>
      <c r="L4848">
        <v>16.839359999999999</v>
      </c>
      <c r="M4848">
        <v>0.99992780000000003</v>
      </c>
      <c r="N4848">
        <v>0</v>
      </c>
      <c r="O4848">
        <v>-2.8755090000000001E-3</v>
      </c>
      <c r="P4848">
        <v>0.99333879999999997</v>
      </c>
      <c r="Q4848">
        <v>9.5059270000000001E-2</v>
      </c>
      <c r="R4848">
        <v>-6.5130320000000005E-2</v>
      </c>
      <c r="S4848">
        <v>3.0143430000000002</v>
      </c>
      <c r="T4848">
        <v>-0.19988130000000001</v>
      </c>
      <c r="U4848">
        <v>-0.37060549999999998</v>
      </c>
      <c r="V4848">
        <v>6.226164E-2</v>
      </c>
      <c r="W4848">
        <v>0.1066563</v>
      </c>
      <c r="X4848">
        <v>0.99234469999999997</v>
      </c>
      <c r="Y4848">
        <v>0.11892270000000001</v>
      </c>
      <c r="Z4848">
        <v>-3.7340810000000002E-3</v>
      </c>
      <c r="AA4848">
        <v>0.99289649999999996</v>
      </c>
      <c r="AB4848">
        <v>25</v>
      </c>
      <c r="AC4848">
        <v>16.5414999999999</v>
      </c>
      <c r="AD4848">
        <v>-1.1100219517759999</v>
      </c>
      <c r="AE4848">
        <v>-2.0576799999999902</v>
      </c>
      <c r="AF4848">
        <v>2.00122857708863</v>
      </c>
      <c r="AG4848">
        <v>-1.1100219517759999</v>
      </c>
      <c r="AH4848">
        <v>16.474293655482001</v>
      </c>
      <c r="AI4848">
        <v>93.826661866420196</v>
      </c>
      <c r="AJ4848">
        <v>83.073882448707494</v>
      </c>
      <c r="AK4848">
        <v>16.6324807529796</v>
      </c>
      <c r="AL4848">
        <v>83.877398759021503</v>
      </c>
      <c r="AM4848">
        <v>86.409857149088594</v>
      </c>
      <c r="AN4848">
        <v>1.0000000408816301</v>
      </c>
    </row>
    <row r="4849" spans="1:40" x14ac:dyDescent="0.25">
      <c r="A4849" t="str">
        <f>"20190312151634131"</f>
        <v>20190312151634131</v>
      </c>
      <c r="B4849" t="str">
        <f>"1552374994122750"</f>
        <v>1552374994122750</v>
      </c>
      <c r="C4849" t="s">
        <v>40</v>
      </c>
      <c r="D4849">
        <v>4.5959110000000001</v>
      </c>
      <c r="E4849">
        <v>0.52041539999999997</v>
      </c>
      <c r="F4849" t="s">
        <v>43</v>
      </c>
      <c r="G4849">
        <v>-352.17610000000002</v>
      </c>
      <c r="H4849" s="1">
        <v>-4.20311999999999E-6</v>
      </c>
      <c r="I4849">
        <v>14.74325</v>
      </c>
      <c r="J4849">
        <v>-369.16969999999998</v>
      </c>
      <c r="K4849">
        <v>1.1100239999999999</v>
      </c>
      <c r="L4849">
        <v>16.83905</v>
      </c>
      <c r="M4849">
        <v>0.99992789999999998</v>
      </c>
      <c r="N4849">
        <v>0</v>
      </c>
      <c r="O4849">
        <v>-2.8329649999999998E-3</v>
      </c>
      <c r="P4849">
        <v>0.99324979999999996</v>
      </c>
      <c r="Q4849">
        <v>9.5892240000000004E-2</v>
      </c>
      <c r="R4849">
        <v>-6.5266260000000006E-2</v>
      </c>
      <c r="S4849">
        <v>3.0145870000000001</v>
      </c>
      <c r="T4849">
        <v>-0.19555649999999999</v>
      </c>
      <c r="U4849">
        <v>-0.3692627</v>
      </c>
      <c r="V4849">
        <v>6.2440120000000002E-2</v>
      </c>
      <c r="W4849">
        <v>0.10749019999999999</v>
      </c>
      <c r="X4849">
        <v>0.99224349999999994</v>
      </c>
      <c r="Y4849">
        <v>0.118531</v>
      </c>
      <c r="Z4849">
        <v>-3.6433640000000001E-3</v>
      </c>
      <c r="AA4849">
        <v>0.99294360000000004</v>
      </c>
      <c r="AB4849">
        <v>25</v>
      </c>
      <c r="AC4849">
        <v>16.993599999999901</v>
      </c>
      <c r="AD4849">
        <v>-1.1100282031199999</v>
      </c>
      <c r="AE4849">
        <v>-2.0958000000000001</v>
      </c>
      <c r="AF4849">
        <v>2.03907615529377</v>
      </c>
      <c r="AG4849">
        <v>-1.1100282031199999</v>
      </c>
      <c r="AH4849">
        <v>16.928322743247801</v>
      </c>
      <c r="AI4849">
        <v>93.724794606951704</v>
      </c>
      <c r="AJ4849">
        <v>83.131611739664706</v>
      </c>
      <c r="AK4849">
        <v>17.086781589239301</v>
      </c>
      <c r="AL4849">
        <v>83.829343525044095</v>
      </c>
      <c r="AM4849">
        <v>86.399226389513998</v>
      </c>
      <c r="AN4849">
        <v>1.00000003748695</v>
      </c>
    </row>
    <row r="4850" spans="1:40" x14ac:dyDescent="0.25">
      <c r="A4850" t="str">
        <f>"20190312151634143"</f>
        <v>20190312151634143</v>
      </c>
      <c r="B4850" t="str">
        <f>"1552374994132507"</f>
        <v>1552374994132507</v>
      </c>
      <c r="C4850" t="s">
        <v>40</v>
      </c>
      <c r="D4850">
        <v>4.5732599999999897</v>
      </c>
      <c r="E4850">
        <v>0.52039919999999995</v>
      </c>
      <c r="F4850" t="s">
        <v>43</v>
      </c>
      <c r="G4850">
        <v>-351.97800000000001</v>
      </c>
      <c r="H4850" s="1">
        <v>-4.290423E-6</v>
      </c>
      <c r="I4850">
        <v>14.7302</v>
      </c>
      <c r="J4850">
        <v>-369.04930000000002</v>
      </c>
      <c r="K4850">
        <v>1.1100270000000001</v>
      </c>
      <c r="L4850">
        <v>16.83878</v>
      </c>
      <c r="M4850">
        <v>0.99992800000000004</v>
      </c>
      <c r="N4850">
        <v>0</v>
      </c>
      <c r="O4850">
        <v>-2.7894819999999998E-3</v>
      </c>
      <c r="P4850">
        <v>0.99317109999999997</v>
      </c>
      <c r="Q4850">
        <v>9.6560030000000005E-2</v>
      </c>
      <c r="R4850">
        <v>-6.5481410000000004E-2</v>
      </c>
      <c r="S4850">
        <v>3.0148929999999998</v>
      </c>
      <c r="T4850">
        <v>-0.19466449999999999</v>
      </c>
      <c r="U4850">
        <v>-0.36981199999999997</v>
      </c>
      <c r="V4850">
        <v>6.2698429999999999E-2</v>
      </c>
      <c r="W4850">
        <v>0.10816240000000001</v>
      </c>
      <c r="X4850">
        <v>0.99215410000000004</v>
      </c>
      <c r="Y4850">
        <v>0.118742</v>
      </c>
      <c r="Z4850">
        <v>-3.635948E-3</v>
      </c>
      <c r="AA4850">
        <v>0.99291850000000004</v>
      </c>
      <c r="AB4850">
        <v>25</v>
      </c>
      <c r="AC4850">
        <v>17.071300000000001</v>
      </c>
      <c r="AD4850">
        <v>-1.1100312904230001</v>
      </c>
      <c r="AE4850">
        <v>-2.1085799999999999</v>
      </c>
      <c r="AF4850">
        <v>2.05240126752593</v>
      </c>
      <c r="AG4850">
        <v>-1.1100312904230001</v>
      </c>
      <c r="AH4850">
        <v>17.006293318681699</v>
      </c>
      <c r="AI4850">
        <v>93.707673545328603</v>
      </c>
      <c r="AJ4850">
        <v>83.118550026549698</v>
      </c>
      <c r="AK4850">
        <v>17.165620666602699</v>
      </c>
      <c r="AL4850">
        <v>83.790603067621007</v>
      </c>
      <c r="AM4850">
        <v>86.384044769052096</v>
      </c>
      <c r="AN4850">
        <v>0.99999997802251706</v>
      </c>
    </row>
    <row r="4851" spans="1:40" x14ac:dyDescent="0.25">
      <c r="A4851" t="str">
        <f>"20190312151634153"</f>
        <v>20190312151634153</v>
      </c>
      <c r="B4851" t="str">
        <f>"1552374994143243"</f>
        <v>1552374994143243</v>
      </c>
      <c r="C4851" t="s">
        <v>40</v>
      </c>
      <c r="D4851">
        <v>4.6127599999999997</v>
      </c>
      <c r="E4851">
        <v>0.52037579999999894</v>
      </c>
      <c r="F4851" t="s">
        <v>43</v>
      </c>
      <c r="G4851">
        <v>-351.80470000000003</v>
      </c>
      <c r="H4851" s="1">
        <v>-4.3667650000000004E-6</v>
      </c>
      <c r="I4851">
        <v>14.71902</v>
      </c>
      <c r="J4851">
        <v>-368.92809999999997</v>
      </c>
      <c r="K4851">
        <v>1.110034</v>
      </c>
      <c r="L4851">
        <v>16.838470000000001</v>
      </c>
      <c r="M4851">
        <v>0.99992789999999998</v>
      </c>
      <c r="N4851">
        <v>0</v>
      </c>
      <c r="O4851">
        <v>-2.7455230000000001E-3</v>
      </c>
      <c r="P4851">
        <v>0.99302140000000005</v>
      </c>
      <c r="Q4851">
        <v>9.776841E-2</v>
      </c>
      <c r="R4851">
        <v>-6.5954570000000004E-2</v>
      </c>
      <c r="S4851">
        <v>3.0150760000000001</v>
      </c>
      <c r="T4851">
        <v>-0.19407949999999999</v>
      </c>
      <c r="U4851">
        <v>-0.37060549999999998</v>
      </c>
      <c r="V4851">
        <v>6.3215610000000005E-2</v>
      </c>
      <c r="W4851">
        <v>0.1093744</v>
      </c>
      <c r="X4851">
        <v>0.99198839999999999</v>
      </c>
      <c r="Y4851">
        <v>0.11903660000000001</v>
      </c>
      <c r="Z4851">
        <v>-3.6370199999999999E-3</v>
      </c>
      <c r="AA4851">
        <v>0.99288319999999997</v>
      </c>
      <c r="AB4851">
        <v>25</v>
      </c>
      <c r="AC4851">
        <v>17.123399999999901</v>
      </c>
      <c r="AD4851">
        <v>-1.110038366765</v>
      </c>
      <c r="AE4851">
        <v>-2.1194500000000001</v>
      </c>
      <c r="AF4851">
        <v>2.0638837441006199</v>
      </c>
      <c r="AG4851">
        <v>-1.110038366765</v>
      </c>
      <c r="AH4851">
        <v>17.058549919521599</v>
      </c>
      <c r="AI4851">
        <v>93.696237413743404</v>
      </c>
      <c r="AJ4851">
        <v>83.1014155516893</v>
      </c>
      <c r="AK4851">
        <v>17.2187666992054</v>
      </c>
      <c r="AL4851">
        <v>83.720746131454305</v>
      </c>
      <c r="AM4851">
        <v>86.353690655611501</v>
      </c>
      <c r="AN4851">
        <v>0.99999997922879502</v>
      </c>
    </row>
    <row r="4852" spans="1:40" x14ac:dyDescent="0.25">
      <c r="A4852" t="str">
        <f>"20190312151634164"</f>
        <v>20190312151634164</v>
      </c>
      <c r="B4852" t="str">
        <f>"1552374994153003"</f>
        <v>1552374994153003</v>
      </c>
      <c r="C4852" t="s">
        <v>40</v>
      </c>
      <c r="D4852">
        <v>4.5552599999999996</v>
      </c>
      <c r="E4852">
        <v>0.52039329999999995</v>
      </c>
      <c r="F4852" t="s">
        <v>41</v>
      </c>
      <c r="G4852">
        <v>-367.97609999999997</v>
      </c>
      <c r="H4852">
        <v>1.0493059999999901</v>
      </c>
      <c r="I4852">
        <v>16.72073</v>
      </c>
      <c r="J4852">
        <v>-368.80930000000001</v>
      </c>
      <c r="K4852">
        <v>1.110039</v>
      </c>
      <c r="L4852">
        <v>16.838200000000001</v>
      </c>
      <c r="M4852">
        <v>0.99992809999999999</v>
      </c>
      <c r="N4852">
        <v>0</v>
      </c>
      <c r="O4852">
        <v>-2.70287E-3</v>
      </c>
      <c r="P4852">
        <v>0.99289769999999999</v>
      </c>
      <c r="Q4852">
        <v>9.8826419999999998E-2</v>
      </c>
      <c r="R4852">
        <v>-6.624099E-2</v>
      </c>
      <c r="S4852">
        <v>3.01532</v>
      </c>
      <c r="T4852">
        <v>-0.1924082</v>
      </c>
      <c r="U4852">
        <v>-0.37231449999999999</v>
      </c>
      <c r="V4852">
        <v>6.3544359999999994E-2</v>
      </c>
      <c r="W4852">
        <v>0.110435199999999</v>
      </c>
      <c r="X4852">
        <v>0.99184989999999995</v>
      </c>
      <c r="Y4852">
        <v>0.1196263</v>
      </c>
      <c r="Z4852">
        <v>-3.6267840000000001E-3</v>
      </c>
      <c r="AA4852">
        <v>0.99281229999999998</v>
      </c>
      <c r="AB4852">
        <v>25</v>
      </c>
      <c r="AC4852">
        <v>0.83320000000003303</v>
      </c>
      <c r="AD4852">
        <v>-6.0733000000000099E-2</v>
      </c>
      <c r="AE4852">
        <v>-0.11747</v>
      </c>
      <c r="AF4852">
        <v>0.114620261960861</v>
      </c>
      <c r="AG4852">
        <v>-6.0733000000000099E-2</v>
      </c>
      <c r="AH4852">
        <v>0.82919472420705298</v>
      </c>
      <c r="AI4852">
        <v>94.149736039341803</v>
      </c>
      <c r="AJ4852">
        <v>82.129831937045694</v>
      </c>
      <c r="AK4852">
        <v>0.83927956748260402</v>
      </c>
      <c r="AL4852">
        <v>83.659596595809802</v>
      </c>
      <c r="AM4852">
        <v>86.334269331822298</v>
      </c>
      <c r="AN4852">
        <v>1.0000000216084199</v>
      </c>
    </row>
    <row r="4853" spans="1:40" x14ac:dyDescent="0.25">
      <c r="A4853" t="str">
        <f>"20190312151634176"</f>
        <v>20190312151634176</v>
      </c>
      <c r="B4853" t="str">
        <f>"1552374994172523"</f>
        <v>1552374994172523</v>
      </c>
      <c r="C4853" t="s">
        <v>40</v>
      </c>
      <c r="D4853">
        <v>4.5869879999999998</v>
      </c>
      <c r="E4853">
        <v>0.52034150000000001</v>
      </c>
      <c r="F4853" t="s">
        <v>43</v>
      </c>
      <c r="G4853">
        <v>-351.20209999999997</v>
      </c>
      <c r="H4853" s="1">
        <v>-4.6363760000000004E-6</v>
      </c>
      <c r="I4853">
        <v>14.65631</v>
      </c>
      <c r="J4853">
        <v>-368.68150000000003</v>
      </c>
      <c r="K4853">
        <v>1.1100460000000001</v>
      </c>
      <c r="L4853">
        <v>16.837889999999899</v>
      </c>
      <c r="M4853">
        <v>0.99992820000000004</v>
      </c>
      <c r="N4853">
        <v>0</v>
      </c>
      <c r="O4853">
        <v>-2.6568799999999999E-3</v>
      </c>
      <c r="P4853">
        <v>0.99280270000000004</v>
      </c>
      <c r="Q4853">
        <v>9.9672330000000003E-2</v>
      </c>
      <c r="R4853">
        <v>-6.639776E-2</v>
      </c>
      <c r="S4853">
        <v>3.0154109999999998</v>
      </c>
      <c r="T4853">
        <v>-0.1901069</v>
      </c>
      <c r="U4853">
        <v>-0.37365720000000002</v>
      </c>
      <c r="V4853">
        <v>6.3747079999999998E-2</v>
      </c>
      <c r="W4853">
        <v>0.11128440000000001</v>
      </c>
      <c r="X4853">
        <v>0.99174200000000001</v>
      </c>
      <c r="Y4853">
        <v>0.1201083</v>
      </c>
      <c r="Z4853">
        <v>-3.6012930000000002E-3</v>
      </c>
      <c r="AA4853">
        <v>0.99275429999999998</v>
      </c>
      <c r="AB4853">
        <v>25</v>
      </c>
      <c r="AC4853">
        <v>17.479399999999998</v>
      </c>
      <c r="AD4853">
        <v>-1.1100506363760001</v>
      </c>
      <c r="AE4853">
        <v>-2.1815799999999901</v>
      </c>
      <c r="AF4853">
        <v>2.12668301845875</v>
      </c>
      <c r="AG4853">
        <v>-1.1100506363760001</v>
      </c>
      <c r="AH4853">
        <v>17.415972922356399</v>
      </c>
      <c r="AI4853">
        <v>93.620138767574403</v>
      </c>
      <c r="AJ4853">
        <v>83.038018388357898</v>
      </c>
      <c r="AK4853">
        <v>17.580418251809899</v>
      </c>
      <c r="AL4853">
        <v>83.610639439034401</v>
      </c>
      <c r="AM4853">
        <v>86.322207914955698</v>
      </c>
      <c r="AN4853">
        <v>1.0000000512279399</v>
      </c>
    </row>
    <row r="4854" spans="1:40" x14ac:dyDescent="0.25">
      <c r="A4854" t="str">
        <f>"20190312151634187"</f>
        <v>20190312151634187</v>
      </c>
      <c r="B4854" t="str">
        <f>"1552374994183259"</f>
        <v>1552374994183259</v>
      </c>
      <c r="C4854" t="s">
        <v>40</v>
      </c>
      <c r="D4854">
        <v>4.6097000000000001</v>
      </c>
      <c r="E4854">
        <v>0.52035390000000004</v>
      </c>
      <c r="F4854" t="s">
        <v>43</v>
      </c>
      <c r="G4854">
        <v>-351.09179999999998</v>
      </c>
      <c r="H4854" s="1">
        <v>-4.68393899999999E-6</v>
      </c>
      <c r="I4854">
        <v>14.654949999999999</v>
      </c>
      <c r="J4854">
        <v>-368.55259999999998</v>
      </c>
      <c r="K4854">
        <v>1.1100479999999999</v>
      </c>
      <c r="L4854">
        <v>16.837620000000001</v>
      </c>
      <c r="M4854">
        <v>0.99992820000000004</v>
      </c>
      <c r="N4854">
        <v>0</v>
      </c>
      <c r="O4854">
        <v>-2.6104119999999999E-3</v>
      </c>
      <c r="P4854">
        <v>0.99268239999999996</v>
      </c>
      <c r="Q4854">
        <v>0.10050439999999999</v>
      </c>
      <c r="R4854">
        <v>-6.6939509999999994E-2</v>
      </c>
      <c r="S4854">
        <v>3.0158999999999998</v>
      </c>
      <c r="T4854">
        <v>-0.1903273</v>
      </c>
      <c r="U4854">
        <v>-0.37426759999999998</v>
      </c>
      <c r="V4854">
        <v>6.4334939999999993E-2</v>
      </c>
      <c r="W4854">
        <v>0.1121188</v>
      </c>
      <c r="X4854">
        <v>0.99160999999999999</v>
      </c>
      <c r="Y4854">
        <v>0.1203317</v>
      </c>
      <c r="Z4854">
        <v>-3.6147710000000001E-3</v>
      </c>
      <c r="AA4854">
        <v>0.99272720000000003</v>
      </c>
      <c r="AB4854">
        <v>25</v>
      </c>
      <c r="AC4854">
        <v>17.460799999999999</v>
      </c>
      <c r="AD4854">
        <v>-1.1100526839389999</v>
      </c>
      <c r="AE4854">
        <v>-2.1826699999999999</v>
      </c>
      <c r="AF4854">
        <v>2.1286088306870199</v>
      </c>
      <c r="AG4854">
        <v>-1.1100526839389999</v>
      </c>
      <c r="AH4854">
        <v>17.397206917524699</v>
      </c>
      <c r="AI4854">
        <v>93.623934482045897</v>
      </c>
      <c r="AJ4854">
        <v>83.024333477552005</v>
      </c>
      <c r="AK4854">
        <v>17.562061412213801</v>
      </c>
      <c r="AL4854">
        <v>83.562530442668304</v>
      </c>
      <c r="AM4854">
        <v>86.287893890280401</v>
      </c>
      <c r="AN4854">
        <v>1.0000000009591199</v>
      </c>
    </row>
    <row r="4855" spans="1:40" x14ac:dyDescent="0.25">
      <c r="A4855" t="str">
        <f>"20190312151634198"</f>
        <v>20190312151634198</v>
      </c>
      <c r="B4855" t="str">
        <f>"1552374994193019"</f>
        <v>1552374994193019</v>
      </c>
      <c r="C4855" t="s">
        <v>40</v>
      </c>
      <c r="D4855">
        <v>4.6111199999999997</v>
      </c>
      <c r="E4855">
        <v>0.52033209999999996</v>
      </c>
      <c r="F4855" t="s">
        <v>43</v>
      </c>
      <c r="G4855">
        <v>-350.85590000000002</v>
      </c>
      <c r="H4855" s="1">
        <v>-4.7896279999999998E-6</v>
      </c>
      <c r="I4855">
        <v>14.62959</v>
      </c>
      <c r="J4855">
        <v>-368.43619999999999</v>
      </c>
      <c r="K4855">
        <v>1.1100509999999999</v>
      </c>
      <c r="L4855">
        <v>16.837340000000001</v>
      </c>
      <c r="M4855">
        <v>0.99992829999999999</v>
      </c>
      <c r="N4855">
        <v>0</v>
      </c>
      <c r="O4855">
        <v>-2.5678770000000001E-3</v>
      </c>
      <c r="P4855">
        <v>0.99258429999999997</v>
      </c>
      <c r="Q4855">
        <v>0.1011952</v>
      </c>
      <c r="R4855">
        <v>-6.7350030000000005E-2</v>
      </c>
      <c r="S4855">
        <v>3.0158999999999998</v>
      </c>
      <c r="T4855">
        <v>-0.18917790000000001</v>
      </c>
      <c r="U4855">
        <v>-0.3762817</v>
      </c>
      <c r="V4855">
        <v>6.478797E-2</v>
      </c>
      <c r="W4855">
        <v>0.112812</v>
      </c>
      <c r="X4855">
        <v>0.99150190000000005</v>
      </c>
      <c r="Y4855">
        <v>0.1210282</v>
      </c>
      <c r="Z4855">
        <v>-3.6172280000000001E-3</v>
      </c>
      <c r="AA4855">
        <v>0.99264249999999998</v>
      </c>
      <c r="AB4855">
        <v>25</v>
      </c>
      <c r="AC4855">
        <v>17.580299999999902</v>
      </c>
      <c r="AD4855">
        <v>-1.1100557896279999</v>
      </c>
      <c r="AE4855">
        <v>-2.2077499999999999</v>
      </c>
      <c r="AF4855">
        <v>2.15414054783297</v>
      </c>
      <c r="AG4855">
        <v>-1.1100557896279999</v>
      </c>
      <c r="AH4855">
        <v>17.517156529323898</v>
      </c>
      <c r="AI4855">
        <v>93.598926085994606</v>
      </c>
      <c r="AJ4855">
        <v>82.989353335145296</v>
      </c>
      <c r="AK4855">
        <v>17.6839847949703</v>
      </c>
      <c r="AL4855">
        <v>83.522559560713105</v>
      </c>
      <c r="AM4855">
        <v>86.261421653683499</v>
      </c>
      <c r="AN4855">
        <v>1.00000002305216</v>
      </c>
    </row>
    <row r="4856" spans="1:40" x14ac:dyDescent="0.25">
      <c r="A4856" t="str">
        <f>"20190312151634208"</f>
        <v>20190312151634208</v>
      </c>
      <c r="B4856" t="str">
        <f>"1552374994202780"</f>
        <v>1552374994202780</v>
      </c>
      <c r="C4856" t="s">
        <v>40</v>
      </c>
      <c r="D4856">
        <v>4.541893</v>
      </c>
      <c r="E4856">
        <v>0.52029129999999901</v>
      </c>
      <c r="F4856" t="s">
        <v>43</v>
      </c>
      <c r="G4856">
        <v>-350.64409999999998</v>
      </c>
      <c r="H4856" s="1">
        <v>-4.8842319999999998E-6</v>
      </c>
      <c r="I4856">
        <v>14.6086299999999</v>
      </c>
      <c r="J4856">
        <v>-368.31630000000001</v>
      </c>
      <c r="K4856">
        <v>1.110052</v>
      </c>
      <c r="L4856">
        <v>16.8371</v>
      </c>
      <c r="M4856">
        <v>0.99992840000000005</v>
      </c>
      <c r="N4856">
        <v>0</v>
      </c>
      <c r="O4856">
        <v>-2.5236730000000001E-3</v>
      </c>
      <c r="P4856">
        <v>0.99251590000000001</v>
      </c>
      <c r="Q4856">
        <v>0.1016032</v>
      </c>
      <c r="R4856">
        <v>-6.774463E-2</v>
      </c>
      <c r="S4856">
        <v>3.0159609999999999</v>
      </c>
      <c r="T4856">
        <v>-0.18816659999999999</v>
      </c>
      <c r="U4856">
        <v>-0.37777709999999998</v>
      </c>
      <c r="V4856">
        <v>6.5226549999999994E-2</v>
      </c>
      <c r="W4856">
        <v>0.1132237</v>
      </c>
      <c r="X4856">
        <v>0.99142620000000004</v>
      </c>
      <c r="Y4856">
        <v>0.1215555</v>
      </c>
      <c r="Z4856">
        <v>-3.6168630000000001E-3</v>
      </c>
      <c r="AA4856">
        <v>0.99257799999999996</v>
      </c>
      <c r="AB4856">
        <v>25</v>
      </c>
      <c r="AC4856">
        <v>17.6722</v>
      </c>
      <c r="AD4856">
        <v>-1.110056884232</v>
      </c>
      <c r="AE4856">
        <v>-2.2284700000000002</v>
      </c>
      <c r="AF4856">
        <v>2.17541211470986</v>
      </c>
      <c r="AG4856">
        <v>-1.110056884232</v>
      </c>
      <c r="AH4856">
        <v>17.6093765971819</v>
      </c>
      <c r="AI4856">
        <v>93.579886740285204</v>
      </c>
      <c r="AJ4856">
        <v>82.957524389579802</v>
      </c>
      <c r="AK4856">
        <v>17.777929809075999</v>
      </c>
      <c r="AL4856">
        <v>83.498818692363699</v>
      </c>
      <c r="AM4856">
        <v>86.235899415834893</v>
      </c>
      <c r="AN4856">
        <v>1.00000000955651</v>
      </c>
    </row>
    <row r="4857" spans="1:40" x14ac:dyDescent="0.25">
      <c r="A4857" t="str">
        <f>"20190312151634221"</f>
        <v>20190312151634221</v>
      </c>
      <c r="B4857" t="str">
        <f>"1552374994212539"</f>
        <v>1552374994212539</v>
      </c>
      <c r="C4857" t="s">
        <v>40</v>
      </c>
      <c r="D4857">
        <v>4.5462319999999998</v>
      </c>
      <c r="E4857">
        <v>0.52029910000000001</v>
      </c>
      <c r="F4857" t="s">
        <v>43</v>
      </c>
      <c r="G4857">
        <v>-350.60320000000002</v>
      </c>
      <c r="H4857" s="1">
        <v>-4.901346E-6</v>
      </c>
      <c r="I4857">
        <v>14.611039999999999</v>
      </c>
      <c r="J4857">
        <v>-368.18270000000001</v>
      </c>
      <c r="K4857">
        <v>1.1100540000000001</v>
      </c>
      <c r="L4857">
        <v>16.836790000000001</v>
      </c>
      <c r="M4857">
        <v>0.9999285</v>
      </c>
      <c r="N4857">
        <v>0</v>
      </c>
      <c r="O4857">
        <v>-2.47291E-3</v>
      </c>
      <c r="P4857">
        <v>0.99242540000000001</v>
      </c>
      <c r="Q4857">
        <v>0.1021122</v>
      </c>
      <c r="R4857">
        <v>-6.830464E-2</v>
      </c>
      <c r="S4857">
        <v>3.0161129999999998</v>
      </c>
      <c r="T4857">
        <v>-0.1890153</v>
      </c>
      <c r="U4857">
        <v>-0.37902829999999998</v>
      </c>
      <c r="V4857">
        <v>6.5836779999999998E-2</v>
      </c>
      <c r="W4857">
        <v>0.1137373</v>
      </c>
      <c r="X4857">
        <v>0.99132699999999996</v>
      </c>
      <c r="Y4857">
        <v>0.1220021</v>
      </c>
      <c r="Z4857">
        <v>-3.6499610000000002E-3</v>
      </c>
      <c r="AA4857">
        <v>0.99252309999999999</v>
      </c>
      <c r="AB4857">
        <v>25</v>
      </c>
      <c r="AC4857">
        <v>17.5794999999999</v>
      </c>
      <c r="AD4857">
        <v>-1.110058901346</v>
      </c>
      <c r="AE4857">
        <v>-2.2257500000000001</v>
      </c>
      <c r="AF4857">
        <v>2.1737371001410999</v>
      </c>
      <c r="AG4857">
        <v>-1.110058901346</v>
      </c>
      <c r="AH4857">
        <v>17.516210221783101</v>
      </c>
      <c r="AI4857">
        <v>93.598638537087993</v>
      </c>
      <c r="AJ4857">
        <v>82.925841346969904</v>
      </c>
      <c r="AK4857">
        <v>17.6854455493405</v>
      </c>
      <c r="AL4857">
        <v>83.469199781898595</v>
      </c>
      <c r="AM4857">
        <v>86.200407791010406</v>
      </c>
      <c r="AN4857">
        <v>0.999999937970527</v>
      </c>
    </row>
    <row r="4858" spans="1:40" x14ac:dyDescent="0.25">
      <c r="A4858" t="str">
        <f>"20190312151634233"</f>
        <v>20190312151634233</v>
      </c>
      <c r="B4858" t="str">
        <f>"1552374994223275"</f>
        <v>1552374994223275</v>
      </c>
      <c r="C4858" t="s">
        <v>40</v>
      </c>
      <c r="D4858">
        <v>4.5658099999999999</v>
      </c>
      <c r="E4858">
        <v>0.52029829999999999</v>
      </c>
      <c r="F4858" t="s">
        <v>43</v>
      </c>
      <c r="G4858">
        <v>-350.46609999999998</v>
      </c>
      <c r="H4858" s="1">
        <v>-4.9625159999999999E-6</v>
      </c>
      <c r="I4858">
        <v>14.597770000000001</v>
      </c>
      <c r="J4858">
        <v>-368.0575</v>
      </c>
      <c r="K4858">
        <v>1.1100570000000001</v>
      </c>
      <c r="L4858">
        <v>16.83652</v>
      </c>
      <c r="M4858">
        <v>0.99992840000000005</v>
      </c>
      <c r="N4858">
        <v>0</v>
      </c>
      <c r="O4858">
        <v>-2.4248859999999998E-3</v>
      </c>
      <c r="P4858">
        <v>0.99236199999999997</v>
      </c>
      <c r="Q4858">
        <v>0.1023318</v>
      </c>
      <c r="R4858">
        <v>-6.8889370000000005E-2</v>
      </c>
      <c r="S4858">
        <v>3.0161440000000002</v>
      </c>
      <c r="T4858">
        <v>-0.18898090000000001</v>
      </c>
      <c r="U4858">
        <v>-0.38116460000000002</v>
      </c>
      <c r="V4858">
        <v>6.6469340000000002E-2</v>
      </c>
      <c r="W4858">
        <v>0.1139609</v>
      </c>
      <c r="X4858">
        <v>0.99125920000000001</v>
      </c>
      <c r="Y4858">
        <v>0.1227391</v>
      </c>
      <c r="Z4858">
        <v>-3.6750699999999999E-3</v>
      </c>
      <c r="AA4858">
        <v>0.99243219999999999</v>
      </c>
      <c r="AB4858">
        <v>25</v>
      </c>
      <c r="AC4858">
        <v>17.5914</v>
      </c>
      <c r="AD4858">
        <v>-1.110061962516</v>
      </c>
      <c r="AE4858">
        <v>-2.23875</v>
      </c>
      <c r="AF4858">
        <v>2.1875116578373102</v>
      </c>
      <c r="AG4858">
        <v>-1.110061962516</v>
      </c>
      <c r="AH4858">
        <v>17.5280941143068</v>
      </c>
      <c r="AI4858">
        <v>93.595906550791298</v>
      </c>
      <c r="AJ4858">
        <v>82.886249047404306</v>
      </c>
      <c r="AK4858">
        <v>17.698913189622601</v>
      </c>
      <c r="AL4858">
        <v>83.456305210677698</v>
      </c>
      <c r="AM4858">
        <v>86.163748183418093</v>
      </c>
      <c r="AN4858">
        <v>1.00000003073674</v>
      </c>
    </row>
    <row r="4859" spans="1:40" x14ac:dyDescent="0.25">
      <c r="A4859" t="str">
        <f>"20190312151634243"</f>
        <v>20190312151634243</v>
      </c>
      <c r="B4859" t="str">
        <f>"1552374994233036"</f>
        <v>1552374994233036</v>
      </c>
      <c r="C4859" t="s">
        <v>40</v>
      </c>
      <c r="D4859">
        <v>4.5886239999999896</v>
      </c>
      <c r="E4859">
        <v>0.52025259999999995</v>
      </c>
      <c r="F4859" t="s">
        <v>43</v>
      </c>
      <c r="G4859">
        <v>-350.39019999999999</v>
      </c>
      <c r="H4859" s="1">
        <v>-4.9961999999999997E-6</v>
      </c>
      <c r="I4859">
        <v>14.59149</v>
      </c>
      <c r="J4859">
        <v>-367.93920000000003</v>
      </c>
      <c r="K4859">
        <v>1.1100639999999999</v>
      </c>
      <c r="L4859">
        <v>16.836300000000001</v>
      </c>
      <c r="M4859">
        <v>0.9999287</v>
      </c>
      <c r="N4859">
        <v>0</v>
      </c>
      <c r="O4859">
        <v>-2.3780469999999999E-3</v>
      </c>
      <c r="P4859">
        <v>0.9922993</v>
      </c>
      <c r="Q4859">
        <v>0.1026357</v>
      </c>
      <c r="R4859">
        <v>-6.9344000000000003E-2</v>
      </c>
      <c r="S4859">
        <v>3.016022</v>
      </c>
      <c r="T4859">
        <v>-0.189501</v>
      </c>
      <c r="U4859">
        <v>-0.38323970000000002</v>
      </c>
      <c r="V4859">
        <v>6.6970009999999996E-2</v>
      </c>
      <c r="W4859">
        <v>0.1142683</v>
      </c>
      <c r="X4859">
        <v>0.99119009999999996</v>
      </c>
      <c r="Y4859">
        <v>0.12345979999999999</v>
      </c>
      <c r="Z4859">
        <v>-3.7106130000000002E-3</v>
      </c>
      <c r="AA4859">
        <v>0.99234270000000002</v>
      </c>
      <c r="AB4859">
        <v>25</v>
      </c>
      <c r="AC4859">
        <v>17.548999999999999</v>
      </c>
      <c r="AD4859">
        <v>-1.1100689962000001</v>
      </c>
      <c r="AE4859">
        <v>-2.2448100000000002</v>
      </c>
      <c r="AF4859">
        <v>2.1944293554119101</v>
      </c>
      <c r="AG4859">
        <v>-1.1100689962000001</v>
      </c>
      <c r="AH4859">
        <v>17.4854517778885</v>
      </c>
      <c r="AI4859">
        <v>93.604365613754197</v>
      </c>
      <c r="AJ4859">
        <v>82.846761598908202</v>
      </c>
      <c r="AK4859">
        <v>17.657542219943299</v>
      </c>
      <c r="AL4859">
        <v>83.438576610953902</v>
      </c>
      <c r="AM4859">
        <v>86.134670835392697</v>
      </c>
      <c r="AN4859">
        <v>1.0000000204811399</v>
      </c>
    </row>
    <row r="4860" spans="1:40" x14ac:dyDescent="0.25">
      <c r="A4860" t="str">
        <f>"20190312151634254"</f>
        <v>20190312151634254</v>
      </c>
      <c r="B4860" t="str">
        <f>"1552374994242796"</f>
        <v>1552374994242796</v>
      </c>
      <c r="C4860" t="s">
        <v>40</v>
      </c>
      <c r="D4860">
        <v>4.5902120000000002</v>
      </c>
      <c r="E4860">
        <v>0.52020329999999904</v>
      </c>
      <c r="F4860" t="s">
        <v>43</v>
      </c>
      <c r="G4860">
        <v>-350.30630000000002</v>
      </c>
      <c r="H4860" s="1">
        <v>-5.0328140000000003E-6</v>
      </c>
      <c r="I4860">
        <v>14.58784</v>
      </c>
      <c r="J4860">
        <v>-367.8177</v>
      </c>
      <c r="K4860">
        <v>1.110066</v>
      </c>
      <c r="L4860">
        <v>16.83606</v>
      </c>
      <c r="M4860">
        <v>0.9999285</v>
      </c>
      <c r="N4860">
        <v>0</v>
      </c>
      <c r="O4860">
        <v>-2.3297779999999998E-3</v>
      </c>
      <c r="P4860">
        <v>0.99222980000000005</v>
      </c>
      <c r="Q4860">
        <v>0.1030982</v>
      </c>
      <c r="R4860">
        <v>-6.9649290000000003E-2</v>
      </c>
      <c r="S4860">
        <v>3.0160830000000001</v>
      </c>
      <c r="T4860">
        <v>-0.18987599999999999</v>
      </c>
      <c r="U4860">
        <v>-0.38458249999999999</v>
      </c>
      <c r="V4860">
        <v>6.7323010000000003E-2</v>
      </c>
      <c r="W4860">
        <v>0.1147354</v>
      </c>
      <c r="X4860">
        <v>0.9911122</v>
      </c>
      <c r="Y4860">
        <v>0.12393800000000001</v>
      </c>
      <c r="Z4860">
        <v>-3.7357620000000001E-3</v>
      </c>
      <c r="AA4860">
        <v>0.99228289999999997</v>
      </c>
      <c r="AB4860">
        <v>25</v>
      </c>
      <c r="AC4860">
        <v>17.511399999999899</v>
      </c>
      <c r="AD4860">
        <v>-1.110071032814</v>
      </c>
      <c r="AE4860">
        <v>-2.2482199999999999</v>
      </c>
      <c r="AF4860">
        <v>2.19872121375455</v>
      </c>
      <c r="AG4860">
        <v>-1.110071032814</v>
      </c>
      <c r="AH4860">
        <v>17.447615039088401</v>
      </c>
      <c r="AI4860">
        <v>93.6119368565397</v>
      </c>
      <c r="AJ4860">
        <v>82.817536334499195</v>
      </c>
      <c r="AK4860">
        <v>17.620610183133</v>
      </c>
      <c r="AL4860">
        <v>83.411636409163407</v>
      </c>
      <c r="AM4860">
        <v>86.114054402488804</v>
      </c>
      <c r="AN4860">
        <v>0.99999999633872905</v>
      </c>
    </row>
    <row r="4861" spans="1:40" x14ac:dyDescent="0.25">
      <c r="A4861" t="str">
        <f>"20190312151634265"</f>
        <v>20190312151634265</v>
      </c>
      <c r="B4861" t="str">
        <f>"1552374994263291"</f>
        <v>1552374994263291</v>
      </c>
      <c r="C4861" t="s">
        <v>40</v>
      </c>
      <c r="D4861">
        <v>4.5898279999999998</v>
      </c>
      <c r="E4861">
        <v>0.5201519</v>
      </c>
      <c r="F4861" t="s">
        <v>43</v>
      </c>
      <c r="G4861">
        <v>-350.21789999999999</v>
      </c>
      <c r="H4861" s="1">
        <v>-5.0706680000000004E-6</v>
      </c>
      <c r="I4861">
        <v>14.588200000000001</v>
      </c>
      <c r="J4861">
        <v>-367.6936</v>
      </c>
      <c r="K4861">
        <v>1.1100699999999999</v>
      </c>
      <c r="L4861">
        <v>16.835819999999998</v>
      </c>
      <c r="M4861">
        <v>0.99992859999999995</v>
      </c>
      <c r="N4861">
        <v>0</v>
      </c>
      <c r="O4861">
        <v>-2.2796119999999999E-3</v>
      </c>
      <c r="P4861">
        <v>0.99217960000000005</v>
      </c>
      <c r="Q4861">
        <v>0.1032739</v>
      </c>
      <c r="R4861">
        <v>-7.0101750000000004E-2</v>
      </c>
      <c r="S4861">
        <v>3.016235</v>
      </c>
      <c r="T4861">
        <v>-0.19024369999999999</v>
      </c>
      <c r="U4861">
        <v>-0.38522339999999999</v>
      </c>
      <c r="V4861">
        <v>6.7825140000000006E-2</v>
      </c>
      <c r="W4861">
        <v>0.1149178</v>
      </c>
      <c r="X4861">
        <v>0.99105690000000002</v>
      </c>
      <c r="Y4861">
        <v>0.12418750000000001</v>
      </c>
      <c r="Z4861">
        <v>-3.7537220000000001E-3</v>
      </c>
      <c r="AA4861">
        <v>0.99225169999999996</v>
      </c>
      <c r="AB4861">
        <v>25</v>
      </c>
      <c r="AC4861">
        <v>17.4757</v>
      </c>
      <c r="AD4861">
        <v>-1.110075070668</v>
      </c>
      <c r="AE4861">
        <v>-2.24762</v>
      </c>
      <c r="AF4861">
        <v>2.1990450042080401</v>
      </c>
      <c r="AG4861">
        <v>-1.110075070668</v>
      </c>
      <c r="AH4861">
        <v>17.411667071634501</v>
      </c>
      <c r="AI4861">
        <v>93.619262394237197</v>
      </c>
      <c r="AJ4861">
        <v>82.801814068619194</v>
      </c>
      <c r="AK4861">
        <v>17.585056605154598</v>
      </c>
      <c r="AL4861">
        <v>83.401116525839797</v>
      </c>
      <c r="AM4861">
        <v>86.084943026558193</v>
      </c>
      <c r="AN4861">
        <v>1.0000000647052301</v>
      </c>
    </row>
    <row r="4862" spans="1:40" x14ac:dyDescent="0.25">
      <c r="A4862" t="str">
        <f>"20190312151634276"</f>
        <v>20190312151634276</v>
      </c>
      <c r="B4862" t="str">
        <f>"1552374994273052"</f>
        <v>1552374994273052</v>
      </c>
      <c r="C4862" t="s">
        <v>40</v>
      </c>
      <c r="D4862">
        <v>4.7735459999999996</v>
      </c>
      <c r="E4862">
        <v>0.52014550000000004</v>
      </c>
      <c r="F4862" t="s">
        <v>43</v>
      </c>
      <c r="G4862">
        <v>-350.34410000000003</v>
      </c>
      <c r="H4862" s="1">
        <v>-5.0121569999999999E-6</v>
      </c>
      <c r="I4862">
        <v>14.612970000000001</v>
      </c>
      <c r="J4862">
        <v>-367.57229999999998</v>
      </c>
      <c r="K4862">
        <v>1.1100749999999999</v>
      </c>
      <c r="L4862">
        <v>16.835599999999999</v>
      </c>
      <c r="M4862">
        <v>0.9999287</v>
      </c>
      <c r="N4862">
        <v>0</v>
      </c>
      <c r="O4862">
        <v>-2.229927E-3</v>
      </c>
      <c r="P4862">
        <v>0.99214179999999996</v>
      </c>
      <c r="Q4862">
        <v>0.10324029999999999</v>
      </c>
      <c r="R4862">
        <v>-7.068605E-2</v>
      </c>
      <c r="S4862">
        <v>3.0163570000000002</v>
      </c>
      <c r="T4862">
        <v>-0.19299540000000001</v>
      </c>
      <c r="U4862">
        <v>-0.38644410000000001</v>
      </c>
      <c r="V4862">
        <v>6.8458190000000002E-2</v>
      </c>
      <c r="W4862">
        <v>0.1148912</v>
      </c>
      <c r="X4862">
        <v>0.99101640000000002</v>
      </c>
      <c r="Y4862">
        <v>0.12461899999999999</v>
      </c>
      <c r="Z4862">
        <v>-3.824554E-3</v>
      </c>
      <c r="AA4862">
        <v>0.99219729999999995</v>
      </c>
      <c r="AB4862">
        <v>25</v>
      </c>
      <c r="AC4862">
        <v>17.228199999999902</v>
      </c>
      <c r="AD4862">
        <v>-1.110080012157</v>
      </c>
      <c r="AE4862">
        <v>-2.2226299999999899</v>
      </c>
      <c r="AF4862">
        <v>2.1753207194498199</v>
      </c>
      <c r="AG4862">
        <v>-1.110080012157</v>
      </c>
      <c r="AH4862">
        <v>17.163024181065101</v>
      </c>
      <c r="AI4862">
        <v>93.671365014953807</v>
      </c>
      <c r="AJ4862">
        <v>82.776584199199306</v>
      </c>
      <c r="AK4862">
        <v>17.335907732382601</v>
      </c>
      <c r="AL4862">
        <v>83.402650381880093</v>
      </c>
      <c r="AM4862">
        <v>86.048355860781697</v>
      </c>
      <c r="AN4862">
        <v>1.00000000834223</v>
      </c>
    </row>
    <row r="4863" spans="1:40" x14ac:dyDescent="0.25">
      <c r="A4863" t="str">
        <f>"20190312151634288"</f>
        <v>20190312151634288</v>
      </c>
      <c r="B4863" t="str">
        <f>"1552374994282811"</f>
        <v>1552374994282811</v>
      </c>
      <c r="C4863" t="s">
        <v>40</v>
      </c>
      <c r="D4863">
        <v>4.5674919999999997</v>
      </c>
      <c r="E4863">
        <v>0.52018889999999995</v>
      </c>
      <c r="F4863" t="s">
        <v>43</v>
      </c>
      <c r="G4863">
        <v>-350.17410000000001</v>
      </c>
      <c r="H4863" s="1">
        <v>-5.0880600000000002E-6</v>
      </c>
      <c r="I4863">
        <v>14.596109999999999</v>
      </c>
      <c r="J4863">
        <v>-367.43849999999998</v>
      </c>
      <c r="K4863">
        <v>1.1100779999999999</v>
      </c>
      <c r="L4863">
        <v>16.835360000000001</v>
      </c>
      <c r="M4863">
        <v>0.99992859999999995</v>
      </c>
      <c r="N4863">
        <v>0</v>
      </c>
      <c r="O4863">
        <v>-2.174647E-3</v>
      </c>
      <c r="P4863">
        <v>0.99207710000000005</v>
      </c>
      <c r="Q4863">
        <v>0.10339760000000001</v>
      </c>
      <c r="R4863">
        <v>-7.1360240000000005E-2</v>
      </c>
      <c r="S4863">
        <v>3.0160830000000001</v>
      </c>
      <c r="T4863">
        <v>-0.1924391</v>
      </c>
      <c r="U4863">
        <v>-0.38821410000000001</v>
      </c>
      <c r="V4863">
        <v>6.9187040000000005E-2</v>
      </c>
      <c r="W4863">
        <v>0.11505700000000001</v>
      </c>
      <c r="X4863">
        <v>0.99094649999999995</v>
      </c>
      <c r="Y4863">
        <v>0.12525799999999901</v>
      </c>
      <c r="Z4863">
        <v>-3.8375449999999999E-3</v>
      </c>
      <c r="AA4863">
        <v>0.99211669999999996</v>
      </c>
      <c r="AB4863">
        <v>25</v>
      </c>
      <c r="AC4863">
        <v>17.264399999999899</v>
      </c>
      <c r="AD4863">
        <v>-1.1100830880599999</v>
      </c>
      <c r="AE4863">
        <v>-2.2392500000000002</v>
      </c>
      <c r="AF4863">
        <v>2.1927823805182798</v>
      </c>
      <c r="AG4863">
        <v>-1.1100830880599999</v>
      </c>
      <c r="AH4863">
        <v>17.1992975029654</v>
      </c>
      <c r="AI4863">
        <v>93.6633114943848</v>
      </c>
      <c r="AJ4863">
        <v>82.734411304687498</v>
      </c>
      <c r="AK4863">
        <v>17.374015472141799</v>
      </c>
      <c r="AL4863">
        <v>83.393087022006199</v>
      </c>
      <c r="AM4863">
        <v>86.006138738674295</v>
      </c>
      <c r="AN4863">
        <v>0.99999996280760495</v>
      </c>
    </row>
    <row r="4864" spans="1:40" x14ac:dyDescent="0.25">
      <c r="A4864" t="str">
        <f>"20190312151634302"</f>
        <v>20190312151634302</v>
      </c>
      <c r="B4864" t="str">
        <f>"1552374994292571"</f>
        <v>1552374994292571</v>
      </c>
      <c r="C4864" t="s">
        <v>40</v>
      </c>
      <c r="D4864">
        <v>4.6085140000000004</v>
      </c>
      <c r="E4864">
        <v>0.52018260000000005</v>
      </c>
      <c r="F4864" t="s">
        <v>43</v>
      </c>
      <c r="G4864">
        <v>-349.99290000000002</v>
      </c>
      <c r="H4864" s="1">
        <v>-5.1695180000000003E-6</v>
      </c>
      <c r="I4864">
        <v>14.575279999999999</v>
      </c>
      <c r="J4864">
        <v>-367.30040000000002</v>
      </c>
      <c r="K4864">
        <v>1.1100810000000001</v>
      </c>
      <c r="L4864">
        <v>16.835079999999898</v>
      </c>
      <c r="M4864">
        <v>0.99992859999999995</v>
      </c>
      <c r="N4864">
        <v>0</v>
      </c>
      <c r="O4864">
        <v>-2.1171050000000002E-3</v>
      </c>
      <c r="P4864">
        <v>0.99205460000000001</v>
      </c>
      <c r="Q4864">
        <v>0.1033005</v>
      </c>
      <c r="R4864">
        <v>-7.1809209999999998E-2</v>
      </c>
      <c r="S4864">
        <v>3.0158390000000002</v>
      </c>
      <c r="T4864">
        <v>-0.19190099999999999</v>
      </c>
      <c r="U4864">
        <v>-0.39068599999999998</v>
      </c>
      <c r="V4864">
        <v>6.9692870000000004E-2</v>
      </c>
      <c r="W4864">
        <v>0.114968</v>
      </c>
      <c r="X4864">
        <v>0.99092139999999995</v>
      </c>
      <c r="Y4864">
        <v>0.1261246</v>
      </c>
      <c r="Z4864">
        <v>-3.8580139999999999E-3</v>
      </c>
      <c r="AA4864">
        <v>0.99200690000000002</v>
      </c>
      <c r="AB4864">
        <v>25</v>
      </c>
      <c r="AC4864">
        <v>17.307500000000001</v>
      </c>
      <c r="AD4864">
        <v>-1.11008616951799</v>
      </c>
      <c r="AE4864">
        <v>-2.25979999999999</v>
      </c>
      <c r="AF4864">
        <v>2.2141945033386499</v>
      </c>
      <c r="AG4864">
        <v>-1.11008616951799</v>
      </c>
      <c r="AH4864">
        <v>17.242502297361</v>
      </c>
      <c r="AI4864">
        <v>93.653744155647999</v>
      </c>
      <c r="AJ4864">
        <v>82.682415133632702</v>
      </c>
      <c r="AK4864">
        <v>17.4194958043242</v>
      </c>
      <c r="AL4864">
        <v>83.3982205193293</v>
      </c>
      <c r="AM4864">
        <v>85.976933374915504</v>
      </c>
      <c r="AN4864">
        <v>0.99999997906539795</v>
      </c>
    </row>
    <row r="4865" spans="1:40" x14ac:dyDescent="0.25">
      <c r="A4865" t="str">
        <f>"20190312151634315"</f>
        <v>20190312151634315</v>
      </c>
      <c r="B4865" t="str">
        <f>"1552374994303309"</f>
        <v>1552374994303309</v>
      </c>
      <c r="C4865" t="s">
        <v>40</v>
      </c>
      <c r="D4865">
        <v>4.5716479999999997</v>
      </c>
      <c r="E4865">
        <v>0.52018209999999998</v>
      </c>
      <c r="F4865" t="s">
        <v>43</v>
      </c>
      <c r="G4865">
        <v>-349.76150000000001</v>
      </c>
      <c r="H4865" s="1">
        <v>-1.413941E-6</v>
      </c>
      <c r="I4865">
        <v>14.554869999999999</v>
      </c>
      <c r="J4865">
        <v>-367.16109999999998</v>
      </c>
      <c r="K4865">
        <v>1.110082</v>
      </c>
      <c r="L4865">
        <v>16.834869999999999</v>
      </c>
      <c r="M4865">
        <v>0.99992879999999995</v>
      </c>
      <c r="N4865">
        <v>0</v>
      </c>
      <c r="O4865">
        <v>-2.0589670000000001E-3</v>
      </c>
      <c r="P4865">
        <v>0.99202920000000006</v>
      </c>
      <c r="Q4865">
        <v>0.1031593</v>
      </c>
      <c r="R4865">
        <v>-7.2361460000000002E-2</v>
      </c>
      <c r="S4865">
        <v>3.015533</v>
      </c>
      <c r="T4865">
        <v>-0.19085969999999999</v>
      </c>
      <c r="U4865">
        <v>-0.39202880000000001</v>
      </c>
      <c r="V4865">
        <v>7.0302779999999995E-2</v>
      </c>
      <c r="W4865">
        <v>0.1148339</v>
      </c>
      <c r="X4865">
        <v>0.99089389999999999</v>
      </c>
      <c r="Y4865">
        <v>0.12663099999999999</v>
      </c>
      <c r="Z4865">
        <v>-3.8570000000000002E-3</v>
      </c>
      <c r="AA4865">
        <v>0.9919424</v>
      </c>
      <c r="AB4865">
        <v>25</v>
      </c>
      <c r="AC4865">
        <v>17.3995999999999</v>
      </c>
      <c r="AD4865">
        <v>-1.1100834139409901</v>
      </c>
      <c r="AE4865">
        <v>-2.2799999999999998</v>
      </c>
      <c r="AF4865">
        <v>2.2352229156176899</v>
      </c>
      <c r="AG4865">
        <v>-1.1100834139409901</v>
      </c>
      <c r="AH4865">
        <v>17.3348897683057</v>
      </c>
      <c r="AI4865">
        <v>93.634072058247597</v>
      </c>
      <c r="AJ4865">
        <v>82.652617814677399</v>
      </c>
      <c r="AK4865">
        <v>17.513620697837499</v>
      </c>
      <c r="AL4865">
        <v>83.405955336574095</v>
      </c>
      <c r="AM4865">
        <v>85.941730794578802</v>
      </c>
      <c r="AN4865">
        <v>1.00000001326107</v>
      </c>
    </row>
    <row r="4866" spans="1:40" x14ac:dyDescent="0.25">
      <c r="A4866" t="str">
        <f>"20190312151634332"</f>
        <v>20190312151634332</v>
      </c>
      <c r="B4866" t="str">
        <f>"1552374994322827"</f>
        <v>1552374994322827</v>
      </c>
      <c r="C4866" t="s">
        <v>40</v>
      </c>
      <c r="D4866">
        <v>4.5879379999999896</v>
      </c>
      <c r="E4866">
        <v>0.52041780000000004</v>
      </c>
      <c r="F4866" t="s">
        <v>43</v>
      </c>
      <c r="G4866">
        <v>-349.68509999999998</v>
      </c>
      <c r="H4866" s="1">
        <v>-1.4403439999999999E-6</v>
      </c>
      <c r="I4866">
        <v>14.5533</v>
      </c>
      <c r="J4866">
        <v>-366.9633</v>
      </c>
      <c r="K4866">
        <v>1.1100840000000001</v>
      </c>
      <c r="L4866">
        <v>16.834529999999901</v>
      </c>
      <c r="M4866">
        <v>0.99992890000000001</v>
      </c>
      <c r="N4866">
        <v>0</v>
      </c>
      <c r="O4866">
        <v>-1.9754579999999998E-3</v>
      </c>
      <c r="P4866">
        <v>0.99193200000000004</v>
      </c>
      <c r="Q4866">
        <v>0.1030624</v>
      </c>
      <c r="R4866">
        <v>-7.3819819999999994E-2</v>
      </c>
      <c r="S4866">
        <v>3.01532</v>
      </c>
      <c r="T4866">
        <v>-0.19153390000000001</v>
      </c>
      <c r="U4866">
        <v>-0.3936462</v>
      </c>
      <c r="V4866">
        <v>7.1843950000000004E-2</v>
      </c>
      <c r="W4866">
        <v>0.1147463</v>
      </c>
      <c r="X4866">
        <v>0.99079349999999999</v>
      </c>
      <c r="Y4866">
        <v>0.12724289999999999</v>
      </c>
      <c r="Z4866">
        <v>-3.8953460000000001E-3</v>
      </c>
      <c r="AA4866">
        <v>0.99186399999999997</v>
      </c>
      <c r="AB4866">
        <v>25</v>
      </c>
      <c r="AC4866">
        <v>17.278199999999998</v>
      </c>
      <c r="AD4866">
        <v>-1.1100854403439999</v>
      </c>
      <c r="AE4866">
        <v>-2.2812299999999901</v>
      </c>
      <c r="AF4866">
        <v>2.2380111029090002</v>
      </c>
      <c r="AG4866">
        <v>-1.1100854403439999</v>
      </c>
      <c r="AH4866">
        <v>17.212839688792101</v>
      </c>
      <c r="AI4866">
        <v>93.659276625229893</v>
      </c>
      <c r="AJ4866">
        <v>82.5919685755334</v>
      </c>
      <c r="AK4866">
        <v>17.393183536479501</v>
      </c>
      <c r="AL4866">
        <v>83.411007843835804</v>
      </c>
      <c r="AM4866">
        <v>85.852654157984503</v>
      </c>
      <c r="AN4866">
        <v>1.0000000130787701</v>
      </c>
    </row>
    <row r="4867" spans="1:40" x14ac:dyDescent="0.25">
      <c r="A4867" t="str">
        <f>"20190312151634344"</f>
        <v>20190312151634344</v>
      </c>
      <c r="B4867" t="str">
        <f>"1552374994332588"</f>
        <v>1552374994332588</v>
      </c>
      <c r="C4867" t="s">
        <v>40</v>
      </c>
      <c r="D4867">
        <v>4.5857939999999999</v>
      </c>
      <c r="E4867">
        <v>0.52051380000000003</v>
      </c>
      <c r="F4867" t="s">
        <v>43</v>
      </c>
      <c r="G4867">
        <v>-349.7045</v>
      </c>
      <c r="H4867" s="1">
        <v>-1.436097E-6</v>
      </c>
      <c r="I4867">
        <v>14.544409999999999</v>
      </c>
      <c r="J4867">
        <v>-366.84030000000001</v>
      </c>
      <c r="K4867">
        <v>1.110087</v>
      </c>
      <c r="L4867">
        <v>16.834350000000001</v>
      </c>
      <c r="M4867">
        <v>0.99992879999999995</v>
      </c>
      <c r="N4867">
        <v>0</v>
      </c>
      <c r="O4867">
        <v>-1.923164E-3</v>
      </c>
      <c r="P4867">
        <v>0.99192170000000002</v>
      </c>
      <c r="Q4867">
        <v>0.1027647</v>
      </c>
      <c r="R4867">
        <v>-7.4368290000000004E-2</v>
      </c>
      <c r="S4867">
        <v>3.0147710000000001</v>
      </c>
      <c r="T4867">
        <v>-0.19390979999999999</v>
      </c>
      <c r="U4867">
        <v>-0.4000244</v>
      </c>
      <c r="V4867">
        <v>7.2444480000000006E-2</v>
      </c>
      <c r="W4867">
        <v>0.114454</v>
      </c>
      <c r="X4867">
        <v>0.99078359999999999</v>
      </c>
      <c r="Y4867">
        <v>0.129369699999999</v>
      </c>
      <c r="Z4867">
        <v>-4.0151129999999998E-3</v>
      </c>
      <c r="AA4867">
        <v>0.99158829999999998</v>
      </c>
      <c r="AB4867">
        <v>25</v>
      </c>
      <c r="AC4867">
        <v>17.1358</v>
      </c>
      <c r="AD4867">
        <v>-1.110088436097</v>
      </c>
      <c r="AE4867">
        <v>-2.2899400000000001</v>
      </c>
      <c r="AF4867">
        <v>2.2477110900297101</v>
      </c>
      <c r="AG4867">
        <v>-1.110088436097</v>
      </c>
      <c r="AH4867">
        <v>17.069792855744598</v>
      </c>
      <c r="AI4867">
        <v>93.689082653484107</v>
      </c>
      <c r="AJ4867">
        <v>82.498580524067293</v>
      </c>
      <c r="AK4867">
        <v>17.252893369467799</v>
      </c>
      <c r="AL4867">
        <v>83.427866590744898</v>
      </c>
      <c r="AM4867">
        <v>85.8180681208854</v>
      </c>
      <c r="AN4867">
        <v>1.0000000314137101</v>
      </c>
    </row>
    <row r="4868" spans="1:40" x14ac:dyDescent="0.25">
      <c r="A4868" t="str">
        <f>"20190312151634356"</f>
        <v>20190312151634356</v>
      </c>
      <c r="B4868" t="str">
        <f>"1552374994353084"</f>
        <v>1552374994353084</v>
      </c>
      <c r="C4868" t="s">
        <v>40</v>
      </c>
      <c r="D4868">
        <v>4.4800469999999999</v>
      </c>
      <c r="E4868">
        <v>0.52051380000000003</v>
      </c>
      <c r="F4868" t="s">
        <v>43</v>
      </c>
      <c r="G4868">
        <v>-349.54829999999998</v>
      </c>
      <c r="H4868" s="1">
        <v>-1.4941109999999999E-6</v>
      </c>
      <c r="I4868">
        <v>14.52619</v>
      </c>
      <c r="J4868">
        <v>-366.7106</v>
      </c>
      <c r="K4868">
        <v>1.110088</v>
      </c>
      <c r="L4868">
        <v>16.83417</v>
      </c>
      <c r="M4868">
        <v>0.99992879999999995</v>
      </c>
      <c r="N4868">
        <v>0</v>
      </c>
      <c r="O4868">
        <v>-1.868249E-3</v>
      </c>
      <c r="P4868">
        <v>0.99185500000000004</v>
      </c>
      <c r="Q4868">
        <v>0.102781</v>
      </c>
      <c r="R4868">
        <v>-7.5233750000000002E-2</v>
      </c>
      <c r="S4868">
        <v>3.0143430000000002</v>
      </c>
      <c r="T4868">
        <v>-0.19351090000000001</v>
      </c>
      <c r="U4868">
        <v>-0.40234379999999997</v>
      </c>
      <c r="V4868">
        <v>7.3364620000000005E-2</v>
      </c>
      <c r="W4868">
        <v>0.1144758</v>
      </c>
      <c r="X4868">
        <v>0.99071339999999997</v>
      </c>
      <c r="Y4868">
        <v>0.13019139999999901</v>
      </c>
      <c r="Z4868">
        <v>-4.0369680000000002E-3</v>
      </c>
      <c r="AA4868">
        <v>0.99148060000000005</v>
      </c>
      <c r="AB4868">
        <v>25</v>
      </c>
      <c r="AC4868">
        <v>17.162299999999998</v>
      </c>
      <c r="AD4868">
        <v>-1.110089494111</v>
      </c>
      <c r="AE4868">
        <v>-2.3079800000000001</v>
      </c>
      <c r="AF4868">
        <v>2.2665958887575002</v>
      </c>
      <c r="AG4868">
        <v>-1.110089494111</v>
      </c>
      <c r="AH4868">
        <v>17.096326154445698</v>
      </c>
      <c r="AI4868">
        <v>93.682947112831897</v>
      </c>
      <c r="AJ4868">
        <v>82.447885073385805</v>
      </c>
      <c r="AK4868">
        <v>17.2816122970934</v>
      </c>
      <c r="AL4868">
        <v>83.426609458319604</v>
      </c>
      <c r="AM4868">
        <v>85.764845147123793</v>
      </c>
      <c r="AN4868">
        <v>1.0000000585964699</v>
      </c>
    </row>
    <row r="4869" spans="1:40" x14ac:dyDescent="0.25">
      <c r="A4869" t="str">
        <f>"20190312151634367"</f>
        <v>20190312151634367</v>
      </c>
      <c r="B4869" t="str">
        <f>"1552374994362844"</f>
        <v>1552374994362844</v>
      </c>
      <c r="C4869" t="s">
        <v>40</v>
      </c>
      <c r="D4869">
        <v>4.1024149999999997</v>
      </c>
      <c r="E4869">
        <v>0.54208769999999995</v>
      </c>
      <c r="F4869" t="s">
        <v>43</v>
      </c>
      <c r="G4869">
        <v>-349.41930000000002</v>
      </c>
      <c r="H4869" s="1">
        <v>-1.5420699999999901E-6</v>
      </c>
      <c r="I4869">
        <v>14.51094</v>
      </c>
      <c r="J4869">
        <v>-366.57510000000002</v>
      </c>
      <c r="K4869">
        <v>1.11009</v>
      </c>
      <c r="L4869">
        <v>16.833950000000002</v>
      </c>
      <c r="M4869">
        <v>0.99992899999999996</v>
      </c>
      <c r="N4869">
        <v>0</v>
      </c>
      <c r="O4869">
        <v>-1.8108320000000001E-3</v>
      </c>
      <c r="P4869">
        <v>0.99181960000000002</v>
      </c>
      <c r="Q4869">
        <v>0.1026847</v>
      </c>
      <c r="R4869">
        <v>-7.5828370000000006E-2</v>
      </c>
      <c r="S4869">
        <v>3.0139770000000001</v>
      </c>
      <c r="T4869">
        <v>-0.19349530000000001</v>
      </c>
      <c r="U4869">
        <v>-0.40493770000000001</v>
      </c>
      <c r="V4869">
        <v>7.4016360000000003E-2</v>
      </c>
      <c r="W4869">
        <v>0.1143853</v>
      </c>
      <c r="X4869">
        <v>0.99067530000000004</v>
      </c>
      <c r="Y4869">
        <v>0.13110039999999901</v>
      </c>
      <c r="Z4869">
        <v>-4.0695840000000002E-3</v>
      </c>
      <c r="AA4869">
        <v>0.99136069999999998</v>
      </c>
      <c r="AB4869">
        <v>25</v>
      </c>
      <c r="AC4869">
        <v>17.155799999999999</v>
      </c>
      <c r="AD4869">
        <v>-1.1100915420699999</v>
      </c>
      <c r="AE4869">
        <v>-2.32301</v>
      </c>
      <c r="AF4869">
        <v>2.2825529465294498</v>
      </c>
      <c r="AG4869">
        <v>-1.1100915420699999</v>
      </c>
      <c r="AH4869">
        <v>17.0897136251562</v>
      </c>
      <c r="AI4869">
        <v>93.683901813543301</v>
      </c>
      <c r="AJ4869">
        <v>82.392429502818999</v>
      </c>
      <c r="AK4869">
        <v>17.277171729636098</v>
      </c>
      <c r="AL4869">
        <v>83.4318285213118</v>
      </c>
      <c r="AM4869">
        <v>85.727196841583705</v>
      </c>
      <c r="AN4869">
        <v>0.99999998421691405</v>
      </c>
    </row>
    <row r="4870" spans="1:40" x14ac:dyDescent="0.25">
      <c r="A4870" t="str">
        <f>"20190312151634432"</f>
        <v>20190312151634432</v>
      </c>
      <c r="B4870" t="str">
        <f>"1552374994422380"</f>
        <v>1552374994422380</v>
      </c>
      <c r="C4870" t="s">
        <v>40</v>
      </c>
      <c r="D4870">
        <v>4.4788230000000002</v>
      </c>
      <c r="E4870">
        <v>0.53904370000000001</v>
      </c>
      <c r="F4870" t="s">
        <v>41</v>
      </c>
      <c r="G4870">
        <v>-365.83170000000001</v>
      </c>
      <c r="H4870">
        <v>0.94646350000000001</v>
      </c>
      <c r="I4870">
        <v>16.689119999999999</v>
      </c>
      <c r="J4870">
        <v>-365.85820000000001</v>
      </c>
      <c r="K4870">
        <v>1.1101129999999999</v>
      </c>
      <c r="L4870">
        <v>16.833010000000002</v>
      </c>
      <c r="M4870">
        <v>0.99992890000000001</v>
      </c>
      <c r="N4870">
        <v>0</v>
      </c>
      <c r="O4870">
        <v>-1.509837E-3</v>
      </c>
      <c r="P4870">
        <v>0.99111300000000002</v>
      </c>
      <c r="Q4870">
        <v>0.10487150000000001</v>
      </c>
      <c r="R4870">
        <v>-8.1836199999999998E-2</v>
      </c>
      <c r="S4870">
        <v>3.0489199999999999</v>
      </c>
      <c r="T4870">
        <v>-0.67104919999999901</v>
      </c>
      <c r="U4870">
        <v>-0.59307860000000001</v>
      </c>
      <c r="V4870">
        <v>8.0323569999999997E-2</v>
      </c>
      <c r="W4870">
        <v>0.11660479999999999</v>
      </c>
      <c r="X4870">
        <v>0.98992500000000005</v>
      </c>
      <c r="Y4870">
        <v>0.18522140000000001</v>
      </c>
      <c r="Z4870">
        <v>-1.9635969999999999E-2</v>
      </c>
      <c r="AA4870">
        <v>0.98250059999999995</v>
      </c>
      <c r="AB4870">
        <v>25</v>
      </c>
      <c r="AC4870">
        <v>2.6499999999998601E-2</v>
      </c>
      <c r="AD4870">
        <v>-0.163649499999999</v>
      </c>
      <c r="AE4870">
        <v>-0.14388999999999799</v>
      </c>
      <c r="AF4870">
        <v>6.3902830356735496E-2</v>
      </c>
      <c r="AG4870">
        <v>-0.163649499999999</v>
      </c>
      <c r="AH4870">
        <v>1.1868676194088301E-2</v>
      </c>
      <c r="AI4870">
        <v>158.33881151659199</v>
      </c>
      <c r="AJ4870">
        <v>10.5216576994997</v>
      </c>
      <c r="AK4870">
        <v>0.17608405962054499</v>
      </c>
      <c r="AL4870">
        <v>83.303804085662406</v>
      </c>
      <c r="AM4870">
        <v>85.361122140097905</v>
      </c>
      <c r="AN4870">
        <v>1.0000000304527901</v>
      </c>
    </row>
    <row r="4871" spans="1:40" x14ac:dyDescent="0.25">
      <c r="A4871" t="str">
        <f>"20190312151634466"</f>
        <v>20190312151634466</v>
      </c>
      <c r="B4871" t="str">
        <f>"1552374994462395"</f>
        <v>1552374994462395</v>
      </c>
      <c r="C4871" t="s">
        <v>40</v>
      </c>
      <c r="D4871">
        <v>5.4540240000000004</v>
      </c>
      <c r="E4871">
        <v>0.53904370000000001</v>
      </c>
      <c r="F4871" t="s">
        <v>41</v>
      </c>
      <c r="G4871">
        <v>-365.17099999999999</v>
      </c>
      <c r="H4871">
        <v>0.94703950000000003</v>
      </c>
      <c r="I4871">
        <v>16.701000000000001</v>
      </c>
      <c r="J4871">
        <v>-365.48649999999998</v>
      </c>
      <c r="K4871">
        <v>1.1101259999999999</v>
      </c>
      <c r="L4871">
        <v>16.832609999999999</v>
      </c>
      <c r="M4871">
        <v>0.99992890000000001</v>
      </c>
      <c r="N4871">
        <v>0</v>
      </c>
      <c r="O4871">
        <v>-1.356066E-3</v>
      </c>
      <c r="P4871">
        <v>0.9906914</v>
      </c>
      <c r="Q4871">
        <v>0.1059708</v>
      </c>
      <c r="R4871">
        <v>-8.5446510000000003E-2</v>
      </c>
      <c r="S4871">
        <v>3.0551759999999999</v>
      </c>
      <c r="T4871">
        <v>-0.72498269999999998</v>
      </c>
      <c r="U4871">
        <v>-0.58657840000000006</v>
      </c>
      <c r="V4871">
        <v>8.4086659999999994E-2</v>
      </c>
      <c r="W4871">
        <v>0.11772050000000001</v>
      </c>
      <c r="X4871">
        <v>0.98948029999999998</v>
      </c>
      <c r="Y4871">
        <v>0.18236930000000001</v>
      </c>
      <c r="Z4871">
        <v>-2.084136E-2</v>
      </c>
      <c r="AA4871">
        <v>0.98300920000000003</v>
      </c>
      <c r="AB4871">
        <v>25</v>
      </c>
      <c r="AC4871">
        <v>0.31549999999998501</v>
      </c>
      <c r="AD4871">
        <v>-0.163086499999999</v>
      </c>
      <c r="AE4871">
        <v>-0.13160999999999801</v>
      </c>
      <c r="AF4871">
        <v>0.106860890102819</v>
      </c>
      <c r="AG4871">
        <v>-0.163086499999999</v>
      </c>
      <c r="AH4871">
        <v>0.25715151636585298</v>
      </c>
      <c r="AI4871">
        <v>120.355357853483</v>
      </c>
      <c r="AJ4871">
        <v>67.4343726846122</v>
      </c>
      <c r="AK4871">
        <v>0.32271250159402598</v>
      </c>
      <c r="AL4871">
        <v>83.239435474017299</v>
      </c>
      <c r="AM4871">
        <v>85.142638898925895</v>
      </c>
      <c r="AN4871">
        <v>0.99999997329914703</v>
      </c>
    </row>
    <row r="4872" spans="1:40" x14ac:dyDescent="0.25">
      <c r="A4872" t="str">
        <f>"20190312151634478"</f>
        <v>20190312151634478</v>
      </c>
      <c r="B4872" t="str">
        <f>"1552374994473132"</f>
        <v>1552374994473132</v>
      </c>
      <c r="C4872" t="s">
        <v>40</v>
      </c>
      <c r="D4872">
        <v>4.7873169999999998</v>
      </c>
      <c r="E4872">
        <v>0.53904370000000001</v>
      </c>
      <c r="F4872" t="s">
        <v>41</v>
      </c>
      <c r="G4872">
        <v>-364.73649999999998</v>
      </c>
      <c r="H4872">
        <v>0.9328978</v>
      </c>
      <c r="I4872">
        <v>16.685649999999999</v>
      </c>
      <c r="J4872">
        <v>-365.36239999999998</v>
      </c>
      <c r="K4872">
        <v>1.110125</v>
      </c>
      <c r="L4872">
        <v>16.832519999999999</v>
      </c>
      <c r="M4872">
        <v>0.99992879999999995</v>
      </c>
      <c r="N4872">
        <v>0</v>
      </c>
      <c r="O4872">
        <v>-1.3044899999999999E-3</v>
      </c>
      <c r="P4872">
        <v>0.99052359999999995</v>
      </c>
      <c r="Q4872">
        <v>0.1063472</v>
      </c>
      <c r="R4872">
        <v>-8.6910050000000003E-2</v>
      </c>
      <c r="S4872">
        <v>3.0538639999999999</v>
      </c>
      <c r="T4872">
        <v>-0.72162179999999998</v>
      </c>
      <c r="U4872">
        <v>-0.59762569999999904</v>
      </c>
      <c r="V4872">
        <v>8.5601430000000006E-2</v>
      </c>
      <c r="W4872">
        <v>0.1181012</v>
      </c>
      <c r="X4872">
        <v>0.98930510000000005</v>
      </c>
      <c r="Y4872">
        <v>0.18587409999999999</v>
      </c>
      <c r="Z4872">
        <v>-2.1165679999999999E-2</v>
      </c>
      <c r="AA4872">
        <v>0.98234560000000004</v>
      </c>
      <c r="AB4872">
        <v>25</v>
      </c>
      <c r="AC4872">
        <v>0.62590000000000101</v>
      </c>
      <c r="AD4872">
        <v>-0.177227199999999</v>
      </c>
      <c r="AE4872">
        <v>-0.146870000000003</v>
      </c>
      <c r="AF4872">
        <v>0.135738206257286</v>
      </c>
      <c r="AG4872">
        <v>-0.177227199999999</v>
      </c>
      <c r="AH4872">
        <v>0.58187290035667305</v>
      </c>
      <c r="AI4872">
        <v>106.52123976537</v>
      </c>
      <c r="AJ4872">
        <v>76.868978815191198</v>
      </c>
      <c r="AK4872">
        <v>0.62322581238847297</v>
      </c>
      <c r="AL4872">
        <v>83.217470192746006</v>
      </c>
      <c r="AM4872">
        <v>85.054695179598099</v>
      </c>
      <c r="AN4872">
        <v>1.00000003957274</v>
      </c>
    </row>
    <row r="4873" spans="1:40" x14ac:dyDescent="0.25">
      <c r="A4873" t="str">
        <f>"20190312151634490"</f>
        <v>20190312151634490</v>
      </c>
      <c r="B4873" t="str">
        <f>"1552374994482892"</f>
        <v>1552374994482892</v>
      </c>
      <c r="C4873" t="s">
        <v>40</v>
      </c>
      <c r="D4873">
        <v>4.6551429999999998</v>
      </c>
      <c r="E4873">
        <v>0.51563289999999995</v>
      </c>
      <c r="F4873" t="s">
        <v>41</v>
      </c>
      <c r="G4873">
        <v>-364.52409999999998</v>
      </c>
      <c r="H4873">
        <v>0.91231479999999998</v>
      </c>
      <c r="I4873">
        <v>16.666929999999901</v>
      </c>
      <c r="J4873">
        <v>-365.21660000000003</v>
      </c>
      <c r="K4873">
        <v>1.110128</v>
      </c>
      <c r="L4873">
        <v>16.832370000000001</v>
      </c>
      <c r="M4873">
        <v>0.99992879999999995</v>
      </c>
      <c r="N4873">
        <v>0</v>
      </c>
      <c r="O4873">
        <v>-1.2438620000000001E-3</v>
      </c>
      <c r="P4873">
        <v>0.9903826</v>
      </c>
      <c r="Q4873">
        <v>0.10648870000000001</v>
      </c>
      <c r="R4873">
        <v>-8.8331399999999893E-2</v>
      </c>
      <c r="S4873">
        <v>3.053223</v>
      </c>
      <c r="T4873">
        <v>-0.720495199999999</v>
      </c>
      <c r="U4873">
        <v>-0.60220340000000006</v>
      </c>
      <c r="V4873">
        <v>8.7083300000000002E-2</v>
      </c>
      <c r="W4873">
        <v>0.11824850000000001</v>
      </c>
      <c r="X4873">
        <v>0.98915810000000004</v>
      </c>
      <c r="Y4873">
        <v>0.18736410000000001</v>
      </c>
      <c r="Z4873">
        <v>-2.1320639999999998E-2</v>
      </c>
      <c r="AA4873">
        <v>0.98205909999999996</v>
      </c>
      <c r="AB4873">
        <v>25</v>
      </c>
      <c r="AC4873">
        <v>0.69250000000005196</v>
      </c>
      <c r="AD4873">
        <v>-0.197813199999999</v>
      </c>
      <c r="AE4873">
        <v>-0.165440000000003</v>
      </c>
      <c r="AF4873">
        <v>0.152784855042225</v>
      </c>
      <c r="AG4873">
        <v>-0.197813199999999</v>
      </c>
      <c r="AH4873">
        <v>0.64306646257140498</v>
      </c>
      <c r="AI4873">
        <v>106.661304504776</v>
      </c>
      <c r="AJ4873">
        <v>76.635010496182602</v>
      </c>
      <c r="AK4873">
        <v>0.68993314843440801</v>
      </c>
      <c r="AL4873">
        <v>83.208970547830702</v>
      </c>
      <c r="AM4873">
        <v>84.968777458830701</v>
      </c>
      <c r="AN4873">
        <v>0.99999997784337402</v>
      </c>
    </row>
    <row r="4874" spans="1:40" x14ac:dyDescent="0.25">
      <c r="A4874" t="str">
        <f>"20190312151634506"</f>
        <v>20190312151634506</v>
      </c>
      <c r="B4874" t="str">
        <f>"1552374994502411"</f>
        <v>1552374994502411</v>
      </c>
      <c r="C4874" t="s">
        <v>40</v>
      </c>
      <c r="D4874">
        <v>4.8883900000000002</v>
      </c>
      <c r="E4874">
        <v>0.51947239999999995</v>
      </c>
      <c r="F4874" t="s">
        <v>43</v>
      </c>
      <c r="G4874">
        <v>-327.76530000000002</v>
      </c>
      <c r="H4874" s="1">
        <v>-2.9149019999999999E-6</v>
      </c>
      <c r="I4874">
        <v>11.82701</v>
      </c>
      <c r="J4874">
        <v>-365.05779999999999</v>
      </c>
      <c r="K4874">
        <v>1.1101299999999901</v>
      </c>
      <c r="L4874">
        <v>16.832239999999999</v>
      </c>
      <c r="M4874">
        <v>0.99992879999999995</v>
      </c>
      <c r="N4874">
        <v>0</v>
      </c>
      <c r="O4874">
        <v>-1.177275E-3</v>
      </c>
      <c r="P4874">
        <v>0.9902782</v>
      </c>
      <c r="Q4874">
        <v>0.1063378</v>
      </c>
      <c r="R4874">
        <v>-8.9673230000000007E-2</v>
      </c>
      <c r="S4874">
        <v>3.0028990000000002</v>
      </c>
      <c r="T4874">
        <v>-8.9011789999999993E-2</v>
      </c>
      <c r="U4874">
        <v>-0.40133669999999999</v>
      </c>
      <c r="V4874">
        <v>8.8491199999999895E-2</v>
      </c>
      <c r="W4874">
        <v>0.1181041</v>
      </c>
      <c r="X4874">
        <v>0.9890504</v>
      </c>
      <c r="Y4874">
        <v>0.13124859999999999</v>
      </c>
      <c r="Z4874">
        <v>-1.901467E-3</v>
      </c>
      <c r="AA4874">
        <v>0.99134770000000005</v>
      </c>
      <c r="AB4874">
        <v>25</v>
      </c>
      <c r="AC4874">
        <v>37.292499999999897</v>
      </c>
      <c r="AD4874">
        <v>-1.1101329149019901</v>
      </c>
      <c r="AE4874">
        <v>-5.0052299999999903</v>
      </c>
      <c r="AF4874">
        <v>4.9570049881865703</v>
      </c>
      <c r="AG4874">
        <v>-1.1101329149019901</v>
      </c>
      <c r="AH4874">
        <v>37.265928265996997</v>
      </c>
      <c r="AI4874">
        <v>91.6914180990169</v>
      </c>
      <c r="AJ4874">
        <v>82.423160803089203</v>
      </c>
      <c r="AK4874">
        <v>37.6105530811245</v>
      </c>
      <c r="AL4874">
        <v>83.217302473819998</v>
      </c>
      <c r="AM4874">
        <v>84.887310168276002</v>
      </c>
      <c r="AN4874">
        <v>0.999999982327204</v>
      </c>
    </row>
    <row r="4875" spans="1:40" x14ac:dyDescent="0.25">
      <c r="A4875" t="str">
        <f>"20190312151634523"</f>
        <v>20190312151634523</v>
      </c>
      <c r="B4875" t="str">
        <f>"1552374994513147"</f>
        <v>1552374994513147</v>
      </c>
      <c r="C4875" t="s">
        <v>40</v>
      </c>
      <c r="D4875">
        <v>4.6367409999999998</v>
      </c>
      <c r="E4875">
        <v>0.51924559999999997</v>
      </c>
      <c r="F4875" t="s">
        <v>43</v>
      </c>
      <c r="G4875">
        <v>-336.66469999999998</v>
      </c>
      <c r="H4875" s="1">
        <v>-2.9604169999999999E-6</v>
      </c>
      <c r="I4875">
        <v>12.70337</v>
      </c>
      <c r="J4875">
        <v>-364.86040000000003</v>
      </c>
      <c r="K4875">
        <v>1.110133</v>
      </c>
      <c r="L4875">
        <v>16.832059999999998</v>
      </c>
      <c r="M4875">
        <v>0.99992879999999995</v>
      </c>
      <c r="N4875">
        <v>0</v>
      </c>
      <c r="O4875">
        <v>-1.0942440000000001E-3</v>
      </c>
      <c r="P4875">
        <v>0.98997159999999995</v>
      </c>
      <c r="Q4875">
        <v>0.10690860000000001</v>
      </c>
      <c r="R4875">
        <v>-9.2341389999999995E-2</v>
      </c>
      <c r="S4875">
        <v>3.0025330000000001</v>
      </c>
      <c r="T4875">
        <v>-0.11739529999999999</v>
      </c>
      <c r="U4875">
        <v>-0.43661499999999998</v>
      </c>
      <c r="V4875">
        <v>9.1241790000000003E-2</v>
      </c>
      <c r="W4875">
        <v>0.1186803</v>
      </c>
      <c r="X4875">
        <v>0.98873140000000004</v>
      </c>
      <c r="Y4875">
        <v>0.14271310000000001</v>
      </c>
      <c r="Z4875">
        <v>-2.731767E-3</v>
      </c>
      <c r="AA4875">
        <v>0.98976030000000004</v>
      </c>
      <c r="AB4875">
        <v>25</v>
      </c>
      <c r="AC4875">
        <v>28.195699999999999</v>
      </c>
      <c r="AD4875">
        <v>-1.110135960417</v>
      </c>
      <c r="AE4875">
        <v>-4.1286899999999997</v>
      </c>
      <c r="AF4875">
        <v>4.0916227029950303</v>
      </c>
      <c r="AG4875">
        <v>-1.110135960417</v>
      </c>
      <c r="AH4875">
        <v>28.157467913686499</v>
      </c>
      <c r="AI4875">
        <v>92.234331041029705</v>
      </c>
      <c r="AJ4875">
        <v>81.732095956700505</v>
      </c>
      <c r="AK4875">
        <v>28.474844644081202</v>
      </c>
      <c r="AL4875">
        <v>83.184054449724798</v>
      </c>
      <c r="AM4875">
        <v>84.727582117481504</v>
      </c>
      <c r="AN4875">
        <v>0.99999992959822404</v>
      </c>
    </row>
    <row r="4876" spans="1:40" x14ac:dyDescent="0.25">
      <c r="A4876" t="str">
        <f>"20190312151634535"</f>
        <v>20190312151634535</v>
      </c>
      <c r="B4876" t="str">
        <f>"1552374994532668"</f>
        <v>1552374994532668</v>
      </c>
      <c r="C4876" t="s">
        <v>40</v>
      </c>
      <c r="D4876">
        <v>4.6352799999999998</v>
      </c>
      <c r="E4876">
        <v>0.51944440000000003</v>
      </c>
      <c r="F4876" t="s">
        <v>43</v>
      </c>
      <c r="G4876">
        <v>-338.86219999999997</v>
      </c>
      <c r="H4876" s="1">
        <v>-2.1346139999999998E-6</v>
      </c>
      <c r="I4876">
        <v>12.996449999999999</v>
      </c>
      <c r="J4876">
        <v>-364.72739999999999</v>
      </c>
      <c r="K4876">
        <v>1.110133</v>
      </c>
      <c r="L4876">
        <v>16.831969999999998</v>
      </c>
      <c r="M4876">
        <v>0.99992890000000001</v>
      </c>
      <c r="N4876">
        <v>0</v>
      </c>
      <c r="O4876">
        <v>-1.038371E-3</v>
      </c>
      <c r="P4876">
        <v>0.9897842</v>
      </c>
      <c r="Q4876">
        <v>0.1073568</v>
      </c>
      <c r="R4876">
        <v>-9.3819659999999999E-2</v>
      </c>
      <c r="S4876">
        <v>3.0029300000000001</v>
      </c>
      <c r="T4876">
        <v>-0.12822629999999999</v>
      </c>
      <c r="U4876">
        <v>-0.44302370000000002</v>
      </c>
      <c r="V4876">
        <v>9.2775659999999996E-2</v>
      </c>
      <c r="W4876">
        <v>0.119132</v>
      </c>
      <c r="X4876">
        <v>0.98853440000000004</v>
      </c>
      <c r="Y4876">
        <v>0.14479510000000001</v>
      </c>
      <c r="Z4876">
        <v>-3.0293030000000001E-3</v>
      </c>
      <c r="AA4876">
        <v>0.98945700000000003</v>
      </c>
      <c r="AB4876">
        <v>25</v>
      </c>
      <c r="AC4876">
        <v>25.865200000000002</v>
      </c>
      <c r="AD4876">
        <v>-1.110135134614</v>
      </c>
      <c r="AE4876">
        <v>-3.8355199999999998</v>
      </c>
      <c r="AF4876">
        <v>3.8018056356872298</v>
      </c>
      <c r="AG4876">
        <v>-1.110135134614</v>
      </c>
      <c r="AH4876">
        <v>25.8226239329218</v>
      </c>
      <c r="AI4876">
        <v>92.435453492288204</v>
      </c>
      <c r="AJ4876">
        <v>81.624642791374995</v>
      </c>
      <c r="AK4876">
        <v>26.124586750602401</v>
      </c>
      <c r="AL4876">
        <v>83.157989563502795</v>
      </c>
      <c r="AM4876">
        <v>84.638397301708693</v>
      </c>
      <c r="AN4876">
        <v>1.0000000082478899</v>
      </c>
    </row>
    <row r="4877" spans="1:40" x14ac:dyDescent="0.25">
      <c r="A4877" t="str">
        <f>"20190312151634545"</f>
        <v>20190312151634545</v>
      </c>
      <c r="B4877" t="str">
        <f>"1552374994542427"</f>
        <v>1552374994542427</v>
      </c>
      <c r="C4877" t="s">
        <v>40</v>
      </c>
      <c r="D4877">
        <v>4.6606699999999996</v>
      </c>
      <c r="E4877">
        <v>0.51940159999999902</v>
      </c>
      <c r="F4877" t="s">
        <v>43</v>
      </c>
      <c r="G4877">
        <v>-341.17079999999999</v>
      </c>
      <c r="H4877" s="1">
        <v>-4.8888959999999998E-6</v>
      </c>
      <c r="I4877">
        <v>13.30843</v>
      </c>
      <c r="J4877">
        <v>-364.61399999999998</v>
      </c>
      <c r="K4877">
        <v>1.110136</v>
      </c>
      <c r="L4877">
        <v>16.831879999999899</v>
      </c>
      <c r="M4877">
        <v>0.99992890000000001</v>
      </c>
      <c r="N4877">
        <v>0</v>
      </c>
      <c r="O4877">
        <v>-9.9059449999999998E-4</v>
      </c>
      <c r="P4877">
        <v>0.98965329999999996</v>
      </c>
      <c r="Q4877">
        <v>0.1074608</v>
      </c>
      <c r="R4877">
        <v>-9.5072690000000001E-2</v>
      </c>
      <c r="S4877">
        <v>3.0037229999999999</v>
      </c>
      <c r="T4877">
        <v>-0.14155499999999999</v>
      </c>
      <c r="U4877">
        <v>-0.44927980000000001</v>
      </c>
      <c r="V4877">
        <v>9.4075900000000004E-2</v>
      </c>
      <c r="W4877">
        <v>0.119239</v>
      </c>
      <c r="X4877">
        <v>0.98839860000000002</v>
      </c>
      <c r="Y4877">
        <v>0.14679049999999999</v>
      </c>
      <c r="Z4877">
        <v>-3.3914520000000001E-3</v>
      </c>
      <c r="AA4877">
        <v>0.98916179999999998</v>
      </c>
      <c r="AB4877">
        <v>25</v>
      </c>
      <c r="AC4877">
        <v>23.443200000000001</v>
      </c>
      <c r="AD4877">
        <v>-1.110140888896</v>
      </c>
      <c r="AE4877">
        <v>-3.5234499999999902</v>
      </c>
      <c r="AF4877">
        <v>3.4925650388903402</v>
      </c>
      <c r="AG4877">
        <v>-1.110140888896</v>
      </c>
      <c r="AH4877">
        <v>23.395375057517299</v>
      </c>
      <c r="AI4877">
        <v>92.686989694132805</v>
      </c>
      <c r="AJ4877">
        <v>81.509336010490898</v>
      </c>
      <c r="AK4877">
        <v>23.680667165981198</v>
      </c>
      <c r="AL4877">
        <v>83.151814868011698</v>
      </c>
      <c r="AM4877">
        <v>84.562959713255594</v>
      </c>
      <c r="AN4877">
        <v>1.0000000032818801</v>
      </c>
    </row>
    <row r="4878" spans="1:40" x14ac:dyDescent="0.25">
      <c r="A4878" t="str">
        <f>"20190312151634556"</f>
        <v>20190312151634556</v>
      </c>
      <c r="B4878" t="str">
        <f>"1552374994553164"</f>
        <v>1552374994553164</v>
      </c>
      <c r="C4878" t="s">
        <v>40</v>
      </c>
      <c r="D4878">
        <v>4.6695260000000003</v>
      </c>
      <c r="E4878">
        <v>0.51915599999999995</v>
      </c>
      <c r="F4878" t="s">
        <v>43</v>
      </c>
      <c r="G4878">
        <v>-342.08620000000002</v>
      </c>
      <c r="H4878" s="1">
        <v>-4.4733839999999998E-6</v>
      </c>
      <c r="I4878">
        <v>13.4370799999999</v>
      </c>
      <c r="J4878">
        <v>-364.50330000000002</v>
      </c>
      <c r="K4878">
        <v>1.1101379999999901</v>
      </c>
      <c r="L4878">
        <v>16.831849999999999</v>
      </c>
      <c r="M4878">
        <v>0.99992879999999995</v>
      </c>
      <c r="N4878">
        <v>0</v>
      </c>
      <c r="O4878">
        <v>-9.438898E-4</v>
      </c>
      <c r="P4878">
        <v>0.98948970000000003</v>
      </c>
      <c r="Q4878">
        <v>0.107603</v>
      </c>
      <c r="R4878">
        <v>-9.6600759999999994E-2</v>
      </c>
      <c r="S4878">
        <v>3.0039669999999998</v>
      </c>
      <c r="T4878">
        <v>-0.14803139999999901</v>
      </c>
      <c r="U4878">
        <v>-0.45266719999999999</v>
      </c>
      <c r="V4878">
        <v>9.5650399999999997E-2</v>
      </c>
      <c r="W4878">
        <v>0.1193834</v>
      </c>
      <c r="X4878">
        <v>0.98823000000000005</v>
      </c>
      <c r="Y4878">
        <v>0.1478997</v>
      </c>
      <c r="Z4878">
        <v>-3.5753019999999998E-3</v>
      </c>
      <c r="AA4878">
        <v>0.98899590000000004</v>
      </c>
      <c r="AB4878">
        <v>25</v>
      </c>
      <c r="AC4878">
        <v>22.417100000000001</v>
      </c>
      <c r="AD4878">
        <v>-1.11014247338399</v>
      </c>
      <c r="AE4878">
        <v>-3.3947699999999998</v>
      </c>
      <c r="AF4878">
        <v>3.3655389732517502</v>
      </c>
      <c r="AG4878">
        <v>-1.11014247338399</v>
      </c>
      <c r="AH4878">
        <v>22.366671328480201</v>
      </c>
      <c r="AI4878">
        <v>92.809893782972694</v>
      </c>
      <c r="AJ4878">
        <v>81.442834786953796</v>
      </c>
      <c r="AK4878">
        <v>22.645689550286299</v>
      </c>
      <c r="AL4878">
        <v>83.143481563599394</v>
      </c>
      <c r="AM4878">
        <v>84.471584534484293</v>
      </c>
      <c r="AN4878">
        <v>0.99999996405785896</v>
      </c>
    </row>
    <row r="4879" spans="1:40" x14ac:dyDescent="0.25">
      <c r="A4879" t="str">
        <f>"20190312151634566"</f>
        <v>20190312151634566</v>
      </c>
      <c r="B4879" t="str">
        <f>"1552374994562924"</f>
        <v>1552374994562924</v>
      </c>
      <c r="C4879" t="s">
        <v>40</v>
      </c>
      <c r="D4879">
        <v>4.6680619999999999</v>
      </c>
      <c r="E4879">
        <v>0.51897040000000005</v>
      </c>
      <c r="F4879" t="s">
        <v>43</v>
      </c>
      <c r="G4879">
        <v>-342.75459999999998</v>
      </c>
      <c r="H4879" s="1">
        <v>-4.1690250000000003E-6</v>
      </c>
      <c r="I4879">
        <v>13.536289999999999</v>
      </c>
      <c r="J4879">
        <v>-364.37799999999999</v>
      </c>
      <c r="K4879">
        <v>1.1101379999999901</v>
      </c>
      <c r="L4879">
        <v>16.831789999999899</v>
      </c>
      <c r="M4879">
        <v>0.99992890000000001</v>
      </c>
      <c r="N4879">
        <v>0</v>
      </c>
      <c r="O4879">
        <v>-8.9110579999999995E-4</v>
      </c>
      <c r="P4879">
        <v>0.98939779999999999</v>
      </c>
      <c r="Q4879">
        <v>0.1075405</v>
      </c>
      <c r="R4879">
        <v>-9.7608749999999994E-2</v>
      </c>
      <c r="S4879">
        <v>3.0041199999999999</v>
      </c>
      <c r="T4879">
        <v>-0.1533428</v>
      </c>
      <c r="U4879">
        <v>-0.4552002</v>
      </c>
      <c r="V4879">
        <v>9.671051E-2</v>
      </c>
      <c r="W4879">
        <v>0.11932420000000001</v>
      </c>
      <c r="X4879">
        <v>0.98813399999999996</v>
      </c>
      <c r="Y4879">
        <v>0.14874579999999901</v>
      </c>
      <c r="Z4879">
        <v>-3.7271460000000002E-3</v>
      </c>
      <c r="AA4879">
        <v>0.98886839999999998</v>
      </c>
      <c r="AB4879">
        <v>25</v>
      </c>
      <c r="AC4879">
        <v>21.6234</v>
      </c>
      <c r="AD4879">
        <v>-1.11014216902499</v>
      </c>
      <c r="AE4879">
        <v>-3.2954999999999899</v>
      </c>
      <c r="AF4879">
        <v>3.26781087861659</v>
      </c>
      <c r="AG4879">
        <v>-1.11014216902499</v>
      </c>
      <c r="AH4879">
        <v>21.5707630813842</v>
      </c>
      <c r="AI4879">
        <v>92.912957230081403</v>
      </c>
      <c r="AJ4879">
        <v>81.385615201202796</v>
      </c>
      <c r="AK4879">
        <v>21.8451098300525</v>
      </c>
      <c r="AL4879">
        <v>83.146898105554797</v>
      </c>
      <c r="AM4879">
        <v>84.4101584494706</v>
      </c>
      <c r="AN4879">
        <v>0.99999999470304901</v>
      </c>
    </row>
    <row r="4880" spans="1:40" x14ac:dyDescent="0.25">
      <c r="A4880" t="str">
        <f>"20190312151634577"</f>
        <v>20190312151634577</v>
      </c>
      <c r="B4880" t="str">
        <f>"1552374994572684"</f>
        <v>1552374994572684</v>
      </c>
      <c r="C4880" t="s">
        <v>40</v>
      </c>
      <c r="D4880">
        <v>4.6822039999999996</v>
      </c>
      <c r="E4880">
        <v>0.51844809999999997</v>
      </c>
      <c r="F4880" t="s">
        <v>43</v>
      </c>
      <c r="G4880">
        <v>-343.15960000000001</v>
      </c>
      <c r="H4880" s="1">
        <v>-3.9826169999999996E-6</v>
      </c>
      <c r="I4880">
        <v>13.6078299999999</v>
      </c>
      <c r="J4880">
        <v>-364.25810000000001</v>
      </c>
      <c r="K4880">
        <v>1.1101319999999999</v>
      </c>
      <c r="L4880">
        <v>16.831700000000001</v>
      </c>
      <c r="M4880">
        <v>0.99992890000000001</v>
      </c>
      <c r="N4880">
        <v>0</v>
      </c>
      <c r="O4880">
        <v>-8.407035E-4</v>
      </c>
      <c r="P4880">
        <v>0.98931740000000001</v>
      </c>
      <c r="Q4880">
        <v>0.1073342</v>
      </c>
      <c r="R4880">
        <v>-9.8645430000000006E-2</v>
      </c>
      <c r="S4880">
        <v>3.0042110000000002</v>
      </c>
      <c r="T4880">
        <v>-0.15717919999999999</v>
      </c>
      <c r="U4880">
        <v>-0.45645140000000001</v>
      </c>
      <c r="V4880">
        <v>9.7797270000000006E-2</v>
      </c>
      <c r="W4880">
        <v>0.11912109999999999</v>
      </c>
      <c r="X4880">
        <v>0.98805149999999997</v>
      </c>
      <c r="Y4880">
        <v>0.1491837</v>
      </c>
      <c r="Z4880">
        <v>-3.8340359999999999E-3</v>
      </c>
      <c r="AA4880">
        <v>0.98880210000000002</v>
      </c>
      <c r="AB4880">
        <v>25</v>
      </c>
      <c r="AC4880">
        <v>21.098500000000001</v>
      </c>
      <c r="AD4880">
        <v>-1.1101359826170001</v>
      </c>
      <c r="AE4880">
        <v>-3.2238699999999998</v>
      </c>
      <c r="AF4880">
        <v>3.1974796744617602</v>
      </c>
      <c r="AG4880">
        <v>-1.1101359826170001</v>
      </c>
      <c r="AH4880">
        <v>21.044270628600099</v>
      </c>
      <c r="AI4880">
        <v>92.985489667277903</v>
      </c>
      <c r="AJ4880">
        <v>81.3605224497542</v>
      </c>
      <c r="AK4880">
        <v>21.314727407552301</v>
      </c>
      <c r="AL4880">
        <v>83.158618197578704</v>
      </c>
      <c r="AM4880">
        <v>84.347279626004195</v>
      </c>
      <c r="AN4880">
        <v>0.99999995456845503</v>
      </c>
    </row>
    <row r="4881" spans="1:40" x14ac:dyDescent="0.25">
      <c r="A4881" t="str">
        <f>"20190312151634589"</f>
        <v>20190312151634589</v>
      </c>
      <c r="B4881" t="str">
        <f>"1552374994582444"</f>
        <v>1552374994582444</v>
      </c>
      <c r="C4881" t="s">
        <v>40</v>
      </c>
      <c r="D4881">
        <v>4.6702709999999996</v>
      </c>
      <c r="E4881">
        <v>0.51805840000000003</v>
      </c>
      <c r="F4881" t="s">
        <v>43</v>
      </c>
      <c r="G4881">
        <v>-344.00119999999998</v>
      </c>
      <c r="H4881" s="1">
        <v>-3.5942170000000001E-6</v>
      </c>
      <c r="I4881">
        <v>13.76205</v>
      </c>
      <c r="J4881">
        <v>-364.13119999999998</v>
      </c>
      <c r="K4881">
        <v>1.110131</v>
      </c>
      <c r="L4881">
        <v>16.831669999999999</v>
      </c>
      <c r="M4881">
        <v>0.99992879999999995</v>
      </c>
      <c r="N4881">
        <v>0</v>
      </c>
      <c r="O4881">
        <v>-7.8696319999999997E-4</v>
      </c>
      <c r="P4881">
        <v>0.98926590000000003</v>
      </c>
      <c r="Q4881">
        <v>0.1069857</v>
      </c>
      <c r="R4881">
        <v>-9.9534520000000001E-2</v>
      </c>
      <c r="S4881">
        <v>3.0048219999999999</v>
      </c>
      <c r="T4881">
        <v>-0.16467200000000001</v>
      </c>
      <c r="U4881">
        <v>-0.45532230000000001</v>
      </c>
      <c r="V4881">
        <v>9.8739679999999996E-2</v>
      </c>
      <c r="W4881">
        <v>0.1187759</v>
      </c>
      <c r="X4881">
        <v>0.98799939999999997</v>
      </c>
      <c r="Y4881">
        <v>0.14882490000000001</v>
      </c>
      <c r="Z4881">
        <v>-4.009009E-3</v>
      </c>
      <c r="AA4881">
        <v>0.98885540000000005</v>
      </c>
      <c r="AB4881">
        <v>25</v>
      </c>
      <c r="AC4881">
        <v>20.1299999999999</v>
      </c>
      <c r="AD4881">
        <v>-1.110134594217</v>
      </c>
      <c r="AE4881">
        <v>-3.06962</v>
      </c>
      <c r="AF4881">
        <v>3.0447267658453101</v>
      </c>
      <c r="AG4881">
        <v>-1.110134594217</v>
      </c>
      <c r="AH4881">
        <v>20.072749032387001</v>
      </c>
      <c r="AI4881">
        <v>93.129821568125607</v>
      </c>
      <c r="AJ4881">
        <v>81.374861646272507</v>
      </c>
      <c r="AK4881">
        <v>20.332683384470599</v>
      </c>
      <c r="AL4881">
        <v>83.178538618484794</v>
      </c>
      <c r="AM4881">
        <v>84.292866864320203</v>
      </c>
      <c r="AN4881">
        <v>1.00000002661383</v>
      </c>
    </row>
    <row r="4882" spans="1:40" x14ac:dyDescent="0.25">
      <c r="A4882" t="str">
        <f>"20190312151634600"</f>
        <v>20190312151634600</v>
      </c>
      <c r="B4882" t="str">
        <f>"1552374994593179"</f>
        <v>1552374994593179</v>
      </c>
      <c r="C4882" t="s">
        <v>40</v>
      </c>
      <c r="D4882">
        <v>4.6437189999999999</v>
      </c>
      <c r="E4882">
        <v>0.51782799999999995</v>
      </c>
      <c r="F4882" t="s">
        <v>43</v>
      </c>
      <c r="G4882">
        <v>-344.62819999999999</v>
      </c>
      <c r="H4882" s="1">
        <v>-3.339999E-6</v>
      </c>
      <c r="I4882">
        <v>13.88147</v>
      </c>
      <c r="J4882">
        <v>-364.01010000000002</v>
      </c>
      <c r="K4882">
        <v>1.1101289999999999</v>
      </c>
      <c r="L4882">
        <v>16.831600000000002</v>
      </c>
      <c r="M4882">
        <v>0.99992879999999995</v>
      </c>
      <c r="N4882">
        <v>0</v>
      </c>
      <c r="O4882">
        <v>-7.3572429999999901E-4</v>
      </c>
      <c r="P4882">
        <v>0.98920680000000005</v>
      </c>
      <c r="Q4882">
        <v>0.10656980000000001</v>
      </c>
      <c r="R4882">
        <v>-0.1005616</v>
      </c>
      <c r="S4882">
        <v>3.00528</v>
      </c>
      <c r="T4882">
        <v>-0.17106370000000001</v>
      </c>
      <c r="U4882">
        <v>-0.45458979999999999</v>
      </c>
      <c r="V4882">
        <v>9.9817719999999999E-2</v>
      </c>
      <c r="W4882">
        <v>0.1183631</v>
      </c>
      <c r="X4882">
        <v>0.98794059999999995</v>
      </c>
      <c r="Y4882">
        <v>0.14860079999999901</v>
      </c>
      <c r="Z4882">
        <v>-4.160385E-3</v>
      </c>
      <c r="AA4882">
        <v>0.98888849999999995</v>
      </c>
      <c r="AB4882">
        <v>25</v>
      </c>
      <c r="AC4882">
        <v>19.381900000000002</v>
      </c>
      <c r="AD4882">
        <v>-1.110132339999</v>
      </c>
      <c r="AE4882">
        <v>-2.9501300000000001</v>
      </c>
      <c r="AF4882">
        <v>2.9264851430126901</v>
      </c>
      <c r="AG4882">
        <v>-1.110132339999</v>
      </c>
      <c r="AH4882">
        <v>19.322112091104302</v>
      </c>
      <c r="AI4882">
        <v>93.251257192469694</v>
      </c>
      <c r="AJ4882">
        <v>81.387562492702102</v>
      </c>
      <c r="AK4882">
        <v>19.573980810396801</v>
      </c>
      <c r="AL4882">
        <v>83.202358265969096</v>
      </c>
      <c r="AM4882">
        <v>84.230633375974605</v>
      </c>
      <c r="AN4882">
        <v>1.00000001489798</v>
      </c>
    </row>
    <row r="4883" spans="1:40" x14ac:dyDescent="0.25">
      <c r="A4883" t="str">
        <f>"20190312151634610"</f>
        <v>20190312151634610</v>
      </c>
      <c r="B4883" t="str">
        <f>"1552374994602940"</f>
        <v>1552374994602940</v>
      </c>
      <c r="C4883" t="s">
        <v>40</v>
      </c>
      <c r="D4883">
        <v>4.6574859999999996</v>
      </c>
      <c r="E4883">
        <v>0.51760090000000003</v>
      </c>
      <c r="F4883" t="s">
        <v>43</v>
      </c>
      <c r="G4883">
        <v>-345.2586</v>
      </c>
      <c r="H4883" s="1">
        <v>-3.0969759999999999E-6</v>
      </c>
      <c r="I4883">
        <v>13.988530000000001</v>
      </c>
      <c r="J4883">
        <v>-363.89319999999998</v>
      </c>
      <c r="K4883">
        <v>1.110133</v>
      </c>
      <c r="L4883">
        <v>16.831569999999999</v>
      </c>
      <c r="M4883">
        <v>0.99992879999999995</v>
      </c>
      <c r="N4883">
        <v>0</v>
      </c>
      <c r="O4883">
        <v>-6.86511E-4</v>
      </c>
      <c r="P4883">
        <v>0.98918349999999999</v>
      </c>
      <c r="Q4883">
        <v>0.106028399999999</v>
      </c>
      <c r="R4883">
        <v>-0.10135950000000001</v>
      </c>
      <c r="S4883">
        <v>3.005585</v>
      </c>
      <c r="T4883">
        <v>-0.17793729999999999</v>
      </c>
      <c r="U4883">
        <v>-0.4556885</v>
      </c>
      <c r="V4883">
        <v>0.1006642</v>
      </c>
      <c r="W4883">
        <v>0.1178247</v>
      </c>
      <c r="X4883">
        <v>0.98791899999999999</v>
      </c>
      <c r="Y4883">
        <v>0.1489682</v>
      </c>
      <c r="Z4883">
        <v>-4.3404200000000002E-3</v>
      </c>
      <c r="AA4883">
        <v>0.9888325</v>
      </c>
      <c r="AB4883">
        <v>25</v>
      </c>
      <c r="AC4883">
        <v>18.634599999999899</v>
      </c>
      <c r="AD4883">
        <v>-1.1101360969759999</v>
      </c>
      <c r="AE4883">
        <v>-2.8430399999999998</v>
      </c>
      <c r="AF4883">
        <v>2.8204632959503702</v>
      </c>
      <c r="AG4883">
        <v>-1.1101360969759999</v>
      </c>
      <c r="AH4883">
        <v>18.572133429966801</v>
      </c>
      <c r="AI4883">
        <v>93.382057907379902</v>
      </c>
      <c r="AJ4883">
        <v>81.364738974918097</v>
      </c>
      <c r="AK4883">
        <v>18.817852042624398</v>
      </c>
      <c r="AL4883">
        <v>83.233423226469696</v>
      </c>
      <c r="AM4883">
        <v>84.181915550528004</v>
      </c>
      <c r="AN4883">
        <v>0.99999994582636298</v>
      </c>
    </row>
    <row r="4884" spans="1:40" x14ac:dyDescent="0.25">
      <c r="A4884" t="str">
        <f>"20190312151634622"</f>
        <v>20190312151634622</v>
      </c>
      <c r="B4884" t="str">
        <f>"1552374994612699"</f>
        <v>1552374994612699</v>
      </c>
      <c r="C4884" t="s">
        <v>40</v>
      </c>
      <c r="D4884">
        <v>4.6883819999999998</v>
      </c>
      <c r="E4884">
        <v>0.51732829999999996</v>
      </c>
      <c r="F4884" t="s">
        <v>43</v>
      </c>
      <c r="G4884">
        <v>-345.67520000000002</v>
      </c>
      <c r="H4884" s="1">
        <v>-2.9342100000000001E-6</v>
      </c>
      <c r="I4884">
        <v>14.067449999999999</v>
      </c>
      <c r="J4884">
        <v>-363.77010000000001</v>
      </c>
      <c r="K4884">
        <v>1.1101319999999999</v>
      </c>
      <c r="L4884">
        <v>16.83154</v>
      </c>
      <c r="M4884">
        <v>0.99992879999999995</v>
      </c>
      <c r="N4884">
        <v>0</v>
      </c>
      <c r="O4884">
        <v>-6.344365E-4</v>
      </c>
      <c r="P4884">
        <v>0.98913799999999996</v>
      </c>
      <c r="Q4884">
        <v>0.10561959999999999</v>
      </c>
      <c r="R4884">
        <v>-0.1022306</v>
      </c>
      <c r="S4884">
        <v>3.0057070000000001</v>
      </c>
      <c r="T4884">
        <v>-0.1831555</v>
      </c>
      <c r="U4884">
        <v>-0.45602419999999999</v>
      </c>
      <c r="V4884">
        <v>0.1015867</v>
      </c>
      <c r="W4884">
        <v>0.11741840000000001</v>
      </c>
      <c r="X4884">
        <v>0.987873</v>
      </c>
      <c r="Y4884">
        <v>0.1491063</v>
      </c>
      <c r="Z4884">
        <v>-4.4745979999999998E-3</v>
      </c>
      <c r="AA4884">
        <v>0.988811</v>
      </c>
      <c r="AB4884">
        <v>25</v>
      </c>
      <c r="AC4884">
        <v>18.094899999999999</v>
      </c>
      <c r="AD4884">
        <v>-1.11013493421</v>
      </c>
      <c r="AE4884">
        <v>-2.7640899999999999</v>
      </c>
      <c r="AF4884">
        <v>2.7425213383879301</v>
      </c>
      <c r="AG4884">
        <v>-1.11013493421</v>
      </c>
      <c r="AH4884">
        <v>18.0303330342938</v>
      </c>
      <c r="AI4884">
        <v>93.483312193876003</v>
      </c>
      <c r="AJ4884">
        <v>81.351262858019396</v>
      </c>
      <c r="AK4884">
        <v>18.271473180649998</v>
      </c>
      <c r="AL4884">
        <v>83.256865601072306</v>
      </c>
      <c r="AM4884">
        <v>84.128697148214599</v>
      </c>
      <c r="AN4884">
        <v>1.0000000012022201</v>
      </c>
    </row>
    <row r="4885" spans="1:40" x14ac:dyDescent="0.25">
      <c r="A4885" t="str">
        <f>"20190312151634633"</f>
        <v>20190312151634633</v>
      </c>
      <c r="B4885" t="str">
        <f>"1552374994622460"</f>
        <v>1552374994622460</v>
      </c>
      <c r="C4885" t="s">
        <v>40</v>
      </c>
      <c r="D4885">
        <v>4.6619289999999998</v>
      </c>
      <c r="E4885">
        <v>0.51712630000000004</v>
      </c>
      <c r="F4885" t="s">
        <v>43</v>
      </c>
      <c r="G4885">
        <v>-345.88389999999998</v>
      </c>
      <c r="H4885" s="1">
        <v>-2.8501160000000001E-6</v>
      </c>
      <c r="I4885">
        <v>14.11664</v>
      </c>
      <c r="J4885">
        <v>-363.64699999999999</v>
      </c>
      <c r="K4885">
        <v>1.1101319999999999</v>
      </c>
      <c r="L4885">
        <v>16.831510000000002</v>
      </c>
      <c r="M4885">
        <v>0.99992879999999995</v>
      </c>
      <c r="N4885">
        <v>0</v>
      </c>
      <c r="O4885">
        <v>-5.8212360000000002E-4</v>
      </c>
      <c r="P4885">
        <v>0.98910500000000001</v>
      </c>
      <c r="Q4885">
        <v>0.10524219999999999</v>
      </c>
      <c r="R4885">
        <v>-0.1029341</v>
      </c>
      <c r="S4885">
        <v>3.0056759999999998</v>
      </c>
      <c r="T4885">
        <v>-0.18655070000000001</v>
      </c>
      <c r="U4885">
        <v>-0.45620729999999998</v>
      </c>
      <c r="V4885">
        <v>0.10234219999999999</v>
      </c>
      <c r="W4885">
        <v>0.1170438</v>
      </c>
      <c r="X4885">
        <v>0.98783949999999998</v>
      </c>
      <c r="Y4885">
        <v>0.14920799999999901</v>
      </c>
      <c r="Z4885">
        <v>-4.5637749999999999E-3</v>
      </c>
      <c r="AA4885">
        <v>0.98879530000000004</v>
      </c>
      <c r="AB4885">
        <v>25</v>
      </c>
      <c r="AC4885">
        <v>17.763100000000001</v>
      </c>
      <c r="AD4885">
        <v>-1.110134850116</v>
      </c>
      <c r="AE4885">
        <v>-2.7148699999999999</v>
      </c>
      <c r="AF4885">
        <v>2.69424541204602</v>
      </c>
      <c r="AG4885">
        <v>-1.110134850116</v>
      </c>
      <c r="AH4885">
        <v>17.6971331907388</v>
      </c>
      <c r="AI4885">
        <v>93.548657755495498</v>
      </c>
      <c r="AJ4885">
        <v>81.343650315261101</v>
      </c>
      <c r="AK4885">
        <v>17.935436456817101</v>
      </c>
      <c r="AL4885">
        <v>83.278477799213604</v>
      </c>
      <c r="AM4885">
        <v>84.085141546593505</v>
      </c>
      <c r="AN4885">
        <v>1.00000002738976</v>
      </c>
    </row>
    <row r="4886" spans="1:40" x14ac:dyDescent="0.25">
      <c r="A4886" t="str">
        <f>"20190312151634644"</f>
        <v>20190312151634644</v>
      </c>
      <c r="B4886" t="str">
        <f>"1552374994633196"</f>
        <v>1552374994633196</v>
      </c>
      <c r="C4886" t="s">
        <v>40</v>
      </c>
      <c r="D4886">
        <v>4.6554060000000002</v>
      </c>
      <c r="E4886">
        <v>0.51696120000000001</v>
      </c>
      <c r="F4886" t="s">
        <v>43</v>
      </c>
      <c r="G4886">
        <v>-346.05070000000001</v>
      </c>
      <c r="H4886" s="1">
        <v>-2.782192E-6</v>
      </c>
      <c r="I4886">
        <v>14.158530000000001</v>
      </c>
      <c r="J4886">
        <v>-363.52010000000001</v>
      </c>
      <c r="K4886">
        <v>1.1101289999999999</v>
      </c>
      <c r="L4886">
        <v>16.831510000000002</v>
      </c>
      <c r="M4886">
        <v>0.9999287</v>
      </c>
      <c r="N4886">
        <v>0</v>
      </c>
      <c r="O4886">
        <v>-5.2719789999999996E-4</v>
      </c>
      <c r="P4886">
        <v>0.98908209999999996</v>
      </c>
      <c r="Q4886">
        <v>0.1046714</v>
      </c>
      <c r="R4886">
        <v>-0.1037323</v>
      </c>
      <c r="S4886">
        <v>3.0057369999999999</v>
      </c>
      <c r="T4886">
        <v>-0.18962850000000001</v>
      </c>
      <c r="U4886">
        <v>-0.45657350000000002</v>
      </c>
      <c r="V4886">
        <v>0.1031948</v>
      </c>
      <c r="W4886">
        <v>0.1164789</v>
      </c>
      <c r="X4886">
        <v>0.98781750000000001</v>
      </c>
      <c r="Y4886">
        <v>0.14936740000000001</v>
      </c>
      <c r="Z4886">
        <v>-4.6472249999999996E-3</v>
      </c>
      <c r="AA4886">
        <v>0.98877079999999995</v>
      </c>
      <c r="AB4886">
        <v>25</v>
      </c>
      <c r="AC4886">
        <v>17.4694</v>
      </c>
      <c r="AD4886">
        <v>-1.110131782192</v>
      </c>
      <c r="AE4886">
        <v>-2.6729799999999999</v>
      </c>
      <c r="AF4886">
        <v>2.65329956961651</v>
      </c>
      <c r="AG4886">
        <v>-1.110131782192</v>
      </c>
      <c r="AH4886">
        <v>17.4021402962229</v>
      </c>
      <c r="AI4886">
        <v>93.608523262507305</v>
      </c>
      <c r="AJ4886">
        <v>81.330893681660896</v>
      </c>
      <c r="AK4886">
        <v>17.638222077901801</v>
      </c>
      <c r="AL4886">
        <v>83.311066623060299</v>
      </c>
      <c r="AM4886">
        <v>84.036087431080006</v>
      </c>
      <c r="AN4886">
        <v>0.99999995709924905</v>
      </c>
    </row>
    <row r="4887" spans="1:40" x14ac:dyDescent="0.25">
      <c r="A4887" t="str">
        <f>"20190312151634656"</f>
        <v>20190312151634656</v>
      </c>
      <c r="B4887" t="str">
        <f>"1552374994652716"</f>
        <v>1552374994652716</v>
      </c>
      <c r="C4887" t="s">
        <v>40</v>
      </c>
      <c r="D4887">
        <v>4.6602750000000004</v>
      </c>
      <c r="E4887">
        <v>0.51643509999999904</v>
      </c>
      <c r="F4887" t="s">
        <v>43</v>
      </c>
      <c r="G4887">
        <v>-346.3732</v>
      </c>
      <c r="H4887" s="1">
        <v>-2.6555670000000002E-6</v>
      </c>
      <c r="I4887">
        <v>14.221920000000001</v>
      </c>
      <c r="J4887">
        <v>-363.39389999999997</v>
      </c>
      <c r="K4887">
        <v>1.110128</v>
      </c>
      <c r="L4887">
        <v>16.831479999999999</v>
      </c>
      <c r="M4887">
        <v>0.99992879999999995</v>
      </c>
      <c r="N4887">
        <v>0</v>
      </c>
      <c r="O4887">
        <v>-4.726307E-4</v>
      </c>
      <c r="P4887">
        <v>0.98904570000000003</v>
      </c>
      <c r="Q4887">
        <v>0.10434</v>
      </c>
      <c r="R4887">
        <v>-0.10441259999999999</v>
      </c>
      <c r="S4887">
        <v>3.0057369999999999</v>
      </c>
      <c r="T4887">
        <v>-0.1945981</v>
      </c>
      <c r="U4887">
        <v>-0.457428</v>
      </c>
      <c r="V4887">
        <v>0.1039289</v>
      </c>
      <c r="W4887">
        <v>0.11615350000000001</v>
      </c>
      <c r="X4887">
        <v>0.98777890000000002</v>
      </c>
      <c r="Y4887">
        <v>0.14968000000000001</v>
      </c>
      <c r="Z4887">
        <v>-4.782227E-3</v>
      </c>
      <c r="AA4887">
        <v>0.98872289999999996</v>
      </c>
      <c r="AB4887">
        <v>25</v>
      </c>
      <c r="AC4887">
        <v>17.020699999999898</v>
      </c>
      <c r="AD4887">
        <v>-1.1101306555670001</v>
      </c>
      <c r="AE4887">
        <v>-2.6095599999999899</v>
      </c>
      <c r="AF4887">
        <v>2.5907468081154801</v>
      </c>
      <c r="AG4887">
        <v>-1.1101306555670001</v>
      </c>
      <c r="AH4887">
        <v>16.951476761874499</v>
      </c>
      <c r="AI4887">
        <v>93.703990041598402</v>
      </c>
      <c r="AJ4887">
        <v>81.310547797075898</v>
      </c>
      <c r="AK4887">
        <v>17.184205640778501</v>
      </c>
      <c r="AL4887">
        <v>83.329838398167297</v>
      </c>
      <c r="AM4887">
        <v>83.993737803898199</v>
      </c>
      <c r="AN4887">
        <v>1.0000000035513299</v>
      </c>
    </row>
    <row r="4888" spans="1:40" x14ac:dyDescent="0.25">
      <c r="A4888" t="str">
        <f>"20190312151634667"</f>
        <v>20190312151634667</v>
      </c>
      <c r="B4888" t="str">
        <f>"1552374994662477"</f>
        <v>1552374994662477</v>
      </c>
      <c r="C4888" t="s">
        <v>40</v>
      </c>
      <c r="D4888">
        <v>4.6831469999999999</v>
      </c>
      <c r="E4888">
        <v>0.51617650000000004</v>
      </c>
      <c r="F4888" t="s">
        <v>43</v>
      </c>
      <c r="G4888">
        <v>-346.7629</v>
      </c>
      <c r="H4888" s="1">
        <v>-2.4986629999999999E-6</v>
      </c>
      <c r="I4888">
        <v>14.313219999999999</v>
      </c>
      <c r="J4888">
        <v>-363.26909999999998</v>
      </c>
      <c r="K4888">
        <v>1.1101289999999999</v>
      </c>
      <c r="L4888">
        <v>16.831479999999999</v>
      </c>
      <c r="M4888">
        <v>0.99992879999999995</v>
      </c>
      <c r="N4888">
        <v>0</v>
      </c>
      <c r="O4888">
        <v>-4.183039E-4</v>
      </c>
      <c r="P4888">
        <v>0.98902610000000002</v>
      </c>
      <c r="Q4888">
        <v>0.1037631</v>
      </c>
      <c r="R4888">
        <v>-0.1051718</v>
      </c>
      <c r="S4888">
        <v>3.0063170000000001</v>
      </c>
      <c r="T4888">
        <v>-0.20067380000000001</v>
      </c>
      <c r="U4888">
        <v>-0.4552002</v>
      </c>
      <c r="V4888">
        <v>0.1047415</v>
      </c>
      <c r="W4888">
        <v>0.115583199999999</v>
      </c>
      <c r="X4888">
        <v>0.98775990000000002</v>
      </c>
      <c r="Y4888">
        <v>0.1489713</v>
      </c>
      <c r="Z4888">
        <v>-4.9106590000000004E-3</v>
      </c>
      <c r="AA4888">
        <v>0.98882930000000002</v>
      </c>
      <c r="AB4888">
        <v>25</v>
      </c>
      <c r="AC4888">
        <v>16.5061999999999</v>
      </c>
      <c r="AD4888">
        <v>-1.110131498663</v>
      </c>
      <c r="AE4888">
        <v>-2.51825999999999</v>
      </c>
      <c r="AF4888">
        <v>2.5003023362196299</v>
      </c>
      <c r="AG4888">
        <v>-1.110131498663</v>
      </c>
      <c r="AH4888">
        <v>16.434604449767999</v>
      </c>
      <c r="AI4888">
        <v>93.820540064897898</v>
      </c>
      <c r="AJ4888">
        <v>81.349556256988294</v>
      </c>
      <c r="AK4888">
        <v>16.660736092296801</v>
      </c>
      <c r="AL4888">
        <v>83.362735328726799</v>
      </c>
      <c r="AM4888">
        <v>83.9470077259367</v>
      </c>
      <c r="AN4888">
        <v>0.99999993899624795</v>
      </c>
    </row>
    <row r="4889" spans="1:40" x14ac:dyDescent="0.25">
      <c r="A4889" t="str">
        <f>"20190312151634679"</f>
        <v>20190312151634679</v>
      </c>
      <c r="B4889" t="str">
        <f>"1552374994673212"</f>
        <v>1552374994673212</v>
      </c>
      <c r="C4889" t="s">
        <v>40</v>
      </c>
      <c r="D4889">
        <v>4.6655689999999996</v>
      </c>
      <c r="E4889">
        <v>0.51604899999999998</v>
      </c>
      <c r="F4889" t="s">
        <v>43</v>
      </c>
      <c r="G4889">
        <v>-346.92140000000001</v>
      </c>
      <c r="H4889" s="1">
        <v>-2.4332089999999999E-6</v>
      </c>
      <c r="I4889">
        <v>14.356450000000001</v>
      </c>
      <c r="J4889">
        <v>-363.14769999999999</v>
      </c>
      <c r="K4889">
        <v>1.1101289999999999</v>
      </c>
      <c r="L4889">
        <v>16.831510000000002</v>
      </c>
      <c r="M4889">
        <v>0.9999285</v>
      </c>
      <c r="N4889">
        <v>0</v>
      </c>
      <c r="O4889">
        <v>-3.6576350000000002E-4</v>
      </c>
      <c r="P4889">
        <v>0.98900290000000002</v>
      </c>
      <c r="Q4889">
        <v>0.103287</v>
      </c>
      <c r="R4889">
        <v>-0.1058534</v>
      </c>
      <c r="S4889">
        <v>3.0063170000000001</v>
      </c>
      <c r="T4889">
        <v>-0.2041519</v>
      </c>
      <c r="U4889">
        <v>-0.45513920000000002</v>
      </c>
      <c r="V4889">
        <v>0.10547520000000001</v>
      </c>
      <c r="W4889">
        <v>0.1151129</v>
      </c>
      <c r="X4889">
        <v>0.98773679999999997</v>
      </c>
      <c r="Y4889">
        <v>0.14899219999999999</v>
      </c>
      <c r="Z4889">
        <v>-4.9998330000000004E-3</v>
      </c>
      <c r="AA4889">
        <v>0.98882570000000003</v>
      </c>
      <c r="AB4889">
        <v>25</v>
      </c>
      <c r="AC4889">
        <v>16.226299999999899</v>
      </c>
      <c r="AD4889">
        <v>-1.110131433209</v>
      </c>
      <c r="AE4889">
        <v>-2.47506</v>
      </c>
      <c r="AF4889">
        <v>2.45788142922778</v>
      </c>
      <c r="AG4889">
        <v>-1.110131433209</v>
      </c>
      <c r="AH4889">
        <v>16.153314776362699</v>
      </c>
      <c r="AI4889">
        <v>93.886854223006097</v>
      </c>
      <c r="AJ4889">
        <v>81.348261411141806</v>
      </c>
      <c r="AK4889">
        <v>16.376909085153901</v>
      </c>
      <c r="AL4889">
        <v>83.389862957344604</v>
      </c>
      <c r="AM4889">
        <v>83.904783927980603</v>
      </c>
      <c r="AN4889">
        <v>0.99999999181784405</v>
      </c>
    </row>
    <row r="4890" spans="1:40" x14ac:dyDescent="0.25">
      <c r="A4890" t="str">
        <f>"20190312151634689"</f>
        <v>20190312151634689</v>
      </c>
      <c r="B4890" t="str">
        <f>"1552374994682972"</f>
        <v>1552374994682972</v>
      </c>
      <c r="C4890" t="s">
        <v>40</v>
      </c>
      <c r="D4890">
        <v>4.6595440000000004</v>
      </c>
      <c r="E4890">
        <v>0.51592229999999994</v>
      </c>
      <c r="F4890" t="s">
        <v>43</v>
      </c>
      <c r="G4890">
        <v>-347.03719999999998</v>
      </c>
      <c r="H4890" s="1">
        <v>-2.3854449999999998E-6</v>
      </c>
      <c r="I4890">
        <v>14.387869999999999</v>
      </c>
      <c r="J4890">
        <v>-363.02019999999999</v>
      </c>
      <c r="K4890">
        <v>1.110128</v>
      </c>
      <c r="L4890">
        <v>16.831510000000002</v>
      </c>
      <c r="M4890">
        <v>0.99992859999999995</v>
      </c>
      <c r="N4890">
        <v>0</v>
      </c>
      <c r="O4890">
        <v>-3.111972E-4</v>
      </c>
      <c r="P4890">
        <v>0.98902420000000002</v>
      </c>
      <c r="Q4890">
        <v>0.10243629999999999</v>
      </c>
      <c r="R4890">
        <v>-0.1064814</v>
      </c>
      <c r="S4890">
        <v>3.006195</v>
      </c>
      <c r="T4890">
        <v>-0.20714879999999999</v>
      </c>
      <c r="U4890">
        <v>-0.45596310000000001</v>
      </c>
      <c r="V4890">
        <v>0.10615719999999999</v>
      </c>
      <c r="W4890">
        <v>0.1142683</v>
      </c>
      <c r="X4890">
        <v>0.98776180000000002</v>
      </c>
      <c r="Y4890">
        <v>0.149306299999999</v>
      </c>
      <c r="Z4890">
        <v>-5.087645E-3</v>
      </c>
      <c r="AA4890">
        <v>0.98877789999999999</v>
      </c>
      <c r="AB4890">
        <v>25</v>
      </c>
      <c r="AC4890">
        <v>15.983000000000001</v>
      </c>
      <c r="AD4890">
        <v>-1.110130385445</v>
      </c>
      <c r="AE4890">
        <v>-2.4436399999999998</v>
      </c>
      <c r="AF4890">
        <v>2.4272235494241001</v>
      </c>
      <c r="AG4890">
        <v>-1.110130385445</v>
      </c>
      <c r="AH4890">
        <v>15.908764633598601</v>
      </c>
      <c r="AI4890">
        <v>93.946170730819105</v>
      </c>
      <c r="AJ4890">
        <v>81.325196927197993</v>
      </c>
      <c r="AK4890">
        <v>16.1311064654228</v>
      </c>
      <c r="AL4890">
        <v>83.438576373947399</v>
      </c>
      <c r="AM4890">
        <v>83.865826021094705</v>
      </c>
      <c r="AN4890">
        <v>0.999999984517984</v>
      </c>
    </row>
    <row r="4891" spans="1:40" x14ac:dyDescent="0.25">
      <c r="A4891" t="str">
        <f>"20190312151634703"</f>
        <v>20190312151634703</v>
      </c>
      <c r="B4891" t="str">
        <f>"1552374994692734"</f>
        <v>1552374994692734</v>
      </c>
      <c r="C4891" t="s">
        <v>40</v>
      </c>
      <c r="D4891">
        <v>4.6673099999999996</v>
      </c>
      <c r="E4891">
        <v>0.51576259999999996</v>
      </c>
      <c r="F4891" t="s">
        <v>43</v>
      </c>
      <c r="G4891">
        <v>-347.23910000000001</v>
      </c>
      <c r="H4891" s="1">
        <v>-2.3042579999999998E-6</v>
      </c>
      <c r="I4891">
        <v>14.434799999999999</v>
      </c>
      <c r="J4891">
        <v>-362.87720000000002</v>
      </c>
      <c r="K4891">
        <v>1.110125</v>
      </c>
      <c r="L4891">
        <v>16.831510000000002</v>
      </c>
      <c r="M4891">
        <v>0.9999285</v>
      </c>
      <c r="N4891">
        <v>0</v>
      </c>
      <c r="O4891">
        <v>-2.5031780000000001E-4</v>
      </c>
      <c r="P4891">
        <v>0.98906119999999997</v>
      </c>
      <c r="Q4891">
        <v>0.10155359999999999</v>
      </c>
      <c r="R4891">
        <v>-0.1069822</v>
      </c>
      <c r="S4891">
        <v>3.0060120000000001</v>
      </c>
      <c r="T4891">
        <v>-0.21145929999999999</v>
      </c>
      <c r="U4891">
        <v>-0.45651249999999999</v>
      </c>
      <c r="V4891">
        <v>0.1067182</v>
      </c>
      <c r="W4891">
        <v>0.11339150000000001</v>
      </c>
      <c r="X4891">
        <v>0.98780239999999997</v>
      </c>
      <c r="Y4891">
        <v>0.1495368</v>
      </c>
      <c r="Z4891">
        <v>-5.2058039999999996E-3</v>
      </c>
      <c r="AA4891">
        <v>0.98874249999999997</v>
      </c>
      <c r="AB4891">
        <v>25</v>
      </c>
      <c r="AC4891">
        <v>15.6381</v>
      </c>
      <c r="AD4891">
        <v>-1.110127304258</v>
      </c>
      <c r="AE4891">
        <v>-2.3967100000000001</v>
      </c>
      <c r="AF4891">
        <v>2.38107139166791</v>
      </c>
      <c r="AG4891">
        <v>-1.110127304258</v>
      </c>
      <c r="AH4891">
        <v>15.56207599229</v>
      </c>
      <c r="AI4891">
        <v>94.0335243965594</v>
      </c>
      <c r="AJ4891">
        <v>81.300938473349305</v>
      </c>
      <c r="AK4891">
        <v>15.782271471296101</v>
      </c>
      <c r="AL4891">
        <v>83.489142041292496</v>
      </c>
      <c r="AM4891">
        <v>83.833909849922094</v>
      </c>
      <c r="AN4891">
        <v>0.99999999396462402</v>
      </c>
    </row>
    <row r="4892" spans="1:40" x14ac:dyDescent="0.25">
      <c r="A4892" t="str">
        <f>"20190312151634717"</f>
        <v>20190312151634717</v>
      </c>
      <c r="B4892" t="str">
        <f>"1552374994713227"</f>
        <v>1552374994713227</v>
      </c>
      <c r="C4892" t="s">
        <v>40</v>
      </c>
      <c r="D4892">
        <v>4.6883249999999999</v>
      </c>
      <c r="E4892">
        <v>0.51539109999999999</v>
      </c>
      <c r="F4892" t="s">
        <v>43</v>
      </c>
      <c r="G4892">
        <v>-347.41410000000002</v>
      </c>
      <c r="H4892" s="1">
        <v>-2.2315639999999998E-6</v>
      </c>
      <c r="I4892">
        <v>14.48418</v>
      </c>
      <c r="J4892">
        <v>-362.73450000000003</v>
      </c>
      <c r="K4892">
        <v>1.1101219999999901</v>
      </c>
      <c r="L4892">
        <v>16.831569999999999</v>
      </c>
      <c r="M4892">
        <v>0.99992840000000005</v>
      </c>
      <c r="N4892">
        <v>0</v>
      </c>
      <c r="O4892">
        <v>-1.8836680000000001E-4</v>
      </c>
      <c r="P4892">
        <v>0.98914990000000003</v>
      </c>
      <c r="Q4892">
        <v>0.1000471</v>
      </c>
      <c r="R4892">
        <v>-0.1075784</v>
      </c>
      <c r="S4892">
        <v>3.0059809999999998</v>
      </c>
      <c r="T4892">
        <v>-0.21580589999999999</v>
      </c>
      <c r="U4892">
        <v>-0.4562988</v>
      </c>
      <c r="V4892">
        <v>0.1073761</v>
      </c>
      <c r="W4892">
        <v>0.1118928</v>
      </c>
      <c r="X4892">
        <v>0.98790199999999995</v>
      </c>
      <c r="Y4892">
        <v>0.14951579999999901</v>
      </c>
      <c r="Z4892">
        <v>-5.3162919999999898E-3</v>
      </c>
      <c r="AA4892">
        <v>0.98874499999999999</v>
      </c>
      <c r="AB4892">
        <v>25</v>
      </c>
      <c r="AC4892">
        <v>15.320399999999999</v>
      </c>
      <c r="AD4892">
        <v>-1.1101242315640001</v>
      </c>
      <c r="AE4892">
        <v>-2.3473899999999999</v>
      </c>
      <c r="AF4892">
        <v>2.3325377637867599</v>
      </c>
      <c r="AG4892">
        <v>-1.1101242315640001</v>
      </c>
      <c r="AH4892">
        <v>15.242645755585601</v>
      </c>
      <c r="AI4892">
        <v>94.117739483172599</v>
      </c>
      <c r="AJ4892">
        <v>81.299687065208502</v>
      </c>
      <c r="AK4892">
        <v>15.4599921687971</v>
      </c>
      <c r="AL4892">
        <v>83.575561237090398</v>
      </c>
      <c r="AM4892">
        <v>83.7968130299965</v>
      </c>
      <c r="AN4892">
        <v>0.99999999357352498</v>
      </c>
    </row>
    <row r="4893" spans="1:40" x14ac:dyDescent="0.25">
      <c r="A4893" t="str">
        <f>"20190312151634734"</f>
        <v>20190312151634734</v>
      </c>
      <c r="B4893" t="str">
        <f>"1552374994722988"</f>
        <v>1552374994722988</v>
      </c>
      <c r="C4893" t="s">
        <v>40</v>
      </c>
      <c r="D4893">
        <v>4.6904000000000003</v>
      </c>
      <c r="E4893">
        <v>0.51520999999999995</v>
      </c>
      <c r="F4893" t="s">
        <v>43</v>
      </c>
      <c r="G4893">
        <v>-347.3383</v>
      </c>
      <c r="H4893" s="1">
        <v>-2.2526959999999999E-6</v>
      </c>
      <c r="I4893">
        <v>14.501749999999999</v>
      </c>
      <c r="J4893">
        <v>-362.53219999999999</v>
      </c>
      <c r="K4893">
        <v>1.1101160000000001</v>
      </c>
      <c r="L4893">
        <v>16.831630000000001</v>
      </c>
      <c r="M4893">
        <v>0.99992840000000005</v>
      </c>
      <c r="N4893">
        <v>0</v>
      </c>
      <c r="O4893" s="1">
        <v>-9.5799550000000007E-5</v>
      </c>
      <c r="P4893">
        <v>0.98937200000000003</v>
      </c>
      <c r="Q4893">
        <v>9.7191310000000003E-2</v>
      </c>
      <c r="R4893">
        <v>-0.108154</v>
      </c>
      <c r="S4893">
        <v>3.0054020000000001</v>
      </c>
      <c r="T4893">
        <v>-0.21670059999999999</v>
      </c>
      <c r="U4893">
        <v>-0.45477289999999998</v>
      </c>
      <c r="V4893">
        <v>0.10804320000000001</v>
      </c>
      <c r="W4893">
        <v>0.1090531</v>
      </c>
      <c r="X4893">
        <v>0.98814679999999999</v>
      </c>
      <c r="Y4893">
        <v>0.14914229999999901</v>
      </c>
      <c r="Z4893">
        <v>-5.3327499999999998E-3</v>
      </c>
      <c r="AA4893">
        <v>0.98880140000000005</v>
      </c>
      <c r="AB4893">
        <v>25</v>
      </c>
      <c r="AC4893">
        <v>15.1938999999999</v>
      </c>
      <c r="AD4893">
        <v>-1.1101182526959901</v>
      </c>
      <c r="AE4893">
        <v>-2.3298800000000002</v>
      </c>
      <c r="AF4893">
        <v>2.3163431455922598</v>
      </c>
      <c r="AG4893">
        <v>-1.1101182526959901</v>
      </c>
      <c r="AH4893">
        <v>15.1152875186961</v>
      </c>
      <c r="AI4893">
        <v>94.152156608581905</v>
      </c>
      <c r="AJ4893">
        <v>81.287484599173396</v>
      </c>
      <c r="AK4893">
        <v>15.331983722791801</v>
      </c>
      <c r="AL4893">
        <v>83.739266208787001</v>
      </c>
      <c r="AM4893">
        <v>83.760111489368001</v>
      </c>
      <c r="AN4893">
        <v>1.00000000501804</v>
      </c>
    </row>
    <row r="4894" spans="1:40" x14ac:dyDescent="0.25">
      <c r="A4894" t="str">
        <f>"20190312151634746"</f>
        <v>20190312151634746</v>
      </c>
      <c r="B4894" t="str">
        <f>"1552374994742508"</f>
        <v>1552374994742508</v>
      </c>
      <c r="C4894" t="s">
        <v>40</v>
      </c>
      <c r="D4894">
        <v>4.6844039999999998</v>
      </c>
      <c r="E4894">
        <v>0.51504709999999998</v>
      </c>
      <c r="F4894" t="s">
        <v>41</v>
      </c>
      <c r="G4894">
        <v>-361.59730000000002</v>
      </c>
      <c r="H4894">
        <v>1.0407059999999999</v>
      </c>
      <c r="I4894">
        <v>16.68994</v>
      </c>
      <c r="J4894">
        <v>-362.40440000000001</v>
      </c>
      <c r="K4894">
        <v>1.1101129999999999</v>
      </c>
      <c r="L4894">
        <v>16.831669999999999</v>
      </c>
      <c r="M4894">
        <v>0.99992829999999999</v>
      </c>
      <c r="N4894">
        <v>0</v>
      </c>
      <c r="O4894" s="1">
        <v>-3.5994780000000002E-5</v>
      </c>
      <c r="P4894">
        <v>0.98949710000000002</v>
      </c>
      <c r="Q4894">
        <v>9.5729190000000006E-2</v>
      </c>
      <c r="R4894">
        <v>-0.10831440000000001</v>
      </c>
      <c r="S4894">
        <v>3.0044249999999999</v>
      </c>
      <c r="T4894">
        <v>-0.22306909999999999</v>
      </c>
      <c r="U4894">
        <v>-0.45474239999999999</v>
      </c>
      <c r="V4894">
        <v>0.1082625</v>
      </c>
      <c r="W4894">
        <v>0.10760260000000001</v>
      </c>
      <c r="X4894">
        <v>0.98828179999999999</v>
      </c>
      <c r="Y4894">
        <v>0.14921599999999999</v>
      </c>
      <c r="Z4894">
        <v>-5.4979449999999997E-3</v>
      </c>
      <c r="AA4894">
        <v>0.98878929999999998</v>
      </c>
      <c r="AB4894">
        <v>25</v>
      </c>
      <c r="AC4894">
        <v>0.80709999999999105</v>
      </c>
      <c r="AD4894">
        <v>-6.9406999999999996E-2</v>
      </c>
      <c r="AE4894">
        <v>-0.14173000000000199</v>
      </c>
      <c r="AF4894">
        <v>0.140691623388705</v>
      </c>
      <c r="AG4894">
        <v>-6.9406999999999996E-2</v>
      </c>
      <c r="AH4894">
        <v>0.80135616460735304</v>
      </c>
      <c r="AI4894">
        <v>94.875935212260003</v>
      </c>
      <c r="AJ4894">
        <v>80.042241323681495</v>
      </c>
      <c r="AK4894">
        <v>0.81656791946228002</v>
      </c>
      <c r="AL4894">
        <v>83.822865691865999</v>
      </c>
      <c r="AM4894">
        <v>83.748393652350998</v>
      </c>
      <c r="AN4894">
        <v>1.0000000023221201</v>
      </c>
    </row>
    <row r="4895" spans="1:40" x14ac:dyDescent="0.25">
      <c r="A4895" t="str">
        <f>"20190312151634757"</f>
        <v>20190312151634757</v>
      </c>
      <c r="B4895" t="str">
        <f>"1552374994753244"</f>
        <v>1552374994753244</v>
      </c>
      <c r="C4895" t="s">
        <v>40</v>
      </c>
      <c r="D4895">
        <v>4.7143439999999996</v>
      </c>
      <c r="E4895">
        <v>0.51494740000000006</v>
      </c>
      <c r="F4895" t="s">
        <v>43</v>
      </c>
      <c r="G4895">
        <v>-347.85559999999998</v>
      </c>
      <c r="H4895" s="1">
        <v>-2.0414890000000002E-6</v>
      </c>
      <c r="I4895">
        <v>14.63387</v>
      </c>
      <c r="J4895">
        <v>-362.28989999999999</v>
      </c>
      <c r="K4895">
        <v>1.110112</v>
      </c>
      <c r="L4895">
        <v>16.83173</v>
      </c>
      <c r="M4895">
        <v>0.99992809999999999</v>
      </c>
      <c r="N4895">
        <v>0</v>
      </c>
      <c r="O4895" s="1">
        <v>1.6718839999999999E-5</v>
      </c>
      <c r="P4895">
        <v>0.98959589999999997</v>
      </c>
      <c r="Q4895">
        <v>9.4501989999999994E-2</v>
      </c>
      <c r="R4895">
        <v>-0.1084864</v>
      </c>
      <c r="S4895">
        <v>3.0043329999999999</v>
      </c>
      <c r="T4895">
        <v>-0.22923840000000001</v>
      </c>
      <c r="U4895">
        <v>-0.45382689999999998</v>
      </c>
      <c r="V4895">
        <v>0.10848670000000001</v>
      </c>
      <c r="W4895">
        <v>0.1063851</v>
      </c>
      <c r="X4895">
        <v>0.98838899999999996</v>
      </c>
      <c r="Y4895">
        <v>0.14895610000000001</v>
      </c>
      <c r="Z4895">
        <v>-5.6440149999999996E-3</v>
      </c>
      <c r="AA4895">
        <v>0.98882769999999998</v>
      </c>
      <c r="AB4895">
        <v>25</v>
      </c>
      <c r="AC4895">
        <v>14.4343</v>
      </c>
      <c r="AD4895">
        <v>-1.1101140414890001</v>
      </c>
      <c r="AE4895">
        <v>-2.1978599999999902</v>
      </c>
      <c r="AF4895">
        <v>2.1854675446351601</v>
      </c>
      <c r="AG4895">
        <v>-1.1101140414890001</v>
      </c>
      <c r="AH4895">
        <v>14.3513009446047</v>
      </c>
      <c r="AI4895">
        <v>94.372968271245099</v>
      </c>
      <c r="AJ4895">
        <v>81.341316836700202</v>
      </c>
      <c r="AK4895">
        <v>14.559136663153399</v>
      </c>
      <c r="AL4895">
        <v>83.893025940949897</v>
      </c>
      <c r="AM4895">
        <v>83.736224109198005</v>
      </c>
      <c r="AN4895">
        <v>0.99999998444994898</v>
      </c>
    </row>
    <row r="4896" spans="1:40" x14ac:dyDescent="0.25">
      <c r="A4896" t="str">
        <f>"20190312151634767"</f>
        <v>20190312151634767</v>
      </c>
      <c r="B4896" t="str">
        <f>"1552374994763003"</f>
        <v>1552374994763003</v>
      </c>
      <c r="C4896" t="s">
        <v>40</v>
      </c>
      <c r="D4896">
        <v>4.7186700000000004</v>
      </c>
      <c r="E4896">
        <v>0.51487240000000001</v>
      </c>
      <c r="F4896" t="s">
        <v>41</v>
      </c>
      <c r="G4896">
        <v>-361.37950000000001</v>
      </c>
      <c r="H4896">
        <v>1.0394159999999999</v>
      </c>
      <c r="I4896">
        <v>16.69415</v>
      </c>
      <c r="J4896">
        <v>-362.16419999999999</v>
      </c>
      <c r="K4896">
        <v>1.1101099999999999</v>
      </c>
      <c r="L4896">
        <v>16.831789999999899</v>
      </c>
      <c r="M4896">
        <v>0.99992809999999999</v>
      </c>
      <c r="N4896">
        <v>0</v>
      </c>
      <c r="O4896" s="1">
        <v>7.3000880000000006E-5</v>
      </c>
      <c r="P4896">
        <v>0.9896431</v>
      </c>
      <c r="Q4896">
        <v>9.3663930000000006E-2</v>
      </c>
      <c r="R4896">
        <v>-0.1087833</v>
      </c>
      <c r="S4896">
        <v>3.004089</v>
      </c>
      <c r="T4896">
        <v>-0.23322499999999999</v>
      </c>
      <c r="U4896">
        <v>-0.45349119999999998</v>
      </c>
      <c r="V4896">
        <v>0.1088393</v>
      </c>
      <c r="W4896">
        <v>0.1055548</v>
      </c>
      <c r="X4896">
        <v>0.98843930000000002</v>
      </c>
      <c r="Y4896">
        <v>0.1489007</v>
      </c>
      <c r="Z4896">
        <v>-5.7445909999999899E-3</v>
      </c>
      <c r="AA4896">
        <v>0.98883549999999998</v>
      </c>
      <c r="AB4896">
        <v>25</v>
      </c>
      <c r="AC4896">
        <v>0.78469999999998596</v>
      </c>
      <c r="AD4896">
        <v>-7.0694000000000007E-2</v>
      </c>
      <c r="AE4896">
        <v>-0.13763999999999699</v>
      </c>
      <c r="AF4896">
        <v>0.13662152474559899</v>
      </c>
      <c r="AG4896">
        <v>-7.0694000000000007E-2</v>
      </c>
      <c r="AH4896">
        <v>0.77855954351272705</v>
      </c>
      <c r="AI4896">
        <v>95.110620998322801</v>
      </c>
      <c r="AJ4896">
        <v>80.047079337790095</v>
      </c>
      <c r="AK4896">
        <v>0.79361076445229595</v>
      </c>
      <c r="AL4896">
        <v>83.940868285057505</v>
      </c>
      <c r="AM4896">
        <v>83.716345612939094</v>
      </c>
      <c r="AN4896">
        <v>1.0000000294060001</v>
      </c>
    </row>
    <row r="4897" spans="1:40" x14ac:dyDescent="0.25">
      <c r="A4897" t="str">
        <f>"20190312151634778"</f>
        <v>20190312151634778</v>
      </c>
      <c r="B4897" t="str">
        <f>"1552374994772763"</f>
        <v>1552374994772763</v>
      </c>
      <c r="C4897" t="s">
        <v>40</v>
      </c>
      <c r="D4897">
        <v>4.6824589999999997</v>
      </c>
      <c r="E4897">
        <v>0.51482810000000001</v>
      </c>
      <c r="F4897" t="s">
        <v>41</v>
      </c>
      <c r="G4897">
        <v>-361.3698</v>
      </c>
      <c r="H4897">
        <v>1.0475669999999999</v>
      </c>
      <c r="I4897">
        <v>16.711670000000002</v>
      </c>
      <c r="J4897">
        <v>-362.0446</v>
      </c>
      <c r="K4897">
        <v>1.110115</v>
      </c>
      <c r="L4897">
        <v>16.831849999999999</v>
      </c>
      <c r="M4897">
        <v>0.99992789999999998</v>
      </c>
      <c r="N4897">
        <v>0</v>
      </c>
      <c r="O4897">
        <v>1.2600170000000001E-4</v>
      </c>
      <c r="P4897">
        <v>0.98967059999999996</v>
      </c>
      <c r="Q4897">
        <v>9.3063320000000005E-2</v>
      </c>
      <c r="R4897">
        <v>-0.10904750000000001</v>
      </c>
      <c r="S4897">
        <v>3.0039060000000002</v>
      </c>
      <c r="T4897">
        <v>-0.23649999999999999</v>
      </c>
      <c r="U4897">
        <v>-0.45370480000000002</v>
      </c>
      <c r="V4897">
        <v>0.1091563</v>
      </c>
      <c r="W4897">
        <v>0.1049616</v>
      </c>
      <c r="X4897">
        <v>0.98846750000000005</v>
      </c>
      <c r="Y4897">
        <v>0.14901779999999901</v>
      </c>
      <c r="Z4897">
        <v>-5.8340569999999897E-3</v>
      </c>
      <c r="AA4897">
        <v>0.98881730000000001</v>
      </c>
      <c r="AB4897">
        <v>25</v>
      </c>
      <c r="AC4897">
        <v>0.67480000000000395</v>
      </c>
      <c r="AD4897">
        <v>-6.2548000000000006E-2</v>
      </c>
      <c r="AE4897">
        <v>-0.120179999999997</v>
      </c>
      <c r="AF4897">
        <v>0.119271793437752</v>
      </c>
      <c r="AG4897">
        <v>-6.2548000000000006E-2</v>
      </c>
      <c r="AH4897">
        <v>0.66921197767957796</v>
      </c>
      <c r="AI4897">
        <v>95.257275683174498</v>
      </c>
      <c r="AJ4897">
        <v>79.894441479669993</v>
      </c>
      <c r="AK4897">
        <v>0.68262924350167498</v>
      </c>
      <c r="AL4897">
        <v>83.975045925261895</v>
      </c>
      <c r="AM4897">
        <v>83.698369517771795</v>
      </c>
      <c r="AN4897">
        <v>1.0000000169302401</v>
      </c>
    </row>
    <row r="4898" spans="1:40" x14ac:dyDescent="0.25">
      <c r="A4898" t="str">
        <f>"20190312151634789"</f>
        <v>20190312151634789</v>
      </c>
      <c r="B4898" t="str">
        <f>"1552374994782524"</f>
        <v>1552374994782524</v>
      </c>
      <c r="C4898" t="s">
        <v>40</v>
      </c>
      <c r="D4898">
        <v>4.6903280000000001</v>
      </c>
      <c r="E4898">
        <v>0.51476529999999998</v>
      </c>
      <c r="F4898" t="s">
        <v>41</v>
      </c>
      <c r="G4898">
        <v>-361.15929999999997</v>
      </c>
      <c r="H4898">
        <v>1.0399179999999999</v>
      </c>
      <c r="I4898">
        <v>16.697990000000001</v>
      </c>
      <c r="J4898">
        <v>-361.92160000000001</v>
      </c>
      <c r="K4898">
        <v>1.1101190000000001</v>
      </c>
      <c r="L4898">
        <v>16.831939999999999</v>
      </c>
      <c r="M4898">
        <v>0.99992780000000003</v>
      </c>
      <c r="N4898">
        <v>0</v>
      </c>
      <c r="O4898">
        <v>1.7989119999999999E-4</v>
      </c>
      <c r="P4898">
        <v>0.98966140000000002</v>
      </c>
      <c r="Q4898">
        <v>9.2978030000000003E-2</v>
      </c>
      <c r="R4898">
        <v>-0.1092026</v>
      </c>
      <c r="S4898">
        <v>3.0037229999999999</v>
      </c>
      <c r="T4898">
        <v>-0.23822309999999999</v>
      </c>
      <c r="U4898">
        <v>-0.4539185</v>
      </c>
      <c r="V4898">
        <v>0.109365</v>
      </c>
      <c r="W4898">
        <v>0.1048829</v>
      </c>
      <c r="X4898">
        <v>0.98845280000000002</v>
      </c>
      <c r="Y4898">
        <v>0.14914150000000001</v>
      </c>
      <c r="Z4898">
        <v>-5.8858690000000002E-3</v>
      </c>
      <c r="AA4898">
        <v>0.98879830000000002</v>
      </c>
      <c r="AB4898">
        <v>25</v>
      </c>
      <c r="AC4898">
        <v>0.76230000000003795</v>
      </c>
      <c r="AD4898">
        <v>-7.0200999999999902E-2</v>
      </c>
      <c r="AE4898">
        <v>-0.13394999999999799</v>
      </c>
      <c r="AF4898">
        <v>0.13299303918340899</v>
      </c>
      <c r="AG4898">
        <v>-7.0200999999999902E-2</v>
      </c>
      <c r="AH4898">
        <v>0.75605601068700701</v>
      </c>
      <c r="AI4898">
        <v>95.2250273434218</v>
      </c>
      <c r="AJ4898">
        <v>80.023523378361503</v>
      </c>
      <c r="AK4898">
        <v>0.77086705738939998</v>
      </c>
      <c r="AL4898">
        <v>83.9795802202554</v>
      </c>
      <c r="AM4898">
        <v>83.686325262420795</v>
      </c>
      <c r="AN4898">
        <v>1.0000000318826201</v>
      </c>
    </row>
    <row r="4899" spans="1:40" x14ac:dyDescent="0.25">
      <c r="A4899" t="str">
        <f>"20190312151634802"</f>
        <v>20190312151634802</v>
      </c>
      <c r="B4899" t="str">
        <f>"1552374994793260"</f>
        <v>1552374994793260</v>
      </c>
      <c r="C4899" t="s">
        <v>40</v>
      </c>
      <c r="D4899">
        <v>4.7123749999999998</v>
      </c>
      <c r="E4899">
        <v>0.51469370000000003</v>
      </c>
      <c r="F4899" t="s">
        <v>41</v>
      </c>
      <c r="G4899">
        <v>-361.14499999999998</v>
      </c>
      <c r="H4899">
        <v>1.0485640000000001</v>
      </c>
      <c r="I4899">
        <v>16.71452</v>
      </c>
      <c r="J4899">
        <v>-361.7953</v>
      </c>
      <c r="K4899">
        <v>1.1101209999999999</v>
      </c>
      <c r="L4899">
        <v>16.83203</v>
      </c>
      <c r="M4899">
        <v>0.99992769999999997</v>
      </c>
      <c r="N4899">
        <v>0</v>
      </c>
      <c r="O4899">
        <v>2.3548899999999999E-4</v>
      </c>
      <c r="P4899">
        <v>0.98963179999999995</v>
      </c>
      <c r="Q4899">
        <v>9.3241649999999995E-2</v>
      </c>
      <c r="R4899">
        <v>-0.1092479</v>
      </c>
      <c r="S4899">
        <v>3.0036930000000002</v>
      </c>
      <c r="T4899">
        <v>-0.23809859999999999</v>
      </c>
      <c r="U4899">
        <v>-0.45382689999999998</v>
      </c>
      <c r="V4899">
        <v>0.1094651</v>
      </c>
      <c r="W4899">
        <v>0.1051551</v>
      </c>
      <c r="X4899">
        <v>0.98841270000000003</v>
      </c>
      <c r="Y4899">
        <v>0.14916869999999999</v>
      </c>
      <c r="Z4899">
        <v>-5.8883210000000002E-3</v>
      </c>
      <c r="AA4899">
        <v>0.98879419999999996</v>
      </c>
      <c r="AB4899">
        <v>25</v>
      </c>
      <c r="AC4899">
        <v>0.65030000000001498</v>
      </c>
      <c r="AD4899">
        <v>-6.1556999999999799E-2</v>
      </c>
      <c r="AE4899">
        <v>-0.117509999999999</v>
      </c>
      <c r="AF4899">
        <v>0.116650958006339</v>
      </c>
      <c r="AG4899">
        <v>-6.1556999999999799E-2</v>
      </c>
      <c r="AH4899">
        <v>0.64467838940197197</v>
      </c>
      <c r="AI4899">
        <v>95.367698531297606</v>
      </c>
      <c r="AJ4899">
        <v>79.7436217615506</v>
      </c>
      <c r="AK4899">
        <v>0.65803262534217599</v>
      </c>
      <c r="AL4899">
        <v>83.963896997029494</v>
      </c>
      <c r="AM4899">
        <v>83.680338884875695</v>
      </c>
      <c r="AN4899">
        <v>0.999999934347652</v>
      </c>
    </row>
    <row r="4900" spans="1:40" x14ac:dyDescent="0.25">
      <c r="A4900" t="str">
        <f>"20190312151634811"</f>
        <v>20190312151634811</v>
      </c>
      <c r="B4900" t="str">
        <f>"1552374994803019"</f>
        <v>1552374994803019</v>
      </c>
      <c r="C4900" t="s">
        <v>40</v>
      </c>
      <c r="D4900">
        <v>4.7084469999999996</v>
      </c>
      <c r="E4900">
        <v>0.51462129999999995</v>
      </c>
      <c r="F4900" t="s">
        <v>41</v>
      </c>
      <c r="G4900">
        <v>-360.9375</v>
      </c>
      <c r="H4900">
        <v>1.0424469999999999</v>
      </c>
      <c r="I4900">
        <v>16.702220000000001</v>
      </c>
      <c r="J4900">
        <v>-361.6823</v>
      </c>
      <c r="K4900">
        <v>1.1101289999999999</v>
      </c>
      <c r="L4900">
        <v>16.83212</v>
      </c>
      <c r="M4900">
        <v>0.99992760000000003</v>
      </c>
      <c r="N4900">
        <v>0</v>
      </c>
      <c r="O4900">
        <v>2.8512870000000002E-4</v>
      </c>
      <c r="P4900">
        <v>0.98962479999999997</v>
      </c>
      <c r="Q4900">
        <v>9.3537099999999998E-2</v>
      </c>
      <c r="R4900">
        <v>-0.1090589</v>
      </c>
      <c r="S4900">
        <v>3.0037229999999999</v>
      </c>
      <c r="T4900">
        <v>-0.23702390000000001</v>
      </c>
      <c r="U4900">
        <v>-0.45330809999999999</v>
      </c>
      <c r="V4900">
        <v>0.1093258</v>
      </c>
      <c r="W4900">
        <v>0.1054586</v>
      </c>
      <c r="X4900">
        <v>0.98839589999999999</v>
      </c>
      <c r="Y4900">
        <v>0.14905370000000001</v>
      </c>
      <c r="Z4900">
        <v>-5.8612259999999998E-3</v>
      </c>
      <c r="AA4900">
        <v>0.98881169999999996</v>
      </c>
      <c r="AB4900">
        <v>25</v>
      </c>
      <c r="AC4900">
        <v>0.74479999999999702</v>
      </c>
      <c r="AD4900">
        <v>-6.76820000000002E-2</v>
      </c>
      <c r="AE4900">
        <v>-0.12989999999999899</v>
      </c>
      <c r="AF4900">
        <v>0.12907793382639099</v>
      </c>
      <c r="AG4900">
        <v>-6.76820000000002E-2</v>
      </c>
      <c r="AH4900">
        <v>0.73884179598044597</v>
      </c>
      <c r="AI4900">
        <v>95.156336081524003</v>
      </c>
      <c r="AJ4900">
        <v>80.090262337182196</v>
      </c>
      <c r="AK4900">
        <v>0.75307978701628997</v>
      </c>
      <c r="AL4900">
        <v>83.946411206657999</v>
      </c>
      <c r="AM4900">
        <v>83.688209620603899</v>
      </c>
      <c r="AN4900">
        <v>1.0000000509982001</v>
      </c>
    </row>
    <row r="4901" spans="1:40" x14ac:dyDescent="0.25">
      <c r="A4901" t="str">
        <f>"20190312151634823"</f>
        <v>20190312151634823</v>
      </c>
      <c r="B4901" t="str">
        <f>"1552374994812780"</f>
        <v>1552374994812780</v>
      </c>
      <c r="C4901" t="s">
        <v>40</v>
      </c>
      <c r="D4901">
        <v>4.7223160000000002</v>
      </c>
      <c r="E4901">
        <v>0.51458340000000002</v>
      </c>
      <c r="F4901" t="s">
        <v>43</v>
      </c>
      <c r="G4901">
        <v>-347.55549999999999</v>
      </c>
      <c r="H4901" s="1">
        <v>-2.1242520000000001E-6</v>
      </c>
      <c r="I4901">
        <v>14.7067</v>
      </c>
      <c r="J4901">
        <v>-361.5564</v>
      </c>
      <c r="K4901">
        <v>1.110134</v>
      </c>
      <c r="L4901">
        <v>16.83221</v>
      </c>
      <c r="M4901">
        <v>0.99992740000000002</v>
      </c>
      <c r="N4901">
        <v>0</v>
      </c>
      <c r="O4901">
        <v>3.4065929999999999E-4</v>
      </c>
      <c r="P4901">
        <v>0.98963520000000005</v>
      </c>
      <c r="Q4901">
        <v>9.3775590000000006E-2</v>
      </c>
      <c r="R4901">
        <v>-0.10875899999999999</v>
      </c>
      <c r="S4901">
        <v>3.0039669999999998</v>
      </c>
      <c r="T4901">
        <v>-0.23605999999999999</v>
      </c>
      <c r="U4901">
        <v>-0.45193480000000003</v>
      </c>
      <c r="V4901">
        <v>0.10908089999999999</v>
      </c>
      <c r="W4901">
        <v>0.105708</v>
      </c>
      <c r="X4901">
        <v>0.98839630000000001</v>
      </c>
      <c r="Y4901">
        <v>0.1486594</v>
      </c>
      <c r="Z4901">
        <v>-5.8261429999999998E-3</v>
      </c>
      <c r="AA4901">
        <v>0.98887130000000001</v>
      </c>
      <c r="AB4901">
        <v>25</v>
      </c>
      <c r="AC4901">
        <v>14.0009</v>
      </c>
      <c r="AD4901">
        <v>-1.110136124252</v>
      </c>
      <c r="AE4901">
        <v>-2.1255099999999998</v>
      </c>
      <c r="AF4901">
        <v>2.1172684530892498</v>
      </c>
      <c r="AG4901">
        <v>-1.110136124252</v>
      </c>
      <c r="AH4901">
        <v>13.914664898385499</v>
      </c>
      <c r="AI4901">
        <v>94.509803909410806</v>
      </c>
      <c r="AJ4901">
        <v>81.348184839412596</v>
      </c>
      <c r="AK4901">
        <v>14.1185384212098</v>
      </c>
      <c r="AL4901">
        <v>83.932041221051094</v>
      </c>
      <c r="AM4901">
        <v>83.702237415572299</v>
      </c>
      <c r="AN4901">
        <v>1.0000000349312399</v>
      </c>
    </row>
    <row r="4902" spans="1:40" x14ac:dyDescent="0.25">
      <c r="A4902" t="str">
        <f>"20190312151634835"</f>
        <v>20190312151634835</v>
      </c>
      <c r="B4902" t="str">
        <f>"1552374994833276"</f>
        <v>1552374994833276</v>
      </c>
      <c r="C4902" t="s">
        <v>40</v>
      </c>
      <c r="D4902">
        <v>4.7286950000000001</v>
      </c>
      <c r="E4902">
        <v>0.51443739999999905</v>
      </c>
      <c r="F4902" t="s">
        <v>41</v>
      </c>
      <c r="G4902">
        <v>-360.71629999999999</v>
      </c>
      <c r="H4902">
        <v>1.044289</v>
      </c>
      <c r="I4902">
        <v>16.706189999999999</v>
      </c>
      <c r="J4902">
        <v>-361.42689999999999</v>
      </c>
      <c r="K4902">
        <v>1.110139</v>
      </c>
      <c r="L4902">
        <v>16.832339999999999</v>
      </c>
      <c r="M4902">
        <v>0.99992720000000002</v>
      </c>
      <c r="N4902">
        <v>0</v>
      </c>
      <c r="O4902">
        <v>3.9774370000000001E-4</v>
      </c>
      <c r="P4902">
        <v>0.98967240000000001</v>
      </c>
      <c r="Q4902">
        <v>9.3728870000000006E-2</v>
      </c>
      <c r="R4902">
        <v>-0.1084605</v>
      </c>
      <c r="S4902">
        <v>3.0042110000000002</v>
      </c>
      <c r="T4902">
        <v>-0.2354858</v>
      </c>
      <c r="U4902">
        <v>-0.4507446</v>
      </c>
      <c r="V4902">
        <v>0.10883909999999999</v>
      </c>
      <c r="W4902">
        <v>0.1056719</v>
      </c>
      <c r="X4902">
        <v>0.98842680000000005</v>
      </c>
      <c r="Y4902">
        <v>0.14832400000000001</v>
      </c>
      <c r="Z4902">
        <v>-5.8031050000000002E-3</v>
      </c>
      <c r="AA4902">
        <v>0.98892179999999996</v>
      </c>
      <c r="AB4902">
        <v>25</v>
      </c>
      <c r="AC4902">
        <v>0.71059999999999901</v>
      </c>
      <c r="AD4902">
        <v>-6.5849999999999895E-2</v>
      </c>
      <c r="AE4902">
        <v>-0.12614999999999901</v>
      </c>
      <c r="AF4902">
        <v>0.12538878285531699</v>
      </c>
      <c r="AG4902">
        <v>-6.5849999999999895E-2</v>
      </c>
      <c r="AH4902">
        <v>0.70468326101860301</v>
      </c>
      <c r="AI4902">
        <v>95.256480123355203</v>
      </c>
      <c r="AJ4902">
        <v>79.9105938638574</v>
      </c>
      <c r="AK4902">
        <v>0.71877469886310696</v>
      </c>
      <c r="AL4902">
        <v>83.934121154916298</v>
      </c>
      <c r="AM4902">
        <v>83.716278237699896</v>
      </c>
      <c r="AN4902">
        <v>1.0000000195483201</v>
      </c>
    </row>
    <row r="4903" spans="1:40" x14ac:dyDescent="0.25">
      <c r="A4903" t="str">
        <f>"20190312151634844"</f>
        <v>20190312151634844</v>
      </c>
      <c r="B4903" t="str">
        <f>"1552374994843037"</f>
        <v>1552374994843037</v>
      </c>
      <c r="C4903" t="s">
        <v>40</v>
      </c>
      <c r="D4903">
        <v>4.7397850000000004</v>
      </c>
      <c r="E4903">
        <v>0.51441219999999999</v>
      </c>
      <c r="F4903" t="s">
        <v>41</v>
      </c>
      <c r="G4903">
        <v>-360.50049999999999</v>
      </c>
      <c r="H4903">
        <v>1.0375570000000001</v>
      </c>
      <c r="I4903">
        <v>16.693619999999999</v>
      </c>
      <c r="J4903">
        <v>-361.31</v>
      </c>
      <c r="K4903">
        <v>1.110139</v>
      </c>
      <c r="L4903">
        <v>16.832429999999999</v>
      </c>
      <c r="M4903">
        <v>0.99992720000000002</v>
      </c>
      <c r="N4903">
        <v>0</v>
      </c>
      <c r="O4903">
        <v>4.5045099999999999E-4</v>
      </c>
      <c r="P4903">
        <v>0.98967660000000002</v>
      </c>
      <c r="Q4903">
        <v>9.4093549999999998E-2</v>
      </c>
      <c r="R4903">
        <v>-0.1081063</v>
      </c>
      <c r="S4903">
        <v>3.0044249999999999</v>
      </c>
      <c r="T4903">
        <v>-0.235428</v>
      </c>
      <c r="U4903">
        <v>-0.44873049999999998</v>
      </c>
      <c r="V4903">
        <v>0.1085367</v>
      </c>
      <c r="W4903">
        <v>0.1060456</v>
      </c>
      <c r="X4903">
        <v>0.98841999999999997</v>
      </c>
      <c r="Y4903">
        <v>0.14771919999999999</v>
      </c>
      <c r="Z4903">
        <v>-5.7821359999999898E-3</v>
      </c>
      <c r="AA4903">
        <v>0.98901240000000001</v>
      </c>
      <c r="AB4903">
        <v>25</v>
      </c>
      <c r="AC4903">
        <v>0.80950000000001399</v>
      </c>
      <c r="AD4903">
        <v>-7.2581999999999897E-2</v>
      </c>
      <c r="AE4903">
        <v>-0.13880999999999499</v>
      </c>
      <c r="AF4903">
        <v>0.13809615326396901</v>
      </c>
      <c r="AG4903">
        <v>-7.2581999999999897E-2</v>
      </c>
      <c r="AH4903">
        <v>0.803164853137177</v>
      </c>
      <c r="AI4903">
        <v>95.089509730347601</v>
      </c>
      <c r="AJ4903">
        <v>80.243958535247302</v>
      </c>
      <c r="AK4903">
        <v>0.81817631081886599</v>
      </c>
      <c r="AL4903">
        <v>83.912588557827902</v>
      </c>
      <c r="AM4903">
        <v>83.733555163627202</v>
      </c>
      <c r="AN4903">
        <v>0.99999999046312404</v>
      </c>
    </row>
    <row r="4904" spans="1:40" x14ac:dyDescent="0.25">
      <c r="A4904" t="str">
        <f>"20190312151634857"</f>
        <v>20190312151634857</v>
      </c>
      <c r="B4904" t="str">
        <f>"1552374994852795"</f>
        <v>1552374994852795</v>
      </c>
      <c r="C4904" t="s">
        <v>40</v>
      </c>
      <c r="D4904">
        <v>4.7414319999999996</v>
      </c>
      <c r="E4904">
        <v>0.51441219999999999</v>
      </c>
      <c r="F4904" t="s">
        <v>41</v>
      </c>
      <c r="G4904">
        <v>-360.495</v>
      </c>
      <c r="H4904">
        <v>1.046443</v>
      </c>
      <c r="I4904">
        <v>16.710719999999998</v>
      </c>
      <c r="J4904">
        <v>-361.17910000000001</v>
      </c>
      <c r="K4904">
        <v>1.1101430000000001</v>
      </c>
      <c r="L4904">
        <v>16.83258</v>
      </c>
      <c r="M4904">
        <v>0.99992709999999996</v>
      </c>
      <c r="N4904">
        <v>0</v>
      </c>
      <c r="O4904">
        <v>5.0923730000000005E-4</v>
      </c>
      <c r="P4904">
        <v>0.98970340000000001</v>
      </c>
      <c r="Q4904">
        <v>9.4211530000000002E-2</v>
      </c>
      <c r="R4904">
        <v>-0.10775949999999999</v>
      </c>
      <c r="S4904">
        <v>3.0047609999999998</v>
      </c>
      <c r="T4904">
        <v>-0.2348633</v>
      </c>
      <c r="U4904">
        <v>-0.44741819999999999</v>
      </c>
      <c r="V4904">
        <v>0.10824780000000001</v>
      </c>
      <c r="W4904">
        <v>0.10617310000000001</v>
      </c>
      <c r="X4904">
        <v>0.98843800000000004</v>
      </c>
      <c r="Y4904">
        <v>0.14734179999999999</v>
      </c>
      <c r="Z4904">
        <v>-5.7577729999999999E-3</v>
      </c>
      <c r="AA4904">
        <v>0.98906890000000003</v>
      </c>
      <c r="AB4904">
        <v>25</v>
      </c>
      <c r="AC4904">
        <v>0.68410000000000004</v>
      </c>
      <c r="AD4904">
        <v>-6.3700000000000007E-2</v>
      </c>
      <c r="AE4904">
        <v>-0.121859999999998</v>
      </c>
      <c r="AF4904">
        <v>0.121189928693881</v>
      </c>
      <c r="AG4904">
        <v>-6.3700000000000007E-2</v>
      </c>
      <c r="AH4904">
        <v>0.67833727296859403</v>
      </c>
      <c r="AI4904">
        <v>95.281547044518504</v>
      </c>
      <c r="AJ4904">
        <v>79.870558502848993</v>
      </c>
      <c r="AK4904">
        <v>0.69201600033185395</v>
      </c>
      <c r="AL4904">
        <v>83.905241907477006</v>
      </c>
      <c r="AM4904">
        <v>83.750215755336001</v>
      </c>
      <c r="AN4904">
        <v>0.99999999660622496</v>
      </c>
    </row>
    <row r="4905" spans="1:40" x14ac:dyDescent="0.25">
      <c r="A4905" t="str">
        <f>"20190312151634868"</f>
        <v>20190312151634868</v>
      </c>
      <c r="B4905" t="str">
        <f>"1552374994862555"</f>
        <v>1552374994862555</v>
      </c>
      <c r="C4905" t="s">
        <v>40</v>
      </c>
      <c r="D4905">
        <v>4.7155519999999997</v>
      </c>
      <c r="E4905">
        <v>0.5154126</v>
      </c>
      <c r="F4905" t="s">
        <v>41</v>
      </c>
      <c r="G4905">
        <v>-360.27929999999998</v>
      </c>
      <c r="H4905">
        <v>1.039917</v>
      </c>
      <c r="I4905">
        <v>16.69903</v>
      </c>
      <c r="J4905">
        <v>-361.05970000000002</v>
      </c>
      <c r="K4905">
        <v>1.110147</v>
      </c>
      <c r="L4905">
        <v>16.83267</v>
      </c>
      <c r="M4905">
        <v>0.99992689999999995</v>
      </c>
      <c r="N4905">
        <v>0</v>
      </c>
      <c r="O4905">
        <v>5.6296730000000004E-4</v>
      </c>
      <c r="P4905">
        <v>0.98969890000000005</v>
      </c>
      <c r="Q4905">
        <v>9.4384889999999999E-2</v>
      </c>
      <c r="R4905">
        <v>-0.1076482</v>
      </c>
      <c r="S4905">
        <v>3.0049440000000001</v>
      </c>
      <c r="T4905">
        <v>-0.2345228</v>
      </c>
      <c r="U4905">
        <v>-0.44622800000000001</v>
      </c>
      <c r="V4905">
        <v>0.1081893</v>
      </c>
      <c r="W4905">
        <v>0.1063547</v>
      </c>
      <c r="X4905">
        <v>0.98842490000000005</v>
      </c>
      <c r="Y4905">
        <v>0.147005</v>
      </c>
      <c r="Z4905">
        <v>-5.7403849999999998E-3</v>
      </c>
      <c r="AA4905">
        <v>0.98911910000000003</v>
      </c>
      <c r="AB4905">
        <v>25</v>
      </c>
      <c r="AC4905">
        <v>0.78040000000004195</v>
      </c>
      <c r="AD4905">
        <v>-7.0230000000000001E-2</v>
      </c>
      <c r="AE4905">
        <v>-0.13363999999999901</v>
      </c>
      <c r="AF4905">
        <v>0.133032664171568</v>
      </c>
      <c r="AG4905">
        <v>-7.0230000000000001E-2</v>
      </c>
      <c r="AH4905">
        <v>0.77423305530992603</v>
      </c>
      <c r="AI4905">
        <v>95.108605697628093</v>
      </c>
      <c r="AJ4905">
        <v>80.250352678423994</v>
      </c>
      <c r="AK4905">
        <v>0.78871209358746897</v>
      </c>
      <c r="AL4905">
        <v>83.894777857459104</v>
      </c>
      <c r="AM4905">
        <v>83.753484467168306</v>
      </c>
      <c r="AN4905">
        <v>1.0000000148932899</v>
      </c>
    </row>
    <row r="4906" spans="1:40" x14ac:dyDescent="0.25">
      <c r="A4906" t="str">
        <f>"20190312151634879"</f>
        <v>20190312151634879</v>
      </c>
      <c r="B4906" t="str">
        <f>"1552374994872315"</f>
        <v>1552374994872315</v>
      </c>
      <c r="C4906" t="s">
        <v>40</v>
      </c>
      <c r="D4906">
        <v>4.6325960000000004</v>
      </c>
      <c r="E4906">
        <v>0.51653059999999995</v>
      </c>
      <c r="F4906" t="s">
        <v>41</v>
      </c>
      <c r="G4906">
        <v>-360.30369999999999</v>
      </c>
      <c r="H4906">
        <v>0.99560280000000001</v>
      </c>
      <c r="I4906">
        <v>16.718339999999898</v>
      </c>
      <c r="J4906">
        <v>-360.94049999999999</v>
      </c>
      <c r="K4906">
        <v>1.110152</v>
      </c>
      <c r="L4906">
        <v>16.832789999999999</v>
      </c>
      <c r="M4906">
        <v>0.9999268</v>
      </c>
      <c r="N4906">
        <v>0</v>
      </c>
      <c r="O4906">
        <v>6.1615610000000001E-4</v>
      </c>
      <c r="P4906">
        <v>0.98969739999999995</v>
      </c>
      <c r="Q4906">
        <v>9.4531459999999998E-2</v>
      </c>
      <c r="R4906">
        <v>-0.1075318</v>
      </c>
      <c r="S4906">
        <v>3.0252080000000001</v>
      </c>
      <c r="T4906">
        <v>-0.45835209999999998</v>
      </c>
      <c r="U4906">
        <v>-0.45782469999999997</v>
      </c>
      <c r="V4906">
        <v>0.1081256</v>
      </c>
      <c r="W4906">
        <v>0.1065088</v>
      </c>
      <c r="X4906">
        <v>0.98841520000000005</v>
      </c>
      <c r="Y4906">
        <v>0.14857719999999999</v>
      </c>
      <c r="Z4906">
        <v>-1.1221689999999999E-2</v>
      </c>
      <c r="AA4906">
        <v>0.98883710000000002</v>
      </c>
      <c r="AB4906">
        <v>25</v>
      </c>
      <c r="AC4906">
        <v>0.63679999999999304</v>
      </c>
      <c r="AD4906">
        <v>-0.1145492</v>
      </c>
      <c r="AE4906">
        <v>-0.114450000000001</v>
      </c>
      <c r="AF4906">
        <v>0.111352021175601</v>
      </c>
      <c r="AG4906">
        <v>-0.1145492</v>
      </c>
      <c r="AH4906">
        <v>0.61737751880763103</v>
      </c>
      <c r="AI4906">
        <v>100.347944827444</v>
      </c>
      <c r="AJ4906">
        <v>79.7758855227233</v>
      </c>
      <c r="AK4906">
        <v>0.637711370895642</v>
      </c>
      <c r="AL4906">
        <v>83.885897673766706</v>
      </c>
      <c r="AM4906">
        <v>83.757072478103197</v>
      </c>
      <c r="AN4906">
        <v>0.99999993872191795</v>
      </c>
    </row>
    <row r="4907" spans="1:40" x14ac:dyDescent="0.25">
      <c r="A4907" t="str">
        <f>"20190312151634890"</f>
        <v>20190312151634890</v>
      </c>
      <c r="B4907" t="str">
        <f>"1552374994883053"</f>
        <v>1552374994883053</v>
      </c>
      <c r="C4907" t="s">
        <v>40</v>
      </c>
      <c r="D4907">
        <v>4.7190399999999997</v>
      </c>
      <c r="E4907">
        <v>0.51653110000000002</v>
      </c>
      <c r="F4907" t="s">
        <v>41</v>
      </c>
      <c r="G4907">
        <v>-360.1028</v>
      </c>
      <c r="H4907">
        <v>0.95524500000000001</v>
      </c>
      <c r="I4907">
        <v>16.70327</v>
      </c>
      <c r="J4907">
        <v>-360.81099999999998</v>
      </c>
      <c r="K4907">
        <v>1.110158</v>
      </c>
      <c r="L4907">
        <v>16.83295</v>
      </c>
      <c r="M4907">
        <v>0.99992669999999995</v>
      </c>
      <c r="N4907">
        <v>0</v>
      </c>
      <c r="O4907">
        <v>6.7374890000000004E-4</v>
      </c>
      <c r="P4907">
        <v>0.98965020000000004</v>
      </c>
      <c r="Q4907">
        <v>9.5055790000000001E-2</v>
      </c>
      <c r="R4907">
        <v>-0.10750469999999999</v>
      </c>
      <c r="S4907">
        <v>3.0339659999999999</v>
      </c>
      <c r="T4907">
        <v>-0.56103210000000003</v>
      </c>
      <c r="U4907">
        <v>-0.46804810000000002</v>
      </c>
      <c r="V4907">
        <v>0.1081551</v>
      </c>
      <c r="W4907">
        <v>0.10704080000000001</v>
      </c>
      <c r="X4907">
        <v>0.98835459999999997</v>
      </c>
      <c r="Y4907">
        <v>0.1506257</v>
      </c>
      <c r="Z4907">
        <v>-1.3853209999999999E-2</v>
      </c>
      <c r="AA4907">
        <v>0.98849379999999998</v>
      </c>
      <c r="AB4907">
        <v>25</v>
      </c>
      <c r="AC4907">
        <v>0.70819999999997596</v>
      </c>
      <c r="AD4907">
        <v>-0.154912999999999</v>
      </c>
      <c r="AE4907">
        <v>-0.12967999999999999</v>
      </c>
      <c r="AF4907">
        <v>0.124398057628201</v>
      </c>
      <c r="AG4907">
        <v>-0.154912999999999</v>
      </c>
      <c r="AH4907">
        <v>0.676780428604285</v>
      </c>
      <c r="AI4907">
        <v>102.687231515722</v>
      </c>
      <c r="AJ4907">
        <v>79.584799574277696</v>
      </c>
      <c r="AK4907">
        <v>0.70534010438402595</v>
      </c>
      <c r="AL4907">
        <v>83.855241665794907</v>
      </c>
      <c r="AM4907">
        <v>83.755002811843696</v>
      </c>
      <c r="AN4907">
        <v>1.0000000369308999</v>
      </c>
    </row>
    <row r="4908" spans="1:40" x14ac:dyDescent="0.25">
      <c r="A4908" t="str">
        <f>"20190312151634903"</f>
        <v>20190312151634903</v>
      </c>
      <c r="B4908" t="str">
        <f>"1552374994892812"</f>
        <v>1552374994892812</v>
      </c>
      <c r="C4908" t="s">
        <v>40</v>
      </c>
      <c r="D4908">
        <v>4.7191890000000001</v>
      </c>
      <c r="E4908">
        <v>0.51692749999999998</v>
      </c>
      <c r="F4908" t="s">
        <v>41</v>
      </c>
      <c r="G4908">
        <v>-360.09989999999999</v>
      </c>
      <c r="H4908">
        <v>0.96258600000000005</v>
      </c>
      <c r="I4908">
        <v>16.722909999999999</v>
      </c>
      <c r="J4908">
        <v>-360.68049999999999</v>
      </c>
      <c r="K4908">
        <v>1.110161</v>
      </c>
      <c r="L4908">
        <v>16.833100000000002</v>
      </c>
      <c r="M4908">
        <v>0.99992639999999999</v>
      </c>
      <c r="N4908">
        <v>0</v>
      </c>
      <c r="O4908">
        <v>7.2981249999999999E-4</v>
      </c>
      <c r="P4908">
        <v>0.98957249999999997</v>
      </c>
      <c r="Q4908">
        <v>9.565005E-2</v>
      </c>
      <c r="R4908">
        <v>-0.1076922</v>
      </c>
      <c r="S4908">
        <v>3.0410159999999999</v>
      </c>
      <c r="T4908">
        <v>-0.63105749999999905</v>
      </c>
      <c r="U4908">
        <v>-0.46929929999999997</v>
      </c>
      <c r="V4908">
        <v>0.10839840000000001</v>
      </c>
      <c r="W4908">
        <v>0.1076438</v>
      </c>
      <c r="X4908">
        <v>0.98826239999999999</v>
      </c>
      <c r="Y4908">
        <v>0.1500996</v>
      </c>
      <c r="Z4908">
        <v>-1.5470970000000001E-2</v>
      </c>
      <c r="AA4908">
        <v>0.98854980000000003</v>
      </c>
      <c r="AB4908">
        <v>25</v>
      </c>
      <c r="AC4908">
        <v>0.580600000000004</v>
      </c>
      <c r="AD4908">
        <v>-0.14757499999999901</v>
      </c>
      <c r="AE4908">
        <v>-0.11019000000000199</v>
      </c>
      <c r="AF4908">
        <v>0.104120792046123</v>
      </c>
      <c r="AG4908">
        <v>-0.14757499999999901</v>
      </c>
      <c r="AH4908">
        <v>0.54644338893667999</v>
      </c>
      <c r="AI4908">
        <v>104.857837164174</v>
      </c>
      <c r="AJ4908">
        <v>79.212025554877997</v>
      </c>
      <c r="AK4908">
        <v>0.57551706948961701</v>
      </c>
      <c r="AL4908">
        <v>83.8204912137072</v>
      </c>
      <c r="AM4908">
        <v>83.740486474734695</v>
      </c>
      <c r="AN4908">
        <v>0.99999998602737905</v>
      </c>
    </row>
    <row r="4909" spans="1:40" x14ac:dyDescent="0.25">
      <c r="A4909" t="str">
        <f>"20190312151634916"</f>
        <v>20190312151634916</v>
      </c>
      <c r="B4909" t="str">
        <f>"1552374994902572"</f>
        <v>1552374994902572</v>
      </c>
      <c r="C4909" t="s">
        <v>40</v>
      </c>
      <c r="D4909">
        <v>4.659707</v>
      </c>
      <c r="E4909">
        <v>0.5168469</v>
      </c>
      <c r="F4909" t="s">
        <v>41</v>
      </c>
      <c r="G4909">
        <v>-359.89339999999999</v>
      </c>
      <c r="H4909">
        <v>0.93359210000000004</v>
      </c>
      <c r="I4909">
        <v>16.710419999999999</v>
      </c>
      <c r="J4909">
        <v>-360.54050000000001</v>
      </c>
      <c r="K4909">
        <v>1.1101639999999999</v>
      </c>
      <c r="L4909">
        <v>16.83325</v>
      </c>
      <c r="M4909">
        <v>0.99992630000000005</v>
      </c>
      <c r="N4909">
        <v>0</v>
      </c>
      <c r="O4909">
        <v>7.8919820000000003E-4</v>
      </c>
      <c r="P4909">
        <v>0.98948860000000005</v>
      </c>
      <c r="Q4909">
        <v>9.630379E-2</v>
      </c>
      <c r="R4909">
        <v>-0.1078803</v>
      </c>
      <c r="S4909">
        <v>3.0460820000000002</v>
      </c>
      <c r="T4909">
        <v>-0.68330809999999997</v>
      </c>
      <c r="U4909">
        <v>-0.47421259999999998</v>
      </c>
      <c r="V4909">
        <v>0.108645699999999</v>
      </c>
      <c r="W4909">
        <v>0.1083079</v>
      </c>
      <c r="X4909">
        <v>0.98816269999999995</v>
      </c>
      <c r="Y4909">
        <v>0.15092420000000001</v>
      </c>
      <c r="Z4909">
        <v>-1.679752E-2</v>
      </c>
      <c r="AA4909">
        <v>0.98840260000000002</v>
      </c>
      <c r="AB4909">
        <v>25</v>
      </c>
      <c r="AC4909">
        <v>0.64710000000002299</v>
      </c>
      <c r="AD4909">
        <v>-0.176571899999999</v>
      </c>
      <c r="AE4909">
        <v>-0.122829999999996</v>
      </c>
      <c r="AF4909">
        <v>0.115070916938562</v>
      </c>
      <c r="AG4909">
        <v>-0.176571899999999</v>
      </c>
      <c r="AH4909">
        <v>0.60362247089873999</v>
      </c>
      <c r="AI4909">
        <v>106.031780265954</v>
      </c>
      <c r="AJ4909">
        <v>79.206981632868093</v>
      </c>
      <c r="AK4909">
        <v>0.63935830265086302</v>
      </c>
      <c r="AL4909">
        <v>83.782217439148795</v>
      </c>
      <c r="AM4909">
        <v>83.725691838121904</v>
      </c>
      <c r="AN4909">
        <v>1.00000000550109</v>
      </c>
    </row>
    <row r="4910" spans="1:40" x14ac:dyDescent="0.25">
      <c r="A4910" t="str">
        <f>"20190312151634928"</f>
        <v>20190312151634928</v>
      </c>
      <c r="B4910" t="str">
        <f>"1552374994923069"</f>
        <v>1552374994923069</v>
      </c>
      <c r="C4910" t="s">
        <v>40</v>
      </c>
      <c r="D4910">
        <v>4.8302100000000001</v>
      </c>
      <c r="E4910">
        <v>0.51564350000000003</v>
      </c>
      <c r="F4910" t="s">
        <v>41</v>
      </c>
      <c r="G4910">
        <v>-359.68349999999998</v>
      </c>
      <c r="H4910">
        <v>0.91023549999999998</v>
      </c>
      <c r="I4910">
        <v>16.699470000000002</v>
      </c>
      <c r="J4910">
        <v>-360.39400000000001</v>
      </c>
      <c r="K4910">
        <v>1.110166</v>
      </c>
      <c r="L4910">
        <v>16.833469999999998</v>
      </c>
      <c r="M4910">
        <v>0.99992610000000004</v>
      </c>
      <c r="N4910">
        <v>0</v>
      </c>
      <c r="O4910">
        <v>8.5077709999999997E-4</v>
      </c>
      <c r="P4910">
        <v>0.9893786</v>
      </c>
      <c r="Q4910">
        <v>9.6955449999999999E-2</v>
      </c>
      <c r="R4910">
        <v>-0.1083045</v>
      </c>
      <c r="S4910">
        <v>3.049347</v>
      </c>
      <c r="T4910">
        <v>-0.71140490000000001</v>
      </c>
      <c r="U4910">
        <v>-0.47470089999999998</v>
      </c>
      <c r="V4910">
        <v>0.10913109999999999</v>
      </c>
      <c r="W4910">
        <v>0.1089701</v>
      </c>
      <c r="X4910">
        <v>0.98803640000000004</v>
      </c>
      <c r="Y4910">
        <v>0.1506866</v>
      </c>
      <c r="Z4910">
        <v>-1.743944E-2</v>
      </c>
      <c r="AA4910">
        <v>0.98842779999999997</v>
      </c>
      <c r="AB4910">
        <v>25</v>
      </c>
      <c r="AC4910">
        <v>0.710500000000024</v>
      </c>
      <c r="AD4910">
        <v>-0.19993050000000001</v>
      </c>
      <c r="AE4910">
        <v>-0.13400000000000001</v>
      </c>
      <c r="AF4910">
        <v>0.125043303904606</v>
      </c>
      <c r="AG4910">
        <v>-0.19993050000000001</v>
      </c>
      <c r="AH4910">
        <v>0.65992590536413698</v>
      </c>
      <c r="AI4910">
        <v>106.57630230845901</v>
      </c>
      <c r="AJ4910">
        <v>79.270745835248604</v>
      </c>
      <c r="AK4910">
        <v>0.70079257505506298</v>
      </c>
      <c r="AL4910">
        <v>83.744050260919906</v>
      </c>
      <c r="AM4910">
        <v>83.697085843929102</v>
      </c>
      <c r="AN4910">
        <v>1.0000000037030801</v>
      </c>
    </row>
    <row r="4911" spans="1:40" x14ac:dyDescent="0.25">
      <c r="A4911" t="str">
        <f>"20190312151634947"</f>
        <v>20190312151634947</v>
      </c>
      <c r="B4911" t="str">
        <f>"1552374994942588"</f>
        <v>1552374994942588</v>
      </c>
      <c r="C4911" t="s">
        <v>40</v>
      </c>
      <c r="D4911">
        <v>4.7006880000000004</v>
      </c>
      <c r="E4911">
        <v>0.5153643</v>
      </c>
      <c r="F4911" t="s">
        <v>41</v>
      </c>
      <c r="G4911">
        <v>-359.67579999999998</v>
      </c>
      <c r="H4911">
        <v>0.92986539999999995</v>
      </c>
      <c r="I4911">
        <v>16.723179999999999</v>
      </c>
      <c r="J4911">
        <v>-360.1986</v>
      </c>
      <c r="K4911">
        <v>1.1101620000000001</v>
      </c>
      <c r="L4911">
        <v>16.83371</v>
      </c>
      <c r="M4911">
        <v>0.99992590000000003</v>
      </c>
      <c r="N4911">
        <v>0</v>
      </c>
      <c r="O4911">
        <v>9.325542E-4</v>
      </c>
      <c r="P4911">
        <v>0.98919789999999996</v>
      </c>
      <c r="Q4911">
        <v>9.7775849999999997E-2</v>
      </c>
      <c r="R4911">
        <v>-0.10921409999999999</v>
      </c>
      <c r="S4911">
        <v>3.0561829999999999</v>
      </c>
      <c r="T4911">
        <v>-0.76725069999999995</v>
      </c>
      <c r="U4911">
        <v>-0.46771239999999997</v>
      </c>
      <c r="V4911">
        <v>0.11012189999999999</v>
      </c>
      <c r="W4911">
        <v>0.10980289999999999</v>
      </c>
      <c r="X4911">
        <v>0.98783430000000005</v>
      </c>
      <c r="Y4911">
        <v>0.1476905</v>
      </c>
      <c r="Z4911">
        <v>-1.838383E-2</v>
      </c>
      <c r="AA4911">
        <v>0.98886280000000004</v>
      </c>
      <c r="AB4911">
        <v>25</v>
      </c>
      <c r="AC4911">
        <v>0.52280000000001703</v>
      </c>
      <c r="AD4911">
        <v>-0.1802966</v>
      </c>
      <c r="AE4911">
        <v>-0.11053</v>
      </c>
      <c r="AF4911">
        <v>9.9670555177049494E-2</v>
      </c>
      <c r="AG4911">
        <v>-0.1802966</v>
      </c>
      <c r="AH4911">
        <v>0.469272470624579</v>
      </c>
      <c r="AI4911">
        <v>110.59728237273001</v>
      </c>
      <c r="AJ4911">
        <v>78.008923679277501</v>
      </c>
      <c r="AK4911">
        <v>0.51250144899986105</v>
      </c>
      <c r="AL4911">
        <v>83.696046613839599</v>
      </c>
      <c r="AM4911">
        <v>83.639038080364003</v>
      </c>
      <c r="AN4911">
        <v>1.00000005698225</v>
      </c>
    </row>
    <row r="4912" spans="1:40" x14ac:dyDescent="0.25">
      <c r="A4912" t="str">
        <f>"20190312151634958"</f>
        <v>20190312151634958</v>
      </c>
      <c r="B4912" t="str">
        <f>"1552374994952348"</f>
        <v>1552374994952348</v>
      </c>
      <c r="C4912" t="s">
        <v>40</v>
      </c>
      <c r="D4912">
        <v>4.7429550000000003</v>
      </c>
      <c r="E4912">
        <v>0.51537739999999999</v>
      </c>
      <c r="F4912" t="s">
        <v>41</v>
      </c>
      <c r="G4912">
        <v>-359.46120000000002</v>
      </c>
      <c r="H4912">
        <v>0.91875410000000002</v>
      </c>
      <c r="I4912">
        <v>16.720289999999999</v>
      </c>
      <c r="J4912">
        <v>-360.07470000000001</v>
      </c>
      <c r="K4912">
        <v>1.1101620000000001</v>
      </c>
      <c r="L4912">
        <v>16.83389</v>
      </c>
      <c r="M4912">
        <v>0.99992559999999997</v>
      </c>
      <c r="N4912">
        <v>0</v>
      </c>
      <c r="O4912">
        <v>9.8434799999999991E-4</v>
      </c>
      <c r="P4912">
        <v>0.98907809999999896</v>
      </c>
      <c r="Q4912">
        <v>9.8104150000000001E-2</v>
      </c>
      <c r="R4912">
        <v>-0.11000169999999999</v>
      </c>
      <c r="S4912">
        <v>3.059418</v>
      </c>
      <c r="T4912">
        <v>-0.79412780000000005</v>
      </c>
      <c r="U4912">
        <v>-0.46960449999999998</v>
      </c>
      <c r="V4912">
        <v>0.1109605</v>
      </c>
      <c r="W4912">
        <v>0.1101385</v>
      </c>
      <c r="X4912">
        <v>0.987703</v>
      </c>
      <c r="Y4912">
        <v>0.14786949999999999</v>
      </c>
      <c r="Z4912">
        <v>-1.902357E-2</v>
      </c>
      <c r="AA4912">
        <v>0.98882389999999998</v>
      </c>
      <c r="AB4912">
        <v>25</v>
      </c>
      <c r="AC4912">
        <v>0.61349999999998694</v>
      </c>
      <c r="AD4912">
        <v>-0.19140789999999999</v>
      </c>
      <c r="AE4912">
        <v>-0.11360000000000101</v>
      </c>
      <c r="AF4912">
        <v>0.104380340881045</v>
      </c>
      <c r="AG4912">
        <v>-0.19140789999999999</v>
      </c>
      <c r="AH4912">
        <v>0.56062570947670098</v>
      </c>
      <c r="AI4912">
        <v>108.554339900104</v>
      </c>
      <c r="AJ4912">
        <v>79.453123105809993</v>
      </c>
      <c r="AK4912">
        <v>0.60152591454658699</v>
      </c>
      <c r="AL4912">
        <v>83.676700256921805</v>
      </c>
      <c r="AM4912">
        <v>83.590154761053</v>
      </c>
      <c r="AN4912">
        <v>0.99999996897574905</v>
      </c>
    </row>
    <row r="4913" spans="1:40" x14ac:dyDescent="0.25">
      <c r="A4913" t="str">
        <f>"20190312151634969"</f>
        <v>20190312151634969</v>
      </c>
      <c r="B4913" t="str">
        <f>"1552374994963084"</f>
        <v>1552374994963084</v>
      </c>
      <c r="C4913" t="s">
        <v>40</v>
      </c>
      <c r="D4913">
        <v>4.7028030000000003</v>
      </c>
      <c r="E4913">
        <v>0.5152814</v>
      </c>
      <c r="F4913" t="s">
        <v>41</v>
      </c>
      <c r="G4913">
        <v>-359.25139999999999</v>
      </c>
      <c r="H4913">
        <v>0.89397260000000001</v>
      </c>
      <c r="I4913">
        <v>16.706320000000002</v>
      </c>
      <c r="J4913">
        <v>-359.94600000000003</v>
      </c>
      <c r="K4913">
        <v>1.1101639999999999</v>
      </c>
      <c r="L4913">
        <v>16.83408</v>
      </c>
      <c r="M4913">
        <v>0.99992550000000002</v>
      </c>
      <c r="N4913">
        <v>0</v>
      </c>
      <c r="O4913">
        <v>1.0378780000000001E-3</v>
      </c>
      <c r="P4913">
        <v>0.9889848</v>
      </c>
      <c r="Q4913">
        <v>9.8252980000000004E-2</v>
      </c>
      <c r="R4913">
        <v>-0.1107056</v>
      </c>
      <c r="S4913">
        <v>3.0602719999999999</v>
      </c>
      <c r="T4913">
        <v>-0.80367219999999995</v>
      </c>
      <c r="U4913">
        <v>-0.47280879999999997</v>
      </c>
      <c r="V4913">
        <v>0.11171730000000001</v>
      </c>
      <c r="W4913">
        <v>0.1102944</v>
      </c>
      <c r="X4913">
        <v>0.98760029999999999</v>
      </c>
      <c r="Y4913">
        <v>0.1487503</v>
      </c>
      <c r="Z4913">
        <v>-1.936512E-2</v>
      </c>
      <c r="AA4913">
        <v>0.98868509999999998</v>
      </c>
      <c r="AB4913">
        <v>25</v>
      </c>
      <c r="AC4913">
        <v>0.69459999999997901</v>
      </c>
      <c r="AD4913">
        <v>-0.21619139999999901</v>
      </c>
      <c r="AE4913">
        <v>-0.12775999999999799</v>
      </c>
      <c r="AF4913">
        <v>0.117473200672095</v>
      </c>
      <c r="AG4913">
        <v>-0.21619139999999901</v>
      </c>
      <c r="AH4913">
        <v>0.63496805105342702</v>
      </c>
      <c r="AI4913">
        <v>108.510270776325</v>
      </c>
      <c r="AJ4913">
        <v>79.518423159729196</v>
      </c>
      <c r="AK4913">
        <v>0.68097217282991396</v>
      </c>
      <c r="AL4913">
        <v>83.667713168841303</v>
      </c>
      <c r="AM4913">
        <v>83.546138911977707</v>
      </c>
      <c r="AN4913">
        <v>0.99999998117536903</v>
      </c>
    </row>
    <row r="4914" spans="1:40" x14ac:dyDescent="0.25">
      <c r="A4914" t="str">
        <f>"20190312151634982"</f>
        <v>20190312151634982</v>
      </c>
      <c r="B4914" t="str">
        <f>"1552374994972844"</f>
        <v>1552374994972844</v>
      </c>
      <c r="C4914" t="s">
        <v>40</v>
      </c>
      <c r="D4914">
        <v>4.7253040000000004</v>
      </c>
      <c r="E4914">
        <v>0.51521799999999995</v>
      </c>
      <c r="F4914" t="s">
        <v>41</v>
      </c>
      <c r="G4914">
        <v>-359.2398</v>
      </c>
      <c r="H4914">
        <v>0.92263779999999995</v>
      </c>
      <c r="I4914">
        <v>16.724150000000002</v>
      </c>
      <c r="J4914">
        <v>-359.81569999999999</v>
      </c>
      <c r="K4914">
        <v>1.110166</v>
      </c>
      <c r="L4914">
        <v>16.83426</v>
      </c>
      <c r="M4914">
        <v>0.99992530000000002</v>
      </c>
      <c r="N4914">
        <v>0</v>
      </c>
      <c r="O4914">
        <v>1.0919479999999999E-3</v>
      </c>
      <c r="P4914">
        <v>0.98890330000000004</v>
      </c>
      <c r="Q4914">
        <v>9.8556039999999998E-2</v>
      </c>
      <c r="R4914">
        <v>-0.111161999999999</v>
      </c>
      <c r="S4914">
        <v>3.0610050000000002</v>
      </c>
      <c r="T4914">
        <v>-0.81282319999999997</v>
      </c>
      <c r="U4914">
        <v>-0.47479250000000001</v>
      </c>
      <c r="V4914">
        <v>0.1122272</v>
      </c>
      <c r="W4914">
        <v>0.1106048</v>
      </c>
      <c r="X4914">
        <v>0.98750780000000005</v>
      </c>
      <c r="Y4914">
        <v>0.1492656</v>
      </c>
      <c r="Z4914">
        <v>-1.9653899999999998E-2</v>
      </c>
      <c r="AA4914">
        <v>0.98860179999999998</v>
      </c>
      <c r="AB4914">
        <v>25</v>
      </c>
      <c r="AC4914">
        <v>0.57589999999998998</v>
      </c>
      <c r="AD4914">
        <v>-0.18752819999999901</v>
      </c>
      <c r="AE4914">
        <v>-0.110109999999998</v>
      </c>
      <c r="AF4914">
        <v>0.100462242465746</v>
      </c>
      <c r="AG4914">
        <v>-0.18752819999999901</v>
      </c>
      <c r="AH4914">
        <v>0.52234694045657903</v>
      </c>
      <c r="AI4914">
        <v>109.420080249769</v>
      </c>
      <c r="AJ4914">
        <v>79.1133191567274</v>
      </c>
      <c r="AK4914">
        <v>0.564008700430087</v>
      </c>
      <c r="AL4914">
        <v>83.649819265341804</v>
      </c>
      <c r="AM4914">
        <v>83.5163303260465</v>
      </c>
      <c r="AN4914">
        <v>1.0000000106318601</v>
      </c>
    </row>
    <row r="4915" spans="1:40" x14ac:dyDescent="0.25">
      <c r="A4915" t="str">
        <f>"20190312151634995"</f>
        <v>20190312151634995</v>
      </c>
      <c r="B4915" t="str">
        <f>"1552374994983580"</f>
        <v>1552374994983580</v>
      </c>
      <c r="C4915" t="s">
        <v>40</v>
      </c>
      <c r="D4915">
        <v>4.6960540000000002</v>
      </c>
      <c r="E4915">
        <v>0.51521799999999995</v>
      </c>
      <c r="F4915" t="s">
        <v>41</v>
      </c>
      <c r="G4915">
        <v>-359.02929999999998</v>
      </c>
      <c r="H4915">
        <v>0.90033850000000004</v>
      </c>
      <c r="I4915">
        <v>16.711749999999999</v>
      </c>
      <c r="J4915">
        <v>-359.66820000000001</v>
      </c>
      <c r="K4915">
        <v>1.1101700000000001</v>
      </c>
      <c r="L4915">
        <v>16.834499999999998</v>
      </c>
      <c r="M4915">
        <v>0.99992510000000001</v>
      </c>
      <c r="N4915">
        <v>0</v>
      </c>
      <c r="O4915">
        <v>1.1528619999999999E-3</v>
      </c>
      <c r="P4915">
        <v>0.98881719999999895</v>
      </c>
      <c r="Q4915">
        <v>9.8564310000000002E-2</v>
      </c>
      <c r="R4915">
        <v>-0.1119203</v>
      </c>
      <c r="S4915">
        <v>3.0615230000000002</v>
      </c>
      <c r="T4915">
        <v>-0.81695660000000003</v>
      </c>
      <c r="U4915">
        <v>-0.47631839999999998</v>
      </c>
      <c r="V4915">
        <v>0.1130454</v>
      </c>
      <c r="W4915">
        <v>0.1106219</v>
      </c>
      <c r="X4915">
        <v>0.98741259999999997</v>
      </c>
      <c r="Y4915">
        <v>0.14971519999999999</v>
      </c>
      <c r="Z4915">
        <v>-1.9821120000000001E-2</v>
      </c>
      <c r="AA4915">
        <v>0.98853049999999998</v>
      </c>
      <c r="AB4915">
        <v>25</v>
      </c>
      <c r="AC4915">
        <v>0.638900000000035</v>
      </c>
      <c r="AD4915">
        <v>-0.2098315</v>
      </c>
      <c r="AE4915">
        <v>-0.122749999999999</v>
      </c>
      <c r="AF4915">
        <v>0.111851320233618</v>
      </c>
      <c r="AG4915">
        <v>-0.2098315</v>
      </c>
      <c r="AH4915">
        <v>0.57857263851419904</v>
      </c>
      <c r="AI4915">
        <v>109.59969698985201</v>
      </c>
      <c r="AJ4915">
        <v>79.058392758460698</v>
      </c>
      <c r="AK4915">
        <v>0.62552879571410203</v>
      </c>
      <c r="AL4915">
        <v>83.648833740632995</v>
      </c>
      <c r="AM4915">
        <v>83.468843376417595</v>
      </c>
      <c r="AN4915">
        <v>1.0000000549297601</v>
      </c>
    </row>
    <row r="4916" spans="1:40" x14ac:dyDescent="0.25">
      <c r="A4916" t="str">
        <f>"20190312151635013"</f>
        <v>20190312151635013</v>
      </c>
      <c r="B4916" t="str">
        <f>"1552374995003099"</f>
        <v>1552374995003099</v>
      </c>
      <c r="C4916" t="s">
        <v>40</v>
      </c>
      <c r="D4916">
        <v>4.7516870000000004</v>
      </c>
      <c r="E4916">
        <v>0.51769019999999999</v>
      </c>
      <c r="F4916" t="s">
        <v>41</v>
      </c>
      <c r="G4916">
        <v>-358.81659999999999</v>
      </c>
      <c r="H4916">
        <v>0.88292979999999999</v>
      </c>
      <c r="I4916">
        <v>16.700810000000001</v>
      </c>
      <c r="J4916">
        <v>-359.464</v>
      </c>
      <c r="K4916">
        <v>1.1101719999999999</v>
      </c>
      <c r="L4916">
        <v>16.834810000000001</v>
      </c>
      <c r="M4916">
        <v>0.99992479999999995</v>
      </c>
      <c r="N4916">
        <v>0</v>
      </c>
      <c r="O4916">
        <v>1.2361339999999901E-3</v>
      </c>
      <c r="P4916">
        <v>0.98871229999999999</v>
      </c>
      <c r="Q4916">
        <v>9.8634620000000006E-2</v>
      </c>
      <c r="R4916">
        <v>-0.1127814</v>
      </c>
      <c r="S4916">
        <v>3.0611570000000001</v>
      </c>
      <c r="T4916">
        <v>-0.81692919999999902</v>
      </c>
      <c r="U4916">
        <v>-0.47906490000000002</v>
      </c>
      <c r="V4916">
        <v>0.1139889</v>
      </c>
      <c r="W4916">
        <v>0.1107076</v>
      </c>
      <c r="X4916">
        <v>0.98729449999999996</v>
      </c>
      <c r="Y4916">
        <v>0.15064649999999999</v>
      </c>
      <c r="Z4916">
        <v>-1.9964599999999999E-2</v>
      </c>
      <c r="AA4916">
        <v>0.98838610000000005</v>
      </c>
      <c r="AB4916">
        <v>25</v>
      </c>
      <c r="AC4916">
        <v>0.64740000000000397</v>
      </c>
      <c r="AD4916">
        <v>-0.22724219999999901</v>
      </c>
      <c r="AE4916">
        <v>-0.13400000000000001</v>
      </c>
      <c r="AF4916">
        <v>0.12055705196576399</v>
      </c>
      <c r="AG4916">
        <v>-0.22724219999999901</v>
      </c>
      <c r="AH4916">
        <v>0.578846229111731</v>
      </c>
      <c r="AI4916">
        <v>111.02330414638701</v>
      </c>
      <c r="AJ4916">
        <v>78.235117954262293</v>
      </c>
      <c r="AK4916">
        <v>0.63343190415102002</v>
      </c>
      <c r="AL4916">
        <v>83.643893024839599</v>
      </c>
      <c r="AM4916">
        <v>83.414029031185905</v>
      </c>
      <c r="AN4916">
        <v>1.0000000358756</v>
      </c>
    </row>
    <row r="4917" spans="1:40" x14ac:dyDescent="0.25">
      <c r="A4917" t="str">
        <f>"20190312151635025"</f>
        <v>20190312151635025</v>
      </c>
      <c r="B4917" t="str">
        <f>"1552374995012860"</f>
        <v>1552374995012860</v>
      </c>
      <c r="C4917" t="s">
        <v>40</v>
      </c>
      <c r="D4917">
        <v>4.7354940000000001</v>
      </c>
      <c r="E4917">
        <v>0.51731850000000001</v>
      </c>
      <c r="F4917" t="s">
        <v>41</v>
      </c>
      <c r="G4917">
        <v>-358.62439999999998</v>
      </c>
      <c r="H4917">
        <v>0.81762279999999998</v>
      </c>
      <c r="I4917">
        <v>16.696539999999999</v>
      </c>
      <c r="J4917">
        <v>-359.33510000000001</v>
      </c>
      <c r="K4917">
        <v>1.1101730000000001</v>
      </c>
      <c r="L4917">
        <v>16.835049999999999</v>
      </c>
      <c r="M4917">
        <v>0.9999247</v>
      </c>
      <c r="N4917">
        <v>0</v>
      </c>
      <c r="O4917">
        <v>1.2881559999999999E-3</v>
      </c>
      <c r="P4917">
        <v>0.98870199999999997</v>
      </c>
      <c r="Q4917">
        <v>9.8496249999999994E-2</v>
      </c>
      <c r="R4917">
        <v>-0.11299190000000001</v>
      </c>
      <c r="S4917">
        <v>3.0835270000000001</v>
      </c>
      <c r="T4917">
        <v>-1.0744450000000001</v>
      </c>
      <c r="U4917">
        <v>-0.50775150000000002</v>
      </c>
      <c r="V4917">
        <v>0.1142509</v>
      </c>
      <c r="W4917">
        <v>0.1105806</v>
      </c>
      <c r="X4917">
        <v>0.9872784</v>
      </c>
      <c r="Y4917">
        <v>0.15478140000000001</v>
      </c>
      <c r="Z4917">
        <v>-2.6466679999999999E-2</v>
      </c>
      <c r="AA4917">
        <v>0.98759419999999998</v>
      </c>
      <c r="AB4917">
        <v>25</v>
      </c>
      <c r="AC4917">
        <v>0.71070000000003097</v>
      </c>
      <c r="AD4917">
        <v>-0.29255019999999898</v>
      </c>
      <c r="AE4917">
        <v>-0.13850999999999999</v>
      </c>
      <c r="AF4917">
        <v>0.119859130855773</v>
      </c>
      <c r="AG4917">
        <v>-0.29255019999999898</v>
      </c>
      <c r="AH4917">
        <v>0.61080978453754398</v>
      </c>
      <c r="AI4917">
        <v>115.173119056798</v>
      </c>
      <c r="AJ4917">
        <v>78.897921113238496</v>
      </c>
      <c r="AK4917">
        <v>0.68777934227217197</v>
      </c>
      <c r="AL4917">
        <v>83.651214237943407</v>
      </c>
      <c r="AM4917">
        <v>83.398918125716307</v>
      </c>
      <c r="AN4917">
        <v>0.99999998817686397</v>
      </c>
    </row>
    <row r="4918" spans="1:40" x14ac:dyDescent="0.25">
      <c r="A4918" t="str">
        <f>"20190312151635037"</f>
        <v>20190312151635037</v>
      </c>
      <c r="B4918" t="str">
        <f>"1552374995022620"</f>
        <v>1552374995022620</v>
      </c>
      <c r="C4918" t="s">
        <v>40</v>
      </c>
      <c r="D4918">
        <v>4.726502</v>
      </c>
      <c r="E4918">
        <v>0.51725059999999901</v>
      </c>
      <c r="F4918" t="s">
        <v>41</v>
      </c>
      <c r="G4918">
        <v>-358.61040000000003</v>
      </c>
      <c r="H4918">
        <v>0.85352299999999903</v>
      </c>
      <c r="I4918">
        <v>16.716079999999899</v>
      </c>
      <c r="J4918">
        <v>-359.20519999999999</v>
      </c>
      <c r="K4918">
        <v>1.1101730000000001</v>
      </c>
      <c r="L4918">
        <v>16.835270000000001</v>
      </c>
      <c r="M4918">
        <v>0.99992440000000005</v>
      </c>
      <c r="N4918">
        <v>0</v>
      </c>
      <c r="O4918">
        <v>1.340482E-3</v>
      </c>
      <c r="P4918">
        <v>0.98872409999999999</v>
      </c>
      <c r="Q4918">
        <v>9.8334009999999999E-2</v>
      </c>
      <c r="R4918">
        <v>-0.11293839999999999</v>
      </c>
      <c r="S4918">
        <v>3.0852659999999998</v>
      </c>
      <c r="T4918">
        <v>-1.092595</v>
      </c>
      <c r="U4918">
        <v>-0.5063782</v>
      </c>
      <c r="V4918">
        <v>0.1142492</v>
      </c>
      <c r="W4918">
        <v>0.1104295</v>
      </c>
      <c r="X4918">
        <v>0.98729549999999999</v>
      </c>
      <c r="Y4918">
        <v>0.15406719999999999</v>
      </c>
      <c r="Z4918">
        <v>-2.6771389999999999E-2</v>
      </c>
      <c r="AA4918">
        <v>0.98769759999999995</v>
      </c>
      <c r="AB4918">
        <v>25</v>
      </c>
      <c r="AC4918">
        <v>0.59479999999996302</v>
      </c>
      <c r="AD4918">
        <v>-0.25664999999999899</v>
      </c>
      <c r="AE4918">
        <v>-0.119190000000003</v>
      </c>
      <c r="AF4918">
        <v>0.10177074421093101</v>
      </c>
      <c r="AG4918">
        <v>-0.25664999999999899</v>
      </c>
      <c r="AH4918">
        <v>0.50436119051563599</v>
      </c>
      <c r="AI4918">
        <v>116.51039477480001</v>
      </c>
      <c r="AJ4918">
        <v>78.591956124110396</v>
      </c>
      <c r="AK4918">
        <v>0.57498410184595194</v>
      </c>
      <c r="AL4918">
        <v>83.659924921869404</v>
      </c>
      <c r="AM4918">
        <v>83.399128800267704</v>
      </c>
      <c r="AN4918">
        <v>0.99999997924556905</v>
      </c>
    </row>
    <row r="4919" spans="1:40" x14ac:dyDescent="0.25">
      <c r="A4919" t="str">
        <f>"20190312151635048"</f>
        <v>20190312151635048</v>
      </c>
      <c r="B4919" t="str">
        <f>"1552374995043116"</f>
        <v>1552374995043116</v>
      </c>
      <c r="C4919" t="s">
        <v>40</v>
      </c>
      <c r="D4919">
        <v>4.722296</v>
      </c>
      <c r="E4919">
        <v>0.51709419999999995</v>
      </c>
      <c r="F4919" t="s">
        <v>41</v>
      </c>
      <c r="G4919">
        <v>-358.40219999999999</v>
      </c>
      <c r="H4919">
        <v>0.8248626</v>
      </c>
      <c r="I4919">
        <v>16.703209999999999</v>
      </c>
      <c r="J4919">
        <v>-359.07130000000001</v>
      </c>
      <c r="K4919">
        <v>1.1101730000000001</v>
      </c>
      <c r="L4919">
        <v>16.835509999999999</v>
      </c>
      <c r="M4919">
        <v>0.99992429999999999</v>
      </c>
      <c r="N4919">
        <v>0</v>
      </c>
      <c r="O4919">
        <v>1.3938310000000001E-3</v>
      </c>
      <c r="P4919">
        <v>0.98876280000000005</v>
      </c>
      <c r="Q4919">
        <v>9.7933829999999999E-2</v>
      </c>
      <c r="R4919">
        <v>-0.11295040000000001</v>
      </c>
      <c r="S4919">
        <v>3.0854490000000001</v>
      </c>
      <c r="T4919">
        <v>-1.096374</v>
      </c>
      <c r="U4919">
        <v>-0.50643919999999998</v>
      </c>
      <c r="V4919">
        <v>0.11431379999999999</v>
      </c>
      <c r="W4919">
        <v>0.1100394</v>
      </c>
      <c r="X4919">
        <v>0.98733159999999998</v>
      </c>
      <c r="Y4919">
        <v>0.15406539999999999</v>
      </c>
      <c r="Z4919">
        <v>-2.687519E-2</v>
      </c>
      <c r="AA4919">
        <v>0.98769510000000005</v>
      </c>
      <c r="AB4919">
        <v>25</v>
      </c>
      <c r="AC4919">
        <v>0.66910000000001402</v>
      </c>
      <c r="AD4919">
        <v>-0.28531039999999902</v>
      </c>
      <c r="AE4919">
        <v>-0.132299999999997</v>
      </c>
      <c r="AF4919">
        <v>0.11339099275575</v>
      </c>
      <c r="AG4919">
        <v>-0.28531039999999902</v>
      </c>
      <c r="AH4919">
        <v>0.56929726452534002</v>
      </c>
      <c r="AI4919">
        <v>116.174477538007</v>
      </c>
      <c r="AJ4919">
        <v>78.735408567116096</v>
      </c>
      <c r="AK4919">
        <v>0.64680670758916003</v>
      </c>
      <c r="AL4919">
        <v>83.682413197967804</v>
      </c>
      <c r="AM4919">
        <v>83.395668781576603</v>
      </c>
      <c r="AN4919">
        <v>1.00000000139068</v>
      </c>
    </row>
    <row r="4920" spans="1:40" x14ac:dyDescent="0.25">
      <c r="A4920" t="str">
        <f>"20190312151635060"</f>
        <v>20190312151635060</v>
      </c>
      <c r="B4920" t="str">
        <f>"1552374995052877"</f>
        <v>1552374995052877</v>
      </c>
      <c r="C4920" t="s">
        <v>40</v>
      </c>
      <c r="D4920">
        <v>4.724933</v>
      </c>
      <c r="E4920">
        <v>0.51698259999999996</v>
      </c>
      <c r="F4920" t="s">
        <v>41</v>
      </c>
      <c r="G4920">
        <v>-358.38659999999999</v>
      </c>
      <c r="H4920">
        <v>0.86464409999999903</v>
      </c>
      <c r="I4920">
        <v>16.723020000000002</v>
      </c>
      <c r="J4920">
        <v>-358.94409999999999</v>
      </c>
      <c r="K4920">
        <v>1.1101730000000001</v>
      </c>
      <c r="L4920">
        <v>16.83578</v>
      </c>
      <c r="M4920">
        <v>0.99992400000000004</v>
      </c>
      <c r="N4920">
        <v>0</v>
      </c>
      <c r="O4920">
        <v>1.4453350000000001E-3</v>
      </c>
      <c r="P4920">
        <v>0.9888074</v>
      </c>
      <c r="Q4920">
        <v>9.7548629999999997E-2</v>
      </c>
      <c r="R4920">
        <v>-0.1128898</v>
      </c>
      <c r="S4920">
        <v>3.0859070000000002</v>
      </c>
      <c r="T4920">
        <v>-1.1066290000000001</v>
      </c>
      <c r="U4920">
        <v>-0.50576779999999999</v>
      </c>
      <c r="V4920">
        <v>0.1143043</v>
      </c>
      <c r="W4920">
        <v>0.1096636</v>
      </c>
      <c r="X4920">
        <v>0.98737450000000004</v>
      </c>
      <c r="Y4920">
        <v>0.15373339999999999</v>
      </c>
      <c r="Z4920">
        <v>-2.7069269999999999E-2</v>
      </c>
      <c r="AA4920">
        <v>0.98774150000000005</v>
      </c>
      <c r="AB4920">
        <v>25</v>
      </c>
      <c r="AC4920">
        <v>0.55750000000000399</v>
      </c>
      <c r="AD4920">
        <v>-0.245528899999999</v>
      </c>
      <c r="AE4920">
        <v>-0.112759999999997</v>
      </c>
      <c r="AF4920">
        <v>9.5727917307885504E-2</v>
      </c>
      <c r="AG4920">
        <v>-0.245528899999999</v>
      </c>
      <c r="AH4920">
        <v>0.46979543737797003</v>
      </c>
      <c r="AI4920">
        <v>117.117263867483</v>
      </c>
      <c r="AJ4920">
        <v>78.482790906460195</v>
      </c>
      <c r="AK4920">
        <v>0.53866132947193601</v>
      </c>
      <c r="AL4920">
        <v>83.704075987856498</v>
      </c>
      <c r="AM4920">
        <v>83.396497174548699</v>
      </c>
      <c r="AN4920">
        <v>0.99999999070684997</v>
      </c>
    </row>
    <row r="4921" spans="1:40" x14ac:dyDescent="0.25">
      <c r="A4921" t="str">
        <f>"20190312151635071"</f>
        <v>20190312151635071</v>
      </c>
      <c r="B4921" t="str">
        <f>"1552374995062635"</f>
        <v>1552374995062635</v>
      </c>
      <c r="C4921" t="s">
        <v>40</v>
      </c>
      <c r="D4921">
        <v>4.7134169999999997</v>
      </c>
      <c r="E4921">
        <v>0.51704879999999998</v>
      </c>
      <c r="F4921" t="s">
        <v>41</v>
      </c>
      <c r="G4921">
        <v>-358.17880000000002</v>
      </c>
      <c r="H4921">
        <v>0.83510180000000001</v>
      </c>
      <c r="I4921">
        <v>16.710439999999998</v>
      </c>
      <c r="J4921">
        <v>-358.83109999999999</v>
      </c>
      <c r="K4921">
        <v>1.1101700000000001</v>
      </c>
      <c r="L4921">
        <v>16.83597</v>
      </c>
      <c r="M4921">
        <v>0.99992380000000003</v>
      </c>
      <c r="N4921">
        <v>0</v>
      </c>
      <c r="O4921">
        <v>1.491242E-3</v>
      </c>
      <c r="P4921">
        <v>0.98883829999999995</v>
      </c>
      <c r="Q4921">
        <v>9.7396659999999996E-2</v>
      </c>
      <c r="R4921">
        <v>-0.112751</v>
      </c>
      <c r="S4921">
        <v>3.0856629999999998</v>
      </c>
      <c r="T4921">
        <v>-1.1091420000000001</v>
      </c>
      <c r="U4921">
        <v>-0.50531009999999998</v>
      </c>
      <c r="V4921">
        <v>0.1142109</v>
      </c>
      <c r="W4921">
        <v>0.10952000000000001</v>
      </c>
      <c r="X4921">
        <v>0.98740119999999998</v>
      </c>
      <c r="Y4921">
        <v>0.15360989999999999</v>
      </c>
      <c r="Z4921">
        <v>-2.7123979999999999E-2</v>
      </c>
      <c r="AA4921">
        <v>0.98775919999999895</v>
      </c>
      <c r="AB4921">
        <v>25</v>
      </c>
      <c r="AC4921">
        <v>0.65229999999996802</v>
      </c>
      <c r="AD4921">
        <v>-0.27506819999999998</v>
      </c>
      <c r="AE4921">
        <v>-0.125530000000001</v>
      </c>
      <c r="AF4921">
        <v>0.10798608794503101</v>
      </c>
      <c r="AG4921">
        <v>-0.27506819999999998</v>
      </c>
      <c r="AH4921">
        <v>0.55666042825017803</v>
      </c>
      <c r="AI4921">
        <v>115.877874659185</v>
      </c>
      <c r="AJ4921">
        <v>79.021596920472206</v>
      </c>
      <c r="AK4921">
        <v>0.630233561642494</v>
      </c>
      <c r="AL4921">
        <v>83.712353231065507</v>
      </c>
      <c r="AM4921">
        <v>83.402022256976593</v>
      </c>
      <c r="AN4921">
        <v>0.99999994492012301</v>
      </c>
    </row>
    <row r="4922" spans="1:40" x14ac:dyDescent="0.25">
      <c r="A4922" t="str">
        <f>"20190312151635082"</f>
        <v>20190312151635082</v>
      </c>
      <c r="B4922" t="str">
        <f>"1552374995072397"</f>
        <v>1552374995072397</v>
      </c>
      <c r="C4922" t="s">
        <v>40</v>
      </c>
      <c r="D4922">
        <v>4.6745960000000002</v>
      </c>
      <c r="E4922">
        <v>0.51703920000000003</v>
      </c>
      <c r="F4922" t="s">
        <v>41</v>
      </c>
      <c r="G4922">
        <v>-358.16489999999999</v>
      </c>
      <c r="H4922">
        <v>0.87056520000000004</v>
      </c>
      <c r="I4922">
        <v>16.726790000000001</v>
      </c>
      <c r="J4922">
        <v>-358.71480000000003</v>
      </c>
      <c r="K4922">
        <v>1.1101240000000001</v>
      </c>
      <c r="L4922">
        <v>16.836210000000001</v>
      </c>
      <c r="M4922">
        <v>0.99992579999999998</v>
      </c>
      <c r="N4922">
        <v>0</v>
      </c>
      <c r="O4922">
        <v>1.5422280000000001E-3</v>
      </c>
      <c r="P4922">
        <v>0.98889039999999995</v>
      </c>
      <c r="Q4922">
        <v>9.7141619999999998E-2</v>
      </c>
      <c r="R4922">
        <v>-0.1125155</v>
      </c>
      <c r="S4922">
        <v>3.0855709999999998</v>
      </c>
      <c r="T4922">
        <v>-1.1097109999999999</v>
      </c>
      <c r="U4922">
        <v>-0.50552370000000002</v>
      </c>
      <c r="V4922">
        <v>0.1140263</v>
      </c>
      <c r="W4922">
        <v>0.1091114</v>
      </c>
      <c r="X4922">
        <v>0.98746780000000001</v>
      </c>
      <c r="Y4922">
        <v>0.15371219999999999</v>
      </c>
      <c r="Z4922">
        <v>-2.7173099999999999E-2</v>
      </c>
      <c r="AA4922">
        <v>0.98774189999999995</v>
      </c>
      <c r="AB4922">
        <v>25</v>
      </c>
      <c r="AC4922">
        <v>0.54990000000003603</v>
      </c>
      <c r="AD4922">
        <v>-0.23955879999999899</v>
      </c>
      <c r="AE4922">
        <v>-0.10942</v>
      </c>
      <c r="AF4922">
        <v>9.3245577975812705E-2</v>
      </c>
      <c r="AG4922">
        <v>-0.23955879999999899</v>
      </c>
      <c r="AH4922">
        <v>0.464866911274808</v>
      </c>
      <c r="AI4922">
        <v>116.805800208031</v>
      </c>
      <c r="AJ4922">
        <v>78.6578128260482</v>
      </c>
      <c r="AK4922">
        <v>0.53121031773457095</v>
      </c>
      <c r="AL4922">
        <v>83.735905625989901</v>
      </c>
      <c r="AM4922">
        <v>83.413033201471094</v>
      </c>
      <c r="AN4922">
        <v>0.99999997536924401</v>
      </c>
    </row>
    <row r="4923" spans="1:40" x14ac:dyDescent="0.25">
      <c r="A4923" t="str">
        <f>"20190312151635091"</f>
        <v>20190312151635091</v>
      </c>
      <c r="B4923" t="str">
        <f>"1552374995083132"</f>
        <v>1552374995083132</v>
      </c>
      <c r="C4923" t="s">
        <v>40</v>
      </c>
      <c r="D4923">
        <v>4.6980510000000004</v>
      </c>
      <c r="E4923">
        <v>0.51698049999999995</v>
      </c>
      <c r="F4923" t="s">
        <v>41</v>
      </c>
      <c r="G4923">
        <v>-357.9572</v>
      </c>
      <c r="H4923">
        <v>0.83744359999999995</v>
      </c>
      <c r="I4923">
        <v>16.711960000000001</v>
      </c>
      <c r="J4923">
        <v>-358.60469999999998</v>
      </c>
      <c r="K4923">
        <v>1.1100719999999999</v>
      </c>
      <c r="L4923">
        <v>16.83643</v>
      </c>
      <c r="M4923">
        <v>0.99992780000000003</v>
      </c>
      <c r="N4923">
        <v>0</v>
      </c>
      <c r="O4923">
        <v>1.590862E-3</v>
      </c>
      <c r="P4923">
        <v>0.98891850000000003</v>
      </c>
      <c r="Q4923">
        <v>9.7258430000000007E-2</v>
      </c>
      <c r="R4923">
        <v>-0.1121674</v>
      </c>
      <c r="S4923">
        <v>3.085388</v>
      </c>
      <c r="T4923">
        <v>-1.1105229999999999</v>
      </c>
      <c r="U4923">
        <v>-0.5046387</v>
      </c>
      <c r="V4923">
        <v>0.1137266</v>
      </c>
      <c r="W4923">
        <v>0.1090569</v>
      </c>
      <c r="X4923">
        <v>0.98750839999999995</v>
      </c>
      <c r="Y4923">
        <v>0.15348909999999999</v>
      </c>
      <c r="Z4923">
        <v>-2.7172100000000001E-2</v>
      </c>
      <c r="AA4923">
        <v>0.98777669999999995</v>
      </c>
      <c r="AB4923">
        <v>25</v>
      </c>
      <c r="AC4923">
        <v>0.64749999999997898</v>
      </c>
      <c r="AD4923">
        <v>-0.27262839999999999</v>
      </c>
      <c r="AE4923">
        <v>-0.124469999999998</v>
      </c>
      <c r="AF4923">
        <v>0.10717668966864299</v>
      </c>
      <c r="AG4923">
        <v>-0.27262839999999999</v>
      </c>
      <c r="AH4923">
        <v>0.55279358886143404</v>
      </c>
      <c r="AI4923">
        <v>115.834732961995</v>
      </c>
      <c r="AJ4923">
        <v>79.027517777866194</v>
      </c>
      <c r="AK4923">
        <v>0.62561476899222301</v>
      </c>
      <c r="AL4923">
        <v>83.739047106239994</v>
      </c>
      <c r="AM4923">
        <v>83.430462192839101</v>
      </c>
      <c r="AN4923">
        <v>0.99999999352786495</v>
      </c>
    </row>
    <row r="4924" spans="1:40" x14ac:dyDescent="0.25">
      <c r="A4924" t="str">
        <f>"20190312151635104"</f>
        <v>20190312151635104</v>
      </c>
      <c r="B4924" t="str">
        <f>"1552374995092891"</f>
        <v>1552374995092891</v>
      </c>
      <c r="C4924" t="s">
        <v>40</v>
      </c>
      <c r="D4924">
        <v>4.7034510000000003</v>
      </c>
      <c r="E4924">
        <v>0.5168703</v>
      </c>
      <c r="F4924" t="s">
        <v>41</v>
      </c>
      <c r="G4924">
        <v>-357.9436</v>
      </c>
      <c r="H4924">
        <v>0.87211689999999997</v>
      </c>
      <c r="I4924">
        <v>16.728349999999999</v>
      </c>
      <c r="J4924">
        <v>-358.47460000000001</v>
      </c>
      <c r="K4924">
        <v>1.1100209999999999</v>
      </c>
      <c r="L4924">
        <v>16.8367</v>
      </c>
      <c r="M4924">
        <v>0.99992769999999997</v>
      </c>
      <c r="N4924">
        <v>0</v>
      </c>
      <c r="O4924">
        <v>1.6474969999999999E-3</v>
      </c>
      <c r="P4924">
        <v>0.98894590000000004</v>
      </c>
      <c r="Q4924">
        <v>9.7107100000000002E-2</v>
      </c>
      <c r="R4924">
        <v>-0.112055</v>
      </c>
      <c r="S4924">
        <v>3.085785</v>
      </c>
      <c r="T4924">
        <v>-1.110595</v>
      </c>
      <c r="U4924">
        <v>-0.50280760000000002</v>
      </c>
      <c r="V4924">
        <v>0.11367089999999901</v>
      </c>
      <c r="W4924">
        <v>0.108899</v>
      </c>
      <c r="X4924">
        <v>0.98753230000000003</v>
      </c>
      <c r="Y4924">
        <v>0.15298149999999999</v>
      </c>
      <c r="Z4924">
        <v>-2.710328E-2</v>
      </c>
      <c r="AA4924">
        <v>0.98785730000000005</v>
      </c>
      <c r="AB4924">
        <v>25</v>
      </c>
      <c r="AC4924">
        <v>0.53100000000000502</v>
      </c>
      <c r="AD4924">
        <v>-0.23790409999999901</v>
      </c>
      <c r="AE4924">
        <v>-0.108350000000001</v>
      </c>
      <c r="AF4924">
        <v>9.1577127605494801E-2</v>
      </c>
      <c r="AG4924">
        <v>-0.23790409999999901</v>
      </c>
      <c r="AH4924">
        <v>0.44505523494645099</v>
      </c>
      <c r="AI4924">
        <v>117.635674352923</v>
      </c>
      <c r="AJ4924">
        <v>78.372774916017704</v>
      </c>
      <c r="AK4924">
        <v>0.51289267225270796</v>
      </c>
      <c r="AL4924">
        <v>83.748148698669496</v>
      </c>
      <c r="AM4924">
        <v>83.433809185468803</v>
      </c>
      <c r="AN4924">
        <v>1.0000000546255401</v>
      </c>
    </row>
    <row r="4925" spans="1:40" x14ac:dyDescent="0.25">
      <c r="A4925" t="str">
        <f>"20190312151635116"</f>
        <v>20190312151635116</v>
      </c>
      <c r="B4925" t="str">
        <f>"1552374995102652"</f>
        <v>1552374995102652</v>
      </c>
      <c r="C4925" t="s">
        <v>40</v>
      </c>
      <c r="D4925">
        <v>4.674258</v>
      </c>
      <c r="E4925">
        <v>0.51683919999999905</v>
      </c>
      <c r="F4925" t="s">
        <v>41</v>
      </c>
      <c r="G4925">
        <v>-357.7353</v>
      </c>
      <c r="H4925">
        <v>0.84374699999999903</v>
      </c>
      <c r="I4925">
        <v>16.71649</v>
      </c>
      <c r="J4925">
        <v>-358.34010000000001</v>
      </c>
      <c r="K4925">
        <v>1.1099760000000001</v>
      </c>
      <c r="L4925">
        <v>16.836980000000001</v>
      </c>
      <c r="M4925">
        <v>0.99992700000000001</v>
      </c>
      <c r="N4925">
        <v>0</v>
      </c>
      <c r="O4925">
        <v>1.7057109999999999E-3</v>
      </c>
      <c r="P4925">
        <v>0.98901799999999995</v>
      </c>
      <c r="Q4925">
        <v>9.6823510000000002E-2</v>
      </c>
      <c r="R4925">
        <v>-0.1116629</v>
      </c>
      <c r="S4925">
        <v>3.0858759999999998</v>
      </c>
      <c r="T4925">
        <v>-1.111486</v>
      </c>
      <c r="U4925">
        <v>-0.50137330000000002</v>
      </c>
      <c r="V4925">
        <v>0.1133369</v>
      </c>
      <c r="W4925">
        <v>0.1086549</v>
      </c>
      <c r="X4925">
        <v>0.98759750000000002</v>
      </c>
      <c r="Y4925">
        <v>0.15259220000000001</v>
      </c>
      <c r="Z4925">
        <v>-2.7076570000000001E-2</v>
      </c>
      <c r="AA4925">
        <v>0.98791830000000003</v>
      </c>
      <c r="AB4925">
        <v>25</v>
      </c>
      <c r="AC4925">
        <v>0.604800000000011</v>
      </c>
      <c r="AD4925">
        <v>-0.26622899999999999</v>
      </c>
      <c r="AE4925">
        <v>-0.12049</v>
      </c>
      <c r="AF4925">
        <v>0.102431103155309</v>
      </c>
      <c r="AG4925">
        <v>-0.26622899999999999</v>
      </c>
      <c r="AH4925">
        <v>0.50961501802667797</v>
      </c>
      <c r="AI4925">
        <v>117.120102961849</v>
      </c>
      <c r="AJ4925">
        <v>78.635149806971</v>
      </c>
      <c r="AK4925">
        <v>0.58401838835172404</v>
      </c>
      <c r="AL4925">
        <v>83.7622176224192</v>
      </c>
      <c r="AM4925">
        <v>83.453363396427605</v>
      </c>
      <c r="AN4925">
        <v>0.99999998110093402</v>
      </c>
    </row>
    <row r="4926" spans="1:40" x14ac:dyDescent="0.25">
      <c r="A4926" t="str">
        <f>"20190312151635129"</f>
        <v>20190312151635129</v>
      </c>
      <c r="B4926" t="str">
        <f>"1552374995123148"</f>
        <v>1552374995123148</v>
      </c>
      <c r="C4926" t="s">
        <v>40</v>
      </c>
      <c r="D4926">
        <v>4.7007339999999997</v>
      </c>
      <c r="E4926">
        <v>0.51662059999999999</v>
      </c>
      <c r="F4926" t="s">
        <v>41</v>
      </c>
      <c r="G4926">
        <v>-357.52730000000003</v>
      </c>
      <c r="H4926">
        <v>0.81683909999999904</v>
      </c>
      <c r="I4926">
        <v>16.70513</v>
      </c>
      <c r="J4926">
        <v>-358.19549999999998</v>
      </c>
      <c r="K4926">
        <v>1.109939</v>
      </c>
      <c r="L4926">
        <v>16.837250000000001</v>
      </c>
      <c r="M4926">
        <v>0.99992550000000002</v>
      </c>
      <c r="N4926">
        <v>0</v>
      </c>
      <c r="O4926">
        <v>1.767762E-3</v>
      </c>
      <c r="P4926">
        <v>0.98904990000000004</v>
      </c>
      <c r="Q4926">
        <v>9.6602320000000005E-2</v>
      </c>
      <c r="R4926">
        <v>-0.1115739</v>
      </c>
      <c r="S4926">
        <v>3.0858759999999998</v>
      </c>
      <c r="T4926">
        <v>-1.1129849999999999</v>
      </c>
      <c r="U4926">
        <v>-0.49960329999999997</v>
      </c>
      <c r="V4926">
        <v>0.1133093</v>
      </c>
      <c r="W4926">
        <v>0.108559199999999</v>
      </c>
      <c r="X4926">
        <v>0.98761120000000002</v>
      </c>
      <c r="Y4926">
        <v>0.15210170000000001</v>
      </c>
      <c r="Z4926">
        <v>-2.704844E-2</v>
      </c>
      <c r="AA4926">
        <v>0.9879947</v>
      </c>
      <c r="AB4926">
        <v>25</v>
      </c>
      <c r="AC4926">
        <v>0.66819999999995605</v>
      </c>
      <c r="AD4926">
        <v>-0.29309990000000002</v>
      </c>
      <c r="AE4926">
        <v>-0.13211999999999999</v>
      </c>
      <c r="AF4926">
        <v>0.112474550068588</v>
      </c>
      <c r="AG4926">
        <v>-0.29309990000000002</v>
      </c>
      <c r="AH4926">
        <v>0.56360455228886697</v>
      </c>
      <c r="AI4926">
        <v>117.021090490319</v>
      </c>
      <c r="AJ4926">
        <v>78.714151168119102</v>
      </c>
      <c r="AK4926">
        <v>0.64514197441638799</v>
      </c>
      <c r="AL4926">
        <v>83.767733510966494</v>
      </c>
      <c r="AM4926">
        <v>83.455033814583302</v>
      </c>
      <c r="AN4926">
        <v>0.99999998986828498</v>
      </c>
    </row>
    <row r="4927" spans="1:40" x14ac:dyDescent="0.25">
      <c r="A4927" t="str">
        <f>"20190312151635147"</f>
        <v>20190312151635147</v>
      </c>
      <c r="B4927" t="str">
        <f>"1552374995142669"</f>
        <v>1552374995142669</v>
      </c>
      <c r="C4927" t="s">
        <v>40</v>
      </c>
      <c r="D4927">
        <v>4.6671769999999997</v>
      </c>
      <c r="E4927">
        <v>0.51641139999999996</v>
      </c>
      <c r="F4927" t="s">
        <v>41</v>
      </c>
      <c r="G4927">
        <v>-357.50959999999998</v>
      </c>
      <c r="H4927">
        <v>0.86203129999999994</v>
      </c>
      <c r="I4927">
        <v>16.726469999999999</v>
      </c>
      <c r="J4927">
        <v>-358.00130000000001</v>
      </c>
      <c r="K4927">
        <v>1.1098749999999999</v>
      </c>
      <c r="L4927">
        <v>16.837679999999999</v>
      </c>
      <c r="M4927">
        <v>0.99992409999999998</v>
      </c>
      <c r="N4927">
        <v>0</v>
      </c>
      <c r="O4927">
        <v>1.8496649999999999E-3</v>
      </c>
      <c r="P4927">
        <v>0.98908189999999996</v>
      </c>
      <c r="Q4927">
        <v>9.6637639999999997E-2</v>
      </c>
      <c r="R4927">
        <v>-0.1112582</v>
      </c>
      <c r="S4927">
        <v>3.0861209999999999</v>
      </c>
      <c r="T4927">
        <v>-1.11538</v>
      </c>
      <c r="U4927">
        <v>-0.49722290000000002</v>
      </c>
      <c r="V4927">
        <v>0.11307490000000001</v>
      </c>
      <c r="W4927">
        <v>0.10869239999999999</v>
      </c>
      <c r="X4927">
        <v>0.98762349999999999</v>
      </c>
      <c r="Y4927">
        <v>0.151424799999999</v>
      </c>
      <c r="Z4927">
        <v>-2.701338E-2</v>
      </c>
      <c r="AA4927">
        <v>0.98809959999999997</v>
      </c>
      <c r="AB4927">
        <v>25</v>
      </c>
      <c r="AC4927">
        <v>0.491700000000037</v>
      </c>
      <c r="AD4927">
        <v>-0.247843699999999</v>
      </c>
      <c r="AE4927">
        <v>-0.11120999999999601</v>
      </c>
      <c r="AF4927">
        <v>9.0294560228272494E-2</v>
      </c>
      <c r="AG4927">
        <v>-0.247843699999999</v>
      </c>
      <c r="AH4927">
        <v>0.39582089316263303</v>
      </c>
      <c r="AI4927">
        <v>121.402754542826</v>
      </c>
      <c r="AJ4927">
        <v>77.149595606815396</v>
      </c>
      <c r="AK4927">
        <v>0.47566142023562502</v>
      </c>
      <c r="AL4927">
        <v>83.760056813561107</v>
      </c>
      <c r="AM4927">
        <v>83.468536743474999</v>
      </c>
      <c r="AN4927">
        <v>1.0000000742899999</v>
      </c>
    </row>
    <row r="4928" spans="1:40" x14ac:dyDescent="0.25">
      <c r="A4928" t="str">
        <f>"20190312151635158"</f>
        <v>20190312151635158</v>
      </c>
      <c r="B4928" t="str">
        <f>"1552374995152428"</f>
        <v>1552374995152428</v>
      </c>
      <c r="C4928" t="s">
        <v>40</v>
      </c>
      <c r="D4928">
        <v>4.6764559999999999</v>
      </c>
      <c r="E4928">
        <v>0.51635390000000003</v>
      </c>
      <c r="F4928" t="s">
        <v>41</v>
      </c>
      <c r="G4928">
        <v>-357.29410000000001</v>
      </c>
      <c r="H4928">
        <v>0.8542206</v>
      </c>
      <c r="I4928">
        <v>16.724319999999999</v>
      </c>
      <c r="J4928">
        <v>-357.87439999999998</v>
      </c>
      <c r="K4928">
        <v>1.109829</v>
      </c>
      <c r="L4928">
        <v>16.837979999999899</v>
      </c>
      <c r="M4928">
        <v>0.99992380000000003</v>
      </c>
      <c r="N4928">
        <v>0</v>
      </c>
      <c r="O4928">
        <v>1.9029279999999999E-3</v>
      </c>
      <c r="P4928">
        <v>0.9890873</v>
      </c>
      <c r="Q4928">
        <v>9.6678810000000004E-2</v>
      </c>
      <c r="R4928">
        <v>-0.11117539999999999</v>
      </c>
      <c r="S4928">
        <v>3.0865480000000001</v>
      </c>
      <c r="T4928">
        <v>-1.1158570000000001</v>
      </c>
      <c r="U4928">
        <v>-0.49398799999999998</v>
      </c>
      <c r="V4928">
        <v>0.1130442</v>
      </c>
      <c r="W4928">
        <v>0.1087597</v>
      </c>
      <c r="X4928">
        <v>0.98761949999999998</v>
      </c>
      <c r="Y4928">
        <v>0.15049319999999999</v>
      </c>
      <c r="Z4928">
        <v>-2.6879130000000001E-2</v>
      </c>
      <c r="AA4928">
        <v>0.9882455</v>
      </c>
      <c r="AB4928">
        <v>24</v>
      </c>
      <c r="AC4928">
        <v>0.58029999999996495</v>
      </c>
      <c r="AD4928">
        <v>-0.25560840000000001</v>
      </c>
      <c r="AE4928">
        <v>-0.113659999999995</v>
      </c>
      <c r="AF4928">
        <v>9.6696318361669101E-2</v>
      </c>
      <c r="AG4928">
        <v>-0.25560840000000001</v>
      </c>
      <c r="AH4928">
        <v>0.48875766922629599</v>
      </c>
      <c r="AI4928">
        <v>117.159265790098</v>
      </c>
      <c r="AJ4928">
        <v>78.809059204239801</v>
      </c>
      <c r="AK4928">
        <v>0.55997311664291805</v>
      </c>
      <c r="AL4928">
        <v>83.756177159315996</v>
      </c>
      <c r="AM4928">
        <v>83.470268510786298</v>
      </c>
      <c r="AN4928">
        <v>0.999999970138989</v>
      </c>
    </row>
    <row r="4929" spans="1:40" x14ac:dyDescent="0.25">
      <c r="A4929" t="str">
        <f>"20190312151635169"</f>
        <v>20190312151635169</v>
      </c>
      <c r="B4929" t="str">
        <f>"1552374995163164"</f>
        <v>1552374995163164</v>
      </c>
      <c r="C4929" t="s">
        <v>40</v>
      </c>
      <c r="D4929">
        <v>4.6547369999999999</v>
      </c>
      <c r="E4929">
        <v>0.51630339999999997</v>
      </c>
      <c r="F4929" t="s">
        <v>41</v>
      </c>
      <c r="G4929">
        <v>-357.08699999999999</v>
      </c>
      <c r="H4929">
        <v>0.82507659999999905</v>
      </c>
      <c r="I4929">
        <v>16.711779999999901</v>
      </c>
      <c r="J4929">
        <v>-357.74650000000003</v>
      </c>
      <c r="K4929">
        <v>1.1097790000000001</v>
      </c>
      <c r="L4929">
        <v>16.838290000000001</v>
      </c>
      <c r="M4929">
        <v>0.99992360000000002</v>
      </c>
      <c r="N4929">
        <v>0</v>
      </c>
      <c r="O4929">
        <v>1.9565440000000002E-3</v>
      </c>
      <c r="P4929">
        <v>0.98906970000000005</v>
      </c>
      <c r="Q4929">
        <v>9.6722379999999997E-2</v>
      </c>
      <c r="R4929">
        <v>-0.1112921</v>
      </c>
      <c r="S4929">
        <v>3.0868229999999999</v>
      </c>
      <c r="T4929">
        <v>-1.1162729999999901</v>
      </c>
      <c r="U4929">
        <v>-0.49310300000000001</v>
      </c>
      <c r="V4929">
        <v>0.1132136</v>
      </c>
      <c r="W4929">
        <v>0.10880190000000001</v>
      </c>
      <c r="X4929">
        <v>0.98759549999999996</v>
      </c>
      <c r="Y4929">
        <v>0.15026139999999999</v>
      </c>
      <c r="Z4929">
        <v>-2.6865170000000001E-2</v>
      </c>
      <c r="AA4929">
        <v>0.98828119999999997</v>
      </c>
      <c r="AB4929">
        <v>24</v>
      </c>
      <c r="AC4929">
        <v>0.65950000000003595</v>
      </c>
      <c r="AD4929">
        <v>-0.28470240000000002</v>
      </c>
      <c r="AE4929">
        <v>-0.12651000000000301</v>
      </c>
      <c r="AF4929">
        <v>0.10832859009210299</v>
      </c>
      <c r="AG4929">
        <v>-0.28470240000000002</v>
      </c>
      <c r="AH4929">
        <v>0.55880785485102002</v>
      </c>
      <c r="AI4929">
        <v>116.572848736084</v>
      </c>
      <c r="AJ4929">
        <v>79.028916754367799</v>
      </c>
      <c r="AK4929">
        <v>0.63644069530499203</v>
      </c>
      <c r="AL4929">
        <v>83.753745169535904</v>
      </c>
      <c r="AM4929">
        <v>83.460410672241494</v>
      </c>
      <c r="AN4929">
        <v>1.0000000221444001</v>
      </c>
    </row>
    <row r="4930" spans="1:40" x14ac:dyDescent="0.25">
      <c r="A4930" t="str">
        <f>"20190312151635181"</f>
        <v>20190312151635181</v>
      </c>
      <c r="B4930" t="str">
        <f>"1552374995172924"</f>
        <v>1552374995172924</v>
      </c>
      <c r="C4930" t="s">
        <v>40</v>
      </c>
      <c r="D4930">
        <v>4.6463229999999998</v>
      </c>
      <c r="E4930">
        <v>0.51616790000000001</v>
      </c>
      <c r="F4930" t="s">
        <v>41</v>
      </c>
      <c r="G4930">
        <v>-357.07100000000003</v>
      </c>
      <c r="H4930">
        <v>0.86557079999999997</v>
      </c>
      <c r="I4930">
        <v>16.7301</v>
      </c>
      <c r="J4930">
        <v>-357.63150000000002</v>
      </c>
      <c r="K4930">
        <v>1.109745</v>
      </c>
      <c r="L4930">
        <v>16.838529999999999</v>
      </c>
      <c r="M4930">
        <v>0.99992380000000003</v>
      </c>
      <c r="N4930">
        <v>0</v>
      </c>
      <c r="O4930">
        <v>2.00359E-3</v>
      </c>
      <c r="P4930">
        <v>0.98902080000000003</v>
      </c>
      <c r="Q4930">
        <v>9.6846450000000001E-2</v>
      </c>
      <c r="R4930">
        <v>-0.1116201</v>
      </c>
      <c r="S4930">
        <v>3.0868530000000001</v>
      </c>
      <c r="T4930">
        <v>-1.1160289999999999</v>
      </c>
      <c r="U4930">
        <v>-0.49255369999999998</v>
      </c>
      <c r="V4930">
        <v>0.1135877</v>
      </c>
      <c r="W4930">
        <v>0.1089152</v>
      </c>
      <c r="X4930">
        <v>0.98754010000000003</v>
      </c>
      <c r="Y4930">
        <v>0.1501431</v>
      </c>
      <c r="Z4930">
        <v>-2.6855529999999999E-2</v>
      </c>
      <c r="AA4930">
        <v>0.9882995</v>
      </c>
      <c r="AB4930">
        <v>24</v>
      </c>
      <c r="AC4930">
        <v>0.56050000000004696</v>
      </c>
      <c r="AD4930">
        <v>-0.24417419999999901</v>
      </c>
      <c r="AE4930">
        <v>-0.108429999999998</v>
      </c>
      <c r="AF4930">
        <v>9.2611226196452803E-2</v>
      </c>
      <c r="AG4930">
        <v>-0.24417419999999901</v>
      </c>
      <c r="AH4930">
        <v>0.47363764314287399</v>
      </c>
      <c r="AI4930">
        <v>116.837055754574</v>
      </c>
      <c r="AJ4930">
        <v>78.936439595418406</v>
      </c>
      <c r="AK4930">
        <v>0.540860884299453</v>
      </c>
      <c r="AL4930">
        <v>83.747215035471996</v>
      </c>
      <c r="AM4930">
        <v>83.438624675792497</v>
      </c>
      <c r="AN4930">
        <v>1.0000000677451599</v>
      </c>
    </row>
    <row r="4931" spans="1:40" x14ac:dyDescent="0.25">
      <c r="A4931" t="str">
        <f>"20190312151635192"</f>
        <v>20190312151635192</v>
      </c>
      <c r="B4931" t="str">
        <f>"1552374995182684"</f>
        <v>1552374995182684</v>
      </c>
      <c r="C4931" t="s">
        <v>40</v>
      </c>
      <c r="D4931">
        <v>4.6716309999999996</v>
      </c>
      <c r="E4931">
        <v>0.51609300000000002</v>
      </c>
      <c r="F4931" t="s">
        <v>41</v>
      </c>
      <c r="G4931">
        <v>-356.86520000000002</v>
      </c>
      <c r="H4931">
        <v>0.83292639999999996</v>
      </c>
      <c r="I4931">
        <v>16.716159999999999</v>
      </c>
      <c r="J4931">
        <v>-357.50909999999999</v>
      </c>
      <c r="K4931">
        <v>1.10971</v>
      </c>
      <c r="L4931">
        <v>16.838840000000001</v>
      </c>
      <c r="M4931">
        <v>0.99992369999999997</v>
      </c>
      <c r="N4931">
        <v>0</v>
      </c>
      <c r="O4931">
        <v>2.053877E-3</v>
      </c>
      <c r="P4931">
        <v>0.98891719999999905</v>
      </c>
      <c r="Q4931">
        <v>9.7472340000000005E-2</v>
      </c>
      <c r="R4931">
        <v>-0.1119918</v>
      </c>
      <c r="S4931">
        <v>3.0869140000000002</v>
      </c>
      <c r="T4931">
        <v>-1.115102</v>
      </c>
      <c r="U4931">
        <v>-0.49237059999999999</v>
      </c>
      <c r="V4931">
        <v>0.114008399999999</v>
      </c>
      <c r="W4931">
        <v>0.1095261</v>
      </c>
      <c r="X4931">
        <v>0.98742399999999997</v>
      </c>
      <c r="Y4931">
        <v>0.15014479999999999</v>
      </c>
      <c r="Z4931">
        <v>-2.6851940000000001E-2</v>
      </c>
      <c r="AA4931">
        <v>0.98829929999999999</v>
      </c>
      <c r="AB4931">
        <v>24</v>
      </c>
      <c r="AC4931">
        <v>0.64389999999997305</v>
      </c>
      <c r="AD4931">
        <v>-0.27678359999999902</v>
      </c>
      <c r="AE4931">
        <v>-0.122679999999999</v>
      </c>
      <c r="AF4931">
        <v>0.105238083462336</v>
      </c>
      <c r="AG4931">
        <v>-0.27678359999999902</v>
      </c>
      <c r="AH4931">
        <v>0.54624892796956204</v>
      </c>
      <c r="AI4931">
        <v>116.452604373185</v>
      </c>
      <c r="AJ4931">
        <v>79.095234403154606</v>
      </c>
      <c r="AK4931">
        <v>0.62134700992897796</v>
      </c>
      <c r="AL4931">
        <v>83.712002078056301</v>
      </c>
      <c r="AM4931">
        <v>83.413768575876105</v>
      </c>
      <c r="AN4931">
        <v>1.00000001881388</v>
      </c>
    </row>
    <row r="4932" spans="1:40" x14ac:dyDescent="0.25">
      <c r="A4932" t="str">
        <f>"20190312151635203"</f>
        <v>20190312151635203</v>
      </c>
      <c r="B4932" t="str">
        <f>"1552374995192444"</f>
        <v>1552374995192444</v>
      </c>
      <c r="C4932" t="s">
        <v>40</v>
      </c>
      <c r="D4932">
        <v>4.6632040000000003</v>
      </c>
      <c r="E4932">
        <v>0.51604779999999995</v>
      </c>
      <c r="F4932" t="s">
        <v>41</v>
      </c>
      <c r="G4932">
        <v>-356.84980000000002</v>
      </c>
      <c r="H4932">
        <v>0.87186409999999903</v>
      </c>
      <c r="I4932">
        <v>16.73349</v>
      </c>
      <c r="J4932">
        <v>-357.39019999999999</v>
      </c>
      <c r="K4932">
        <v>1.1096919999999999</v>
      </c>
      <c r="L4932">
        <v>16.83914</v>
      </c>
      <c r="M4932">
        <v>0.99992389999999998</v>
      </c>
      <c r="N4932">
        <v>0</v>
      </c>
      <c r="O4932">
        <v>2.1026299999999999E-3</v>
      </c>
      <c r="P4932">
        <v>0.9887958</v>
      </c>
      <c r="Q4932">
        <v>9.7961690000000004E-2</v>
      </c>
      <c r="R4932">
        <v>-0.1126361</v>
      </c>
      <c r="S4932">
        <v>3.0876459999999999</v>
      </c>
      <c r="T4932">
        <v>-1.1138920000000001</v>
      </c>
      <c r="U4932">
        <v>-0.49273679999999997</v>
      </c>
      <c r="V4932">
        <v>0.1147005</v>
      </c>
      <c r="W4932">
        <v>0.10999630000000001</v>
      </c>
      <c r="X4932">
        <v>0.98729160000000005</v>
      </c>
      <c r="Y4932">
        <v>0.15028339999999901</v>
      </c>
      <c r="Z4932">
        <v>-2.685941E-2</v>
      </c>
      <c r="AA4932">
        <v>0.98827799999999999</v>
      </c>
      <c r="AB4932">
        <v>24</v>
      </c>
      <c r="AC4932">
        <v>0.54039999999997601</v>
      </c>
      <c r="AD4932">
        <v>-0.23782790000000001</v>
      </c>
      <c r="AE4932">
        <v>-0.10564999999999999</v>
      </c>
      <c r="AF4932">
        <v>8.9996830674239497E-2</v>
      </c>
      <c r="AG4932">
        <v>-0.23782790000000001</v>
      </c>
      <c r="AH4932">
        <v>0.45524820968056101</v>
      </c>
      <c r="AI4932">
        <v>117.134932302097</v>
      </c>
      <c r="AJ4932">
        <v>78.817530497793896</v>
      </c>
      <c r="AK4932">
        <v>0.52145227199349098</v>
      </c>
      <c r="AL4932">
        <v>83.684898017782501</v>
      </c>
      <c r="AM4932">
        <v>83.3732599661367</v>
      </c>
      <c r="AN4932">
        <v>1.0000000470722401</v>
      </c>
    </row>
    <row r="4933" spans="1:40" x14ac:dyDescent="0.25">
      <c r="A4933" t="str">
        <f>"20190312151635214"</f>
        <v>20190312151635214</v>
      </c>
      <c r="B4933" t="str">
        <f>"1552374995203181"</f>
        <v>1552374995203181</v>
      </c>
      <c r="C4933" t="s">
        <v>40</v>
      </c>
      <c r="D4933">
        <v>4.6442839999999999</v>
      </c>
      <c r="E4933">
        <v>0.51602460000000006</v>
      </c>
      <c r="F4933" t="s">
        <v>41</v>
      </c>
      <c r="G4933">
        <v>-356.64339999999999</v>
      </c>
      <c r="H4933">
        <v>0.84077659999999999</v>
      </c>
      <c r="I4933">
        <v>16.719290000000001</v>
      </c>
      <c r="J4933">
        <v>-357.2611</v>
      </c>
      <c r="K4933">
        <v>1.1096729999999999</v>
      </c>
      <c r="L4933">
        <v>16.839449999999999</v>
      </c>
      <c r="M4933">
        <v>0.99992389999999998</v>
      </c>
      <c r="N4933">
        <v>0</v>
      </c>
      <c r="O4933">
        <v>2.155981E-3</v>
      </c>
      <c r="P4933">
        <v>0.98870590000000003</v>
      </c>
      <c r="Q4933">
        <v>9.819978E-2</v>
      </c>
      <c r="R4933">
        <v>-0.11321440000000001</v>
      </c>
      <c r="S4933">
        <v>3.0878299999999999</v>
      </c>
      <c r="T4933">
        <v>-1.111861</v>
      </c>
      <c r="U4933">
        <v>-0.49429319999999999</v>
      </c>
      <c r="V4933">
        <v>0.11533119999999999</v>
      </c>
      <c r="W4933">
        <v>0.1102143</v>
      </c>
      <c r="X4933">
        <v>0.98719380000000001</v>
      </c>
      <c r="Y4933">
        <v>0.1508121</v>
      </c>
      <c r="Z4933">
        <v>-2.692112E-2</v>
      </c>
      <c r="AA4933">
        <v>0.98819579999999996</v>
      </c>
      <c r="AB4933">
        <v>24</v>
      </c>
      <c r="AC4933">
        <v>0.61770000000001302</v>
      </c>
      <c r="AD4933">
        <v>-0.26889639999999898</v>
      </c>
      <c r="AE4933">
        <v>-0.120159999999998</v>
      </c>
      <c r="AF4933">
        <v>0.10273321349941</v>
      </c>
      <c r="AG4933">
        <v>-0.26889639999999898</v>
      </c>
      <c r="AH4933">
        <v>0.52210653788656303</v>
      </c>
      <c r="AI4933">
        <v>116.808951817462</v>
      </c>
      <c r="AJ4933">
        <v>78.868303566147901</v>
      </c>
      <c r="AK4933">
        <v>0.59620015430454898</v>
      </c>
      <c r="AL4933">
        <v>83.672331074393</v>
      </c>
      <c r="AM4933">
        <v>83.336494310702605</v>
      </c>
      <c r="AN4933">
        <v>1.00000003818818</v>
      </c>
    </row>
    <row r="4934" spans="1:40" x14ac:dyDescent="0.25">
      <c r="A4934" t="str">
        <f>"20190312151635225"</f>
        <v>20190312151635225</v>
      </c>
      <c r="B4934" t="str">
        <f>"1552374995212940"</f>
        <v>1552374995212940</v>
      </c>
      <c r="C4934" t="s">
        <v>40</v>
      </c>
      <c r="D4934">
        <v>4.6326159999999996</v>
      </c>
      <c r="E4934">
        <v>0.51602460000000006</v>
      </c>
      <c r="F4934" t="s">
        <v>41</v>
      </c>
      <c r="G4934">
        <v>-356.4357</v>
      </c>
      <c r="H4934">
        <v>0.81283719999999904</v>
      </c>
      <c r="I4934">
        <v>16.706600000000002</v>
      </c>
      <c r="J4934">
        <v>-357.14249999999998</v>
      </c>
      <c r="K4934">
        <v>1.109667</v>
      </c>
      <c r="L4934">
        <v>16.839749999999999</v>
      </c>
      <c r="M4934">
        <v>0.99992409999999998</v>
      </c>
      <c r="N4934">
        <v>0</v>
      </c>
      <c r="O4934">
        <v>2.2059620000000001E-3</v>
      </c>
      <c r="P4934">
        <v>0.9885988</v>
      </c>
      <c r="Q4934">
        <v>9.8516729999999997E-2</v>
      </c>
      <c r="R4934">
        <v>-0.11387170000000001</v>
      </c>
      <c r="S4934">
        <v>3.0877379999999999</v>
      </c>
      <c r="T4934">
        <v>-1.1103540000000001</v>
      </c>
      <c r="U4934">
        <v>-0.4961853</v>
      </c>
      <c r="V4934">
        <v>0.1160374</v>
      </c>
      <c r="W4934">
        <v>0.11051660000000001</v>
      </c>
      <c r="X4934">
        <v>0.98707719999999999</v>
      </c>
      <c r="Y4934">
        <v>0.15144009999999999</v>
      </c>
      <c r="Z4934">
        <v>-2.701247E-2</v>
      </c>
      <c r="AA4934">
        <v>0.98809729999999996</v>
      </c>
      <c r="AB4934">
        <v>24</v>
      </c>
      <c r="AC4934">
        <v>0.70679999999998699</v>
      </c>
      <c r="AD4934">
        <v>-0.29682979999999998</v>
      </c>
      <c r="AE4934">
        <v>-0.13314999999999699</v>
      </c>
      <c r="AF4934">
        <v>0.11510396381113799</v>
      </c>
      <c r="AG4934">
        <v>-0.29682979999999998</v>
      </c>
      <c r="AH4934">
        <v>0.60368270735875695</v>
      </c>
      <c r="AI4934">
        <v>115.780407152937</v>
      </c>
      <c r="AJ4934">
        <v>79.205006789145401</v>
      </c>
      <c r="AK4934">
        <v>0.68248784884206803</v>
      </c>
      <c r="AL4934">
        <v>83.654903844184602</v>
      </c>
      <c r="AM4934">
        <v>83.295277663805095</v>
      </c>
      <c r="AN4934">
        <v>0.99999999791707905</v>
      </c>
    </row>
    <row r="4935" spans="1:40" x14ac:dyDescent="0.25">
      <c r="A4935" t="str">
        <f>"20190312151635236"</f>
        <v>20190312151635236</v>
      </c>
      <c r="B4935" t="str">
        <f>"1552374995232460"</f>
        <v>1552374995232460</v>
      </c>
      <c r="C4935" t="s">
        <v>40</v>
      </c>
      <c r="D4935">
        <v>4.5904720000000001</v>
      </c>
      <c r="E4935">
        <v>0.51451939999999996</v>
      </c>
      <c r="F4935" t="s">
        <v>41</v>
      </c>
      <c r="G4935">
        <v>-356.42090000000002</v>
      </c>
      <c r="H4935">
        <v>0.85039129999999996</v>
      </c>
      <c r="I4935">
        <v>16.723179999999999</v>
      </c>
      <c r="J4935">
        <v>-357.02069999999998</v>
      </c>
      <c r="K4935">
        <v>1.1096629999999901</v>
      </c>
      <c r="L4935">
        <v>16.84009</v>
      </c>
      <c r="M4935">
        <v>0.99992409999999998</v>
      </c>
      <c r="N4935">
        <v>0</v>
      </c>
      <c r="O4935">
        <v>2.2570480000000002E-3</v>
      </c>
      <c r="P4935">
        <v>0.98845499999999997</v>
      </c>
      <c r="Q4935">
        <v>9.8981449999999999E-2</v>
      </c>
      <c r="R4935">
        <v>-0.1147145</v>
      </c>
      <c r="S4935">
        <v>3.0878299999999999</v>
      </c>
      <c r="T4935">
        <v>-1.109348</v>
      </c>
      <c r="U4935">
        <v>-0.49789430000000001</v>
      </c>
      <c r="V4935">
        <v>0.1169301</v>
      </c>
      <c r="W4935">
        <v>0.1109702</v>
      </c>
      <c r="X4935">
        <v>0.98692100000000005</v>
      </c>
      <c r="Y4935">
        <v>0.15199969999999999</v>
      </c>
      <c r="Z4935">
        <v>-2.71022E-2</v>
      </c>
      <c r="AA4935">
        <v>0.98800889999999997</v>
      </c>
      <c r="AB4935">
        <v>24</v>
      </c>
      <c r="AC4935">
        <v>0.59979999999995903</v>
      </c>
      <c r="AD4935">
        <v>-0.25927169999999899</v>
      </c>
      <c r="AE4935">
        <v>-0.11691</v>
      </c>
      <c r="AF4935">
        <v>0.10022228552207101</v>
      </c>
      <c r="AG4935">
        <v>-0.25927169999999899</v>
      </c>
      <c r="AH4935">
        <v>0.50807464603397701</v>
      </c>
      <c r="AI4935">
        <v>116.59505785367701</v>
      </c>
      <c r="AJ4935">
        <v>78.841155453069405</v>
      </c>
      <c r="AK4935">
        <v>0.579142613592463</v>
      </c>
      <c r="AL4935">
        <v>83.628753942608597</v>
      </c>
      <c r="AM4935">
        <v>83.243112440582493</v>
      </c>
      <c r="AN4935">
        <v>1.0000000469075201</v>
      </c>
    </row>
    <row r="4936" spans="1:40" x14ac:dyDescent="0.25">
      <c r="A4936" t="str">
        <f>"20190312151635248"</f>
        <v>20190312151635248</v>
      </c>
      <c r="B4936" t="str">
        <f>"1552374995243196"</f>
        <v>1552374995243196</v>
      </c>
      <c r="C4936" t="s">
        <v>40</v>
      </c>
      <c r="D4936">
        <v>4.6628059999999998</v>
      </c>
      <c r="E4936">
        <v>0.51996379999999998</v>
      </c>
      <c r="F4936" t="s">
        <v>41</v>
      </c>
      <c r="G4936">
        <v>-356.19900000000001</v>
      </c>
      <c r="H4936">
        <v>0.85689879999999996</v>
      </c>
      <c r="I4936">
        <v>16.70993</v>
      </c>
      <c r="J4936">
        <v>-356.89870000000002</v>
      </c>
      <c r="K4936">
        <v>1.1096680000000001</v>
      </c>
      <c r="L4936">
        <v>16.840389999999999</v>
      </c>
      <c r="M4936">
        <v>0.99992380000000003</v>
      </c>
      <c r="N4936">
        <v>0</v>
      </c>
      <c r="O4936">
        <v>2.3078980000000001E-3</v>
      </c>
      <c r="P4936">
        <v>0.9883518</v>
      </c>
      <c r="Q4936">
        <v>9.9258650000000004E-2</v>
      </c>
      <c r="R4936">
        <v>-0.1153638</v>
      </c>
      <c r="S4936">
        <v>3.0733640000000002</v>
      </c>
      <c r="T4936">
        <v>-0.94539379999999995</v>
      </c>
      <c r="U4936">
        <v>-0.48535159999999999</v>
      </c>
      <c r="V4936">
        <v>0.11762889999999999</v>
      </c>
      <c r="W4936">
        <v>0.1112474</v>
      </c>
      <c r="X4936">
        <v>0.98680670000000004</v>
      </c>
      <c r="Y4936">
        <v>0.15133199999999999</v>
      </c>
      <c r="Z4936">
        <v>-2.3308499999999999E-2</v>
      </c>
      <c r="AA4936">
        <v>0.98820819999999998</v>
      </c>
      <c r="AB4936">
        <v>24</v>
      </c>
      <c r="AC4936">
        <v>0.69970000000000698</v>
      </c>
      <c r="AD4936">
        <v>-0.25276920000000003</v>
      </c>
      <c r="AE4936">
        <v>-0.13045999999999899</v>
      </c>
      <c r="AF4936">
        <v>0.1172829123205</v>
      </c>
      <c r="AG4936">
        <v>-0.25276920000000003</v>
      </c>
      <c r="AH4936">
        <v>0.62106805846486202</v>
      </c>
      <c r="AI4936">
        <v>111.797597436118</v>
      </c>
      <c r="AJ4936">
        <v>79.306156490235693</v>
      </c>
      <c r="AK4936">
        <v>0.68071512634605902</v>
      </c>
      <c r="AL4936">
        <v>83.612772316827304</v>
      </c>
      <c r="AM4936">
        <v>83.202328560309894</v>
      </c>
      <c r="AN4936">
        <v>1.0000000026434299</v>
      </c>
    </row>
    <row r="4937" spans="1:40" x14ac:dyDescent="0.25">
      <c r="A4937" t="str">
        <f>"20190312151635258"</f>
        <v>20190312151635258</v>
      </c>
      <c r="B4937" t="str">
        <f>"1552374995252955"</f>
        <v>1552374995252955</v>
      </c>
      <c r="C4937" t="s">
        <v>40</v>
      </c>
      <c r="D4937">
        <v>4.6793440000000004</v>
      </c>
      <c r="E4937">
        <v>0.52090040000000004</v>
      </c>
      <c r="F4937" t="s">
        <v>41</v>
      </c>
      <c r="G4937">
        <v>-356.13150000000002</v>
      </c>
      <c r="H4937">
        <v>1.004848</v>
      </c>
      <c r="I4937">
        <v>16.707909999999998</v>
      </c>
      <c r="J4937">
        <v>-356.7801</v>
      </c>
      <c r="K4937">
        <v>1.1096790000000001</v>
      </c>
      <c r="L4937">
        <v>16.840729999999901</v>
      </c>
      <c r="M4937">
        <v>0.99992380000000003</v>
      </c>
      <c r="N4937">
        <v>0</v>
      </c>
      <c r="O4937">
        <v>2.35703E-3</v>
      </c>
      <c r="P4937">
        <v>0.98822960000000004</v>
      </c>
      <c r="Q4937">
        <v>9.9496100000000004E-2</v>
      </c>
      <c r="R4937">
        <v>-0.11620270000000001</v>
      </c>
      <c r="S4937">
        <v>3.0161440000000002</v>
      </c>
      <c r="T4937">
        <v>-0.41205550000000002</v>
      </c>
      <c r="U4937">
        <v>-0.51925659999999996</v>
      </c>
      <c r="V4937">
        <v>0.1185162</v>
      </c>
      <c r="W4937">
        <v>0.11149100000000001</v>
      </c>
      <c r="X4937">
        <v>0.98667309999999997</v>
      </c>
      <c r="Y4937">
        <v>0.17042660000000001</v>
      </c>
      <c r="Z4937">
        <v>-1.182252E-2</v>
      </c>
      <c r="AA4937">
        <v>0.98529949999999999</v>
      </c>
      <c r="AB4937">
        <v>24</v>
      </c>
      <c r="AC4937">
        <v>0.64859999999998696</v>
      </c>
      <c r="AD4937">
        <v>-0.10483099999999999</v>
      </c>
      <c r="AE4937">
        <v>-0.132819999999995</v>
      </c>
      <c r="AF4937">
        <v>0.13106254230571099</v>
      </c>
      <c r="AG4937">
        <v>-0.10483099999999999</v>
      </c>
      <c r="AH4937">
        <v>0.63242899667678198</v>
      </c>
      <c r="AI4937">
        <v>99.219311943584799</v>
      </c>
      <c r="AJ4937">
        <v>78.291939206388307</v>
      </c>
      <c r="AK4937">
        <v>0.65431900812542299</v>
      </c>
      <c r="AL4937">
        <v>83.598728124540798</v>
      </c>
      <c r="AM4937">
        <v>83.150618964274102</v>
      </c>
      <c r="AN4937">
        <v>1.0000000695035201</v>
      </c>
    </row>
    <row r="4938" spans="1:40" x14ac:dyDescent="0.25">
      <c r="A4938" t="str">
        <f>"20190312151635269"</f>
        <v>20190312151635269</v>
      </c>
      <c r="B4938" t="str">
        <f>"1552374995262716"</f>
        <v>1552374995262716</v>
      </c>
      <c r="C4938" t="s">
        <v>40</v>
      </c>
      <c r="D4938">
        <v>4.6855330000000004</v>
      </c>
      <c r="E4938">
        <v>0.52102999999999999</v>
      </c>
      <c r="F4938" t="s">
        <v>41</v>
      </c>
      <c r="G4938">
        <v>-355.90969999999999</v>
      </c>
      <c r="H4938">
        <v>1.010534</v>
      </c>
      <c r="I4938">
        <v>16.68797</v>
      </c>
      <c r="J4938">
        <v>-356.65570000000002</v>
      </c>
      <c r="K4938">
        <v>1.109696</v>
      </c>
      <c r="L4938">
        <v>16.841089999999902</v>
      </c>
      <c r="M4938">
        <v>0.99992340000000002</v>
      </c>
      <c r="N4938">
        <v>0</v>
      </c>
      <c r="O4938">
        <v>2.4086210000000001E-3</v>
      </c>
      <c r="P4938">
        <v>0.98814559999999996</v>
      </c>
      <c r="Q4938">
        <v>9.9503400000000006E-2</v>
      </c>
      <c r="R4938">
        <v>-0.1169089</v>
      </c>
      <c r="S4938">
        <v>3.0081790000000002</v>
      </c>
      <c r="T4938">
        <v>-0.34267189999999997</v>
      </c>
      <c r="U4938">
        <v>-0.52777099999999999</v>
      </c>
      <c r="V4938">
        <v>0.11927310000000001</v>
      </c>
      <c r="W4938">
        <v>0.11151179999999999</v>
      </c>
      <c r="X4938">
        <v>0.98657950000000005</v>
      </c>
      <c r="Y4938">
        <v>0.17407049999999999</v>
      </c>
      <c r="Z4938">
        <v>-1.007981E-2</v>
      </c>
      <c r="AA4938">
        <v>0.98468160000000005</v>
      </c>
      <c r="AB4938">
        <v>24</v>
      </c>
      <c r="AC4938">
        <v>0.74600000000003697</v>
      </c>
      <c r="AD4938">
        <v>-9.9161999999999903E-2</v>
      </c>
      <c r="AE4938">
        <v>-0.15311999999999701</v>
      </c>
      <c r="AF4938">
        <v>0.152333740039441</v>
      </c>
      <c r="AG4938">
        <v>-9.9161999999999903E-2</v>
      </c>
      <c r="AH4938">
        <v>0.73319781979157805</v>
      </c>
      <c r="AI4938">
        <v>97.543112129551503</v>
      </c>
      <c r="AJ4938">
        <v>78.262856123324994</v>
      </c>
      <c r="AK4938">
        <v>0.75539242354257696</v>
      </c>
      <c r="AL4938">
        <v>83.597528652397699</v>
      </c>
      <c r="AM4938">
        <v>83.106647471901198</v>
      </c>
      <c r="AN4938">
        <v>1.0000000318715401</v>
      </c>
    </row>
    <row r="4939" spans="1:40" x14ac:dyDescent="0.25">
      <c r="A4939" t="str">
        <f>"20190312151635281"</f>
        <v>20190312151635281</v>
      </c>
      <c r="B4939" t="str">
        <f>"1552374995272476"</f>
        <v>1552374995272476</v>
      </c>
      <c r="C4939" t="s">
        <v>40</v>
      </c>
      <c r="D4939">
        <v>4.6883540000000004</v>
      </c>
      <c r="E4939">
        <v>0.52072779999999996</v>
      </c>
      <c r="F4939" t="s">
        <v>41</v>
      </c>
      <c r="G4939">
        <v>-355.8997</v>
      </c>
      <c r="H4939">
        <v>1.032079</v>
      </c>
      <c r="I4939">
        <v>16.707639999999898</v>
      </c>
      <c r="J4939">
        <v>-356.53250000000003</v>
      </c>
      <c r="K4939">
        <v>1.109715</v>
      </c>
      <c r="L4939">
        <v>16.841429999999999</v>
      </c>
      <c r="M4939">
        <v>0.99992309999999995</v>
      </c>
      <c r="N4939">
        <v>0</v>
      </c>
      <c r="O4939">
        <v>2.4573450000000001E-3</v>
      </c>
      <c r="P4939">
        <v>0.98806479999999997</v>
      </c>
      <c r="Q4939">
        <v>9.958351E-2</v>
      </c>
      <c r="R4939">
        <v>-0.11752369999999999</v>
      </c>
      <c r="S4939">
        <v>3.0043329999999999</v>
      </c>
      <c r="T4939">
        <v>-0.30848120000000001</v>
      </c>
      <c r="U4939">
        <v>-0.53012079999999995</v>
      </c>
      <c r="V4939">
        <v>0.1199354</v>
      </c>
      <c r="W4939">
        <v>0.1116085</v>
      </c>
      <c r="X4939">
        <v>0.98648820000000004</v>
      </c>
      <c r="Y4939">
        <v>0.17528079999999999</v>
      </c>
      <c r="Z4939">
        <v>-9.1567239999999998E-3</v>
      </c>
      <c r="AA4939">
        <v>0.98447589999999996</v>
      </c>
      <c r="AB4939">
        <v>24</v>
      </c>
      <c r="AC4939">
        <v>0.632800000000031</v>
      </c>
      <c r="AD4939">
        <v>-7.7635999999999802E-2</v>
      </c>
      <c r="AE4939">
        <v>-0.13379000000000099</v>
      </c>
      <c r="AF4939">
        <v>0.13342237901493101</v>
      </c>
      <c r="AG4939">
        <v>-7.7635999999999802E-2</v>
      </c>
      <c r="AH4939">
        <v>0.62348615416640296</v>
      </c>
      <c r="AI4939">
        <v>96.942299915043805</v>
      </c>
      <c r="AJ4939">
        <v>77.921216801730097</v>
      </c>
      <c r="AK4939">
        <v>0.64231134518644095</v>
      </c>
      <c r="AL4939">
        <v>83.591952905290896</v>
      </c>
      <c r="AM4939">
        <v>83.068106138947499</v>
      </c>
      <c r="AN4939">
        <v>0.99999996309232397</v>
      </c>
    </row>
    <row r="4940" spans="1:40" x14ac:dyDescent="0.25">
      <c r="A4940" t="str">
        <f>"20190312151635291"</f>
        <v>20190312151635291</v>
      </c>
      <c r="B4940" t="str">
        <f>"1552374995283212"</f>
        <v>1552374995283212</v>
      </c>
      <c r="C4940" t="s">
        <v>40</v>
      </c>
      <c r="D4940">
        <v>4.6489729999999998</v>
      </c>
      <c r="E4940">
        <v>0.52010420000000002</v>
      </c>
      <c r="F4940" t="s">
        <v>41</v>
      </c>
      <c r="G4940">
        <v>-355.68270000000001</v>
      </c>
      <c r="H4940">
        <v>1.0264709999999999</v>
      </c>
      <c r="I4940">
        <v>16.691210000000002</v>
      </c>
      <c r="J4940">
        <v>-356.4196</v>
      </c>
      <c r="K4940">
        <v>1.1097379999999999</v>
      </c>
      <c r="L4940">
        <v>16.841799999999999</v>
      </c>
      <c r="M4940">
        <v>0.99992270000000005</v>
      </c>
      <c r="N4940">
        <v>0</v>
      </c>
      <c r="O4940">
        <v>2.501545E-3</v>
      </c>
      <c r="P4940">
        <v>0.98801859999999997</v>
      </c>
      <c r="Q4940">
        <v>9.9701010000000007E-2</v>
      </c>
      <c r="R4940">
        <v>-0.1178097</v>
      </c>
      <c r="S4940">
        <v>3.0029599999999999</v>
      </c>
      <c r="T4940">
        <v>-0.29420970000000002</v>
      </c>
      <c r="U4940">
        <v>-0.52954100000000004</v>
      </c>
      <c r="V4940">
        <v>0.12026480000000001</v>
      </c>
      <c r="W4940">
        <v>0.1117421</v>
      </c>
      <c r="X4940">
        <v>0.986433</v>
      </c>
      <c r="Y4940">
        <v>0.1752977</v>
      </c>
      <c r="Z4940">
        <v>-8.7442849999999992E-3</v>
      </c>
      <c r="AA4940">
        <v>0.98447660000000003</v>
      </c>
      <c r="AB4940">
        <v>24</v>
      </c>
      <c r="AC4940">
        <v>0.73689999999999101</v>
      </c>
      <c r="AD4940">
        <v>-8.3266999999999897E-2</v>
      </c>
      <c r="AE4940">
        <v>-0.150589999999997</v>
      </c>
      <c r="AF4940">
        <v>0.15058740502304399</v>
      </c>
      <c r="AG4940">
        <v>-8.3266999999999897E-2</v>
      </c>
      <c r="AH4940">
        <v>0.72760321307303399</v>
      </c>
      <c r="AI4940">
        <v>96.394184098625701</v>
      </c>
      <c r="AJ4940">
        <v>78.306945120447494</v>
      </c>
      <c r="AK4940">
        <v>0.74767399012857005</v>
      </c>
      <c r="AL4940">
        <v>83.584250186764905</v>
      </c>
      <c r="AM4940">
        <v>83.048868678692202</v>
      </c>
      <c r="AN4940">
        <v>0.99999999126022499</v>
      </c>
    </row>
    <row r="4941" spans="1:40" x14ac:dyDescent="0.25">
      <c r="A4941" t="str">
        <f>"20190312151635303"</f>
        <v>20190312151635303</v>
      </c>
      <c r="B4941" t="str">
        <f>"1552374995292972"</f>
        <v>1552374995292972</v>
      </c>
      <c r="C4941" t="s">
        <v>40</v>
      </c>
      <c r="D4941">
        <v>4.6466180000000001</v>
      </c>
      <c r="E4941">
        <v>0.51954069999999997</v>
      </c>
      <c r="F4941" t="s">
        <v>41</v>
      </c>
      <c r="G4941">
        <v>-355.67599999999999</v>
      </c>
      <c r="H4941">
        <v>1.038916</v>
      </c>
      <c r="I4941">
        <v>16.71125</v>
      </c>
      <c r="J4941">
        <v>-356.29259999999999</v>
      </c>
      <c r="K4941">
        <v>1.109758</v>
      </c>
      <c r="L4941">
        <v>16.84216</v>
      </c>
      <c r="M4941">
        <v>0.99992250000000005</v>
      </c>
      <c r="N4941">
        <v>0</v>
      </c>
      <c r="O4941">
        <v>2.5519570000000001E-3</v>
      </c>
      <c r="P4941">
        <v>0.98794280000000001</v>
      </c>
      <c r="Q4941">
        <v>9.9817749999999997E-2</v>
      </c>
      <c r="R4941">
        <v>-0.1183454</v>
      </c>
      <c r="S4941">
        <v>3.0025629999999999</v>
      </c>
      <c r="T4941">
        <v>-0.28603899999999999</v>
      </c>
      <c r="U4941">
        <v>-0.52557369999999903</v>
      </c>
      <c r="V4941">
        <v>0.1208502</v>
      </c>
      <c r="W4941">
        <v>0.11187809999999999</v>
      </c>
      <c r="X4941">
        <v>0.9863461</v>
      </c>
      <c r="Y4941">
        <v>0.17415710000000001</v>
      </c>
      <c r="Z4941">
        <v>-8.4555429999999994E-3</v>
      </c>
      <c r="AA4941">
        <v>0.98468149999999999</v>
      </c>
      <c r="AB4941">
        <v>24</v>
      </c>
      <c r="AC4941">
        <v>0.61660000000000503</v>
      </c>
      <c r="AD4941">
        <v>-7.0842000000000002E-2</v>
      </c>
      <c r="AE4941">
        <v>-0.13091</v>
      </c>
      <c r="AF4941">
        <v>0.130830744875197</v>
      </c>
      <c r="AG4941">
        <v>-7.0842000000000002E-2</v>
      </c>
      <c r="AH4941">
        <v>0.60857714245604699</v>
      </c>
      <c r="AI4941">
        <v>96.492660560171601</v>
      </c>
      <c r="AJ4941">
        <v>77.867320334986005</v>
      </c>
      <c r="AK4941">
        <v>0.62649933047734896</v>
      </c>
      <c r="AL4941">
        <v>83.576409200139807</v>
      </c>
      <c r="AM4941">
        <v>83.014757539654497</v>
      </c>
      <c r="AN4941">
        <v>1.0000000545424199</v>
      </c>
    </row>
    <row r="4942" spans="1:40" x14ac:dyDescent="0.25">
      <c r="A4942" t="str">
        <f>"20190312151635316"</f>
        <v>20190312151635316</v>
      </c>
      <c r="B4942" t="str">
        <f>"1552374995312492"</f>
        <v>1552374995312492</v>
      </c>
      <c r="C4942" t="s">
        <v>40</v>
      </c>
      <c r="D4942">
        <v>4.6545199999999998</v>
      </c>
      <c r="E4942">
        <v>0.51996880000000001</v>
      </c>
      <c r="F4942" t="s">
        <v>41</v>
      </c>
      <c r="G4942">
        <v>-355.46109999999999</v>
      </c>
      <c r="H4942">
        <v>1.0317529999999999</v>
      </c>
      <c r="I4942">
        <v>16.697150000000001</v>
      </c>
      <c r="J4942">
        <v>-356.161</v>
      </c>
      <c r="K4942">
        <v>1.109783</v>
      </c>
      <c r="L4942">
        <v>16.842559999999999</v>
      </c>
      <c r="M4942">
        <v>0.99992190000000003</v>
      </c>
      <c r="N4942">
        <v>0</v>
      </c>
      <c r="O4942">
        <v>2.604978E-3</v>
      </c>
      <c r="P4942">
        <v>0.98786879999999999</v>
      </c>
      <c r="Q4942">
        <v>9.9890969999999996E-2</v>
      </c>
      <c r="R4942">
        <v>-0.1189012</v>
      </c>
      <c r="S4942">
        <v>3.002472</v>
      </c>
      <c r="T4942">
        <v>-0.28172619999999998</v>
      </c>
      <c r="U4942">
        <v>-0.52288820000000003</v>
      </c>
      <c r="V4942">
        <v>0.12145830000000001</v>
      </c>
      <c r="W4942">
        <v>0.1119719</v>
      </c>
      <c r="X4942">
        <v>0.98626069999999999</v>
      </c>
      <c r="Y4942">
        <v>0.17338580000000001</v>
      </c>
      <c r="Z4942">
        <v>-8.2985679999999992E-3</v>
      </c>
      <c r="AA4942">
        <v>0.98481909999999895</v>
      </c>
      <c r="AB4942">
        <v>24</v>
      </c>
      <c r="AC4942">
        <v>0.69990000000001296</v>
      </c>
      <c r="AD4942">
        <v>-7.8029999999999794E-2</v>
      </c>
      <c r="AE4942">
        <v>-0.14540999999999801</v>
      </c>
      <c r="AF4942">
        <v>0.145499224450925</v>
      </c>
      <c r="AG4942">
        <v>-7.8029999999999794E-2</v>
      </c>
      <c r="AH4942">
        <v>0.69128208960720205</v>
      </c>
      <c r="AI4942">
        <v>96.303172226741495</v>
      </c>
      <c r="AJ4942">
        <v>78.114028283360298</v>
      </c>
      <c r="AK4942">
        <v>0.71072472352347504</v>
      </c>
      <c r="AL4942">
        <v>83.5710005004876</v>
      </c>
      <c r="AM4942">
        <v>82.979356900553697</v>
      </c>
      <c r="AN4942">
        <v>0.99999999669649497</v>
      </c>
    </row>
    <row r="4943" spans="1:40" x14ac:dyDescent="0.25">
      <c r="A4943" t="str">
        <f>"20190312151635338"</f>
        <v>20190312151635338</v>
      </c>
      <c r="B4943" t="str">
        <f>"1552374995332988"</f>
        <v>1552374995332988</v>
      </c>
      <c r="C4943" t="s">
        <v>40</v>
      </c>
      <c r="D4943">
        <v>4.6669700000000001</v>
      </c>
      <c r="E4943">
        <v>0.52031769999999999</v>
      </c>
      <c r="F4943" t="s">
        <v>41</v>
      </c>
      <c r="G4943">
        <v>-355.24459999999999</v>
      </c>
      <c r="H4943">
        <v>1.0256179999999999</v>
      </c>
      <c r="I4943">
        <v>16.68112</v>
      </c>
      <c r="J4943">
        <v>-355.90530000000001</v>
      </c>
      <c r="K4943">
        <v>1.109831</v>
      </c>
      <c r="L4943">
        <v>16.843350000000001</v>
      </c>
      <c r="M4943">
        <v>0.99992110000000001</v>
      </c>
      <c r="N4943">
        <v>0</v>
      </c>
      <c r="O4943">
        <v>2.71207E-3</v>
      </c>
      <c r="P4943">
        <v>0.98766909999999997</v>
      </c>
      <c r="Q4943">
        <v>0.1006056</v>
      </c>
      <c r="R4943">
        <v>-0.11995219999999999</v>
      </c>
      <c r="S4943">
        <v>3.00116</v>
      </c>
      <c r="T4943">
        <v>-0.27559879999999998</v>
      </c>
      <c r="U4943">
        <v>-0.52780150000000003</v>
      </c>
      <c r="V4943">
        <v>0.1226155</v>
      </c>
      <c r="W4943">
        <v>0.1127244</v>
      </c>
      <c r="X4943">
        <v>0.98603180000000001</v>
      </c>
      <c r="Y4943">
        <v>0.17515229999999901</v>
      </c>
      <c r="Z4943">
        <v>-8.2112480000000009E-3</v>
      </c>
      <c r="AA4943">
        <v>0.98450709999999997</v>
      </c>
      <c r="AB4943">
        <v>24</v>
      </c>
      <c r="AC4943">
        <v>0.66070000000001905</v>
      </c>
      <c r="AD4943">
        <v>-8.4213000000000093E-2</v>
      </c>
      <c r="AE4943">
        <v>-0.16223000000000001</v>
      </c>
      <c r="AF4943">
        <v>0.161546141112583</v>
      </c>
      <c r="AG4943">
        <v>-8.4213000000000093E-2</v>
      </c>
      <c r="AH4943">
        <v>0.65029355189941396</v>
      </c>
      <c r="AI4943">
        <v>97.163375199657395</v>
      </c>
      <c r="AJ4943">
        <v>76.048972346776495</v>
      </c>
      <c r="AK4943">
        <v>0.67533005909652899</v>
      </c>
      <c r="AL4943">
        <v>83.527610942726497</v>
      </c>
      <c r="AM4943">
        <v>82.9115159311865</v>
      </c>
      <c r="AN4943">
        <v>1.00000003090342</v>
      </c>
    </row>
    <row r="4944" spans="1:40" x14ac:dyDescent="0.25">
      <c r="A4944" t="str">
        <f>"20190312151635348"</f>
        <v>20190312151635348</v>
      </c>
      <c r="B4944" t="str">
        <f>"1552374995342748"</f>
        <v>1552374995342748</v>
      </c>
      <c r="C4944" t="s">
        <v>40</v>
      </c>
      <c r="D4944">
        <v>4.6384460000000001</v>
      </c>
      <c r="E4944">
        <v>0.52055609999999997</v>
      </c>
      <c r="F4944" t="s">
        <v>41</v>
      </c>
      <c r="G4944">
        <v>-355.02379999999999</v>
      </c>
      <c r="H4944">
        <v>1.0299430000000001</v>
      </c>
      <c r="I4944">
        <v>16.686339999999898</v>
      </c>
      <c r="J4944">
        <v>-355.79320000000001</v>
      </c>
      <c r="K4944">
        <v>1.10985</v>
      </c>
      <c r="L4944">
        <v>16.843720000000001</v>
      </c>
      <c r="M4944">
        <v>0.9999207</v>
      </c>
      <c r="N4944">
        <v>0</v>
      </c>
      <c r="O4944">
        <v>2.759741E-3</v>
      </c>
      <c r="P4944">
        <v>0.98757200000000001</v>
      </c>
      <c r="Q4944">
        <v>0.1009302</v>
      </c>
      <c r="R4944">
        <v>-0.12047769999999999</v>
      </c>
      <c r="S4944">
        <v>3.0002439999999999</v>
      </c>
      <c r="T4944">
        <v>-0.27188869999999998</v>
      </c>
      <c r="U4944">
        <v>-0.53414919999999899</v>
      </c>
      <c r="V4944">
        <v>0.1231882</v>
      </c>
      <c r="W4944">
        <v>0.113065</v>
      </c>
      <c r="X4944">
        <v>0.98592139999999995</v>
      </c>
      <c r="Y4944">
        <v>0.1772803</v>
      </c>
      <c r="Z4944">
        <v>-8.2018639999999997E-3</v>
      </c>
      <c r="AA4944">
        <v>0.98412619999999895</v>
      </c>
      <c r="AB4944">
        <v>24</v>
      </c>
      <c r="AC4944">
        <v>0.76940000000001796</v>
      </c>
      <c r="AD4944">
        <v>-7.9906999999999895E-2</v>
      </c>
      <c r="AE4944">
        <v>-0.15738000000000299</v>
      </c>
      <c r="AF4944">
        <v>0.15786850084659901</v>
      </c>
      <c r="AG4944">
        <v>-7.9906999999999895E-2</v>
      </c>
      <c r="AH4944">
        <v>0.76108325153912604</v>
      </c>
      <c r="AI4944">
        <v>95.869550460261806</v>
      </c>
      <c r="AJ4944">
        <v>78.281540616675102</v>
      </c>
      <c r="AK4944">
        <v>0.78138038622806605</v>
      </c>
      <c r="AL4944">
        <v>83.507970346933405</v>
      </c>
      <c r="AM4944">
        <v>82.877957673748796</v>
      </c>
      <c r="AN4944">
        <v>1.0000000169110901</v>
      </c>
    </row>
    <row r="4945" spans="1:40" x14ac:dyDescent="0.25">
      <c r="A4945" t="str">
        <f>"20190312151635359"</f>
        <v>20190312151635359</v>
      </c>
      <c r="B4945" t="str">
        <f>"1552374995352508"</f>
        <v>1552374995352508</v>
      </c>
      <c r="C4945" t="s">
        <v>40</v>
      </c>
      <c r="D4945">
        <v>4.6336779999999997</v>
      </c>
      <c r="E4945">
        <v>0.52074560000000003</v>
      </c>
      <c r="F4945" t="s">
        <v>41</v>
      </c>
      <c r="G4945">
        <v>-355.01909999999998</v>
      </c>
      <c r="H4945">
        <v>1.040054</v>
      </c>
      <c r="I4945">
        <v>16.704840000000001</v>
      </c>
      <c r="J4945">
        <v>-355.68189999999998</v>
      </c>
      <c r="K4945">
        <v>1.109872</v>
      </c>
      <c r="L4945">
        <v>16.844059999999999</v>
      </c>
      <c r="M4945">
        <v>0.99992040000000004</v>
      </c>
      <c r="N4945">
        <v>0</v>
      </c>
      <c r="O4945">
        <v>2.8059399999999998E-3</v>
      </c>
      <c r="P4945">
        <v>0.98745830000000001</v>
      </c>
      <c r="Q4945">
        <v>0.1014142</v>
      </c>
      <c r="R4945">
        <v>-0.1210011</v>
      </c>
      <c r="S4945">
        <v>2.9997560000000001</v>
      </c>
      <c r="T4945">
        <v>-0.27048100000000003</v>
      </c>
      <c r="U4945">
        <v>-0.53796390000000005</v>
      </c>
      <c r="V4945">
        <v>0.1237568</v>
      </c>
      <c r="W4945">
        <v>0.1135644</v>
      </c>
      <c r="X4945">
        <v>0.98579280000000002</v>
      </c>
      <c r="Y4945">
        <v>0.17856820000000001</v>
      </c>
      <c r="Z4945">
        <v>-8.2215799999999992E-3</v>
      </c>
      <c r="AA4945">
        <v>0.98389320000000002</v>
      </c>
      <c r="AB4945">
        <v>24</v>
      </c>
      <c r="AC4945">
        <v>0.66280000000000405</v>
      </c>
      <c r="AD4945">
        <v>-6.9817999999999894E-2</v>
      </c>
      <c r="AE4945">
        <v>-0.13921999999999801</v>
      </c>
      <c r="AF4945">
        <v>0.13959585509761399</v>
      </c>
      <c r="AG4945">
        <v>-6.9817999999999894E-2</v>
      </c>
      <c r="AH4945">
        <v>0.65544120628670999</v>
      </c>
      <c r="AI4945">
        <v>95.947840054305402</v>
      </c>
      <c r="AJ4945">
        <v>77.976790606098206</v>
      </c>
      <c r="AK4945">
        <v>0.67376904854928699</v>
      </c>
      <c r="AL4945">
        <v>83.4791714403122</v>
      </c>
      <c r="AM4945">
        <v>82.844500673941695</v>
      </c>
      <c r="AN4945">
        <v>1.00000003151271</v>
      </c>
    </row>
    <row r="4946" spans="1:40" x14ac:dyDescent="0.25">
      <c r="A4946" t="str">
        <f>"20190312151635370"</f>
        <v>20190312151635370</v>
      </c>
      <c r="B4946" t="str">
        <f>"1552374995363244"</f>
        <v>1552374995363244</v>
      </c>
      <c r="C4946" t="s">
        <v>40</v>
      </c>
      <c r="D4946">
        <v>4.6224780000000001</v>
      </c>
      <c r="E4946">
        <v>0.52084819999999998</v>
      </c>
      <c r="F4946" t="s">
        <v>43</v>
      </c>
      <c r="G4946">
        <v>-343.31849999999997</v>
      </c>
      <c r="H4946" s="1">
        <v>-3.7361870000000002E-6</v>
      </c>
      <c r="I4946">
        <v>14.6127</v>
      </c>
      <c r="J4946">
        <v>-355.56209999999999</v>
      </c>
      <c r="K4946">
        <v>1.1098950000000001</v>
      </c>
      <c r="L4946">
        <v>16.84442</v>
      </c>
      <c r="M4946">
        <v>0.99992009999999998</v>
      </c>
      <c r="N4946">
        <v>0</v>
      </c>
      <c r="O4946">
        <v>2.8548219999999999E-3</v>
      </c>
      <c r="P4946">
        <v>0.98734409999999895</v>
      </c>
      <c r="Q4946">
        <v>0.101826899999999</v>
      </c>
      <c r="R4946">
        <v>-0.12158430000000001</v>
      </c>
      <c r="S4946">
        <v>2.9994510000000001</v>
      </c>
      <c r="T4946">
        <v>-0.26926349999999999</v>
      </c>
      <c r="U4946">
        <v>-0.54132080000000005</v>
      </c>
      <c r="V4946">
        <v>0.124388</v>
      </c>
      <c r="W4946">
        <v>0.1139926</v>
      </c>
      <c r="X4946">
        <v>0.98566390000000004</v>
      </c>
      <c r="Y4946">
        <v>0.179702</v>
      </c>
      <c r="Z4946">
        <v>-8.2394649999999996E-3</v>
      </c>
      <c r="AA4946">
        <v>0.98368659999999997</v>
      </c>
      <c r="AB4946">
        <v>24</v>
      </c>
      <c r="AC4946">
        <v>12.243600000000001</v>
      </c>
      <c r="AD4946">
        <v>-1.1098987361870001</v>
      </c>
      <c r="AE4946">
        <v>-2.2317200000000001</v>
      </c>
      <c r="AF4946">
        <v>2.24878136117725</v>
      </c>
      <c r="AG4946">
        <v>-1.1098987361870001</v>
      </c>
      <c r="AH4946">
        <v>12.140619066424801</v>
      </c>
      <c r="AI4946">
        <v>95.136582166835197</v>
      </c>
      <c r="AJ4946">
        <v>79.506156833873703</v>
      </c>
      <c r="AK4946">
        <v>12.396915912072901</v>
      </c>
      <c r="AL4946">
        <v>83.454476855596496</v>
      </c>
      <c r="AM4946">
        <v>82.807455817125998</v>
      </c>
      <c r="AN4946">
        <v>1.0000000055809799</v>
      </c>
    </row>
    <row r="4947" spans="1:40" x14ac:dyDescent="0.25">
      <c r="A4947" t="str">
        <f>"20190312151635381"</f>
        <v>20190312151635381</v>
      </c>
      <c r="B4947" t="str">
        <f>"1552374995373004"</f>
        <v>1552374995373004</v>
      </c>
      <c r="C4947" t="s">
        <v>40</v>
      </c>
      <c r="D4947">
        <v>4.5966809999999896</v>
      </c>
      <c r="E4947">
        <v>0.52086279999999996</v>
      </c>
      <c r="F4947" t="s">
        <v>43</v>
      </c>
      <c r="G4947">
        <v>-343.16730000000001</v>
      </c>
      <c r="H4947" s="1">
        <v>-3.8038790000000002E-6</v>
      </c>
      <c r="I4947">
        <v>14.59675</v>
      </c>
      <c r="J4947">
        <v>-355.44319999999999</v>
      </c>
      <c r="K4947">
        <v>1.109918</v>
      </c>
      <c r="L4947">
        <v>16.844850000000001</v>
      </c>
      <c r="M4947">
        <v>0.99991980000000003</v>
      </c>
      <c r="N4947">
        <v>0</v>
      </c>
      <c r="O4947">
        <v>2.9001919999999998E-3</v>
      </c>
      <c r="P4947">
        <v>0.98722600000000005</v>
      </c>
      <c r="Q4947">
        <v>0.10224129999999999</v>
      </c>
      <c r="R4947">
        <v>-0.12219579999999999</v>
      </c>
      <c r="S4947">
        <v>2.9992070000000002</v>
      </c>
      <c r="T4947">
        <v>-0.26856540000000001</v>
      </c>
      <c r="U4947">
        <v>-0.54385380000000005</v>
      </c>
      <c r="V4947">
        <v>0.12504369999999901</v>
      </c>
      <c r="W4947">
        <v>0.1144251</v>
      </c>
      <c r="X4947">
        <v>0.98553080000000004</v>
      </c>
      <c r="Y4947">
        <v>0.18056520000000001</v>
      </c>
      <c r="Z4947">
        <v>-8.2605170000000002E-3</v>
      </c>
      <c r="AA4947">
        <v>0.98352830000000002</v>
      </c>
      <c r="AB4947">
        <v>24</v>
      </c>
      <c r="AC4947">
        <v>12.275899999999901</v>
      </c>
      <c r="AD4947">
        <v>-1.109921803879</v>
      </c>
      <c r="AE4947">
        <v>-2.2481</v>
      </c>
      <c r="AF4947">
        <v>2.2657744495165799</v>
      </c>
      <c r="AG4947">
        <v>-1.109921803879</v>
      </c>
      <c r="AH4947">
        <v>12.173044584154701</v>
      </c>
      <c r="AI4947">
        <v>95.122253119753196</v>
      </c>
      <c r="AJ4947">
        <v>79.4561670907718</v>
      </c>
      <c r="AK4947">
        <v>12.431760724637</v>
      </c>
      <c r="AL4947">
        <v>83.429533142876707</v>
      </c>
      <c r="AM4947">
        <v>82.768975038848097</v>
      </c>
      <c r="AN4947">
        <v>0.99999999408416995</v>
      </c>
    </row>
    <row r="4948" spans="1:40" x14ac:dyDescent="0.25">
      <c r="A4948" t="str">
        <f>"20190312151635392"</f>
        <v>20190312151635392</v>
      </c>
      <c r="B4948" t="str">
        <f>"1552374995382764"</f>
        <v>1552374995382764</v>
      </c>
      <c r="C4948" t="s">
        <v>40</v>
      </c>
      <c r="D4948">
        <v>4.6123799999999999</v>
      </c>
      <c r="E4948">
        <v>0.52095539999999996</v>
      </c>
      <c r="F4948" t="s">
        <v>43</v>
      </c>
      <c r="G4948">
        <v>-343.03890000000001</v>
      </c>
      <c r="H4948" s="1">
        <v>-3.8607890000000003E-6</v>
      </c>
      <c r="I4948">
        <v>14.586510000000001</v>
      </c>
      <c r="J4948">
        <v>-355.32350000000002</v>
      </c>
      <c r="K4948">
        <v>1.1099410000000001</v>
      </c>
      <c r="L4948">
        <v>16.845210000000002</v>
      </c>
      <c r="M4948">
        <v>0.99991929999999996</v>
      </c>
      <c r="N4948">
        <v>0</v>
      </c>
      <c r="O4948">
        <v>2.9452060000000001E-3</v>
      </c>
      <c r="P4948">
        <v>0.98710050000000005</v>
      </c>
      <c r="Q4948">
        <v>0.10246180000000001</v>
      </c>
      <c r="R4948">
        <v>-0.1230221</v>
      </c>
      <c r="S4948">
        <v>2.9990540000000001</v>
      </c>
      <c r="T4948">
        <v>-0.26835170000000003</v>
      </c>
      <c r="U4948">
        <v>-0.54598999999999998</v>
      </c>
      <c r="V4948">
        <v>0.12591359999999999</v>
      </c>
      <c r="W4948">
        <v>0.1146648</v>
      </c>
      <c r="X4948">
        <v>0.98539219999999905</v>
      </c>
      <c r="Y4948">
        <v>0.1812945</v>
      </c>
      <c r="Z4948">
        <v>-8.2901480000000007E-3</v>
      </c>
      <c r="AA4948">
        <v>0.98339390000000004</v>
      </c>
      <c r="AB4948">
        <v>24</v>
      </c>
      <c r="AC4948">
        <v>12.284599999999999</v>
      </c>
      <c r="AD4948">
        <v>-1.1099448607889999</v>
      </c>
      <c r="AE4948">
        <v>-2.2587000000000002</v>
      </c>
      <c r="AF4948">
        <v>2.2768938591213801</v>
      </c>
      <c r="AG4948">
        <v>-1.1099448607889999</v>
      </c>
      <c r="AH4948">
        <v>12.181699517674</v>
      </c>
      <c r="AI4948">
        <v>95.118022631139695</v>
      </c>
      <c r="AJ4948">
        <v>79.4129482787028</v>
      </c>
      <c r="AK4948">
        <v>12.442267734564901</v>
      </c>
      <c r="AL4948">
        <v>83.415708518116503</v>
      </c>
      <c r="AM4948">
        <v>82.718195348026896</v>
      </c>
      <c r="AN4948">
        <v>1.0000000194224099</v>
      </c>
    </row>
    <row r="4949" spans="1:40" x14ac:dyDescent="0.25">
      <c r="A4949" t="str">
        <f>"20190312151635404"</f>
        <v>20190312151635404</v>
      </c>
      <c r="B4949" t="str">
        <f>"1552374995392525"</f>
        <v>1552374995392525</v>
      </c>
      <c r="C4949" t="s">
        <v>40</v>
      </c>
      <c r="D4949">
        <v>4.6063099999999997</v>
      </c>
      <c r="E4949">
        <v>0.52100900000000006</v>
      </c>
      <c r="F4949" t="s">
        <v>43</v>
      </c>
      <c r="G4949">
        <v>-342.89120000000003</v>
      </c>
      <c r="H4949" s="1">
        <v>-3.9272369999999998E-6</v>
      </c>
      <c r="I4949">
        <v>14.569100000000001</v>
      </c>
      <c r="J4949">
        <v>-355.19580000000002</v>
      </c>
      <c r="K4949">
        <v>1.10996299999999</v>
      </c>
      <c r="L4949">
        <v>16.845669999999998</v>
      </c>
      <c r="M4949">
        <v>0.99991890000000005</v>
      </c>
      <c r="N4949">
        <v>0</v>
      </c>
      <c r="O4949">
        <v>2.994535E-3</v>
      </c>
      <c r="P4949">
        <v>0.98700750000000004</v>
      </c>
      <c r="Q4949">
        <v>0.1025461</v>
      </c>
      <c r="R4949">
        <v>-0.12369670000000001</v>
      </c>
      <c r="S4949">
        <v>2.998535</v>
      </c>
      <c r="T4949">
        <v>-0.26770519999999998</v>
      </c>
      <c r="U4949">
        <v>-0.54895019999999894</v>
      </c>
      <c r="V4949">
        <v>0.12663669999999999</v>
      </c>
      <c r="W4949">
        <v>0.1147695</v>
      </c>
      <c r="X4949">
        <v>0.98528729999999998</v>
      </c>
      <c r="Y4949">
        <v>0.18231159999999999</v>
      </c>
      <c r="Z4949">
        <v>-8.3202390000000001E-3</v>
      </c>
      <c r="AA4949">
        <v>0.98320560000000001</v>
      </c>
      <c r="AB4949">
        <v>24</v>
      </c>
      <c r="AC4949">
        <v>12.304599999999899</v>
      </c>
      <c r="AD4949">
        <v>-1.1099669272370001</v>
      </c>
      <c r="AE4949">
        <v>-2.27657</v>
      </c>
      <c r="AF4949">
        <v>2.2953492401425799</v>
      </c>
      <c r="AG4949">
        <v>-1.1099669272370001</v>
      </c>
      <c r="AH4949">
        <v>12.201723225628401</v>
      </c>
      <c r="AI4949">
        <v>95.108659153561007</v>
      </c>
      <c r="AJ4949">
        <v>79.346208222502696</v>
      </c>
      <c r="AK4949">
        <v>12.465259900564501</v>
      </c>
      <c r="AL4949">
        <v>83.409669507583601</v>
      </c>
      <c r="AM4949">
        <v>82.676058673865498</v>
      </c>
      <c r="AN4949">
        <v>0.99999997772921401</v>
      </c>
    </row>
    <row r="4950" spans="1:40" x14ac:dyDescent="0.25">
      <c r="A4950" t="str">
        <f>"20190312151635415"</f>
        <v>20190312151635415</v>
      </c>
      <c r="B4950" t="str">
        <f>"1552374995413021"</f>
        <v>1552374995413021</v>
      </c>
      <c r="C4950" t="s">
        <v>40</v>
      </c>
      <c r="D4950">
        <v>4.7548789999999999</v>
      </c>
      <c r="E4950">
        <v>0.5213508</v>
      </c>
      <c r="F4950" t="s">
        <v>43</v>
      </c>
      <c r="G4950">
        <v>-342.81060000000002</v>
      </c>
      <c r="H4950" s="1">
        <v>-3.9620439999999999E-6</v>
      </c>
      <c r="I4950">
        <v>14.567869999999999</v>
      </c>
      <c r="J4950">
        <v>-355.06799999999998</v>
      </c>
      <c r="K4950">
        <v>1.1099840000000001</v>
      </c>
      <c r="L4950">
        <v>16.846129999999999</v>
      </c>
      <c r="M4950">
        <v>0.99991859999999999</v>
      </c>
      <c r="N4950">
        <v>0</v>
      </c>
      <c r="O4950">
        <v>3.0448739999999999E-3</v>
      </c>
      <c r="P4950">
        <v>0.98690560000000005</v>
      </c>
      <c r="Q4950">
        <v>0.1024674</v>
      </c>
      <c r="R4950">
        <v>-0.124572</v>
      </c>
      <c r="S4950">
        <v>2.99823</v>
      </c>
      <c r="T4950">
        <v>-0.26870110000000003</v>
      </c>
      <c r="U4950">
        <v>-0.55139159999999998</v>
      </c>
      <c r="V4950">
        <v>0.12756149999999999</v>
      </c>
      <c r="W4950">
        <v>0.1147103</v>
      </c>
      <c r="X4950">
        <v>0.98517489999999996</v>
      </c>
      <c r="Y4950">
        <v>0.18314459999999999</v>
      </c>
      <c r="Z4950">
        <v>-8.3927069999999993E-3</v>
      </c>
      <c r="AA4950">
        <v>0.98305019999999999</v>
      </c>
      <c r="AB4950">
        <v>24</v>
      </c>
      <c r="AC4950">
        <v>12.257400000000001</v>
      </c>
      <c r="AD4950">
        <v>-1.1099879620440001</v>
      </c>
      <c r="AE4950">
        <v>-2.2782599999999902</v>
      </c>
      <c r="AF4950">
        <v>2.2973641425071998</v>
      </c>
      <c r="AG4950">
        <v>-1.1099879620440001</v>
      </c>
      <c r="AH4950">
        <v>12.154064622771701</v>
      </c>
      <c r="AI4950">
        <v>95.127842172768396</v>
      </c>
      <c r="AJ4950">
        <v>79.296223155286299</v>
      </c>
      <c r="AK4950">
        <v>12.4189871621509</v>
      </c>
      <c r="AL4950">
        <v>83.413084025741796</v>
      </c>
      <c r="AM4950">
        <v>82.622328189982994</v>
      </c>
      <c r="AN4950">
        <v>0.99999998639917398</v>
      </c>
    </row>
    <row r="4951" spans="1:40" x14ac:dyDescent="0.25">
      <c r="A4951" t="str">
        <f>"20190312151635427"</f>
        <v>20190312151635427</v>
      </c>
      <c r="B4951" t="str">
        <f>"1552374995422780"</f>
        <v>1552374995422780</v>
      </c>
      <c r="C4951" t="s">
        <v>40</v>
      </c>
      <c r="D4951">
        <v>4.5754489999999999</v>
      </c>
      <c r="E4951">
        <v>0.52144290000000004</v>
      </c>
      <c r="F4951" t="s">
        <v>43</v>
      </c>
      <c r="G4951">
        <v>-342.70490000000001</v>
      </c>
      <c r="H4951" s="1">
        <v>-4.0105960000000001E-6</v>
      </c>
      <c r="I4951">
        <v>14.549779999999901</v>
      </c>
      <c r="J4951">
        <v>-354.93950000000001</v>
      </c>
      <c r="K4951">
        <v>1.1100030000000001</v>
      </c>
      <c r="L4951">
        <v>16.84656</v>
      </c>
      <c r="M4951">
        <v>0.99991819999999998</v>
      </c>
      <c r="N4951">
        <v>0</v>
      </c>
      <c r="O4951">
        <v>3.0980740000000001E-3</v>
      </c>
      <c r="P4951">
        <v>0.98680440000000003</v>
      </c>
      <c r="Q4951">
        <v>0.10276150000000001</v>
      </c>
      <c r="R4951">
        <v>-0.12512999999999999</v>
      </c>
      <c r="S4951">
        <v>2.9974669999999999</v>
      </c>
      <c r="T4951">
        <v>-0.26911819999999997</v>
      </c>
      <c r="U4951">
        <v>-0.55673219999999901</v>
      </c>
      <c r="V4951">
        <v>0.12817229999999999</v>
      </c>
      <c r="W4951">
        <v>0.115022</v>
      </c>
      <c r="X4951">
        <v>0.98505929999999997</v>
      </c>
      <c r="Y4951">
        <v>0.18492529999999999</v>
      </c>
      <c r="Z4951">
        <v>-8.4902689999999999E-3</v>
      </c>
      <c r="AA4951">
        <v>0.98271589999999998</v>
      </c>
      <c r="AB4951">
        <v>24</v>
      </c>
      <c r="AC4951">
        <v>12.2346</v>
      </c>
      <c r="AD4951">
        <v>-1.110007010596</v>
      </c>
      <c r="AE4951">
        <v>-2.29678</v>
      </c>
      <c r="AF4951">
        <v>2.3162586662748299</v>
      </c>
      <c r="AG4951">
        <v>-1.110007010596</v>
      </c>
      <c r="AH4951">
        <v>12.1309699485473</v>
      </c>
      <c r="AI4951">
        <v>95.135843654442795</v>
      </c>
      <c r="AJ4951">
        <v>79.190191331713606</v>
      </c>
      <c r="AK4951">
        <v>12.3999032925755</v>
      </c>
      <c r="AL4951">
        <v>83.395106101703405</v>
      </c>
      <c r="AM4951">
        <v>82.586533575388302</v>
      </c>
      <c r="AN4951">
        <v>1.0000000117438901</v>
      </c>
    </row>
    <row r="4952" spans="1:40" x14ac:dyDescent="0.25">
      <c r="A4952" t="str">
        <f>"20190312151635440"</f>
        <v>20190312151635440</v>
      </c>
      <c r="B4952" t="str">
        <f>"1552374995432541"</f>
        <v>1552374995432541</v>
      </c>
      <c r="C4952" t="s">
        <v>40</v>
      </c>
      <c r="D4952">
        <v>4.5738620000000001</v>
      </c>
      <c r="E4952">
        <v>0.52147790000000005</v>
      </c>
      <c r="F4952" t="s">
        <v>43</v>
      </c>
      <c r="G4952">
        <v>-342.40129999999999</v>
      </c>
      <c r="H4952" s="1">
        <v>-4.1485150000000004E-6</v>
      </c>
      <c r="I4952">
        <v>14.506550000000001</v>
      </c>
      <c r="J4952">
        <v>-354.80180000000001</v>
      </c>
      <c r="K4952">
        <v>1.1100190000000001</v>
      </c>
      <c r="L4952">
        <v>16.847079999999998</v>
      </c>
      <c r="M4952">
        <v>0.99991770000000002</v>
      </c>
      <c r="N4952">
        <v>0</v>
      </c>
      <c r="O4952">
        <v>3.1567019999999999E-3</v>
      </c>
      <c r="P4952">
        <v>0.98671350000000002</v>
      </c>
      <c r="Q4952">
        <v>0.1029091</v>
      </c>
      <c r="R4952">
        <v>-0.12572320000000001</v>
      </c>
      <c r="S4952">
        <v>2.9967649999999999</v>
      </c>
      <c r="T4952">
        <v>-0.26530290000000001</v>
      </c>
      <c r="U4952">
        <v>-0.55926509999999996</v>
      </c>
      <c r="V4952">
        <v>0.1288232</v>
      </c>
      <c r="W4952">
        <v>0.11518780000000001</v>
      </c>
      <c r="X4952">
        <v>0.98495500000000002</v>
      </c>
      <c r="Y4952">
        <v>0.1858436</v>
      </c>
      <c r="Z4952">
        <v>-8.4170059999999994E-3</v>
      </c>
      <c r="AA4952">
        <v>0.98254330000000001</v>
      </c>
      <c r="AB4952">
        <v>24</v>
      </c>
      <c r="AC4952">
        <v>12.400499999999999</v>
      </c>
      <c r="AD4952">
        <v>-1.1100231485150001</v>
      </c>
      <c r="AE4952">
        <v>-2.34052999999999</v>
      </c>
      <c r="AF4952">
        <v>2.3613954788096598</v>
      </c>
      <c r="AG4952">
        <v>-1.1100231485150001</v>
      </c>
      <c r="AH4952">
        <v>12.2978980925889</v>
      </c>
      <c r="AI4952">
        <v>95.065565791053899</v>
      </c>
      <c r="AJ4952">
        <v>79.1305802841363</v>
      </c>
      <c r="AK4952">
        <v>12.5716600929743</v>
      </c>
      <c r="AL4952">
        <v>83.385542814053295</v>
      </c>
      <c r="AM4952">
        <v>82.548527446031699</v>
      </c>
      <c r="AN4952">
        <v>0.99999999907603998</v>
      </c>
    </row>
    <row r="4953" spans="1:40" x14ac:dyDescent="0.25">
      <c r="A4953" t="str">
        <f>"20190312151635451"</f>
        <v>20190312151635451</v>
      </c>
      <c r="B4953" t="str">
        <f>"1552374995442300"</f>
        <v>1552374995442300</v>
      </c>
      <c r="C4953" t="s">
        <v>40</v>
      </c>
      <c r="D4953">
        <v>4.5562829999999996</v>
      </c>
      <c r="E4953">
        <v>0.52150509999999906</v>
      </c>
      <c r="F4953" t="s">
        <v>43</v>
      </c>
      <c r="G4953">
        <v>-342.12150000000003</v>
      </c>
      <c r="H4953" s="1">
        <v>-4.2747440000000003E-6</v>
      </c>
      <c r="I4953">
        <v>14.47161</v>
      </c>
      <c r="J4953">
        <v>-354.68029999999999</v>
      </c>
      <c r="K4953">
        <v>1.110036</v>
      </c>
      <c r="L4953">
        <v>16.8475</v>
      </c>
      <c r="M4953">
        <v>0.99991719999999895</v>
      </c>
      <c r="N4953">
        <v>0</v>
      </c>
      <c r="O4953">
        <v>3.2092779999999999E-3</v>
      </c>
      <c r="P4953">
        <v>0.98663630000000002</v>
      </c>
      <c r="Q4953">
        <v>0.1028641</v>
      </c>
      <c r="R4953">
        <v>-0.12636310000000001</v>
      </c>
      <c r="S4953">
        <v>2.9962460000000002</v>
      </c>
      <c r="T4953">
        <v>-0.26228810000000002</v>
      </c>
      <c r="U4953">
        <v>-0.56127930000000004</v>
      </c>
      <c r="V4953">
        <v>0.12951499999999999</v>
      </c>
      <c r="W4953">
        <v>0.11515739999999899</v>
      </c>
      <c r="X4953">
        <v>0.98486779999999996</v>
      </c>
      <c r="Y4953">
        <v>0.1865771</v>
      </c>
      <c r="Z4953">
        <v>-8.3589449999999996E-3</v>
      </c>
      <c r="AA4953">
        <v>0.98240479999999997</v>
      </c>
      <c r="AB4953">
        <v>24</v>
      </c>
      <c r="AC4953">
        <v>12.5587999999999</v>
      </c>
      <c r="AD4953">
        <v>-1.1100402747439999</v>
      </c>
      <c r="AE4953">
        <v>-2.3758900000000001</v>
      </c>
      <c r="AF4953">
        <v>2.39809815391042</v>
      </c>
      <c r="AG4953">
        <v>-1.1100402747439999</v>
      </c>
      <c r="AH4953">
        <v>12.4571529808749</v>
      </c>
      <c r="AI4953">
        <v>95.000760375550499</v>
      </c>
      <c r="AJ4953">
        <v>79.103421182128898</v>
      </c>
      <c r="AK4953">
        <v>12.7343521451334</v>
      </c>
      <c r="AL4953">
        <v>83.387296099220293</v>
      </c>
      <c r="AM4953">
        <v>82.508309457229899</v>
      </c>
      <c r="AN4953">
        <v>0.99999997273829899</v>
      </c>
    </row>
    <row r="4954" spans="1:40" x14ac:dyDescent="0.25">
      <c r="A4954" t="str">
        <f>"20190312151635460"</f>
        <v>20190312151635460</v>
      </c>
      <c r="B4954" t="str">
        <f>"1552374995453036"</f>
        <v>1552374995453036</v>
      </c>
      <c r="C4954" t="s">
        <v>40</v>
      </c>
      <c r="D4954">
        <v>4.5483929999999999</v>
      </c>
      <c r="E4954">
        <v>0.52150479999999999</v>
      </c>
      <c r="F4954" t="s">
        <v>43</v>
      </c>
      <c r="G4954">
        <v>-341.88290000000001</v>
      </c>
      <c r="H4954" s="1">
        <v>-4.3826409999999998E-6</v>
      </c>
      <c r="I4954">
        <v>14.44031</v>
      </c>
      <c r="J4954">
        <v>-354.57479999999998</v>
      </c>
      <c r="K4954">
        <v>1.1100509999999999</v>
      </c>
      <c r="L4954">
        <v>16.84787</v>
      </c>
      <c r="M4954">
        <v>0.99991699999999994</v>
      </c>
      <c r="N4954">
        <v>0</v>
      </c>
      <c r="O4954">
        <v>3.2556400000000002E-3</v>
      </c>
      <c r="P4954">
        <v>0.98648239999999998</v>
      </c>
      <c r="Q4954">
        <v>0.103338</v>
      </c>
      <c r="R4954">
        <v>-0.1271767</v>
      </c>
      <c r="S4954">
        <v>2.9955750000000001</v>
      </c>
      <c r="T4954">
        <v>-0.25983430000000002</v>
      </c>
      <c r="U4954">
        <v>-0.563446</v>
      </c>
      <c r="V4954">
        <v>0.1303735</v>
      </c>
      <c r="W4954">
        <v>0.11564339999999999</v>
      </c>
      <c r="X4954">
        <v>0.98469759999999995</v>
      </c>
      <c r="Y4954">
        <v>0.18735869999999999</v>
      </c>
      <c r="Z4954">
        <v>-8.3198230000000005E-3</v>
      </c>
      <c r="AA4954">
        <v>0.98225640000000003</v>
      </c>
      <c r="AB4954">
        <v>24</v>
      </c>
      <c r="AC4954">
        <v>12.691899999999899</v>
      </c>
      <c r="AD4954">
        <v>-1.110055382641</v>
      </c>
      <c r="AE4954">
        <v>-2.4075599999999899</v>
      </c>
      <c r="AF4954">
        <v>2.4309211338284999</v>
      </c>
      <c r="AG4954">
        <v>-1.110055382641</v>
      </c>
      <c r="AH4954">
        <v>12.591023655818001</v>
      </c>
      <c r="AI4954">
        <v>94.947410971208697</v>
      </c>
      <c r="AJ4954">
        <v>79.072481534571196</v>
      </c>
      <c r="AK4954">
        <v>12.8714986389617</v>
      </c>
      <c r="AL4954">
        <v>83.359263273753101</v>
      </c>
      <c r="AM4954">
        <v>82.457931455638601</v>
      </c>
      <c r="AN4954">
        <v>1.00000000445578</v>
      </c>
    </row>
    <row r="4955" spans="1:40" x14ac:dyDescent="0.25">
      <c r="A4955" t="str">
        <f>"20190312151635470"</f>
        <v>20190312151635470</v>
      </c>
      <c r="B4955" t="str">
        <f>"1552374995462796"</f>
        <v>1552374995462796</v>
      </c>
      <c r="C4955" t="s">
        <v>40</v>
      </c>
      <c r="D4955">
        <v>4.5398639999999997</v>
      </c>
      <c r="E4955">
        <v>0.52148470000000002</v>
      </c>
      <c r="F4955" t="s">
        <v>43</v>
      </c>
      <c r="G4955">
        <v>-341.7398</v>
      </c>
      <c r="H4955" s="1">
        <v>-4.4471890000000003E-6</v>
      </c>
      <c r="I4955">
        <v>14.42239</v>
      </c>
      <c r="J4955">
        <v>-354.46660000000003</v>
      </c>
      <c r="K4955">
        <v>1.1100650000000001</v>
      </c>
      <c r="L4955">
        <v>16.848299999999998</v>
      </c>
      <c r="M4955">
        <v>0.99991669999999999</v>
      </c>
      <c r="N4955">
        <v>0</v>
      </c>
      <c r="O4955">
        <v>3.3035569999999999E-3</v>
      </c>
      <c r="P4955">
        <v>0.98631199999999997</v>
      </c>
      <c r="Q4955">
        <v>0.1036825</v>
      </c>
      <c r="R4955">
        <v>-0.12821340000000001</v>
      </c>
      <c r="S4955">
        <v>2.9952700000000001</v>
      </c>
      <c r="T4955">
        <v>-0.25905129999999998</v>
      </c>
      <c r="U4955">
        <v>-0.56600950000000005</v>
      </c>
      <c r="V4955">
        <v>0.131456399999999</v>
      </c>
      <c r="W4955">
        <v>0.11599959999999999</v>
      </c>
      <c r="X4955">
        <v>0.98451169999999999</v>
      </c>
      <c r="Y4955">
        <v>0.1882365</v>
      </c>
      <c r="Z4955">
        <v>-8.3366819999999998E-3</v>
      </c>
      <c r="AA4955">
        <v>0.98208830000000003</v>
      </c>
      <c r="AB4955">
        <v>24</v>
      </c>
      <c r="AC4955">
        <v>12.726800000000001</v>
      </c>
      <c r="AD4955">
        <v>-1.11006944718899</v>
      </c>
      <c r="AE4955">
        <v>-2.4259099999999898</v>
      </c>
      <c r="AF4955">
        <v>2.44995831002297</v>
      </c>
      <c r="AG4955">
        <v>-1.11006944718899</v>
      </c>
      <c r="AH4955">
        <v>12.6260266371896</v>
      </c>
      <c r="AI4955">
        <v>94.932934623693498</v>
      </c>
      <c r="AJ4955">
        <v>79.018771643416002</v>
      </c>
      <c r="AK4955">
        <v>12.9093415223804</v>
      </c>
      <c r="AL4955">
        <v>83.338716138802994</v>
      </c>
      <c r="AM4955">
        <v>82.394597034902702</v>
      </c>
      <c r="AN4955">
        <v>0.99999998986900496</v>
      </c>
    </row>
    <row r="4956" spans="1:40" x14ac:dyDescent="0.25">
      <c r="A4956" t="str">
        <f>"20190312151635482"</f>
        <v>20190312151635482</v>
      </c>
      <c r="B4956" t="str">
        <f>"1552374995472557"</f>
        <v>1552374995472557</v>
      </c>
      <c r="C4956" t="s">
        <v>40</v>
      </c>
      <c r="D4956">
        <v>4.5491460000000004</v>
      </c>
      <c r="E4956">
        <v>0.52149129999999999</v>
      </c>
      <c r="F4956" t="s">
        <v>43</v>
      </c>
      <c r="G4956">
        <v>-341.62580000000003</v>
      </c>
      <c r="H4956" s="1">
        <v>-4.4985299999999998E-6</v>
      </c>
      <c r="I4956">
        <v>14.408849999999999</v>
      </c>
      <c r="J4956">
        <v>-354.3458</v>
      </c>
      <c r="K4956">
        <v>1.1100829999999999</v>
      </c>
      <c r="L4956">
        <v>16.848749999999999</v>
      </c>
      <c r="M4956">
        <v>0.99991620000000003</v>
      </c>
      <c r="N4956">
        <v>0</v>
      </c>
      <c r="O4956">
        <v>3.3602089999999999E-3</v>
      </c>
      <c r="P4956">
        <v>0.98615249999999999</v>
      </c>
      <c r="Q4956">
        <v>0.10393520000000001</v>
      </c>
      <c r="R4956">
        <v>-0.12923270000000001</v>
      </c>
      <c r="S4956">
        <v>2.994904</v>
      </c>
      <c r="T4956">
        <v>-0.25890449999999998</v>
      </c>
      <c r="U4956">
        <v>-0.56893919999999998</v>
      </c>
      <c r="V4956">
        <v>0.13252949999999999</v>
      </c>
      <c r="W4956">
        <v>0.1162657</v>
      </c>
      <c r="X4956">
        <v>0.9843364</v>
      </c>
      <c r="Y4956">
        <v>0.1892383</v>
      </c>
      <c r="Z4956">
        <v>-8.3799089999999996E-3</v>
      </c>
      <c r="AA4956">
        <v>0.98189539999999997</v>
      </c>
      <c r="AB4956">
        <v>24</v>
      </c>
      <c r="AC4956">
        <v>12.719999999999899</v>
      </c>
      <c r="AD4956">
        <v>-1.11008749852999</v>
      </c>
      <c r="AE4956">
        <v>-2.4399000000000002</v>
      </c>
      <c r="AF4956">
        <v>2.4645271289634199</v>
      </c>
      <c r="AG4956">
        <v>-1.11008749852999</v>
      </c>
      <c r="AH4956">
        <v>12.619030195563001</v>
      </c>
      <c r="AI4956">
        <v>94.934573484313503</v>
      </c>
      <c r="AJ4956">
        <v>78.949099321420107</v>
      </c>
      <c r="AK4956">
        <v>12.905274553465301</v>
      </c>
      <c r="AL4956">
        <v>83.323365699623494</v>
      </c>
      <c r="AM4956">
        <v>82.331899268498702</v>
      </c>
      <c r="AN4956">
        <v>0.99999996486584897</v>
      </c>
    </row>
    <row r="4957" spans="1:40" x14ac:dyDescent="0.25">
      <c r="A4957" t="str">
        <f>"20190312151635494"</f>
        <v>20190312151635494</v>
      </c>
      <c r="B4957" t="str">
        <f>"1552374995483293"</f>
        <v>1552374995483293</v>
      </c>
      <c r="C4957" t="s">
        <v>40</v>
      </c>
      <c r="D4957">
        <v>4.533614</v>
      </c>
      <c r="E4957">
        <v>0.52146740000000003</v>
      </c>
      <c r="F4957" t="s">
        <v>43</v>
      </c>
      <c r="G4957">
        <v>-341.50319999999999</v>
      </c>
      <c r="H4957" s="1">
        <v>-4.5534560000000002E-6</v>
      </c>
      <c r="I4957">
        <v>14.395709999999999</v>
      </c>
      <c r="J4957">
        <v>-354.22160000000002</v>
      </c>
      <c r="K4957">
        <v>1.1101000000000001</v>
      </c>
      <c r="L4957">
        <v>16.849209999999999</v>
      </c>
      <c r="M4957">
        <v>0.99991589999999997</v>
      </c>
      <c r="N4957">
        <v>0</v>
      </c>
      <c r="O4957">
        <v>3.4196140000000001E-3</v>
      </c>
      <c r="P4957">
        <v>0.98602769999999995</v>
      </c>
      <c r="Q4957">
        <v>0.1041868</v>
      </c>
      <c r="R4957">
        <v>-0.1299797</v>
      </c>
      <c r="S4957">
        <v>2.9943849999999999</v>
      </c>
      <c r="T4957">
        <v>-0.25882670000000002</v>
      </c>
      <c r="U4957">
        <v>-0.57192989999999999</v>
      </c>
      <c r="V4957">
        <v>0.13333349999999999</v>
      </c>
      <c r="W4957">
        <v>0.11653189999999999</v>
      </c>
      <c r="X4957">
        <v>0.98419639999999997</v>
      </c>
      <c r="Y4957">
        <v>0.19027050000000001</v>
      </c>
      <c r="Z4957">
        <v>-8.4272630000000008E-3</v>
      </c>
      <c r="AA4957">
        <v>0.98169550000000005</v>
      </c>
      <c r="AB4957">
        <v>24</v>
      </c>
      <c r="AC4957">
        <v>12.718400000000001</v>
      </c>
      <c r="AD4957">
        <v>-1.1101045534559999</v>
      </c>
      <c r="AE4957">
        <v>-2.4534999999999898</v>
      </c>
      <c r="AF4957">
        <v>2.4787743675973402</v>
      </c>
      <c r="AG4957">
        <v>-1.1101045534559999</v>
      </c>
      <c r="AH4957">
        <v>12.6172606096326</v>
      </c>
      <c r="AI4957">
        <v>94.934266237630794</v>
      </c>
      <c r="AJ4957">
        <v>78.885280965572093</v>
      </c>
      <c r="AK4957">
        <v>12.906274434415501</v>
      </c>
      <c r="AL4957">
        <v>83.308009614347796</v>
      </c>
      <c r="AM4957">
        <v>82.284854544539101</v>
      </c>
      <c r="AN4957">
        <v>1.0000000298564</v>
      </c>
    </row>
    <row r="4958" spans="1:40" x14ac:dyDescent="0.25">
      <c r="A4958" t="str">
        <f>"20190312151635504"</f>
        <v>20190312151635504</v>
      </c>
      <c r="B4958" t="str">
        <f>"1552374995493052"</f>
        <v>1552374995493052</v>
      </c>
      <c r="C4958" t="s">
        <v>40</v>
      </c>
      <c r="D4958">
        <v>4.4835609999999999</v>
      </c>
      <c r="E4958">
        <v>0.52150819999999998</v>
      </c>
      <c r="F4958" t="s">
        <v>43</v>
      </c>
      <c r="G4958">
        <v>-341.39679999999998</v>
      </c>
      <c r="H4958" s="1">
        <v>-4.5998609999999998E-6</v>
      </c>
      <c r="I4958">
        <v>14.391279999999901</v>
      </c>
      <c r="J4958">
        <v>-354.0942</v>
      </c>
      <c r="K4958">
        <v>1.1101219999999901</v>
      </c>
      <c r="L4958">
        <v>16.849699999999999</v>
      </c>
      <c r="M4958">
        <v>0.99991549999999996</v>
      </c>
      <c r="N4958">
        <v>0</v>
      </c>
      <c r="O4958">
        <v>3.48884E-3</v>
      </c>
      <c r="P4958">
        <v>0.98583129999999997</v>
      </c>
      <c r="Q4958">
        <v>0.1044945</v>
      </c>
      <c r="R4958">
        <v>-0.13121629999999901</v>
      </c>
      <c r="S4958">
        <v>2.9942929999999999</v>
      </c>
      <c r="T4958">
        <v>-0.25918469999999999</v>
      </c>
      <c r="U4958">
        <v>-0.57385249999999999</v>
      </c>
      <c r="V4958">
        <v>0.13463559999999999</v>
      </c>
      <c r="W4958">
        <v>0.1168525</v>
      </c>
      <c r="X4958">
        <v>0.98398110000000005</v>
      </c>
      <c r="Y4958">
        <v>0.19094739999999999</v>
      </c>
      <c r="Z4958">
        <v>-8.4735409999999994E-3</v>
      </c>
      <c r="AA4958">
        <v>0.98156370000000004</v>
      </c>
      <c r="AB4958">
        <v>24</v>
      </c>
      <c r="AC4958">
        <v>12.6974</v>
      </c>
      <c r="AD4958">
        <v>-1.1101265998609999</v>
      </c>
      <c r="AE4958">
        <v>-2.4584199999999998</v>
      </c>
      <c r="AF4958">
        <v>2.4844033365076799</v>
      </c>
      <c r="AG4958">
        <v>-1.1101265998609999</v>
      </c>
      <c r="AH4958">
        <v>12.595941724383399</v>
      </c>
      <c r="AI4958">
        <v>94.941947555231295</v>
      </c>
      <c r="AJ4958">
        <v>78.842290585373107</v>
      </c>
      <c r="AK4958">
        <v>12.8865196593274</v>
      </c>
      <c r="AL4958">
        <v>83.289514219656596</v>
      </c>
      <c r="AM4958">
        <v>82.208747588732294</v>
      </c>
      <c r="AN4958">
        <v>1.0000000283504</v>
      </c>
    </row>
    <row r="4959" spans="1:40" x14ac:dyDescent="0.25">
      <c r="A4959" t="str">
        <f>"20190312151635517"</f>
        <v>20190312151635517</v>
      </c>
      <c r="B4959" t="str">
        <f>"1552374995512573"</f>
        <v>1552374995512573</v>
      </c>
      <c r="C4959" t="s">
        <v>40</v>
      </c>
      <c r="D4959">
        <v>4.5073699999999999</v>
      </c>
      <c r="E4959">
        <v>0.52151530000000001</v>
      </c>
      <c r="F4959" t="s">
        <v>43</v>
      </c>
      <c r="G4959">
        <v>-341.24349999999998</v>
      </c>
      <c r="H4959" s="1">
        <v>-4.6695269999999996E-6</v>
      </c>
      <c r="I4959">
        <v>14.36936</v>
      </c>
      <c r="J4959">
        <v>-353.96359999999999</v>
      </c>
      <c r="K4959">
        <v>1.110142</v>
      </c>
      <c r="L4959">
        <v>16.850249999999999</v>
      </c>
      <c r="M4959">
        <v>0.99991490000000005</v>
      </c>
      <c r="N4959">
        <v>0</v>
      </c>
      <c r="O4959">
        <v>3.5644000000000001E-3</v>
      </c>
      <c r="P4959">
        <v>0.98566069999999995</v>
      </c>
      <c r="Q4959">
        <v>0.1048669</v>
      </c>
      <c r="R4959">
        <v>-0.132195799999999</v>
      </c>
      <c r="S4959">
        <v>2.993652</v>
      </c>
      <c r="T4959">
        <v>-0.2586099</v>
      </c>
      <c r="U4959">
        <v>-0.57778929999999995</v>
      </c>
      <c r="V4959">
        <v>0.13568649999999999</v>
      </c>
      <c r="W4959">
        <v>0.1172385</v>
      </c>
      <c r="X4959">
        <v>0.98379079999999997</v>
      </c>
      <c r="Y4959">
        <v>0.1923029</v>
      </c>
      <c r="Z4959">
        <v>-8.5199130000000005E-3</v>
      </c>
      <c r="AA4959">
        <v>0.98129860000000002</v>
      </c>
      <c r="AB4959">
        <v>24</v>
      </c>
      <c r="AC4959">
        <v>12.7201</v>
      </c>
      <c r="AD4959">
        <v>-1.1101466695269999</v>
      </c>
      <c r="AE4959">
        <v>-2.4808899999999898</v>
      </c>
      <c r="AF4959">
        <v>2.5078154863964501</v>
      </c>
      <c r="AG4959">
        <v>-1.1101466695269999</v>
      </c>
      <c r="AH4959">
        <v>12.618582974711099</v>
      </c>
      <c r="AI4959">
        <v>94.931808828207096</v>
      </c>
      <c r="AJ4959">
        <v>78.7595077561556</v>
      </c>
      <c r="AK4959">
        <v>12.913179330875099</v>
      </c>
      <c r="AL4959">
        <v>83.2672448936557</v>
      </c>
      <c r="AM4959">
        <v>82.147188655028899</v>
      </c>
      <c r="AN4959">
        <v>1.0000000151645601</v>
      </c>
    </row>
    <row r="4960" spans="1:40" x14ac:dyDescent="0.25">
      <c r="A4960" t="str">
        <f>"20190312151635529"</f>
        <v>20190312151635529</v>
      </c>
      <c r="B4960" t="str">
        <f>"1552374995522332"</f>
        <v>1552374995522332</v>
      </c>
      <c r="C4960" t="s">
        <v>40</v>
      </c>
      <c r="D4960">
        <v>4.4925309999999996</v>
      </c>
      <c r="E4960">
        <v>0.52153679999999902</v>
      </c>
      <c r="F4960" t="s">
        <v>43</v>
      </c>
      <c r="G4960">
        <v>-341.15440000000001</v>
      </c>
      <c r="H4960" s="1">
        <v>-4.7085809999999998E-6</v>
      </c>
      <c r="I4960">
        <v>14.36464</v>
      </c>
      <c r="J4960">
        <v>-353.83499999999998</v>
      </c>
      <c r="K4960">
        <v>1.1101639999999999</v>
      </c>
      <c r="L4960">
        <v>16.8508</v>
      </c>
      <c r="M4960">
        <v>0.99991459999999999</v>
      </c>
      <c r="N4960">
        <v>0</v>
      </c>
      <c r="O4960">
        <v>3.6461229999999998E-3</v>
      </c>
      <c r="P4960">
        <v>0.98547370000000001</v>
      </c>
      <c r="Q4960">
        <v>0.1052043</v>
      </c>
      <c r="R4960">
        <v>-0.13331899999999999</v>
      </c>
      <c r="S4960">
        <v>2.9933779999999999</v>
      </c>
      <c r="T4960">
        <v>-0.25942979999999999</v>
      </c>
      <c r="U4960">
        <v>-0.5808411</v>
      </c>
      <c r="V4960">
        <v>0.1368867</v>
      </c>
      <c r="W4960">
        <v>0.1175889</v>
      </c>
      <c r="X4960">
        <v>0.98358270000000003</v>
      </c>
      <c r="Y4960">
        <v>0.19335550000000001</v>
      </c>
      <c r="Z4960">
        <v>-8.5988969999999994E-3</v>
      </c>
      <c r="AA4960">
        <v>0.98109109999999999</v>
      </c>
      <c r="AB4960">
        <v>24</v>
      </c>
      <c r="AC4960">
        <v>12.680599999999901</v>
      </c>
      <c r="AD4960">
        <v>-1.1101687085809999</v>
      </c>
      <c r="AE4960">
        <v>-2.4861599999999999</v>
      </c>
      <c r="AF4960">
        <v>2.5138274973836201</v>
      </c>
      <c r="AG4960">
        <v>-1.1101687085809999</v>
      </c>
      <c r="AH4960">
        <v>12.5786070285283</v>
      </c>
      <c r="AI4960">
        <v>94.9464557000735</v>
      </c>
      <c r="AJ4960">
        <v>78.698362752848894</v>
      </c>
      <c r="AK4960">
        <v>12.8752925413855</v>
      </c>
      <c r="AL4960">
        <v>83.247028670963502</v>
      </c>
      <c r="AM4960">
        <v>82.076950769644398</v>
      </c>
      <c r="AN4960">
        <v>1.0000000228896899</v>
      </c>
    </row>
    <row r="4961" spans="1:40" x14ac:dyDescent="0.25">
      <c r="A4961" t="str">
        <f>"20190312151635541"</f>
        <v>20190312151635541</v>
      </c>
      <c r="B4961" t="str">
        <f>"1552374995533068"</f>
        <v>1552374995533068</v>
      </c>
      <c r="C4961" t="s">
        <v>40</v>
      </c>
      <c r="D4961">
        <v>3.9690940000000001</v>
      </c>
      <c r="E4961">
        <v>0.52153679999999902</v>
      </c>
      <c r="F4961" t="s">
        <v>43</v>
      </c>
      <c r="G4961">
        <v>-341.01960000000003</v>
      </c>
      <c r="H4961" s="1">
        <v>-4.7693159999999998E-6</v>
      </c>
      <c r="I4961">
        <v>14.34825</v>
      </c>
      <c r="J4961">
        <v>-353.70139999999998</v>
      </c>
      <c r="K4961">
        <v>1.110188</v>
      </c>
      <c r="L4961">
        <v>16.851410000000001</v>
      </c>
      <c r="M4961">
        <v>0.99991410000000003</v>
      </c>
      <c r="N4961">
        <v>0</v>
      </c>
      <c r="O4961">
        <v>3.7417689999999998E-3</v>
      </c>
      <c r="P4961">
        <v>0.9852746</v>
      </c>
      <c r="Q4961">
        <v>0.1053012</v>
      </c>
      <c r="R4961">
        <v>-0.13470570000000001</v>
      </c>
      <c r="S4961">
        <v>2.9928279999999998</v>
      </c>
      <c r="T4961">
        <v>-0.25926260000000001</v>
      </c>
      <c r="U4961">
        <v>-0.58441160000000003</v>
      </c>
      <c r="V4961">
        <v>0.1383635</v>
      </c>
      <c r="W4961">
        <v>0.1176987</v>
      </c>
      <c r="X4961">
        <v>0.98336290000000004</v>
      </c>
      <c r="Y4961">
        <v>0.19460659999999999</v>
      </c>
      <c r="Z4961">
        <v>-8.6557319999999993E-3</v>
      </c>
      <c r="AA4961">
        <v>0.98084320000000003</v>
      </c>
      <c r="AB4961">
        <v>24</v>
      </c>
      <c r="AC4961">
        <v>12.6817999999999</v>
      </c>
      <c r="AD4961">
        <v>-1.1101927693160001</v>
      </c>
      <c r="AE4961">
        <v>-2.5031599999999998</v>
      </c>
      <c r="AF4961">
        <v>2.5319224626305301</v>
      </c>
      <c r="AG4961">
        <v>-1.1101927693160001</v>
      </c>
      <c r="AH4961">
        <v>12.5795541436185</v>
      </c>
      <c r="AI4961">
        <v>94.944841284718606</v>
      </c>
      <c r="AJ4961">
        <v>78.619961848912595</v>
      </c>
      <c r="AK4961">
        <v>12.8797648190502</v>
      </c>
      <c r="AL4961">
        <v>83.240693567014603</v>
      </c>
      <c r="AM4961">
        <v>81.990809373341193</v>
      </c>
      <c r="AN4961">
        <v>1.00000001760517</v>
      </c>
    </row>
    <row r="4962" spans="1:40" x14ac:dyDescent="0.25">
      <c r="A4962" t="str">
        <f>"20190312151635552"</f>
        <v>20190312151635552</v>
      </c>
      <c r="B4962" t="str">
        <f>"1552374995542828"</f>
        <v>1552374995542828</v>
      </c>
      <c r="C4962" t="s">
        <v>40</v>
      </c>
      <c r="D4962">
        <v>4.5010890000000003</v>
      </c>
      <c r="E4962">
        <v>0.52159040000000001</v>
      </c>
      <c r="F4962" t="s">
        <v>43</v>
      </c>
      <c r="G4962">
        <v>-340.87549999999999</v>
      </c>
      <c r="H4962" s="1">
        <v>-4.8346069999999901E-6</v>
      </c>
      <c r="I4962">
        <v>14.328760000000001</v>
      </c>
      <c r="J4962">
        <v>-353.57819999999998</v>
      </c>
      <c r="K4962">
        <v>1.110209</v>
      </c>
      <c r="L4962">
        <v>16.851929999999999</v>
      </c>
      <c r="M4962">
        <v>0.99991359999999996</v>
      </c>
      <c r="N4962">
        <v>0</v>
      </c>
      <c r="O4962">
        <v>3.8344400000000002E-3</v>
      </c>
      <c r="P4962">
        <v>0.98508189999999995</v>
      </c>
      <c r="Q4962">
        <v>0.10561619999999999</v>
      </c>
      <c r="R4962">
        <v>-0.13586409999999999</v>
      </c>
      <c r="S4962">
        <v>2.9920650000000002</v>
      </c>
      <c r="T4962">
        <v>-0.25898860000000001</v>
      </c>
      <c r="U4962">
        <v>-0.58847050000000001</v>
      </c>
      <c r="V4962">
        <v>0.13960910000000001</v>
      </c>
      <c r="W4962">
        <v>0.118025</v>
      </c>
      <c r="X4962">
        <v>0.98314769999999896</v>
      </c>
      <c r="Y4962">
        <v>0.19602159999999999</v>
      </c>
      <c r="Z4962">
        <v>-8.7161449999999998E-3</v>
      </c>
      <c r="AA4962">
        <v>0.98056080000000001</v>
      </c>
      <c r="AB4962">
        <v>24</v>
      </c>
      <c r="AC4962">
        <v>12.702699999999901</v>
      </c>
      <c r="AD4962">
        <v>-1.1102138346070001</v>
      </c>
      <c r="AE4962">
        <v>-2.5231699999999901</v>
      </c>
      <c r="AF4962">
        <v>2.55310085054351</v>
      </c>
      <c r="AG4962">
        <v>-1.1102138346070001</v>
      </c>
      <c r="AH4962">
        <v>12.600333750124999</v>
      </c>
      <c r="AI4962">
        <v>94.935534602344404</v>
      </c>
      <c r="AJ4962">
        <v>78.545706517155494</v>
      </c>
      <c r="AK4962">
        <v>12.9042361000618</v>
      </c>
      <c r="AL4962">
        <v>83.221866616417401</v>
      </c>
      <c r="AM4962">
        <v>81.917910381288294</v>
      </c>
      <c r="AN4962">
        <v>1.0000000007215399</v>
      </c>
    </row>
    <row r="4963" spans="1:40" x14ac:dyDescent="0.25">
      <c r="A4963" t="str">
        <f>"20190312151635563"</f>
        <v>20190312151635563</v>
      </c>
      <c r="B4963" t="str">
        <f>"1552374995552589"</f>
        <v>1552374995552589</v>
      </c>
      <c r="C4963" t="s">
        <v>40</v>
      </c>
      <c r="D4963">
        <v>4.4637880000000001</v>
      </c>
      <c r="E4963">
        <v>0.52157240000000005</v>
      </c>
      <c r="F4963" t="s">
        <v>43</v>
      </c>
      <c r="G4963">
        <v>-340.7534</v>
      </c>
      <c r="H4963" s="1">
        <v>-4.8898659999999999E-6</v>
      </c>
      <c r="I4963">
        <v>14.31241</v>
      </c>
      <c r="J4963">
        <v>-353.46699999999998</v>
      </c>
      <c r="K4963">
        <v>1.110231</v>
      </c>
      <c r="L4963">
        <v>16.85248</v>
      </c>
      <c r="M4963">
        <v>0.99991319999999995</v>
      </c>
      <c r="N4963">
        <v>0</v>
      </c>
      <c r="O4963">
        <v>3.9374939999999997E-3</v>
      </c>
      <c r="P4963">
        <v>0.98490460000000002</v>
      </c>
      <c r="Q4963">
        <v>0.1058183</v>
      </c>
      <c r="R4963">
        <v>-0.13698759999999999</v>
      </c>
      <c r="S4963">
        <v>2.9914860000000001</v>
      </c>
      <c r="T4963">
        <v>-0.25896730000000001</v>
      </c>
      <c r="U4963">
        <v>-0.59234619999999905</v>
      </c>
      <c r="V4963">
        <v>0.14082999999999901</v>
      </c>
      <c r="W4963">
        <v>0.1182376</v>
      </c>
      <c r="X4963">
        <v>0.98294800000000004</v>
      </c>
      <c r="Y4963">
        <v>0.197376</v>
      </c>
      <c r="Z4963">
        <v>-8.7827830000000006E-3</v>
      </c>
      <c r="AA4963">
        <v>0.98028850000000001</v>
      </c>
      <c r="AB4963">
        <v>24</v>
      </c>
      <c r="AC4963">
        <v>12.7135999999999</v>
      </c>
      <c r="AD4963">
        <v>-1.1102358898660001</v>
      </c>
      <c r="AE4963">
        <v>-2.5400700000000001</v>
      </c>
      <c r="AF4963">
        <v>2.5712583761318299</v>
      </c>
      <c r="AG4963">
        <v>-1.1102358898660001</v>
      </c>
      <c r="AH4963">
        <v>12.6110197068451</v>
      </c>
      <c r="AI4963">
        <v>94.930256083084998</v>
      </c>
      <c r="AJ4963">
        <v>78.475931078037405</v>
      </c>
      <c r="AK4963">
        <v>12.9182743202956</v>
      </c>
      <c r="AL4963">
        <v>83.209599599909495</v>
      </c>
      <c r="AM4963">
        <v>81.846543475662898</v>
      </c>
      <c r="AN4963">
        <v>0.99999999482888002</v>
      </c>
    </row>
    <row r="4964" spans="1:40" x14ac:dyDescent="0.25">
      <c r="A4964" t="str">
        <f>"20190312151635576"</f>
        <v>20190312151635576</v>
      </c>
      <c r="B4964" t="str">
        <f>"1552374995573084"</f>
        <v>1552374995573084</v>
      </c>
      <c r="C4964" t="s">
        <v>40</v>
      </c>
      <c r="D4964">
        <v>4.4624499999999996</v>
      </c>
      <c r="E4964">
        <v>0.52166899999999905</v>
      </c>
      <c r="F4964" t="s">
        <v>43</v>
      </c>
      <c r="G4964">
        <v>-340.64530000000002</v>
      </c>
      <c r="H4964" s="1">
        <v>-4.9385149999999996E-6</v>
      </c>
      <c r="I4964">
        <v>14.299630000000001</v>
      </c>
      <c r="J4964">
        <v>-353.32530000000003</v>
      </c>
      <c r="K4964">
        <v>1.11025</v>
      </c>
      <c r="L4964">
        <v>16.853179999999998</v>
      </c>
      <c r="M4964">
        <v>0.99991240000000003</v>
      </c>
      <c r="N4964">
        <v>0</v>
      </c>
      <c r="O4964">
        <v>4.0764729999999997E-3</v>
      </c>
      <c r="P4964">
        <v>0.98471450000000005</v>
      </c>
      <c r="Q4964">
        <v>0.1060485</v>
      </c>
      <c r="R4964">
        <v>-0.1381722</v>
      </c>
      <c r="S4964">
        <v>2.9909669999999999</v>
      </c>
      <c r="T4964">
        <v>-0.25898789999999999</v>
      </c>
      <c r="U4964">
        <v>-0.5954895</v>
      </c>
      <c r="V4964">
        <v>0.14214579999999999</v>
      </c>
      <c r="W4964">
        <v>0.118481</v>
      </c>
      <c r="X4964">
        <v>0.98272930000000003</v>
      </c>
      <c r="Y4964">
        <v>0.19853080000000001</v>
      </c>
      <c r="Z4964">
        <v>-8.8454039999999994E-3</v>
      </c>
      <c r="AA4964">
        <v>0.98005469999999895</v>
      </c>
      <c r="AB4964">
        <v>24</v>
      </c>
      <c r="AC4964">
        <v>12.68</v>
      </c>
      <c r="AD4964">
        <v>-1.110254938515</v>
      </c>
      <c r="AE4964">
        <v>-2.5535499999999902</v>
      </c>
      <c r="AF4964">
        <v>2.5861680194976802</v>
      </c>
      <c r="AG4964">
        <v>-1.110254938515</v>
      </c>
      <c r="AH4964">
        <v>12.576820013459599</v>
      </c>
      <c r="AI4964">
        <v>94.941999073748207</v>
      </c>
      <c r="AJ4964">
        <v>78.380252711127198</v>
      </c>
      <c r="AK4964">
        <v>12.887875414688301</v>
      </c>
      <c r="AL4964">
        <v>83.195555302009794</v>
      </c>
      <c r="AM4964">
        <v>81.769596587618295</v>
      </c>
      <c r="AN4964">
        <v>1.00000002644856</v>
      </c>
    </row>
    <row r="4965" spans="1:40" x14ac:dyDescent="0.25">
      <c r="A4965" t="str">
        <f>"20190312151635588"</f>
        <v>20190312151635588</v>
      </c>
      <c r="B4965" t="str">
        <f>"1552374995582845"</f>
        <v>1552374995582845</v>
      </c>
      <c r="C4965" t="s">
        <v>40</v>
      </c>
      <c r="D4965">
        <v>4.4331740000000002</v>
      </c>
      <c r="E4965">
        <v>0.52196030000000004</v>
      </c>
      <c r="F4965" t="s">
        <v>43</v>
      </c>
      <c r="G4965">
        <v>-340.4366</v>
      </c>
      <c r="H4965" s="1">
        <v>-5.0335680000000004E-6</v>
      </c>
      <c r="I4965">
        <v>14.268459999999999</v>
      </c>
      <c r="J4965">
        <v>-353.18459999999999</v>
      </c>
      <c r="K4965">
        <v>1.110277</v>
      </c>
      <c r="L4965">
        <v>16.85388</v>
      </c>
      <c r="M4965">
        <v>0.99991169999999996</v>
      </c>
      <c r="N4965">
        <v>0</v>
      </c>
      <c r="O4965">
        <v>4.2347970000000002E-3</v>
      </c>
      <c r="P4965">
        <v>0.98451829999999996</v>
      </c>
      <c r="Q4965">
        <v>0.10625</v>
      </c>
      <c r="R4965">
        <v>-0.1394089</v>
      </c>
      <c r="S4965">
        <v>2.9902039999999999</v>
      </c>
      <c r="T4965">
        <v>-0.25758120000000001</v>
      </c>
      <c r="U4965">
        <v>-0.5996399</v>
      </c>
      <c r="V4965">
        <v>0.14353270000000001</v>
      </c>
      <c r="W4965">
        <v>0.1186955</v>
      </c>
      <c r="X4965">
        <v>0.98250179999999998</v>
      </c>
      <c r="Y4965">
        <v>0.20004350000000001</v>
      </c>
      <c r="Z4965">
        <v>-8.8764289999999999E-3</v>
      </c>
      <c r="AA4965">
        <v>0.97974680000000003</v>
      </c>
      <c r="AB4965">
        <v>24</v>
      </c>
      <c r="AC4965">
        <v>12.7479999999999</v>
      </c>
      <c r="AD4965">
        <v>-1.1102820335679999</v>
      </c>
      <c r="AE4965">
        <v>-2.5854199999999898</v>
      </c>
      <c r="AF4965">
        <v>2.6202953608383499</v>
      </c>
      <c r="AG4965">
        <v>-1.1102820335679999</v>
      </c>
      <c r="AH4965">
        <v>12.6448086260098</v>
      </c>
      <c r="AI4965">
        <v>94.914134012066398</v>
      </c>
      <c r="AJ4965">
        <v>78.292694869105404</v>
      </c>
      <c r="AK4965">
        <v>12.961090199535899</v>
      </c>
      <c r="AL4965">
        <v>83.183177989408605</v>
      </c>
      <c r="AM4965">
        <v>81.688512294810394</v>
      </c>
      <c r="AN4965">
        <v>1.0000000223463801</v>
      </c>
    </row>
    <row r="4966" spans="1:40" x14ac:dyDescent="0.25">
      <c r="A4966" t="str">
        <f>"20190312151635606"</f>
        <v>20190312151635606</v>
      </c>
      <c r="B4966" t="str">
        <f>"1552374995603341"</f>
        <v>1552374995603341</v>
      </c>
      <c r="C4966" t="s">
        <v>40</v>
      </c>
      <c r="D4966">
        <v>4.4164059999999896</v>
      </c>
      <c r="E4966">
        <v>0.52224720000000002</v>
      </c>
      <c r="F4966" t="s">
        <v>43</v>
      </c>
      <c r="G4966">
        <v>-340.0548</v>
      </c>
      <c r="H4966" s="1">
        <v>-5.2104579999999996E-6</v>
      </c>
      <c r="I4966">
        <v>14.194579999999901</v>
      </c>
      <c r="J4966">
        <v>-353.00290000000001</v>
      </c>
      <c r="K4966">
        <v>1.110312</v>
      </c>
      <c r="L4966">
        <v>16.854890000000001</v>
      </c>
      <c r="M4966">
        <v>0.99991050000000004</v>
      </c>
      <c r="N4966">
        <v>0</v>
      </c>
      <c r="O4966">
        <v>4.4640160000000003E-3</v>
      </c>
      <c r="P4966">
        <v>0.98403430000000003</v>
      </c>
      <c r="Q4966">
        <v>0.1072013</v>
      </c>
      <c r="R4966">
        <v>-0.1420719</v>
      </c>
      <c r="S4966">
        <v>2.9887389999999998</v>
      </c>
      <c r="T4966">
        <v>-0.25273370000000001</v>
      </c>
      <c r="U4966">
        <v>-0.60531619999999997</v>
      </c>
      <c r="V4966">
        <v>0.14641170000000001</v>
      </c>
      <c r="W4966">
        <v>0.1196603</v>
      </c>
      <c r="X4966">
        <v>0.98195980000000005</v>
      </c>
      <c r="Y4966">
        <v>0.20216700000000001</v>
      </c>
      <c r="Z4966">
        <v>-8.8204069999999902E-3</v>
      </c>
      <c r="AA4966">
        <v>0.9793113</v>
      </c>
      <c r="AB4966">
        <v>24</v>
      </c>
      <c r="AC4966">
        <v>12.9481</v>
      </c>
      <c r="AD4966">
        <v>-1.1103172104579999</v>
      </c>
      <c r="AE4966">
        <v>-2.66031</v>
      </c>
      <c r="AF4966">
        <v>2.6990456046400801</v>
      </c>
      <c r="AG4966">
        <v>-1.1103172104579999</v>
      </c>
      <c r="AH4966">
        <v>12.845463704789299</v>
      </c>
      <c r="AI4966">
        <v>94.835106351241194</v>
      </c>
      <c r="AJ4966">
        <v>78.133820612315503</v>
      </c>
      <c r="AK4966">
        <v>13.172835278512601</v>
      </c>
      <c r="AL4966">
        <v>83.127502136438906</v>
      </c>
      <c r="AM4966">
        <v>81.519587262868797</v>
      </c>
      <c r="AN4966">
        <v>1.00000001105451</v>
      </c>
    </row>
    <row r="4967" spans="1:40" x14ac:dyDescent="0.25">
      <c r="A4967" t="str">
        <f>"20190312151635616"</f>
        <v>20190312151635616</v>
      </c>
      <c r="B4967" t="str">
        <f>"1552374995613101"</f>
        <v>1552374995613101</v>
      </c>
      <c r="C4967" t="s">
        <v>40</v>
      </c>
      <c r="D4967">
        <v>4.4180219999999997</v>
      </c>
      <c r="E4967">
        <v>0.52237210000000001</v>
      </c>
      <c r="F4967" t="s">
        <v>43</v>
      </c>
      <c r="G4967">
        <v>-339.55070000000001</v>
      </c>
      <c r="H4967" s="1">
        <v>-1.6112609999999999E-6</v>
      </c>
      <c r="I4967">
        <v>14.08291</v>
      </c>
      <c r="J4967">
        <v>-352.89170000000001</v>
      </c>
      <c r="K4967">
        <v>1.110333</v>
      </c>
      <c r="L4967">
        <v>16.855529999999899</v>
      </c>
      <c r="M4967">
        <v>0.99990970000000001</v>
      </c>
      <c r="N4967">
        <v>0</v>
      </c>
      <c r="O4967">
        <v>4.6143970000000001E-3</v>
      </c>
      <c r="P4967">
        <v>0.98382020000000003</v>
      </c>
      <c r="Q4967">
        <v>0.1075509</v>
      </c>
      <c r="R4967">
        <v>-0.1432851</v>
      </c>
      <c r="S4967">
        <v>2.9866640000000002</v>
      </c>
      <c r="T4967">
        <v>-0.2465118</v>
      </c>
      <c r="U4967">
        <v>-0.61541749999999995</v>
      </c>
      <c r="V4967">
        <v>0.14776729999999999</v>
      </c>
      <c r="W4967">
        <v>0.12001920000000001</v>
      </c>
      <c r="X4967">
        <v>0.9817129</v>
      </c>
      <c r="Y4967">
        <v>0.20564689999999999</v>
      </c>
      <c r="Z4967">
        <v>-8.7611089999999996E-3</v>
      </c>
      <c r="AA4967">
        <v>0.97858699999999998</v>
      </c>
      <c r="AB4967">
        <v>24</v>
      </c>
      <c r="AC4967">
        <v>13.340999999999999</v>
      </c>
      <c r="AD4967">
        <v>-1.110334611261</v>
      </c>
      <c r="AE4967">
        <v>-2.7726199999999901</v>
      </c>
      <c r="AF4967">
        <v>2.8154614459429701</v>
      </c>
      <c r="AG4967">
        <v>-1.110334611261</v>
      </c>
      <c r="AH4967">
        <v>13.2401486448104</v>
      </c>
      <c r="AI4967">
        <v>94.689310056740197</v>
      </c>
      <c r="AJ4967">
        <v>77.995110426061899</v>
      </c>
      <c r="AK4967">
        <v>13.5816494668074</v>
      </c>
      <c r="AL4967">
        <v>83.106789337897297</v>
      </c>
      <c r="AM4967">
        <v>81.440105593387798</v>
      </c>
      <c r="AN4967">
        <v>1.0000000006721601</v>
      </c>
    </row>
    <row r="4968" spans="1:40" x14ac:dyDescent="0.25">
      <c r="A4968" t="str">
        <f>"20190312151635627"</f>
        <v>20190312151635627</v>
      </c>
      <c r="B4968" t="str">
        <f>"1552374995622760"</f>
        <v>1552374995622760</v>
      </c>
      <c r="C4968" t="s">
        <v>40</v>
      </c>
      <c r="D4968">
        <v>4.4586319999999997</v>
      </c>
      <c r="E4968">
        <v>0.52250509999999994</v>
      </c>
      <c r="F4968" t="s">
        <v>43</v>
      </c>
      <c r="G4968">
        <v>-339.30279999999999</v>
      </c>
      <c r="H4968" s="1">
        <v>-1.7087010000000001E-6</v>
      </c>
      <c r="I4968">
        <v>14.033659999999999</v>
      </c>
      <c r="J4968">
        <v>-352.76780000000002</v>
      </c>
      <c r="K4968">
        <v>1.110358</v>
      </c>
      <c r="L4968">
        <v>16.85632</v>
      </c>
      <c r="M4968">
        <v>0.99990880000000004</v>
      </c>
      <c r="N4968">
        <v>0</v>
      </c>
      <c r="O4968">
        <v>4.7955630000000001E-3</v>
      </c>
      <c r="P4968">
        <v>0.98363339999999999</v>
      </c>
      <c r="Q4968">
        <v>0.1078572</v>
      </c>
      <c r="R4968">
        <v>-0.14433399999999999</v>
      </c>
      <c r="S4968">
        <v>2.9857179999999999</v>
      </c>
      <c r="T4968">
        <v>-0.24396029999999999</v>
      </c>
      <c r="U4968">
        <v>-0.61999510000000002</v>
      </c>
      <c r="V4968">
        <v>0.14898819999999999</v>
      </c>
      <c r="W4968">
        <v>0.12033629999999999</v>
      </c>
      <c r="X4968">
        <v>0.98148950000000001</v>
      </c>
      <c r="Y4968">
        <v>0.20733190000000001</v>
      </c>
      <c r="Z4968">
        <v>-8.7547040000000003E-3</v>
      </c>
      <c r="AA4968">
        <v>0.97823150000000003</v>
      </c>
      <c r="AB4968">
        <v>24</v>
      </c>
      <c r="AC4968">
        <v>13.465</v>
      </c>
      <c r="AD4968">
        <v>-1.110359708701</v>
      </c>
      <c r="AE4968">
        <v>-2.8226599999999902</v>
      </c>
      <c r="AF4968">
        <v>2.8685198532048402</v>
      </c>
      <c r="AG4968">
        <v>-1.110359708701</v>
      </c>
      <c r="AH4968">
        <v>13.364255165495599</v>
      </c>
      <c r="AI4968">
        <v>94.644173528345206</v>
      </c>
      <c r="AJ4968">
        <v>77.885770350173701</v>
      </c>
      <c r="AK4968">
        <v>13.713665482263</v>
      </c>
      <c r="AL4968">
        <v>83.088488019524803</v>
      </c>
      <c r="AM4968">
        <v>81.368506899842401</v>
      </c>
      <c r="AN4968">
        <v>0.99999997372358895</v>
      </c>
    </row>
    <row r="4969" spans="1:40" x14ac:dyDescent="0.25">
      <c r="A4969" t="str">
        <f>"20190312151635639"</f>
        <v>20190312151635639</v>
      </c>
      <c r="B4969" t="str">
        <f>"1552374995632520"</f>
        <v>1552374995632520</v>
      </c>
      <c r="C4969" t="s">
        <v>40</v>
      </c>
      <c r="D4969">
        <v>4.4353189999999998</v>
      </c>
      <c r="E4969">
        <v>0.52263970000000004</v>
      </c>
      <c r="F4969" t="s">
        <v>43</v>
      </c>
      <c r="G4969">
        <v>-339.06699999999898</v>
      </c>
      <c r="H4969" s="1">
        <v>-1.8006099999999901E-6</v>
      </c>
      <c r="I4969">
        <v>13.989940000000001</v>
      </c>
      <c r="J4969">
        <v>-352.64909999999998</v>
      </c>
      <c r="K4969">
        <v>1.1103860000000001</v>
      </c>
      <c r="L4969">
        <v>16.857060000000001</v>
      </c>
      <c r="M4969">
        <v>0.99990789999999996</v>
      </c>
      <c r="N4969">
        <v>0</v>
      </c>
      <c r="O4969">
        <v>4.9787449999999997E-3</v>
      </c>
      <c r="P4969">
        <v>0.98349050000000005</v>
      </c>
      <c r="Q4969">
        <v>0.1081102</v>
      </c>
      <c r="R4969">
        <v>-0.14511650000000001</v>
      </c>
      <c r="S4969">
        <v>2.9848629999999998</v>
      </c>
      <c r="T4969">
        <v>-0.24190220000000001</v>
      </c>
      <c r="U4969">
        <v>-0.62445069999999903</v>
      </c>
      <c r="V4969">
        <v>0.1499451</v>
      </c>
      <c r="W4969">
        <v>0.120599</v>
      </c>
      <c r="X4969">
        <v>0.98131159999999995</v>
      </c>
      <c r="Y4969">
        <v>0.2089715</v>
      </c>
      <c r="Z4969">
        <v>-8.7624980000000005E-3</v>
      </c>
      <c r="AA4969">
        <v>0.97788249999999999</v>
      </c>
      <c r="AB4969">
        <v>24</v>
      </c>
      <c r="AC4969">
        <v>13.582100000000001</v>
      </c>
      <c r="AD4969">
        <v>-1.1103878006100001</v>
      </c>
      <c r="AE4969">
        <v>-2.8671199999999999</v>
      </c>
      <c r="AF4969">
        <v>2.9160531493489898</v>
      </c>
      <c r="AG4969">
        <v>-1.1103878006100001</v>
      </c>
      <c r="AH4969">
        <v>13.4813944595815</v>
      </c>
      <c r="AI4969">
        <v>94.6025432027444</v>
      </c>
      <c r="AJ4969">
        <v>77.794833527034498</v>
      </c>
      <c r="AK4969">
        <v>13.837786080598599</v>
      </c>
      <c r="AL4969">
        <v>83.073326555784405</v>
      </c>
      <c r="AM4969">
        <v>81.312361997915303</v>
      </c>
      <c r="AN4969">
        <v>1.00000005405478</v>
      </c>
    </row>
    <row r="4970" spans="1:40" x14ac:dyDescent="0.25">
      <c r="A4970" t="str">
        <f>"20190312151635650"</f>
        <v>20190312151635650</v>
      </c>
      <c r="B4970" t="str">
        <f>"1552374995643256"</f>
        <v>1552374995643256</v>
      </c>
      <c r="C4970" t="s">
        <v>40</v>
      </c>
      <c r="D4970">
        <v>4.4516330000000002</v>
      </c>
      <c r="E4970">
        <v>0.52273349999999996</v>
      </c>
      <c r="F4970" t="s">
        <v>43</v>
      </c>
      <c r="G4970">
        <v>-338.83629999999999</v>
      </c>
      <c r="H4970" s="1">
        <v>-1.8896150000000001E-6</v>
      </c>
      <c r="I4970">
        <v>13.95035</v>
      </c>
      <c r="J4970">
        <v>-352.52249999999998</v>
      </c>
      <c r="K4970">
        <v>1.1104080000000001</v>
      </c>
      <c r="L4970">
        <v>16.85791</v>
      </c>
      <c r="M4970">
        <v>0.99990670000000004</v>
      </c>
      <c r="N4970">
        <v>0</v>
      </c>
      <c r="O4970">
        <v>5.1839340000000003E-3</v>
      </c>
      <c r="P4970">
        <v>0.98327390000000003</v>
      </c>
      <c r="Q4970">
        <v>0.10881449999999999</v>
      </c>
      <c r="R4970">
        <v>-0.1460553</v>
      </c>
      <c r="S4970">
        <v>2.9840390000000001</v>
      </c>
      <c r="T4970">
        <v>-0.23988180000000001</v>
      </c>
      <c r="U4970">
        <v>-0.62792969999999904</v>
      </c>
      <c r="V4970">
        <v>0.15107880000000001</v>
      </c>
      <c r="W4970">
        <v>0.1213128</v>
      </c>
      <c r="X4970">
        <v>0.98104970000000002</v>
      </c>
      <c r="Y4970">
        <v>0.21032419999999999</v>
      </c>
      <c r="Z4970">
        <v>-8.7608549999999997E-3</v>
      </c>
      <c r="AA4970">
        <v>0.97759240000000003</v>
      </c>
      <c r="AB4970">
        <v>24</v>
      </c>
      <c r="AC4970">
        <v>13.6861999999999</v>
      </c>
      <c r="AD4970">
        <v>-1.1104098896150001</v>
      </c>
      <c r="AE4970">
        <v>-2.9075599999999899</v>
      </c>
      <c r="AF4970">
        <v>2.9598327738727801</v>
      </c>
      <c r="AG4970">
        <v>-1.1104098896150001</v>
      </c>
      <c r="AH4970">
        <v>13.5853762960077</v>
      </c>
      <c r="AI4970">
        <v>94.566078348071997</v>
      </c>
      <c r="AJ4970">
        <v>77.709092312495898</v>
      </c>
      <c r="AK4970">
        <v>13.9483357170802</v>
      </c>
      <c r="AL4970">
        <v>83.032126350337407</v>
      </c>
      <c r="AM4970">
        <v>81.245389818243595</v>
      </c>
      <c r="AN4970">
        <v>1.00000005656168</v>
      </c>
    </row>
    <row r="4971" spans="1:40" x14ac:dyDescent="0.25">
      <c r="A4971" t="str">
        <f>"20190312151635660"</f>
        <v>20190312151635660</v>
      </c>
      <c r="B4971" t="str">
        <f>"1552374995653016"</f>
        <v>1552374995653016</v>
      </c>
      <c r="C4971" t="s">
        <v>40</v>
      </c>
      <c r="D4971">
        <v>4.4484250000000003</v>
      </c>
      <c r="E4971">
        <v>0.52279759999999997</v>
      </c>
      <c r="F4971" t="s">
        <v>43</v>
      </c>
      <c r="G4971">
        <v>-338.52519999999998</v>
      </c>
      <c r="H4971" s="1">
        <v>-2.0105870000000001E-6</v>
      </c>
      <c r="I4971">
        <v>13.893660000000001</v>
      </c>
      <c r="J4971">
        <v>-352.40780000000001</v>
      </c>
      <c r="K4971">
        <v>1.1104259999999999</v>
      </c>
      <c r="L4971">
        <v>16.858699999999999</v>
      </c>
      <c r="M4971">
        <v>0.99990559999999995</v>
      </c>
      <c r="N4971">
        <v>0</v>
      </c>
      <c r="O4971">
        <v>5.382174E-3</v>
      </c>
      <c r="P4971">
        <v>0.98306769999999999</v>
      </c>
      <c r="Q4971">
        <v>0.1094407</v>
      </c>
      <c r="R4971">
        <v>-0.1469723</v>
      </c>
      <c r="S4971">
        <v>2.9833370000000001</v>
      </c>
      <c r="T4971">
        <v>-0.2366693</v>
      </c>
      <c r="U4971">
        <v>-0.63177490000000003</v>
      </c>
      <c r="V4971">
        <v>0.15218509999999999</v>
      </c>
      <c r="W4971">
        <v>0.1219466</v>
      </c>
      <c r="X4971">
        <v>0.98080000000000001</v>
      </c>
      <c r="Y4971">
        <v>0.211783</v>
      </c>
      <c r="Z4971">
        <v>-8.7174160000000004E-3</v>
      </c>
      <c r="AA4971">
        <v>0.97727779999999997</v>
      </c>
      <c r="AB4971">
        <v>24</v>
      </c>
      <c r="AC4971">
        <v>13.8826</v>
      </c>
      <c r="AD4971">
        <v>-1.1104280105869999</v>
      </c>
      <c r="AE4971">
        <v>-2.9650399999999899</v>
      </c>
      <c r="AF4971">
        <v>3.0212352274635501</v>
      </c>
      <c r="AG4971">
        <v>-1.1104280105869999</v>
      </c>
      <c r="AH4971">
        <v>13.782109166155299</v>
      </c>
      <c r="AI4971">
        <v>94.499985084284106</v>
      </c>
      <c r="AJ4971">
        <v>77.635528326955907</v>
      </c>
      <c r="AK4971">
        <v>14.1530012977525</v>
      </c>
      <c r="AL4971">
        <v>82.995539970864797</v>
      </c>
      <c r="AM4971">
        <v>81.180076996158704</v>
      </c>
      <c r="AN4971">
        <v>0.99999995895678395</v>
      </c>
    </row>
    <row r="4972" spans="1:40" x14ac:dyDescent="0.25">
      <c r="A4972" t="str">
        <f>"20190312151635671"</f>
        <v>20190312151635671</v>
      </c>
      <c r="B4972" t="str">
        <f>"1552374995662776"</f>
        <v>1552374995662776</v>
      </c>
      <c r="C4972" t="s">
        <v>40</v>
      </c>
      <c r="D4972">
        <v>4.4285300000000003</v>
      </c>
      <c r="E4972">
        <v>0.52288579999999996</v>
      </c>
      <c r="F4972" t="s">
        <v>43</v>
      </c>
      <c r="G4972">
        <v>-338.22149999999999</v>
      </c>
      <c r="H4972" s="1">
        <v>-2.1286790000000001E-6</v>
      </c>
      <c r="I4972">
        <v>13.83827</v>
      </c>
      <c r="J4972">
        <v>-352.29500000000002</v>
      </c>
      <c r="K4972">
        <v>1.1104480000000001</v>
      </c>
      <c r="L4972">
        <v>16.859529999999999</v>
      </c>
      <c r="M4972">
        <v>0.99990460000000003</v>
      </c>
      <c r="N4972">
        <v>0</v>
      </c>
      <c r="O4972">
        <v>5.580883E-3</v>
      </c>
      <c r="P4972">
        <v>0.98290679999999997</v>
      </c>
      <c r="Q4972">
        <v>0.109652399999999</v>
      </c>
      <c r="R4972">
        <v>-0.14788870000000001</v>
      </c>
      <c r="S4972">
        <v>2.9827270000000001</v>
      </c>
      <c r="T4972">
        <v>-0.2334716</v>
      </c>
      <c r="U4972">
        <v>-0.6350403</v>
      </c>
      <c r="V4972">
        <v>0.1532915</v>
      </c>
      <c r="W4972">
        <v>0.1221666</v>
      </c>
      <c r="X4972">
        <v>0.98060040000000004</v>
      </c>
      <c r="Y4972">
        <v>0.2130544</v>
      </c>
      <c r="Z4972">
        <v>-8.6652359999999998E-3</v>
      </c>
      <c r="AA4972">
        <v>0.97700189999999998</v>
      </c>
      <c r="AB4972">
        <v>24</v>
      </c>
      <c r="AC4972">
        <v>14.073499999999999</v>
      </c>
      <c r="AD4972">
        <v>-1.1104501286789901</v>
      </c>
      <c r="AE4972">
        <v>-3.0212599999999901</v>
      </c>
      <c r="AF4972">
        <v>3.0814226848214998</v>
      </c>
      <c r="AG4972">
        <v>-1.1104501286789901</v>
      </c>
      <c r="AH4972">
        <v>13.9732563296027</v>
      </c>
      <c r="AI4972">
        <v>94.437550101032002</v>
      </c>
      <c r="AJ4972">
        <v>77.564009031087096</v>
      </c>
      <c r="AK4972">
        <v>14.352008838612001</v>
      </c>
      <c r="AL4972">
        <v>82.982840607884199</v>
      </c>
      <c r="AM4972">
        <v>81.115195035076994</v>
      </c>
      <c r="AN4972">
        <v>1.0000000533039799</v>
      </c>
    </row>
    <row r="4973" spans="1:40" x14ac:dyDescent="0.25">
      <c r="A4973" t="str">
        <f>"20190312151635683"</f>
        <v>20190312151635683</v>
      </c>
      <c r="B4973" t="str">
        <f>"1552374995672536"</f>
        <v>1552374995672536</v>
      </c>
      <c r="C4973" t="s">
        <v>40</v>
      </c>
      <c r="D4973">
        <v>4.4500609999999998</v>
      </c>
      <c r="E4973">
        <v>0.52290820000000005</v>
      </c>
      <c r="F4973" t="s">
        <v>43</v>
      </c>
      <c r="G4973">
        <v>-337.99930000000001</v>
      </c>
      <c r="H4973" s="1">
        <v>-2.2147339999999998E-6</v>
      </c>
      <c r="I4973">
        <v>13.79907</v>
      </c>
      <c r="J4973">
        <v>-352.16829999999999</v>
      </c>
      <c r="K4973">
        <v>1.110466</v>
      </c>
      <c r="L4973">
        <v>16.860469999999999</v>
      </c>
      <c r="M4973">
        <v>0.99990299999999999</v>
      </c>
      <c r="N4973">
        <v>0</v>
      </c>
      <c r="O4973">
        <v>5.8189269999999998E-3</v>
      </c>
      <c r="P4973">
        <v>0.98276350000000001</v>
      </c>
      <c r="Q4973">
        <v>0.10989259999999999</v>
      </c>
      <c r="R4973">
        <v>-0.14865880000000001</v>
      </c>
      <c r="S4973">
        <v>2.9819640000000001</v>
      </c>
      <c r="T4973">
        <v>-0.23162940000000001</v>
      </c>
      <c r="U4973">
        <v>-0.63836669999999995</v>
      </c>
      <c r="V4973">
        <v>0.15429029999999999</v>
      </c>
      <c r="W4973">
        <v>0.1224151</v>
      </c>
      <c r="X4973">
        <v>0.98041270000000003</v>
      </c>
      <c r="Y4973">
        <v>0.2143854</v>
      </c>
      <c r="Z4973">
        <v>-8.6675239999999994E-3</v>
      </c>
      <c r="AA4973">
        <v>0.97671070000000004</v>
      </c>
      <c r="AB4973">
        <v>24</v>
      </c>
      <c r="AC4973">
        <v>14.168999999999899</v>
      </c>
      <c r="AD4973">
        <v>-1.1104682147339999</v>
      </c>
      <c r="AE4973">
        <v>-3.0613999999999901</v>
      </c>
      <c r="AF4973">
        <v>3.1254617295181601</v>
      </c>
      <c r="AG4973">
        <v>-1.1104682147339999</v>
      </c>
      <c r="AH4973">
        <v>14.0683858920803</v>
      </c>
      <c r="AI4973">
        <v>94.406215540794307</v>
      </c>
      <c r="AJ4973">
        <v>77.474476621475304</v>
      </c>
      <c r="AK4973">
        <v>14.454104340536</v>
      </c>
      <c r="AL4973">
        <v>82.968494611954</v>
      </c>
      <c r="AM4973">
        <v>81.056552623297705</v>
      </c>
      <c r="AN4973">
        <v>1.00000000785169</v>
      </c>
    </row>
    <row r="4974" spans="1:40" x14ac:dyDescent="0.25">
      <c r="A4974" t="str">
        <f>"20190312151635694"</f>
        <v>20190312151635694</v>
      </c>
      <c r="B4974" t="str">
        <f>"1552374995683272"</f>
        <v>1552374995683272</v>
      </c>
      <c r="C4974" t="s">
        <v>40</v>
      </c>
      <c r="D4974">
        <v>4.432029</v>
      </c>
      <c r="E4974">
        <v>0.52293630000000002</v>
      </c>
      <c r="F4974" t="s">
        <v>43</v>
      </c>
      <c r="G4974">
        <v>-337.79349999999999</v>
      </c>
      <c r="H4974" s="1">
        <v>-2.2924350000000002E-6</v>
      </c>
      <c r="I4974">
        <v>13.770200000000001</v>
      </c>
      <c r="J4974">
        <v>-352.04570000000001</v>
      </c>
      <c r="K4974">
        <v>1.110482</v>
      </c>
      <c r="L4974">
        <v>16.861419999999999</v>
      </c>
      <c r="M4974">
        <v>0.9999017</v>
      </c>
      <c r="N4974">
        <v>0</v>
      </c>
      <c r="O4974">
        <v>6.0529039999999996E-3</v>
      </c>
      <c r="P4974">
        <v>0.98263469999999997</v>
      </c>
      <c r="Q4974">
        <v>0.11016579999999999</v>
      </c>
      <c r="R4974">
        <v>-0.14930829999999901</v>
      </c>
      <c r="S4974">
        <v>2.9814449999999999</v>
      </c>
      <c r="T4974">
        <v>-0.23031940000000001</v>
      </c>
      <c r="U4974">
        <v>-0.64093020000000001</v>
      </c>
      <c r="V4974">
        <v>0.15516460000000001</v>
      </c>
      <c r="W4974">
        <v>0.1226957</v>
      </c>
      <c r="X4974">
        <v>0.98023959999999999</v>
      </c>
      <c r="Y4974">
        <v>0.2154548</v>
      </c>
      <c r="Z4974">
        <v>-8.6779749999999992E-3</v>
      </c>
      <c r="AA4974">
        <v>0.97647519999999999</v>
      </c>
      <c r="AB4974">
        <v>24</v>
      </c>
      <c r="AC4974">
        <v>14.2522</v>
      </c>
      <c r="AD4974">
        <v>-1.110484292435</v>
      </c>
      <c r="AE4974">
        <v>-3.0912199999999999</v>
      </c>
      <c r="AF4974">
        <v>3.1591201133331999</v>
      </c>
      <c r="AG4974">
        <v>-1.110484292435</v>
      </c>
      <c r="AH4974">
        <v>14.1511745598074</v>
      </c>
      <c r="AI4974">
        <v>94.379602979039902</v>
      </c>
      <c r="AJ4974">
        <v>77.415588205531407</v>
      </c>
      <c r="AK4974">
        <v>14.5419722416305</v>
      </c>
      <c r="AL4974">
        <v>82.952295107918403</v>
      </c>
      <c r="AM4974">
        <v>81.005137635313204</v>
      </c>
      <c r="AN4974">
        <v>0.99999998064990403</v>
      </c>
    </row>
    <row r="4975" spans="1:40" x14ac:dyDescent="0.25">
      <c r="A4975" t="str">
        <f>"20190312151635705"</f>
        <v>20190312151635705</v>
      </c>
      <c r="B4975" t="str">
        <f>"1552374995702792"</f>
        <v>1552374995702792</v>
      </c>
      <c r="C4975" t="s">
        <v>40</v>
      </c>
      <c r="D4975">
        <v>4.470917</v>
      </c>
      <c r="E4975">
        <v>0.52293670000000003</v>
      </c>
      <c r="F4975" t="s">
        <v>43</v>
      </c>
      <c r="G4975">
        <v>-337.57119999999998</v>
      </c>
      <c r="H4975" s="1">
        <v>-2.3762799999999999E-6</v>
      </c>
      <c r="I4975">
        <v>13.73944</v>
      </c>
      <c r="J4975">
        <v>-351.9212</v>
      </c>
      <c r="K4975">
        <v>1.1104959999999999</v>
      </c>
      <c r="L4975">
        <v>16.862459999999999</v>
      </c>
      <c r="M4975">
        <v>0.99990000000000001</v>
      </c>
      <c r="N4975">
        <v>0</v>
      </c>
      <c r="O4975">
        <v>6.3027689999999997E-3</v>
      </c>
      <c r="P4975">
        <v>0.98255190000000003</v>
      </c>
      <c r="Q4975">
        <v>0.11022800000000001</v>
      </c>
      <c r="R4975">
        <v>-0.14980579999999999</v>
      </c>
      <c r="S4975">
        <v>2.980988</v>
      </c>
      <c r="T4975">
        <v>-0.22869990000000001</v>
      </c>
      <c r="U4975">
        <v>-0.64294430000000002</v>
      </c>
      <c r="V4975">
        <v>0.15590370000000001</v>
      </c>
      <c r="W4975">
        <v>0.12276479999999999</v>
      </c>
      <c r="X4975">
        <v>0.98011369999999998</v>
      </c>
      <c r="Y4975">
        <v>0.21636540000000001</v>
      </c>
      <c r="Z4975">
        <v>-8.6712360000000006E-3</v>
      </c>
      <c r="AA4975">
        <v>0.97627399999999998</v>
      </c>
      <c r="AB4975">
        <v>24</v>
      </c>
      <c r="AC4975">
        <v>14.35</v>
      </c>
      <c r="AD4975">
        <v>-1.11049837627999</v>
      </c>
      <c r="AE4975">
        <v>-3.1230199999999999</v>
      </c>
      <c r="AF4975">
        <v>3.1951405333279799</v>
      </c>
      <c r="AG4975">
        <v>-1.11049837627999</v>
      </c>
      <c r="AH4975">
        <v>14.248558222993699</v>
      </c>
      <c r="AI4975">
        <v>94.348914977434603</v>
      </c>
      <c r="AJ4975">
        <v>77.360901970451394</v>
      </c>
      <c r="AK4975">
        <v>14.6445737768457</v>
      </c>
      <c r="AL4975">
        <v>82.948306035401004</v>
      </c>
      <c r="AM4975">
        <v>80.961855893717697</v>
      </c>
      <c r="AN4975">
        <v>1.00000001236021</v>
      </c>
    </row>
    <row r="4976" spans="1:40" x14ac:dyDescent="0.25">
      <c r="A4976" t="str">
        <f>"20190312151635718"</f>
        <v>20190312151635718</v>
      </c>
      <c r="B4976" t="str">
        <f>"1552374995713529"</f>
        <v>1552374995713529</v>
      </c>
      <c r="C4976" t="s">
        <v>40</v>
      </c>
      <c r="D4976">
        <v>4.4588660000000004</v>
      </c>
      <c r="E4976">
        <v>0.52292309999999997</v>
      </c>
      <c r="F4976" t="s">
        <v>43</v>
      </c>
      <c r="G4976">
        <v>-337.35509999999999</v>
      </c>
      <c r="H4976" s="1">
        <v>-2.4569519999999999E-6</v>
      </c>
      <c r="I4976">
        <v>13.712590000000001</v>
      </c>
      <c r="J4976">
        <v>-351.78960000000001</v>
      </c>
      <c r="K4976">
        <v>1.110509</v>
      </c>
      <c r="L4976">
        <v>16.863589999999999</v>
      </c>
      <c r="M4976">
        <v>0.99989819999999996</v>
      </c>
      <c r="N4976">
        <v>0</v>
      </c>
      <c r="O4976">
        <v>6.5713999999999998E-3</v>
      </c>
      <c r="P4976">
        <v>0.98247949999999995</v>
      </c>
      <c r="Q4976">
        <v>0.11033220000000001</v>
      </c>
      <c r="R4976">
        <v>-0.15020220000000001</v>
      </c>
      <c r="S4976">
        <v>2.9804689999999998</v>
      </c>
      <c r="T4976">
        <v>-0.2272267</v>
      </c>
      <c r="U4976">
        <v>-0.64450069999999904</v>
      </c>
      <c r="V4976">
        <v>0.15656049999999999</v>
      </c>
      <c r="W4976">
        <v>0.122876</v>
      </c>
      <c r="X4976">
        <v>0.97999510000000001</v>
      </c>
      <c r="Y4976">
        <v>0.21715470000000001</v>
      </c>
      <c r="Z4976">
        <v>-8.6664580000000001E-3</v>
      </c>
      <c r="AA4976">
        <v>0.97609869999999999</v>
      </c>
      <c r="AB4976">
        <v>24</v>
      </c>
      <c r="AC4976">
        <v>14.4345</v>
      </c>
      <c r="AD4976">
        <v>-1.110511456952</v>
      </c>
      <c r="AE4976">
        <v>-3.1509999999999998</v>
      </c>
      <c r="AF4976">
        <v>3.2275597072675701</v>
      </c>
      <c r="AG4976">
        <v>-1.110511456952</v>
      </c>
      <c r="AH4976">
        <v>14.3325058541737</v>
      </c>
      <c r="AI4976">
        <v>94.322716491990704</v>
      </c>
      <c r="AJ4976">
        <v>77.309168870612694</v>
      </c>
      <c r="AK4976">
        <v>14.7333330044469</v>
      </c>
      <c r="AL4976">
        <v>82.941886397573498</v>
      </c>
      <c r="AM4976">
        <v>80.923331844993101</v>
      </c>
      <c r="AN4976">
        <v>1.0000000487801199</v>
      </c>
    </row>
    <row r="4977" spans="1:40" x14ac:dyDescent="0.25">
      <c r="A4977" t="str">
        <f>"20190312151635740"</f>
        <v>20190312151635740</v>
      </c>
      <c r="B4977" t="str">
        <f>"1552374995733048"</f>
        <v>1552374995733048</v>
      </c>
      <c r="C4977" t="s">
        <v>40</v>
      </c>
      <c r="D4977">
        <v>4.4662899999999999</v>
      </c>
      <c r="E4977">
        <v>0.52291690000000002</v>
      </c>
      <c r="F4977" t="s">
        <v>43</v>
      </c>
      <c r="G4977">
        <v>-337.1961</v>
      </c>
      <c r="H4977" s="1">
        <v>-2.5138610000000002E-6</v>
      </c>
      <c r="I4977">
        <v>13.702019999999999</v>
      </c>
      <c r="J4977">
        <v>-351.55329999999998</v>
      </c>
      <c r="K4977">
        <v>1.11053</v>
      </c>
      <c r="L4977">
        <v>16.86572</v>
      </c>
      <c r="M4977">
        <v>0.99989470000000003</v>
      </c>
      <c r="N4977">
        <v>0</v>
      </c>
      <c r="O4977">
        <v>7.0715119999999899E-3</v>
      </c>
      <c r="P4977">
        <v>0.98236780000000001</v>
      </c>
      <c r="Q4977">
        <v>0.1108123</v>
      </c>
      <c r="R4977">
        <v>-0.15057899999999999</v>
      </c>
      <c r="S4977">
        <v>2.9802550000000001</v>
      </c>
      <c r="T4977">
        <v>-0.22678590000000001</v>
      </c>
      <c r="U4977">
        <v>-0.64562989999999998</v>
      </c>
      <c r="V4977">
        <v>0.1574226</v>
      </c>
      <c r="W4977">
        <v>0.1233658</v>
      </c>
      <c r="X4977">
        <v>0.97979539999999998</v>
      </c>
      <c r="Y4977">
        <v>0.21800910000000001</v>
      </c>
      <c r="Z4977">
        <v>-8.7196280000000001E-3</v>
      </c>
      <c r="AA4977">
        <v>0.97590779999999999</v>
      </c>
      <c r="AB4977">
        <v>24</v>
      </c>
      <c r="AC4977">
        <v>14.357199999999899</v>
      </c>
      <c r="AD4977">
        <v>-1.110532513861</v>
      </c>
      <c r="AE4977">
        <v>-3.1636999999999902</v>
      </c>
      <c r="AF4977">
        <v>3.2466309034674201</v>
      </c>
      <c r="AG4977">
        <v>-1.110532513861</v>
      </c>
      <c r="AH4977">
        <v>14.253138748904</v>
      </c>
      <c r="AI4977">
        <v>94.344359885208306</v>
      </c>
      <c r="AJ4977">
        <v>77.167905168348994</v>
      </c>
      <c r="AK4977">
        <v>14.660349889521701</v>
      </c>
      <c r="AL4977">
        <v>82.913607501982895</v>
      </c>
      <c r="AM4977">
        <v>80.872361272019504</v>
      </c>
      <c r="AN4977">
        <v>1.0000000107307701</v>
      </c>
    </row>
    <row r="4978" spans="1:40" x14ac:dyDescent="0.25">
      <c r="A4978" t="str">
        <f>"20190312151635751"</f>
        <v>20190312151635751</v>
      </c>
      <c r="B4978" t="str">
        <f>"1552374995742808"</f>
        <v>1552374995742808</v>
      </c>
      <c r="C4978" t="s">
        <v>40</v>
      </c>
      <c r="D4978">
        <v>4.4761419999999896</v>
      </c>
      <c r="E4978">
        <v>0.52288749999999995</v>
      </c>
      <c r="F4978" t="s">
        <v>43</v>
      </c>
      <c r="G4978">
        <v>-336.85930000000002</v>
      </c>
      <c r="H4978" s="1">
        <v>-2.6351820000000001E-6</v>
      </c>
      <c r="I4978">
        <v>13.67686</v>
      </c>
      <c r="J4978">
        <v>-351.42860000000002</v>
      </c>
      <c r="K4978">
        <v>1.1105370000000001</v>
      </c>
      <c r="L4978">
        <v>16.866879999999998</v>
      </c>
      <c r="M4978">
        <v>0.99989280000000003</v>
      </c>
      <c r="N4978">
        <v>0</v>
      </c>
      <c r="O4978">
        <v>7.341045E-3</v>
      </c>
      <c r="P4978">
        <v>0.98229869999999997</v>
      </c>
      <c r="Q4978">
        <v>0.1109448</v>
      </c>
      <c r="R4978">
        <v>-0.15093210000000001</v>
      </c>
      <c r="S4978">
        <v>2.9801329999999999</v>
      </c>
      <c r="T4978">
        <v>-0.22523080000000001</v>
      </c>
      <c r="U4978">
        <v>-0.64672850000000004</v>
      </c>
      <c r="V4978">
        <v>0.1580377</v>
      </c>
      <c r="W4978">
        <v>0.1235021</v>
      </c>
      <c r="X4978">
        <v>0.97967919999999997</v>
      </c>
      <c r="Y4978">
        <v>0.21863009999999999</v>
      </c>
      <c r="Z4978">
        <v>-8.7032979999999999E-3</v>
      </c>
      <c r="AA4978">
        <v>0.975769</v>
      </c>
      <c r="AB4978">
        <v>24</v>
      </c>
      <c r="AC4978">
        <v>14.569299999999901</v>
      </c>
      <c r="AD4978">
        <v>-1.1105396351820001</v>
      </c>
      <c r="AE4978">
        <v>-3.1900199999999899</v>
      </c>
      <c r="AF4978">
        <v>3.2787180062018799</v>
      </c>
      <c r="AG4978">
        <v>-1.1105396351820001</v>
      </c>
      <c r="AH4978">
        <v>14.465286199103</v>
      </c>
      <c r="AI4978">
        <v>94.281946081977495</v>
      </c>
      <c r="AJ4978">
        <v>77.229059573475098</v>
      </c>
      <c r="AK4978">
        <v>14.873728344549701</v>
      </c>
      <c r="AL4978">
        <v>82.905737895376106</v>
      </c>
      <c r="AM4978">
        <v>80.836232155094294</v>
      </c>
      <c r="AN4978">
        <v>1.0000000091191701</v>
      </c>
    </row>
    <row r="4979" spans="1:40" x14ac:dyDescent="0.25">
      <c r="A4979" t="str">
        <f>"20190312151635761"</f>
        <v>20190312151635761</v>
      </c>
      <c r="B4979" t="str">
        <f>"1552374995752568"</f>
        <v>1552374995752568</v>
      </c>
      <c r="C4979" t="s">
        <v>40</v>
      </c>
      <c r="D4979">
        <v>4.4637000000000002</v>
      </c>
      <c r="E4979">
        <v>0.52288020000000002</v>
      </c>
      <c r="F4979" t="s">
        <v>43</v>
      </c>
      <c r="G4979">
        <v>-336.71789999999999</v>
      </c>
      <c r="H4979" s="1">
        <v>-2.6850339999999998E-6</v>
      </c>
      <c r="I4979">
        <v>13.670299999999999</v>
      </c>
      <c r="J4979">
        <v>-351.3272</v>
      </c>
      <c r="K4979">
        <v>1.1105419999999999</v>
      </c>
      <c r="L4979">
        <v>16.867889999999999</v>
      </c>
      <c r="M4979">
        <v>0.99989099999999997</v>
      </c>
      <c r="N4979">
        <v>0</v>
      </c>
      <c r="O4979">
        <v>7.5657909999999997E-3</v>
      </c>
      <c r="P4979">
        <v>0.98223009999999999</v>
      </c>
      <c r="Q4979">
        <v>0.111121</v>
      </c>
      <c r="R4979">
        <v>-0.15124870000000001</v>
      </c>
      <c r="S4979">
        <v>2.9799799999999999</v>
      </c>
      <c r="T4979">
        <v>-0.22496459999999999</v>
      </c>
      <c r="U4979">
        <v>-0.64752200000000004</v>
      </c>
      <c r="V4979">
        <v>0.15857289999999999</v>
      </c>
      <c r="W4979">
        <v>0.123681399999999</v>
      </c>
      <c r="X4979">
        <v>0.9795701</v>
      </c>
      <c r="Y4979">
        <v>0.2191073</v>
      </c>
      <c r="Z4979">
        <v>-8.7277680000000003E-3</v>
      </c>
      <c r="AA4979">
        <v>0.97566180000000002</v>
      </c>
      <c r="AB4979">
        <v>24</v>
      </c>
      <c r="AC4979">
        <v>14.609299999999999</v>
      </c>
      <c r="AD4979">
        <v>-1.1105446850339999</v>
      </c>
      <c r="AE4979">
        <v>-3.1975899999999999</v>
      </c>
      <c r="AF4979">
        <v>3.2898967558435301</v>
      </c>
      <c r="AG4979">
        <v>-1.1105446850339999</v>
      </c>
      <c r="AH4979">
        <v>14.5047041406022</v>
      </c>
      <c r="AI4979">
        <v>94.2702299701713</v>
      </c>
      <c r="AJ4979">
        <v>77.220627977241705</v>
      </c>
      <c r="AK4979">
        <v>14.9145289019791</v>
      </c>
      <c r="AL4979">
        <v>82.895385447844703</v>
      </c>
      <c r="AM4979">
        <v>80.804721370575393</v>
      </c>
      <c r="AN4979">
        <v>1.0000000170671799</v>
      </c>
    </row>
    <row r="4980" spans="1:40" x14ac:dyDescent="0.25">
      <c r="A4980" t="str">
        <f>"20190312151635771"</f>
        <v>20190312151635771</v>
      </c>
      <c r="B4980" t="str">
        <f>"1552374995763304"</f>
        <v>1552374995763304</v>
      </c>
      <c r="C4980" t="s">
        <v>40</v>
      </c>
      <c r="D4980">
        <v>4.4786780000000004</v>
      </c>
      <c r="E4980">
        <v>0.52290360000000002</v>
      </c>
      <c r="F4980" t="s">
        <v>43</v>
      </c>
      <c r="G4980">
        <v>-336.57900000000001</v>
      </c>
      <c r="H4980" s="1">
        <v>-2.7352410000000002E-6</v>
      </c>
      <c r="I4980">
        <v>13.659330000000001</v>
      </c>
      <c r="J4980">
        <v>-351.21109999999999</v>
      </c>
      <c r="K4980">
        <v>1.110549</v>
      </c>
      <c r="L4980">
        <v>16.869050000000001</v>
      </c>
      <c r="M4980">
        <v>0.99988909999999998</v>
      </c>
      <c r="N4980">
        <v>0</v>
      </c>
      <c r="O4980">
        <v>7.8237410000000004E-3</v>
      </c>
      <c r="P4980">
        <v>0.98220249999999998</v>
      </c>
      <c r="Q4980">
        <v>0.11109570000000001</v>
      </c>
      <c r="R4980">
        <v>-0.15144639999999901</v>
      </c>
      <c r="S4980">
        <v>2.979797</v>
      </c>
      <c r="T4980">
        <v>-0.2243791</v>
      </c>
      <c r="U4980">
        <v>-0.64825440000000001</v>
      </c>
      <c r="V4980">
        <v>0.159022</v>
      </c>
      <c r="W4980">
        <v>0.1236597</v>
      </c>
      <c r="X4980">
        <v>0.97950000000000004</v>
      </c>
      <c r="Y4980">
        <v>0.21960150000000001</v>
      </c>
      <c r="Z4980">
        <v>-8.7429610000000005E-3</v>
      </c>
      <c r="AA4980">
        <v>0.97555049999999999</v>
      </c>
      <c r="AB4980">
        <v>24</v>
      </c>
      <c r="AC4980">
        <v>14.6320999999999</v>
      </c>
      <c r="AD4980">
        <v>-1.1105517352409999</v>
      </c>
      <c r="AE4980">
        <v>-3.2097199999999999</v>
      </c>
      <c r="AF4980">
        <v>3.3059389777691699</v>
      </c>
      <c r="AG4980">
        <v>-1.1105517352409999</v>
      </c>
      <c r="AH4980">
        <v>14.526698091056</v>
      </c>
      <c r="AI4980">
        <v>94.263117218700998</v>
      </c>
      <c r="AJ4980">
        <v>77.179170472690103</v>
      </c>
      <c r="AK4980">
        <v>14.9394616740387</v>
      </c>
      <c r="AL4980">
        <v>82.896638148119706</v>
      </c>
      <c r="AM4980">
        <v>80.7784772418523</v>
      </c>
      <c r="AN4980">
        <v>0.99999998394404399</v>
      </c>
    </row>
    <row r="4981" spans="1:40" x14ac:dyDescent="0.25">
      <c r="A4981" t="str">
        <f>"20190312151635783"</f>
        <v>20190312151635783</v>
      </c>
      <c r="B4981" t="str">
        <f>"1552374995773064"</f>
        <v>1552374995773064</v>
      </c>
      <c r="C4981" t="s">
        <v>40</v>
      </c>
      <c r="D4981">
        <v>4.6211010000000003</v>
      </c>
      <c r="E4981">
        <v>0.52298990000000001</v>
      </c>
      <c r="F4981" t="s">
        <v>43</v>
      </c>
      <c r="G4981">
        <v>-336.45170000000002</v>
      </c>
      <c r="H4981" s="1">
        <v>-2.7796570000000001E-6</v>
      </c>
      <c r="I4981">
        <v>13.65521</v>
      </c>
      <c r="J4981">
        <v>-351.08800000000002</v>
      </c>
      <c r="K4981">
        <v>1.1105529999999999</v>
      </c>
      <c r="L4981">
        <v>16.870329999999999</v>
      </c>
      <c r="M4981">
        <v>0.99988690000000002</v>
      </c>
      <c r="N4981">
        <v>0</v>
      </c>
      <c r="O4981">
        <v>8.1042200000000005E-3</v>
      </c>
      <c r="P4981">
        <v>0.98216110000000001</v>
      </c>
      <c r="Q4981">
        <v>0.1112466</v>
      </c>
      <c r="R4981">
        <v>-0.15160570000000001</v>
      </c>
      <c r="S4981">
        <v>2.9796749999999999</v>
      </c>
      <c r="T4981">
        <v>-0.2242014</v>
      </c>
      <c r="U4981">
        <v>-0.64880369999999998</v>
      </c>
      <c r="V4981">
        <v>0.1594546</v>
      </c>
      <c r="W4981">
        <v>0.1238139</v>
      </c>
      <c r="X4981">
        <v>0.97941020000000001</v>
      </c>
      <c r="Y4981">
        <v>0.2200541</v>
      </c>
      <c r="Z4981">
        <v>-8.7738839999999992E-3</v>
      </c>
      <c r="AA4981">
        <v>0.97544819999999999</v>
      </c>
      <c r="AB4981">
        <v>24</v>
      </c>
      <c r="AC4981">
        <v>14.6363</v>
      </c>
      <c r="AD4981">
        <v>-1.110555779657</v>
      </c>
      <c r="AE4981">
        <v>-3.21511999999999</v>
      </c>
      <c r="AF4981">
        <v>3.3154304836440001</v>
      </c>
      <c r="AG4981">
        <v>-1.110555779657</v>
      </c>
      <c r="AH4981">
        <v>14.5299587176775</v>
      </c>
      <c r="AI4981">
        <v>94.261625632795699</v>
      </c>
      <c r="AJ4981">
        <v>77.146372009375199</v>
      </c>
      <c r="AK4981">
        <v>14.9447353194701</v>
      </c>
      <c r="AL4981">
        <v>82.887734799724797</v>
      </c>
      <c r="AM4981">
        <v>80.752990790651296</v>
      </c>
      <c r="AN4981">
        <v>0.99999999557920505</v>
      </c>
    </row>
    <row r="4982" spans="1:40" x14ac:dyDescent="0.25">
      <c r="A4982" t="str">
        <f>"20190312151635795"</f>
        <v>20190312151635795</v>
      </c>
      <c r="B4982" t="str">
        <f>"1552374995782824"</f>
        <v>1552374995782824</v>
      </c>
      <c r="C4982" t="s">
        <v>40</v>
      </c>
      <c r="D4982">
        <v>4.4894879999999997</v>
      </c>
      <c r="E4982">
        <v>0.52298429999999996</v>
      </c>
      <c r="F4982" t="s">
        <v>43</v>
      </c>
      <c r="G4982">
        <v>-336.28269999999998</v>
      </c>
      <c r="H4982" s="1">
        <v>-2.8409850000000002E-6</v>
      </c>
      <c r="I4982">
        <v>13.6409</v>
      </c>
      <c r="J4982">
        <v>-350.96319999999997</v>
      </c>
      <c r="K4982">
        <v>1.1105590000000001</v>
      </c>
      <c r="L4982">
        <v>16.871670000000002</v>
      </c>
      <c r="M4982">
        <v>0.99988440000000001</v>
      </c>
      <c r="N4982">
        <v>0</v>
      </c>
      <c r="O4982">
        <v>8.3904819999999995E-3</v>
      </c>
      <c r="P4982">
        <v>0.98216930000000002</v>
      </c>
      <c r="Q4982">
        <v>0.1112446</v>
      </c>
      <c r="R4982">
        <v>-0.1515533</v>
      </c>
      <c r="S4982">
        <v>2.9795530000000001</v>
      </c>
      <c r="T4982">
        <v>-0.22349759999999999</v>
      </c>
      <c r="U4982">
        <v>-0.64990230000000004</v>
      </c>
      <c r="V4982">
        <v>0.15968179999999901</v>
      </c>
      <c r="W4982">
        <v>0.1238158</v>
      </c>
      <c r="X4982">
        <v>0.97937300000000005</v>
      </c>
      <c r="Y4982">
        <v>0.2206864</v>
      </c>
      <c r="Z4982">
        <v>-8.7910409999999994E-3</v>
      </c>
      <c r="AA4982">
        <v>0.97530519999999998</v>
      </c>
      <c r="AB4982">
        <v>24</v>
      </c>
      <c r="AC4982">
        <v>14.680499999999901</v>
      </c>
      <c r="AD4982">
        <v>-1.110561840985</v>
      </c>
      <c r="AE4982">
        <v>-3.2307700000000001</v>
      </c>
      <c r="AF4982">
        <v>3.3356354710845499</v>
      </c>
      <c r="AG4982">
        <v>-1.110561840985</v>
      </c>
      <c r="AH4982">
        <v>14.573326527808</v>
      </c>
      <c r="AI4982">
        <v>94.248362969808397</v>
      </c>
      <c r="AJ4982">
        <v>77.107851998329096</v>
      </c>
      <c r="AK4982">
        <v>14.991386116190901</v>
      </c>
      <c r="AL4982">
        <v>82.887625492339694</v>
      </c>
      <c r="AM4982">
        <v>80.739697571233094</v>
      </c>
      <c r="AN4982">
        <v>1.0000000513549301</v>
      </c>
    </row>
    <row r="4983" spans="1:40" x14ac:dyDescent="0.25">
      <c r="A4983" t="str">
        <f>"20190312151635806"</f>
        <v>20190312151635806</v>
      </c>
      <c r="B4983" t="str">
        <f>"1552374995803323"</f>
        <v>1552374995803323</v>
      </c>
      <c r="C4983" t="s">
        <v>40</v>
      </c>
      <c r="D4983">
        <v>4.4931210000000004</v>
      </c>
      <c r="E4983">
        <v>0.52298089999999997</v>
      </c>
      <c r="F4983" t="s">
        <v>43</v>
      </c>
      <c r="G4983">
        <v>-336.16340000000002</v>
      </c>
      <c r="H4983" s="1">
        <v>-2.8808520000000002E-6</v>
      </c>
      <c r="I4983">
        <v>13.643579999999901</v>
      </c>
      <c r="J4983">
        <v>-350.84039999999999</v>
      </c>
      <c r="K4983">
        <v>1.1105659999999999</v>
      </c>
      <c r="L4983">
        <v>16.873049999999999</v>
      </c>
      <c r="M4983">
        <v>0.99988189999999999</v>
      </c>
      <c r="N4983">
        <v>0</v>
      </c>
      <c r="O4983">
        <v>8.6781159999999996E-3</v>
      </c>
      <c r="P4983">
        <v>0.98220739999999995</v>
      </c>
      <c r="Q4983">
        <v>0.1111839</v>
      </c>
      <c r="R4983">
        <v>-0.15134919999999999</v>
      </c>
      <c r="S4983">
        <v>2.9795229999999999</v>
      </c>
      <c r="T4983">
        <v>-0.22358069999999999</v>
      </c>
      <c r="U4983">
        <v>-0.6498718</v>
      </c>
      <c r="V4983">
        <v>0.15975909999999999</v>
      </c>
      <c r="W4983">
        <v>0.1237586</v>
      </c>
      <c r="X4983">
        <v>0.9793676</v>
      </c>
      <c r="Y4983">
        <v>0.2209574</v>
      </c>
      <c r="Z4983">
        <v>-8.8257500000000003E-3</v>
      </c>
      <c r="AA4983">
        <v>0.97524350000000004</v>
      </c>
      <c r="AB4983">
        <v>24</v>
      </c>
      <c r="AC4983">
        <v>14.6769999999999</v>
      </c>
      <c r="AD4983">
        <v>-1.110568880852</v>
      </c>
      <c r="AE4983">
        <v>-3.2294700000000001</v>
      </c>
      <c r="AF4983">
        <v>3.33849535818007</v>
      </c>
      <c r="AG4983">
        <v>-1.110568880852</v>
      </c>
      <c r="AH4983">
        <v>14.568856794331399</v>
      </c>
      <c r="AI4983">
        <v>94.249442875484604</v>
      </c>
      <c r="AJ4983">
        <v>77.093342337091599</v>
      </c>
      <c r="AK4983">
        <v>14.987678365558899</v>
      </c>
      <c r="AL4983">
        <v>82.890928049496594</v>
      </c>
      <c r="AM4983">
        <v>80.735242289467195</v>
      </c>
      <c r="AN4983">
        <v>1.00000002851826</v>
      </c>
    </row>
    <row r="4984" spans="1:40" x14ac:dyDescent="0.25">
      <c r="A4984" t="str">
        <f>"20190312151635816"</f>
        <v>20190312151635816</v>
      </c>
      <c r="B4984" t="str">
        <f>"1552374995813080"</f>
        <v>1552374995813080</v>
      </c>
      <c r="C4984" t="s">
        <v>40</v>
      </c>
      <c r="D4984">
        <v>4.5134629999999998</v>
      </c>
      <c r="E4984">
        <v>0.52297870000000002</v>
      </c>
      <c r="F4984" t="s">
        <v>43</v>
      </c>
      <c r="G4984">
        <v>-336.09879999999998</v>
      </c>
      <c r="H4984" s="1">
        <v>-2.898292E-6</v>
      </c>
      <c r="I4984">
        <v>13.660690000000001</v>
      </c>
      <c r="J4984">
        <v>-350.72340000000003</v>
      </c>
      <c r="K4984">
        <v>1.1105719999999999</v>
      </c>
      <c r="L4984">
        <v>16.874359999999999</v>
      </c>
      <c r="M4984">
        <v>0.99987950000000003</v>
      </c>
      <c r="N4984">
        <v>0</v>
      </c>
      <c r="O4984">
        <v>8.9549019999999903E-3</v>
      </c>
      <c r="P4984">
        <v>0.98220370000000001</v>
      </c>
      <c r="Q4984">
        <v>0.11132010000000001</v>
      </c>
      <c r="R4984">
        <v>-0.15127409999999999</v>
      </c>
      <c r="S4984">
        <v>2.9797060000000002</v>
      </c>
      <c r="T4984">
        <v>-0.22447729999999999</v>
      </c>
      <c r="U4984">
        <v>-0.64929199999999998</v>
      </c>
      <c r="V4984">
        <v>0.15995379999999901</v>
      </c>
      <c r="W4984">
        <v>0.1238981</v>
      </c>
      <c r="X4984">
        <v>0.97931809999999997</v>
      </c>
      <c r="Y4984">
        <v>0.2210279</v>
      </c>
      <c r="Z4984">
        <v>-8.8839079999999994E-3</v>
      </c>
      <c r="AA4984">
        <v>0.97522699999999996</v>
      </c>
      <c r="AB4984">
        <v>24</v>
      </c>
      <c r="AC4984">
        <v>14.624599999999999</v>
      </c>
      <c r="AD4984">
        <v>-1.1105748982919901</v>
      </c>
      <c r="AE4984">
        <v>-3.21367</v>
      </c>
      <c r="AF4984">
        <v>3.3262157625097402</v>
      </c>
      <c r="AG4984">
        <v>-1.1105748982919901</v>
      </c>
      <c r="AH4984">
        <v>14.515382940991101</v>
      </c>
      <c r="AI4984">
        <v>94.265064598478403</v>
      </c>
      <c r="AJ4984">
        <v>77.093439502729495</v>
      </c>
      <c r="AK4984">
        <v>14.932964535788001</v>
      </c>
      <c r="AL4984">
        <v>82.882872728526294</v>
      </c>
      <c r="AM4984">
        <v>80.723686678449297</v>
      </c>
      <c r="AN4984">
        <v>0.99999994915282797</v>
      </c>
    </row>
    <row r="4985" spans="1:40" x14ac:dyDescent="0.25">
      <c r="A4985" t="str">
        <f>"20190312151635827"</f>
        <v>20190312151635827</v>
      </c>
      <c r="B4985" t="str">
        <f>"1552374995822839"</f>
        <v>1552374995822839</v>
      </c>
      <c r="C4985" t="s">
        <v>40</v>
      </c>
      <c r="D4985">
        <v>4.4818629999999997</v>
      </c>
      <c r="E4985">
        <v>0.52300449999999998</v>
      </c>
      <c r="F4985" t="s">
        <v>43</v>
      </c>
      <c r="G4985">
        <v>-335.9588</v>
      </c>
      <c r="H4985" s="1">
        <v>-2.9468229999999999E-6</v>
      </c>
      <c r="I4985">
        <v>13.657360000000001</v>
      </c>
      <c r="J4985">
        <v>-350.59969999999998</v>
      </c>
      <c r="K4985">
        <v>1.1105780000000001</v>
      </c>
      <c r="L4985">
        <v>16.875820000000001</v>
      </c>
      <c r="M4985">
        <v>0.99987680000000001</v>
      </c>
      <c r="N4985">
        <v>0</v>
      </c>
      <c r="O4985">
        <v>9.2520180000000007E-3</v>
      </c>
      <c r="P4985">
        <v>0.98223349999999998</v>
      </c>
      <c r="Q4985">
        <v>0.1115318</v>
      </c>
      <c r="R4985">
        <v>-0.15092610000000001</v>
      </c>
      <c r="S4985">
        <v>2.9797669999999998</v>
      </c>
      <c r="T4985">
        <v>-0.22413379999999999</v>
      </c>
      <c r="U4985">
        <v>-0.649231</v>
      </c>
      <c r="V4985">
        <v>0.1598957</v>
      </c>
      <c r="W4985">
        <v>0.124112899999999</v>
      </c>
      <c r="X4985">
        <v>0.97930039999999996</v>
      </c>
      <c r="Y4985">
        <v>0.22129480000000001</v>
      </c>
      <c r="Z4985">
        <v>-8.902175E-3</v>
      </c>
      <c r="AA4985">
        <v>0.97516630000000004</v>
      </c>
      <c r="AB4985">
        <v>24</v>
      </c>
      <c r="AC4985">
        <v>14.640899999999901</v>
      </c>
      <c r="AD4985">
        <v>-1.1105809468229999</v>
      </c>
      <c r="AE4985">
        <v>-3.2184599999999999</v>
      </c>
      <c r="AF4985">
        <v>3.3354835195222301</v>
      </c>
      <c r="AG4985">
        <v>-1.1105809468229999</v>
      </c>
      <c r="AH4985">
        <v>14.5307387527738</v>
      </c>
      <c r="AI4985">
        <v>94.2602311648305</v>
      </c>
      <c r="AJ4985">
        <v>77.071903743967397</v>
      </c>
      <c r="AK4985">
        <v>14.949956824346099</v>
      </c>
      <c r="AL4985">
        <v>82.870469941977106</v>
      </c>
      <c r="AM4985">
        <v>80.726832881414893</v>
      </c>
      <c r="AN4985">
        <v>0.99999996013252901</v>
      </c>
    </row>
    <row r="4986" spans="1:40" x14ac:dyDescent="0.25">
      <c r="A4986" t="str">
        <f>"20190312151635840"</f>
        <v>20190312151635840</v>
      </c>
      <c r="B4986" t="str">
        <f>"1552374995832600"</f>
        <v>1552374995832600</v>
      </c>
      <c r="C4986" t="s">
        <v>40</v>
      </c>
      <c r="D4986">
        <v>4.520435</v>
      </c>
      <c r="E4986">
        <v>0.52302490000000001</v>
      </c>
      <c r="F4986" t="s">
        <v>43</v>
      </c>
      <c r="G4986">
        <v>-335.80579999999998</v>
      </c>
      <c r="H4986" s="1">
        <v>-2.999329E-6</v>
      </c>
      <c r="I4986">
        <v>13.655709999999999</v>
      </c>
      <c r="J4986">
        <v>-350.4796</v>
      </c>
      <c r="K4986">
        <v>1.110579</v>
      </c>
      <c r="L4986">
        <v>16.87726</v>
      </c>
      <c r="M4986">
        <v>0.99987389999999998</v>
      </c>
      <c r="N4986">
        <v>0</v>
      </c>
      <c r="O4986">
        <v>9.5450239999999992E-3</v>
      </c>
      <c r="P4986">
        <v>0.98224089999999997</v>
      </c>
      <c r="Q4986">
        <v>0.11158700000000001</v>
      </c>
      <c r="R4986">
        <v>-0.1508351</v>
      </c>
      <c r="S4986">
        <v>2.9799799999999999</v>
      </c>
      <c r="T4986">
        <v>-0.22370760000000001</v>
      </c>
      <c r="U4986">
        <v>-0.64862059999999999</v>
      </c>
      <c r="V4986">
        <v>0.16009100000000001</v>
      </c>
      <c r="W4986">
        <v>0.124170699999999</v>
      </c>
      <c r="X4986">
        <v>0.97926120000000005</v>
      </c>
      <c r="Y4986">
        <v>0.22137670000000001</v>
      </c>
      <c r="Z4986">
        <v>-8.9096190000000006E-3</v>
      </c>
      <c r="AA4986">
        <v>0.97514769999999995</v>
      </c>
      <c r="AB4986">
        <v>24</v>
      </c>
      <c r="AC4986">
        <v>14.6738</v>
      </c>
      <c r="AD4986">
        <v>-1.110581999329</v>
      </c>
      <c r="AE4986">
        <v>-3.2215499999999899</v>
      </c>
      <c r="AF4986">
        <v>3.3432064142477</v>
      </c>
      <c r="AG4986">
        <v>-1.110581999329</v>
      </c>
      <c r="AH4986">
        <v>14.5627968209521</v>
      </c>
      <c r="AI4986">
        <v>94.250868169407099</v>
      </c>
      <c r="AJ4986">
        <v>77.070543053645693</v>
      </c>
      <c r="AK4986">
        <v>14.9828392754455</v>
      </c>
      <c r="AL4986">
        <v>82.867132674266301</v>
      </c>
      <c r="AM4986">
        <v>80.715338371911002</v>
      </c>
      <c r="AN4986">
        <v>0.99999999442246501</v>
      </c>
    </row>
    <row r="4987" spans="1:40" x14ac:dyDescent="0.25">
      <c r="A4987" t="str">
        <f>"20190312151635851"</f>
        <v>20190312151635851</v>
      </c>
      <c r="B4987" t="str">
        <f>"1552374995843336"</f>
        <v>1552374995843336</v>
      </c>
      <c r="C4987" t="s">
        <v>40</v>
      </c>
      <c r="D4987">
        <v>4.4960870000000002</v>
      </c>
      <c r="E4987">
        <v>0.52303650000000002</v>
      </c>
      <c r="F4987" t="s">
        <v>43</v>
      </c>
      <c r="G4987">
        <v>-335.70159999999998</v>
      </c>
      <c r="H4987" s="1">
        <v>-3.0336539999999999E-6</v>
      </c>
      <c r="I4987">
        <v>13.65995</v>
      </c>
      <c r="J4987">
        <v>-350.35680000000002</v>
      </c>
      <c r="K4987">
        <v>1.1105849999999999</v>
      </c>
      <c r="L4987">
        <v>16.87875</v>
      </c>
      <c r="M4987">
        <v>0.99987110000000001</v>
      </c>
      <c r="N4987">
        <v>0</v>
      </c>
      <c r="O4987">
        <v>9.8473889999999998E-3</v>
      </c>
      <c r="P4987">
        <v>0.98223660000000002</v>
      </c>
      <c r="Q4987">
        <v>0.1120607</v>
      </c>
      <c r="R4987">
        <v>-0.15051249999999999</v>
      </c>
      <c r="S4987">
        <v>2.9800719999999998</v>
      </c>
      <c r="T4987">
        <v>-0.2239555</v>
      </c>
      <c r="U4987">
        <v>-0.64877320000000005</v>
      </c>
      <c r="V4987">
        <v>0.16006289999999901</v>
      </c>
      <c r="W4987">
        <v>0.1246476</v>
      </c>
      <c r="X4987">
        <v>0.9792052</v>
      </c>
      <c r="Y4987">
        <v>0.22170999999999999</v>
      </c>
      <c r="Z4987">
        <v>-8.9539549999999996E-3</v>
      </c>
      <c r="AA4987">
        <v>0.97507149999999998</v>
      </c>
      <c r="AB4987">
        <v>24</v>
      </c>
      <c r="AC4987">
        <v>14.655200000000001</v>
      </c>
      <c r="AD4987">
        <v>-1.1105880336539999</v>
      </c>
      <c r="AE4987">
        <v>-3.2187999999999999</v>
      </c>
      <c r="AF4987">
        <v>3.3446473070278202</v>
      </c>
      <c r="AG4987">
        <v>-1.1105880336539999</v>
      </c>
      <c r="AH4987">
        <v>14.5431154809097</v>
      </c>
      <c r="AI4987">
        <v>94.256243564898199</v>
      </c>
      <c r="AJ4987">
        <v>77.048242977911798</v>
      </c>
      <c r="AK4987">
        <v>14.964032854814899</v>
      </c>
      <c r="AL4987">
        <v>82.839594339221406</v>
      </c>
      <c r="AM4987">
        <v>80.716418042272906</v>
      </c>
      <c r="AN4987">
        <v>0.99999998992460504</v>
      </c>
    </row>
    <row r="4988" spans="1:40" x14ac:dyDescent="0.25">
      <c r="A4988" t="str">
        <f>"20190312151635861"</f>
        <v>20190312151635861</v>
      </c>
      <c r="B4988" t="str">
        <f>"1552374995853096"</f>
        <v>1552374995853096</v>
      </c>
      <c r="C4988" t="s">
        <v>40</v>
      </c>
      <c r="D4988">
        <v>4.4659309999999897</v>
      </c>
      <c r="E4988">
        <v>0.52304580000000001</v>
      </c>
      <c r="F4988" t="s">
        <v>43</v>
      </c>
      <c r="G4988">
        <v>-335.51240000000001</v>
      </c>
      <c r="H4988" s="1">
        <v>-3.1001720000000001E-6</v>
      </c>
      <c r="I4988">
        <v>13.65189</v>
      </c>
      <c r="J4988">
        <v>-350.24610000000001</v>
      </c>
      <c r="K4988">
        <v>1.1105940000000001</v>
      </c>
      <c r="L4988">
        <v>16.88016</v>
      </c>
      <c r="M4988">
        <v>0.99986819999999998</v>
      </c>
      <c r="N4988">
        <v>0</v>
      </c>
      <c r="O4988">
        <v>1.012651E-2</v>
      </c>
      <c r="P4988">
        <v>0.98223950000000004</v>
      </c>
      <c r="Q4988">
        <v>0.1120632</v>
      </c>
      <c r="R4988">
        <v>-0.15049100000000001</v>
      </c>
      <c r="S4988">
        <v>2.9803769999999998</v>
      </c>
      <c r="T4988">
        <v>-0.2229787</v>
      </c>
      <c r="U4988">
        <v>-0.64785769999999998</v>
      </c>
      <c r="V4988">
        <v>0.1603137</v>
      </c>
      <c r="W4988">
        <v>0.12465279999999999</v>
      </c>
      <c r="X4988">
        <v>0.97916349999999996</v>
      </c>
      <c r="Y4988">
        <v>0.22168019999999999</v>
      </c>
      <c r="Z4988">
        <v>-8.9339299999999996E-3</v>
      </c>
      <c r="AA4988">
        <v>0.97507849999999996</v>
      </c>
      <c r="AB4988">
        <v>24</v>
      </c>
      <c r="AC4988">
        <v>14.733700000000001</v>
      </c>
      <c r="AD4988">
        <v>-1.1105971001719901</v>
      </c>
      <c r="AE4988">
        <v>-3.2282700000000002</v>
      </c>
      <c r="AF4988">
        <v>3.3591058084887999</v>
      </c>
      <c r="AG4988">
        <v>-1.1105971001719901</v>
      </c>
      <c r="AH4988">
        <v>14.6209820624061</v>
      </c>
      <c r="AI4988">
        <v>94.2339105543942</v>
      </c>
      <c r="AJ4988">
        <v>77.061081786138502</v>
      </c>
      <c r="AK4988">
        <v>15.0429430039715</v>
      </c>
      <c r="AL4988">
        <v>82.839293997439896</v>
      </c>
      <c r="AM4988">
        <v>80.701736532714193</v>
      </c>
      <c r="AN4988">
        <v>0.99999998134388901</v>
      </c>
    </row>
    <row r="4989" spans="1:40" x14ac:dyDescent="0.25">
      <c r="A4989" t="str">
        <f>"20190312151635872"</f>
        <v>20190312151635872</v>
      </c>
      <c r="B4989" t="str">
        <f>"1552374995862856"</f>
        <v>1552374995862856</v>
      </c>
      <c r="C4989" t="s">
        <v>40</v>
      </c>
      <c r="D4989">
        <v>4.5356730000000001</v>
      </c>
      <c r="E4989">
        <v>0.52306399999999997</v>
      </c>
      <c r="F4989" t="s">
        <v>43</v>
      </c>
      <c r="G4989">
        <v>-335.42290000000003</v>
      </c>
      <c r="H4989" s="1">
        <v>-3.1289580000000001E-6</v>
      </c>
      <c r="I4989">
        <v>13.658149999999999</v>
      </c>
      <c r="J4989">
        <v>-350.12630000000001</v>
      </c>
      <c r="K4989">
        <v>1.1106039999999999</v>
      </c>
      <c r="L4989">
        <v>16.881710000000002</v>
      </c>
      <c r="M4989">
        <v>0.99986520000000001</v>
      </c>
      <c r="N4989">
        <v>0</v>
      </c>
      <c r="O4989">
        <v>1.0429829999999999E-2</v>
      </c>
      <c r="P4989">
        <v>0.98224579999999995</v>
      </c>
      <c r="Q4989">
        <v>0.1123866</v>
      </c>
      <c r="R4989">
        <v>-0.15020919999999999</v>
      </c>
      <c r="S4989">
        <v>2.9804689999999998</v>
      </c>
      <c r="T4989">
        <v>-0.2233058</v>
      </c>
      <c r="U4989">
        <v>-0.64782709999999999</v>
      </c>
      <c r="V4989">
        <v>0.16032750000000001</v>
      </c>
      <c r="W4989">
        <v>0.1249788</v>
      </c>
      <c r="X4989">
        <v>0.97911970000000004</v>
      </c>
      <c r="Y4989">
        <v>0.22195690000000001</v>
      </c>
      <c r="Z4989">
        <v>-8.9794209999999996E-3</v>
      </c>
      <c r="AA4989">
        <v>0.97501519999999997</v>
      </c>
      <c r="AB4989">
        <v>24</v>
      </c>
      <c r="AC4989">
        <v>14.703399999999901</v>
      </c>
      <c r="AD4989">
        <v>-1.110607128958</v>
      </c>
      <c r="AE4989">
        <v>-3.22356</v>
      </c>
      <c r="AF4989">
        <v>3.35846832363432</v>
      </c>
      <c r="AG4989">
        <v>-1.110607128958</v>
      </c>
      <c r="AH4989">
        <v>14.589554593296601</v>
      </c>
      <c r="AI4989">
        <v>94.2426191460832</v>
      </c>
      <c r="AJ4989">
        <v>77.0365283640798</v>
      </c>
      <c r="AK4989">
        <v>15.0122570223977</v>
      </c>
      <c r="AL4989">
        <v>82.820468470342604</v>
      </c>
      <c r="AM4989">
        <v>80.700541390771704</v>
      </c>
      <c r="AN4989">
        <v>0.99999999731688904</v>
      </c>
    </row>
    <row r="4990" spans="1:40" x14ac:dyDescent="0.25">
      <c r="A4990" t="str">
        <f>"20190312151635884"</f>
        <v>20190312151635884</v>
      </c>
      <c r="B4990" t="str">
        <f>"1552374995872616"</f>
        <v>1552374995872616</v>
      </c>
      <c r="C4990" t="s">
        <v>40</v>
      </c>
      <c r="D4990">
        <v>4.4849730000000001</v>
      </c>
      <c r="E4990">
        <v>0.52307950000000003</v>
      </c>
      <c r="F4990" t="s">
        <v>43</v>
      </c>
      <c r="G4990">
        <v>-335.25830000000002</v>
      </c>
      <c r="H4990" s="1">
        <v>-3.1862300000000001E-6</v>
      </c>
      <c r="I4990">
        <v>13.653449999999999</v>
      </c>
      <c r="J4990">
        <v>-350.00170000000003</v>
      </c>
      <c r="K4990">
        <v>1.1106100000000001</v>
      </c>
      <c r="L4990">
        <v>16.883389999999999</v>
      </c>
      <c r="M4990">
        <v>0.99986169999999996</v>
      </c>
      <c r="N4990">
        <v>0</v>
      </c>
      <c r="O4990">
        <v>1.075504E-2</v>
      </c>
      <c r="P4990">
        <v>0.98219279999999998</v>
      </c>
      <c r="Q4990">
        <v>0.1129216</v>
      </c>
      <c r="R4990">
        <v>-0.1501537</v>
      </c>
      <c r="S4990">
        <v>2.9807429999999999</v>
      </c>
      <c r="T4990">
        <v>-0.22265450000000001</v>
      </c>
      <c r="U4990">
        <v>-0.64718629999999999</v>
      </c>
      <c r="V4990">
        <v>0.16058819999999999</v>
      </c>
      <c r="W4990">
        <v>0.12551569999999901</v>
      </c>
      <c r="X4990">
        <v>0.97900830000000005</v>
      </c>
      <c r="Y4990">
        <v>0.2220577</v>
      </c>
      <c r="Z4990">
        <v>-8.9804059999999998E-3</v>
      </c>
      <c r="AA4990">
        <v>0.97499219999999998</v>
      </c>
      <c r="AB4990">
        <v>24</v>
      </c>
      <c r="AC4990">
        <v>14.743399999999999</v>
      </c>
      <c r="AD4990">
        <v>-1.1106131862299999</v>
      </c>
      <c r="AE4990">
        <v>-3.2299399999999898</v>
      </c>
      <c r="AF4990">
        <v>3.3700839140729499</v>
      </c>
      <c r="AG4990">
        <v>-1.1106131862299999</v>
      </c>
      <c r="AH4990">
        <v>14.628597325975701</v>
      </c>
      <c r="AI4990">
        <v>94.231194422619495</v>
      </c>
      <c r="AJ4990">
        <v>77.026753360698095</v>
      </c>
      <c r="AK4990">
        <v>15.0527999708648</v>
      </c>
      <c r="AL4990">
        <v>82.7894622732654</v>
      </c>
      <c r="AM4990">
        <v>80.684643551245202</v>
      </c>
      <c r="AN4990">
        <v>1.00000000619731</v>
      </c>
    </row>
    <row r="4991" spans="1:40" x14ac:dyDescent="0.25">
      <c r="A4991" t="str">
        <f>"20190312151635895"</f>
        <v>20190312151635895</v>
      </c>
      <c r="B4991" t="str">
        <f>"1552374995893112"</f>
        <v>1552374995893112</v>
      </c>
      <c r="C4991" t="s">
        <v>40</v>
      </c>
      <c r="D4991">
        <v>4.52257</v>
      </c>
      <c r="E4991">
        <v>0.52316260000000003</v>
      </c>
      <c r="F4991" t="s">
        <v>43</v>
      </c>
      <c r="G4991">
        <v>-335.0478</v>
      </c>
      <c r="H4991" s="1">
        <v>-3.2623920000000001E-6</v>
      </c>
      <c r="I4991">
        <v>13.63649</v>
      </c>
      <c r="J4991">
        <v>-349.8836</v>
      </c>
      <c r="K4991">
        <v>1.1106180000000001</v>
      </c>
      <c r="L4991">
        <v>16.884979999999999</v>
      </c>
      <c r="M4991">
        <v>0.99985820000000003</v>
      </c>
      <c r="N4991">
        <v>0</v>
      </c>
      <c r="O4991">
        <v>1.106511E-2</v>
      </c>
      <c r="P4991">
        <v>0.98216380000000003</v>
      </c>
      <c r="Q4991">
        <v>0.1132851</v>
      </c>
      <c r="R4991">
        <v>-0.150070799999999</v>
      </c>
      <c r="S4991">
        <v>2.980896</v>
      </c>
      <c r="T4991">
        <v>-0.2213879</v>
      </c>
      <c r="U4991">
        <v>-0.64721680000000004</v>
      </c>
      <c r="V4991">
        <v>0.1608068</v>
      </c>
      <c r="W4991">
        <v>0.12588189999999999</v>
      </c>
      <c r="X4991">
        <v>0.97892539999999995</v>
      </c>
      <c r="Y4991">
        <v>0.2223646</v>
      </c>
      <c r="Z4991">
        <v>-8.9630019999999994E-3</v>
      </c>
      <c r="AA4991">
        <v>0.97492239999999997</v>
      </c>
      <c r="AB4991">
        <v>24</v>
      </c>
      <c r="AC4991">
        <v>14.835800000000001</v>
      </c>
      <c r="AD4991">
        <v>-1.110621262392</v>
      </c>
      <c r="AE4991">
        <v>-3.2484899999999901</v>
      </c>
      <c r="AF4991">
        <v>3.3943121265811298</v>
      </c>
      <c r="AG4991">
        <v>-1.110621262392</v>
      </c>
      <c r="AH4991">
        <v>14.720223633189301</v>
      </c>
      <c r="AI4991">
        <v>94.204788171012694</v>
      </c>
      <c r="AJ4991">
        <v>77.015223120011896</v>
      </c>
      <c r="AK4991">
        <v>15.1472709823333</v>
      </c>
      <c r="AL4991">
        <v>82.768312832791807</v>
      </c>
      <c r="AM4991">
        <v>80.671409749906104</v>
      </c>
      <c r="AN4991">
        <v>1.0000000092195001</v>
      </c>
    </row>
    <row r="4992" spans="1:40" x14ac:dyDescent="0.25">
      <c r="A4992" t="str">
        <f>"20190312151635905"</f>
        <v>20190312151635905</v>
      </c>
      <c r="B4992" t="str">
        <f>"1552374995902872"</f>
        <v>1552374995902872</v>
      </c>
      <c r="C4992" t="s">
        <v>40</v>
      </c>
      <c r="D4992">
        <v>4.465249</v>
      </c>
      <c r="E4992">
        <v>0.52321649999999997</v>
      </c>
      <c r="F4992" t="s">
        <v>43</v>
      </c>
      <c r="G4992">
        <v>-334.899</v>
      </c>
      <c r="H4992" s="1">
        <v>-3.3152160000000001E-6</v>
      </c>
      <c r="I4992">
        <v>13.628279999999901</v>
      </c>
      <c r="J4992">
        <v>-349.76490000000001</v>
      </c>
      <c r="K4992">
        <v>1.110627</v>
      </c>
      <c r="L4992">
        <v>16.886689999999899</v>
      </c>
      <c r="M4992">
        <v>0.99985469999999999</v>
      </c>
      <c r="N4992">
        <v>0</v>
      </c>
      <c r="O4992">
        <v>1.1383819999999999E-2</v>
      </c>
      <c r="P4992">
        <v>0.98213090000000003</v>
      </c>
      <c r="Q4992">
        <v>0.1136857</v>
      </c>
      <c r="R4992">
        <v>-0.14998239999999999</v>
      </c>
      <c r="S4992">
        <v>2.980988</v>
      </c>
      <c r="T4992">
        <v>-0.22094230000000001</v>
      </c>
      <c r="U4992">
        <v>-0.64785769999999998</v>
      </c>
      <c r="V4992">
        <v>0.16102839999999999</v>
      </c>
      <c r="W4992">
        <v>0.12628439999999999</v>
      </c>
      <c r="X4992">
        <v>0.97883710000000002</v>
      </c>
      <c r="Y4992">
        <v>0.2228696</v>
      </c>
      <c r="Z4992">
        <v>-8.9863459999999992E-3</v>
      </c>
      <c r="AA4992">
        <v>0.97480679999999997</v>
      </c>
      <c r="AB4992">
        <v>24</v>
      </c>
      <c r="AC4992">
        <v>14.8659</v>
      </c>
      <c r="AD4992">
        <v>-1.110630315216</v>
      </c>
      <c r="AE4992">
        <v>-3.25841</v>
      </c>
      <c r="AF4992">
        <v>3.40928630871114</v>
      </c>
      <c r="AG4992">
        <v>-1.110630315216</v>
      </c>
      <c r="AH4992">
        <v>14.7492899754173</v>
      </c>
      <c r="AI4992">
        <v>94.196051543679999</v>
      </c>
      <c r="AJ4992">
        <v>76.984716053183305</v>
      </c>
      <c r="AK4992">
        <v>15.178876361931</v>
      </c>
      <c r="AL4992">
        <v>82.745065562554103</v>
      </c>
      <c r="AM4992">
        <v>80.657953106902994</v>
      </c>
      <c r="AN4992">
        <v>0.99999998181316396</v>
      </c>
    </row>
    <row r="4993" spans="1:40" x14ac:dyDescent="0.25">
      <c r="A4993" t="str">
        <f>"20190312151635919"</f>
        <v>20190312151635919</v>
      </c>
      <c r="B4993" t="str">
        <f>"1552374995912632"</f>
        <v>1552374995912632</v>
      </c>
      <c r="C4993" t="s">
        <v>40</v>
      </c>
      <c r="D4993">
        <v>4.4813429999999999</v>
      </c>
      <c r="E4993">
        <v>0.52329720000000002</v>
      </c>
      <c r="F4993" t="s">
        <v>43</v>
      </c>
      <c r="G4993">
        <v>-334.71749999999997</v>
      </c>
      <c r="H4993" s="1">
        <v>-3.3805430000000002E-6</v>
      </c>
      <c r="I4993">
        <v>13.61481</v>
      </c>
      <c r="J4993">
        <v>-349.62520000000001</v>
      </c>
      <c r="K4993">
        <v>1.1106339999999999</v>
      </c>
      <c r="L4993">
        <v>16.8887</v>
      </c>
      <c r="M4993">
        <v>0.99985020000000002</v>
      </c>
      <c r="N4993">
        <v>0</v>
      </c>
      <c r="O4993">
        <v>1.176285E-2</v>
      </c>
      <c r="P4993">
        <v>0.98202120000000004</v>
      </c>
      <c r="Q4993">
        <v>0.1142938</v>
      </c>
      <c r="R4993">
        <v>-0.15023719999999999</v>
      </c>
      <c r="S4993">
        <v>2.9811100000000001</v>
      </c>
      <c r="T4993">
        <v>-0.22003300000000001</v>
      </c>
      <c r="U4993">
        <v>-0.64819340000000003</v>
      </c>
      <c r="V4993">
        <v>0.16165109999999999</v>
      </c>
      <c r="W4993">
        <v>0.12689410000000001</v>
      </c>
      <c r="X4993">
        <v>0.97865559999999996</v>
      </c>
      <c r="Y4993">
        <v>0.2233386</v>
      </c>
      <c r="Z4993">
        <v>-8.9937209999999997E-3</v>
      </c>
      <c r="AA4993">
        <v>0.97469939999999999</v>
      </c>
      <c r="AB4993">
        <v>24</v>
      </c>
      <c r="AC4993">
        <v>14.9077</v>
      </c>
      <c r="AD4993">
        <v>-1.1106373805429901</v>
      </c>
      <c r="AE4993">
        <v>-3.2738900000000002</v>
      </c>
      <c r="AF4993">
        <v>3.4308681384042501</v>
      </c>
      <c r="AG4993">
        <v>-1.1106373805429901</v>
      </c>
      <c r="AH4993">
        <v>14.789842631894301</v>
      </c>
      <c r="AI4993">
        <v>94.183857354041393</v>
      </c>
      <c r="AJ4993">
        <v>76.939828768270104</v>
      </c>
      <c r="AK4993">
        <v>15.2231342584363</v>
      </c>
      <c r="AL4993">
        <v>82.7098490538406</v>
      </c>
      <c r="AM4993">
        <v>80.620759483629698</v>
      </c>
      <c r="AN4993">
        <v>0.99999998707868898</v>
      </c>
    </row>
    <row r="4994" spans="1:40" x14ac:dyDescent="0.25">
      <c r="A4994" t="str">
        <f>"20190312151635932"</f>
        <v>20190312151635932</v>
      </c>
      <c r="B4994" t="str">
        <f>"1552374995923368"</f>
        <v>1552374995923368</v>
      </c>
      <c r="C4994" t="s">
        <v>40</v>
      </c>
      <c r="D4994">
        <v>4.5217109999999998</v>
      </c>
      <c r="E4994">
        <v>0.52337630000000002</v>
      </c>
      <c r="F4994" t="s">
        <v>43</v>
      </c>
      <c r="G4994">
        <v>-334.47300000000001</v>
      </c>
      <c r="H4994" s="1">
        <v>-3.4713640000000002E-6</v>
      </c>
      <c r="I4994">
        <v>13.58625</v>
      </c>
      <c r="J4994">
        <v>-349.48399999999998</v>
      </c>
      <c r="K4994">
        <v>1.1106419999999999</v>
      </c>
      <c r="L4994">
        <v>16.890779999999999</v>
      </c>
      <c r="M4994">
        <v>0.9998456</v>
      </c>
      <c r="N4994">
        <v>0</v>
      </c>
      <c r="O4994">
        <v>1.2150340000000001E-2</v>
      </c>
      <c r="P4994">
        <v>0.9819466</v>
      </c>
      <c r="Q4994">
        <v>0.1148483</v>
      </c>
      <c r="R4994">
        <v>-0.15030209999999999</v>
      </c>
      <c r="S4994">
        <v>2.9809570000000001</v>
      </c>
      <c r="T4994">
        <v>-0.2184999</v>
      </c>
      <c r="U4994">
        <v>-0.64968870000000001</v>
      </c>
      <c r="V4994">
        <v>0.16209270000000001</v>
      </c>
      <c r="W4994">
        <v>0.1274508</v>
      </c>
      <c r="X4994">
        <v>0.9785102</v>
      </c>
      <c r="Y4994">
        <v>0.2241986</v>
      </c>
      <c r="Z4994">
        <v>-8.9903610000000005E-3</v>
      </c>
      <c r="AA4994">
        <v>0.97450199999999998</v>
      </c>
      <c r="AB4994">
        <v>24</v>
      </c>
      <c r="AC4994">
        <v>15.010999999999999</v>
      </c>
      <c r="AD4994">
        <v>-1.1106454713639999</v>
      </c>
      <c r="AE4994">
        <v>-3.3045300000000002</v>
      </c>
      <c r="AF4994">
        <v>3.4685789710802402</v>
      </c>
      <c r="AG4994">
        <v>-1.1106454713639999</v>
      </c>
      <c r="AH4994">
        <v>14.891981769851199</v>
      </c>
      <c r="AI4994">
        <v>94.154433269392797</v>
      </c>
      <c r="AJ4994">
        <v>76.888663368103806</v>
      </c>
      <c r="AK4994">
        <v>15.330873897963601</v>
      </c>
      <c r="AL4994">
        <v>82.677691345047805</v>
      </c>
      <c r="AM4994">
        <v>80.594221842752205</v>
      </c>
      <c r="AN4994">
        <v>0.99999998065898399</v>
      </c>
    </row>
    <row r="4995" spans="1:40" x14ac:dyDescent="0.25">
      <c r="A4995" t="str">
        <f>"20190312151635944"</f>
        <v>20190312151635944</v>
      </c>
      <c r="B4995" t="str">
        <f>"1552374995933169"</f>
        <v>1552374995933169</v>
      </c>
      <c r="C4995" t="s">
        <v>40</v>
      </c>
      <c r="D4995">
        <v>4.4822889999999997</v>
      </c>
      <c r="E4995">
        <v>0.52344860000000004</v>
      </c>
      <c r="F4995" t="s">
        <v>43</v>
      </c>
      <c r="G4995">
        <v>-334.22809999999998</v>
      </c>
      <c r="H4995" s="1">
        <v>-3.5614669999999998E-6</v>
      </c>
      <c r="I4995">
        <v>13.56087</v>
      </c>
      <c r="J4995">
        <v>-349.35950000000003</v>
      </c>
      <c r="K4995">
        <v>1.1106499999999999</v>
      </c>
      <c r="L4995">
        <v>16.892700000000001</v>
      </c>
      <c r="M4995">
        <v>0.99984150000000005</v>
      </c>
      <c r="N4995">
        <v>0</v>
      </c>
      <c r="O4995">
        <v>1.2497390000000001E-2</v>
      </c>
      <c r="P4995">
        <v>0.98185219999999995</v>
      </c>
      <c r="Q4995">
        <v>0.11536920000000001</v>
      </c>
      <c r="R4995">
        <v>-0.15052219999999999</v>
      </c>
      <c r="S4995">
        <v>2.9809570000000001</v>
      </c>
      <c r="T4995">
        <v>-0.21701590000000001</v>
      </c>
      <c r="U4995">
        <v>-0.65063479999999996</v>
      </c>
      <c r="V4995">
        <v>0.16265009999999999</v>
      </c>
      <c r="W4995">
        <v>0.127972</v>
      </c>
      <c r="X4995">
        <v>0.97834969999999999</v>
      </c>
      <c r="Y4995">
        <v>0.2248377</v>
      </c>
      <c r="Z4995">
        <v>-8.9770800000000001E-3</v>
      </c>
      <c r="AA4995">
        <v>0.97435490000000002</v>
      </c>
      <c r="AB4995">
        <v>24</v>
      </c>
      <c r="AC4995">
        <v>15.131399999999999</v>
      </c>
      <c r="AD4995">
        <v>-1.1106535614669999</v>
      </c>
      <c r="AE4995">
        <v>-3.3318300000000001</v>
      </c>
      <c r="AF4995">
        <v>3.5026893825569299</v>
      </c>
      <c r="AG4995">
        <v>-1.1106535614669999</v>
      </c>
      <c r="AH4995">
        <v>15.011439235054199</v>
      </c>
      <c r="AI4995">
        <v>94.121137250000302</v>
      </c>
      <c r="AJ4995">
        <v>76.865904474702603</v>
      </c>
      <c r="AK4995">
        <v>15.454633355469801</v>
      </c>
      <c r="AL4995">
        <v>82.647582460630801</v>
      </c>
      <c r="AM4995">
        <v>80.560938017483295</v>
      </c>
      <c r="AN4995">
        <v>1.00000001165205</v>
      </c>
    </row>
    <row r="4996" spans="1:40" x14ac:dyDescent="0.25">
      <c r="A4996" t="str">
        <f>"20190312151635962"</f>
        <v>20190312151635962</v>
      </c>
      <c r="B4996" t="str">
        <f>"1552374995952648"</f>
        <v>1552374995952648</v>
      </c>
      <c r="C4996" t="s">
        <v>40</v>
      </c>
      <c r="D4996">
        <v>4.4805979999999996</v>
      </c>
      <c r="E4996">
        <v>0.52358819999999995</v>
      </c>
      <c r="F4996" t="s">
        <v>43</v>
      </c>
      <c r="G4996">
        <v>-334.0129</v>
      </c>
      <c r="H4996" s="1">
        <v>-3.641494E-6</v>
      </c>
      <c r="I4996">
        <v>13.535329999999901</v>
      </c>
      <c r="J4996">
        <v>-349.16559999999998</v>
      </c>
      <c r="K4996">
        <v>1.1106609999999999</v>
      </c>
      <c r="L4996">
        <v>16.89575</v>
      </c>
      <c r="M4996">
        <v>0.99983440000000001</v>
      </c>
      <c r="N4996">
        <v>0</v>
      </c>
      <c r="O4996">
        <v>1.3040960000000001E-2</v>
      </c>
      <c r="P4996">
        <v>0.98159260000000004</v>
      </c>
      <c r="Q4996">
        <v>0.1163174</v>
      </c>
      <c r="R4996">
        <v>-0.15148200000000001</v>
      </c>
      <c r="S4996">
        <v>2.9808349999999999</v>
      </c>
      <c r="T4996">
        <v>-0.21572659999999999</v>
      </c>
      <c r="U4996">
        <v>-0.6520996</v>
      </c>
      <c r="V4996">
        <v>0.1641367</v>
      </c>
      <c r="W4996">
        <v>0.1289196</v>
      </c>
      <c r="X4996">
        <v>0.97797690000000004</v>
      </c>
      <c r="Y4996">
        <v>0.22583590000000001</v>
      </c>
      <c r="Z4996">
        <v>-8.9982889999999996E-3</v>
      </c>
      <c r="AA4996">
        <v>0.97412379999999998</v>
      </c>
      <c r="AB4996">
        <v>24</v>
      </c>
      <c r="AC4996">
        <v>15.1526999999999</v>
      </c>
      <c r="AD4996">
        <v>-1.110664641494</v>
      </c>
      <c r="AE4996">
        <v>-3.36042</v>
      </c>
      <c r="AF4996">
        <v>3.53963024852554</v>
      </c>
      <c r="AG4996">
        <v>-1.110664641494</v>
      </c>
      <c r="AH4996">
        <v>15.030616343849299</v>
      </c>
      <c r="AI4996">
        <v>94.113969980262496</v>
      </c>
      <c r="AJ4996">
        <v>76.748591796289503</v>
      </c>
      <c r="AK4996">
        <v>15.481666122163</v>
      </c>
      <c r="AL4996">
        <v>82.592835160165393</v>
      </c>
      <c r="AM4996">
        <v>80.472675775524294</v>
      </c>
      <c r="AN4996">
        <v>0.99999996824232895</v>
      </c>
    </row>
    <row r="4997" spans="1:40" x14ac:dyDescent="0.25">
      <c r="A4997" t="str">
        <f>"20190312151635974"</f>
        <v>20190312151635974</v>
      </c>
      <c r="B4997" t="str">
        <f>"1552374995963384"</f>
        <v>1552374995963384</v>
      </c>
      <c r="C4997" t="s">
        <v>40</v>
      </c>
      <c r="D4997">
        <v>4.5205909999999996</v>
      </c>
      <c r="E4997">
        <v>0.52365099999999998</v>
      </c>
      <c r="F4997" t="s">
        <v>43</v>
      </c>
      <c r="G4997">
        <v>-333.68329999999997</v>
      </c>
      <c r="H4997" s="1">
        <v>-3.779792E-6</v>
      </c>
      <c r="I4997">
        <v>13.48462</v>
      </c>
      <c r="J4997">
        <v>-349.04239999999999</v>
      </c>
      <c r="K4997">
        <v>1.1106609999999999</v>
      </c>
      <c r="L4997">
        <v>16.897739999999999</v>
      </c>
      <c r="M4997">
        <v>0.99982990000000005</v>
      </c>
      <c r="N4997">
        <v>0</v>
      </c>
      <c r="O4997">
        <v>1.338781E-2</v>
      </c>
      <c r="P4997">
        <v>0.9814581</v>
      </c>
      <c r="Q4997">
        <v>0.1165223</v>
      </c>
      <c r="R4997">
        <v>-0.1521933</v>
      </c>
      <c r="S4997">
        <v>2.980286</v>
      </c>
      <c r="T4997">
        <v>-0.21379909999999999</v>
      </c>
      <c r="U4997">
        <v>-0.65661619999999998</v>
      </c>
      <c r="V4997">
        <v>0.16518529999999901</v>
      </c>
      <c r="W4997">
        <v>0.1291244</v>
      </c>
      <c r="X4997">
        <v>0.97777340000000001</v>
      </c>
      <c r="Y4997">
        <v>0.22762460000000001</v>
      </c>
      <c r="Z4997">
        <v>-9.006165E-3</v>
      </c>
      <c r="AA4997">
        <v>0.97370730000000005</v>
      </c>
      <c r="AB4997">
        <v>24</v>
      </c>
      <c r="AC4997">
        <v>15.3591</v>
      </c>
      <c r="AD4997">
        <v>-1.110664779792</v>
      </c>
      <c r="AE4997">
        <v>-3.4131199999999899</v>
      </c>
      <c r="AF4997">
        <v>3.6005135601801701</v>
      </c>
      <c r="AG4997">
        <v>-1.110664779792</v>
      </c>
      <c r="AH4997">
        <v>15.236102189304299</v>
      </c>
      <c r="AI4997">
        <v>94.057931881672701</v>
      </c>
      <c r="AJ4997">
        <v>76.704090025527407</v>
      </c>
      <c r="AK4997">
        <v>15.6950974534418</v>
      </c>
      <c r="AL4997">
        <v>82.581002748818506</v>
      </c>
      <c r="AM4997">
        <v>80.410977715120893</v>
      </c>
      <c r="AN4997">
        <v>1.0000000578795001</v>
      </c>
    </row>
    <row r="4998" spans="1:40" x14ac:dyDescent="0.25">
      <c r="A4998" t="str">
        <f>"20190312151635986"</f>
        <v>20190312151635986</v>
      </c>
      <c r="B4998" t="str">
        <f>"1552374995973144"</f>
        <v>1552374995973144</v>
      </c>
      <c r="C4998" t="s">
        <v>40</v>
      </c>
      <c r="D4998">
        <v>4.5151399999999997</v>
      </c>
      <c r="E4998">
        <v>0.52371559999999995</v>
      </c>
      <c r="F4998" t="s">
        <v>43</v>
      </c>
      <c r="G4998">
        <v>-333.55549999999999</v>
      </c>
      <c r="H4998" s="1">
        <v>-3.8371909999999998E-6</v>
      </c>
      <c r="I4998">
        <v>13.47025</v>
      </c>
      <c r="J4998">
        <v>-348.9042</v>
      </c>
      <c r="K4998">
        <v>1.110663</v>
      </c>
      <c r="L4998">
        <v>16.900020000000001</v>
      </c>
      <c r="M4998">
        <v>0.9998245</v>
      </c>
      <c r="N4998">
        <v>0</v>
      </c>
      <c r="O4998">
        <v>1.377923E-2</v>
      </c>
      <c r="P4998">
        <v>0.9813288</v>
      </c>
      <c r="Q4998">
        <v>0.1169413</v>
      </c>
      <c r="R4998">
        <v>-0.15270510000000001</v>
      </c>
      <c r="S4998">
        <v>2.979797</v>
      </c>
      <c r="T4998">
        <v>-0.213699</v>
      </c>
      <c r="U4998">
        <v>-0.65945430000000005</v>
      </c>
      <c r="V4998">
        <v>0.16607810000000001</v>
      </c>
      <c r="W4998">
        <v>0.1295424</v>
      </c>
      <c r="X4998">
        <v>0.97756679999999996</v>
      </c>
      <c r="Y4998">
        <v>0.22891980000000001</v>
      </c>
      <c r="Z4998">
        <v>-9.0760359999999991E-3</v>
      </c>
      <c r="AA4998">
        <v>0.97340300000000002</v>
      </c>
      <c r="AB4998">
        <v>24</v>
      </c>
      <c r="AC4998">
        <v>15.348699999999999</v>
      </c>
      <c r="AD4998">
        <v>-1.110666837191</v>
      </c>
      <c r="AE4998">
        <v>-3.42977</v>
      </c>
      <c r="AF4998">
        <v>3.62288632545203</v>
      </c>
      <c r="AG4998">
        <v>-1.110666837191</v>
      </c>
      <c r="AH4998">
        <v>15.224052732453</v>
      </c>
      <c r="AI4998">
        <v>94.0596352386316</v>
      </c>
      <c r="AJ4998">
        <v>76.614227212725893</v>
      </c>
      <c r="AK4998">
        <v>15.688552124109201</v>
      </c>
      <c r="AL4998">
        <v>82.556849892440795</v>
      </c>
      <c r="AM4998">
        <v>80.358121527616404</v>
      </c>
      <c r="AN4998">
        <v>1.0000000085798</v>
      </c>
    </row>
    <row r="4999" spans="1:40" x14ac:dyDescent="0.25">
      <c r="A4999" t="str">
        <f>"20190312151636000"</f>
        <v>20190312151636000</v>
      </c>
      <c r="B4999" t="str">
        <f>"1552374995992664"</f>
        <v>1552374995992664</v>
      </c>
      <c r="C4999" t="s">
        <v>40</v>
      </c>
      <c r="D4999">
        <v>4.5205010000000003</v>
      </c>
      <c r="E4999">
        <v>0.52381440000000001</v>
      </c>
      <c r="F4999" t="s">
        <v>43</v>
      </c>
      <c r="G4999">
        <v>-333.35129999999998</v>
      </c>
      <c r="H4999" s="1">
        <v>-3.9294879999999999E-6</v>
      </c>
      <c r="I4999">
        <v>13.4436</v>
      </c>
      <c r="J4999">
        <v>-348.7627</v>
      </c>
      <c r="K4999">
        <v>1.110665</v>
      </c>
      <c r="L4999">
        <v>16.902439999999999</v>
      </c>
      <c r="M4999">
        <v>0.99981880000000001</v>
      </c>
      <c r="N4999">
        <v>0</v>
      </c>
      <c r="O4999">
        <v>1.4180470000000001E-2</v>
      </c>
      <c r="P4999">
        <v>0.98125859999999998</v>
      </c>
      <c r="Q4999">
        <v>0.116930199999999</v>
      </c>
      <c r="R4999">
        <v>-0.15316379999999999</v>
      </c>
      <c r="S4999">
        <v>2.9793699999999999</v>
      </c>
      <c r="T4999">
        <v>-0.21276320000000001</v>
      </c>
      <c r="U4999">
        <v>-0.66210939999999996</v>
      </c>
      <c r="V4999">
        <v>0.16692850000000001</v>
      </c>
      <c r="W4999">
        <v>0.12953049999999999</v>
      </c>
      <c r="X4999">
        <v>0.9774235</v>
      </c>
      <c r="Y4999">
        <v>0.2301675</v>
      </c>
      <c r="Z4999">
        <v>-9.109051E-3</v>
      </c>
      <c r="AA4999">
        <v>0.97310839999999998</v>
      </c>
      <c r="AB4999">
        <v>24</v>
      </c>
      <c r="AC4999">
        <v>15.4114</v>
      </c>
      <c r="AD4999">
        <v>-1.1106689294879999</v>
      </c>
      <c r="AE4999">
        <v>-3.4588399999999901</v>
      </c>
      <c r="AF4999">
        <v>3.6589581280739698</v>
      </c>
      <c r="AG4999">
        <v>-1.1106689294879999</v>
      </c>
      <c r="AH4999">
        <v>15.285216973085999</v>
      </c>
      <c r="AI4999">
        <v>94.042171256850196</v>
      </c>
      <c r="AJ4999">
        <v>76.537920780649003</v>
      </c>
      <c r="AK4999">
        <v>15.756250123942699</v>
      </c>
      <c r="AL4999">
        <v>82.557537339932495</v>
      </c>
      <c r="AM4999">
        <v>80.308290501911998</v>
      </c>
      <c r="AN4999">
        <v>0.99999998644737398</v>
      </c>
    </row>
    <row r="5000" spans="1:40" x14ac:dyDescent="0.25">
      <c r="A5000" t="str">
        <f>"20190312151636012"</f>
        <v>20190312151636012</v>
      </c>
      <c r="B5000" t="str">
        <f>"1552374996003400"</f>
        <v>1552374996003400</v>
      </c>
      <c r="C5000" t="s">
        <v>40</v>
      </c>
      <c r="D5000">
        <v>4.8698030000000001</v>
      </c>
      <c r="E5000">
        <v>0.52386359999999998</v>
      </c>
      <c r="F5000" t="s">
        <v>43</v>
      </c>
      <c r="G5000">
        <v>-333.2996</v>
      </c>
      <c r="H5000" s="1">
        <v>-3.9500710000000004E-6</v>
      </c>
      <c r="I5000">
        <v>13.45275</v>
      </c>
      <c r="J5000">
        <v>-348.63099999999997</v>
      </c>
      <c r="K5000">
        <v>1.1106609999999999</v>
      </c>
      <c r="L5000">
        <v>16.904720000000001</v>
      </c>
      <c r="M5000">
        <v>0.99981339999999996</v>
      </c>
      <c r="N5000">
        <v>0</v>
      </c>
      <c r="O5000">
        <v>1.4553679999999999E-2</v>
      </c>
      <c r="P5000">
        <v>0.98114599999999996</v>
      </c>
      <c r="Q5000">
        <v>0.1169371</v>
      </c>
      <c r="R5000">
        <v>-0.1538775</v>
      </c>
      <c r="S5000">
        <v>2.979034</v>
      </c>
      <c r="T5000">
        <v>-0.21397469999999999</v>
      </c>
      <c r="U5000">
        <v>-0.66458130000000004</v>
      </c>
      <c r="V5000">
        <v>0.16800619999999999</v>
      </c>
      <c r="W5000">
        <v>0.1295367</v>
      </c>
      <c r="X5000">
        <v>0.97723800000000005</v>
      </c>
      <c r="Y5000">
        <v>0.23131260000000001</v>
      </c>
      <c r="Z5000">
        <v>-9.2280269999999998E-3</v>
      </c>
      <c r="AA5000">
        <v>0.97283569999999997</v>
      </c>
      <c r="AB5000">
        <v>24</v>
      </c>
      <c r="AC5000">
        <v>15.331399999999901</v>
      </c>
      <c r="AD5000">
        <v>-1.110664950071</v>
      </c>
      <c r="AE5000">
        <v>-3.4519700000000002</v>
      </c>
      <c r="AF5000">
        <v>3.6564868992819499</v>
      </c>
      <c r="AG5000">
        <v>-1.110664950071</v>
      </c>
      <c r="AH5000">
        <v>15.2035928489399</v>
      </c>
      <c r="AI5000">
        <v>94.062754152555797</v>
      </c>
      <c r="AJ5000">
        <v>76.477100859428603</v>
      </c>
      <c r="AK5000">
        <v>15.6765017970296</v>
      </c>
      <c r="AL5000">
        <v>82.557178996645405</v>
      </c>
      <c r="AM5000">
        <v>80.245102464820107</v>
      </c>
      <c r="AN5000">
        <v>0.99999997426466403</v>
      </c>
    </row>
    <row r="5001" spans="1:40" x14ac:dyDescent="0.25">
      <c r="A5001" t="str">
        <f>"20190312151636030"</f>
        <v>20190312151636030</v>
      </c>
      <c r="B5001" t="str">
        <f>"1552374996022919"</f>
        <v>1552374996022919</v>
      </c>
      <c r="C5001" t="s">
        <v>40</v>
      </c>
      <c r="D5001">
        <v>4.5574009999999996</v>
      </c>
      <c r="E5001">
        <v>0.52382450000000003</v>
      </c>
      <c r="F5001" t="s">
        <v>43</v>
      </c>
      <c r="G5001">
        <v>-333.1404</v>
      </c>
      <c r="H5001" s="1">
        <v>-4.0217949999999998E-6</v>
      </c>
      <c r="I5001">
        <v>13.43327</v>
      </c>
      <c r="J5001">
        <v>-348.43279999999999</v>
      </c>
      <c r="K5001">
        <v>1.1106609999999999</v>
      </c>
      <c r="L5001">
        <v>16.90823</v>
      </c>
      <c r="M5001">
        <v>0.99980519999999995</v>
      </c>
      <c r="N5001">
        <v>0</v>
      </c>
      <c r="O5001">
        <v>1.511439E-2</v>
      </c>
      <c r="P5001">
        <v>0.9807844</v>
      </c>
      <c r="Q5001">
        <v>0.1176524</v>
      </c>
      <c r="R5001">
        <v>-0.15562870000000001</v>
      </c>
      <c r="S5001">
        <v>2.978424</v>
      </c>
      <c r="T5001">
        <v>-0.21355060000000001</v>
      </c>
      <c r="U5001">
        <v>-0.66744999999999999</v>
      </c>
      <c r="V5001">
        <v>0.1703006</v>
      </c>
      <c r="W5001">
        <v>0.1302478</v>
      </c>
      <c r="X5001">
        <v>0.97674629999999996</v>
      </c>
      <c r="Y5001">
        <v>0.23278989999999999</v>
      </c>
      <c r="Z5001">
        <v>-9.3026089999999999E-3</v>
      </c>
      <c r="AA5001">
        <v>0.97248259999999997</v>
      </c>
      <c r="AB5001">
        <v>24</v>
      </c>
      <c r="AC5001">
        <v>15.292399999999899</v>
      </c>
      <c r="AD5001">
        <v>-1.110665021795</v>
      </c>
      <c r="AE5001">
        <v>-3.4749599999999901</v>
      </c>
      <c r="AF5001">
        <v>3.6872221438914501</v>
      </c>
      <c r="AG5001">
        <v>-1.110665021795</v>
      </c>
      <c r="AH5001">
        <v>15.1620751613621</v>
      </c>
      <c r="AI5001">
        <v>94.071351252963495</v>
      </c>
      <c r="AJ5001">
        <v>76.331726216762306</v>
      </c>
      <c r="AK5001">
        <v>15.6434557284456</v>
      </c>
      <c r="AL5001">
        <v>82.516088485381502</v>
      </c>
      <c r="AM5001">
        <v>80.109616118590395</v>
      </c>
      <c r="AN5001">
        <v>1.00000005916444</v>
      </c>
    </row>
    <row r="5002" spans="1:40" x14ac:dyDescent="0.25">
      <c r="A5002" t="str">
        <f>"20190312151636043"</f>
        <v>20190312151636043</v>
      </c>
      <c r="B5002" t="str">
        <f>"1552374996032680"</f>
        <v>1552374996032680</v>
      </c>
      <c r="C5002" t="s">
        <v>40</v>
      </c>
      <c r="D5002">
        <v>4.5455040000000002</v>
      </c>
      <c r="E5002">
        <v>0.52373769999999997</v>
      </c>
      <c r="F5002" t="s">
        <v>43</v>
      </c>
      <c r="G5002">
        <v>-332.74369999999999</v>
      </c>
      <c r="H5002" s="1">
        <v>-4.2044919999999999E-6</v>
      </c>
      <c r="I5002">
        <v>13.362959999999999</v>
      </c>
      <c r="J5002">
        <v>-348.30489999999998</v>
      </c>
      <c r="K5002">
        <v>1.11066</v>
      </c>
      <c r="L5002">
        <v>16.910609999999998</v>
      </c>
      <c r="M5002">
        <v>0.99979949999999995</v>
      </c>
      <c r="N5002">
        <v>0</v>
      </c>
      <c r="O5002">
        <v>1.54752E-2</v>
      </c>
      <c r="P5002">
        <v>0.98061889999999996</v>
      </c>
      <c r="Q5002">
        <v>0.117836</v>
      </c>
      <c r="R5002">
        <v>-0.15652929999999901</v>
      </c>
      <c r="S5002">
        <v>2.9772949999999998</v>
      </c>
      <c r="T5002">
        <v>-0.2107676</v>
      </c>
      <c r="U5002">
        <v>-0.67276000000000002</v>
      </c>
      <c r="V5002">
        <v>0.1715517</v>
      </c>
      <c r="W5002">
        <v>0.13042880000000001</v>
      </c>
      <c r="X5002">
        <v>0.97650309999999996</v>
      </c>
      <c r="Y5002">
        <v>0.23487939999999999</v>
      </c>
      <c r="Z5002">
        <v>-9.2814660000000004E-3</v>
      </c>
      <c r="AA5002">
        <v>0.97198019999999996</v>
      </c>
      <c r="AB5002">
        <v>24</v>
      </c>
      <c r="AC5002">
        <v>15.5611999999999</v>
      </c>
      <c r="AD5002">
        <v>-1.1106642044920001</v>
      </c>
      <c r="AE5002">
        <v>-3.54765</v>
      </c>
      <c r="AF5002">
        <v>3.7698017891848998</v>
      </c>
      <c r="AG5002">
        <v>-1.1106642044920001</v>
      </c>
      <c r="AH5002">
        <v>15.429712129708401</v>
      </c>
      <c r="AI5002">
        <v>93.999919646287097</v>
      </c>
      <c r="AJ5002">
        <v>76.270409116926302</v>
      </c>
      <c r="AK5002">
        <v>15.9223426954249</v>
      </c>
      <c r="AL5002">
        <v>82.505628134397696</v>
      </c>
      <c r="AM5002">
        <v>80.035976215015793</v>
      </c>
      <c r="AN5002">
        <v>0.99999998097596898</v>
      </c>
    </row>
    <row r="5003" spans="1:40" x14ac:dyDescent="0.25">
      <c r="A5003" t="str">
        <f>"20190312151636054"</f>
        <v>20190312151636054</v>
      </c>
      <c r="B5003" t="str">
        <f>"1552374996043416"</f>
        <v>1552374996043416</v>
      </c>
      <c r="C5003" t="s">
        <v>40</v>
      </c>
      <c r="D5003">
        <v>4.5595610000000004</v>
      </c>
      <c r="E5003">
        <v>0.52368549999999903</v>
      </c>
      <c r="F5003" t="s">
        <v>43</v>
      </c>
      <c r="G5003">
        <v>-332.56970000000001</v>
      </c>
      <c r="H5003" s="1">
        <v>-4.2825470000000003E-6</v>
      </c>
      <c r="I5003">
        <v>13.343529999999999</v>
      </c>
      <c r="J5003">
        <v>-348.18130000000002</v>
      </c>
      <c r="K5003">
        <v>1.110662</v>
      </c>
      <c r="L5003">
        <v>16.9129</v>
      </c>
      <c r="M5003">
        <v>0.99979410000000002</v>
      </c>
      <c r="N5003">
        <v>0</v>
      </c>
      <c r="O5003">
        <v>1.5823380000000001E-2</v>
      </c>
      <c r="P5003">
        <v>0.98041449999999997</v>
      </c>
      <c r="Q5003">
        <v>0.11817610000000001</v>
      </c>
      <c r="R5003">
        <v>-0.1575493</v>
      </c>
      <c r="S5003">
        <v>2.9767760000000001</v>
      </c>
      <c r="T5003">
        <v>-0.21011540000000001</v>
      </c>
      <c r="U5003">
        <v>-0.67480469999999904</v>
      </c>
      <c r="V5003">
        <v>0.17290920000000001</v>
      </c>
      <c r="W5003">
        <v>0.13076689999999999</v>
      </c>
      <c r="X5003">
        <v>0.97621849999999999</v>
      </c>
      <c r="Y5003">
        <v>0.2358896</v>
      </c>
      <c r="Z5003">
        <v>-9.3131140000000008E-3</v>
      </c>
      <c r="AA5003">
        <v>0.97173520000000002</v>
      </c>
      <c r="AB5003">
        <v>24</v>
      </c>
      <c r="AC5003">
        <v>15.611599999999999</v>
      </c>
      <c r="AD5003">
        <v>-1.110666282547</v>
      </c>
      <c r="AE5003">
        <v>-3.5693700000000002</v>
      </c>
      <c r="AF5003">
        <v>3.7977043791291201</v>
      </c>
      <c r="AG5003">
        <v>-1.110666282547</v>
      </c>
      <c r="AH5003">
        <v>15.478708797234599</v>
      </c>
      <c r="AI5003">
        <v>93.9863617395212</v>
      </c>
      <c r="AJ5003">
        <v>76.214771786085706</v>
      </c>
      <c r="AK5003">
        <v>15.976437781058401</v>
      </c>
      <c r="AL5003">
        <v>82.486089734780194</v>
      </c>
      <c r="AM5003">
        <v>79.955860918626001</v>
      </c>
      <c r="AN5003">
        <v>1.0000000666612401</v>
      </c>
    </row>
    <row r="5004" spans="1:40" x14ac:dyDescent="0.25">
      <c r="A5004" t="str">
        <f>"20190312151636064"</f>
        <v>20190312151636064</v>
      </c>
      <c r="B5004" t="str">
        <f>"1552374996053176"</f>
        <v>1552374996053176</v>
      </c>
      <c r="C5004" t="s">
        <v>40</v>
      </c>
      <c r="D5004">
        <v>4.5638829999999997</v>
      </c>
      <c r="E5004">
        <v>0.52363179999999998</v>
      </c>
      <c r="F5004" t="s">
        <v>43</v>
      </c>
      <c r="G5004">
        <v>-332.37189999999998</v>
      </c>
      <c r="H5004" s="1">
        <v>-4.3728559999999997E-6</v>
      </c>
      <c r="I5004">
        <v>13.31293</v>
      </c>
      <c r="J5004">
        <v>-348.06259999999997</v>
      </c>
      <c r="K5004">
        <v>1.1106609999999999</v>
      </c>
      <c r="L5004">
        <v>16.91516</v>
      </c>
      <c r="M5004">
        <v>0.99978889999999998</v>
      </c>
      <c r="N5004">
        <v>0</v>
      </c>
      <c r="O5004">
        <v>1.6155639999999999E-2</v>
      </c>
      <c r="P5004">
        <v>0.98019869999999998</v>
      </c>
      <c r="Q5004">
        <v>0.1184873</v>
      </c>
      <c r="R5004">
        <v>-0.1586563</v>
      </c>
      <c r="S5004">
        <v>2.9762270000000002</v>
      </c>
      <c r="T5004">
        <v>-0.2090901</v>
      </c>
      <c r="U5004">
        <v>-0.67770390000000003</v>
      </c>
      <c r="V5004">
        <v>0.1743374</v>
      </c>
      <c r="W5004">
        <v>0.13107559999999999</v>
      </c>
      <c r="X5004">
        <v>0.97592299999999998</v>
      </c>
      <c r="Y5004">
        <v>0.23715310000000001</v>
      </c>
      <c r="Z5004">
        <v>-9.3352699999999997E-3</v>
      </c>
      <c r="AA5004">
        <v>0.97142740000000005</v>
      </c>
      <c r="AB5004">
        <v>24</v>
      </c>
      <c r="AC5004">
        <v>15.6906999999999</v>
      </c>
      <c r="AD5004">
        <v>-1.1106653728560001</v>
      </c>
      <c r="AE5004">
        <v>-3.60223</v>
      </c>
      <c r="AF5004">
        <v>3.8370107027659301</v>
      </c>
      <c r="AG5004">
        <v>-1.1106653728560001</v>
      </c>
      <c r="AH5004">
        <v>15.5564078196546</v>
      </c>
      <c r="AI5004">
        <v>93.965318414533698</v>
      </c>
      <c r="AJ5004">
        <v>76.1444698012467</v>
      </c>
      <c r="AK5004">
        <v>16.0610725966547</v>
      </c>
      <c r="AL5004">
        <v>82.468248630442105</v>
      </c>
      <c r="AM5004">
        <v>79.871605418397195</v>
      </c>
      <c r="AN5004">
        <v>1.0000000219415499</v>
      </c>
    </row>
    <row r="5005" spans="1:40" x14ac:dyDescent="0.25">
      <c r="A5005" t="str">
        <f>"20190312151636075"</f>
        <v>20190312151636075</v>
      </c>
      <c r="B5005" t="str">
        <f>"1552374996062936"</f>
        <v>1552374996062936</v>
      </c>
      <c r="C5005" t="s">
        <v>40</v>
      </c>
      <c r="D5005">
        <v>4.553877</v>
      </c>
      <c r="E5005">
        <v>0.52357730000000002</v>
      </c>
      <c r="F5005" t="s">
        <v>43</v>
      </c>
      <c r="G5005">
        <v>-332.18060000000003</v>
      </c>
      <c r="H5005" s="1">
        <v>-4.4603850000000003E-6</v>
      </c>
      <c r="I5005">
        <v>13.282069999999999</v>
      </c>
      <c r="J5005">
        <v>-347.95490000000001</v>
      </c>
      <c r="K5005">
        <v>1.1106609999999999</v>
      </c>
      <c r="L5005">
        <v>16.91724</v>
      </c>
      <c r="M5005">
        <v>0.99978389999999995</v>
      </c>
      <c r="N5005">
        <v>0</v>
      </c>
      <c r="O5005">
        <v>1.6457389999999999E-2</v>
      </c>
      <c r="P5005">
        <v>0.97999910000000001</v>
      </c>
      <c r="Q5005">
        <v>0.1185884</v>
      </c>
      <c r="R5005">
        <v>-0.1598086</v>
      </c>
      <c r="S5005">
        <v>2.9755859999999998</v>
      </c>
      <c r="T5005">
        <v>-0.2080891</v>
      </c>
      <c r="U5005">
        <v>-0.68066409999999999</v>
      </c>
      <c r="V5005">
        <v>0.17578160000000001</v>
      </c>
      <c r="W5005">
        <v>0.1311744</v>
      </c>
      <c r="X5005">
        <v>0.97565060000000003</v>
      </c>
      <c r="Y5005">
        <v>0.23841190000000001</v>
      </c>
      <c r="Z5005">
        <v>-9.3558510000000001E-3</v>
      </c>
      <c r="AA5005">
        <v>0.97111899999999995</v>
      </c>
      <c r="AB5005">
        <v>24</v>
      </c>
      <c r="AC5005">
        <v>15.774299999999901</v>
      </c>
      <c r="AD5005">
        <v>-1.1106654603849999</v>
      </c>
      <c r="AE5005">
        <v>-3.6351699999999898</v>
      </c>
      <c r="AF5005">
        <v>3.8760556648947002</v>
      </c>
      <c r="AG5005">
        <v>-1.1106654603849999</v>
      </c>
      <c r="AH5005">
        <v>15.638713214668099</v>
      </c>
      <c r="AI5005">
        <v>93.943417617822107</v>
      </c>
      <c r="AJ5005">
        <v>76.079752697631093</v>
      </c>
      <c r="AK5005">
        <v>16.150131154046001</v>
      </c>
      <c r="AL5005">
        <v>82.462538291305606</v>
      </c>
      <c r="AM5005">
        <v>79.786669801753305</v>
      </c>
      <c r="AN5005">
        <v>0.99999999369713999</v>
      </c>
    </row>
    <row r="5006" spans="1:40" x14ac:dyDescent="0.25">
      <c r="A5006" t="str">
        <f>"20190312151636085"</f>
        <v>20190312151636085</v>
      </c>
      <c r="B5006" t="str">
        <f>"1552374996072696"</f>
        <v>1552374996072696</v>
      </c>
      <c r="C5006" t="s">
        <v>40</v>
      </c>
      <c r="D5006">
        <v>4.5212269999999997</v>
      </c>
      <c r="E5006">
        <v>0.52350649999999999</v>
      </c>
      <c r="F5006" t="s">
        <v>43</v>
      </c>
      <c r="G5006">
        <v>-332.05439999999999</v>
      </c>
      <c r="H5006" s="1">
        <v>-4.518047E-6</v>
      </c>
      <c r="I5006">
        <v>13.26221</v>
      </c>
      <c r="J5006">
        <v>-347.84829999999999</v>
      </c>
      <c r="K5006">
        <v>1.1106609999999999</v>
      </c>
      <c r="L5006">
        <v>16.919339999999998</v>
      </c>
      <c r="M5006">
        <v>0.99977899999999997</v>
      </c>
      <c r="N5006">
        <v>0</v>
      </c>
      <c r="O5006">
        <v>1.6754970000000001E-2</v>
      </c>
      <c r="P5006">
        <v>0.97978160000000003</v>
      </c>
      <c r="Q5006">
        <v>0.1190432</v>
      </c>
      <c r="R5006">
        <v>-0.16080120000000001</v>
      </c>
      <c r="S5006">
        <v>2.9748540000000001</v>
      </c>
      <c r="T5006">
        <v>-0.2077957</v>
      </c>
      <c r="U5006">
        <v>-0.68380739999999995</v>
      </c>
      <c r="V5006">
        <v>0.1770612</v>
      </c>
      <c r="W5006">
        <v>0.1316263</v>
      </c>
      <c r="X5006">
        <v>0.97535830000000001</v>
      </c>
      <c r="Y5006">
        <v>0.2397253</v>
      </c>
      <c r="Z5006">
        <v>-9.4095829999999991E-3</v>
      </c>
      <c r="AA5006">
        <v>0.97079519999999997</v>
      </c>
      <c r="AB5006">
        <v>24</v>
      </c>
      <c r="AC5006">
        <v>15.793900000000001</v>
      </c>
      <c r="AD5006">
        <v>-1.110665518047</v>
      </c>
      <c r="AE5006">
        <v>-3.6571299999999898</v>
      </c>
      <c r="AF5006">
        <v>3.90294538315307</v>
      </c>
      <c r="AG5006">
        <v>-1.110665518047</v>
      </c>
      <c r="AH5006">
        <v>15.6569154130898</v>
      </c>
      <c r="AI5006">
        <v>93.937534211128394</v>
      </c>
      <c r="AJ5006">
        <v>76.002625566686802</v>
      </c>
      <c r="AK5006">
        <v>16.174225199665798</v>
      </c>
      <c r="AL5006">
        <v>82.436419779267098</v>
      </c>
      <c r="AM5006">
        <v>79.710886903856107</v>
      </c>
      <c r="AN5006">
        <v>0.99999998238800902</v>
      </c>
    </row>
    <row r="5007" spans="1:40" x14ac:dyDescent="0.25">
      <c r="A5007" t="str">
        <f>"20190312151636097"</f>
        <v>20190312151636097</v>
      </c>
      <c r="B5007" t="str">
        <f>"1552374996093192"</f>
        <v>1552374996093192</v>
      </c>
      <c r="C5007" t="s">
        <v>40</v>
      </c>
      <c r="D5007">
        <v>4.5600529999999999</v>
      </c>
      <c r="E5007">
        <v>0.52340620000000004</v>
      </c>
      <c r="F5007" t="s">
        <v>43</v>
      </c>
      <c r="G5007">
        <v>-331.84350000000001</v>
      </c>
      <c r="H5007" s="1">
        <v>-4.6151019999999997E-6</v>
      </c>
      <c r="I5007">
        <v>13.22509</v>
      </c>
      <c r="J5007">
        <v>-347.73200000000003</v>
      </c>
      <c r="K5007">
        <v>1.1106609999999999</v>
      </c>
      <c r="L5007">
        <v>16.92163</v>
      </c>
      <c r="M5007">
        <v>0.99977360000000004</v>
      </c>
      <c r="N5007">
        <v>0</v>
      </c>
      <c r="O5007">
        <v>1.707937E-2</v>
      </c>
      <c r="P5007">
        <v>0.97956929999999998</v>
      </c>
      <c r="Q5007">
        <v>0.1195333</v>
      </c>
      <c r="R5007">
        <v>-0.16172839999999999</v>
      </c>
      <c r="S5007">
        <v>2.974335</v>
      </c>
      <c r="T5007">
        <v>-0.2064058</v>
      </c>
      <c r="U5007">
        <v>-0.68652340000000001</v>
      </c>
      <c r="V5007">
        <v>0.1783014</v>
      </c>
      <c r="W5007">
        <v>0.1321136</v>
      </c>
      <c r="X5007">
        <v>0.97506649999999995</v>
      </c>
      <c r="Y5007">
        <v>0.2409232</v>
      </c>
      <c r="Z5007">
        <v>-9.4106280000000007E-3</v>
      </c>
      <c r="AA5007">
        <v>0.97049859999999999</v>
      </c>
      <c r="AB5007">
        <v>24</v>
      </c>
      <c r="AC5007">
        <v>15.888499999999899</v>
      </c>
      <c r="AD5007">
        <v>-1.110665615102</v>
      </c>
      <c r="AE5007">
        <v>-3.6965400000000002</v>
      </c>
      <c r="AF5007">
        <v>3.9490817260621598</v>
      </c>
      <c r="AG5007">
        <v>-1.110665615102</v>
      </c>
      <c r="AH5007">
        <v>15.7500313422708</v>
      </c>
      <c r="AI5007">
        <v>93.912991796489095</v>
      </c>
      <c r="AJ5007">
        <v>75.924136348298205</v>
      </c>
      <c r="AK5007">
        <v>16.275512645388499</v>
      </c>
      <c r="AL5007">
        <v>82.4082539796254</v>
      </c>
      <c r="AM5007">
        <v>79.637340430668601</v>
      </c>
      <c r="AN5007">
        <v>1.00000003598458</v>
      </c>
    </row>
    <row r="5008" spans="1:40" x14ac:dyDescent="0.25">
      <c r="A5008" t="str">
        <f>"20190312151636107"</f>
        <v>20190312151636107</v>
      </c>
      <c r="B5008" t="str">
        <f>"1552374996102952"</f>
        <v>1552374996102952</v>
      </c>
      <c r="C5008" t="s">
        <v>40</v>
      </c>
      <c r="D5008">
        <v>4.5649940000000004</v>
      </c>
      <c r="E5008">
        <v>0.52340620000000004</v>
      </c>
      <c r="F5008" t="s">
        <v>43</v>
      </c>
      <c r="G5008">
        <v>-331.72800000000001</v>
      </c>
      <c r="H5008" s="1">
        <v>-4.6662980000000001E-6</v>
      </c>
      <c r="I5008">
        <v>13.21589</v>
      </c>
      <c r="J5008">
        <v>-347.6069</v>
      </c>
      <c r="K5008">
        <v>1.11067</v>
      </c>
      <c r="L5008">
        <v>16.924189999999999</v>
      </c>
      <c r="M5008">
        <v>0.99976759999999998</v>
      </c>
      <c r="N5008">
        <v>0</v>
      </c>
      <c r="O5008">
        <v>1.742761E-2</v>
      </c>
      <c r="P5008">
        <v>0.97932050000000004</v>
      </c>
      <c r="Q5008">
        <v>0.1200478</v>
      </c>
      <c r="R5008">
        <v>-0.1628503</v>
      </c>
      <c r="S5008">
        <v>2.9740600000000001</v>
      </c>
      <c r="T5008">
        <v>-0.2063971</v>
      </c>
      <c r="U5008">
        <v>-0.68862919999999905</v>
      </c>
      <c r="V5008">
        <v>0.1797589</v>
      </c>
      <c r="W5008">
        <v>0.13262449999999901</v>
      </c>
      <c r="X5008">
        <v>0.97472939999999997</v>
      </c>
      <c r="Y5008">
        <v>0.2419299</v>
      </c>
      <c r="Z5008">
        <v>-9.4686240000000001E-3</v>
      </c>
      <c r="AA5008">
        <v>0.97024750000000004</v>
      </c>
      <c r="AB5008">
        <v>24</v>
      </c>
      <c r="AC5008">
        <v>15.8788999999999</v>
      </c>
      <c r="AD5008">
        <v>-1.110674666298</v>
      </c>
      <c r="AE5008">
        <v>-3.7082999999999999</v>
      </c>
      <c r="AF5008">
        <v>3.9660896503373402</v>
      </c>
      <c r="AG5008">
        <v>-1.110674666298</v>
      </c>
      <c r="AH5008">
        <v>15.7388358767111</v>
      </c>
      <c r="AI5008">
        <v>93.914636600867595</v>
      </c>
      <c r="AJ5008">
        <v>75.856288512017798</v>
      </c>
      <c r="AK5008">
        <v>16.268817415009501</v>
      </c>
      <c r="AL5008">
        <v>82.378721127652298</v>
      </c>
      <c r="AM5008">
        <v>79.550956589499293</v>
      </c>
      <c r="AN5008">
        <v>0.99999996167690897</v>
      </c>
    </row>
    <row r="5009" spans="1:40" x14ac:dyDescent="0.25">
      <c r="A5009" t="str">
        <f>"20190312151636119"</f>
        <v>20190312151636119</v>
      </c>
      <c r="B5009" t="str">
        <f>"1552374996112712"</f>
        <v>1552374996112712</v>
      </c>
      <c r="C5009" t="s">
        <v>40</v>
      </c>
      <c r="D5009">
        <v>4.5409050000000004</v>
      </c>
      <c r="E5009">
        <v>0.51846559999999997</v>
      </c>
      <c r="F5009" t="s">
        <v>43</v>
      </c>
      <c r="G5009">
        <v>-331.48259999999999</v>
      </c>
      <c r="H5009" s="1">
        <v>-4.7794600000000003E-6</v>
      </c>
      <c r="I5009">
        <v>13.171379999999999</v>
      </c>
      <c r="J5009">
        <v>-347.48489999999998</v>
      </c>
      <c r="K5009">
        <v>1.1106739999999999</v>
      </c>
      <c r="L5009">
        <v>16.926670000000001</v>
      </c>
      <c r="M5009">
        <v>0.99976149999999997</v>
      </c>
      <c r="N5009">
        <v>0</v>
      </c>
      <c r="O5009">
        <v>1.7767330000000001E-2</v>
      </c>
      <c r="P5009">
        <v>0.9791145</v>
      </c>
      <c r="Q5009">
        <v>0.1206372</v>
      </c>
      <c r="R5009">
        <v>-0.16365080000000001</v>
      </c>
      <c r="S5009">
        <v>2.9733890000000001</v>
      </c>
      <c r="T5009">
        <v>-0.20481240000000001</v>
      </c>
      <c r="U5009">
        <v>-0.69201659999999998</v>
      </c>
      <c r="V5009">
        <v>0.18088689999999999</v>
      </c>
      <c r="W5009">
        <v>0.133211</v>
      </c>
      <c r="X5009">
        <v>0.9744408</v>
      </c>
      <c r="Y5009">
        <v>0.2433613</v>
      </c>
      <c r="Z5009">
        <v>-9.4686479999999996E-3</v>
      </c>
      <c r="AA5009">
        <v>0.96988949999999996</v>
      </c>
      <c r="AB5009">
        <v>24</v>
      </c>
      <c r="AC5009">
        <v>16.002299999999899</v>
      </c>
      <c r="AD5009">
        <v>-1.1106787794599999</v>
      </c>
      <c r="AE5009">
        <v>-3.75529</v>
      </c>
      <c r="AF5009">
        <v>4.0206800034053201</v>
      </c>
      <c r="AG5009">
        <v>-1.1106787794599999</v>
      </c>
      <c r="AH5009">
        <v>15.8606280246554</v>
      </c>
      <c r="AI5009">
        <v>93.883297095260701</v>
      </c>
      <c r="AJ5009">
        <v>75.775136823072302</v>
      </c>
      <c r="AK5009">
        <v>16.399969401721801</v>
      </c>
      <c r="AL5009">
        <v>82.344817049555303</v>
      </c>
      <c r="AM5009">
        <v>79.4838013046718</v>
      </c>
      <c r="AN5009">
        <v>1.00000005690862</v>
      </c>
    </row>
    <row r="5010" spans="1:40" x14ac:dyDescent="0.25">
      <c r="A5010" t="str">
        <f>"20190312151636132"</f>
        <v>20190312151636132</v>
      </c>
      <c r="B5010" t="str">
        <f>"1552374996123448"</f>
        <v>1552374996123448</v>
      </c>
      <c r="C5010" t="s">
        <v>40</v>
      </c>
      <c r="D5010">
        <v>4.5418699999999896</v>
      </c>
      <c r="E5010">
        <v>0.51844559999999995</v>
      </c>
      <c r="F5010" t="s">
        <v>43</v>
      </c>
      <c r="G5010">
        <v>-335.17110000000002</v>
      </c>
      <c r="H5010" s="1">
        <v>-3.0664949999999999E-6</v>
      </c>
      <c r="I5010">
        <v>14.215109999999999</v>
      </c>
      <c r="J5010">
        <v>-347.34710000000001</v>
      </c>
      <c r="K5010">
        <v>1.110676</v>
      </c>
      <c r="L5010">
        <v>16.929569999999998</v>
      </c>
      <c r="M5010">
        <v>0.9997547</v>
      </c>
      <c r="N5010">
        <v>0</v>
      </c>
      <c r="O5010">
        <v>1.8150199999999998E-2</v>
      </c>
      <c r="P5010">
        <v>0.97885719999999998</v>
      </c>
      <c r="Q5010">
        <v>0.1213711</v>
      </c>
      <c r="R5010">
        <v>-0.16464389999999901</v>
      </c>
      <c r="S5010">
        <v>2.9872130000000001</v>
      </c>
      <c r="T5010">
        <v>-0.26943810000000001</v>
      </c>
      <c r="U5010">
        <v>-0.65777589999999997</v>
      </c>
      <c r="V5010">
        <v>0.18224870000000001</v>
      </c>
      <c r="W5010">
        <v>0.13394159999999999</v>
      </c>
      <c r="X5010">
        <v>0.97408680000000003</v>
      </c>
      <c r="Y5010">
        <v>0.23176830000000001</v>
      </c>
      <c r="Z5010">
        <v>-1.1923919999999999E-2</v>
      </c>
      <c r="AA5010">
        <v>0.9726979</v>
      </c>
      <c r="AB5010">
        <v>24</v>
      </c>
      <c r="AC5010">
        <v>12.175999999999901</v>
      </c>
      <c r="AD5010">
        <v>-1.1106790664949999</v>
      </c>
      <c r="AE5010">
        <v>-2.7144599999999999</v>
      </c>
      <c r="AF5010">
        <v>2.9119447633250601</v>
      </c>
      <c r="AG5010">
        <v>-1.1106790664949999</v>
      </c>
      <c r="AH5010">
        <v>12.0293665588246</v>
      </c>
      <c r="AI5010">
        <v>95.1279198821139</v>
      </c>
      <c r="AJ5010">
        <v>76.392194674962795</v>
      </c>
      <c r="AK5010">
        <v>12.4265317003569</v>
      </c>
      <c r="AL5010">
        <v>82.302577926695605</v>
      </c>
      <c r="AM5010">
        <v>79.402653378856797</v>
      </c>
      <c r="AN5010">
        <v>1.00000001739824</v>
      </c>
    </row>
    <row r="5011" spans="1:40" x14ac:dyDescent="0.25">
      <c r="A5011" t="str">
        <f>"20190312151636144"</f>
        <v>20190312151636144</v>
      </c>
      <c r="B5011" t="str">
        <f>"1552374996133209"</f>
        <v>1552374996133209</v>
      </c>
      <c r="C5011" t="s">
        <v>40</v>
      </c>
      <c r="D5011">
        <v>4.5430320000000002</v>
      </c>
      <c r="E5011">
        <v>0.51822789999999996</v>
      </c>
      <c r="F5011" t="s">
        <v>43</v>
      </c>
      <c r="G5011">
        <v>-335.03100000000001</v>
      </c>
      <c r="H5011" s="1">
        <v>-3.1166400000000002E-6</v>
      </c>
      <c r="I5011">
        <v>14.2057</v>
      </c>
      <c r="J5011">
        <v>-347.21440000000001</v>
      </c>
      <c r="K5011">
        <v>1.1106769999999999</v>
      </c>
      <c r="L5011">
        <v>16.932400000000001</v>
      </c>
      <c r="M5011">
        <v>0.99974790000000002</v>
      </c>
      <c r="N5011">
        <v>0</v>
      </c>
      <c r="O5011">
        <v>1.8518949999999999E-2</v>
      </c>
      <c r="P5011">
        <v>0.97860760000000002</v>
      </c>
      <c r="Q5011">
        <v>0.1219368</v>
      </c>
      <c r="R5011">
        <v>-0.16570750000000001</v>
      </c>
      <c r="S5011">
        <v>2.9870909999999999</v>
      </c>
      <c r="T5011">
        <v>-0.26937909999999998</v>
      </c>
      <c r="U5011">
        <v>-0.66061400000000003</v>
      </c>
      <c r="V5011">
        <v>0.18366689999999999</v>
      </c>
      <c r="W5011">
        <v>0.1345044</v>
      </c>
      <c r="X5011">
        <v>0.97374280000000002</v>
      </c>
      <c r="Y5011">
        <v>0.23301079999999999</v>
      </c>
      <c r="Z5011">
        <v>-1.2008670000000001E-2</v>
      </c>
      <c r="AA5011">
        <v>0.97240000000000004</v>
      </c>
      <c r="AB5011">
        <v>24</v>
      </c>
      <c r="AC5011">
        <v>12.183400000000001</v>
      </c>
      <c r="AD5011">
        <v>-1.11068011664</v>
      </c>
      <c r="AE5011">
        <v>-2.7267000000000001</v>
      </c>
      <c r="AF5011">
        <v>2.9286955690763499</v>
      </c>
      <c r="AG5011">
        <v>-1.11068011664</v>
      </c>
      <c r="AH5011">
        <v>12.035557057438799</v>
      </c>
      <c r="AI5011">
        <v>95.123820647148605</v>
      </c>
      <c r="AJ5011">
        <v>76.323624693526</v>
      </c>
      <c r="AK5011">
        <v>12.43645856909</v>
      </c>
      <c r="AL5011">
        <v>82.270037289417004</v>
      </c>
      <c r="AM5011">
        <v>79.318391981275497</v>
      </c>
      <c r="AN5011">
        <v>1.0000000021633999</v>
      </c>
    </row>
    <row r="5012" spans="1:40" x14ac:dyDescent="0.25">
      <c r="A5012" t="str">
        <f>"20190312151636157"</f>
        <v>20190312151636157</v>
      </c>
      <c r="B5012" t="str">
        <f>"1552374996152729"</f>
        <v>1552374996152729</v>
      </c>
      <c r="C5012" t="s">
        <v>40</v>
      </c>
      <c r="D5012">
        <v>4.5167469999999996</v>
      </c>
      <c r="E5012">
        <v>0.51765109999999903</v>
      </c>
      <c r="F5012" t="s">
        <v>43</v>
      </c>
      <c r="G5012">
        <v>-334.79680000000002</v>
      </c>
      <c r="H5012" s="1">
        <v>-3.2032160000000001E-6</v>
      </c>
      <c r="I5012">
        <v>14.17986</v>
      </c>
      <c r="J5012">
        <v>-347.084</v>
      </c>
      <c r="K5012">
        <v>1.110679</v>
      </c>
      <c r="L5012">
        <v>16.93524</v>
      </c>
      <c r="M5012">
        <v>0.99974099999999999</v>
      </c>
      <c r="N5012">
        <v>0</v>
      </c>
      <c r="O5012">
        <v>1.8880839999999999E-2</v>
      </c>
      <c r="P5012">
        <v>0.97844050000000005</v>
      </c>
      <c r="Q5012">
        <v>0.12253840000000001</v>
      </c>
      <c r="R5012">
        <v>-0.16624900000000001</v>
      </c>
      <c r="S5012">
        <v>2.9867859999999999</v>
      </c>
      <c r="T5012">
        <v>-0.26715149999999999</v>
      </c>
      <c r="U5012">
        <v>-0.66204830000000003</v>
      </c>
      <c r="V5012">
        <v>0.184558</v>
      </c>
      <c r="W5012">
        <v>0.13510349999999999</v>
      </c>
      <c r="X5012">
        <v>0.97349140000000001</v>
      </c>
      <c r="Y5012">
        <v>0.2338402</v>
      </c>
      <c r="Z5012">
        <v>-1.1978849999999999E-2</v>
      </c>
      <c r="AA5012">
        <v>0.97220130000000005</v>
      </c>
      <c r="AB5012">
        <v>24</v>
      </c>
      <c r="AC5012">
        <v>12.287199999999901</v>
      </c>
      <c r="AD5012">
        <v>-1.110682203216</v>
      </c>
      <c r="AE5012">
        <v>-2.7553799999999899</v>
      </c>
      <c r="AF5012">
        <v>2.9638421812584999</v>
      </c>
      <c r="AG5012">
        <v>-1.110682203216</v>
      </c>
      <c r="AH5012">
        <v>12.138546382090601</v>
      </c>
      <c r="AI5012">
        <v>95.079619579066005</v>
      </c>
      <c r="AJ5012">
        <v>76.278689419124504</v>
      </c>
      <c r="AK5012">
        <v>12.5444124494578</v>
      </c>
      <c r="AL5012">
        <v>82.235395624279704</v>
      </c>
      <c r="AM5012">
        <v>79.265061605114994</v>
      </c>
      <c r="AN5012">
        <v>1.0000000584751001</v>
      </c>
    </row>
    <row r="5013" spans="1:40" x14ac:dyDescent="0.25">
      <c r="A5013" t="str">
        <f>"20190312151636175"</f>
        <v>20190312151636175</v>
      </c>
      <c r="B5013" t="str">
        <f>"1552374996173224"</f>
        <v>1552374996173224</v>
      </c>
      <c r="C5013" t="s">
        <v>40</v>
      </c>
      <c r="D5013">
        <v>4.4994339999999999</v>
      </c>
      <c r="E5013">
        <v>0.51732679999999998</v>
      </c>
      <c r="F5013" t="s">
        <v>43</v>
      </c>
      <c r="G5013">
        <v>-334.96289999999999</v>
      </c>
      <c r="H5013" s="1">
        <v>-3.1252230000000002E-6</v>
      </c>
      <c r="I5013">
        <v>14.26057</v>
      </c>
      <c r="J5013">
        <v>-346.88929999999999</v>
      </c>
      <c r="K5013">
        <v>1.1106860000000001</v>
      </c>
      <c r="L5013">
        <v>16.939540000000001</v>
      </c>
      <c r="M5013">
        <v>0.99973069999999997</v>
      </c>
      <c r="N5013">
        <v>0</v>
      </c>
      <c r="O5013">
        <v>1.9420090000000001E-2</v>
      </c>
      <c r="P5013">
        <v>0.97799020000000003</v>
      </c>
      <c r="Q5013">
        <v>0.12366290000000001</v>
      </c>
      <c r="R5013">
        <v>-0.16805580000000001</v>
      </c>
      <c r="S5013">
        <v>2.9883419999999998</v>
      </c>
      <c r="T5013">
        <v>-0.27382770000000001</v>
      </c>
      <c r="U5013">
        <v>-0.65939329999999996</v>
      </c>
      <c r="V5013">
        <v>0.1868812</v>
      </c>
      <c r="W5013">
        <v>0.13622119999999999</v>
      </c>
      <c r="X5013">
        <v>0.97289219999999998</v>
      </c>
      <c r="Y5013">
        <v>0.2333857</v>
      </c>
      <c r="Z5013">
        <v>-1.2300200000000001E-2</v>
      </c>
      <c r="AA5013">
        <v>0.97230640000000002</v>
      </c>
      <c r="AB5013">
        <v>24</v>
      </c>
      <c r="AC5013">
        <v>11.926399999999999</v>
      </c>
      <c r="AD5013">
        <v>-1.110689125223</v>
      </c>
      <c r="AE5013">
        <v>-2.6789700000000001</v>
      </c>
      <c r="AF5013">
        <v>2.88626512821758</v>
      </c>
      <c r="AG5013">
        <v>-1.110689125223</v>
      </c>
      <c r="AH5013">
        <v>11.774902678577901</v>
      </c>
      <c r="AI5013">
        <v>95.234522426402194</v>
      </c>
      <c r="AJ5013">
        <v>76.227208817707407</v>
      </c>
      <c r="AK5013">
        <v>12.1742552056885</v>
      </c>
      <c r="AL5013">
        <v>82.170758232238697</v>
      </c>
      <c r="AM5013">
        <v>79.126595893217001</v>
      </c>
      <c r="AN5013">
        <v>1.00000001553185</v>
      </c>
    </row>
    <row r="5014" spans="1:40" x14ac:dyDescent="0.25">
      <c r="A5014" t="str">
        <f>"20190312151636185"</f>
        <v>20190312151636185</v>
      </c>
      <c r="B5014" t="str">
        <f>"1552374996182985"</f>
        <v>1552374996182985</v>
      </c>
      <c r="C5014" t="s">
        <v>40</v>
      </c>
      <c r="D5014">
        <v>4.507536</v>
      </c>
      <c r="E5014">
        <v>0.51726779999999895</v>
      </c>
      <c r="F5014" t="s">
        <v>43</v>
      </c>
      <c r="G5014">
        <v>-334.70310000000001</v>
      </c>
      <c r="H5014" s="1">
        <v>-3.2195549999999999E-6</v>
      </c>
      <c r="I5014">
        <v>14.238340000000001</v>
      </c>
      <c r="J5014">
        <v>-346.77170000000001</v>
      </c>
      <c r="K5014">
        <v>1.110689</v>
      </c>
      <c r="L5014">
        <v>16.9422</v>
      </c>
      <c r="M5014">
        <v>0.99972430000000001</v>
      </c>
      <c r="N5014">
        <v>0</v>
      </c>
      <c r="O5014">
        <v>1.974389E-2</v>
      </c>
      <c r="P5014">
        <v>0.97775570000000001</v>
      </c>
      <c r="Q5014">
        <v>0.1244019</v>
      </c>
      <c r="R5014">
        <v>-0.168873</v>
      </c>
      <c r="S5014">
        <v>2.9880979999999999</v>
      </c>
      <c r="T5014">
        <v>-0.27234459999999999</v>
      </c>
      <c r="U5014">
        <v>-0.662323</v>
      </c>
      <c r="V5014">
        <v>0.18800890000000001</v>
      </c>
      <c r="W5014">
        <v>0.1369562</v>
      </c>
      <c r="X5014">
        <v>0.97257170000000004</v>
      </c>
      <c r="Y5014">
        <v>0.2346307</v>
      </c>
      <c r="Z5014">
        <v>-1.2318620000000001E-2</v>
      </c>
      <c r="AA5014">
        <v>0.9720065</v>
      </c>
      <c r="AB5014">
        <v>24</v>
      </c>
      <c r="AC5014">
        <v>12.0686</v>
      </c>
      <c r="AD5014">
        <v>-1.110692219555</v>
      </c>
      <c r="AE5014">
        <v>-2.7038600000000002</v>
      </c>
      <c r="AF5014">
        <v>2.9180987605758499</v>
      </c>
      <c r="AG5014">
        <v>-1.110692219555</v>
      </c>
      <c r="AH5014">
        <v>11.916749562625601</v>
      </c>
      <c r="AI5014">
        <v>95.172862393085893</v>
      </c>
      <c r="AJ5014">
        <v>76.240525277233999</v>
      </c>
      <c r="AK5014">
        <v>12.319003925699199</v>
      </c>
      <c r="AL5014">
        <v>82.128247525988698</v>
      </c>
      <c r="AM5014">
        <v>79.059042865986697</v>
      </c>
      <c r="AN5014">
        <v>1.0000000294192599</v>
      </c>
    </row>
    <row r="5015" spans="1:40" x14ac:dyDescent="0.25">
      <c r="A5015" t="str">
        <f>"20190312151636197"</f>
        <v>20190312151636197</v>
      </c>
      <c r="B5015" t="str">
        <f>"1552374996192744"</f>
        <v>1552374996192744</v>
      </c>
      <c r="C5015" t="s">
        <v>40</v>
      </c>
      <c r="D5015">
        <v>4.7083349999999999</v>
      </c>
      <c r="E5015">
        <v>0.51726779999999895</v>
      </c>
      <c r="F5015" t="s">
        <v>43</v>
      </c>
      <c r="G5015">
        <v>-334.46129999999999</v>
      </c>
      <c r="H5015" s="1">
        <v>-3.3182970000000002E-6</v>
      </c>
      <c r="I5015">
        <v>14.204789999999999</v>
      </c>
      <c r="J5015">
        <v>-346.6574</v>
      </c>
      <c r="K5015">
        <v>1.1106910000000001</v>
      </c>
      <c r="L5015">
        <v>16.94482</v>
      </c>
      <c r="M5015">
        <v>0.99971810000000005</v>
      </c>
      <c r="N5015">
        <v>0</v>
      </c>
      <c r="O5015">
        <v>2.0058079999999999E-2</v>
      </c>
      <c r="P5015">
        <v>0.97752600000000001</v>
      </c>
      <c r="Q5015">
        <v>0.12502360000000001</v>
      </c>
      <c r="R5015">
        <v>-0.169742</v>
      </c>
      <c r="S5015">
        <v>2.9878230000000001</v>
      </c>
      <c r="T5015">
        <v>-0.26957209999999998</v>
      </c>
      <c r="U5015">
        <v>-0.66436770000000001</v>
      </c>
      <c r="V5015">
        <v>0.18917929999999999</v>
      </c>
      <c r="W5015">
        <v>0.137575</v>
      </c>
      <c r="X5015">
        <v>0.97225729999999999</v>
      </c>
      <c r="Y5015">
        <v>0.23560420000000001</v>
      </c>
      <c r="Z5015">
        <v>-1.226519E-2</v>
      </c>
      <c r="AA5015">
        <v>0.97177170000000002</v>
      </c>
      <c r="AB5015">
        <v>24</v>
      </c>
      <c r="AC5015">
        <v>12.196099999999999</v>
      </c>
      <c r="AD5015">
        <v>-1.1106943182969999</v>
      </c>
      <c r="AE5015">
        <v>-2.74003</v>
      </c>
      <c r="AF5015">
        <v>2.9607530893968601</v>
      </c>
      <c r="AG5015">
        <v>-1.1106943182969999</v>
      </c>
      <c r="AH5015">
        <v>12.043595471927</v>
      </c>
      <c r="AI5015">
        <v>95.1175471016616</v>
      </c>
      <c r="AJ5015">
        <v>76.188504290226703</v>
      </c>
      <c r="AK5015">
        <v>12.451822863199199</v>
      </c>
      <c r="AL5015">
        <v>82.092453636648003</v>
      </c>
      <c r="AM5015">
        <v>78.989118926195104</v>
      </c>
      <c r="AN5015">
        <v>0.99999997278838904</v>
      </c>
    </row>
    <row r="5016" spans="1:40" x14ac:dyDescent="0.25">
      <c r="A5016" t="str">
        <f>"20190312151636208"</f>
        <v>20190312151636208</v>
      </c>
      <c r="B5016" t="str">
        <f>"1552374996202504"</f>
        <v>1552374996202504</v>
      </c>
      <c r="C5016" t="s">
        <v>40</v>
      </c>
      <c r="D5016">
        <v>4.5146189999999997</v>
      </c>
      <c r="E5016">
        <v>0.51715639999999996</v>
      </c>
      <c r="F5016" t="s">
        <v>43</v>
      </c>
      <c r="G5016">
        <v>-334.26280000000003</v>
      </c>
      <c r="H5016" s="1">
        <v>-3.4083250000000001E-6</v>
      </c>
      <c r="I5016">
        <v>14.17741</v>
      </c>
      <c r="J5016">
        <v>-346.53730000000002</v>
      </c>
      <c r="K5016">
        <v>1.1106929999999999</v>
      </c>
      <c r="L5016">
        <v>16.947569999999999</v>
      </c>
      <c r="M5016">
        <v>0.99971160000000003</v>
      </c>
      <c r="N5016">
        <v>0</v>
      </c>
      <c r="O5016">
        <v>2.0386640000000001E-2</v>
      </c>
      <c r="P5016">
        <v>0.97733890000000001</v>
      </c>
      <c r="Q5016">
        <v>0.12564020000000001</v>
      </c>
      <c r="R5016">
        <v>-0.17036200000000001</v>
      </c>
      <c r="S5016">
        <v>2.9873959999999999</v>
      </c>
      <c r="T5016">
        <v>-0.26770339999999998</v>
      </c>
      <c r="U5016">
        <v>-0.66699219999999904</v>
      </c>
      <c r="V5016">
        <v>0.1901159</v>
      </c>
      <c r="W5016">
        <v>0.13818710000000001</v>
      </c>
      <c r="X5016">
        <v>0.97198779999999996</v>
      </c>
      <c r="Y5016">
        <v>0.23677400000000001</v>
      </c>
      <c r="Z5016">
        <v>-1.226178E-2</v>
      </c>
      <c r="AA5016">
        <v>0.9714874</v>
      </c>
      <c r="AB5016">
        <v>24</v>
      </c>
      <c r="AC5016">
        <v>12.2744999999999</v>
      </c>
      <c r="AD5016">
        <v>-1.1106964083249999</v>
      </c>
      <c r="AE5016">
        <v>-2.7701600000000002</v>
      </c>
      <c r="AF5016">
        <v>2.99649368422225</v>
      </c>
      <c r="AG5016">
        <v>-1.1106964083249999</v>
      </c>
      <c r="AH5016">
        <v>12.121031622516201</v>
      </c>
      <c r="AI5016">
        <v>95.083414929281204</v>
      </c>
      <c r="AJ5016">
        <v>76.114068858572494</v>
      </c>
      <c r="AK5016">
        <v>12.5352314898883</v>
      </c>
      <c r="AL5016">
        <v>82.057044961398901</v>
      </c>
      <c r="AM5016">
        <v>78.932955556534907</v>
      </c>
      <c r="AN5016">
        <v>1.00000000669402</v>
      </c>
    </row>
    <row r="5017" spans="1:40" x14ac:dyDescent="0.25">
      <c r="A5017" t="str">
        <f>"20190312151636220"</f>
        <v>20190312151636220</v>
      </c>
      <c r="B5017" t="str">
        <f>"1552374996213240"</f>
        <v>1552374996213240</v>
      </c>
      <c r="C5017" t="s">
        <v>40</v>
      </c>
      <c r="D5017">
        <v>4.7162750000000004</v>
      </c>
      <c r="E5017">
        <v>0.51702320000000002</v>
      </c>
      <c r="F5017" t="s">
        <v>43</v>
      </c>
      <c r="G5017">
        <v>-333.90629999999999</v>
      </c>
      <c r="H5017" s="1">
        <v>-3.5709719999999999E-6</v>
      </c>
      <c r="I5017">
        <v>14.122590000000001</v>
      </c>
      <c r="J5017">
        <v>-346.41370000000001</v>
      </c>
      <c r="K5017">
        <v>1.1106910000000001</v>
      </c>
      <c r="L5017">
        <v>16.950500000000002</v>
      </c>
      <c r="M5017">
        <v>0.9997047</v>
      </c>
      <c r="N5017">
        <v>0</v>
      </c>
      <c r="O5017">
        <v>2.0722750000000002E-2</v>
      </c>
      <c r="P5017">
        <v>0.97705779999999998</v>
      </c>
      <c r="Q5017">
        <v>0.12667929999999999</v>
      </c>
      <c r="R5017">
        <v>-0.17120389999999999</v>
      </c>
      <c r="S5017">
        <v>2.986847</v>
      </c>
      <c r="T5017">
        <v>-0.26264500000000002</v>
      </c>
      <c r="U5017">
        <v>-0.66799929999999996</v>
      </c>
      <c r="V5017">
        <v>0.19127920000000001</v>
      </c>
      <c r="W5017">
        <v>0.13922179999999901</v>
      </c>
      <c r="X5017">
        <v>0.97161189999999997</v>
      </c>
      <c r="Y5017">
        <v>0.2374831</v>
      </c>
      <c r="Z5017">
        <v>-1.209259E-2</v>
      </c>
      <c r="AA5017">
        <v>0.97131639999999997</v>
      </c>
      <c r="AB5017">
        <v>24</v>
      </c>
      <c r="AC5017">
        <v>12.507400000000001</v>
      </c>
      <c r="AD5017">
        <v>-1.110694570972</v>
      </c>
      <c r="AE5017">
        <v>-2.8279100000000001</v>
      </c>
      <c r="AF5017">
        <v>3.06352730549958</v>
      </c>
      <c r="AG5017">
        <v>-1.110694570972</v>
      </c>
      <c r="AH5017">
        <v>12.353426089073499</v>
      </c>
      <c r="AI5017">
        <v>94.987365785342902</v>
      </c>
      <c r="AJ5017">
        <v>76.072192711796404</v>
      </c>
      <c r="AK5017">
        <v>12.775992255779199</v>
      </c>
      <c r="AL5017">
        <v>81.997182827592795</v>
      </c>
      <c r="AM5017">
        <v>78.862724633056601</v>
      </c>
      <c r="AN5017">
        <v>1.0000000630847401</v>
      </c>
    </row>
    <row r="5018" spans="1:40" x14ac:dyDescent="0.25">
      <c r="A5018" t="str">
        <f>"20190312151636229"</f>
        <v>20190312151636229</v>
      </c>
      <c r="B5018" t="str">
        <f>"1552374996223000"</f>
        <v>1552374996223000</v>
      </c>
      <c r="C5018" t="s">
        <v>40</v>
      </c>
      <c r="D5018">
        <v>4.4909780000000001</v>
      </c>
      <c r="E5018">
        <v>0.51676149999999998</v>
      </c>
      <c r="F5018" t="s">
        <v>43</v>
      </c>
      <c r="G5018">
        <v>-333.5335</v>
      </c>
      <c r="H5018" s="1">
        <v>-3.7416380000000001E-6</v>
      </c>
      <c r="I5018">
        <v>14.061959999999999</v>
      </c>
      <c r="J5018">
        <v>-346.30059999999997</v>
      </c>
      <c r="K5018">
        <v>1.1106910000000001</v>
      </c>
      <c r="L5018">
        <v>16.953189999999999</v>
      </c>
      <c r="M5018">
        <v>0.99969830000000004</v>
      </c>
      <c r="N5018">
        <v>0</v>
      </c>
      <c r="O5018">
        <v>2.102828E-2</v>
      </c>
      <c r="P5018">
        <v>0.97692259999999997</v>
      </c>
      <c r="Q5018">
        <v>0.1269072</v>
      </c>
      <c r="R5018">
        <v>-0.17180570000000001</v>
      </c>
      <c r="S5018">
        <v>2.9864809999999999</v>
      </c>
      <c r="T5018">
        <v>-0.25753359999999997</v>
      </c>
      <c r="U5018">
        <v>-0.66973879999999997</v>
      </c>
      <c r="V5018">
        <v>0.19217619999999999</v>
      </c>
      <c r="W5018">
        <v>0.13944599999999999</v>
      </c>
      <c r="X5018">
        <v>0.9714026</v>
      </c>
      <c r="Y5018">
        <v>0.23837610000000001</v>
      </c>
      <c r="Z5018">
        <v>-1.1922739999999999E-2</v>
      </c>
      <c r="AA5018">
        <v>0.97109970000000001</v>
      </c>
      <c r="AB5018">
        <v>24</v>
      </c>
      <c r="AC5018">
        <v>12.7670999999999</v>
      </c>
      <c r="AD5018">
        <v>-1.110694741638</v>
      </c>
      <c r="AE5018">
        <v>-2.89122999999999</v>
      </c>
      <c r="AF5018">
        <v>3.1365020356395301</v>
      </c>
      <c r="AG5018">
        <v>-1.110694741638</v>
      </c>
      <c r="AH5018">
        <v>12.612672713585299</v>
      </c>
      <c r="AI5018">
        <v>94.884572316799506</v>
      </c>
      <c r="AJ5018">
        <v>76.035034693635495</v>
      </c>
      <c r="AK5018">
        <v>13.0441864755413</v>
      </c>
      <c r="AL5018">
        <v>81.984209623666203</v>
      </c>
      <c r="AM5018">
        <v>78.809461428103802</v>
      </c>
      <c r="AN5018">
        <v>0.99999994502459799</v>
      </c>
    </row>
    <row r="5019" spans="1:40" x14ac:dyDescent="0.25">
      <c r="A5019" t="str">
        <f>"20190312151636241"</f>
        <v>20190312151636241</v>
      </c>
      <c r="B5019" t="str">
        <f>"1552374996232760"</f>
        <v>1552374996232760</v>
      </c>
      <c r="C5019" t="s">
        <v>40</v>
      </c>
      <c r="D5019">
        <v>4.498831</v>
      </c>
      <c r="E5019">
        <v>0.51662569999999997</v>
      </c>
      <c r="F5019" t="s">
        <v>43</v>
      </c>
      <c r="G5019">
        <v>-333.24059999999997</v>
      </c>
      <c r="H5019" s="1">
        <v>-3.8738949999999999E-6</v>
      </c>
      <c r="I5019">
        <v>14.024839999999999</v>
      </c>
      <c r="J5019">
        <v>-346.18720000000002</v>
      </c>
      <c r="K5019">
        <v>1.1106849999999999</v>
      </c>
      <c r="L5019">
        <v>16.955929999999999</v>
      </c>
      <c r="M5019">
        <v>0.99969180000000002</v>
      </c>
      <c r="N5019">
        <v>0</v>
      </c>
      <c r="O5019">
        <v>2.1331610000000001E-2</v>
      </c>
      <c r="P5019">
        <v>0.9767498</v>
      </c>
      <c r="Q5019">
        <v>0.12713650000000001</v>
      </c>
      <c r="R5019">
        <v>-0.172616299999999</v>
      </c>
      <c r="S5019">
        <v>2.986084</v>
      </c>
      <c r="T5019">
        <v>-0.25395210000000001</v>
      </c>
      <c r="U5019">
        <v>-0.66952509999999998</v>
      </c>
      <c r="V5019">
        <v>0.19327929999999999</v>
      </c>
      <c r="W5019">
        <v>0.1396712</v>
      </c>
      <c r="X5019">
        <v>0.9711514</v>
      </c>
      <c r="Y5019">
        <v>0.23865510000000001</v>
      </c>
      <c r="Z5019">
        <v>-1.1796289999999999E-2</v>
      </c>
      <c r="AA5019">
        <v>0.97103269999999997</v>
      </c>
      <c r="AB5019">
        <v>24</v>
      </c>
      <c r="AC5019">
        <v>12.9466</v>
      </c>
      <c r="AD5019">
        <v>-1.110688873895</v>
      </c>
      <c r="AE5019">
        <v>-2.9310900000000002</v>
      </c>
      <c r="AF5019">
        <v>3.1843233422942299</v>
      </c>
      <c r="AG5019">
        <v>-1.110688873895</v>
      </c>
      <c r="AH5019">
        <v>12.7915689378283</v>
      </c>
      <c r="AI5019">
        <v>94.816264837666296</v>
      </c>
      <c r="AJ5019">
        <v>76.0209731963335</v>
      </c>
      <c r="AK5019">
        <v>13.2286726777136</v>
      </c>
      <c r="AL5019">
        <v>81.971179431961104</v>
      </c>
      <c r="AM5019">
        <v>78.744025470680498</v>
      </c>
      <c r="AN5019">
        <v>0.99999998681994395</v>
      </c>
    </row>
    <row r="5020" spans="1:40" x14ac:dyDescent="0.25">
      <c r="A5020" t="str">
        <f>"20190312151636253"</f>
        <v>20190312151636253</v>
      </c>
      <c r="B5020" t="str">
        <f>"1552374996242521"</f>
        <v>1552374996242521</v>
      </c>
      <c r="C5020" t="s">
        <v>40</v>
      </c>
      <c r="D5020">
        <v>4.484585</v>
      </c>
      <c r="E5020">
        <v>0.51648969999999905</v>
      </c>
      <c r="F5020" t="s">
        <v>43</v>
      </c>
      <c r="G5020">
        <v>-333.06029999999998</v>
      </c>
      <c r="H5020" s="1">
        <v>-3.9546460000000002E-6</v>
      </c>
      <c r="I5020">
        <v>14.005629999999901</v>
      </c>
      <c r="J5020">
        <v>-346.06099999999998</v>
      </c>
      <c r="K5020">
        <v>1.1106860000000001</v>
      </c>
      <c r="L5020">
        <v>16.958950000000002</v>
      </c>
      <c r="M5020">
        <v>0.99968460000000003</v>
      </c>
      <c r="N5020">
        <v>0</v>
      </c>
      <c r="O5020">
        <v>2.166788E-2</v>
      </c>
      <c r="P5020">
        <v>0.97661830000000005</v>
      </c>
      <c r="Q5020">
        <v>0.12735469999999999</v>
      </c>
      <c r="R5020">
        <v>-0.17319909999999999</v>
      </c>
      <c r="S5020">
        <v>2.985687</v>
      </c>
      <c r="T5020">
        <v>-0.2526233</v>
      </c>
      <c r="U5020">
        <v>-0.67102050000000002</v>
      </c>
      <c r="V5020">
        <v>0.19418740000000001</v>
      </c>
      <c r="W5020">
        <v>0.1398856</v>
      </c>
      <c r="X5020">
        <v>0.97093940000000001</v>
      </c>
      <c r="Y5020">
        <v>0.23947740000000001</v>
      </c>
      <c r="Z5020">
        <v>-1.1798049999999999E-2</v>
      </c>
      <c r="AA5020">
        <v>0.97083030000000003</v>
      </c>
      <c r="AB5020">
        <v>24</v>
      </c>
      <c r="AC5020">
        <v>13.000699999999901</v>
      </c>
      <c r="AD5020">
        <v>-1.1106899546460001</v>
      </c>
      <c r="AE5020">
        <v>-2.9533200000000002</v>
      </c>
      <c r="AF5020">
        <v>3.21205311713556</v>
      </c>
      <c r="AG5020">
        <v>-1.1106899546460001</v>
      </c>
      <c r="AH5020">
        <v>12.8445008029435</v>
      </c>
      <c r="AI5020">
        <v>94.795244215448903</v>
      </c>
      <c r="AJ5020">
        <v>75.959860900016295</v>
      </c>
      <c r="AK5020">
        <v>13.286538987993399</v>
      </c>
      <c r="AL5020">
        <v>81.958773716886796</v>
      </c>
      <c r="AM5020">
        <v>78.690094761673805</v>
      </c>
      <c r="AN5020">
        <v>1.0000000229392301</v>
      </c>
    </row>
    <row r="5021" spans="1:40" x14ac:dyDescent="0.25">
      <c r="A5021" t="str">
        <f>"20190312151636263"</f>
        <v>20190312151636263</v>
      </c>
      <c r="B5021" t="str">
        <f>"1552374996253257"</f>
        <v>1552374996253257</v>
      </c>
      <c r="C5021" t="s">
        <v>40</v>
      </c>
      <c r="D5021">
        <v>4.4758230000000001</v>
      </c>
      <c r="E5021">
        <v>0.51640039999999998</v>
      </c>
      <c r="F5021" t="s">
        <v>43</v>
      </c>
      <c r="G5021">
        <v>-332.89749999999998</v>
      </c>
      <c r="H5021" s="1">
        <v>-4.0260699999999999E-6</v>
      </c>
      <c r="I5021">
        <v>13.996650000000001</v>
      </c>
      <c r="J5021">
        <v>-345.94319999999999</v>
      </c>
      <c r="K5021">
        <v>1.110684</v>
      </c>
      <c r="L5021">
        <v>16.961879999999901</v>
      </c>
      <c r="M5021">
        <v>0.99967799999999996</v>
      </c>
      <c r="N5021">
        <v>0</v>
      </c>
      <c r="O5021">
        <v>2.1977279999999998E-2</v>
      </c>
      <c r="P5021">
        <v>0.97643329999999995</v>
      </c>
      <c r="Q5021">
        <v>0.1275461</v>
      </c>
      <c r="R5021">
        <v>-0.1740999</v>
      </c>
      <c r="S5021">
        <v>2.985535</v>
      </c>
      <c r="T5021">
        <v>-0.25190970000000001</v>
      </c>
      <c r="U5021">
        <v>-0.67184449999999996</v>
      </c>
      <c r="V5021">
        <v>0.19538620000000001</v>
      </c>
      <c r="W5021">
        <v>0.14007259999999999</v>
      </c>
      <c r="X5021">
        <v>0.97067190000000003</v>
      </c>
      <c r="Y5021">
        <v>0.24004549999999999</v>
      </c>
      <c r="Z5021">
        <v>-1.1814460000000001E-2</v>
      </c>
      <c r="AA5021">
        <v>0.97068980000000005</v>
      </c>
      <c r="AB5021">
        <v>24</v>
      </c>
      <c r="AC5021">
        <v>13.0457</v>
      </c>
      <c r="AD5021">
        <v>-1.1106880260700001</v>
      </c>
      <c r="AE5021">
        <v>-2.9652299999999898</v>
      </c>
      <c r="AF5021">
        <v>3.2289901579872402</v>
      </c>
      <c r="AG5021">
        <v>-1.1106880260700001</v>
      </c>
      <c r="AH5021">
        <v>12.8885421947893</v>
      </c>
      <c r="AI5021">
        <v>94.778411243375402</v>
      </c>
      <c r="AJ5021">
        <v>75.935080555196706</v>
      </c>
      <c r="AK5021">
        <v>13.3332113625525</v>
      </c>
      <c r="AL5021">
        <v>81.947952836793505</v>
      </c>
      <c r="AM5021">
        <v>78.619036055762393</v>
      </c>
      <c r="AN5021">
        <v>1.0000000189353999</v>
      </c>
    </row>
    <row r="5022" spans="1:40" x14ac:dyDescent="0.25">
      <c r="A5022" t="str">
        <f>"20190312151636274"</f>
        <v>20190312151636274</v>
      </c>
      <c r="B5022" t="str">
        <f>"1552374996263017"</f>
        <v>1552374996263017</v>
      </c>
      <c r="C5022" t="s">
        <v>40</v>
      </c>
      <c r="D5022">
        <v>4.4733140000000002</v>
      </c>
      <c r="E5022">
        <v>0.51621799999999995</v>
      </c>
      <c r="F5022" t="s">
        <v>43</v>
      </c>
      <c r="G5022">
        <v>-332.66120000000001</v>
      </c>
      <c r="H5022" s="1">
        <v>-4.1330820000000002E-6</v>
      </c>
      <c r="I5022">
        <v>13.964840000000001</v>
      </c>
      <c r="J5022">
        <v>-345.8279</v>
      </c>
      <c r="K5022">
        <v>1.1106819999999999</v>
      </c>
      <c r="L5022">
        <v>16.964749999999999</v>
      </c>
      <c r="M5022">
        <v>0.99967119999999998</v>
      </c>
      <c r="N5022">
        <v>0</v>
      </c>
      <c r="O5022">
        <v>2.227983E-2</v>
      </c>
      <c r="P5022">
        <v>0.97628210000000004</v>
      </c>
      <c r="Q5022">
        <v>0.12751869999999901</v>
      </c>
      <c r="R5022">
        <v>-0.17496389999999901</v>
      </c>
      <c r="S5022">
        <v>2.9849239999999999</v>
      </c>
      <c r="T5022">
        <v>-0.24961079999999999</v>
      </c>
      <c r="U5022">
        <v>-0.67352290000000004</v>
      </c>
      <c r="V5022">
        <v>0.19654240000000001</v>
      </c>
      <c r="W5022">
        <v>0.14004140000000001</v>
      </c>
      <c r="X5022">
        <v>0.97044299999999994</v>
      </c>
      <c r="Y5022">
        <v>0.24091299999999999</v>
      </c>
      <c r="Z5022">
        <v>-1.176936E-2</v>
      </c>
      <c r="AA5022">
        <v>0.97047539999999999</v>
      </c>
      <c r="AB5022">
        <v>24</v>
      </c>
      <c r="AC5022">
        <v>13.166699999999899</v>
      </c>
      <c r="AD5022">
        <v>-1.1106861330819999</v>
      </c>
      <c r="AE5022">
        <v>-2.9999099999999999</v>
      </c>
      <c r="AF5022">
        <v>3.2704172450454898</v>
      </c>
      <c r="AG5022">
        <v>-1.1106861330819999</v>
      </c>
      <c r="AH5022">
        <v>13.0085888550931</v>
      </c>
      <c r="AI5022">
        <v>94.733537279025896</v>
      </c>
      <c r="AJ5022">
        <v>75.888045520257094</v>
      </c>
      <c r="AK5022">
        <v>13.459295547827301</v>
      </c>
      <c r="AL5022">
        <v>81.949758613213305</v>
      </c>
      <c r="AM5022">
        <v>78.550833160095195</v>
      </c>
      <c r="AN5022">
        <v>1.00000006248035</v>
      </c>
    </row>
    <row r="5023" spans="1:40" x14ac:dyDescent="0.25">
      <c r="A5023" t="str">
        <f>"20190312151636286"</f>
        <v>20190312151636286</v>
      </c>
      <c r="B5023" t="str">
        <f>"1552374996282536"</f>
        <v>1552374996282536</v>
      </c>
      <c r="C5023" t="s">
        <v>40</v>
      </c>
      <c r="D5023">
        <v>4.4717479999999998</v>
      </c>
      <c r="E5023">
        <v>0.51599629999999996</v>
      </c>
      <c r="F5023" t="s">
        <v>43</v>
      </c>
      <c r="G5023">
        <v>-332.50650000000002</v>
      </c>
      <c r="H5023" s="1">
        <v>-4.2012480000000002E-6</v>
      </c>
      <c r="I5023">
        <v>13.95471</v>
      </c>
      <c r="J5023">
        <v>-345.70530000000002</v>
      </c>
      <c r="K5023">
        <v>1.1106799999999999</v>
      </c>
      <c r="L5023">
        <v>16.967860000000002</v>
      </c>
      <c r="M5023">
        <v>0.99966390000000005</v>
      </c>
      <c r="N5023">
        <v>0</v>
      </c>
      <c r="O5023">
        <v>2.2597929999999999E-2</v>
      </c>
      <c r="P5023">
        <v>0.97613360000000005</v>
      </c>
      <c r="Q5023">
        <v>0.12754309999999999</v>
      </c>
      <c r="R5023">
        <v>-0.17577209999999999</v>
      </c>
      <c r="S5023">
        <v>2.9844970000000002</v>
      </c>
      <c r="T5023">
        <v>-0.2488368</v>
      </c>
      <c r="U5023">
        <v>-0.67434689999999997</v>
      </c>
      <c r="V5023">
        <v>0.19765750000000001</v>
      </c>
      <c r="W5023">
        <v>0.14006170000000001</v>
      </c>
      <c r="X5023">
        <v>0.97021349999999995</v>
      </c>
      <c r="Y5023">
        <v>0.24150869999999999</v>
      </c>
      <c r="Z5023">
        <v>-1.1784940000000001E-2</v>
      </c>
      <c r="AA5023">
        <v>0.9703271</v>
      </c>
      <c r="AB5023">
        <v>24</v>
      </c>
      <c r="AC5023">
        <v>13.1988</v>
      </c>
      <c r="AD5023">
        <v>-1.1106842012479901</v>
      </c>
      <c r="AE5023">
        <v>-3.01315</v>
      </c>
      <c r="AF5023">
        <v>3.28853649547725</v>
      </c>
      <c r="AG5023">
        <v>-1.1106842012479901</v>
      </c>
      <c r="AH5023">
        <v>13.039569407126701</v>
      </c>
      <c r="AI5023">
        <v>94.721451875177706</v>
      </c>
      <c r="AJ5023">
        <v>75.845359381114093</v>
      </c>
      <c r="AK5023">
        <v>13.4936452450871</v>
      </c>
      <c r="AL5023">
        <v>81.948583436081407</v>
      </c>
      <c r="AM5023">
        <v>78.484954453847806</v>
      </c>
      <c r="AN5023">
        <v>1.00000000134769</v>
      </c>
    </row>
    <row r="5024" spans="1:40" x14ac:dyDescent="0.25">
      <c r="A5024" t="str">
        <f>"20190312151636297"</f>
        <v>20190312151636297</v>
      </c>
      <c r="B5024" t="str">
        <f>"1552374996293273"</f>
        <v>1552374996293273</v>
      </c>
      <c r="C5024" t="s">
        <v>40</v>
      </c>
      <c r="D5024">
        <v>4.4825100000000004</v>
      </c>
      <c r="E5024">
        <v>0.51590879999999995</v>
      </c>
      <c r="F5024" t="s">
        <v>43</v>
      </c>
      <c r="G5024">
        <v>-332.44670000000002</v>
      </c>
      <c r="H5024" s="1">
        <v>-4.2244099999999996E-6</v>
      </c>
      <c r="I5024">
        <v>13.968970000000001</v>
      </c>
      <c r="J5024">
        <v>-345.59100000000001</v>
      </c>
      <c r="K5024">
        <v>1.1106780000000001</v>
      </c>
      <c r="L5024">
        <v>16.970790000000001</v>
      </c>
      <c r="M5024">
        <v>0.99965729999999997</v>
      </c>
      <c r="N5024">
        <v>0</v>
      </c>
      <c r="O5024">
        <v>2.2893699999999999E-2</v>
      </c>
      <c r="P5024">
        <v>0.97596510000000003</v>
      </c>
      <c r="Q5024">
        <v>0.12795819999999999</v>
      </c>
      <c r="R5024">
        <v>-0.1764057</v>
      </c>
      <c r="S5024">
        <v>2.984467</v>
      </c>
      <c r="T5024">
        <v>-0.2500095</v>
      </c>
      <c r="U5024">
        <v>-0.67501829999999996</v>
      </c>
      <c r="V5024">
        <v>0.19857530000000001</v>
      </c>
      <c r="W5024">
        <v>0.1404734</v>
      </c>
      <c r="X5024">
        <v>0.96996649999999995</v>
      </c>
      <c r="Y5024">
        <v>0.24199470000000001</v>
      </c>
      <c r="Z5024">
        <v>-1.188464E-2</v>
      </c>
      <c r="AA5024">
        <v>0.97020479999999998</v>
      </c>
      <c r="AB5024">
        <v>24</v>
      </c>
      <c r="AC5024">
        <v>13.1442999999999</v>
      </c>
      <c r="AD5024">
        <v>-1.1106822244100001</v>
      </c>
      <c r="AE5024">
        <v>-3.0018199999999999</v>
      </c>
      <c r="AF5024">
        <v>3.2797222530747501</v>
      </c>
      <c r="AG5024">
        <v>-1.1106822244100001</v>
      </c>
      <c r="AH5024">
        <v>12.984014286429</v>
      </c>
      <c r="AI5024">
        <v>94.741105173036502</v>
      </c>
      <c r="AJ5024">
        <v>75.823801300620005</v>
      </c>
      <c r="AK5024">
        <v>13.4378130680229</v>
      </c>
      <c r="AL5024">
        <v>81.924758961725303</v>
      </c>
      <c r="AM5024">
        <v>78.430057370329493</v>
      </c>
      <c r="AN5024">
        <v>0.99999996849994899</v>
      </c>
    </row>
    <row r="5025" spans="1:40" x14ac:dyDescent="0.25">
      <c r="A5025" t="str">
        <f>"20190312151636307"</f>
        <v>20190312151636307</v>
      </c>
      <c r="B5025" t="str">
        <f>"1552374996303033"</f>
        <v>1552374996303033</v>
      </c>
      <c r="C5025" t="s">
        <v>40</v>
      </c>
      <c r="D5025">
        <v>4.5001569999999997</v>
      </c>
      <c r="E5025">
        <v>0.5157564</v>
      </c>
      <c r="F5025" t="s">
        <v>43</v>
      </c>
      <c r="G5025">
        <v>-332.27319999999997</v>
      </c>
      <c r="H5025" s="1">
        <v>-4.3016679999999998E-6</v>
      </c>
      <c r="I5025">
        <v>13.952870000000001</v>
      </c>
      <c r="J5025">
        <v>-345.46800000000002</v>
      </c>
      <c r="K5025">
        <v>1.1106750000000001</v>
      </c>
      <c r="L5025">
        <v>16.973970000000001</v>
      </c>
      <c r="M5025">
        <v>0.99964989999999998</v>
      </c>
      <c r="N5025">
        <v>0</v>
      </c>
      <c r="O5025">
        <v>2.3210270000000002E-2</v>
      </c>
      <c r="P5025">
        <v>0.97584559999999998</v>
      </c>
      <c r="Q5025">
        <v>0.12809139999999999</v>
      </c>
      <c r="R5025">
        <v>-0.17696889999999901</v>
      </c>
      <c r="S5025">
        <v>2.9842529999999998</v>
      </c>
      <c r="T5025">
        <v>-0.24888150000000001</v>
      </c>
      <c r="U5025">
        <v>-0.67623900000000003</v>
      </c>
      <c r="V5025">
        <v>0.1994438</v>
      </c>
      <c r="W5025">
        <v>0.14060320000000001</v>
      </c>
      <c r="X5025">
        <v>0.96976949999999995</v>
      </c>
      <c r="Y5025">
        <v>0.2426989</v>
      </c>
      <c r="Z5025">
        <v>-1.1886509999999999E-2</v>
      </c>
      <c r="AA5025">
        <v>0.97002880000000002</v>
      </c>
      <c r="AB5025">
        <v>24</v>
      </c>
      <c r="AC5025">
        <v>13.194800000000001</v>
      </c>
      <c r="AD5025">
        <v>-1.1106793016680001</v>
      </c>
      <c r="AE5025">
        <v>-3.0211000000000001</v>
      </c>
      <c r="AF5025">
        <v>3.3043190039584802</v>
      </c>
      <c r="AG5025">
        <v>-1.1106793016680001</v>
      </c>
      <c r="AH5025">
        <v>13.0333704558105</v>
      </c>
      <c r="AI5025">
        <v>94.722179470317002</v>
      </c>
      <c r="AJ5025">
        <v>75.7736881381404</v>
      </c>
      <c r="AK5025">
        <v>13.4915113322959</v>
      </c>
      <c r="AL5025">
        <v>81.917247562835399</v>
      </c>
      <c r="AM5025">
        <v>78.378531422549301</v>
      </c>
      <c r="AN5025">
        <v>0.99999998616946395</v>
      </c>
    </row>
    <row r="5026" spans="1:40" x14ac:dyDescent="0.25">
      <c r="A5026" t="str">
        <f>"20190312151636320"</f>
        <v>20190312151636320</v>
      </c>
      <c r="B5026" t="str">
        <f>"1552374996312792"</f>
        <v>1552374996312792</v>
      </c>
      <c r="C5026" t="s">
        <v>40</v>
      </c>
      <c r="D5026">
        <v>4.4611010000000002</v>
      </c>
      <c r="E5026">
        <v>0.51562450000000004</v>
      </c>
      <c r="F5026" t="s">
        <v>43</v>
      </c>
      <c r="G5026">
        <v>-332.16149999999999</v>
      </c>
      <c r="H5026" s="1">
        <v>-4.349155E-6</v>
      </c>
      <c r="I5026">
        <v>13.95539</v>
      </c>
      <c r="J5026">
        <v>-345.3433</v>
      </c>
      <c r="K5026">
        <v>1.1106769999999999</v>
      </c>
      <c r="L5026">
        <v>16.977260000000001</v>
      </c>
      <c r="M5026">
        <v>0.99964260000000005</v>
      </c>
      <c r="N5026">
        <v>0</v>
      </c>
      <c r="O5026">
        <v>2.3529959999999999E-2</v>
      </c>
      <c r="P5026">
        <v>0.97574850000000002</v>
      </c>
      <c r="Q5026">
        <v>0.1283311</v>
      </c>
      <c r="R5026">
        <v>-0.177331399999999</v>
      </c>
      <c r="S5026">
        <v>2.9841920000000002</v>
      </c>
      <c r="T5026">
        <v>-0.2490861</v>
      </c>
      <c r="U5026">
        <v>-0.67694089999999996</v>
      </c>
      <c r="V5026">
        <v>0.20011480000000001</v>
      </c>
      <c r="W5026">
        <v>0.1408402</v>
      </c>
      <c r="X5026">
        <v>0.96959689999999998</v>
      </c>
      <c r="Y5026">
        <v>0.243226</v>
      </c>
      <c r="Z5026">
        <v>-1.194421E-2</v>
      </c>
      <c r="AA5026">
        <v>0.96989610000000004</v>
      </c>
      <c r="AB5026">
        <v>24</v>
      </c>
      <c r="AC5026">
        <v>13.181800000000001</v>
      </c>
      <c r="AD5026">
        <v>-1.1106813491550001</v>
      </c>
      <c r="AE5026">
        <v>-3.0218699999999998</v>
      </c>
      <c r="AF5026">
        <v>3.30890665856466</v>
      </c>
      <c r="AG5026">
        <v>-1.1106813491550001</v>
      </c>
      <c r="AH5026">
        <v>13.019224242551299</v>
      </c>
      <c r="AI5026">
        <v>94.726591310192404</v>
      </c>
      <c r="AJ5026">
        <v>75.7398926569427</v>
      </c>
      <c r="AK5026">
        <v>13.4789716303689</v>
      </c>
      <c r="AL5026">
        <v>81.9035322721911</v>
      </c>
      <c r="AM5026">
        <v>78.338482759316193</v>
      </c>
      <c r="AN5026">
        <v>1.0000000218023399</v>
      </c>
    </row>
    <row r="5027" spans="1:40" x14ac:dyDescent="0.25">
      <c r="A5027" t="str">
        <f>"20190312151636332"</f>
        <v>20190312151636332</v>
      </c>
      <c r="B5027" t="str">
        <f>"1552374996322552"</f>
        <v>1552374996322552</v>
      </c>
      <c r="C5027" t="s">
        <v>40</v>
      </c>
      <c r="D5027">
        <v>4.4679180000000001</v>
      </c>
      <c r="E5027">
        <v>0.51556279999999999</v>
      </c>
      <c r="F5027" t="s">
        <v>43</v>
      </c>
      <c r="G5027">
        <v>-332.0025</v>
      </c>
      <c r="H5027" s="1">
        <v>-4.4183429999999998E-6</v>
      </c>
      <c r="I5027">
        <v>13.949809999999999</v>
      </c>
      <c r="J5027">
        <v>-345.2158</v>
      </c>
      <c r="K5027">
        <v>1.110676</v>
      </c>
      <c r="L5027">
        <v>16.980619999999998</v>
      </c>
      <c r="M5027">
        <v>0.99963480000000005</v>
      </c>
      <c r="N5027">
        <v>0</v>
      </c>
      <c r="O5027">
        <v>2.3855899999999999E-2</v>
      </c>
      <c r="P5027">
        <v>0.97569819999999996</v>
      </c>
      <c r="Q5027">
        <v>0.12819829999999999</v>
      </c>
      <c r="R5027">
        <v>-0.17770359999999999</v>
      </c>
      <c r="S5027">
        <v>2.9841609999999998</v>
      </c>
      <c r="T5027">
        <v>-0.24844530000000001</v>
      </c>
      <c r="U5027">
        <v>-0.67718509999999998</v>
      </c>
      <c r="V5027">
        <v>0.20080310000000001</v>
      </c>
      <c r="W5027">
        <v>0.14070569999999999</v>
      </c>
      <c r="X5027">
        <v>0.96947410000000001</v>
      </c>
      <c r="Y5027">
        <v>0.24362200000000001</v>
      </c>
      <c r="Z5027">
        <v>-1.1956619999999999E-2</v>
      </c>
      <c r="AA5027">
        <v>0.96979660000000001</v>
      </c>
      <c r="AB5027">
        <v>24</v>
      </c>
      <c r="AC5027">
        <v>13.2133</v>
      </c>
      <c r="AD5027">
        <v>-1.1106804183429999</v>
      </c>
      <c r="AE5027">
        <v>-3.0308099999999998</v>
      </c>
      <c r="AF5027">
        <v>3.3228829011599799</v>
      </c>
      <c r="AG5027">
        <v>-1.1106804183429999</v>
      </c>
      <c r="AH5027">
        <v>13.0496342817393</v>
      </c>
      <c r="AI5027">
        <v>94.715085620211994</v>
      </c>
      <c r="AJ5027">
        <v>75.714130208089301</v>
      </c>
      <c r="AK5027">
        <v>13.511776961364401</v>
      </c>
      <c r="AL5027">
        <v>81.911315927479194</v>
      </c>
      <c r="AM5027">
        <v>78.298035533659998</v>
      </c>
      <c r="AN5027">
        <v>1.0000000047764499</v>
      </c>
    </row>
    <row r="5028" spans="1:40" x14ac:dyDescent="0.25">
      <c r="A5028" t="str">
        <f>"20190312151636345"</f>
        <v>20190312151636345</v>
      </c>
      <c r="B5028" t="str">
        <f>"1552374996333288"</f>
        <v>1552374996333288</v>
      </c>
      <c r="C5028" t="s">
        <v>40</v>
      </c>
      <c r="D5028">
        <v>4.4524309999999998</v>
      </c>
      <c r="E5028">
        <v>0.51558110000000001</v>
      </c>
      <c r="F5028" t="s">
        <v>43</v>
      </c>
      <c r="G5028">
        <v>-331.9606</v>
      </c>
      <c r="H5028" s="1">
        <v>-4.4329889999999996E-6</v>
      </c>
      <c r="I5028">
        <v>13.96866</v>
      </c>
      <c r="J5028">
        <v>-345.08139999999997</v>
      </c>
      <c r="K5028">
        <v>1.1106720000000001</v>
      </c>
      <c r="L5028">
        <v>16.984220000000001</v>
      </c>
      <c r="M5028">
        <v>0.99962669999999998</v>
      </c>
      <c r="N5028">
        <v>0</v>
      </c>
      <c r="O5028">
        <v>2.4198319999999999E-2</v>
      </c>
      <c r="P5028">
        <v>0.97569130000000004</v>
      </c>
      <c r="Q5028">
        <v>0.12805419999999901</v>
      </c>
      <c r="R5028">
        <v>-0.17784539999999999</v>
      </c>
      <c r="S5028">
        <v>2.9840390000000001</v>
      </c>
      <c r="T5028">
        <v>-0.25003789999999998</v>
      </c>
      <c r="U5028">
        <v>-0.67803959999999996</v>
      </c>
      <c r="V5028">
        <v>0.2012776</v>
      </c>
      <c r="W5028">
        <v>0.14056070000000001</v>
      </c>
      <c r="X5028">
        <v>0.9693967</v>
      </c>
      <c r="Y5028">
        <v>0.24421219999999999</v>
      </c>
      <c r="Z5028">
        <v>-1.2085810000000001E-2</v>
      </c>
      <c r="AA5028">
        <v>0.96964649999999997</v>
      </c>
      <c r="AB5028">
        <v>24</v>
      </c>
      <c r="AC5028">
        <v>13.1207999999999</v>
      </c>
      <c r="AD5028">
        <v>-1.110676432989</v>
      </c>
      <c r="AE5028">
        <v>-3.0155599999999998</v>
      </c>
      <c r="AF5028">
        <v>3.3096776400785801</v>
      </c>
      <c r="AG5028">
        <v>-1.110676432989</v>
      </c>
      <c r="AH5028">
        <v>12.9558012439563</v>
      </c>
      <c r="AI5028">
        <v>94.748128471153095</v>
      </c>
      <c r="AJ5028">
        <v>75.669751089719398</v>
      </c>
      <c r="AK5028">
        <v>13.4179116889676</v>
      </c>
      <c r="AL5028">
        <v>81.919706945891093</v>
      </c>
      <c r="AM5028">
        <v>78.270238322418706</v>
      </c>
      <c r="AN5028">
        <v>0.99999997230856896</v>
      </c>
    </row>
    <row r="5029" spans="1:40" x14ac:dyDescent="0.25">
      <c r="A5029" t="str">
        <f>"20190312151636357"</f>
        <v>20190312151636357</v>
      </c>
      <c r="B5029" t="str">
        <f>"1552374996352809"</f>
        <v>1552374996352809</v>
      </c>
      <c r="C5029" t="s">
        <v>40</v>
      </c>
      <c r="D5029">
        <v>4.45566</v>
      </c>
      <c r="E5029">
        <v>0.51537279999999996</v>
      </c>
      <c r="F5029" t="s">
        <v>43</v>
      </c>
      <c r="G5029">
        <v>-331.89389999999997</v>
      </c>
      <c r="H5029" s="1">
        <v>-4.4588179999999996E-6</v>
      </c>
      <c r="I5029">
        <v>13.984279999999901</v>
      </c>
      <c r="J5029">
        <v>-344.95679999999999</v>
      </c>
      <c r="K5029">
        <v>1.110673</v>
      </c>
      <c r="L5029">
        <v>16.98761</v>
      </c>
      <c r="M5029">
        <v>0.99961880000000003</v>
      </c>
      <c r="N5029">
        <v>0</v>
      </c>
      <c r="O5029">
        <v>2.4515820000000001E-2</v>
      </c>
      <c r="P5029">
        <v>0.97565259999999998</v>
      </c>
      <c r="Q5029">
        <v>0.12806719999999999</v>
      </c>
      <c r="R5029">
        <v>-0.1780476</v>
      </c>
      <c r="S5029">
        <v>2.9840390000000001</v>
      </c>
      <c r="T5029">
        <v>-0.25132139999999997</v>
      </c>
      <c r="U5029">
        <v>-0.67880249999999998</v>
      </c>
      <c r="V5029">
        <v>0.20178740000000001</v>
      </c>
      <c r="W5029">
        <v>0.14057259999999999</v>
      </c>
      <c r="X5029">
        <v>0.96928899999999996</v>
      </c>
      <c r="Y5029">
        <v>0.24474380000000001</v>
      </c>
      <c r="Z5029">
        <v>-1.219576E-2</v>
      </c>
      <c r="AA5029">
        <v>0.96951109999999896</v>
      </c>
      <c r="AB5029">
        <v>24</v>
      </c>
      <c r="AC5029">
        <v>13.062900000000001</v>
      </c>
      <c r="AD5029">
        <v>-1.110677458818</v>
      </c>
      <c r="AE5029">
        <v>-3.0033300000000001</v>
      </c>
      <c r="AF5029">
        <v>3.3000414567137999</v>
      </c>
      <c r="AG5029">
        <v>-1.110677458818</v>
      </c>
      <c r="AH5029">
        <v>12.896784307521999</v>
      </c>
      <c r="AI5029">
        <v>94.769280133273199</v>
      </c>
      <c r="AJ5029">
        <v>75.647065019823998</v>
      </c>
      <c r="AK5029">
        <v>13.3585524480874</v>
      </c>
      <c r="AL5029">
        <v>81.919018416991804</v>
      </c>
      <c r="AM5029">
        <v>78.240085001330002</v>
      </c>
      <c r="AN5029">
        <v>0.99999998809525903</v>
      </c>
    </row>
    <row r="5030" spans="1:40" x14ac:dyDescent="0.25">
      <c r="A5030" t="str">
        <f>"20190312151636366"</f>
        <v>20190312151636366</v>
      </c>
      <c r="B5030" t="str">
        <f>"1552374996362569"</f>
        <v>1552374996362569</v>
      </c>
      <c r="C5030" t="s">
        <v>40</v>
      </c>
      <c r="D5030">
        <v>4.4580409999999997</v>
      </c>
      <c r="E5030">
        <v>0.51533309999999999</v>
      </c>
      <c r="F5030" t="s">
        <v>43</v>
      </c>
      <c r="G5030">
        <v>-331.77300000000002</v>
      </c>
      <c r="H5030" s="1">
        <v>-4.5092269999999996E-6</v>
      </c>
      <c r="I5030">
        <v>13.99254</v>
      </c>
      <c r="J5030">
        <v>-344.84879999999998</v>
      </c>
      <c r="K5030">
        <v>1.1106720000000001</v>
      </c>
      <c r="L5030">
        <v>16.990570000000002</v>
      </c>
      <c r="M5030">
        <v>0.99961199999999995</v>
      </c>
      <c r="N5030">
        <v>0</v>
      </c>
      <c r="O5030">
        <v>2.479106E-2</v>
      </c>
      <c r="P5030">
        <v>0.97565420000000003</v>
      </c>
      <c r="Q5030">
        <v>0.12781029999999999</v>
      </c>
      <c r="R5030">
        <v>-0.1782232</v>
      </c>
      <c r="S5030">
        <v>2.9841609999999998</v>
      </c>
      <c r="T5030">
        <v>-0.25140259999999998</v>
      </c>
      <c r="U5030">
        <v>-0.67791749999999995</v>
      </c>
      <c r="V5030">
        <v>0.20223050000000001</v>
      </c>
      <c r="W5030">
        <v>0.14031479999999999</v>
      </c>
      <c r="X5030">
        <v>0.96923400000000004</v>
      </c>
      <c r="Y5030">
        <v>0.24472730000000001</v>
      </c>
      <c r="Z5030">
        <v>-1.222179E-2</v>
      </c>
      <c r="AA5030">
        <v>0.96951489999999996</v>
      </c>
      <c r="AB5030">
        <v>24</v>
      </c>
      <c r="AC5030">
        <v>13.0757999999999</v>
      </c>
      <c r="AD5030">
        <v>-1.1106765092269999</v>
      </c>
      <c r="AE5030">
        <v>-2.99803</v>
      </c>
      <c r="AF5030">
        <v>3.29868603386215</v>
      </c>
      <c r="AG5030">
        <v>-1.1106765092269999</v>
      </c>
      <c r="AH5030">
        <v>12.9089632951189</v>
      </c>
      <c r="AI5030">
        <v>94.7651915709002</v>
      </c>
      <c r="AJ5030">
        <v>75.665694719901694</v>
      </c>
      <c r="AK5030">
        <v>13.3699762607446</v>
      </c>
      <c r="AL5030">
        <v>81.933937088060205</v>
      </c>
      <c r="AM5030">
        <v>78.214333094970598</v>
      </c>
      <c r="AN5030">
        <v>0.99999998249264499</v>
      </c>
    </row>
    <row r="5031" spans="1:40" x14ac:dyDescent="0.25">
      <c r="A5031" t="str">
        <f>"20190312151636376"</f>
        <v>20190312151636376</v>
      </c>
      <c r="B5031" t="str">
        <f>"1552374996373305"</f>
        <v>1552374996373305</v>
      </c>
      <c r="C5031" t="s">
        <v>40</v>
      </c>
      <c r="D5031">
        <v>4.4601810000000004</v>
      </c>
      <c r="E5031">
        <v>0.51532020000000001</v>
      </c>
      <c r="F5031" t="s">
        <v>43</v>
      </c>
      <c r="G5031">
        <v>-331.70679999999999</v>
      </c>
      <c r="H5031" s="1">
        <v>-4.5358379999999996E-6</v>
      </c>
      <c r="I5031">
        <v>14.00249</v>
      </c>
      <c r="J5031">
        <v>-344.75389999999999</v>
      </c>
      <c r="K5031">
        <v>1.1106689999999999</v>
      </c>
      <c r="L5031">
        <v>16.993230000000001</v>
      </c>
      <c r="M5031">
        <v>0.99960599999999999</v>
      </c>
      <c r="N5031">
        <v>0</v>
      </c>
      <c r="O5031">
        <v>2.5033050000000001E-2</v>
      </c>
      <c r="P5031">
        <v>0.97564969999999995</v>
      </c>
      <c r="Q5031">
        <v>0.1278126</v>
      </c>
      <c r="R5031">
        <v>-0.1782473</v>
      </c>
      <c r="S5031">
        <v>2.9839479999999998</v>
      </c>
      <c r="T5031">
        <v>-0.2521834</v>
      </c>
      <c r="U5031">
        <v>-0.67843629999999999</v>
      </c>
      <c r="V5031">
        <v>0.20248940000000001</v>
      </c>
      <c r="W5031">
        <v>0.14031669999999999</v>
      </c>
      <c r="X5031">
        <v>0.96917969999999998</v>
      </c>
      <c r="Y5031">
        <v>0.24512929999999999</v>
      </c>
      <c r="Z5031">
        <v>-1.229717E-2</v>
      </c>
      <c r="AA5031">
        <v>0.96941239999999995</v>
      </c>
      <c r="AB5031">
        <v>24</v>
      </c>
      <c r="AC5031">
        <v>13.0471</v>
      </c>
      <c r="AD5031">
        <v>-1.110673535838</v>
      </c>
      <c r="AE5031">
        <v>-2.9907400000000002</v>
      </c>
      <c r="AF5031">
        <v>3.29376009945898</v>
      </c>
      <c r="AG5031">
        <v>-1.110673535838</v>
      </c>
      <c r="AH5031">
        <v>12.8794621467197</v>
      </c>
      <c r="AI5031">
        <v>94.775811959924795</v>
      </c>
      <c r="AJ5031">
        <v>75.654785083302698</v>
      </c>
      <c r="AK5031">
        <v>13.340277226684</v>
      </c>
      <c r="AL5031">
        <v>81.933827379151197</v>
      </c>
      <c r="AM5031">
        <v>78.199025031905705</v>
      </c>
      <c r="AN5031">
        <v>1.0000000121516699</v>
      </c>
    </row>
    <row r="5032" spans="1:40" x14ac:dyDescent="0.25">
      <c r="A5032" t="str">
        <f>"20190312151636385"</f>
        <v>20190312151636385</v>
      </c>
      <c r="B5032" t="str">
        <f>"1552374996383065"</f>
        <v>1552374996383065</v>
      </c>
      <c r="C5032" t="s">
        <v>40</v>
      </c>
      <c r="D5032">
        <v>4.4366390000000004</v>
      </c>
      <c r="E5032">
        <v>0.51532259999999996</v>
      </c>
      <c r="F5032" t="s">
        <v>43</v>
      </c>
      <c r="G5032">
        <v>-331.64890000000003</v>
      </c>
      <c r="H5032" s="1">
        <v>-4.5590029999999998E-6</v>
      </c>
      <c r="I5032">
        <v>14.012130000000001</v>
      </c>
      <c r="J5032">
        <v>-344.64249999999998</v>
      </c>
      <c r="K5032">
        <v>1.1106659999999999</v>
      </c>
      <c r="L5032">
        <v>16.99634</v>
      </c>
      <c r="M5032">
        <v>0.99959889999999996</v>
      </c>
      <c r="N5032">
        <v>0</v>
      </c>
      <c r="O5032">
        <v>2.531771E-2</v>
      </c>
      <c r="P5032">
        <v>0.97566960000000003</v>
      </c>
      <c r="Q5032">
        <v>0.12790009999999999</v>
      </c>
      <c r="R5032">
        <v>-0.17807419999999999</v>
      </c>
      <c r="S5032">
        <v>2.9840089999999999</v>
      </c>
      <c r="T5032">
        <v>-0.25289830000000002</v>
      </c>
      <c r="U5032">
        <v>-0.67877200000000004</v>
      </c>
      <c r="V5032">
        <v>0.20259350000000001</v>
      </c>
      <c r="W5032">
        <v>0.14040349999999999</v>
      </c>
      <c r="X5032">
        <v>0.96914540000000005</v>
      </c>
      <c r="Y5032">
        <v>0.2454973</v>
      </c>
      <c r="Z5032">
        <v>-1.23707E-2</v>
      </c>
      <c r="AA5032">
        <v>0.96931829999999997</v>
      </c>
      <c r="AB5032">
        <v>24</v>
      </c>
      <c r="AC5032">
        <v>12.993599999999899</v>
      </c>
      <c r="AD5032">
        <v>-1.1106705590029999</v>
      </c>
      <c r="AE5032">
        <v>-2.98421</v>
      </c>
      <c r="AF5032">
        <v>3.28941793427812</v>
      </c>
      <c r="AG5032">
        <v>-1.1106705590029999</v>
      </c>
      <c r="AH5032">
        <v>12.824864564289699</v>
      </c>
      <c r="AI5032">
        <v>94.7951753617523</v>
      </c>
      <c r="AJ5032">
        <v>75.614450748909704</v>
      </c>
      <c r="AK5032">
        <v>13.286497300995499</v>
      </c>
      <c r="AL5032">
        <v>81.928804588044102</v>
      </c>
      <c r="AM5032">
        <v>78.192722256906507</v>
      </c>
      <c r="AN5032">
        <v>1.00000003769782</v>
      </c>
    </row>
    <row r="5033" spans="1:40" x14ac:dyDescent="0.25">
      <c r="A5033" t="str">
        <f>"20190312151636397"</f>
        <v>20190312151636397</v>
      </c>
      <c r="B5033" t="str">
        <f>"1552374996392826"</f>
        <v>1552374996392826</v>
      </c>
      <c r="C5033" t="s">
        <v>40</v>
      </c>
      <c r="D5033">
        <v>4.4416270000000004</v>
      </c>
      <c r="E5033">
        <v>0.51532259999999996</v>
      </c>
      <c r="F5033" t="s">
        <v>43</v>
      </c>
      <c r="G5033">
        <v>-331.5761</v>
      </c>
      <c r="H5033" s="1">
        <v>-4.5879200000000003E-6</v>
      </c>
      <c r="I5033">
        <v>14.025090000000001</v>
      </c>
      <c r="J5033">
        <v>-344.5283</v>
      </c>
      <c r="K5033">
        <v>1.1106670000000001</v>
      </c>
      <c r="L5033">
        <v>16.99954</v>
      </c>
      <c r="M5033">
        <v>0.99959140000000002</v>
      </c>
      <c r="N5033">
        <v>0</v>
      </c>
      <c r="O5033">
        <v>2.5609940000000001E-2</v>
      </c>
      <c r="P5033">
        <v>0.97564260000000003</v>
      </c>
      <c r="Q5033">
        <v>0.1281071</v>
      </c>
      <c r="R5033">
        <v>-0.17807310000000001</v>
      </c>
      <c r="S5033">
        <v>2.9842529999999998</v>
      </c>
      <c r="T5033">
        <v>-0.25366739999999999</v>
      </c>
      <c r="U5033">
        <v>-0.67858890000000005</v>
      </c>
      <c r="V5033">
        <v>0.20287520000000001</v>
      </c>
      <c r="W5033">
        <v>0.14060980000000001</v>
      </c>
      <c r="X5033">
        <v>0.96905649999999999</v>
      </c>
      <c r="Y5033">
        <v>0.24569969999999999</v>
      </c>
      <c r="Z5033">
        <v>-1.244028E-2</v>
      </c>
      <c r="AA5033">
        <v>0.96926619999999997</v>
      </c>
      <c r="AB5033">
        <v>24</v>
      </c>
      <c r="AC5033">
        <v>12.952199999999999</v>
      </c>
      <c r="AD5033">
        <v>-1.11067158792</v>
      </c>
      <c r="AE5033">
        <v>-2.97445</v>
      </c>
      <c r="AF5033">
        <v>3.2822794706206002</v>
      </c>
      <c r="AG5033">
        <v>-1.11067158792</v>
      </c>
      <c r="AH5033">
        <v>12.7824844008495</v>
      </c>
      <c r="AI5033">
        <v>94.810667080856803</v>
      </c>
      <c r="AJ5033">
        <v>75.598758229496298</v>
      </c>
      <c r="AK5033">
        <v>13.243823366287801</v>
      </c>
      <c r="AL5033">
        <v>81.916865577544698</v>
      </c>
      <c r="AM5033">
        <v>78.175712293867903</v>
      </c>
      <c r="AN5033">
        <v>0.99999998141166402</v>
      </c>
    </row>
    <row r="5034" spans="1:40" x14ac:dyDescent="0.25">
      <c r="A5034" t="str">
        <f>"20190312151636408"</f>
        <v>20190312151636408</v>
      </c>
      <c r="B5034" t="str">
        <f>"1552374996402585"</f>
        <v>1552374996402585</v>
      </c>
      <c r="C5034" t="s">
        <v>40</v>
      </c>
      <c r="D5034">
        <v>4.4414089999999904</v>
      </c>
      <c r="E5034">
        <v>0.51611819999999997</v>
      </c>
      <c r="F5034" t="s">
        <v>43</v>
      </c>
      <c r="G5034">
        <v>-331.42790000000002</v>
      </c>
      <c r="H5034" s="1">
        <v>-4.6524130000000003E-6</v>
      </c>
      <c r="I5034">
        <v>14.020009999999999</v>
      </c>
      <c r="J5034">
        <v>-344.40600000000001</v>
      </c>
      <c r="K5034">
        <v>1.1106640000000001</v>
      </c>
      <c r="L5034">
        <v>17.003050000000002</v>
      </c>
      <c r="M5034">
        <v>0.99958329999999995</v>
      </c>
      <c r="N5034">
        <v>0</v>
      </c>
      <c r="O5034">
        <v>2.592357E-2</v>
      </c>
      <c r="P5034">
        <v>0.97569609999999996</v>
      </c>
      <c r="Q5034">
        <v>0.12820500000000001</v>
      </c>
      <c r="R5034">
        <v>-0.17771010000000001</v>
      </c>
      <c r="S5034">
        <v>2.9842529999999998</v>
      </c>
      <c r="T5034">
        <v>-0.25300820000000002</v>
      </c>
      <c r="U5034">
        <v>-0.67871090000000001</v>
      </c>
      <c r="V5034">
        <v>0.2028181</v>
      </c>
      <c r="W5034">
        <v>0.14070759999999999</v>
      </c>
      <c r="X5034">
        <v>0.96905430000000004</v>
      </c>
      <c r="Y5034">
        <v>0.24604409999999999</v>
      </c>
      <c r="Z5034">
        <v>-1.244864E-2</v>
      </c>
      <c r="AA5034">
        <v>0.96917869999999995</v>
      </c>
      <c r="AB5034">
        <v>24</v>
      </c>
      <c r="AC5034">
        <v>12.9780999999999</v>
      </c>
      <c r="AD5034">
        <v>-1.1106686524129901</v>
      </c>
      <c r="AE5034">
        <v>-2.9830399999999999</v>
      </c>
      <c r="AF5034">
        <v>3.2955775981571098</v>
      </c>
      <c r="AG5034">
        <v>-1.1106686524129901</v>
      </c>
      <c r="AH5034">
        <v>12.8073070249484</v>
      </c>
      <c r="AI5034">
        <v>94.800751298276296</v>
      </c>
      <c r="AJ5034">
        <v>75.569701546912796</v>
      </c>
      <c r="AK5034">
        <v>13.271078697386301</v>
      </c>
      <c r="AL5034">
        <v>81.911206122965396</v>
      </c>
      <c r="AM5034">
        <v>78.178920550840601</v>
      </c>
      <c r="AN5034">
        <v>1.00000002336692</v>
      </c>
    </row>
    <row r="5035" spans="1:40" x14ac:dyDescent="0.25">
      <c r="A5035" t="str">
        <f>"20190312151636420"</f>
        <v>20190312151636420</v>
      </c>
      <c r="B5035" t="str">
        <f>"1552374996413320"</f>
        <v>1552374996413320</v>
      </c>
      <c r="C5035" t="s">
        <v>40</v>
      </c>
      <c r="D5035">
        <v>4.4646679999999996</v>
      </c>
      <c r="E5035">
        <v>0.51597490000000001</v>
      </c>
      <c r="F5035" t="s">
        <v>43</v>
      </c>
      <c r="G5035">
        <v>-334.58760000000001</v>
      </c>
      <c r="H5035" s="1">
        <v>-3.1676139999999999E-6</v>
      </c>
      <c r="I5035">
        <v>14.748749999999999</v>
      </c>
      <c r="J5035">
        <v>-344.28629999999998</v>
      </c>
      <c r="K5035">
        <v>1.1106659999999999</v>
      </c>
      <c r="L5035">
        <v>17.006529999999898</v>
      </c>
      <c r="M5035">
        <v>0.9995754</v>
      </c>
      <c r="N5035">
        <v>0</v>
      </c>
      <c r="O5035">
        <v>2.623083E-2</v>
      </c>
      <c r="P5035">
        <v>0.97567300000000001</v>
      </c>
      <c r="Q5035">
        <v>0.1286127</v>
      </c>
      <c r="R5035">
        <v>-0.17754400000000001</v>
      </c>
      <c r="S5035">
        <v>2.994049</v>
      </c>
      <c r="T5035">
        <v>-0.33868999999999999</v>
      </c>
      <c r="U5035">
        <v>-0.68740840000000003</v>
      </c>
      <c r="V5035">
        <v>0.2029492</v>
      </c>
      <c r="W5035">
        <v>0.14111399999999999</v>
      </c>
      <c r="X5035">
        <v>0.96896769999999999</v>
      </c>
      <c r="Y5035">
        <v>0.2475986</v>
      </c>
      <c r="Z5035">
        <v>-1.670452E-2</v>
      </c>
      <c r="AA5035">
        <v>0.96871870000000004</v>
      </c>
      <c r="AB5035">
        <v>24</v>
      </c>
      <c r="AC5035">
        <v>9.6986999999999703</v>
      </c>
      <c r="AD5035">
        <v>-1.1106691676139999</v>
      </c>
      <c r="AE5035">
        <v>-2.2577799999999901</v>
      </c>
      <c r="AF5035">
        <v>2.4805699804260399</v>
      </c>
      <c r="AG5035">
        <v>-1.1106691676139999</v>
      </c>
      <c r="AH5035">
        <v>9.5177328466975393</v>
      </c>
      <c r="AI5035">
        <v>96.442692645587698</v>
      </c>
      <c r="AJ5035">
        <v>75.3921853119529</v>
      </c>
      <c r="AK5035">
        <v>9.8981842763602099</v>
      </c>
      <c r="AL5035">
        <v>81.887686020214403</v>
      </c>
      <c r="AM5035">
        <v>78.170467329904099</v>
      </c>
      <c r="AN5035">
        <v>0.99999997120996398</v>
      </c>
    </row>
    <row r="5036" spans="1:40" x14ac:dyDescent="0.25">
      <c r="A5036" t="str">
        <f>"20190312151636430"</f>
        <v>20190312151636430</v>
      </c>
      <c r="B5036" t="str">
        <f>"1552374996423080"</f>
        <v>1552374996423080</v>
      </c>
      <c r="C5036" t="s">
        <v>40</v>
      </c>
      <c r="D5036">
        <v>4.7781789999999997</v>
      </c>
      <c r="E5036">
        <v>0.51597490000000001</v>
      </c>
      <c r="F5036" t="s">
        <v>43</v>
      </c>
      <c r="G5036">
        <v>-334.44889999999998</v>
      </c>
      <c r="H5036" s="1">
        <v>-3.2264179999999998E-6</v>
      </c>
      <c r="I5036">
        <v>14.75282</v>
      </c>
      <c r="J5036">
        <v>-344.17410000000001</v>
      </c>
      <c r="K5036">
        <v>1.1106670000000001</v>
      </c>
      <c r="L5036">
        <v>17.009799999999998</v>
      </c>
      <c r="M5036">
        <v>0.9995676</v>
      </c>
      <c r="N5036">
        <v>0</v>
      </c>
      <c r="O5036">
        <v>2.6519959999999999E-2</v>
      </c>
      <c r="P5036">
        <v>0.97568980000000005</v>
      </c>
      <c r="Q5036">
        <v>0.1288263</v>
      </c>
      <c r="R5036">
        <v>-0.17729320000000001</v>
      </c>
      <c r="S5036">
        <v>2.9945369999999998</v>
      </c>
      <c r="T5036">
        <v>-0.33808830000000001</v>
      </c>
      <c r="U5036">
        <v>-0.68600459999999996</v>
      </c>
      <c r="V5036">
        <v>0.20297999999999999</v>
      </c>
      <c r="W5036">
        <v>0.14132690000000001</v>
      </c>
      <c r="X5036">
        <v>0.96893019999999996</v>
      </c>
      <c r="Y5036">
        <v>0.24741830000000001</v>
      </c>
      <c r="Z5036">
        <v>-1.6695390000000001E-2</v>
      </c>
      <c r="AA5036">
        <v>0.96876490000000004</v>
      </c>
      <c r="AB5036">
        <v>24</v>
      </c>
      <c r="AC5036">
        <v>9.7252000000000294</v>
      </c>
      <c r="AD5036">
        <v>-1.110670226418</v>
      </c>
      <c r="AE5036">
        <v>-2.2569799999999902</v>
      </c>
      <c r="AF5036">
        <v>2.4833836846706099</v>
      </c>
      <c r="AG5036">
        <v>-1.110670226418</v>
      </c>
      <c r="AH5036">
        <v>9.5438021776498001</v>
      </c>
      <c r="AI5036">
        <v>96.425895722945597</v>
      </c>
      <c r="AJ5036">
        <v>75.414565187718694</v>
      </c>
      <c r="AK5036">
        <v>9.9239580250650299</v>
      </c>
      <c r="AL5036">
        <v>81.875364111003293</v>
      </c>
      <c r="AM5036">
        <v>78.168277658654006</v>
      </c>
      <c r="AN5036">
        <v>0.99999995276782305</v>
      </c>
    </row>
    <row r="5037" spans="1:40" x14ac:dyDescent="0.25">
      <c r="A5037" t="str">
        <f>"20190312151636442"</f>
        <v>20190312151636442</v>
      </c>
      <c r="B5037" t="str">
        <f>"1552374996432840"</f>
        <v>1552374996432840</v>
      </c>
      <c r="C5037" t="s">
        <v>40</v>
      </c>
      <c r="D5037">
        <v>4.4704240000000004</v>
      </c>
      <c r="E5037">
        <v>0.51669920000000003</v>
      </c>
      <c r="F5037" t="s">
        <v>43</v>
      </c>
      <c r="G5037">
        <v>-334.31819999999999</v>
      </c>
      <c r="H5037" s="1">
        <v>-3.2822519999999998E-6</v>
      </c>
      <c r="I5037">
        <v>14.75414</v>
      </c>
      <c r="J5037">
        <v>-344.05470000000003</v>
      </c>
      <c r="K5037">
        <v>1.1106609999999999</v>
      </c>
      <c r="L5037">
        <v>17.013310000000001</v>
      </c>
      <c r="M5037">
        <v>0.99955939999999999</v>
      </c>
      <c r="N5037">
        <v>0</v>
      </c>
      <c r="O5037">
        <v>2.6827630000000002E-2</v>
      </c>
      <c r="P5037">
        <v>0.97570480000000004</v>
      </c>
      <c r="Q5037">
        <v>0.12899440000000001</v>
      </c>
      <c r="R5037">
        <v>-0.17708869999999999</v>
      </c>
      <c r="S5037">
        <v>2.9947509999999999</v>
      </c>
      <c r="T5037">
        <v>-0.33748070000000002</v>
      </c>
      <c r="U5037">
        <v>-0.68536379999999997</v>
      </c>
      <c r="V5037">
        <v>0.20307430000000001</v>
      </c>
      <c r="W5037">
        <v>0.1414945</v>
      </c>
      <c r="X5037">
        <v>0.96888600000000002</v>
      </c>
      <c r="Y5037">
        <v>0.24750800000000001</v>
      </c>
      <c r="Z5037">
        <v>-1.6703949999999999E-2</v>
      </c>
      <c r="AA5037">
        <v>0.96874179999999999</v>
      </c>
      <c r="AB5037">
        <v>24</v>
      </c>
      <c r="AC5037">
        <v>9.7365000000000297</v>
      </c>
      <c r="AD5037">
        <v>-1.1106642822519901</v>
      </c>
      <c r="AE5037">
        <v>-2.2591700000000001</v>
      </c>
      <c r="AF5037">
        <v>2.4888534214715601</v>
      </c>
      <c r="AG5037">
        <v>-1.1106642822519901</v>
      </c>
      <c r="AH5037">
        <v>9.5544070588466301</v>
      </c>
      <c r="AI5037">
        <v>96.418348585612705</v>
      </c>
      <c r="AJ5037">
        <v>75.399344105487302</v>
      </c>
      <c r="AK5037">
        <v>9.9355251873053696</v>
      </c>
      <c r="AL5037">
        <v>81.865664025278605</v>
      </c>
      <c r="AM5037">
        <v>78.162411182739206</v>
      </c>
      <c r="AN5037">
        <v>0.99999997292336895</v>
      </c>
    </row>
    <row r="5038" spans="1:40" x14ac:dyDescent="0.25">
      <c r="A5038" t="str">
        <f>"20190312151636454"</f>
        <v>20190312151636454</v>
      </c>
      <c r="B5038" t="str">
        <f>"1552374996442601"</f>
        <v>1552374996442601</v>
      </c>
      <c r="C5038" t="s">
        <v>40</v>
      </c>
      <c r="D5038">
        <v>4.4838399999999998</v>
      </c>
      <c r="E5038">
        <v>0.51671339999999999</v>
      </c>
      <c r="F5038" t="s">
        <v>43</v>
      </c>
      <c r="G5038">
        <v>-331.92529999999999</v>
      </c>
      <c r="H5038" s="1">
        <v>-4.4038750000000003E-6</v>
      </c>
      <c r="I5038">
        <v>14.218030000000001</v>
      </c>
      <c r="J5038">
        <v>-343.93009999999998</v>
      </c>
      <c r="K5038">
        <v>1.11066</v>
      </c>
      <c r="L5038">
        <v>17.017029999999998</v>
      </c>
      <c r="M5038">
        <v>0.99955090000000002</v>
      </c>
      <c r="N5038">
        <v>0</v>
      </c>
      <c r="O5038">
        <v>2.7149059999999999E-2</v>
      </c>
      <c r="P5038">
        <v>0.97572170000000003</v>
      </c>
      <c r="Q5038">
        <v>0.12925970000000001</v>
      </c>
      <c r="R5038">
        <v>-0.1768024</v>
      </c>
      <c r="S5038">
        <v>2.9859619999999998</v>
      </c>
      <c r="T5038">
        <v>-0.27341959999999998</v>
      </c>
      <c r="U5038">
        <v>-0.68811040000000001</v>
      </c>
      <c r="V5038">
        <v>0.20310059999999999</v>
      </c>
      <c r="W5038">
        <v>0.14175889999999999</v>
      </c>
      <c r="X5038">
        <v>0.96884190000000003</v>
      </c>
      <c r="Y5038">
        <v>0.24983559999999999</v>
      </c>
      <c r="Z5038">
        <v>-1.3718650000000001E-2</v>
      </c>
      <c r="AA5038">
        <v>0.96819109999999997</v>
      </c>
      <c r="AB5038">
        <v>24</v>
      </c>
      <c r="AC5038">
        <v>12.0047999999999</v>
      </c>
      <c r="AD5038">
        <v>-1.110664403875</v>
      </c>
      <c r="AE5038">
        <v>-2.7989999999999902</v>
      </c>
      <c r="AF5038">
        <v>3.0987566822983701</v>
      </c>
      <c r="AG5038">
        <v>-1.110664403875</v>
      </c>
      <c r="AH5038">
        <v>11.828351616537599</v>
      </c>
      <c r="AI5038">
        <v>95.190115460845306</v>
      </c>
      <c r="AJ5038">
        <v>75.319730906747793</v>
      </c>
      <c r="AK5038">
        <v>12.277856912286101</v>
      </c>
      <c r="AL5038">
        <v>81.850361261531603</v>
      </c>
      <c r="AM5038">
        <v>78.160397685019504</v>
      </c>
      <c r="AN5038">
        <v>1.00000003332258</v>
      </c>
    </row>
    <row r="5039" spans="1:40" x14ac:dyDescent="0.25">
      <c r="A5039" t="str">
        <f>"20190312151636465"</f>
        <v>20190312151636465</v>
      </c>
      <c r="B5039" t="str">
        <f>"1552374996453337"</f>
        <v>1552374996453337</v>
      </c>
      <c r="C5039" t="s">
        <v>40</v>
      </c>
      <c r="D5039">
        <v>4.4492339999999997</v>
      </c>
      <c r="E5039">
        <v>0.51722709999999905</v>
      </c>
      <c r="F5039" t="s">
        <v>43</v>
      </c>
      <c r="G5039">
        <v>-331.59570000000002</v>
      </c>
      <c r="H5039" s="1">
        <v>-4.5524629999999996E-6</v>
      </c>
      <c r="I5039">
        <v>14.17755</v>
      </c>
      <c r="J5039">
        <v>-343.80799999999999</v>
      </c>
      <c r="K5039">
        <v>1.11066</v>
      </c>
      <c r="L5039">
        <v>17.020689999999998</v>
      </c>
      <c r="M5039">
        <v>0.99954219999999905</v>
      </c>
      <c r="N5039">
        <v>0</v>
      </c>
      <c r="O5039">
        <v>2.7464300000000001E-2</v>
      </c>
      <c r="P5039">
        <v>0.97572829999999999</v>
      </c>
      <c r="Q5039">
        <v>0.1293532</v>
      </c>
      <c r="R5039">
        <v>-0.1766983</v>
      </c>
      <c r="S5039">
        <v>2.9857179999999999</v>
      </c>
      <c r="T5039">
        <v>-0.26885209999999998</v>
      </c>
      <c r="U5039">
        <v>-0.68731690000000001</v>
      </c>
      <c r="V5039">
        <v>0.2033026</v>
      </c>
      <c r="W5039">
        <v>0.14185139999999999</v>
      </c>
      <c r="X5039">
        <v>0.96878589999999998</v>
      </c>
      <c r="Y5039">
        <v>0.24994839999999999</v>
      </c>
      <c r="Z5039">
        <v>-1.352485E-2</v>
      </c>
      <c r="AA5039">
        <v>0.96816469999999999</v>
      </c>
      <c r="AB5039">
        <v>24</v>
      </c>
      <c r="AC5039">
        <v>12.212300000000001</v>
      </c>
      <c r="AD5039">
        <v>-1.1106645524630001</v>
      </c>
      <c r="AE5039">
        <v>-2.8431399999999898</v>
      </c>
      <c r="AF5039">
        <v>3.1527601180657001</v>
      </c>
      <c r="AG5039">
        <v>-1.1106645524630001</v>
      </c>
      <c r="AH5039">
        <v>12.035173599038901</v>
      </c>
      <c r="AI5039">
        <v>95.101418297537194</v>
      </c>
      <c r="AJ5039">
        <v>75.320529134789297</v>
      </c>
      <c r="AK5039">
        <v>12.4907516054546</v>
      </c>
      <c r="AL5039">
        <v>81.845006560158595</v>
      </c>
      <c r="AM5039">
        <v>78.148289410267694</v>
      </c>
      <c r="AN5039">
        <v>0.99999994344376297</v>
      </c>
    </row>
    <row r="5040" spans="1:40" x14ac:dyDescent="0.25">
      <c r="A5040" t="str">
        <f>"20190312151636475"</f>
        <v>20190312151636475</v>
      </c>
      <c r="B5040" t="str">
        <f>"1552374996472858"</f>
        <v>1552374996472858</v>
      </c>
      <c r="C5040" t="s">
        <v>40</v>
      </c>
      <c r="D5040">
        <v>4.4657879999999999</v>
      </c>
      <c r="E5040">
        <v>0.51771679999999998</v>
      </c>
      <c r="F5040" t="s">
        <v>43</v>
      </c>
      <c r="G5040">
        <v>-331.47620000000001</v>
      </c>
      <c r="H5040" s="1">
        <v>-4.6058300000000004E-6</v>
      </c>
      <c r="I5040">
        <v>14.165710000000001</v>
      </c>
      <c r="J5040">
        <v>-343.69650000000001</v>
      </c>
      <c r="K5040">
        <v>1.1106659999999999</v>
      </c>
      <c r="L5040">
        <v>17.024079999999898</v>
      </c>
      <c r="M5040">
        <v>0.99953420000000004</v>
      </c>
      <c r="N5040">
        <v>0</v>
      </c>
      <c r="O5040">
        <v>2.775236E-2</v>
      </c>
      <c r="P5040">
        <v>0.97569450000000002</v>
      </c>
      <c r="Q5040">
        <v>0.12975239999999999</v>
      </c>
      <c r="R5040">
        <v>-0.176591</v>
      </c>
      <c r="S5040">
        <v>2.9851070000000002</v>
      </c>
      <c r="T5040">
        <v>-0.26885290000000001</v>
      </c>
      <c r="U5040">
        <v>-0.69107059999999998</v>
      </c>
      <c r="V5040">
        <v>0.20347370000000001</v>
      </c>
      <c r="W5040">
        <v>0.14224970000000001</v>
      </c>
      <c r="X5040">
        <v>0.96869159999999999</v>
      </c>
      <c r="Y5040">
        <v>0.25141930000000001</v>
      </c>
      <c r="Z5040">
        <v>-1.361654E-2</v>
      </c>
      <c r="AA5040">
        <v>0.96778249999999999</v>
      </c>
      <c r="AB5040">
        <v>24</v>
      </c>
      <c r="AC5040">
        <v>12.2203</v>
      </c>
      <c r="AD5040">
        <v>-1.11067060583</v>
      </c>
      <c r="AE5040">
        <v>-2.8583699999999901</v>
      </c>
      <c r="AF5040">
        <v>3.17159836180128</v>
      </c>
      <c r="AG5040">
        <v>-1.11067060583</v>
      </c>
      <c r="AH5040">
        <v>12.0419467408905</v>
      </c>
      <c r="AI5040">
        <v>95.096826085839496</v>
      </c>
      <c r="AJ5040">
        <v>75.244578907127504</v>
      </c>
      <c r="AK5040">
        <v>12.5020440998134</v>
      </c>
      <c r="AL5040">
        <v>81.821952078563001</v>
      </c>
      <c r="AM5040">
        <v>78.137475452128101</v>
      </c>
      <c r="AN5040">
        <v>0.99999996982616901</v>
      </c>
    </row>
    <row r="5041" spans="1:40" x14ac:dyDescent="0.25">
      <c r="A5041" t="str">
        <f>"20190312151636486"</f>
        <v>20190312151636486</v>
      </c>
      <c r="B5041" t="str">
        <f>"1552374996482617"</f>
        <v>1552374996482617</v>
      </c>
      <c r="C5041" t="s">
        <v>40</v>
      </c>
      <c r="D5041">
        <v>4.466208</v>
      </c>
      <c r="E5041">
        <v>0.51817270000000004</v>
      </c>
      <c r="F5041" t="s">
        <v>43</v>
      </c>
      <c r="G5041">
        <v>-331.29410000000001</v>
      </c>
      <c r="H5041" s="1">
        <v>-4.6888519999999996E-6</v>
      </c>
      <c r="I5041">
        <v>14.138070000000001</v>
      </c>
      <c r="J5041">
        <v>-343.5813</v>
      </c>
      <c r="K5041">
        <v>1.1106659999999999</v>
      </c>
      <c r="L5041">
        <v>17.027619999999999</v>
      </c>
      <c r="M5041">
        <v>0.99952580000000002</v>
      </c>
      <c r="N5041">
        <v>0</v>
      </c>
      <c r="O5041">
        <v>2.8049899999999999E-2</v>
      </c>
      <c r="P5041">
        <v>0.97560100000000005</v>
      </c>
      <c r="Q5041">
        <v>0.13033359999999999</v>
      </c>
      <c r="R5041">
        <v>-0.17668039999999999</v>
      </c>
      <c r="S5041">
        <v>2.9845890000000002</v>
      </c>
      <c r="T5041">
        <v>-0.26727869999999998</v>
      </c>
      <c r="U5041">
        <v>-0.69448849999999995</v>
      </c>
      <c r="V5041">
        <v>0.20384859999999999</v>
      </c>
      <c r="W5041">
        <v>0.14282890000000001</v>
      </c>
      <c r="X5041">
        <v>0.96852760000000004</v>
      </c>
      <c r="Y5041">
        <v>0.25280170000000002</v>
      </c>
      <c r="Z5041">
        <v>-1.362494E-2</v>
      </c>
      <c r="AA5041">
        <v>0.96742220000000001</v>
      </c>
      <c r="AB5041">
        <v>24</v>
      </c>
      <c r="AC5041">
        <v>12.287199999999901</v>
      </c>
      <c r="AD5041">
        <v>-1.1106706888519999</v>
      </c>
      <c r="AE5041">
        <v>-2.8895499999999998</v>
      </c>
      <c r="AF5041">
        <v>3.2082551301966098</v>
      </c>
      <c r="AG5041">
        <v>-1.1106706888519999</v>
      </c>
      <c r="AH5041">
        <v>12.1075622622207</v>
      </c>
      <c r="AI5041">
        <v>95.0673566895329</v>
      </c>
      <c r="AJ5041">
        <v>75.158873376980296</v>
      </c>
      <c r="AK5041">
        <v>12.5745598051406</v>
      </c>
      <c r="AL5041">
        <v>81.788424501997895</v>
      </c>
      <c r="AM5041">
        <v>78.114284651839498</v>
      </c>
      <c r="AN5041">
        <v>1.00000002917946</v>
      </c>
    </row>
    <row r="5042" spans="1:40" x14ac:dyDescent="0.25">
      <c r="A5042" t="str">
        <f>"20190312151636499"</f>
        <v>20190312151636499</v>
      </c>
      <c r="B5042" t="str">
        <f>"1552374996493352"</f>
        <v>1552374996493352</v>
      </c>
      <c r="C5042" t="s">
        <v>40</v>
      </c>
      <c r="D5042">
        <v>4.4740989999999998</v>
      </c>
      <c r="E5042">
        <v>0.51845379999999996</v>
      </c>
      <c r="F5042" t="s">
        <v>43</v>
      </c>
      <c r="G5042">
        <v>-331.16329999999999</v>
      </c>
      <c r="H5042" s="1">
        <v>-4.7479209999999998E-6</v>
      </c>
      <c r="I5042">
        <v>14.121499999999999</v>
      </c>
      <c r="J5042">
        <v>-343.45100000000002</v>
      </c>
      <c r="K5042">
        <v>1.1106670000000001</v>
      </c>
      <c r="L5042">
        <v>17.031649999999999</v>
      </c>
      <c r="M5042">
        <v>0.99951650000000003</v>
      </c>
      <c r="N5042">
        <v>0</v>
      </c>
      <c r="O5042">
        <v>2.8386419999999999E-2</v>
      </c>
      <c r="P5042">
        <v>0.97556849999999995</v>
      </c>
      <c r="Q5042">
        <v>0.13090199999999999</v>
      </c>
      <c r="R5042">
        <v>-0.17644019999999999</v>
      </c>
      <c r="S5042">
        <v>2.9842529999999998</v>
      </c>
      <c r="T5042">
        <v>-0.26691090000000001</v>
      </c>
      <c r="U5042">
        <v>-0.69836430000000005</v>
      </c>
      <c r="V5042">
        <v>0.20393359999999999</v>
      </c>
      <c r="W5042">
        <v>0.14339560000000001</v>
      </c>
      <c r="X5042">
        <v>0.96842589999999995</v>
      </c>
      <c r="Y5042">
        <v>0.25433860000000003</v>
      </c>
      <c r="Z5042">
        <v>-1.3703160000000001E-2</v>
      </c>
      <c r="AA5042">
        <v>0.96701809999999999</v>
      </c>
      <c r="AB5042">
        <v>24</v>
      </c>
      <c r="AC5042">
        <v>12.2876999999999</v>
      </c>
      <c r="AD5042">
        <v>-1.110671747921</v>
      </c>
      <c r="AE5042">
        <v>-2.9101499999999998</v>
      </c>
      <c r="AF5042">
        <v>3.2327993193876599</v>
      </c>
      <c r="AG5042">
        <v>-1.110671747921</v>
      </c>
      <c r="AH5042">
        <v>12.106473762071801</v>
      </c>
      <c r="AI5042">
        <v>95.065246425505805</v>
      </c>
      <c r="AJ5042">
        <v>75.049115476612897</v>
      </c>
      <c r="AK5042">
        <v>12.579796903082199</v>
      </c>
      <c r="AL5042">
        <v>81.755616770290004</v>
      </c>
      <c r="AM5042">
        <v>78.108256499926995</v>
      </c>
      <c r="AN5042">
        <v>0.999999967549564</v>
      </c>
    </row>
    <row r="5043" spans="1:40" x14ac:dyDescent="0.25">
      <c r="A5043" t="str">
        <f>"20190312151636508"</f>
        <v>20190312151636508</v>
      </c>
      <c r="B5043" t="str">
        <f>"1552374996503112"</f>
        <v>1552374996503112</v>
      </c>
      <c r="C5043" t="s">
        <v>40</v>
      </c>
      <c r="D5043">
        <v>4.7848059999999997</v>
      </c>
      <c r="E5043">
        <v>0.5187349</v>
      </c>
      <c r="F5043" t="s">
        <v>43</v>
      </c>
      <c r="G5043">
        <v>-330.94420000000002</v>
      </c>
      <c r="H5043" s="1">
        <v>-4.8460239999999997E-6</v>
      </c>
      <c r="I5043">
        <v>14.09822</v>
      </c>
      <c r="J5043">
        <v>-343.34050000000002</v>
      </c>
      <c r="K5043">
        <v>1.11067</v>
      </c>
      <c r="L5043">
        <v>17.0351</v>
      </c>
      <c r="M5043">
        <v>0.99950839999999996</v>
      </c>
      <c r="N5043">
        <v>0</v>
      </c>
      <c r="O5043">
        <v>2.867192E-2</v>
      </c>
      <c r="P5043">
        <v>0.97556310000000002</v>
      </c>
      <c r="Q5043">
        <v>0.13128619999999999</v>
      </c>
      <c r="R5043">
        <v>-0.17618439999999999</v>
      </c>
      <c r="S5043">
        <v>2.9841000000000002</v>
      </c>
      <c r="T5043">
        <v>-0.26500420000000002</v>
      </c>
      <c r="U5043">
        <v>-0.69989009999999996</v>
      </c>
      <c r="V5043">
        <v>0.20395450000000001</v>
      </c>
      <c r="W5043">
        <v>0.1437792</v>
      </c>
      <c r="X5043">
        <v>0.96836469999999997</v>
      </c>
      <c r="Y5043">
        <v>0.25510569999999999</v>
      </c>
      <c r="Z5043">
        <v>-1.366408E-2</v>
      </c>
      <c r="AA5043">
        <v>0.96681660000000003</v>
      </c>
      <c r="AB5043">
        <v>24</v>
      </c>
      <c r="AC5043">
        <v>12.396299999999901</v>
      </c>
      <c r="AD5043">
        <v>-1.1106748460239999</v>
      </c>
      <c r="AE5043">
        <v>-2.9368799999999902</v>
      </c>
      <c r="AF5043">
        <v>3.2662994449940501</v>
      </c>
      <c r="AG5043">
        <v>-1.1106748460239999</v>
      </c>
      <c r="AH5043">
        <v>12.2141498273677</v>
      </c>
      <c r="AI5043">
        <v>95.020351794727603</v>
      </c>
      <c r="AJ5043">
        <v>75.028330365655293</v>
      </c>
      <c r="AK5043">
        <v>12.6920355610652</v>
      </c>
      <c r="AL5043">
        <v>81.733408611865102</v>
      </c>
      <c r="AM5043">
        <v>78.106342267596105</v>
      </c>
      <c r="AN5043">
        <v>1.0000000443144801</v>
      </c>
    </row>
    <row r="5044" spans="1:40" x14ac:dyDescent="0.25">
      <c r="A5044" t="str">
        <f>"20190312151636521"</f>
        <v>20190312151636521</v>
      </c>
      <c r="B5044" t="str">
        <f>"1552374996512872"</f>
        <v>1552374996512872</v>
      </c>
      <c r="C5044" t="s">
        <v>40</v>
      </c>
      <c r="D5044">
        <v>4.4707439999999998</v>
      </c>
      <c r="E5044">
        <v>0.51890289999999994</v>
      </c>
      <c r="F5044" t="s">
        <v>43</v>
      </c>
      <c r="G5044">
        <v>-330.86959999999999</v>
      </c>
      <c r="H5044" s="1">
        <v>-4.8769949999999997E-6</v>
      </c>
      <c r="I5044">
        <v>14.10412</v>
      </c>
      <c r="J5044">
        <v>-343.21589999999998</v>
      </c>
      <c r="K5044">
        <v>1.11067</v>
      </c>
      <c r="L5044">
        <v>17.03903</v>
      </c>
      <c r="M5044">
        <v>0.99949900000000003</v>
      </c>
      <c r="N5044">
        <v>0</v>
      </c>
      <c r="O5044">
        <v>2.899316E-2</v>
      </c>
      <c r="P5044">
        <v>0.97552950000000005</v>
      </c>
      <c r="Q5044">
        <v>0.13161120000000001</v>
      </c>
      <c r="R5044">
        <v>-0.17612720000000001</v>
      </c>
      <c r="S5044">
        <v>2.9842529999999998</v>
      </c>
      <c r="T5044">
        <v>-0.2657814</v>
      </c>
      <c r="U5044">
        <v>-0.70135499999999995</v>
      </c>
      <c r="V5044">
        <v>0.204208</v>
      </c>
      <c r="W5044">
        <v>0.14410529999999999</v>
      </c>
      <c r="X5044">
        <v>0.96826270000000003</v>
      </c>
      <c r="Y5044">
        <v>0.25584509999999999</v>
      </c>
      <c r="Z5044">
        <v>-1.376321E-2</v>
      </c>
      <c r="AA5044">
        <v>0.96661980000000003</v>
      </c>
      <c r="AB5044">
        <v>24</v>
      </c>
      <c r="AC5044">
        <v>12.3462999999999</v>
      </c>
      <c r="AD5044">
        <v>-1.1106748769949999</v>
      </c>
      <c r="AE5044">
        <v>-2.9349099999999901</v>
      </c>
      <c r="AF5044">
        <v>3.2666407169779799</v>
      </c>
      <c r="AG5044">
        <v>-1.1106748769949999</v>
      </c>
      <c r="AH5044">
        <v>12.1628427051866</v>
      </c>
      <c r="AI5044">
        <v>95.039970983353399</v>
      </c>
      <c r="AJ5044">
        <v>74.966527997746198</v>
      </c>
      <c r="AK5044">
        <v>12.642756144421901</v>
      </c>
      <c r="AL5044">
        <v>81.714527053300898</v>
      </c>
      <c r="AM5044">
        <v>78.090762525951405</v>
      </c>
      <c r="AN5044">
        <v>0.99999995048168799</v>
      </c>
    </row>
    <row r="5045" spans="1:40" x14ac:dyDescent="0.25">
      <c r="A5045" t="str">
        <f>"20190312151636533"</f>
        <v>20190312151636533</v>
      </c>
      <c r="B5045" t="str">
        <f>"1552374996522632"</f>
        <v>1552374996522632</v>
      </c>
      <c r="C5045" t="s">
        <v>40</v>
      </c>
      <c r="D5045">
        <v>4.4748380000000001</v>
      </c>
      <c r="E5045">
        <v>0.51905440000000003</v>
      </c>
      <c r="F5045" t="s">
        <v>43</v>
      </c>
      <c r="G5045">
        <v>-330.74020000000002</v>
      </c>
      <c r="H5045" s="1">
        <v>-4.932685E-6</v>
      </c>
      <c r="I5045">
        <v>14.10303</v>
      </c>
      <c r="J5045">
        <v>-343.09120000000001</v>
      </c>
      <c r="K5045">
        <v>1.110671</v>
      </c>
      <c r="L5045">
        <v>17.042999999999999</v>
      </c>
      <c r="M5045">
        <v>0.99948959999999998</v>
      </c>
      <c r="N5045">
        <v>0</v>
      </c>
      <c r="O5045">
        <v>2.9315049999999999E-2</v>
      </c>
      <c r="P5045">
        <v>0.9754718</v>
      </c>
      <c r="Q5045">
        <v>0.13173699999999999</v>
      </c>
      <c r="R5045">
        <v>-0.176352799999999</v>
      </c>
      <c r="S5045">
        <v>2.9843139999999999</v>
      </c>
      <c r="T5045">
        <v>-0.26568409999999998</v>
      </c>
      <c r="U5045">
        <v>-0.70230099999999995</v>
      </c>
      <c r="V5045">
        <v>0.20474429999999999</v>
      </c>
      <c r="W5045">
        <v>0.14423269999999999</v>
      </c>
      <c r="X5045">
        <v>0.9681305</v>
      </c>
      <c r="Y5045">
        <v>0.2564398</v>
      </c>
      <c r="Z5045">
        <v>-1.3811749999999999E-2</v>
      </c>
      <c r="AA5045">
        <v>0.96646149999999997</v>
      </c>
      <c r="AB5045">
        <v>24</v>
      </c>
      <c r="AC5045">
        <v>12.351000000000001</v>
      </c>
      <c r="AD5045">
        <v>-1.110675932685</v>
      </c>
      <c r="AE5045">
        <v>-2.9399700000000002</v>
      </c>
      <c r="AF5045">
        <v>3.2757362277488</v>
      </c>
      <c r="AG5045">
        <v>-1.110675932685</v>
      </c>
      <c r="AH5045">
        <v>12.166388572783699</v>
      </c>
      <c r="AI5045">
        <v>95.037673136265596</v>
      </c>
      <c r="AJ5045">
        <v>74.930765039559702</v>
      </c>
      <c r="AK5045">
        <v>12.6485200622521</v>
      </c>
      <c r="AL5045">
        <v>81.707150776516798</v>
      </c>
      <c r="AM5045">
        <v>78.058798881890596</v>
      </c>
      <c r="AN5045">
        <v>0.99999998258101397</v>
      </c>
    </row>
    <row r="5046" spans="1:40" x14ac:dyDescent="0.25">
      <c r="A5046" t="str">
        <f>"20190312151636546"</f>
        <v>20190312151636546</v>
      </c>
      <c r="B5046" t="str">
        <f>"1552374996533369"</f>
        <v>1552374996533369</v>
      </c>
      <c r="C5046" t="s">
        <v>40</v>
      </c>
      <c r="D5046">
        <v>4.4873539999999998</v>
      </c>
      <c r="E5046">
        <v>0.51889319999999906</v>
      </c>
      <c r="F5046" t="s">
        <v>43</v>
      </c>
      <c r="G5046">
        <v>-330.61399999999998</v>
      </c>
      <c r="H5046" s="1">
        <v>-4.9874720000000002E-6</v>
      </c>
      <c r="I5046">
        <v>14.099279999999901</v>
      </c>
      <c r="J5046">
        <v>-342.95920000000001</v>
      </c>
      <c r="K5046">
        <v>1.1106739999999999</v>
      </c>
      <c r="L5046">
        <v>17.047270000000001</v>
      </c>
      <c r="M5046">
        <v>0.99947949999999997</v>
      </c>
      <c r="N5046">
        <v>0</v>
      </c>
      <c r="O5046">
        <v>2.965564E-2</v>
      </c>
      <c r="P5046">
        <v>0.97545320000000002</v>
      </c>
      <c r="Q5046">
        <v>0.13160810000000001</v>
      </c>
      <c r="R5046">
        <v>-0.17655299999999999</v>
      </c>
      <c r="S5046">
        <v>2.98407</v>
      </c>
      <c r="T5046">
        <v>-0.2656327</v>
      </c>
      <c r="U5046">
        <v>-0.70401000000000002</v>
      </c>
      <c r="V5046">
        <v>0.2052744</v>
      </c>
      <c r="W5046">
        <v>0.1441067</v>
      </c>
      <c r="X5046">
        <v>0.96803700000000004</v>
      </c>
      <c r="Y5046">
        <v>0.2573067</v>
      </c>
      <c r="Z5046">
        <v>-1.3877189999999999E-2</v>
      </c>
      <c r="AA5046">
        <v>0.96623020000000004</v>
      </c>
      <c r="AB5046">
        <v>24</v>
      </c>
      <c r="AC5046">
        <v>12.345199999999901</v>
      </c>
      <c r="AD5046">
        <v>-1.110678987472</v>
      </c>
      <c r="AE5046">
        <v>-2.9479899999999999</v>
      </c>
      <c r="AF5046">
        <v>3.2876518009676201</v>
      </c>
      <c r="AG5046">
        <v>-1.110678987472</v>
      </c>
      <c r="AH5046">
        <v>12.1592265843375</v>
      </c>
      <c r="AI5046">
        <v>95.039203167899004</v>
      </c>
      <c r="AJ5046">
        <v>74.869957626453399</v>
      </c>
      <c r="AK5046">
        <v>12.6447243270415</v>
      </c>
      <c r="AL5046">
        <v>81.714446212920393</v>
      </c>
      <c r="AM5046">
        <v>78.027650070395694</v>
      </c>
      <c r="AN5046">
        <v>0.99999997682462405</v>
      </c>
    </row>
    <row r="5047" spans="1:40" x14ac:dyDescent="0.25">
      <c r="A5047" t="str">
        <f>"20190312151636557"</f>
        <v>20190312151636557</v>
      </c>
      <c r="B5047" t="str">
        <f>"1552374996552888"</f>
        <v>1552374996552888</v>
      </c>
      <c r="C5047" t="s">
        <v>40</v>
      </c>
      <c r="D5047">
        <v>4.5205890000000002</v>
      </c>
      <c r="E5047">
        <v>0.50177959999999899</v>
      </c>
      <c r="F5047" t="s">
        <v>43</v>
      </c>
      <c r="G5047">
        <v>-330.55009999999999</v>
      </c>
      <c r="H5047" s="1">
        <v>-5.010579E-6</v>
      </c>
      <c r="I5047">
        <v>14.12359</v>
      </c>
      <c r="J5047">
        <v>-342.83530000000002</v>
      </c>
      <c r="K5047">
        <v>1.1106750000000001</v>
      </c>
      <c r="L5047">
        <v>17.051269999999999</v>
      </c>
      <c r="M5047">
        <v>0.99946990000000002</v>
      </c>
      <c r="N5047">
        <v>0</v>
      </c>
      <c r="O5047">
        <v>2.997555E-2</v>
      </c>
      <c r="P5047">
        <v>0.97548159999999895</v>
      </c>
      <c r="Q5047">
        <v>0.13114500000000001</v>
      </c>
      <c r="R5047">
        <v>-0.17674019999999999</v>
      </c>
      <c r="S5047">
        <v>2.9842529999999998</v>
      </c>
      <c r="T5047">
        <v>-0.26710650000000002</v>
      </c>
      <c r="U5047">
        <v>-0.70309449999999996</v>
      </c>
      <c r="V5047">
        <v>0.2057735</v>
      </c>
      <c r="W5047">
        <v>0.1436471</v>
      </c>
      <c r="X5047">
        <v>0.96799930000000001</v>
      </c>
      <c r="Y5047">
        <v>0.257308799999999</v>
      </c>
      <c r="Z5047">
        <v>-1.398187E-2</v>
      </c>
      <c r="AA5047">
        <v>0.96622810000000003</v>
      </c>
      <c r="AB5047">
        <v>24</v>
      </c>
      <c r="AC5047">
        <v>12.2852</v>
      </c>
      <c r="AD5047">
        <v>-1.110680010579</v>
      </c>
      <c r="AE5047">
        <v>-2.9276800000000001</v>
      </c>
      <c r="AF5047">
        <v>3.2693631097283098</v>
      </c>
      <c r="AG5047">
        <v>-1.110680010579</v>
      </c>
      <c r="AH5047">
        <v>12.0983397660509</v>
      </c>
      <c r="AI5047">
        <v>95.064628379895495</v>
      </c>
      <c r="AJ5047">
        <v>74.878016052639197</v>
      </c>
      <c r="AK5047">
        <v>12.5814216336613</v>
      </c>
      <c r="AL5047">
        <v>81.741055856875306</v>
      </c>
      <c r="AM5047">
        <v>77.998929837684798</v>
      </c>
      <c r="AN5047">
        <v>0.99999993372057205</v>
      </c>
    </row>
    <row r="5048" spans="1:40" x14ac:dyDescent="0.25">
      <c r="A5048" t="str">
        <f>"20190312151636568"</f>
        <v>20190312151636568</v>
      </c>
      <c r="B5048" t="str">
        <f>"1552374996562649"</f>
        <v>1552374996562649</v>
      </c>
      <c r="C5048" t="s">
        <v>40</v>
      </c>
      <c r="D5048">
        <v>4.509055</v>
      </c>
      <c r="E5048">
        <v>0.49911179999999999</v>
      </c>
      <c r="F5048" t="s">
        <v>41</v>
      </c>
      <c r="G5048">
        <v>-341.95310000000001</v>
      </c>
      <c r="H5048">
        <v>1.000197</v>
      </c>
      <c r="I5048">
        <v>16.883510000000001</v>
      </c>
      <c r="J5048">
        <v>-342.71660000000003</v>
      </c>
      <c r="K5048">
        <v>1.110673</v>
      </c>
      <c r="L5048">
        <v>17.055209999999999</v>
      </c>
      <c r="M5048">
        <v>0.99946060000000003</v>
      </c>
      <c r="N5048">
        <v>0</v>
      </c>
      <c r="O5048">
        <v>3.028283E-2</v>
      </c>
      <c r="P5048">
        <v>0.97545610000000005</v>
      </c>
      <c r="Q5048">
        <v>0.1305482</v>
      </c>
      <c r="R5048">
        <v>-0.17732129999999999</v>
      </c>
      <c r="S5048">
        <v>3.0224299999999999</v>
      </c>
      <c r="T5048">
        <v>-0.37857590000000002</v>
      </c>
      <c r="U5048">
        <v>-0.57324219999999904</v>
      </c>
      <c r="V5048">
        <v>0.20665259999999999</v>
      </c>
      <c r="W5048">
        <v>0.1430525</v>
      </c>
      <c r="X5048">
        <v>0.96790019999999999</v>
      </c>
      <c r="Y5048">
        <v>0.21416350000000001</v>
      </c>
      <c r="Z5048">
        <v>-1.6991539999999999E-2</v>
      </c>
      <c r="AA5048">
        <v>0.97665009999999997</v>
      </c>
      <c r="AB5048">
        <v>24</v>
      </c>
      <c r="AC5048">
        <v>0.76350000000002105</v>
      </c>
      <c r="AD5048">
        <v>-0.110476</v>
      </c>
      <c r="AE5048">
        <v>-0.17169999999999699</v>
      </c>
      <c r="AF5048">
        <v>0.19093877759751399</v>
      </c>
      <c r="AG5048">
        <v>-0.110476</v>
      </c>
      <c r="AH5048">
        <v>0.74313956884310695</v>
      </c>
      <c r="AI5048">
        <v>98.193393359697396</v>
      </c>
      <c r="AJ5048">
        <v>75.590382767815797</v>
      </c>
      <c r="AK5048">
        <v>0.77518964269832202</v>
      </c>
      <c r="AL5048">
        <v>81.775480466895502</v>
      </c>
      <c r="AM5048">
        <v>77.947957109030597</v>
      </c>
      <c r="AN5048">
        <v>1.0000000560015201</v>
      </c>
    </row>
    <row r="5049" spans="1:40" x14ac:dyDescent="0.25">
      <c r="A5049" t="str">
        <f>"20190312151636578"</f>
        <v>20190312151636578</v>
      </c>
      <c r="B5049" t="str">
        <f>"1552374996573386"</f>
        <v>1552374996573386</v>
      </c>
      <c r="C5049" t="s">
        <v>40</v>
      </c>
      <c r="D5049">
        <v>4.4947119999999998</v>
      </c>
      <c r="E5049">
        <v>0.497672</v>
      </c>
      <c r="F5049" t="s">
        <v>41</v>
      </c>
      <c r="G5049">
        <v>-341.95100000000002</v>
      </c>
      <c r="H5049">
        <v>1.012893</v>
      </c>
      <c r="I5049">
        <v>16.914629999999999</v>
      </c>
      <c r="J5049">
        <v>-342.6189</v>
      </c>
      <c r="K5049">
        <v>1.110671</v>
      </c>
      <c r="L5049">
        <v>17.058440000000001</v>
      </c>
      <c r="M5049">
        <v>0.99945289999999998</v>
      </c>
      <c r="N5049">
        <v>0</v>
      </c>
      <c r="O5049">
        <v>3.0535280000000001E-2</v>
      </c>
      <c r="P5049">
        <v>0.9754621</v>
      </c>
      <c r="Q5049">
        <v>0.1297672</v>
      </c>
      <c r="R5049">
        <v>-0.17786060000000001</v>
      </c>
      <c r="S5049">
        <v>3.0265499999999999</v>
      </c>
      <c r="T5049">
        <v>-0.38668000000000002</v>
      </c>
      <c r="U5049">
        <v>-0.55401610000000001</v>
      </c>
      <c r="V5049">
        <v>0.2074375</v>
      </c>
      <c r="W5049">
        <v>0.14227379999999901</v>
      </c>
      <c r="X5049">
        <v>0.96784700000000001</v>
      </c>
      <c r="Y5049">
        <v>0.20813480000000001</v>
      </c>
      <c r="Z5049">
        <v>-1.699065E-2</v>
      </c>
      <c r="AA5049">
        <v>0.97795259999999995</v>
      </c>
      <c r="AB5049">
        <v>24</v>
      </c>
      <c r="AC5049">
        <v>0.66790000000003102</v>
      </c>
      <c r="AD5049">
        <v>-9.7777999999999907E-2</v>
      </c>
      <c r="AE5049">
        <v>-0.14381000000000099</v>
      </c>
      <c r="AF5049">
        <v>0.16084462898605301</v>
      </c>
      <c r="AG5049">
        <v>-9.7777999999999907E-2</v>
      </c>
      <c r="AH5049">
        <v>0.64988574255592901</v>
      </c>
      <c r="AI5049">
        <v>98.309163852769203</v>
      </c>
      <c r="AJ5049">
        <v>76.098823046160007</v>
      </c>
      <c r="AK5049">
        <v>0.67659663783906898</v>
      </c>
      <c r="AL5049">
        <v>81.820557170036395</v>
      </c>
      <c r="AM5049">
        <v>77.9028819060063</v>
      </c>
      <c r="AN5049">
        <v>0.99999998299084403</v>
      </c>
    </row>
    <row r="5050" spans="1:40" x14ac:dyDescent="0.25">
      <c r="A5050" t="str">
        <f>"20190312151636588"</f>
        <v>20190312151636588</v>
      </c>
      <c r="B5050" t="str">
        <f>"1552374996583145"</f>
        <v>1552374996583145</v>
      </c>
      <c r="C5050" t="s">
        <v>40</v>
      </c>
      <c r="D5050">
        <v>4.5315450000000004</v>
      </c>
      <c r="E5050">
        <v>0.49655110000000002</v>
      </c>
      <c r="F5050" t="s">
        <v>41</v>
      </c>
      <c r="G5050">
        <v>-341.74650000000003</v>
      </c>
      <c r="H5050">
        <v>0.9971411</v>
      </c>
      <c r="I5050">
        <v>16.901329999999898</v>
      </c>
      <c r="J5050">
        <v>-342.51029999999997</v>
      </c>
      <c r="K5050">
        <v>1.1106670000000001</v>
      </c>
      <c r="L5050">
        <v>17.062069999999999</v>
      </c>
      <c r="M5050">
        <v>0.9994442</v>
      </c>
      <c r="N5050">
        <v>0</v>
      </c>
      <c r="O5050">
        <v>3.0815929999999998E-2</v>
      </c>
      <c r="P5050">
        <v>0.9754777</v>
      </c>
      <c r="Q5050">
        <v>0.12898029999999999</v>
      </c>
      <c r="R5050">
        <v>-0.1783469</v>
      </c>
      <c r="S5050">
        <v>3.0286559999999998</v>
      </c>
      <c r="T5050">
        <v>-0.39418700000000001</v>
      </c>
      <c r="U5050">
        <v>-0.54449459999999905</v>
      </c>
      <c r="V5050">
        <v>0.2081973</v>
      </c>
      <c r="W5050">
        <v>0.1414888</v>
      </c>
      <c r="X5050">
        <v>0.96779890000000002</v>
      </c>
      <c r="Y5050">
        <v>0.20526050000000001</v>
      </c>
      <c r="Z5050">
        <v>-1.7162130000000001E-2</v>
      </c>
      <c r="AA5050">
        <v>0.97855689999999995</v>
      </c>
      <c r="AB5050">
        <v>24</v>
      </c>
      <c r="AC5050">
        <v>0.76379999999994597</v>
      </c>
      <c r="AD5050">
        <v>-0.1135259</v>
      </c>
      <c r="AE5050">
        <v>-0.16074000000000399</v>
      </c>
      <c r="AF5050">
        <v>0.18038670276968999</v>
      </c>
      <c r="AG5050">
        <v>-0.1135259</v>
      </c>
      <c r="AH5050">
        <v>0.74277023953046095</v>
      </c>
      <c r="AI5050">
        <v>98.448041530577001</v>
      </c>
      <c r="AJ5050">
        <v>76.349606753359495</v>
      </c>
      <c r="AK5050">
        <v>0.77274518519306801</v>
      </c>
      <c r="AL5050">
        <v>81.8659937715815</v>
      </c>
      <c r="AM5050">
        <v>77.859299271873795</v>
      </c>
      <c r="AN5050">
        <v>0.99999995354696802</v>
      </c>
    </row>
    <row r="5051" spans="1:40" x14ac:dyDescent="0.25">
      <c r="A5051" t="str">
        <f>"20190312151636599"</f>
        <v>20190312151636599</v>
      </c>
      <c r="B5051" t="str">
        <f>"1552374996592904"</f>
        <v>1552374996592904</v>
      </c>
      <c r="C5051" t="s">
        <v>40</v>
      </c>
      <c r="D5051">
        <v>4.5331020000000004</v>
      </c>
      <c r="E5051">
        <v>0.49580940000000001</v>
      </c>
      <c r="F5051" t="s">
        <v>41</v>
      </c>
      <c r="G5051">
        <v>-341.7423</v>
      </c>
      <c r="H5051">
        <v>1.0088600000000001</v>
      </c>
      <c r="I5051">
        <v>16.925699999999999</v>
      </c>
      <c r="J5051">
        <v>-342.39339999999999</v>
      </c>
      <c r="K5051">
        <v>1.1106640000000001</v>
      </c>
      <c r="L5051">
        <v>17.06598</v>
      </c>
      <c r="M5051">
        <v>0.99943490000000001</v>
      </c>
      <c r="N5051">
        <v>0</v>
      </c>
      <c r="O5051">
        <v>3.1115759999999999E-2</v>
      </c>
      <c r="P5051">
        <v>0.97551920000000003</v>
      </c>
      <c r="Q5051">
        <v>0.12812770000000001</v>
      </c>
      <c r="R5051">
        <v>-0.17873410000000001</v>
      </c>
      <c r="S5051">
        <v>3.0303339999999999</v>
      </c>
      <c r="T5051">
        <v>-0.40175759999999999</v>
      </c>
      <c r="U5051">
        <v>-0.53704830000000003</v>
      </c>
      <c r="V5051">
        <v>0.20887739999999999</v>
      </c>
      <c r="W5051">
        <v>0.1406386</v>
      </c>
      <c r="X5051">
        <v>0.96777630000000003</v>
      </c>
      <c r="Y5051">
        <v>0.20307140000000001</v>
      </c>
      <c r="Z5051">
        <v>-1.737911E-2</v>
      </c>
      <c r="AA5051">
        <v>0.97900969999999998</v>
      </c>
      <c r="AB5051">
        <v>24</v>
      </c>
      <c r="AC5051">
        <v>0.65109999999998502</v>
      </c>
      <c r="AD5051">
        <v>-0.10180399999999901</v>
      </c>
      <c r="AE5051">
        <v>-0.14027999999999999</v>
      </c>
      <c r="AF5051">
        <v>0.15680962928112799</v>
      </c>
      <c r="AG5051">
        <v>-0.10180399999999901</v>
      </c>
      <c r="AH5051">
        <v>0.63166188802015699</v>
      </c>
      <c r="AI5051">
        <v>98.890202537365795</v>
      </c>
      <c r="AJ5051">
        <v>76.058201957085203</v>
      </c>
      <c r="AK5051">
        <v>0.65874885580809495</v>
      </c>
      <c r="AL5051">
        <v>81.915198848745305</v>
      </c>
      <c r="AM5051">
        <v>77.8205464422593</v>
      </c>
      <c r="AN5051">
        <v>0.999999975441204</v>
      </c>
    </row>
    <row r="5052" spans="1:40" x14ac:dyDescent="0.25">
      <c r="A5052" t="str">
        <f>"20190312151636609"</f>
        <v>20190312151636609</v>
      </c>
      <c r="B5052" t="str">
        <f>"1552374996602664"</f>
        <v>1552374996602664</v>
      </c>
      <c r="C5052" t="s">
        <v>40</v>
      </c>
      <c r="D5052">
        <v>4.5072970000000003</v>
      </c>
      <c r="E5052">
        <v>0.4953591</v>
      </c>
      <c r="F5052" t="s">
        <v>41</v>
      </c>
      <c r="G5052">
        <v>-341.53710000000001</v>
      </c>
      <c r="H5052">
        <v>0.9949926</v>
      </c>
      <c r="I5052">
        <v>16.915189999999999</v>
      </c>
      <c r="J5052">
        <v>-342.27859999999998</v>
      </c>
      <c r="K5052">
        <v>1.11066</v>
      </c>
      <c r="L5052">
        <v>17.069890000000001</v>
      </c>
      <c r="M5052">
        <v>0.99942580000000003</v>
      </c>
      <c r="N5052">
        <v>0</v>
      </c>
      <c r="O5052">
        <v>3.1408600000000002E-2</v>
      </c>
      <c r="P5052">
        <v>0.97559530000000005</v>
      </c>
      <c r="Q5052">
        <v>0.1269304</v>
      </c>
      <c r="R5052">
        <v>-0.17917279999999999</v>
      </c>
      <c r="S5052">
        <v>3.0314640000000002</v>
      </c>
      <c r="T5052">
        <v>-0.40956340000000002</v>
      </c>
      <c r="U5052">
        <v>-0.53286739999999999</v>
      </c>
      <c r="V5052">
        <v>0.20960390000000001</v>
      </c>
      <c r="W5052">
        <v>0.13944409999999999</v>
      </c>
      <c r="X5052">
        <v>0.96779210000000004</v>
      </c>
      <c r="Y5052">
        <v>0.2019167</v>
      </c>
      <c r="Z5052">
        <v>-1.7671510000000001E-2</v>
      </c>
      <c r="AA5052">
        <v>0.97924330000000004</v>
      </c>
      <c r="AB5052">
        <v>24</v>
      </c>
      <c r="AC5052">
        <v>0.74149999999997296</v>
      </c>
      <c r="AD5052">
        <v>-0.1156674</v>
      </c>
      <c r="AE5052">
        <v>-0.154700000000001</v>
      </c>
      <c r="AF5052">
        <v>0.17386088983758499</v>
      </c>
      <c r="AG5052">
        <v>-0.1156674</v>
      </c>
      <c r="AH5052">
        <v>0.71949738249867701</v>
      </c>
      <c r="AI5052">
        <v>98.881437429748402</v>
      </c>
      <c r="AJ5052">
        <v>76.4153363347462</v>
      </c>
      <c r="AK5052">
        <v>0.74918825395245303</v>
      </c>
      <c r="AL5052">
        <v>81.984320006307698</v>
      </c>
      <c r="AM5052">
        <v>77.779649398255799</v>
      </c>
      <c r="AN5052">
        <v>1.00000000037121</v>
      </c>
    </row>
    <row r="5053" spans="1:40" x14ac:dyDescent="0.25">
      <c r="A5053" t="str">
        <f>"20190312151636621"</f>
        <v>20190312151636621</v>
      </c>
      <c r="B5053" t="str">
        <f>"1552374996613401"</f>
        <v>1552374996613401</v>
      </c>
      <c r="C5053" t="s">
        <v>40</v>
      </c>
      <c r="D5053">
        <v>4.7018060000000004</v>
      </c>
      <c r="E5053">
        <v>0.49543860000000001</v>
      </c>
      <c r="F5053" t="s">
        <v>41</v>
      </c>
      <c r="G5053">
        <v>-341.53219999999999</v>
      </c>
      <c r="H5053">
        <v>1.00834</v>
      </c>
      <c r="I5053">
        <v>16.9389</v>
      </c>
      <c r="J5053">
        <v>-342.16050000000001</v>
      </c>
      <c r="K5053">
        <v>1.1106549999999999</v>
      </c>
      <c r="L5053">
        <v>17.073910000000001</v>
      </c>
      <c r="M5053">
        <v>0.99941619999999998</v>
      </c>
      <c r="N5053">
        <v>0</v>
      </c>
      <c r="O5053">
        <v>3.1704469999999998E-2</v>
      </c>
      <c r="P5053">
        <v>0.97557459999999996</v>
      </c>
      <c r="Q5053">
        <v>0.12566540000000001</v>
      </c>
      <c r="R5053">
        <v>-0.18017369999999999</v>
      </c>
      <c r="S5053">
        <v>3.0316160000000001</v>
      </c>
      <c r="T5053">
        <v>-0.41560940000000002</v>
      </c>
      <c r="U5053">
        <v>-0.53088380000000002</v>
      </c>
      <c r="V5053">
        <v>0.210893</v>
      </c>
      <c r="W5053">
        <v>0.13818039999999901</v>
      </c>
      <c r="X5053">
        <v>0.96769329999999998</v>
      </c>
      <c r="Y5053">
        <v>0.20151640000000001</v>
      </c>
      <c r="Z5053">
        <v>-1.7943130000000002E-2</v>
      </c>
      <c r="AA5053">
        <v>0.97932079999999999</v>
      </c>
      <c r="AB5053">
        <v>24</v>
      </c>
      <c r="AC5053">
        <v>0.62830000000002395</v>
      </c>
      <c r="AD5053">
        <v>-0.102314999999999</v>
      </c>
      <c r="AE5053">
        <v>-0.13501000000000099</v>
      </c>
      <c r="AF5053">
        <v>0.151035237207229</v>
      </c>
      <c r="AG5053">
        <v>-0.102314999999999</v>
      </c>
      <c r="AH5053">
        <v>0.60828463898500396</v>
      </c>
      <c r="AI5053">
        <v>99.271502192050406</v>
      </c>
      <c r="AJ5053">
        <v>76.055629514728395</v>
      </c>
      <c r="AK5053">
        <v>0.63505133975794503</v>
      </c>
      <c r="AL5053">
        <v>82.057432521029696</v>
      </c>
      <c r="AM5053">
        <v>77.705553969590099</v>
      </c>
      <c r="AN5053">
        <v>1.00000000162902</v>
      </c>
    </row>
    <row r="5054" spans="1:40" x14ac:dyDescent="0.25">
      <c r="A5054" t="str">
        <f>"20190312151636631"</f>
        <v>20190312151636631</v>
      </c>
      <c r="B5054" t="str">
        <f>"1552374996623161"</f>
        <v>1552374996623161</v>
      </c>
      <c r="C5054" t="s">
        <v>40</v>
      </c>
      <c r="D5054">
        <v>4.5137780000000003</v>
      </c>
      <c r="E5054">
        <v>0.4954403</v>
      </c>
      <c r="F5054" t="s">
        <v>41</v>
      </c>
      <c r="G5054">
        <v>-341.32560000000001</v>
      </c>
      <c r="H5054">
        <v>0.99702380000000002</v>
      </c>
      <c r="I5054">
        <v>16.926490000000001</v>
      </c>
      <c r="J5054">
        <v>-342.04860000000002</v>
      </c>
      <c r="K5054">
        <v>1.1106480000000001</v>
      </c>
      <c r="L5054">
        <v>17.077760000000001</v>
      </c>
      <c r="M5054">
        <v>0.9994075</v>
      </c>
      <c r="N5054">
        <v>0</v>
      </c>
      <c r="O5054">
        <v>3.1982379999999998E-2</v>
      </c>
      <c r="P5054">
        <v>0.9755836</v>
      </c>
      <c r="Q5054">
        <v>0.1241326</v>
      </c>
      <c r="R5054">
        <v>-0.18118400000000001</v>
      </c>
      <c r="S5054">
        <v>3.0295719999999999</v>
      </c>
      <c r="T5054">
        <v>-0.41238900000000001</v>
      </c>
      <c r="U5054">
        <v>-0.53436280000000003</v>
      </c>
      <c r="V5054">
        <v>0.21217530000000001</v>
      </c>
      <c r="W5054">
        <v>0.1366483</v>
      </c>
      <c r="X5054">
        <v>0.96763060000000001</v>
      </c>
      <c r="Y5054">
        <v>0.20300599999999999</v>
      </c>
      <c r="Z5054">
        <v>-1.7952929999999999E-2</v>
      </c>
      <c r="AA5054">
        <v>0.97901289999999996</v>
      </c>
      <c r="AB5054">
        <v>24</v>
      </c>
      <c r="AC5054">
        <v>0.72300000000001297</v>
      </c>
      <c r="AD5054">
        <v>-0.113624199999999</v>
      </c>
      <c r="AE5054">
        <v>-0.15126999999999999</v>
      </c>
      <c r="AF5054">
        <v>0.17028831063407901</v>
      </c>
      <c r="AG5054">
        <v>-0.113624199999999</v>
      </c>
      <c r="AH5054">
        <v>0.70119967147478601</v>
      </c>
      <c r="AI5054">
        <v>98.948636969467202</v>
      </c>
      <c r="AJ5054">
        <v>76.349815289938604</v>
      </c>
      <c r="AK5054">
        <v>0.730472139674469</v>
      </c>
      <c r="AL5054">
        <v>82.146056466160303</v>
      </c>
      <c r="AM5054">
        <v>77.632316574739704</v>
      </c>
      <c r="AN5054">
        <v>1.0000000469396599</v>
      </c>
    </row>
    <row r="5055" spans="1:40" x14ac:dyDescent="0.25">
      <c r="A5055" t="str">
        <f>"20190312151636643"</f>
        <v>20190312151636643</v>
      </c>
      <c r="B5055" t="str">
        <f>"1552374996632921"</f>
        <v>1552374996632921</v>
      </c>
      <c r="C5055" t="s">
        <v>40</v>
      </c>
      <c r="D5055">
        <v>4.5399450000000003</v>
      </c>
      <c r="E5055">
        <v>0.49536960000000002</v>
      </c>
      <c r="F5055" t="s">
        <v>41</v>
      </c>
      <c r="G5055">
        <v>-341.32</v>
      </c>
      <c r="H5055">
        <v>1.01159</v>
      </c>
      <c r="I5055">
        <v>16.94839</v>
      </c>
      <c r="J5055">
        <v>-341.92489999999998</v>
      </c>
      <c r="K5055">
        <v>1.110635</v>
      </c>
      <c r="L5055">
        <v>17.082059999999998</v>
      </c>
      <c r="M5055">
        <v>0.9993978</v>
      </c>
      <c r="N5055">
        <v>0</v>
      </c>
      <c r="O5055">
        <v>3.2277460000000001E-2</v>
      </c>
      <c r="P5055">
        <v>0.97552470000000002</v>
      </c>
      <c r="Q5055">
        <v>0.12302100000000001</v>
      </c>
      <c r="R5055">
        <v>-0.18225620000000001</v>
      </c>
      <c r="S5055">
        <v>3.0277400000000001</v>
      </c>
      <c r="T5055">
        <v>-0.41163470000000002</v>
      </c>
      <c r="U5055">
        <v>-0.53680419999999995</v>
      </c>
      <c r="V5055">
        <v>0.2135348</v>
      </c>
      <c r="W5055">
        <v>0.1355344</v>
      </c>
      <c r="X5055">
        <v>0.96748820000000002</v>
      </c>
      <c r="Y5055">
        <v>0.20415420000000001</v>
      </c>
      <c r="Z5055">
        <v>-1.804652E-2</v>
      </c>
      <c r="AA5055">
        <v>0.97877239999999999</v>
      </c>
      <c r="AB5055">
        <v>24</v>
      </c>
      <c r="AC5055">
        <v>0.604899999999986</v>
      </c>
      <c r="AD5055">
        <v>-9.9044999999999994E-2</v>
      </c>
      <c r="AE5055">
        <v>-0.13367000000000201</v>
      </c>
      <c r="AF5055">
        <v>0.149309921752145</v>
      </c>
      <c r="AG5055">
        <v>-9.9044999999999994E-2</v>
      </c>
      <c r="AH5055">
        <v>0.58530832541539202</v>
      </c>
      <c r="AI5055">
        <v>99.311789246354294</v>
      </c>
      <c r="AJ5055">
        <v>75.6892736694587</v>
      </c>
      <c r="AK5055">
        <v>0.61211861641286702</v>
      </c>
      <c r="AL5055">
        <v>82.210477620740704</v>
      </c>
      <c r="AM5055">
        <v>77.553758200831496</v>
      </c>
      <c r="AN5055">
        <v>1.0000000507668101</v>
      </c>
    </row>
    <row r="5056" spans="1:40" x14ac:dyDescent="0.25">
      <c r="A5056" t="str">
        <f>"20190312151636655"</f>
        <v>20190312151636655</v>
      </c>
      <c r="B5056" t="str">
        <f>"1552374996642681"</f>
        <v>1552374996642681</v>
      </c>
      <c r="C5056" t="s">
        <v>40</v>
      </c>
      <c r="D5056">
        <v>4.7374219999999996</v>
      </c>
      <c r="E5056">
        <v>0.49551099999999998</v>
      </c>
      <c r="F5056" t="s">
        <v>41</v>
      </c>
      <c r="G5056">
        <v>-341.11419999999998</v>
      </c>
      <c r="H5056">
        <v>0.99921499999999996</v>
      </c>
      <c r="I5056">
        <v>16.937259999999998</v>
      </c>
      <c r="J5056">
        <v>-341.80869999999999</v>
      </c>
      <c r="K5056">
        <v>1.1106210000000001</v>
      </c>
      <c r="L5056">
        <v>17.086120000000001</v>
      </c>
      <c r="M5056">
        <v>0.99938899999999997</v>
      </c>
      <c r="N5056">
        <v>0</v>
      </c>
      <c r="O5056">
        <v>3.2549750000000002E-2</v>
      </c>
      <c r="P5056">
        <v>0.97542039999999997</v>
      </c>
      <c r="Q5056">
        <v>0.1217202</v>
      </c>
      <c r="R5056">
        <v>-0.1836834</v>
      </c>
      <c r="S5056">
        <v>3.0270079999999999</v>
      </c>
      <c r="T5056">
        <v>-0.4161263</v>
      </c>
      <c r="U5056">
        <v>-0.53918459999999901</v>
      </c>
      <c r="V5056">
        <v>0.21522579999999999</v>
      </c>
      <c r="W5056">
        <v>0.1342303</v>
      </c>
      <c r="X5056">
        <v>0.96729520000000002</v>
      </c>
      <c r="Y5056">
        <v>0.2051491</v>
      </c>
      <c r="Z5056">
        <v>-1.8349299999999999E-2</v>
      </c>
      <c r="AA5056">
        <v>0.9785587</v>
      </c>
      <c r="AB5056">
        <v>24</v>
      </c>
      <c r="AC5056">
        <v>0.694500000000005</v>
      </c>
      <c r="AD5056">
        <v>-0.11140599999999901</v>
      </c>
      <c r="AE5056">
        <v>-0.14885999999999899</v>
      </c>
      <c r="AF5056">
        <v>0.16727353100702499</v>
      </c>
      <c r="AG5056">
        <v>-0.11140599999999901</v>
      </c>
      <c r="AH5056">
        <v>0.67273574943686998</v>
      </c>
      <c r="AI5056">
        <v>99.129826784669802</v>
      </c>
      <c r="AJ5056">
        <v>76.036756478540198</v>
      </c>
      <c r="AK5056">
        <v>0.70211474815869301</v>
      </c>
      <c r="AL5056">
        <v>82.285885465197495</v>
      </c>
      <c r="AM5056">
        <v>77.455878896462295</v>
      </c>
      <c r="AN5056">
        <v>0.99999996118338397</v>
      </c>
    </row>
    <row r="5057" spans="1:40" x14ac:dyDescent="0.25">
      <c r="A5057" t="str">
        <f>"20190312151636666"</f>
        <v>20190312151636666</v>
      </c>
      <c r="B5057" t="str">
        <f>"1552374996663177"</f>
        <v>1552374996663177</v>
      </c>
      <c r="C5057" t="s">
        <v>40</v>
      </c>
      <c r="D5057">
        <v>4.5284820000000003</v>
      </c>
      <c r="E5057">
        <v>0.49569960000000002</v>
      </c>
      <c r="F5057" t="s">
        <v>41</v>
      </c>
      <c r="G5057">
        <v>-340.9083</v>
      </c>
      <c r="H5057">
        <v>0.98694230000000005</v>
      </c>
      <c r="I5057">
        <v>16.92399</v>
      </c>
      <c r="J5057">
        <v>-341.69159999999999</v>
      </c>
      <c r="K5057">
        <v>1.110603</v>
      </c>
      <c r="L5057">
        <v>17.09027</v>
      </c>
      <c r="M5057">
        <v>0.99938059999999995</v>
      </c>
      <c r="N5057">
        <v>0</v>
      </c>
      <c r="O5057">
        <v>3.2807719999999999E-2</v>
      </c>
      <c r="P5057">
        <v>0.97534299999999996</v>
      </c>
      <c r="Q5057">
        <v>0.1202829</v>
      </c>
      <c r="R5057">
        <v>-0.18503649999999999</v>
      </c>
      <c r="S5057">
        <v>3.0249329999999999</v>
      </c>
      <c r="T5057">
        <v>-0.41555019999999998</v>
      </c>
      <c r="U5057">
        <v>-0.54422000000000004</v>
      </c>
      <c r="V5057">
        <v>0.21683169999999999</v>
      </c>
      <c r="W5057">
        <v>0.1327866</v>
      </c>
      <c r="X5057">
        <v>0.96713579999999999</v>
      </c>
      <c r="Y5057">
        <v>0.20707929999999999</v>
      </c>
      <c r="Z5057">
        <v>-1.8499749999999999E-2</v>
      </c>
      <c r="AA5057">
        <v>0.97814920000000005</v>
      </c>
      <c r="AB5057">
        <v>24</v>
      </c>
      <c r="AC5057">
        <v>0.783299999999997</v>
      </c>
      <c r="AD5057">
        <v>-0.123660699999999</v>
      </c>
      <c r="AE5057">
        <v>-0.16628000000000001</v>
      </c>
      <c r="AF5057">
        <v>0.187421096223785</v>
      </c>
      <c r="AG5057">
        <v>-0.123660699999999</v>
      </c>
      <c r="AH5057">
        <v>0.75931391550348504</v>
      </c>
      <c r="AI5057">
        <v>98.9848369031359</v>
      </c>
      <c r="AJ5057">
        <v>76.134852695788993</v>
      </c>
      <c r="AK5057">
        <v>0.79181832405637598</v>
      </c>
      <c r="AL5057">
        <v>82.369350602159997</v>
      </c>
      <c r="AM5057">
        <v>77.363260189665397</v>
      </c>
      <c r="AN5057">
        <v>0.99999996145304404</v>
      </c>
    </row>
    <row r="5058" spans="1:40" x14ac:dyDescent="0.25">
      <c r="A5058" t="str">
        <f>"20190312151636677"</f>
        <v>20190312151636677</v>
      </c>
      <c r="B5058" t="str">
        <f>"1552374996672937"</f>
        <v>1552374996672937</v>
      </c>
      <c r="C5058" t="s">
        <v>40</v>
      </c>
      <c r="D5058">
        <v>4.5237669999999897</v>
      </c>
      <c r="E5058">
        <v>0.4957704</v>
      </c>
      <c r="F5058" t="s">
        <v>41</v>
      </c>
      <c r="G5058">
        <v>-340.90210000000002</v>
      </c>
      <c r="H5058">
        <v>1.0029870000000001</v>
      </c>
      <c r="I5058">
        <v>16.946709999999999</v>
      </c>
      <c r="J5058">
        <v>-341.56950000000001</v>
      </c>
      <c r="K5058">
        <v>1.1105719999999999</v>
      </c>
      <c r="L5058">
        <v>17.094539999999999</v>
      </c>
      <c r="M5058">
        <v>0.99937200000000004</v>
      </c>
      <c r="N5058">
        <v>0</v>
      </c>
      <c r="O5058">
        <v>3.3066900000000003E-2</v>
      </c>
      <c r="P5058">
        <v>0.97522209999999998</v>
      </c>
      <c r="Q5058">
        <v>0.119308399999999</v>
      </c>
      <c r="R5058">
        <v>-0.1863001</v>
      </c>
      <c r="S5058">
        <v>3.0224609999999998</v>
      </c>
      <c r="T5058">
        <v>-0.41202549999999999</v>
      </c>
      <c r="U5058">
        <v>-0.54907229999999996</v>
      </c>
      <c r="V5058">
        <v>0.21834819999999999</v>
      </c>
      <c r="W5058">
        <v>0.13180349999999999</v>
      </c>
      <c r="X5058">
        <v>0.96692909999999999</v>
      </c>
      <c r="Y5058">
        <v>0.2090069</v>
      </c>
      <c r="Z5058">
        <v>-1.8520999999999999E-2</v>
      </c>
      <c r="AA5058">
        <v>0.97773869999999896</v>
      </c>
      <c r="AB5058">
        <v>24</v>
      </c>
      <c r="AC5058">
        <v>0.667399999999986</v>
      </c>
      <c r="AD5058">
        <v>-0.107584999999999</v>
      </c>
      <c r="AE5058">
        <v>-0.14782999999999899</v>
      </c>
      <c r="AF5058">
        <v>0.16571498988442901</v>
      </c>
      <c r="AG5058">
        <v>-0.107584999999999</v>
      </c>
      <c r="AH5058">
        <v>0.64614124182705701</v>
      </c>
      <c r="AI5058">
        <v>99.161993372433898</v>
      </c>
      <c r="AJ5058">
        <v>75.615464656498503</v>
      </c>
      <c r="AK5058">
        <v>0.675673363754417</v>
      </c>
      <c r="AL5058">
        <v>82.426177805814604</v>
      </c>
      <c r="AM5058">
        <v>77.275115974501702</v>
      </c>
      <c r="AN5058">
        <v>0.99999999174114995</v>
      </c>
    </row>
    <row r="5059" spans="1:40" x14ac:dyDescent="0.25">
      <c r="A5059" t="str">
        <f>"20190312151636688"</f>
        <v>20190312151636688</v>
      </c>
      <c r="B5059" t="str">
        <f>"1552374996682697"</f>
        <v>1552374996682697</v>
      </c>
      <c r="C5059" t="s">
        <v>40</v>
      </c>
      <c r="D5059">
        <v>4.6726109999999998</v>
      </c>
      <c r="E5059">
        <v>0.49607970000000001</v>
      </c>
      <c r="F5059" t="s">
        <v>41</v>
      </c>
      <c r="G5059">
        <v>-340.69600000000003</v>
      </c>
      <c r="H5059">
        <v>0.99155289999999996</v>
      </c>
      <c r="I5059">
        <v>16.934370000000001</v>
      </c>
      <c r="J5059">
        <v>-341.45409999999998</v>
      </c>
      <c r="K5059">
        <v>1.110549</v>
      </c>
      <c r="L5059">
        <v>17.098659999999999</v>
      </c>
      <c r="M5059">
        <v>0.99936429999999998</v>
      </c>
      <c r="N5059">
        <v>0</v>
      </c>
      <c r="O5059">
        <v>3.329828E-2</v>
      </c>
      <c r="P5059">
        <v>0.97506930000000003</v>
      </c>
      <c r="Q5059">
        <v>0.118478399999999</v>
      </c>
      <c r="R5059">
        <v>-0.1876245</v>
      </c>
      <c r="S5059">
        <v>3.0208740000000001</v>
      </c>
      <c r="T5059">
        <v>-0.41160089999999999</v>
      </c>
      <c r="U5059">
        <v>-0.55319209999999996</v>
      </c>
      <c r="V5059">
        <v>0.21989790000000001</v>
      </c>
      <c r="W5059">
        <v>0.13096350000000001</v>
      </c>
      <c r="X5059">
        <v>0.966692</v>
      </c>
      <c r="Y5059">
        <v>0.21060019999999999</v>
      </c>
      <c r="Z5059">
        <v>-1.8647710000000001E-2</v>
      </c>
      <c r="AA5059">
        <v>0.9773944</v>
      </c>
      <c r="AB5059">
        <v>24</v>
      </c>
      <c r="AC5059">
        <v>0.75810000000001299</v>
      </c>
      <c r="AD5059">
        <v>-0.11899609999999899</v>
      </c>
      <c r="AE5059">
        <v>-0.16428999999999699</v>
      </c>
      <c r="AF5059">
        <v>0.18508863026577599</v>
      </c>
      <c r="AG5059">
        <v>-0.11899609999999899</v>
      </c>
      <c r="AH5059">
        <v>0.73491366374699596</v>
      </c>
      <c r="AI5059">
        <v>98.923461917267502</v>
      </c>
      <c r="AJ5059">
        <v>75.8639922258116</v>
      </c>
      <c r="AK5059">
        <v>0.76714794272741405</v>
      </c>
      <c r="AL5059">
        <v>82.474726970716205</v>
      </c>
      <c r="AM5059">
        <v>77.184734705208598</v>
      </c>
      <c r="AN5059">
        <v>0.99999997381032901</v>
      </c>
    </row>
    <row r="5060" spans="1:40" x14ac:dyDescent="0.25">
      <c r="A5060" t="str">
        <f>"20190312151636699"</f>
        <v>20190312151636699</v>
      </c>
      <c r="B5060" t="str">
        <f>"1552374996693437"</f>
        <v>1552374996693437</v>
      </c>
      <c r="C5060" t="s">
        <v>40</v>
      </c>
      <c r="D5060">
        <v>4.5336489999999996</v>
      </c>
      <c r="E5060">
        <v>0.49615369999999998</v>
      </c>
      <c r="F5060" t="s">
        <v>41</v>
      </c>
      <c r="G5060">
        <v>-340.69040000000001</v>
      </c>
      <c r="H5060">
        <v>1.0060899999999999</v>
      </c>
      <c r="I5060">
        <v>16.956969999999998</v>
      </c>
      <c r="J5060">
        <v>-341.33760000000001</v>
      </c>
      <c r="K5060">
        <v>1.1105240000000001</v>
      </c>
      <c r="L5060">
        <v>17.102779999999999</v>
      </c>
      <c r="M5060">
        <v>0.9993573</v>
      </c>
      <c r="N5060">
        <v>0</v>
      </c>
      <c r="O5060">
        <v>3.3511600000000002E-2</v>
      </c>
      <c r="P5060">
        <v>0.97487950000000001</v>
      </c>
      <c r="Q5060">
        <v>0.1179399</v>
      </c>
      <c r="R5060">
        <v>-0.18894659999999999</v>
      </c>
      <c r="S5060">
        <v>3.0192869999999998</v>
      </c>
      <c r="T5060">
        <v>-0.41301300000000002</v>
      </c>
      <c r="U5060">
        <v>-0.55935669999999904</v>
      </c>
      <c r="V5060">
        <v>0.22142709999999999</v>
      </c>
      <c r="W5060">
        <v>0.13041179999999999</v>
      </c>
      <c r="X5060">
        <v>0.96641750000000004</v>
      </c>
      <c r="Y5060">
        <v>0.21279139999999999</v>
      </c>
      <c r="Z5060">
        <v>-1.8894109999999999E-2</v>
      </c>
      <c r="AA5060">
        <v>0.97691490000000003</v>
      </c>
      <c r="AB5060">
        <v>24</v>
      </c>
      <c r="AC5060">
        <v>0.647199999999997</v>
      </c>
      <c r="AD5060">
        <v>-0.104434</v>
      </c>
      <c r="AE5060">
        <v>-0.145809999999997</v>
      </c>
      <c r="AF5060">
        <v>0.16337021047487199</v>
      </c>
      <c r="AG5060">
        <v>-0.104434</v>
      </c>
      <c r="AH5060">
        <v>0.62642673863197096</v>
      </c>
      <c r="AI5060">
        <v>99.16389482193</v>
      </c>
      <c r="AJ5060">
        <v>75.383019162051397</v>
      </c>
      <c r="AK5060">
        <v>0.65574899534783304</v>
      </c>
      <c r="AL5060">
        <v>82.506610631140404</v>
      </c>
      <c r="AM5060">
        <v>77.095045986787696</v>
      </c>
      <c r="AN5060">
        <v>0.99999999124994998</v>
      </c>
    </row>
    <row r="5061" spans="1:40" x14ac:dyDescent="0.25">
      <c r="A5061" t="str">
        <f>"20190312151636710"</f>
        <v>20190312151636710</v>
      </c>
      <c r="B5061" t="str">
        <f>"1552374996703193"</f>
        <v>1552374996703193</v>
      </c>
      <c r="C5061" t="s">
        <v>40</v>
      </c>
      <c r="D5061">
        <v>4.5465839999999904</v>
      </c>
      <c r="E5061">
        <v>0.49622749999999999</v>
      </c>
      <c r="F5061" t="s">
        <v>41</v>
      </c>
      <c r="G5061">
        <v>-340.48469999999998</v>
      </c>
      <c r="H5061">
        <v>0.9938806</v>
      </c>
      <c r="I5061">
        <v>16.943539999999999</v>
      </c>
      <c r="J5061">
        <v>-341.22210000000001</v>
      </c>
      <c r="K5061">
        <v>1.1105</v>
      </c>
      <c r="L5061">
        <v>17.1069</v>
      </c>
      <c r="M5061">
        <v>0.99935039999999997</v>
      </c>
      <c r="N5061">
        <v>0</v>
      </c>
      <c r="O5061">
        <v>3.3710589999999999E-2</v>
      </c>
      <c r="P5061">
        <v>0.9746956</v>
      </c>
      <c r="Q5061">
        <v>0.1178797</v>
      </c>
      <c r="R5061">
        <v>-0.18992880000000001</v>
      </c>
      <c r="S5061">
        <v>3.0179749999999999</v>
      </c>
      <c r="T5061">
        <v>-0.41281879999999999</v>
      </c>
      <c r="U5061">
        <v>-0.56378169999999905</v>
      </c>
      <c r="V5061">
        <v>0.22260360000000001</v>
      </c>
      <c r="W5061">
        <v>0.1303366</v>
      </c>
      <c r="X5061">
        <v>0.9661573</v>
      </c>
      <c r="Y5061">
        <v>0.21443039999999999</v>
      </c>
      <c r="Z5061">
        <v>-1.9028389999999999E-2</v>
      </c>
      <c r="AA5061">
        <v>0.97655389999999997</v>
      </c>
      <c r="AB5061">
        <v>24</v>
      </c>
      <c r="AC5061">
        <v>0.73740000000003603</v>
      </c>
      <c r="AD5061">
        <v>-0.1166194</v>
      </c>
      <c r="AE5061">
        <v>-0.16336000000000001</v>
      </c>
      <c r="AF5061">
        <v>0.18374660964463699</v>
      </c>
      <c r="AG5061">
        <v>-0.1166194</v>
      </c>
      <c r="AH5061">
        <v>0.71444031568927902</v>
      </c>
      <c r="AI5061">
        <v>98.983379329298003</v>
      </c>
      <c r="AJ5061">
        <v>75.576715541160894</v>
      </c>
      <c r="AK5061">
        <v>0.74685197040273998</v>
      </c>
      <c r="AL5061">
        <v>82.510956131290698</v>
      </c>
      <c r="AM5061">
        <v>77.025416591047204</v>
      </c>
      <c r="AN5061">
        <v>0.99999996018790405</v>
      </c>
    </row>
    <row r="5062" spans="1:40" x14ac:dyDescent="0.25">
      <c r="A5062" t="str">
        <f>"20190312151636722"</f>
        <v>20190312151636722</v>
      </c>
      <c r="B5062" t="str">
        <f>"1552374996712953"</f>
        <v>1552374996712953</v>
      </c>
      <c r="C5062" t="s">
        <v>40</v>
      </c>
      <c r="D5062">
        <v>4.5471779999999997</v>
      </c>
      <c r="E5062">
        <v>0.49625910000000001</v>
      </c>
      <c r="F5062" t="s">
        <v>41</v>
      </c>
      <c r="G5062">
        <v>-340.47890000000001</v>
      </c>
      <c r="H5062">
        <v>1.0092699999999999</v>
      </c>
      <c r="I5062">
        <v>16.967279999999999</v>
      </c>
      <c r="J5062">
        <v>-341.10219999999998</v>
      </c>
      <c r="K5062">
        <v>1.110466</v>
      </c>
      <c r="L5062">
        <v>17.111179999999901</v>
      </c>
      <c r="M5062">
        <v>0.99934480000000003</v>
      </c>
      <c r="N5062">
        <v>0</v>
      </c>
      <c r="O5062">
        <v>3.3878110000000003E-2</v>
      </c>
      <c r="P5062">
        <v>0.97447139999999999</v>
      </c>
      <c r="Q5062">
        <v>0.1180422</v>
      </c>
      <c r="R5062">
        <v>-0.19097510000000001</v>
      </c>
      <c r="S5062">
        <v>3.0170590000000002</v>
      </c>
      <c r="T5062">
        <v>-0.41096189999999999</v>
      </c>
      <c r="U5062">
        <v>-0.56710819999999995</v>
      </c>
      <c r="V5062">
        <v>0.22381429999999999</v>
      </c>
      <c r="W5062">
        <v>0.13047990000000001</v>
      </c>
      <c r="X5062">
        <v>0.9658582</v>
      </c>
      <c r="Y5062">
        <v>0.21569389999999999</v>
      </c>
      <c r="Z5062">
        <v>-1.9054769999999999E-2</v>
      </c>
      <c r="AA5062">
        <v>0.97627509999999995</v>
      </c>
      <c r="AB5062">
        <v>24</v>
      </c>
      <c r="AC5062">
        <v>0.62329999999997199</v>
      </c>
      <c r="AD5062">
        <v>-0.101195999999999</v>
      </c>
      <c r="AE5062">
        <v>-0.143899999999998</v>
      </c>
      <c r="AF5062">
        <v>0.16090852913456999</v>
      </c>
      <c r="AG5062">
        <v>-0.101195999999999</v>
      </c>
      <c r="AH5062">
        <v>0.60297697830108898</v>
      </c>
      <c r="AI5062">
        <v>99.210510804943794</v>
      </c>
      <c r="AJ5062">
        <v>75.058410736130298</v>
      </c>
      <c r="AK5062">
        <v>0.63222893126253199</v>
      </c>
      <c r="AL5062">
        <v>82.502674879619306</v>
      </c>
      <c r="AM5062">
        <v>76.9533558839031</v>
      </c>
      <c r="AN5062">
        <v>0.999999953847868</v>
      </c>
    </row>
    <row r="5063" spans="1:40" x14ac:dyDescent="0.25">
      <c r="A5063" t="str">
        <f>"20190312151636734"</f>
        <v>20190312151636734</v>
      </c>
      <c r="B5063" t="str">
        <f>"1552374996722713"</f>
        <v>1552374996722713</v>
      </c>
      <c r="C5063" t="s">
        <v>40</v>
      </c>
      <c r="D5063">
        <v>4.5791550000000001</v>
      </c>
      <c r="E5063">
        <v>0.49631839999999999</v>
      </c>
      <c r="F5063" t="s">
        <v>41</v>
      </c>
      <c r="G5063">
        <v>-340.27269999999999</v>
      </c>
      <c r="H5063">
        <v>0.99833459999999996</v>
      </c>
      <c r="I5063">
        <v>16.954029999999999</v>
      </c>
      <c r="J5063">
        <v>-340.97590000000002</v>
      </c>
      <c r="K5063">
        <v>1.1104309999999999</v>
      </c>
      <c r="L5063">
        <v>17.115659999999998</v>
      </c>
      <c r="M5063">
        <v>0.99933930000000004</v>
      </c>
      <c r="N5063">
        <v>0</v>
      </c>
      <c r="O5063">
        <v>3.4038579999999999E-2</v>
      </c>
      <c r="P5063">
        <v>0.97427909999999995</v>
      </c>
      <c r="Q5063">
        <v>0.11825090000000001</v>
      </c>
      <c r="R5063">
        <v>-0.1918262</v>
      </c>
      <c r="S5063">
        <v>3.016235</v>
      </c>
      <c r="T5063">
        <v>-0.4077924</v>
      </c>
      <c r="U5063">
        <v>-0.57055659999999997</v>
      </c>
      <c r="V5063">
        <v>0.22482530000000001</v>
      </c>
      <c r="W5063">
        <v>0.13066659999999999</v>
      </c>
      <c r="X5063">
        <v>0.96559819999999996</v>
      </c>
      <c r="Y5063">
        <v>0.2169973</v>
      </c>
      <c r="Z5063">
        <v>-1.9020599999999999E-2</v>
      </c>
      <c r="AA5063">
        <v>0.97598689999999999</v>
      </c>
      <c r="AB5063">
        <v>24</v>
      </c>
      <c r="AC5063">
        <v>0.70320000000003802</v>
      </c>
      <c r="AD5063">
        <v>-0.112096399999999</v>
      </c>
      <c r="AE5063">
        <v>-0.16163000000000199</v>
      </c>
      <c r="AF5063">
        <v>0.18110307425288</v>
      </c>
      <c r="AG5063">
        <v>-0.112096399999999</v>
      </c>
      <c r="AH5063">
        <v>0.68085710658264897</v>
      </c>
      <c r="AI5063">
        <v>99.040421374758694</v>
      </c>
      <c r="AJ5063">
        <v>75.104636375395302</v>
      </c>
      <c r="AK5063">
        <v>0.71339352813219503</v>
      </c>
      <c r="AL5063">
        <v>82.491885958576304</v>
      </c>
      <c r="AM5063">
        <v>76.893045137078303</v>
      </c>
      <c r="AN5063">
        <v>1.00000002985944</v>
      </c>
    </row>
    <row r="5064" spans="1:40" x14ac:dyDescent="0.25">
      <c r="A5064" t="str">
        <f>"20190312151636746"</f>
        <v>20190312151636746</v>
      </c>
      <c r="B5064" t="str">
        <f>"1552374996743210"</f>
        <v>1552374996743210</v>
      </c>
      <c r="C5064" t="s">
        <v>40</v>
      </c>
      <c r="D5064">
        <v>4.5905950000000004</v>
      </c>
      <c r="E5064">
        <v>0.49633430000000001</v>
      </c>
      <c r="F5064" t="s">
        <v>41</v>
      </c>
      <c r="G5064">
        <v>-340.0643</v>
      </c>
      <c r="H5064">
        <v>0.98800169999999998</v>
      </c>
      <c r="I5064">
        <v>16.942160000000001</v>
      </c>
      <c r="J5064">
        <v>-340.85019999999997</v>
      </c>
      <c r="K5064">
        <v>1.110392</v>
      </c>
      <c r="L5064">
        <v>17.120090000000001</v>
      </c>
      <c r="M5064">
        <v>0.99933559999999999</v>
      </c>
      <c r="N5064">
        <v>0</v>
      </c>
      <c r="O5064">
        <v>3.4144590000000002E-2</v>
      </c>
      <c r="P5064">
        <v>0.97408229999999996</v>
      </c>
      <c r="Q5064">
        <v>0.11866740000000001</v>
      </c>
      <c r="R5064">
        <v>-0.19256780000000001</v>
      </c>
      <c r="S5064">
        <v>3.0154109999999998</v>
      </c>
      <c r="T5064">
        <v>-0.40496680000000002</v>
      </c>
      <c r="U5064">
        <v>-0.57345579999999996</v>
      </c>
      <c r="V5064">
        <v>0.2256763</v>
      </c>
      <c r="W5064">
        <v>0.1310576</v>
      </c>
      <c r="X5064">
        <v>0.96534660000000005</v>
      </c>
      <c r="Y5064">
        <v>0.2180745</v>
      </c>
      <c r="Z5064">
        <v>-1.8978780000000001E-2</v>
      </c>
      <c r="AA5064">
        <v>0.97574760000000005</v>
      </c>
      <c r="AB5064">
        <v>24</v>
      </c>
      <c r="AC5064">
        <v>0.78589999999996896</v>
      </c>
      <c r="AD5064">
        <v>-0.12239029999999999</v>
      </c>
      <c r="AE5064">
        <v>-0.17792999999999901</v>
      </c>
      <c r="AF5064">
        <v>0.200047524675418</v>
      </c>
      <c r="AG5064">
        <v>-0.12239029999999999</v>
      </c>
      <c r="AH5064">
        <v>0.76179120866921202</v>
      </c>
      <c r="AI5064">
        <v>98.832699712091397</v>
      </c>
      <c r="AJ5064">
        <v>75.286254862361901</v>
      </c>
      <c r="AK5064">
        <v>0.797072294882058</v>
      </c>
      <c r="AL5064">
        <v>82.469288554141897</v>
      </c>
      <c r="AM5064">
        <v>76.841846032786606</v>
      </c>
      <c r="AN5064">
        <v>0.99999997251550399</v>
      </c>
    </row>
    <row r="5065" spans="1:40" x14ac:dyDescent="0.25">
      <c r="A5065" t="str">
        <f>"20190312151636757"</f>
        <v>20190312151636757</v>
      </c>
      <c r="B5065" t="str">
        <f>"1552374996752969"</f>
        <v>1552374996752969</v>
      </c>
      <c r="C5065" t="s">
        <v>40</v>
      </c>
      <c r="D5065">
        <v>4.7287650000000001</v>
      </c>
      <c r="E5065">
        <v>0.49633430000000001</v>
      </c>
      <c r="F5065" t="s">
        <v>41</v>
      </c>
      <c r="G5065">
        <v>-340.05959999999999</v>
      </c>
      <c r="H5065">
        <v>1.005709</v>
      </c>
      <c r="I5065">
        <v>16.968920000000001</v>
      </c>
      <c r="J5065">
        <v>-340.72789999999998</v>
      </c>
      <c r="K5065">
        <v>1.1103499999999999</v>
      </c>
      <c r="L5065">
        <v>17.124389999999998</v>
      </c>
      <c r="M5065">
        <v>0.99933280000000002</v>
      </c>
      <c r="N5065">
        <v>0</v>
      </c>
      <c r="O5065">
        <v>3.4223950000000003E-2</v>
      </c>
      <c r="P5065">
        <v>0.97393490000000005</v>
      </c>
      <c r="Q5065">
        <v>0.11924319999999999</v>
      </c>
      <c r="R5065">
        <v>-0.19295599999999999</v>
      </c>
      <c r="S5065">
        <v>3.0145870000000001</v>
      </c>
      <c r="T5065">
        <v>-0.39919759999999999</v>
      </c>
      <c r="U5065">
        <v>-0.57592769999999904</v>
      </c>
      <c r="V5065">
        <v>0.2261502</v>
      </c>
      <c r="W5065">
        <v>0.1316078</v>
      </c>
      <c r="X5065">
        <v>0.96516080000000004</v>
      </c>
      <c r="Y5065">
        <v>0.2190251</v>
      </c>
      <c r="Z5065">
        <v>-1.8786790000000001E-2</v>
      </c>
      <c r="AA5065">
        <v>0.97553829999999997</v>
      </c>
      <c r="AB5065">
        <v>24</v>
      </c>
      <c r="AC5065">
        <v>0.66829999999998702</v>
      </c>
      <c r="AD5065">
        <v>-0.104640999999999</v>
      </c>
      <c r="AE5065">
        <v>-0.155469999999997</v>
      </c>
      <c r="AF5065">
        <v>0.174201077973446</v>
      </c>
      <c r="AG5065">
        <v>-0.104640999999999</v>
      </c>
      <c r="AH5065">
        <v>0.64752706537135896</v>
      </c>
      <c r="AI5065">
        <v>98.869612131026301</v>
      </c>
      <c r="AJ5065">
        <v>74.942496283725205</v>
      </c>
      <c r="AK5065">
        <v>0.67866564288798004</v>
      </c>
      <c r="AL5065">
        <v>82.437488791011205</v>
      </c>
      <c r="AM5065">
        <v>76.812729828405097</v>
      </c>
      <c r="AN5065">
        <v>0.99999994791875801</v>
      </c>
    </row>
    <row r="5066" spans="1:40" x14ac:dyDescent="0.25">
      <c r="A5066" t="str">
        <f>"20190312151636767"</f>
        <v>20190312151636767</v>
      </c>
      <c r="B5066" t="str">
        <f>"1552374996762728"</f>
        <v>1552374996762728</v>
      </c>
      <c r="C5066" t="s">
        <v>40</v>
      </c>
      <c r="D5066">
        <v>4.5714259999999998</v>
      </c>
      <c r="E5066">
        <v>0.49625000000000002</v>
      </c>
      <c r="F5066" t="s">
        <v>41</v>
      </c>
      <c r="G5066">
        <v>-339.8519</v>
      </c>
      <c r="H5066">
        <v>0.99486339999999995</v>
      </c>
      <c r="I5066">
        <v>16.95635</v>
      </c>
      <c r="J5066">
        <v>-340.61649999999997</v>
      </c>
      <c r="K5066">
        <v>1.110311</v>
      </c>
      <c r="L5066">
        <v>17.128299999999999</v>
      </c>
      <c r="M5066">
        <v>0.99933150000000004</v>
      </c>
      <c r="N5066">
        <v>0</v>
      </c>
      <c r="O5066">
        <v>3.4265660000000003E-2</v>
      </c>
      <c r="P5066">
        <v>0.97385200000000005</v>
      </c>
      <c r="Q5066">
        <v>0.1195335</v>
      </c>
      <c r="R5066">
        <v>-0.19319529999999999</v>
      </c>
      <c r="S5066">
        <v>3.0146480000000002</v>
      </c>
      <c r="T5066">
        <v>-0.39741300000000002</v>
      </c>
      <c r="U5066">
        <v>-0.57711789999999996</v>
      </c>
      <c r="V5066">
        <v>0.22644059999999999</v>
      </c>
      <c r="W5066">
        <v>0.1318744</v>
      </c>
      <c r="X5066">
        <v>0.96505640000000004</v>
      </c>
      <c r="Y5066">
        <v>0.21944900000000001</v>
      </c>
      <c r="Z5066">
        <v>-1.8735479999999999E-2</v>
      </c>
      <c r="AA5066">
        <v>0.97544410000000004</v>
      </c>
      <c r="AB5066">
        <v>24</v>
      </c>
      <c r="AC5066">
        <v>0.76459999999997297</v>
      </c>
      <c r="AD5066">
        <v>-0.1154476</v>
      </c>
      <c r="AE5066">
        <v>-0.17194999999999799</v>
      </c>
      <c r="AF5066">
        <v>0.193844102288454</v>
      </c>
      <c r="AG5066">
        <v>-0.1154476</v>
      </c>
      <c r="AH5066">
        <v>0.74215320440951704</v>
      </c>
      <c r="AI5066">
        <v>98.559252611106103</v>
      </c>
      <c r="AJ5066">
        <v>75.361857616838805</v>
      </c>
      <c r="AK5066">
        <v>0.77569005611332398</v>
      </c>
      <c r="AL5066">
        <v>82.422080047377904</v>
      </c>
      <c r="AM5066">
        <v>76.795010522568404</v>
      </c>
      <c r="AN5066">
        <v>1.0000000289423301</v>
      </c>
    </row>
    <row r="5067" spans="1:40" x14ac:dyDescent="0.25">
      <c r="A5067" t="str">
        <f>"20190312151636778"</f>
        <v>20190312151636778</v>
      </c>
      <c r="B5067" t="str">
        <f>"1552374996772489"</f>
        <v>1552374996772489</v>
      </c>
      <c r="C5067" t="s">
        <v>40</v>
      </c>
      <c r="D5067">
        <v>4.5778629999999998</v>
      </c>
      <c r="E5067">
        <v>0.49617939999999999</v>
      </c>
      <c r="F5067" t="s">
        <v>41</v>
      </c>
      <c r="G5067">
        <v>-339.84829999999999</v>
      </c>
      <c r="H5067">
        <v>1.00908</v>
      </c>
      <c r="I5067">
        <v>16.980889999999999</v>
      </c>
      <c r="J5067">
        <v>-340.51749999999998</v>
      </c>
      <c r="K5067">
        <v>1.110271</v>
      </c>
      <c r="L5067">
        <v>17.131740000000001</v>
      </c>
      <c r="M5067">
        <v>0.99933119999999998</v>
      </c>
      <c r="N5067">
        <v>0</v>
      </c>
      <c r="O5067">
        <v>3.4272669999999998E-2</v>
      </c>
      <c r="P5067">
        <v>0.9737498</v>
      </c>
      <c r="Q5067">
        <v>0.11974029999999999</v>
      </c>
      <c r="R5067">
        <v>-0.19358249999999999</v>
      </c>
      <c r="S5067">
        <v>3.0147710000000001</v>
      </c>
      <c r="T5067">
        <v>-0.3972831</v>
      </c>
      <c r="U5067">
        <v>-0.57723999999999998</v>
      </c>
      <c r="V5067">
        <v>0.22684360000000001</v>
      </c>
      <c r="W5067">
        <v>0.1320578</v>
      </c>
      <c r="X5067">
        <v>0.96493669999999998</v>
      </c>
      <c r="Y5067">
        <v>0.21948790000000001</v>
      </c>
      <c r="Z5067">
        <v>-1.873203E-2</v>
      </c>
      <c r="AA5067">
        <v>0.97543539999999995</v>
      </c>
      <c r="AB5067">
        <v>24</v>
      </c>
      <c r="AC5067">
        <v>0.66919999999998903</v>
      </c>
      <c r="AD5067">
        <v>-0.101191</v>
      </c>
      <c r="AE5067">
        <v>-0.15085000000000101</v>
      </c>
      <c r="AF5067">
        <v>0.169999419078393</v>
      </c>
      <c r="AG5067">
        <v>-0.101191</v>
      </c>
      <c r="AH5067">
        <v>0.64950355454047104</v>
      </c>
      <c r="AI5067">
        <v>98.571123742282296</v>
      </c>
      <c r="AJ5067">
        <v>75.332576910532794</v>
      </c>
      <c r="AK5067">
        <v>0.67896560172714104</v>
      </c>
      <c r="AL5067">
        <v>82.411479513285101</v>
      </c>
      <c r="AM5067">
        <v>76.770751712209602</v>
      </c>
      <c r="AN5067">
        <v>1.00000005820434</v>
      </c>
    </row>
    <row r="5068" spans="1:40" x14ac:dyDescent="0.25">
      <c r="A5068" t="str">
        <f>"20190312151636788"</f>
        <v>20190312151636788</v>
      </c>
      <c r="B5068" t="str">
        <f>"1552374996783225"</f>
        <v>1552374996783225</v>
      </c>
      <c r="C5068" t="s">
        <v>40</v>
      </c>
      <c r="D5068">
        <v>4.5518260000000001</v>
      </c>
      <c r="E5068">
        <v>0.49613160000000001</v>
      </c>
      <c r="F5068" t="s">
        <v>41</v>
      </c>
      <c r="G5068">
        <v>-339.642</v>
      </c>
      <c r="H5068">
        <v>0.99476750000000003</v>
      </c>
      <c r="I5068">
        <v>16.963729999999899</v>
      </c>
      <c r="J5068">
        <v>-340.40089999999998</v>
      </c>
      <c r="K5068">
        <v>1.1102240000000001</v>
      </c>
      <c r="L5068">
        <v>17.135739999999998</v>
      </c>
      <c r="M5068">
        <v>0.99933209999999995</v>
      </c>
      <c r="N5068">
        <v>0</v>
      </c>
      <c r="O5068">
        <v>3.4248220000000003E-2</v>
      </c>
      <c r="P5068">
        <v>0.97376640000000003</v>
      </c>
      <c r="Q5068">
        <v>0.11939909999999999</v>
      </c>
      <c r="R5068">
        <v>-0.19370850000000001</v>
      </c>
      <c r="S5068">
        <v>3.0148619999999999</v>
      </c>
      <c r="T5068">
        <v>-0.39776430000000002</v>
      </c>
      <c r="U5068">
        <v>-0.57803340000000003</v>
      </c>
      <c r="V5068">
        <v>0.22696250000000001</v>
      </c>
      <c r="W5068">
        <v>0.13169059999999999</v>
      </c>
      <c r="X5068">
        <v>0.96495880000000001</v>
      </c>
      <c r="Y5068">
        <v>0.2196998</v>
      </c>
      <c r="Z5068">
        <v>-1.8764139999999999E-2</v>
      </c>
      <c r="AA5068">
        <v>0.975387</v>
      </c>
      <c r="AB5068">
        <v>23</v>
      </c>
      <c r="AC5068">
        <v>0.75889999999998203</v>
      </c>
      <c r="AD5068">
        <v>-0.115456499999999</v>
      </c>
      <c r="AE5068">
        <v>-0.17201</v>
      </c>
      <c r="AF5068">
        <v>0.19363927033029801</v>
      </c>
      <c r="AG5068">
        <v>-0.115456499999999</v>
      </c>
      <c r="AH5068">
        <v>0.73635270396277597</v>
      </c>
      <c r="AI5068">
        <v>98.622614706376396</v>
      </c>
      <c r="AJ5068">
        <v>75.266462302500898</v>
      </c>
      <c r="AK5068">
        <v>0.77009199128389405</v>
      </c>
      <c r="AL5068">
        <v>82.432702972241501</v>
      </c>
      <c r="AM5068">
        <v>76.764354089268295</v>
      </c>
      <c r="AN5068">
        <v>0.99999993811602295</v>
      </c>
    </row>
    <row r="5069" spans="1:40" x14ac:dyDescent="0.25">
      <c r="A5069" t="str">
        <f>"20190312151636800"</f>
        <v>20190312151636800</v>
      </c>
      <c r="B5069" t="str">
        <f>"1552374996792986"</f>
        <v>1552374996792986</v>
      </c>
      <c r="C5069" t="s">
        <v>40</v>
      </c>
      <c r="D5069">
        <v>4.9727509999999997</v>
      </c>
      <c r="E5069">
        <v>0.49613160000000001</v>
      </c>
      <c r="F5069" t="s">
        <v>41</v>
      </c>
      <c r="G5069">
        <v>-339.63850000000002</v>
      </c>
      <c r="H5069">
        <v>1.0092049999999999</v>
      </c>
      <c r="I5069">
        <v>16.989429999999999</v>
      </c>
      <c r="J5069">
        <v>-340.27980000000002</v>
      </c>
      <c r="K5069">
        <v>1.1101650000000001</v>
      </c>
      <c r="L5069">
        <v>17.139859999999999</v>
      </c>
      <c r="M5069">
        <v>0.99933479999999997</v>
      </c>
      <c r="N5069">
        <v>0</v>
      </c>
      <c r="O5069">
        <v>3.4165420000000002E-2</v>
      </c>
      <c r="P5069">
        <v>0.97374879999999997</v>
      </c>
      <c r="Q5069">
        <v>0.1191328</v>
      </c>
      <c r="R5069">
        <v>-0.1939602</v>
      </c>
      <c r="S5069">
        <v>3.0148320000000002</v>
      </c>
      <c r="T5069">
        <v>-0.39943960000000001</v>
      </c>
      <c r="U5069">
        <v>-0.57791139999999996</v>
      </c>
      <c r="V5069">
        <v>0.22715179999999999</v>
      </c>
      <c r="W5069">
        <v>0.1313937</v>
      </c>
      <c r="X5069">
        <v>0.9649548</v>
      </c>
      <c r="Y5069">
        <v>0.2195666</v>
      </c>
      <c r="Z5069">
        <v>-1.882321E-2</v>
      </c>
      <c r="AA5069">
        <v>0.9754159</v>
      </c>
      <c r="AB5069">
        <v>23</v>
      </c>
      <c r="AC5069">
        <v>0.64130000000000098</v>
      </c>
      <c r="AD5069">
        <v>-0.10095999999999999</v>
      </c>
      <c r="AE5069">
        <v>-0.15043000000000301</v>
      </c>
      <c r="AF5069">
        <v>0.16830056584549999</v>
      </c>
      <c r="AG5069">
        <v>-0.10095999999999999</v>
      </c>
      <c r="AH5069">
        <v>0.62119275614540204</v>
      </c>
      <c r="AI5069">
        <v>98.915363024135004</v>
      </c>
      <c r="AJ5069">
        <v>74.840702170468106</v>
      </c>
      <c r="AK5069">
        <v>0.65145870348889801</v>
      </c>
      <c r="AL5069">
        <v>82.449863713327005</v>
      </c>
      <c r="AM5069">
        <v>76.753650839427195</v>
      </c>
      <c r="AN5069">
        <v>1.0000000053429801</v>
      </c>
    </row>
    <row r="5070" spans="1:40" x14ac:dyDescent="0.25">
      <c r="A5070" t="str">
        <f>"20190312151636812"</f>
        <v>20190312151636812</v>
      </c>
      <c r="B5070" t="str">
        <f>"1552374996802744"</f>
        <v>1552374996802744</v>
      </c>
      <c r="C5070" t="s">
        <v>40</v>
      </c>
      <c r="D5070">
        <v>4.5798319999999997</v>
      </c>
      <c r="E5070">
        <v>0.49718449999999997</v>
      </c>
      <c r="F5070" t="s">
        <v>41</v>
      </c>
      <c r="G5070">
        <v>-339.43200000000002</v>
      </c>
      <c r="H5070">
        <v>0.9975984</v>
      </c>
      <c r="I5070">
        <v>16.977039999999999</v>
      </c>
      <c r="J5070">
        <v>-340.15600000000001</v>
      </c>
      <c r="K5070">
        <v>1.110106</v>
      </c>
      <c r="L5070">
        <v>17.14404</v>
      </c>
      <c r="M5070">
        <v>0.99933870000000002</v>
      </c>
      <c r="N5070">
        <v>0</v>
      </c>
      <c r="O5070">
        <v>3.4049650000000001E-2</v>
      </c>
      <c r="P5070">
        <v>0.97375420000000001</v>
      </c>
      <c r="Q5070">
        <v>0.1183992</v>
      </c>
      <c r="R5070">
        <v>-0.19438230000000001</v>
      </c>
      <c r="S5070">
        <v>3.014618</v>
      </c>
      <c r="T5070">
        <v>-0.40023819999999999</v>
      </c>
      <c r="U5070">
        <v>-0.57824709999999901</v>
      </c>
      <c r="V5070">
        <v>0.22748119999999999</v>
      </c>
      <c r="W5070">
        <v>0.13062689999999999</v>
      </c>
      <c r="X5070">
        <v>0.96498130000000004</v>
      </c>
      <c r="Y5070">
        <v>0.21956339999999999</v>
      </c>
      <c r="Z5070">
        <v>-1.884624E-2</v>
      </c>
      <c r="AA5070">
        <v>0.97541619999999996</v>
      </c>
      <c r="AB5070">
        <v>23</v>
      </c>
      <c r="AC5070">
        <v>0.72400000000004605</v>
      </c>
      <c r="AD5070">
        <v>-0.1125076</v>
      </c>
      <c r="AE5070">
        <v>-0.16700000000000101</v>
      </c>
      <c r="AF5070">
        <v>0.18726345241383899</v>
      </c>
      <c r="AG5070">
        <v>-0.1125076</v>
      </c>
      <c r="AH5070">
        <v>0.701802168579435</v>
      </c>
      <c r="AI5070">
        <v>98.804749919431501</v>
      </c>
      <c r="AJ5070">
        <v>75.059725763596404</v>
      </c>
      <c r="AK5070">
        <v>0.73501826133131398</v>
      </c>
      <c r="AL5070">
        <v>82.494180012560406</v>
      </c>
      <c r="AM5070">
        <v>76.735471898106894</v>
      </c>
      <c r="AN5070">
        <v>0.99999999635337</v>
      </c>
    </row>
    <row r="5071" spans="1:40" x14ac:dyDescent="0.25">
      <c r="A5071" t="str">
        <f>"20190312151636822"</f>
        <v>20190312151636822</v>
      </c>
      <c r="B5071" t="str">
        <f>"1552374996812505"</f>
        <v>1552374996812505</v>
      </c>
      <c r="C5071" t="s">
        <v>40</v>
      </c>
      <c r="D5071">
        <v>4.5595059999999998</v>
      </c>
      <c r="E5071">
        <v>0.49718449999999997</v>
      </c>
      <c r="F5071" t="s">
        <v>41</v>
      </c>
      <c r="G5071">
        <v>-339.42680000000001</v>
      </c>
      <c r="H5071">
        <v>1.0138119999999999</v>
      </c>
      <c r="I5071">
        <v>17.0016</v>
      </c>
      <c r="J5071">
        <v>-340.0521</v>
      </c>
      <c r="K5071">
        <v>1.110047</v>
      </c>
      <c r="L5071">
        <v>17.14743</v>
      </c>
      <c r="M5071">
        <v>0.99934480000000003</v>
      </c>
      <c r="N5071">
        <v>0</v>
      </c>
      <c r="O5071">
        <v>3.3873390000000003E-2</v>
      </c>
      <c r="P5071">
        <v>0.97379490000000002</v>
      </c>
      <c r="Q5071">
        <v>0.1172579</v>
      </c>
      <c r="R5071">
        <v>-0.1948686</v>
      </c>
      <c r="S5071">
        <v>3.0119319999999998</v>
      </c>
      <c r="T5071">
        <v>-0.39767459999999999</v>
      </c>
      <c r="U5071">
        <v>-0.58749390000000001</v>
      </c>
      <c r="V5071">
        <v>0.22781670000000001</v>
      </c>
      <c r="W5071">
        <v>0.12945490000000001</v>
      </c>
      <c r="X5071">
        <v>0.96506009999999998</v>
      </c>
      <c r="Y5071">
        <v>0.22244040000000001</v>
      </c>
      <c r="Z5071">
        <v>-1.8901890000000001E-2</v>
      </c>
      <c r="AA5071">
        <v>0.97476300000000005</v>
      </c>
      <c r="AB5071">
        <v>23</v>
      </c>
      <c r="AC5071">
        <v>0.62529999999998098</v>
      </c>
      <c r="AD5071">
        <v>-9.6234999999999807E-2</v>
      </c>
      <c r="AE5071">
        <v>-0.14582999999999999</v>
      </c>
      <c r="AF5071">
        <v>0.16326153635730101</v>
      </c>
      <c r="AG5071">
        <v>-9.6234999999999807E-2</v>
      </c>
      <c r="AH5071">
        <v>0.60637921045712795</v>
      </c>
      <c r="AI5071">
        <v>98.712626062281203</v>
      </c>
      <c r="AJ5071">
        <v>74.931018902457595</v>
      </c>
      <c r="AK5071">
        <v>0.63530406212565405</v>
      </c>
      <c r="AL5071">
        <v>82.561905843969697</v>
      </c>
      <c r="AM5071">
        <v>76.717647955056705</v>
      </c>
      <c r="AN5071">
        <v>1.0000000082724501</v>
      </c>
    </row>
    <row r="5072" spans="1:40" x14ac:dyDescent="0.25">
      <c r="A5072" t="str">
        <f>"20190312151636833"</f>
        <v>20190312151636833</v>
      </c>
      <c r="B5072" t="str">
        <f>"1552374996823241"</f>
        <v>1552374996823241</v>
      </c>
      <c r="C5072" t="s">
        <v>40</v>
      </c>
      <c r="D5072">
        <v>4.6071460000000002</v>
      </c>
      <c r="E5072">
        <v>0.52134159999999996</v>
      </c>
      <c r="F5072" t="s">
        <v>41</v>
      </c>
      <c r="G5072">
        <v>-339.22140000000002</v>
      </c>
      <c r="H5072">
        <v>0.99936499999999995</v>
      </c>
      <c r="I5072">
        <v>16.985009999999999</v>
      </c>
      <c r="J5072">
        <v>-339.93299999999999</v>
      </c>
      <c r="K5072">
        <v>1.1099730000000001</v>
      </c>
      <c r="L5072">
        <v>17.151340000000001</v>
      </c>
      <c r="M5072">
        <v>0.99935200000000002</v>
      </c>
      <c r="N5072">
        <v>0</v>
      </c>
      <c r="O5072">
        <v>3.3659290000000001E-2</v>
      </c>
      <c r="P5072">
        <v>0.9738367</v>
      </c>
      <c r="Q5072">
        <v>0.11655699999999999</v>
      </c>
      <c r="R5072">
        <v>-0.19508239999999999</v>
      </c>
      <c r="S5072">
        <v>3.0112610000000002</v>
      </c>
      <c r="T5072">
        <v>-0.40117599999999998</v>
      </c>
      <c r="U5072">
        <v>-0.58837890000000004</v>
      </c>
      <c r="V5072">
        <v>0.22784560000000001</v>
      </c>
      <c r="W5072">
        <v>0.1287172</v>
      </c>
      <c r="X5072">
        <v>0.96515189999999995</v>
      </c>
      <c r="Y5072">
        <v>0.22251109999999999</v>
      </c>
      <c r="Z5072">
        <v>-1.904699E-2</v>
      </c>
      <c r="AA5072">
        <v>0.9747441</v>
      </c>
      <c r="AB5072">
        <v>23</v>
      </c>
      <c r="AC5072">
        <v>0.71160000000003198</v>
      </c>
      <c r="AD5072">
        <v>-0.110607999999999</v>
      </c>
      <c r="AE5072">
        <v>-0.166330000000002</v>
      </c>
      <c r="AF5072">
        <v>0.18593022835398099</v>
      </c>
      <c r="AG5072">
        <v>-0.110607999999999</v>
      </c>
      <c r="AH5072">
        <v>0.68979544415397098</v>
      </c>
      <c r="AI5072">
        <v>98.800847583538498</v>
      </c>
      <c r="AJ5072">
        <v>74.914778912634205</v>
      </c>
      <c r="AK5072">
        <v>0.72292595350792199</v>
      </c>
      <c r="AL5072">
        <v>82.604529216849102</v>
      </c>
      <c r="AM5072">
        <v>76.717241447881406</v>
      </c>
      <c r="AN5072">
        <v>0.99999996254440404</v>
      </c>
    </row>
    <row r="5073" spans="1:40" x14ac:dyDescent="0.25">
      <c r="A5073" t="str">
        <f>"20190312151636844"</f>
        <v>20190312151636844</v>
      </c>
      <c r="B5073" t="str">
        <f>"1552374996833001"</f>
        <v>1552374996833001</v>
      </c>
      <c r="C5073" t="s">
        <v>40</v>
      </c>
      <c r="D5073">
        <v>4.5652049999999997</v>
      </c>
      <c r="E5073">
        <v>0.52159449999999996</v>
      </c>
      <c r="F5073" t="s">
        <v>43</v>
      </c>
      <c r="G5073">
        <v>-329.8168</v>
      </c>
      <c r="H5073" s="1">
        <v>-1.41437E-6</v>
      </c>
      <c r="I5073">
        <v>14.505649999999999</v>
      </c>
      <c r="J5073">
        <v>-339.81420000000003</v>
      </c>
      <c r="K5073">
        <v>1.1098870000000001</v>
      </c>
      <c r="L5073">
        <v>17.155059999999999</v>
      </c>
      <c r="M5073">
        <v>0.99936250000000004</v>
      </c>
      <c r="N5073">
        <v>0</v>
      </c>
      <c r="O5073">
        <v>3.3345229999999997E-2</v>
      </c>
      <c r="P5073">
        <v>0.97378609999999999</v>
      </c>
      <c r="Q5073">
        <v>0.1157141</v>
      </c>
      <c r="R5073">
        <v>-0.19583439999999999</v>
      </c>
      <c r="S5073">
        <v>2.9642330000000001</v>
      </c>
      <c r="T5073">
        <v>-0.3252447</v>
      </c>
      <c r="U5073">
        <v>-0.77523799999999998</v>
      </c>
      <c r="V5073">
        <v>0.22831589999999999</v>
      </c>
      <c r="W5073">
        <v>0.1278348</v>
      </c>
      <c r="X5073">
        <v>0.96515810000000002</v>
      </c>
      <c r="Y5073">
        <v>0.28335959999999899</v>
      </c>
      <c r="Z5073">
        <v>-1.8836519999999999E-2</v>
      </c>
      <c r="AA5073">
        <v>0.95882869999999998</v>
      </c>
      <c r="AB5073">
        <v>23</v>
      </c>
      <c r="AC5073">
        <v>9.9974000000000203</v>
      </c>
      <c r="AD5073">
        <v>-1.1098884143700001</v>
      </c>
      <c r="AE5073">
        <v>-2.64941</v>
      </c>
      <c r="AF5073">
        <v>2.9473865852505501</v>
      </c>
      <c r="AG5073">
        <v>-1.1098884143700001</v>
      </c>
      <c r="AH5073">
        <v>9.7907355301666694</v>
      </c>
      <c r="AI5073">
        <v>96.195152285526305</v>
      </c>
      <c r="AJ5073">
        <v>73.246192099863293</v>
      </c>
      <c r="AK5073">
        <v>10.284816099325001</v>
      </c>
      <c r="AL5073">
        <v>82.655508618774903</v>
      </c>
      <c r="AM5073">
        <v>76.690881451998607</v>
      </c>
      <c r="AN5073">
        <v>1.0000000221397201</v>
      </c>
    </row>
    <row r="5074" spans="1:40" x14ac:dyDescent="0.25">
      <c r="A5074" t="str">
        <f>"20190312151636856"</f>
        <v>20190312151636856</v>
      </c>
      <c r="B5074" t="str">
        <f>"1552374996852520"</f>
        <v>1552374996852520</v>
      </c>
      <c r="C5074" t="s">
        <v>40</v>
      </c>
      <c r="D5074">
        <v>4.552054</v>
      </c>
      <c r="E5074">
        <v>0.52206319999999995</v>
      </c>
      <c r="F5074" t="s">
        <v>43</v>
      </c>
      <c r="G5074">
        <v>-329.73570000000001</v>
      </c>
      <c r="H5074" s="1">
        <v>-1.445823E-6</v>
      </c>
      <c r="I5074">
        <v>14.50451</v>
      </c>
      <c r="J5074">
        <v>-339.69400000000002</v>
      </c>
      <c r="K5074">
        <v>1.1098059999999901</v>
      </c>
      <c r="L5074">
        <v>17.158750000000001</v>
      </c>
      <c r="M5074">
        <v>0.99937390000000004</v>
      </c>
      <c r="N5074">
        <v>0</v>
      </c>
      <c r="O5074">
        <v>3.2996959999999999E-2</v>
      </c>
      <c r="P5074">
        <v>0.97373149999999997</v>
      </c>
      <c r="Q5074">
        <v>0.1149941</v>
      </c>
      <c r="R5074">
        <v>-0.1965286</v>
      </c>
      <c r="S5074">
        <v>2.96286</v>
      </c>
      <c r="T5074">
        <v>-0.32628420000000002</v>
      </c>
      <c r="U5074">
        <v>-0.77920529999999999</v>
      </c>
      <c r="V5074">
        <v>0.22869510000000001</v>
      </c>
      <c r="W5074">
        <v>0.12707389999999999</v>
      </c>
      <c r="X5074">
        <v>0.96516880000000005</v>
      </c>
      <c r="Y5074">
        <v>0.28431980000000001</v>
      </c>
      <c r="Z5074">
        <v>-1.891586E-2</v>
      </c>
      <c r="AA5074">
        <v>0.95854289999999998</v>
      </c>
      <c r="AB5074">
        <v>23</v>
      </c>
      <c r="AC5074">
        <v>9.9582999999999995</v>
      </c>
      <c r="AD5074">
        <v>-1.1098074458229901</v>
      </c>
      <c r="AE5074">
        <v>-2.6542400000000002</v>
      </c>
      <c r="AF5074">
        <v>2.9472378195506699</v>
      </c>
      <c r="AG5074">
        <v>-1.1098074458229901</v>
      </c>
      <c r="AH5074">
        <v>9.7521981312315997</v>
      </c>
      <c r="AI5074">
        <v>96.216988779986494</v>
      </c>
      <c r="AJ5074">
        <v>73.184517944482593</v>
      </c>
      <c r="AK5074">
        <v>10.248085271044101</v>
      </c>
      <c r="AL5074">
        <v>82.699463428395205</v>
      </c>
      <c r="AM5074">
        <v>76.669707900585294</v>
      </c>
      <c r="AN5074">
        <v>1.0000000186593201</v>
      </c>
    </row>
    <row r="5075" spans="1:40" x14ac:dyDescent="0.25">
      <c r="A5075" t="str">
        <f>"20190312151636866"</f>
        <v>20190312151636866</v>
      </c>
      <c r="B5075" t="str">
        <f>"1552374996863257"</f>
        <v>1552374996863257</v>
      </c>
      <c r="C5075" t="s">
        <v>40</v>
      </c>
      <c r="D5075">
        <v>4.5812710000000001</v>
      </c>
      <c r="E5075">
        <v>0.52200290000000005</v>
      </c>
      <c r="F5075" t="s">
        <v>43</v>
      </c>
      <c r="G5075">
        <v>-329.58280000000002</v>
      </c>
      <c r="H5075" s="1">
        <v>-1.5113499999999999E-6</v>
      </c>
      <c r="I5075">
        <v>14.478999999999999</v>
      </c>
      <c r="J5075">
        <v>-339.5856</v>
      </c>
      <c r="K5075">
        <v>1.1097300000000001</v>
      </c>
      <c r="L5075">
        <v>17.161989999999999</v>
      </c>
      <c r="M5075">
        <v>0.99938649999999996</v>
      </c>
      <c r="N5075">
        <v>0</v>
      </c>
      <c r="O5075">
        <v>3.2617479999999997E-2</v>
      </c>
      <c r="P5075">
        <v>0.97361249999999999</v>
      </c>
      <c r="Q5075">
        <v>0.1144331</v>
      </c>
      <c r="R5075">
        <v>-0.19744490000000001</v>
      </c>
      <c r="S5075">
        <v>2.9609380000000001</v>
      </c>
      <c r="T5075">
        <v>-0.324991799999999</v>
      </c>
      <c r="U5075">
        <v>-0.78472900000000001</v>
      </c>
      <c r="V5075">
        <v>0.2292622</v>
      </c>
      <c r="W5075">
        <v>0.12647549999999999</v>
      </c>
      <c r="X5075">
        <v>0.96511290000000005</v>
      </c>
      <c r="Y5075">
        <v>0.28578710000000002</v>
      </c>
      <c r="Z5075">
        <v>-1.888681E-2</v>
      </c>
      <c r="AA5075">
        <v>0.95810700000000004</v>
      </c>
      <c r="AB5075">
        <v>23</v>
      </c>
      <c r="AC5075">
        <v>10.002799999999899</v>
      </c>
      <c r="AD5075">
        <v>-1.1097315113499999</v>
      </c>
      <c r="AE5075">
        <v>-2.68298999999999</v>
      </c>
      <c r="AF5075">
        <v>2.9737104694687102</v>
      </c>
      <c r="AG5075">
        <v>-1.1097315113499999</v>
      </c>
      <c r="AH5075">
        <v>9.7974619982795694</v>
      </c>
      <c r="AI5075">
        <v>96.185845954532297</v>
      </c>
      <c r="AJ5075">
        <v>73.115988290237496</v>
      </c>
      <c r="AK5075">
        <v>10.2987727225744</v>
      </c>
      <c r="AL5075">
        <v>82.734028401964096</v>
      </c>
      <c r="AM5075">
        <v>76.637090519074903</v>
      </c>
      <c r="AN5075">
        <v>1.00000005909774</v>
      </c>
    </row>
    <row r="5076" spans="1:40" x14ac:dyDescent="0.25">
      <c r="A5076" t="str">
        <f>"20190312151636877"</f>
        <v>20190312151636877</v>
      </c>
      <c r="B5076" t="str">
        <f>"1552374996873017"</f>
        <v>1552374996873017</v>
      </c>
      <c r="C5076" t="s">
        <v>40</v>
      </c>
      <c r="D5076">
        <v>4.5584930000000004</v>
      </c>
      <c r="E5076">
        <v>0.52214039999999995</v>
      </c>
      <c r="F5076" t="s">
        <v>43</v>
      </c>
      <c r="G5076">
        <v>-329.5052</v>
      </c>
      <c r="H5076" s="1">
        <v>-1.5404220000000001E-6</v>
      </c>
      <c r="I5076">
        <v>14.48174</v>
      </c>
      <c r="J5076">
        <v>-339.46170000000001</v>
      </c>
      <c r="K5076">
        <v>1.1096509999999999</v>
      </c>
      <c r="L5076">
        <v>17.165589999999899</v>
      </c>
      <c r="M5076">
        <v>0.99940200000000001</v>
      </c>
      <c r="N5076">
        <v>0</v>
      </c>
      <c r="O5076">
        <v>3.213212E-2</v>
      </c>
      <c r="P5076">
        <v>0.97348900000000005</v>
      </c>
      <c r="Q5076">
        <v>0.11416659999999999</v>
      </c>
      <c r="R5076">
        <v>-0.19820499999999999</v>
      </c>
      <c r="S5076">
        <v>2.959991</v>
      </c>
      <c r="T5076">
        <v>-0.32585720000000001</v>
      </c>
      <c r="U5076">
        <v>-0.78701779999999999</v>
      </c>
      <c r="V5076">
        <v>0.22957449999999999</v>
      </c>
      <c r="W5076">
        <v>0.12616569999999999</v>
      </c>
      <c r="X5076">
        <v>0.96507909999999997</v>
      </c>
      <c r="Y5076">
        <v>0.28608080000000002</v>
      </c>
      <c r="Z5076">
        <v>-1.8904190000000001E-2</v>
      </c>
      <c r="AA5076">
        <v>0.95801899999999995</v>
      </c>
      <c r="AB5076">
        <v>23</v>
      </c>
      <c r="AC5076">
        <v>9.9565000000000001</v>
      </c>
      <c r="AD5076">
        <v>-1.1096525404219999</v>
      </c>
      <c r="AE5076">
        <v>-2.6838499999999899</v>
      </c>
      <c r="AF5076">
        <v>2.96804435169879</v>
      </c>
      <c r="AG5076">
        <v>-1.1096525404219999</v>
      </c>
      <c r="AH5076">
        <v>9.7521855291302195</v>
      </c>
      <c r="AI5076">
        <v>96.212481625196702</v>
      </c>
      <c r="AJ5076">
        <v>73.072552072450506</v>
      </c>
      <c r="AK5076">
        <v>10.254059616985501</v>
      </c>
      <c r="AL5076">
        <v>82.751921190632899</v>
      </c>
      <c r="AM5076">
        <v>76.619090078247595</v>
      </c>
      <c r="AN5076">
        <v>0.99999995208177395</v>
      </c>
    </row>
    <row r="5077" spans="1:40" x14ac:dyDescent="0.25">
      <c r="A5077" t="str">
        <f>"20190312151636888"</f>
        <v>20190312151636888</v>
      </c>
      <c r="B5077" t="str">
        <f>"1552374996882777"</f>
        <v>1552374996882777</v>
      </c>
      <c r="C5077" t="s">
        <v>40</v>
      </c>
      <c r="D5077">
        <v>4.5698559999999997</v>
      </c>
      <c r="E5077">
        <v>0.5222234</v>
      </c>
      <c r="F5077" t="s">
        <v>43</v>
      </c>
      <c r="G5077">
        <v>-329.37950000000001</v>
      </c>
      <c r="H5077" s="1">
        <v>-1.591273E-6</v>
      </c>
      <c r="I5077">
        <v>14.47195</v>
      </c>
      <c r="J5077">
        <v>-339.34519999999998</v>
      </c>
      <c r="K5077">
        <v>1.1095740000000001</v>
      </c>
      <c r="L5077">
        <v>17.168849999999999</v>
      </c>
      <c r="M5077">
        <v>0.99941809999999998</v>
      </c>
      <c r="N5077">
        <v>0</v>
      </c>
      <c r="O5077">
        <v>3.1621459999999997E-2</v>
      </c>
      <c r="P5077">
        <v>0.97331599999999996</v>
      </c>
      <c r="Q5077">
        <v>0.1138723</v>
      </c>
      <c r="R5077">
        <v>-0.1992206</v>
      </c>
      <c r="S5077">
        <v>2.958923</v>
      </c>
      <c r="T5077">
        <v>-0.32566060000000002</v>
      </c>
      <c r="U5077">
        <v>-0.79052730000000004</v>
      </c>
      <c r="V5077">
        <v>0.23011429999999999</v>
      </c>
      <c r="W5077">
        <v>0.12582979999999999</v>
      </c>
      <c r="X5077">
        <v>0.96499440000000003</v>
      </c>
      <c r="Y5077">
        <v>0.28673900000000002</v>
      </c>
      <c r="Z5077">
        <v>-1.887693E-2</v>
      </c>
      <c r="AA5077">
        <v>0.95782270000000003</v>
      </c>
      <c r="AB5077">
        <v>23</v>
      </c>
      <c r="AC5077">
        <v>9.9656999999999698</v>
      </c>
      <c r="AD5077">
        <v>-1.1095755912729901</v>
      </c>
      <c r="AE5077">
        <v>-2.6968999999999901</v>
      </c>
      <c r="AF5077">
        <v>2.97632855000924</v>
      </c>
      <c r="AG5077">
        <v>-1.1095755912729901</v>
      </c>
      <c r="AH5077">
        <v>9.7626642143980398</v>
      </c>
      <c r="AI5077">
        <v>96.204542946977199</v>
      </c>
      <c r="AJ5077">
        <v>73.045188841078897</v>
      </c>
      <c r="AK5077">
        <v>10.266416229309799</v>
      </c>
      <c r="AL5077">
        <v>82.771321517464003</v>
      </c>
      <c r="AM5077">
        <v>76.587628270013099</v>
      </c>
      <c r="AN5077">
        <v>0.99999996083194398</v>
      </c>
    </row>
    <row r="5078" spans="1:40" x14ac:dyDescent="0.25">
      <c r="A5078" t="str">
        <f>"20190312151636901"</f>
        <v>20190312151636901</v>
      </c>
      <c r="B5078" t="str">
        <f>"1552374996892537"</f>
        <v>1552374996892537</v>
      </c>
      <c r="C5078" t="s">
        <v>40</v>
      </c>
      <c r="D5078">
        <v>4.5770920000000004</v>
      </c>
      <c r="E5078">
        <v>0.5222715</v>
      </c>
      <c r="F5078" t="s">
        <v>43</v>
      </c>
      <c r="G5078">
        <v>-329.24470000000002</v>
      </c>
      <c r="H5078" s="1">
        <v>-1.646989E-6</v>
      </c>
      <c r="I5078">
        <v>14.45716</v>
      </c>
      <c r="J5078">
        <v>-339.2278</v>
      </c>
      <c r="K5078">
        <v>1.10949599999999</v>
      </c>
      <c r="L5078">
        <v>17.172000000000001</v>
      </c>
      <c r="M5078">
        <v>0.99943669999999996</v>
      </c>
      <c r="N5078">
        <v>0</v>
      </c>
      <c r="O5078">
        <v>3.103003E-2</v>
      </c>
      <c r="P5078">
        <v>0.97311820000000004</v>
      </c>
      <c r="Q5078">
        <v>0.1142883</v>
      </c>
      <c r="R5078">
        <v>-0.19994919999999999</v>
      </c>
      <c r="S5078">
        <v>2.9577330000000002</v>
      </c>
      <c r="T5078">
        <v>-0.32491759999999997</v>
      </c>
      <c r="U5078">
        <v>-0.79406739999999998</v>
      </c>
      <c r="V5078">
        <v>0.2302891</v>
      </c>
      <c r="W5078">
        <v>0.12620490000000001</v>
      </c>
      <c r="X5078">
        <v>0.96490370000000003</v>
      </c>
      <c r="Y5078">
        <v>0.28734549999999998</v>
      </c>
      <c r="Z5078">
        <v>-1.880743E-2</v>
      </c>
      <c r="AA5078">
        <v>0.95764229999999995</v>
      </c>
      <c r="AB5078">
        <v>23</v>
      </c>
      <c r="AC5078">
        <v>9.9830999999999808</v>
      </c>
      <c r="AD5078">
        <v>-1.1094976469890001</v>
      </c>
      <c r="AE5078">
        <v>-2.7148400000000001</v>
      </c>
      <c r="AF5078">
        <v>2.9889575953769199</v>
      </c>
      <c r="AG5078">
        <v>-1.1094976469890001</v>
      </c>
      <c r="AH5078">
        <v>9.7815456328084096</v>
      </c>
      <c r="AI5078">
        <v>96.191022539520702</v>
      </c>
      <c r="AJ5078">
        <v>73.008362472301599</v>
      </c>
      <c r="AK5078">
        <v>10.2880264143493</v>
      </c>
      <c r="AL5078">
        <v>82.749657070938397</v>
      </c>
      <c r="AM5078">
        <v>76.576592463995695</v>
      </c>
      <c r="AN5078">
        <v>0.99999994831825301</v>
      </c>
    </row>
    <row r="5079" spans="1:40" x14ac:dyDescent="0.25">
      <c r="A5079" t="str">
        <f>"20190312151636911"</f>
        <v>20190312151636911</v>
      </c>
      <c r="B5079" t="str">
        <f>"1552374996903273"</f>
        <v>1552374996903273</v>
      </c>
      <c r="C5079" t="s">
        <v>40</v>
      </c>
      <c r="D5079">
        <v>4.5794769999999998</v>
      </c>
      <c r="E5079">
        <v>0.52221640000000003</v>
      </c>
      <c r="F5079" t="s">
        <v>43</v>
      </c>
      <c r="G5079">
        <v>-329.02440000000001</v>
      </c>
      <c r="H5079" s="1">
        <v>-1.7407379999999999E-6</v>
      </c>
      <c r="I5079">
        <v>14.42277</v>
      </c>
      <c r="J5079">
        <v>-339.12049999999999</v>
      </c>
      <c r="K5079">
        <v>1.1094250000000001</v>
      </c>
      <c r="L5079">
        <v>17.174800000000001</v>
      </c>
      <c r="M5079">
        <v>0.99945410000000001</v>
      </c>
      <c r="N5079">
        <v>0</v>
      </c>
      <c r="O5079">
        <v>3.046047E-2</v>
      </c>
      <c r="P5079">
        <v>0.97289329999999996</v>
      </c>
      <c r="Q5079">
        <v>0.11459179999999999</v>
      </c>
      <c r="R5079">
        <v>-0.20086799999999999</v>
      </c>
      <c r="S5079">
        <v>2.9569399999999999</v>
      </c>
      <c r="T5079">
        <v>-0.32153150000000003</v>
      </c>
      <c r="U5079">
        <v>-0.79672240000000005</v>
      </c>
      <c r="V5079">
        <v>0.2306724</v>
      </c>
      <c r="W5079">
        <v>0.12646979999999999</v>
      </c>
      <c r="X5079">
        <v>0.96477749999999995</v>
      </c>
      <c r="Y5079">
        <v>0.28770400000000002</v>
      </c>
      <c r="Z5079">
        <v>-1.8573530000000001E-2</v>
      </c>
      <c r="AA5079">
        <v>0.95753929999999998</v>
      </c>
      <c r="AB5079">
        <v>23</v>
      </c>
      <c r="AC5079">
        <v>10.0960999999999</v>
      </c>
      <c r="AD5079">
        <v>-1.1094267407380001</v>
      </c>
      <c r="AE5079">
        <v>-2.7520299999999902</v>
      </c>
      <c r="AF5079">
        <v>3.0243167770936901</v>
      </c>
      <c r="AG5079">
        <v>-1.1094267407380001</v>
      </c>
      <c r="AH5079">
        <v>9.8963451266924398</v>
      </c>
      <c r="AI5079">
        <v>96.119317498551695</v>
      </c>
      <c r="AJ5079">
        <v>73.006881031179802</v>
      </c>
      <c r="AK5079">
        <v>10.4074476471363</v>
      </c>
      <c r="AL5079">
        <v>82.734357166779901</v>
      </c>
      <c r="AM5079">
        <v>76.553365875571998</v>
      </c>
      <c r="AN5079">
        <v>0.99999999547002405</v>
      </c>
    </row>
    <row r="5080" spans="1:40" x14ac:dyDescent="0.25">
      <c r="A5080" t="str">
        <f>"20190312151636922"</f>
        <v>20190312151636922</v>
      </c>
      <c r="B5080" t="str">
        <f>"1552374996913033"</f>
        <v>1552374996913033</v>
      </c>
      <c r="C5080" t="s">
        <v>40</v>
      </c>
      <c r="D5080">
        <v>4.5690980000000003</v>
      </c>
      <c r="E5080">
        <v>0.522231</v>
      </c>
      <c r="F5080" t="s">
        <v>43</v>
      </c>
      <c r="G5080">
        <v>-328.89830000000001</v>
      </c>
      <c r="H5080" s="1">
        <v>-1.79197E-6</v>
      </c>
      <c r="I5080">
        <v>14.412129999999999</v>
      </c>
      <c r="J5080">
        <v>-339.00009999999997</v>
      </c>
      <c r="K5080">
        <v>1.1093489999999999</v>
      </c>
      <c r="L5080">
        <v>17.177700000000002</v>
      </c>
      <c r="M5080">
        <v>0.99947609999999998</v>
      </c>
      <c r="N5080">
        <v>0</v>
      </c>
      <c r="O5080">
        <v>2.972816E-2</v>
      </c>
      <c r="P5080">
        <v>0.97264059999999997</v>
      </c>
      <c r="Q5080">
        <v>0.1146585</v>
      </c>
      <c r="R5080">
        <v>-0.20204920000000001</v>
      </c>
      <c r="S5080">
        <v>2.9564210000000002</v>
      </c>
      <c r="T5080">
        <v>-0.32086540000000002</v>
      </c>
      <c r="U5080">
        <v>-0.79901119999999903</v>
      </c>
      <c r="V5080">
        <v>0.23116210000000001</v>
      </c>
      <c r="W5080">
        <v>0.12649440000000001</v>
      </c>
      <c r="X5080">
        <v>0.96465710000000005</v>
      </c>
      <c r="Y5080">
        <v>0.28774680000000002</v>
      </c>
      <c r="Z5080">
        <v>-1.8460859999999999E-2</v>
      </c>
      <c r="AA5080">
        <v>0.95752859999999995</v>
      </c>
      <c r="AB5080">
        <v>23</v>
      </c>
      <c r="AC5080">
        <v>10.1017999999999</v>
      </c>
      <c r="AD5080">
        <v>-1.1093507919700001</v>
      </c>
      <c r="AE5080">
        <v>-2.7655699999999999</v>
      </c>
      <c r="AF5080">
        <v>3.0306789754958601</v>
      </c>
      <c r="AG5080">
        <v>-1.1093507919700001</v>
      </c>
      <c r="AH5080">
        <v>9.9040000166820494</v>
      </c>
      <c r="AI5080">
        <v>96.113519028727197</v>
      </c>
      <c r="AJ5080">
        <v>72.985598510035501</v>
      </c>
      <c r="AK5080">
        <v>10.416568079871301</v>
      </c>
      <c r="AL5080">
        <v>82.7329365691634</v>
      </c>
      <c r="AM5080">
        <v>76.524239161577398</v>
      </c>
      <c r="AN5080">
        <v>1.0000000351440801</v>
      </c>
    </row>
    <row r="5081" spans="1:40" x14ac:dyDescent="0.25">
      <c r="A5081" t="str">
        <f>"20190312151636936"</f>
        <v>20190312151636936</v>
      </c>
      <c r="B5081" t="str">
        <f>"1552374996932553"</f>
        <v>1552374996932553</v>
      </c>
      <c r="C5081" t="s">
        <v>40</v>
      </c>
      <c r="D5081">
        <v>4.5940180000000002</v>
      </c>
      <c r="E5081">
        <v>0.52213719999999997</v>
      </c>
      <c r="F5081" t="s">
        <v>43</v>
      </c>
      <c r="G5081">
        <v>-328.80930000000001</v>
      </c>
      <c r="H5081" s="1">
        <v>-1.8266940000000001E-6</v>
      </c>
      <c r="I5081">
        <v>14.41018</v>
      </c>
      <c r="J5081">
        <v>-338.86219999999997</v>
      </c>
      <c r="K5081">
        <v>1.1092610000000001</v>
      </c>
      <c r="L5081">
        <v>17.180969999999999</v>
      </c>
      <c r="M5081">
        <v>0.99950190000000005</v>
      </c>
      <c r="N5081">
        <v>0</v>
      </c>
      <c r="O5081">
        <v>2.8843239999999999E-2</v>
      </c>
      <c r="P5081">
        <v>0.97237799999999996</v>
      </c>
      <c r="Q5081">
        <v>0.114981</v>
      </c>
      <c r="R5081">
        <v>-0.20312740000000001</v>
      </c>
      <c r="S5081">
        <v>2.9555660000000001</v>
      </c>
      <c r="T5081">
        <v>-0.32173649999999998</v>
      </c>
      <c r="U5081">
        <v>-0.80264279999999999</v>
      </c>
      <c r="V5081">
        <v>0.23140469999999999</v>
      </c>
      <c r="W5081">
        <v>0.1267711</v>
      </c>
      <c r="X5081">
        <v>0.96456260000000005</v>
      </c>
      <c r="Y5081">
        <v>0.2880587</v>
      </c>
      <c r="Z5081">
        <v>-1.843506E-2</v>
      </c>
      <c r="AA5081">
        <v>0.95743529999999999</v>
      </c>
      <c r="AB5081">
        <v>23</v>
      </c>
      <c r="AC5081">
        <v>10.0528999999999</v>
      </c>
      <c r="AD5081">
        <v>-1.1092628266939999</v>
      </c>
      <c r="AE5081">
        <v>-2.7707899999999999</v>
      </c>
      <c r="AF5081">
        <v>3.0253842043908401</v>
      </c>
      <c r="AG5081">
        <v>-1.1092628266939999</v>
      </c>
      <c r="AH5081">
        <v>9.8572484912929692</v>
      </c>
      <c r="AI5081">
        <v>96.140249344786895</v>
      </c>
      <c r="AJ5081">
        <v>72.937716041868399</v>
      </c>
      <c r="AK5081">
        <v>10.370571894643</v>
      </c>
      <c r="AL5081">
        <v>82.716954112609002</v>
      </c>
      <c r="AM5081">
        <v>76.509339932962703</v>
      </c>
      <c r="AN5081">
        <v>1.0000000281480199</v>
      </c>
    </row>
    <row r="5082" spans="1:40" x14ac:dyDescent="0.25">
      <c r="A5082" t="str">
        <f>"20190312151636952"</f>
        <v>20190312151636952</v>
      </c>
      <c r="B5082" t="str">
        <f>"1552374996943289"</f>
        <v>1552374996943289</v>
      </c>
      <c r="C5082" t="s">
        <v>40</v>
      </c>
      <c r="D5082">
        <v>4.5984350000000003</v>
      </c>
      <c r="E5082">
        <v>0.52215710000000004</v>
      </c>
      <c r="F5082" t="s">
        <v>43</v>
      </c>
      <c r="G5082">
        <v>-328.64690000000002</v>
      </c>
      <c r="H5082" s="1">
        <v>-1.8922479999999999E-6</v>
      </c>
      <c r="I5082">
        <v>14.398160000000001</v>
      </c>
      <c r="J5082">
        <v>-338.70490000000001</v>
      </c>
      <c r="K5082">
        <v>1.109164</v>
      </c>
      <c r="L5082">
        <v>17.18439</v>
      </c>
      <c r="M5082">
        <v>0.99953349999999996</v>
      </c>
      <c r="N5082">
        <v>0</v>
      </c>
      <c r="O5082">
        <v>2.772697E-2</v>
      </c>
      <c r="P5082">
        <v>0.97204840000000003</v>
      </c>
      <c r="Q5082">
        <v>0.1149366</v>
      </c>
      <c r="R5082">
        <v>-0.20472270000000001</v>
      </c>
      <c r="S5082">
        <v>2.9550169999999998</v>
      </c>
      <c r="T5082">
        <v>-0.32088070000000002</v>
      </c>
      <c r="U5082">
        <v>-0.80499270000000001</v>
      </c>
      <c r="V5082">
        <v>0.2319416</v>
      </c>
      <c r="W5082">
        <v>0.12667509999999901</v>
      </c>
      <c r="X5082">
        <v>0.96444620000000003</v>
      </c>
      <c r="Y5082">
        <v>0.28776069999999998</v>
      </c>
      <c r="Z5082">
        <v>-1.8252959999999999E-2</v>
      </c>
      <c r="AA5082">
        <v>0.95752839999999995</v>
      </c>
      <c r="AB5082">
        <v>23</v>
      </c>
      <c r="AC5082">
        <v>10.0579999999999</v>
      </c>
      <c r="AD5082">
        <v>-1.1091658922480001</v>
      </c>
      <c r="AE5082">
        <v>-2.7862300000000002</v>
      </c>
      <c r="AF5082">
        <v>3.0298394024792401</v>
      </c>
      <c r="AG5082">
        <v>-1.1091658922480001</v>
      </c>
      <c r="AH5082">
        <v>9.8654489157159606</v>
      </c>
      <c r="AI5082">
        <v>96.134316714791197</v>
      </c>
      <c r="AJ5082">
        <v>72.9274284899804</v>
      </c>
      <c r="AK5082">
        <v>10.379655971656399</v>
      </c>
      <c r="AL5082">
        <v>82.722498856893495</v>
      </c>
      <c r="AM5082">
        <v>76.477615206366806</v>
      </c>
      <c r="AN5082">
        <v>0.99999997973250399</v>
      </c>
    </row>
    <row r="5083" spans="1:40" x14ac:dyDescent="0.25">
      <c r="A5083" t="str">
        <f>"20190312151636964"</f>
        <v>20190312151636964</v>
      </c>
      <c r="B5083" t="str">
        <f>"1552374996953050"</f>
        <v>1552374996953050</v>
      </c>
      <c r="C5083" t="s">
        <v>40</v>
      </c>
      <c r="D5083">
        <v>4.5819409999999996</v>
      </c>
      <c r="E5083">
        <v>0.52218350000000002</v>
      </c>
      <c r="F5083" t="s">
        <v>43</v>
      </c>
      <c r="G5083">
        <v>-328.52440000000001</v>
      </c>
      <c r="H5083" s="1">
        <v>-1.9405840000000001E-6</v>
      </c>
      <c r="I5083">
        <v>14.39329</v>
      </c>
      <c r="J5083">
        <v>-338.56220000000002</v>
      </c>
      <c r="K5083">
        <v>1.1090799999999901</v>
      </c>
      <c r="L5083">
        <v>17.187159999999999</v>
      </c>
      <c r="M5083">
        <v>0.99956339999999999</v>
      </c>
      <c r="N5083">
        <v>0</v>
      </c>
      <c r="O5083">
        <v>2.662672E-2</v>
      </c>
      <c r="P5083">
        <v>0.97176280000000004</v>
      </c>
      <c r="Q5083">
        <v>0.1150142</v>
      </c>
      <c r="R5083">
        <v>-0.20603170000000001</v>
      </c>
      <c r="S5083">
        <v>2.9537960000000001</v>
      </c>
      <c r="T5083">
        <v>-0.32181530000000003</v>
      </c>
      <c r="U5083">
        <v>-0.80981449999999999</v>
      </c>
      <c r="V5083">
        <v>0.2322043</v>
      </c>
      <c r="W5083">
        <v>0.12671109999999999</v>
      </c>
      <c r="X5083">
        <v>0.96437830000000002</v>
      </c>
      <c r="Y5083">
        <v>0.28825469999999997</v>
      </c>
      <c r="Z5083">
        <v>-1.821805E-2</v>
      </c>
      <c r="AA5083">
        <v>0.95738049999999997</v>
      </c>
      <c r="AB5083">
        <v>23</v>
      </c>
      <c r="AC5083">
        <v>10.037800000000001</v>
      </c>
      <c r="AD5083">
        <v>-1.10908194058399</v>
      </c>
      <c r="AE5083">
        <v>-2.7938700000000001</v>
      </c>
      <c r="AF5083">
        <v>3.0258903532886801</v>
      </c>
      <c r="AG5083">
        <v>-1.10908194058399</v>
      </c>
      <c r="AH5083">
        <v>9.8482581675169207</v>
      </c>
      <c r="AI5083">
        <v>96.144249921881794</v>
      </c>
      <c r="AJ5083">
        <v>72.920355225571697</v>
      </c>
      <c r="AK5083">
        <v>10.362155379800001</v>
      </c>
      <c r="AL5083">
        <v>82.720419767033803</v>
      </c>
      <c r="AM5083">
        <v>76.461944878135895</v>
      </c>
      <c r="AN5083">
        <v>1.00000002265629</v>
      </c>
    </row>
    <row r="5084" spans="1:40" x14ac:dyDescent="0.25">
      <c r="A5084" t="str">
        <f>"20190312151636980"</f>
        <v>20190312151636980</v>
      </c>
      <c r="B5084" t="str">
        <f>"1552374996972569"</f>
        <v>1552374996972569</v>
      </c>
      <c r="C5084" t="s">
        <v>40</v>
      </c>
      <c r="D5084">
        <v>4.5717509999999999</v>
      </c>
      <c r="E5084">
        <v>0.52214280000000002</v>
      </c>
      <c r="F5084" t="s">
        <v>43</v>
      </c>
      <c r="G5084">
        <v>-328.37169999999998</v>
      </c>
      <c r="H5084" s="1">
        <v>-2.0033450000000001E-6</v>
      </c>
      <c r="I5084">
        <v>14.377800000000001</v>
      </c>
      <c r="J5084">
        <v>-338.40179999999998</v>
      </c>
      <c r="K5084">
        <v>1.108994</v>
      </c>
      <c r="L5084">
        <v>17.190089999999898</v>
      </c>
      <c r="M5084">
        <v>0.99959699999999996</v>
      </c>
      <c r="N5084">
        <v>0</v>
      </c>
      <c r="O5084">
        <v>2.5324630000000001E-2</v>
      </c>
      <c r="P5084">
        <v>0.97143999999999997</v>
      </c>
      <c r="Q5084">
        <v>0.11442339999999999</v>
      </c>
      <c r="R5084">
        <v>-0.20787459999999999</v>
      </c>
      <c r="S5084">
        <v>2.9526370000000002</v>
      </c>
      <c r="T5084">
        <v>-0.32134990000000002</v>
      </c>
      <c r="U5084">
        <v>-0.81399540000000004</v>
      </c>
      <c r="V5084">
        <v>0.2328045</v>
      </c>
      <c r="W5084">
        <v>0.1260753</v>
      </c>
      <c r="X5084">
        <v>0.96431690000000003</v>
      </c>
      <c r="Y5084">
        <v>0.288375299999999</v>
      </c>
      <c r="Z5084">
        <v>-1.8062870000000002E-2</v>
      </c>
      <c r="AA5084">
        <v>0.95734710000000001</v>
      </c>
      <c r="AB5084">
        <v>23</v>
      </c>
      <c r="AC5084">
        <v>10.030099999999999</v>
      </c>
      <c r="AD5084">
        <v>-1.1089960033449999</v>
      </c>
      <c r="AE5084">
        <v>-2.8122899999999902</v>
      </c>
      <c r="AF5084">
        <v>3.03106333130828</v>
      </c>
      <c r="AG5084">
        <v>-1.1089960033449999</v>
      </c>
      <c r="AH5084">
        <v>9.8440838479062602</v>
      </c>
      <c r="AI5084">
        <v>96.145238941533904</v>
      </c>
      <c r="AJ5084">
        <v>72.886029265178195</v>
      </c>
      <c r="AK5084">
        <v>10.359691301310299</v>
      </c>
      <c r="AL5084">
        <v>82.757142770599401</v>
      </c>
      <c r="AM5084">
        <v>76.427412387939299</v>
      </c>
      <c r="AN5084">
        <v>1.0000000000579701</v>
      </c>
    </row>
    <row r="5085" spans="1:40" x14ac:dyDescent="0.25">
      <c r="A5085" t="str">
        <f>"20190312151636995"</f>
        <v>20190312151636995</v>
      </c>
      <c r="B5085" t="str">
        <f>"1552374996983306"</f>
        <v>1552374996983306</v>
      </c>
      <c r="C5085" t="s">
        <v>40</v>
      </c>
      <c r="D5085">
        <v>4.5944430000000001</v>
      </c>
      <c r="E5085">
        <v>0.52218549999999997</v>
      </c>
      <c r="F5085" t="s">
        <v>43</v>
      </c>
      <c r="G5085">
        <v>-328.29219999999998</v>
      </c>
      <c r="H5085" s="1">
        <v>-2.0322260000000001E-6</v>
      </c>
      <c r="I5085">
        <v>14.38396</v>
      </c>
      <c r="J5085">
        <v>-338.23860000000002</v>
      </c>
      <c r="K5085">
        <v>1.1089169999999999</v>
      </c>
      <c r="L5085">
        <v>17.192779999999999</v>
      </c>
      <c r="M5085">
        <v>0.99963150000000001</v>
      </c>
      <c r="N5085">
        <v>0</v>
      </c>
      <c r="O5085">
        <v>2.392675E-2</v>
      </c>
      <c r="P5085">
        <v>0.97113680000000002</v>
      </c>
      <c r="Q5085">
        <v>0.11387410000000001</v>
      </c>
      <c r="R5085">
        <v>-0.20958550000000001</v>
      </c>
      <c r="S5085">
        <v>2.9510190000000001</v>
      </c>
      <c r="T5085">
        <v>-0.32372060000000002</v>
      </c>
      <c r="U5085">
        <v>-0.81912229999999997</v>
      </c>
      <c r="V5085">
        <v>0.23317930000000001</v>
      </c>
      <c r="W5085">
        <v>0.1254864</v>
      </c>
      <c r="X5085">
        <v>0.96430309999999997</v>
      </c>
      <c r="Y5085">
        <v>0.28869630000000002</v>
      </c>
      <c r="Z5085">
        <v>-1.8067779999999999E-2</v>
      </c>
      <c r="AA5085">
        <v>0.95725020000000005</v>
      </c>
      <c r="AB5085">
        <v>23</v>
      </c>
      <c r="AC5085">
        <v>9.9464000000000397</v>
      </c>
      <c r="AD5085">
        <v>-1.1089190322260001</v>
      </c>
      <c r="AE5085">
        <v>-2.8088199999999901</v>
      </c>
      <c r="AF5085">
        <v>3.0113540282823501</v>
      </c>
      <c r="AG5085">
        <v>-1.1089190322260001</v>
      </c>
      <c r="AH5085">
        <v>9.7639394046614392</v>
      </c>
      <c r="AI5085">
        <v>96.193982939550295</v>
      </c>
      <c r="AJ5085">
        <v>72.859406277822899</v>
      </c>
      <c r="AK5085">
        <v>10.2777656716616</v>
      </c>
      <c r="AL5085">
        <v>82.791153979418496</v>
      </c>
      <c r="AM5085">
        <v>76.406184281109205</v>
      </c>
      <c r="AN5085">
        <v>0.99999994560152805</v>
      </c>
    </row>
    <row r="5086" spans="1:40" x14ac:dyDescent="0.25">
      <c r="A5086" t="str">
        <f>"20190312151637013"</f>
        <v>20190312151637013</v>
      </c>
      <c r="B5086" t="str">
        <f>"1552374997002825"</f>
        <v>1552374997002825</v>
      </c>
      <c r="C5086" t="s">
        <v>40</v>
      </c>
      <c r="D5086">
        <v>4.6110340000000001</v>
      </c>
      <c r="E5086">
        <v>0.52229910000000002</v>
      </c>
      <c r="F5086" t="s">
        <v>43</v>
      </c>
      <c r="G5086">
        <v>-328.18729999999999</v>
      </c>
      <c r="H5086" s="1">
        <v>-2.0728899999999998E-6</v>
      </c>
      <c r="I5086">
        <v>14.382630000000001</v>
      </c>
      <c r="J5086">
        <v>-338.05380000000002</v>
      </c>
      <c r="K5086">
        <v>1.1088340000000001</v>
      </c>
      <c r="L5086">
        <v>17.195429999999899</v>
      </c>
      <c r="M5086">
        <v>0.9996699</v>
      </c>
      <c r="N5086">
        <v>0</v>
      </c>
      <c r="O5086">
        <v>2.2256870000000002E-2</v>
      </c>
      <c r="P5086">
        <v>0.97061629999999999</v>
      </c>
      <c r="Q5086">
        <v>0.1134537</v>
      </c>
      <c r="R5086">
        <v>-0.2122086</v>
      </c>
      <c r="S5086">
        <v>2.9493710000000002</v>
      </c>
      <c r="T5086">
        <v>-0.32539089999999998</v>
      </c>
      <c r="U5086">
        <v>-0.82458500000000001</v>
      </c>
      <c r="V5086">
        <v>0.23419799999999999</v>
      </c>
      <c r="W5086">
        <v>0.1250232</v>
      </c>
      <c r="X5086">
        <v>0.96411639999999998</v>
      </c>
      <c r="Y5086">
        <v>0.28887069999999998</v>
      </c>
      <c r="Z5086">
        <v>-1.7994710000000001E-2</v>
      </c>
      <c r="AA5086">
        <v>0.95719900000000002</v>
      </c>
      <c r="AB5086">
        <v>23</v>
      </c>
      <c r="AC5086">
        <v>9.8665000000000305</v>
      </c>
      <c r="AD5086">
        <v>-1.10883607289</v>
      </c>
      <c r="AE5086">
        <v>-2.8128000000000002</v>
      </c>
      <c r="AF5086">
        <v>2.99671457641755</v>
      </c>
      <c r="AG5086">
        <v>-1.10883607289</v>
      </c>
      <c r="AH5086">
        <v>9.6882793546005797</v>
      </c>
      <c r="AI5086">
        <v>96.239943979832006</v>
      </c>
      <c r="AJ5086">
        <v>72.812461280631197</v>
      </c>
      <c r="AK5086">
        <v>10.201596568274701</v>
      </c>
      <c r="AL5086">
        <v>82.817904217053893</v>
      </c>
      <c r="AM5086">
        <v>76.346469379425002</v>
      </c>
      <c r="AN5086">
        <v>0.999999968245599</v>
      </c>
    </row>
    <row r="5087" spans="1:40" x14ac:dyDescent="0.25">
      <c r="A5087" t="str">
        <f>"20190312151637025"</f>
        <v>20190312151637025</v>
      </c>
      <c r="B5087" t="str">
        <f>"1552374997012587"</f>
        <v>1552374997012587</v>
      </c>
      <c r="C5087" t="s">
        <v>40</v>
      </c>
      <c r="D5087">
        <v>4.5888429999999998</v>
      </c>
      <c r="E5087">
        <v>0.52237920000000004</v>
      </c>
      <c r="F5087" t="s">
        <v>43</v>
      </c>
      <c r="G5087">
        <v>-328.0598</v>
      </c>
      <c r="H5087" s="1">
        <v>-2.1248899999999999E-6</v>
      </c>
      <c r="I5087">
        <v>14.3711</v>
      </c>
      <c r="J5087">
        <v>-337.92270000000002</v>
      </c>
      <c r="K5087">
        <v>1.108792</v>
      </c>
      <c r="L5087">
        <v>17.19699</v>
      </c>
      <c r="M5087">
        <v>0.99969669999999999</v>
      </c>
      <c r="N5087">
        <v>0</v>
      </c>
      <c r="O5087">
        <v>2.1015639999999999E-2</v>
      </c>
      <c r="P5087">
        <v>0.97028340000000002</v>
      </c>
      <c r="Q5087">
        <v>0.113216899999999</v>
      </c>
      <c r="R5087">
        <v>-0.2138504</v>
      </c>
      <c r="S5087">
        <v>2.9469599999999998</v>
      </c>
      <c r="T5087">
        <v>-0.32696769999999997</v>
      </c>
      <c r="U5087">
        <v>-0.83282469999999997</v>
      </c>
      <c r="V5087">
        <v>0.23464499999999999</v>
      </c>
      <c r="W5087">
        <v>0.124764899999999</v>
      </c>
      <c r="X5087">
        <v>0.96404120000000004</v>
      </c>
      <c r="Y5087">
        <v>0.290346299999999</v>
      </c>
      <c r="Z5087">
        <v>-1.8034129999999999E-2</v>
      </c>
      <c r="AA5087">
        <v>0.95675169999999998</v>
      </c>
      <c r="AB5087">
        <v>23</v>
      </c>
      <c r="AC5087">
        <v>9.8629000000000193</v>
      </c>
      <c r="AD5087">
        <v>-1.10879412489</v>
      </c>
      <c r="AE5087">
        <v>-2.8258899999999998</v>
      </c>
      <c r="AF5087">
        <v>2.99754784267353</v>
      </c>
      <c r="AG5087">
        <v>-1.10879412489</v>
      </c>
      <c r="AH5087">
        <v>9.6881745041925402</v>
      </c>
      <c r="AI5087">
        <v>96.239620600182405</v>
      </c>
      <c r="AJ5087">
        <v>72.807788725658597</v>
      </c>
      <c r="AK5087">
        <v>10.201737239519201</v>
      </c>
      <c r="AL5087">
        <v>82.832820709248693</v>
      </c>
      <c r="AM5087">
        <v>76.320360856342901</v>
      </c>
      <c r="AN5087">
        <v>0.99999999579722498</v>
      </c>
    </row>
    <row r="5088" spans="1:40" x14ac:dyDescent="0.25">
      <c r="A5088" t="str">
        <f>"20190312151637037"</f>
        <v>20190312151637037</v>
      </c>
      <c r="B5088" t="str">
        <f>"1552374997033269"</f>
        <v>1552374997033269</v>
      </c>
      <c r="C5088" t="s">
        <v>40</v>
      </c>
      <c r="D5088">
        <v>4.5884080000000003</v>
      </c>
      <c r="E5088">
        <v>0.52256629999999904</v>
      </c>
      <c r="F5088" t="s">
        <v>43</v>
      </c>
      <c r="G5088">
        <v>-327.94889999999998</v>
      </c>
      <c r="H5088" s="1">
        <v>-2.171069E-6</v>
      </c>
      <c r="I5088">
        <v>14.35763</v>
      </c>
      <c r="J5088">
        <v>-337.80259999999998</v>
      </c>
      <c r="K5088">
        <v>1.108757</v>
      </c>
      <c r="L5088">
        <v>17.198329999999999</v>
      </c>
      <c r="M5088">
        <v>0.99972019999999995</v>
      </c>
      <c r="N5088">
        <v>0</v>
      </c>
      <c r="O5088">
        <v>1.9864380000000001E-2</v>
      </c>
      <c r="P5088">
        <v>0.96996119999999997</v>
      </c>
      <c r="Q5088">
        <v>0.112773</v>
      </c>
      <c r="R5088">
        <v>-0.21554090000000001</v>
      </c>
      <c r="S5088">
        <v>2.9452820000000002</v>
      </c>
      <c r="T5088">
        <v>-0.32742939999999998</v>
      </c>
      <c r="U5088">
        <v>-0.83847050000000001</v>
      </c>
      <c r="V5088">
        <v>0.23522499999999999</v>
      </c>
      <c r="W5088">
        <v>0.1243027</v>
      </c>
      <c r="X5088">
        <v>0.96395960000000003</v>
      </c>
      <c r="Y5088">
        <v>0.29108149999999999</v>
      </c>
      <c r="Z5088">
        <v>-1.7979370000000001E-2</v>
      </c>
      <c r="AA5088">
        <v>0.95652930000000003</v>
      </c>
      <c r="AB5088">
        <v>23</v>
      </c>
      <c r="AC5088">
        <v>9.8536999999999999</v>
      </c>
      <c r="AD5088">
        <v>-1.1087591710689999</v>
      </c>
      <c r="AE5088">
        <v>-2.8407</v>
      </c>
      <c r="AF5088">
        <v>3.0008145586322401</v>
      </c>
      <c r="AG5088">
        <v>-1.1087591710689999</v>
      </c>
      <c r="AH5088">
        <v>9.6821406814683897</v>
      </c>
      <c r="AI5088">
        <v>96.242355178183104</v>
      </c>
      <c r="AJ5088">
        <v>72.780068011478505</v>
      </c>
      <c r="AK5088">
        <v>10.1969644056686</v>
      </c>
      <c r="AL5088">
        <v>82.859510879437494</v>
      </c>
      <c r="AM5088">
        <v>76.286705270873895</v>
      </c>
      <c r="AN5088">
        <v>1.0000000361422201</v>
      </c>
    </row>
    <row r="5089" spans="1:40" x14ac:dyDescent="0.25">
      <c r="A5089" t="str">
        <f>"20190312151637048"</f>
        <v>20190312151637048</v>
      </c>
      <c r="B5089" t="str">
        <f>"1552374997043030"</f>
        <v>1552374997043030</v>
      </c>
      <c r="C5089" t="s">
        <v>40</v>
      </c>
      <c r="D5089">
        <v>4.6027360000000002</v>
      </c>
      <c r="E5089">
        <v>0.52269909999999997</v>
      </c>
      <c r="F5089" t="s">
        <v>43</v>
      </c>
      <c r="G5089">
        <v>-327.86869999999999</v>
      </c>
      <c r="H5089" s="1">
        <v>-2.2053459999999999E-6</v>
      </c>
      <c r="I5089">
        <v>14.344609999999999</v>
      </c>
      <c r="J5089">
        <v>-337.67750000000001</v>
      </c>
      <c r="K5089">
        <v>1.1087290000000001</v>
      </c>
      <c r="L5089">
        <v>17.199490000000001</v>
      </c>
      <c r="M5089">
        <v>0.99974390000000002</v>
      </c>
      <c r="N5089">
        <v>0</v>
      </c>
      <c r="O5089">
        <v>1.863946E-2</v>
      </c>
      <c r="P5089">
        <v>0.96969559999999999</v>
      </c>
      <c r="Q5089">
        <v>0.1124806</v>
      </c>
      <c r="R5089">
        <v>-0.21688499999999999</v>
      </c>
      <c r="S5089">
        <v>2.9431759999999998</v>
      </c>
      <c r="T5089">
        <v>-0.32849840000000002</v>
      </c>
      <c r="U5089">
        <v>-0.8454895</v>
      </c>
      <c r="V5089">
        <v>0.23538770000000001</v>
      </c>
      <c r="W5089">
        <v>0.1239975</v>
      </c>
      <c r="X5089">
        <v>0.96395920000000002</v>
      </c>
      <c r="Y5089">
        <v>0.29218690000000003</v>
      </c>
      <c r="Z5089">
        <v>-1.7970819999999998E-2</v>
      </c>
      <c r="AA5089">
        <v>0.95619240000000005</v>
      </c>
      <c r="AB5089">
        <v>23</v>
      </c>
      <c r="AC5089">
        <v>9.8088000000000193</v>
      </c>
      <c r="AD5089">
        <v>-1.1087312053459999</v>
      </c>
      <c r="AE5089">
        <v>-2.8548800000000001</v>
      </c>
      <c r="AF5089">
        <v>3.0018708606965099</v>
      </c>
      <c r="AG5089">
        <v>-1.1087312053459999</v>
      </c>
      <c r="AH5089">
        <v>9.6403249707288907</v>
      </c>
      <c r="AI5089">
        <v>96.266498610460999</v>
      </c>
      <c r="AJ5089">
        <v>72.704095933083806</v>
      </c>
      <c r="AK5089">
        <v>10.1575774223613</v>
      </c>
      <c r="AL5089">
        <v>82.877133950451594</v>
      </c>
      <c r="AM5089">
        <v>76.277573069637597</v>
      </c>
      <c r="AN5089">
        <v>1.0000000442910799</v>
      </c>
    </row>
    <row r="5090" spans="1:40" x14ac:dyDescent="0.25">
      <c r="A5090" t="str">
        <f>"20190312151637059"</f>
        <v>20190312151637059</v>
      </c>
      <c r="B5090" t="str">
        <f>"1552374997052789"</f>
        <v>1552374997052789</v>
      </c>
      <c r="C5090" t="s">
        <v>40</v>
      </c>
      <c r="D5090">
        <v>4.6070669999999998</v>
      </c>
      <c r="E5090">
        <v>0.52286390000000005</v>
      </c>
      <c r="F5090" t="s">
        <v>43</v>
      </c>
      <c r="G5090">
        <v>-327.77870000000001</v>
      </c>
      <c r="H5090" s="1">
        <v>-2.2422150000000001E-6</v>
      </c>
      <c r="I5090">
        <v>14.33595</v>
      </c>
      <c r="J5090">
        <v>-337.5625</v>
      </c>
      <c r="K5090">
        <v>1.1087070000000001</v>
      </c>
      <c r="L5090">
        <v>17.200410000000002</v>
      </c>
      <c r="M5090">
        <v>0.9997644</v>
      </c>
      <c r="N5090">
        <v>0</v>
      </c>
      <c r="O5090">
        <v>1.7495460000000001E-2</v>
      </c>
      <c r="P5090">
        <v>0.96938400000000002</v>
      </c>
      <c r="Q5090">
        <v>0.1120244</v>
      </c>
      <c r="R5090">
        <v>-0.21850710000000001</v>
      </c>
      <c r="S5090">
        <v>2.9416199999999999</v>
      </c>
      <c r="T5090">
        <v>-0.32947890000000002</v>
      </c>
      <c r="U5090">
        <v>-0.85095209999999999</v>
      </c>
      <c r="V5090">
        <v>0.23590340000000001</v>
      </c>
      <c r="W5090">
        <v>0.123531</v>
      </c>
      <c r="X5090">
        <v>0.963893</v>
      </c>
      <c r="Y5090">
        <v>0.29285820000000001</v>
      </c>
      <c r="Z5090">
        <v>-1.7940149999999998E-2</v>
      </c>
      <c r="AA5090">
        <v>0.95598760000000005</v>
      </c>
      <c r="AB5090">
        <v>23</v>
      </c>
      <c r="AC5090">
        <v>9.7837999999999798</v>
      </c>
      <c r="AD5090">
        <v>-1.10870924221499</v>
      </c>
      <c r="AE5090">
        <v>-2.8644599999999998</v>
      </c>
      <c r="AF5090">
        <v>2.99972758815816</v>
      </c>
      <c r="AG5090">
        <v>-1.10870924221499</v>
      </c>
      <c r="AH5090">
        <v>9.6184185361500596</v>
      </c>
      <c r="AI5090">
        <v>96.2796728573976</v>
      </c>
      <c r="AJ5090">
        <v>72.678695720212403</v>
      </c>
      <c r="AK5090">
        <v>10.136151978117001</v>
      </c>
      <c r="AL5090">
        <v>82.9040693387239</v>
      </c>
      <c r="AM5090">
        <v>76.247740768234806</v>
      </c>
      <c r="AN5090">
        <v>1.00000001877077</v>
      </c>
    </row>
    <row r="5091" spans="1:40" x14ac:dyDescent="0.25">
      <c r="A5091" t="str">
        <f>"20190312151637070"</f>
        <v>20190312151637070</v>
      </c>
      <c r="B5091" t="str">
        <f>"1552374997062548"</f>
        <v>1552374997062548</v>
      </c>
      <c r="C5091" t="s">
        <v>40</v>
      </c>
      <c r="D5091">
        <v>4.5740999999999996</v>
      </c>
      <c r="E5091">
        <v>0.52300599999999997</v>
      </c>
      <c r="F5091" t="s">
        <v>43</v>
      </c>
      <c r="G5091">
        <v>-327.72899999999998</v>
      </c>
      <c r="H5091" s="1">
        <v>-2.2620149999999999E-6</v>
      </c>
      <c r="I5091">
        <v>14.333220000000001</v>
      </c>
      <c r="J5091">
        <v>-337.44929999999999</v>
      </c>
      <c r="K5091">
        <v>1.1086830000000001</v>
      </c>
      <c r="L5091">
        <v>17.201170000000001</v>
      </c>
      <c r="M5091">
        <v>0.99978359999999999</v>
      </c>
      <c r="N5091">
        <v>0</v>
      </c>
      <c r="O5091">
        <v>1.635969E-2</v>
      </c>
      <c r="P5091">
        <v>0.96915180000000001</v>
      </c>
      <c r="Q5091">
        <v>0.111722699999999</v>
      </c>
      <c r="R5091">
        <v>-0.2196882</v>
      </c>
      <c r="S5091">
        <v>2.9398499999999999</v>
      </c>
      <c r="T5091">
        <v>-0.33146150000000002</v>
      </c>
      <c r="U5091">
        <v>-0.85717770000000004</v>
      </c>
      <c r="V5091">
        <v>0.23598720000000001</v>
      </c>
      <c r="W5091">
        <v>0.1232224</v>
      </c>
      <c r="X5091">
        <v>0.96391199999999999</v>
      </c>
      <c r="Y5091">
        <v>0.29377209999999998</v>
      </c>
      <c r="Z5091">
        <v>-1.7977770000000001E-2</v>
      </c>
      <c r="AA5091">
        <v>0.95570639999999996</v>
      </c>
      <c r="AB5091">
        <v>23</v>
      </c>
      <c r="AC5091">
        <v>9.7202999999999502</v>
      </c>
      <c r="AD5091">
        <v>-1.1086852620150001</v>
      </c>
      <c r="AE5091">
        <v>-2.86795</v>
      </c>
      <c r="AF5091">
        <v>2.9908076058400201</v>
      </c>
      <c r="AG5091">
        <v>-1.1086852620150001</v>
      </c>
      <c r="AH5091">
        <v>9.5576937796504708</v>
      </c>
      <c r="AI5091">
        <v>96.317243662176494</v>
      </c>
      <c r="AJ5091">
        <v>72.623977889910094</v>
      </c>
      <c r="AK5091">
        <v>10.0758931877491</v>
      </c>
      <c r="AL5091">
        <v>82.921887031743907</v>
      </c>
      <c r="AM5091">
        <v>76.243301988528401</v>
      </c>
      <c r="AN5091">
        <v>1.0000000310847901</v>
      </c>
    </row>
    <row r="5092" spans="1:40" x14ac:dyDescent="0.25">
      <c r="A5092" t="str">
        <f>"20190312151637092"</f>
        <v>20190312151637092</v>
      </c>
      <c r="B5092" t="str">
        <f>"1552374997083045"</f>
        <v>1552374997083045</v>
      </c>
      <c r="C5092" t="s">
        <v>40</v>
      </c>
      <c r="D5092">
        <v>4.6006479999999996</v>
      </c>
      <c r="E5092">
        <v>0.52327760000000001</v>
      </c>
      <c r="F5092" t="s">
        <v>43</v>
      </c>
      <c r="G5092">
        <v>-327.6583</v>
      </c>
      <c r="H5092" s="1">
        <v>-2.2905119999999998E-6</v>
      </c>
      <c r="I5092">
        <v>14.32817</v>
      </c>
      <c r="J5092">
        <v>-337.34379999999999</v>
      </c>
      <c r="K5092">
        <v>1.10867</v>
      </c>
      <c r="L5092">
        <v>17.201720000000002</v>
      </c>
      <c r="M5092">
        <v>0.99980060000000004</v>
      </c>
      <c r="N5092">
        <v>0</v>
      </c>
      <c r="O5092">
        <v>1.5287480000000001E-2</v>
      </c>
      <c r="P5092">
        <v>0.96884349999999997</v>
      </c>
      <c r="Q5092">
        <v>0.1113666</v>
      </c>
      <c r="R5092">
        <v>-0.2212238</v>
      </c>
      <c r="S5092">
        <v>2.9383849999999998</v>
      </c>
      <c r="T5092">
        <v>-0.33272649999999998</v>
      </c>
      <c r="U5092">
        <v>-0.86221309999999995</v>
      </c>
      <c r="V5092">
        <v>0.23648379999999999</v>
      </c>
      <c r="W5092">
        <v>0.12286039999999999</v>
      </c>
      <c r="X5092">
        <v>0.96383649999999998</v>
      </c>
      <c r="Y5092">
        <v>0.29437259999999998</v>
      </c>
      <c r="Z5092">
        <v>-1.7964870000000001E-2</v>
      </c>
      <c r="AA5092">
        <v>0.95552190000000004</v>
      </c>
      <c r="AB5092">
        <v>23</v>
      </c>
      <c r="AC5092">
        <v>9.6854999999999905</v>
      </c>
      <c r="AD5092">
        <v>-1.1086722905119999</v>
      </c>
      <c r="AE5092">
        <v>-2.8735499999999998</v>
      </c>
      <c r="AF5092">
        <v>2.9853416279234701</v>
      </c>
      <c r="AG5092">
        <v>-1.1086722905119999</v>
      </c>
      <c r="AH5092">
        <v>9.5257194650216697</v>
      </c>
      <c r="AI5092">
        <v>96.337348125960006</v>
      </c>
      <c r="AJ5092">
        <v>72.599112200201702</v>
      </c>
      <c r="AK5092">
        <v>10.043940970030301</v>
      </c>
      <c r="AL5092">
        <v>82.942786917807894</v>
      </c>
      <c r="AM5092">
        <v>76.214417591881997</v>
      </c>
      <c r="AN5092">
        <v>1.00000003214142</v>
      </c>
    </row>
    <row r="5093" spans="1:40" x14ac:dyDescent="0.25">
      <c r="A5093" t="str">
        <f>"20190312151637103"</f>
        <v>20190312151637103</v>
      </c>
      <c r="B5093" t="str">
        <f>"1552374997092806"</f>
        <v>1552374997092806</v>
      </c>
      <c r="C5093" t="s">
        <v>40</v>
      </c>
      <c r="D5093">
        <v>4.5825199999999997</v>
      </c>
      <c r="E5093">
        <v>0.52338739999999995</v>
      </c>
      <c r="F5093" t="s">
        <v>43</v>
      </c>
      <c r="G5093">
        <v>-327.60320000000002</v>
      </c>
      <c r="H5093" s="1">
        <v>-2.3141419999999999E-6</v>
      </c>
      <c r="I5093">
        <v>14.31884</v>
      </c>
      <c r="J5093">
        <v>-337.11</v>
      </c>
      <c r="K5093">
        <v>1.1086560000000001</v>
      </c>
      <c r="L5093">
        <v>17.202579999999902</v>
      </c>
      <c r="M5093">
        <v>0.99983420000000001</v>
      </c>
      <c r="N5093">
        <v>0</v>
      </c>
      <c r="O5093">
        <v>1.2896660000000001E-2</v>
      </c>
      <c r="P5093">
        <v>0.96832530000000006</v>
      </c>
      <c r="Q5093">
        <v>0.11072079999999999</v>
      </c>
      <c r="R5093">
        <v>-0.22380159999999999</v>
      </c>
      <c r="S5093">
        <v>2.9364319999999999</v>
      </c>
      <c r="T5093">
        <v>-0.33422279999999999</v>
      </c>
      <c r="U5093">
        <v>-0.86907959999999995</v>
      </c>
      <c r="V5093">
        <v>0.2367467</v>
      </c>
      <c r="W5093">
        <v>0.1222121</v>
      </c>
      <c r="X5093">
        <v>0.9638544</v>
      </c>
      <c r="Y5093">
        <v>0.29431380000000001</v>
      </c>
      <c r="Z5093">
        <v>-1.7781680000000001E-2</v>
      </c>
      <c r="AA5093">
        <v>0.95554340000000004</v>
      </c>
      <c r="AB5093">
        <v>23</v>
      </c>
      <c r="AC5093">
        <v>9.5067999999999895</v>
      </c>
      <c r="AD5093">
        <v>-1.1086583141419999</v>
      </c>
      <c r="AE5093">
        <v>-2.8837399999999902</v>
      </c>
      <c r="AF5093">
        <v>2.96913937615285</v>
      </c>
      <c r="AG5093">
        <v>-1.1086583141419999</v>
      </c>
      <c r="AH5093">
        <v>9.3523439922746796</v>
      </c>
      <c r="AI5093">
        <v>96.446286610365604</v>
      </c>
      <c r="AJ5093">
        <v>72.386635853304</v>
      </c>
      <c r="AK5093">
        <v>9.8747784806735694</v>
      </c>
      <c r="AL5093">
        <v>82.9802139509911</v>
      </c>
      <c r="AM5093">
        <v>76.199924179886807</v>
      </c>
      <c r="AN5093">
        <v>1.00000005087332</v>
      </c>
    </row>
    <row r="5094" spans="1:40" x14ac:dyDescent="0.25">
      <c r="A5094" t="str">
        <f>"20190312151637114"</f>
        <v>20190312151637114</v>
      </c>
      <c r="B5094" t="str">
        <f>"1552374997102565"</f>
        <v>1552374997102565</v>
      </c>
      <c r="C5094" t="s">
        <v>40</v>
      </c>
      <c r="D5094">
        <v>4.5828920000000002</v>
      </c>
      <c r="E5094">
        <v>0.52346019999999904</v>
      </c>
      <c r="F5094" t="s">
        <v>43</v>
      </c>
      <c r="G5094">
        <v>-327.43310000000002</v>
      </c>
      <c r="H5094" s="1">
        <v>-2.3827009999999999E-6</v>
      </c>
      <c r="I5094">
        <v>14.30669</v>
      </c>
      <c r="J5094">
        <v>-337.00130000000001</v>
      </c>
      <c r="K5094">
        <v>1.1086510000000001</v>
      </c>
      <c r="L5094">
        <v>17.202819999999999</v>
      </c>
      <c r="M5094">
        <v>0.99984790000000001</v>
      </c>
      <c r="N5094">
        <v>0</v>
      </c>
      <c r="O5094">
        <v>1.1781679999999999E-2</v>
      </c>
      <c r="P5094">
        <v>0.9681208</v>
      </c>
      <c r="Q5094">
        <v>0.10953110000000001</v>
      </c>
      <c r="R5094">
        <v>-0.2252681</v>
      </c>
      <c r="S5094">
        <v>2.9336850000000001</v>
      </c>
      <c r="T5094">
        <v>-0.33610630000000002</v>
      </c>
      <c r="U5094">
        <v>-0.87792969999999904</v>
      </c>
      <c r="V5094">
        <v>0.2371299</v>
      </c>
      <c r="W5094">
        <v>0.121021699999999</v>
      </c>
      <c r="X5094">
        <v>0.9639103</v>
      </c>
      <c r="Y5094">
        <v>0.29611340000000003</v>
      </c>
      <c r="Z5094">
        <v>-1.7865610000000001E-2</v>
      </c>
      <c r="AA5094">
        <v>0.95498570000000005</v>
      </c>
      <c r="AB5094">
        <v>23</v>
      </c>
      <c r="AC5094">
        <v>9.5681999999999903</v>
      </c>
      <c r="AD5094">
        <v>-1.1086533827009999</v>
      </c>
      <c r="AE5094">
        <v>-2.8961299999999999</v>
      </c>
      <c r="AF5094">
        <v>2.9721144686680501</v>
      </c>
      <c r="AG5094">
        <v>-1.1086533827009999</v>
      </c>
      <c r="AH5094">
        <v>9.4175871848918398</v>
      </c>
      <c r="AI5094">
        <v>96.4054131281151</v>
      </c>
      <c r="AJ5094">
        <v>72.484724533782497</v>
      </c>
      <c r="AK5094">
        <v>9.9374808237741696</v>
      </c>
      <c r="AL5094">
        <v>83.048928233477497</v>
      </c>
      <c r="AM5094">
        <v>76.179213975358095</v>
      </c>
      <c r="AN5094">
        <v>0.99999995389549401</v>
      </c>
    </row>
    <row r="5095" spans="1:40" x14ac:dyDescent="0.25">
      <c r="A5095" t="str">
        <f>"20190312151637124"</f>
        <v>20190312151637124</v>
      </c>
      <c r="B5095" t="str">
        <f>"1552374997113301"</f>
        <v>1552374997113301</v>
      </c>
      <c r="C5095" t="s">
        <v>40</v>
      </c>
      <c r="D5095">
        <v>4.5970950000000004</v>
      </c>
      <c r="E5095">
        <v>0.52353549999999904</v>
      </c>
      <c r="F5095" t="s">
        <v>43</v>
      </c>
      <c r="G5095">
        <v>-327.42189999999999</v>
      </c>
      <c r="H5095" s="1">
        <v>-2.3837219999999999E-6</v>
      </c>
      <c r="I5095">
        <v>14.31902</v>
      </c>
      <c r="J5095">
        <v>-336.89609999999999</v>
      </c>
      <c r="K5095">
        <v>1.1086499999999999</v>
      </c>
      <c r="L5095">
        <v>17.202850000000002</v>
      </c>
      <c r="M5095">
        <v>0.99985999999999997</v>
      </c>
      <c r="N5095">
        <v>0</v>
      </c>
      <c r="O5095">
        <v>1.070202E-2</v>
      </c>
      <c r="P5095">
        <v>0.96795560000000003</v>
      </c>
      <c r="Q5095">
        <v>0.1087684</v>
      </c>
      <c r="R5095">
        <v>-0.22634370000000001</v>
      </c>
      <c r="S5095">
        <v>2.9318240000000002</v>
      </c>
      <c r="T5095">
        <v>-0.33930830000000001</v>
      </c>
      <c r="U5095">
        <v>-0.88259889999999996</v>
      </c>
      <c r="V5095">
        <v>0.2371577</v>
      </c>
      <c r="W5095">
        <v>0.12026299999999999</v>
      </c>
      <c r="X5095">
        <v>0.96399849999999998</v>
      </c>
      <c r="Y5095">
        <v>0.29661140000000003</v>
      </c>
      <c r="Z5095">
        <v>-1.7947799999999899E-2</v>
      </c>
      <c r="AA5095">
        <v>0.95482959999999995</v>
      </c>
      <c r="AB5095">
        <v>23</v>
      </c>
      <c r="AC5095">
        <v>9.4741999999999909</v>
      </c>
      <c r="AD5095">
        <v>-1.1086523837219999</v>
      </c>
      <c r="AE5095">
        <v>-2.8838300000000001</v>
      </c>
      <c r="AF5095">
        <v>2.9481201485344699</v>
      </c>
      <c r="AG5095">
        <v>-1.1086523837219999</v>
      </c>
      <c r="AH5095">
        <v>9.3259186276753496</v>
      </c>
      <c r="AI5095">
        <v>96.466863330266307</v>
      </c>
      <c r="AJ5095">
        <v>72.457152720947704</v>
      </c>
      <c r="AK5095">
        <v>9.8434384626587494</v>
      </c>
      <c r="AL5095">
        <v>83.092718955483306</v>
      </c>
      <c r="AM5095">
        <v>76.178871992759397</v>
      </c>
      <c r="AN5095">
        <v>1.0000000359202601</v>
      </c>
    </row>
    <row r="5096" spans="1:40" x14ac:dyDescent="0.25">
      <c r="A5096" t="str">
        <f>"20190312151637136"</f>
        <v>20190312151637136</v>
      </c>
      <c r="B5096" t="str">
        <f>"1552374997132821"</f>
        <v>1552374997132821</v>
      </c>
      <c r="C5096" t="s">
        <v>40</v>
      </c>
      <c r="D5096">
        <v>4.5835800000000004</v>
      </c>
      <c r="E5096">
        <v>0.52373510000000001</v>
      </c>
      <c r="F5096" t="s">
        <v>43</v>
      </c>
      <c r="G5096">
        <v>-327.38119999999998</v>
      </c>
      <c r="H5096" s="1">
        <v>-2.3976519999999999E-6</v>
      </c>
      <c r="I5096">
        <v>14.325390000000001</v>
      </c>
      <c r="J5096">
        <v>-336.76609999999999</v>
      </c>
      <c r="K5096">
        <v>1.1086499999999999</v>
      </c>
      <c r="L5096">
        <v>17.20279</v>
      </c>
      <c r="M5096">
        <v>0.99987340000000002</v>
      </c>
      <c r="N5096">
        <v>0</v>
      </c>
      <c r="O5096">
        <v>9.3679980000000006E-3</v>
      </c>
      <c r="P5096">
        <v>0.96769309999999997</v>
      </c>
      <c r="Q5096">
        <v>0.108195</v>
      </c>
      <c r="R5096">
        <v>-0.2277363</v>
      </c>
      <c r="S5096">
        <v>2.9305110000000001</v>
      </c>
      <c r="T5096">
        <v>-0.34145439999999999</v>
      </c>
      <c r="U5096">
        <v>-0.88623050000000003</v>
      </c>
      <c r="V5096">
        <v>0.2372561</v>
      </c>
      <c r="W5096">
        <v>0.11969440000000001</v>
      </c>
      <c r="X5096">
        <v>0.96404500000000004</v>
      </c>
      <c r="Y5096">
        <v>0.29652489999999998</v>
      </c>
      <c r="Z5096">
        <v>-1.7908589999999999E-2</v>
      </c>
      <c r="AA5096">
        <v>0.95485719999999996</v>
      </c>
      <c r="AB5096">
        <v>23</v>
      </c>
      <c r="AC5096">
        <v>9.3849000000000107</v>
      </c>
      <c r="AD5096">
        <v>-1.108652397652</v>
      </c>
      <c r="AE5096">
        <v>-2.8774000000000002</v>
      </c>
      <c r="AF5096">
        <v>2.9278511714418398</v>
      </c>
      <c r="AG5096">
        <v>-1.108652397652</v>
      </c>
      <c r="AH5096">
        <v>9.2396695841693202</v>
      </c>
      <c r="AI5096">
        <v>96.525301518186495</v>
      </c>
      <c r="AJ5096">
        <v>72.4177191679792</v>
      </c>
      <c r="AK5096">
        <v>9.7556607487938294</v>
      </c>
      <c r="AL5096">
        <v>83.125534021059906</v>
      </c>
      <c r="AM5096">
        <v>76.173998759408903</v>
      </c>
      <c r="AN5096">
        <v>0.99999998420178404</v>
      </c>
    </row>
    <row r="5097" spans="1:40" x14ac:dyDescent="0.25">
      <c r="A5097" t="str">
        <f>"20190312151637148"</f>
        <v>20190312151637148</v>
      </c>
      <c r="B5097" t="str">
        <f>"1552374997142581"</f>
        <v>1552374997142581</v>
      </c>
      <c r="C5097" t="s">
        <v>40</v>
      </c>
      <c r="D5097">
        <v>4.6045470000000002</v>
      </c>
      <c r="E5097">
        <v>0.52382839999999997</v>
      </c>
      <c r="F5097" t="s">
        <v>43</v>
      </c>
      <c r="G5097">
        <v>-327.30180000000001</v>
      </c>
      <c r="H5097" s="1">
        <v>-2.4293039999999999E-6</v>
      </c>
      <c r="I5097">
        <v>14.32095</v>
      </c>
      <c r="J5097">
        <v>-336.64069999999998</v>
      </c>
      <c r="K5097">
        <v>1.1086549999999999</v>
      </c>
      <c r="L5097">
        <v>17.20251</v>
      </c>
      <c r="M5097">
        <v>0.99988460000000001</v>
      </c>
      <c r="N5097">
        <v>0</v>
      </c>
      <c r="O5097">
        <v>8.0814790000000008E-3</v>
      </c>
      <c r="P5097">
        <v>0.96752229999999995</v>
      </c>
      <c r="Q5097">
        <v>0.107402</v>
      </c>
      <c r="R5097">
        <v>-0.22883490000000001</v>
      </c>
      <c r="S5097">
        <v>2.9286189999999999</v>
      </c>
      <c r="T5097">
        <v>-0.34306059999999999</v>
      </c>
      <c r="U5097">
        <v>-0.89175419999999905</v>
      </c>
      <c r="V5097">
        <v>0.23710580000000001</v>
      </c>
      <c r="W5097">
        <v>0.118909</v>
      </c>
      <c r="X5097">
        <v>0.96417920000000001</v>
      </c>
      <c r="Y5097">
        <v>0.29710249999999999</v>
      </c>
      <c r="Z5097">
        <v>-1.7884549999999999E-2</v>
      </c>
      <c r="AA5097">
        <v>0.95467809999999997</v>
      </c>
      <c r="AB5097">
        <v>23</v>
      </c>
      <c r="AC5097">
        <v>9.3388999999999598</v>
      </c>
      <c r="AD5097">
        <v>-1.1086574293039999</v>
      </c>
      <c r="AE5097">
        <v>-2.8815599999999999</v>
      </c>
      <c r="AF5097">
        <v>2.9193780042180202</v>
      </c>
      <c r="AG5097">
        <v>-1.1086574293039999</v>
      </c>
      <c r="AH5097">
        <v>9.19696026649091</v>
      </c>
      <c r="AI5097">
        <v>96.554340098335601</v>
      </c>
      <c r="AJ5097">
        <v>72.389074300172695</v>
      </c>
      <c r="AK5097">
        <v>9.7126704551567897</v>
      </c>
      <c r="AL5097">
        <v>83.170858075636701</v>
      </c>
      <c r="AM5097">
        <v>76.184271178861394</v>
      </c>
      <c r="AN5097">
        <v>1.0000000201936301</v>
      </c>
    </row>
    <row r="5098" spans="1:40" x14ac:dyDescent="0.25">
      <c r="A5098" t="str">
        <f>"20190312151637160"</f>
        <v>20190312151637160</v>
      </c>
      <c r="B5098" t="str">
        <f>"1552374997153317"</f>
        <v>1552374997153317</v>
      </c>
      <c r="C5098" t="s">
        <v>40</v>
      </c>
      <c r="D5098">
        <v>4.6076360000000003</v>
      </c>
      <c r="E5098">
        <v>0.52393469999999998</v>
      </c>
      <c r="F5098" t="s">
        <v>43</v>
      </c>
      <c r="G5098">
        <v>-327.24650000000003</v>
      </c>
      <c r="H5098" s="1">
        <v>-2.4485980000000001E-6</v>
      </c>
      <c r="I5098">
        <v>14.3283</v>
      </c>
      <c r="J5098">
        <v>-336.5204</v>
      </c>
      <c r="K5098">
        <v>1.1086609999999999</v>
      </c>
      <c r="L5098">
        <v>17.202120000000001</v>
      </c>
      <c r="M5098">
        <v>0.9998937</v>
      </c>
      <c r="N5098">
        <v>0</v>
      </c>
      <c r="O5098">
        <v>6.8517169999999898E-3</v>
      </c>
      <c r="P5098">
        <v>0.96737870000000004</v>
      </c>
      <c r="Q5098">
        <v>0.1068952</v>
      </c>
      <c r="R5098">
        <v>-0.2296783</v>
      </c>
      <c r="S5098">
        <v>2.9271850000000001</v>
      </c>
      <c r="T5098">
        <v>-0.3454547</v>
      </c>
      <c r="U5098">
        <v>-0.89559940000000005</v>
      </c>
      <c r="V5098">
        <v>0.2367562</v>
      </c>
      <c r="W5098">
        <v>0.1184109</v>
      </c>
      <c r="X5098">
        <v>0.96432640000000003</v>
      </c>
      <c r="Y5098">
        <v>0.29718630000000001</v>
      </c>
      <c r="Z5098">
        <v>-1.7876909999999999E-2</v>
      </c>
      <c r="AA5098">
        <v>0.9546521</v>
      </c>
      <c r="AB5098">
        <v>23</v>
      </c>
      <c r="AC5098">
        <v>9.2738999999999692</v>
      </c>
      <c r="AD5098">
        <v>-1.108663448598</v>
      </c>
      <c r="AE5098">
        <v>-2.8738199999999998</v>
      </c>
      <c r="AF5098">
        <v>2.89949266229632</v>
      </c>
      <c r="AG5098">
        <v>-1.108663448598</v>
      </c>
      <c r="AH5098">
        <v>9.1348778957271701</v>
      </c>
      <c r="AI5098">
        <v>96.598565516752899</v>
      </c>
      <c r="AJ5098">
        <v>72.390092112197607</v>
      </c>
      <c r="AK5098">
        <v>9.6479109920651904</v>
      </c>
      <c r="AL5098">
        <v>83.199600183926094</v>
      </c>
      <c r="AM5098">
        <v>76.205888382046197</v>
      </c>
      <c r="AN5098">
        <v>1.0000000226071</v>
      </c>
    </row>
    <row r="5099" spans="1:40" x14ac:dyDescent="0.25">
      <c r="A5099" t="str">
        <f>"20190312151637171"</f>
        <v>20190312151637171</v>
      </c>
      <c r="B5099" t="str">
        <f>"1552374997163076"</f>
        <v>1552374997163076</v>
      </c>
      <c r="C5099" t="s">
        <v>40</v>
      </c>
      <c r="D5099">
        <v>4.5936450000000004</v>
      </c>
      <c r="E5099">
        <v>0.52400199999999997</v>
      </c>
      <c r="F5099" t="s">
        <v>43</v>
      </c>
      <c r="G5099">
        <v>-327.17110000000002</v>
      </c>
      <c r="H5099" s="1">
        <v>-2.4770550000000002E-6</v>
      </c>
      <c r="I5099">
        <v>14.33024</v>
      </c>
      <c r="J5099">
        <v>-336.39080000000001</v>
      </c>
      <c r="K5099">
        <v>1.10867</v>
      </c>
      <c r="L5099">
        <v>17.20157</v>
      </c>
      <c r="M5099">
        <v>0.99990210000000002</v>
      </c>
      <c r="N5099">
        <v>0</v>
      </c>
      <c r="O5099">
        <v>5.5254839999999998E-3</v>
      </c>
      <c r="P5099">
        <v>0.96718649999999995</v>
      </c>
      <c r="Q5099">
        <v>0.1064635</v>
      </c>
      <c r="R5099">
        <v>-0.2306868</v>
      </c>
      <c r="S5099">
        <v>2.9261469999999998</v>
      </c>
      <c r="T5099">
        <v>-0.3469874</v>
      </c>
      <c r="U5099">
        <v>-0.89883419999999903</v>
      </c>
      <c r="V5099">
        <v>0.2364783</v>
      </c>
      <c r="W5099">
        <v>0.1179881</v>
      </c>
      <c r="X5099">
        <v>0.96444640000000004</v>
      </c>
      <c r="Y5099">
        <v>0.29697230000000002</v>
      </c>
      <c r="Z5099">
        <v>-1.779327E-2</v>
      </c>
      <c r="AA5099">
        <v>0.95472029999999997</v>
      </c>
      <c r="AB5099">
        <v>23</v>
      </c>
      <c r="AC5099">
        <v>9.21969999999998</v>
      </c>
      <c r="AD5099">
        <v>-1.108672477055</v>
      </c>
      <c r="AE5099">
        <v>-2.8713299999999999</v>
      </c>
      <c r="AF5099">
        <v>2.8842149622545001</v>
      </c>
      <c r="AG5099">
        <v>-1.108672477055</v>
      </c>
      <c r="AH5099">
        <v>9.0839509693413802</v>
      </c>
      <c r="AI5099">
        <v>96.635098165845307</v>
      </c>
      <c r="AJ5099">
        <v>72.385009880791102</v>
      </c>
      <c r="AK5099">
        <v>9.5951037421838397</v>
      </c>
      <c r="AL5099">
        <v>83.223995826646899</v>
      </c>
      <c r="AM5099">
        <v>76.223111306014701</v>
      </c>
      <c r="AN5099">
        <v>1.00000001829272</v>
      </c>
    </row>
    <row r="5100" spans="1:40" x14ac:dyDescent="0.25">
      <c r="A5100" t="str">
        <f>"20190312151637182"</f>
        <v>20190312151637182</v>
      </c>
      <c r="B5100" t="str">
        <f>"1552374997172837"</f>
        <v>1552374997172837</v>
      </c>
      <c r="C5100" t="s">
        <v>40</v>
      </c>
      <c r="D5100">
        <v>4.5993810000000002</v>
      </c>
      <c r="E5100">
        <v>0.52415929999999999</v>
      </c>
      <c r="F5100" t="s">
        <v>43</v>
      </c>
      <c r="G5100">
        <v>-327.07679999999999</v>
      </c>
      <c r="H5100" s="1">
        <v>-2.5137019999999998E-6</v>
      </c>
      <c r="I5100">
        <v>14.328580000000001</v>
      </c>
      <c r="J5100">
        <v>-336.28559999999999</v>
      </c>
      <c r="K5100">
        <v>1.108676</v>
      </c>
      <c r="L5100">
        <v>17.20093</v>
      </c>
      <c r="M5100">
        <v>0.99990730000000005</v>
      </c>
      <c r="N5100">
        <v>0</v>
      </c>
      <c r="O5100">
        <v>4.4525839999999999E-3</v>
      </c>
      <c r="P5100">
        <v>0.96697560000000005</v>
      </c>
      <c r="Q5100">
        <v>0.1061203</v>
      </c>
      <c r="R5100">
        <v>-0.23172590000000001</v>
      </c>
      <c r="S5100">
        <v>2.9249269999999998</v>
      </c>
      <c r="T5100">
        <v>-0.34816340000000001</v>
      </c>
      <c r="U5100">
        <v>-0.90222170000000002</v>
      </c>
      <c r="V5100">
        <v>0.23647679999999999</v>
      </c>
      <c r="W5100">
        <v>0.11765</v>
      </c>
      <c r="X5100">
        <v>0.96448800000000001</v>
      </c>
      <c r="Y5100">
        <v>0.29706280000000002</v>
      </c>
      <c r="Z5100">
        <v>-1.7738110000000001E-2</v>
      </c>
      <c r="AA5100">
        <v>0.95469309999999996</v>
      </c>
      <c r="AB5100">
        <v>23</v>
      </c>
      <c r="AC5100">
        <v>9.2087999999999894</v>
      </c>
      <c r="AD5100">
        <v>-1.1086785137019901</v>
      </c>
      <c r="AE5100">
        <v>-2.87235</v>
      </c>
      <c r="AF5100">
        <v>2.87534621919538</v>
      </c>
      <c r="AG5100">
        <v>-1.1086785137019901</v>
      </c>
      <c r="AH5100">
        <v>9.07602918775018</v>
      </c>
      <c r="AI5100">
        <v>96.642201393461207</v>
      </c>
      <c r="AJ5100">
        <v>72.421453084489499</v>
      </c>
      <c r="AK5100">
        <v>9.5849407793621193</v>
      </c>
      <c r="AL5100">
        <v>83.2435029398995</v>
      </c>
      <c r="AM5100">
        <v>76.223766942294404</v>
      </c>
      <c r="AN5100">
        <v>0.99999995079111803</v>
      </c>
    </row>
    <row r="5101" spans="1:40" x14ac:dyDescent="0.25">
      <c r="A5101" t="str">
        <f>"20190312151637193"</f>
        <v>20190312151637193</v>
      </c>
      <c r="B5101" t="str">
        <f>"1552374997182597"</f>
        <v>1552374997182597</v>
      </c>
      <c r="C5101" t="s">
        <v>40</v>
      </c>
      <c r="D5101">
        <v>4.5997919999999999</v>
      </c>
      <c r="E5101">
        <v>0.5242251</v>
      </c>
      <c r="F5101" t="s">
        <v>43</v>
      </c>
      <c r="G5101">
        <v>-326.99759999999998</v>
      </c>
      <c r="H5101" s="1">
        <v>-2.5461099999999999E-6</v>
      </c>
      <c r="I5101">
        <v>14.321120000000001</v>
      </c>
      <c r="J5101">
        <v>-336.17439999999999</v>
      </c>
      <c r="K5101">
        <v>1.1086849999999999</v>
      </c>
      <c r="L5101">
        <v>17.200199999999999</v>
      </c>
      <c r="M5101">
        <v>0.99991160000000001</v>
      </c>
      <c r="N5101">
        <v>0</v>
      </c>
      <c r="O5101">
        <v>3.3168680000000002E-3</v>
      </c>
      <c r="P5101">
        <v>0.96677170000000001</v>
      </c>
      <c r="Q5101">
        <v>0.105896</v>
      </c>
      <c r="R5101">
        <v>-0.2326761</v>
      </c>
      <c r="S5101">
        <v>2.9235530000000001</v>
      </c>
      <c r="T5101">
        <v>-0.3489738</v>
      </c>
      <c r="U5101">
        <v>-0.90646360000000004</v>
      </c>
      <c r="V5101">
        <v>0.2363266</v>
      </c>
      <c r="W5101">
        <v>0.1174322</v>
      </c>
      <c r="X5101">
        <v>0.96455139999999995</v>
      </c>
      <c r="Y5101">
        <v>0.2973654</v>
      </c>
      <c r="Z5101">
        <v>-1.7668880000000001E-2</v>
      </c>
      <c r="AA5101">
        <v>0.95460029999999996</v>
      </c>
      <c r="AB5101">
        <v>23</v>
      </c>
      <c r="AC5101">
        <v>9.1768000000000107</v>
      </c>
      <c r="AD5101">
        <v>-1.1086875461100001</v>
      </c>
      <c r="AE5101">
        <v>-2.8790799999999899</v>
      </c>
      <c r="AF5101">
        <v>2.8713500642648402</v>
      </c>
      <c r="AG5101">
        <v>-1.1086875461100001</v>
      </c>
      <c r="AH5101">
        <v>9.0469817826340098</v>
      </c>
      <c r="AI5101">
        <v>96.662295219959503</v>
      </c>
      <c r="AJ5101">
        <v>72.391493548967603</v>
      </c>
      <c r="AK5101">
        <v>9.5562397752340207</v>
      </c>
      <c r="AL5101">
        <v>83.256069357869805</v>
      </c>
      <c r="AM5101">
        <v>76.233054489240402</v>
      </c>
      <c r="AN5101">
        <v>0.99999999335317902</v>
      </c>
    </row>
    <row r="5102" spans="1:40" x14ac:dyDescent="0.25">
      <c r="A5102" t="str">
        <f>"20190312151637203"</f>
        <v>20190312151637203</v>
      </c>
      <c r="B5102" t="str">
        <f>"1552374997193333"</f>
        <v>1552374997193333</v>
      </c>
      <c r="C5102" t="s">
        <v>40</v>
      </c>
      <c r="D5102">
        <v>4.6501769999999896</v>
      </c>
      <c r="E5102">
        <v>0.5242251</v>
      </c>
      <c r="F5102" t="s">
        <v>43</v>
      </c>
      <c r="G5102">
        <v>-326.90300000000002</v>
      </c>
      <c r="H5102" s="1">
        <v>-2.5840839999999902E-6</v>
      </c>
      <c r="I5102">
        <v>14.314959999999999</v>
      </c>
      <c r="J5102">
        <v>-336.06270000000001</v>
      </c>
      <c r="K5102">
        <v>1.108687</v>
      </c>
      <c r="L5102">
        <v>17.199249999999999</v>
      </c>
      <c r="M5102">
        <v>0.99991479999999999</v>
      </c>
      <c r="N5102">
        <v>0</v>
      </c>
      <c r="O5102">
        <v>2.1764699999999998E-3</v>
      </c>
      <c r="P5102">
        <v>0.96655599999999997</v>
      </c>
      <c r="Q5102">
        <v>0.1056386</v>
      </c>
      <c r="R5102">
        <v>-0.23368829999999999</v>
      </c>
      <c r="S5102">
        <v>2.9225460000000001</v>
      </c>
      <c r="T5102">
        <v>-0.3494816</v>
      </c>
      <c r="U5102">
        <v>-0.90948490000000004</v>
      </c>
      <c r="V5102">
        <v>0.23623359999999999</v>
      </c>
      <c r="W5102">
        <v>0.1171793</v>
      </c>
      <c r="X5102">
        <v>0.96460500000000005</v>
      </c>
      <c r="Y5102">
        <v>0.29727209999999898</v>
      </c>
      <c r="Z5102">
        <v>-1.755934E-2</v>
      </c>
      <c r="AA5102">
        <v>0.95463129999999996</v>
      </c>
      <c r="AB5102">
        <v>23</v>
      </c>
      <c r="AC5102">
        <v>9.1596999999999795</v>
      </c>
      <c r="AD5102">
        <v>-1.1086895840840001</v>
      </c>
      <c r="AE5102">
        <v>-2.8842899999999898</v>
      </c>
      <c r="AF5102">
        <v>2.8660193829495002</v>
      </c>
      <c r="AG5102">
        <v>-1.1086895840840001</v>
      </c>
      <c r="AH5102">
        <v>9.0329991266284306</v>
      </c>
      <c r="AI5102">
        <v>96.672715801014206</v>
      </c>
      <c r="AJ5102">
        <v>72.396638647250995</v>
      </c>
      <c r="AK5102">
        <v>9.5414009935107806</v>
      </c>
      <c r="AL5102">
        <v>83.270660608523897</v>
      </c>
      <c r="AM5102">
        <v>76.239001717794395</v>
      </c>
      <c r="AN5102">
        <v>1.0000000540712199</v>
      </c>
    </row>
    <row r="5103" spans="1:40" x14ac:dyDescent="0.25">
      <c r="A5103" t="str">
        <f>"20190312151637212"</f>
        <v>20190312151637212</v>
      </c>
      <c r="B5103" t="str">
        <f>"1552374997203093"</f>
        <v>1552374997203093</v>
      </c>
      <c r="C5103" t="s">
        <v>40</v>
      </c>
      <c r="D5103">
        <v>4.5752579999999998</v>
      </c>
      <c r="E5103">
        <v>0.52836269999999996</v>
      </c>
      <c r="F5103" t="s">
        <v>43</v>
      </c>
      <c r="G5103">
        <v>-326.81560000000002</v>
      </c>
      <c r="H5103" s="1">
        <v>-2.6184420000000001E-6</v>
      </c>
      <c r="I5103">
        <v>14.31183</v>
      </c>
      <c r="J5103">
        <v>-335.96899999999999</v>
      </c>
      <c r="K5103">
        <v>1.1086910000000001</v>
      </c>
      <c r="L5103">
        <v>17.19849</v>
      </c>
      <c r="M5103">
        <v>0.99991640000000004</v>
      </c>
      <c r="N5103">
        <v>0</v>
      </c>
      <c r="O5103">
        <v>1.2205269999999999E-3</v>
      </c>
      <c r="P5103">
        <v>0.96639520000000001</v>
      </c>
      <c r="Q5103">
        <v>0.1053938</v>
      </c>
      <c r="R5103">
        <v>-0.23446320000000001</v>
      </c>
      <c r="S5103">
        <v>2.9215390000000001</v>
      </c>
      <c r="T5103">
        <v>-0.35028350000000003</v>
      </c>
      <c r="U5103">
        <v>-0.91226200000000002</v>
      </c>
      <c r="V5103">
        <v>0.2360825</v>
      </c>
      <c r="W5103">
        <v>0.11693919999999999</v>
      </c>
      <c r="X5103">
        <v>0.9646711</v>
      </c>
      <c r="Y5103">
        <v>0.29727720000000002</v>
      </c>
      <c r="Z5103">
        <v>-1.7491400000000001E-2</v>
      </c>
      <c r="AA5103">
        <v>0.95463100000000001</v>
      </c>
      <c r="AB5103">
        <v>23</v>
      </c>
      <c r="AC5103">
        <v>9.1533999999999693</v>
      </c>
      <c r="AD5103">
        <v>-1.108693618442</v>
      </c>
      <c r="AE5103">
        <v>-2.88666</v>
      </c>
      <c r="AF5103">
        <v>2.8596717492482302</v>
      </c>
      <c r="AG5103">
        <v>-1.108693618442</v>
      </c>
      <c r="AH5103">
        <v>9.0293830143075393</v>
      </c>
      <c r="AI5103">
        <v>96.676485589690003</v>
      </c>
      <c r="AJ5103">
        <v>72.426623959197599</v>
      </c>
      <c r="AK5103">
        <v>9.5360726545097094</v>
      </c>
      <c r="AL5103">
        <v>83.284512376526393</v>
      </c>
      <c r="AM5103">
        <v>76.248375808974899</v>
      </c>
      <c r="AN5103">
        <v>1.0000000272390399</v>
      </c>
    </row>
    <row r="5104" spans="1:40" x14ac:dyDescent="0.25">
      <c r="A5104" t="str">
        <f>"20190312151637224"</f>
        <v>20190312151637224</v>
      </c>
      <c r="B5104" t="str">
        <f>"1552374997212853"</f>
        <v>1552374997212853</v>
      </c>
      <c r="C5104" t="s">
        <v>40</v>
      </c>
      <c r="D5104">
        <v>4.6447419999999999</v>
      </c>
      <c r="E5104">
        <v>0.52840450000000005</v>
      </c>
      <c r="F5104" t="s">
        <v>43</v>
      </c>
      <c r="G5104">
        <v>-326.6311</v>
      </c>
      <c r="H5104" s="1">
        <v>-2.7286360000000002E-6</v>
      </c>
      <c r="I5104">
        <v>14.163970000000001</v>
      </c>
      <c r="J5104">
        <v>-335.84750000000003</v>
      </c>
      <c r="K5104">
        <v>1.108697</v>
      </c>
      <c r="L5104">
        <v>17.197199999999999</v>
      </c>
      <c r="M5104">
        <v>0.9999171</v>
      </c>
      <c r="N5104">
        <v>0</v>
      </c>
      <c r="O5104" s="1">
        <v>-2.1468190000000002E-5</v>
      </c>
      <c r="P5104">
        <v>0.96612790000000004</v>
      </c>
      <c r="Q5104">
        <v>0.105143899999999</v>
      </c>
      <c r="R5104">
        <v>-0.23567299999999999</v>
      </c>
      <c r="S5104">
        <v>2.9124150000000002</v>
      </c>
      <c r="T5104">
        <v>-0.34579349999999998</v>
      </c>
      <c r="U5104">
        <v>-0.94644170000000005</v>
      </c>
      <c r="V5104">
        <v>0.23609040000000001</v>
      </c>
      <c r="W5104">
        <v>0.116692</v>
      </c>
      <c r="X5104">
        <v>0.96469910000000003</v>
      </c>
      <c r="Y5104">
        <v>0.30708679999999999</v>
      </c>
      <c r="Z5104">
        <v>-1.771271E-2</v>
      </c>
      <c r="AA5104">
        <v>0.95151669999999999</v>
      </c>
      <c r="AB5104">
        <v>23</v>
      </c>
      <c r="AC5104">
        <v>9.2164000000000197</v>
      </c>
      <c r="AD5104">
        <v>-1.1086997286360001</v>
      </c>
      <c r="AE5104">
        <v>-3.0332299999999899</v>
      </c>
      <c r="AF5104">
        <v>2.9939403620379301</v>
      </c>
      <c r="AG5104">
        <v>-1.1086997286360001</v>
      </c>
      <c r="AH5104">
        <v>9.0976771093994397</v>
      </c>
      <c r="AI5104">
        <v>96.603114773484506</v>
      </c>
      <c r="AJ5104">
        <v>71.784222273348206</v>
      </c>
      <c r="AK5104">
        <v>9.6416089303916497</v>
      </c>
      <c r="AL5104">
        <v>83.298773526420106</v>
      </c>
      <c r="AM5104">
        <v>76.248317105274594</v>
      </c>
      <c r="AN5104">
        <v>1.0000000266884801</v>
      </c>
    </row>
    <row r="5105" spans="1:40" x14ac:dyDescent="0.25">
      <c r="A5105" t="str">
        <f>"20190312151637237"</f>
        <v>20190312151637237</v>
      </c>
      <c r="B5105" t="str">
        <f>"1552374997233349"</f>
        <v>1552374997233349</v>
      </c>
      <c r="C5105" t="s">
        <v>40</v>
      </c>
      <c r="D5105">
        <v>4.6141519999999998</v>
      </c>
      <c r="E5105">
        <v>0.52877750000000001</v>
      </c>
      <c r="F5105" t="s">
        <v>43</v>
      </c>
      <c r="G5105">
        <v>-326.34949999999998</v>
      </c>
      <c r="H5105" s="1">
        <v>-2.8545879999999998E-6</v>
      </c>
      <c r="I5105">
        <v>14.097160000000001</v>
      </c>
      <c r="J5105">
        <v>-335.72480000000002</v>
      </c>
      <c r="K5105">
        <v>1.108698</v>
      </c>
      <c r="L5105">
        <v>17.195829999999901</v>
      </c>
      <c r="M5105">
        <v>0.99991640000000004</v>
      </c>
      <c r="N5105">
        <v>0</v>
      </c>
      <c r="O5105">
        <v>-1.276646E-3</v>
      </c>
      <c r="P5105">
        <v>0.96587239999999996</v>
      </c>
      <c r="Q5105">
        <v>0.10502259999999999</v>
      </c>
      <c r="R5105">
        <v>-0.23677239999999999</v>
      </c>
      <c r="S5105">
        <v>2.9104000000000001</v>
      </c>
      <c r="T5105">
        <v>-0.33972980000000003</v>
      </c>
      <c r="U5105">
        <v>-0.94992069999999995</v>
      </c>
      <c r="V5105">
        <v>0.23597580000000001</v>
      </c>
      <c r="W5105">
        <v>0.116574499999999</v>
      </c>
      <c r="X5105">
        <v>0.96474130000000002</v>
      </c>
      <c r="Y5105">
        <v>0.30718800000000002</v>
      </c>
      <c r="Z5105">
        <v>-1.727571E-2</v>
      </c>
      <c r="AA5105">
        <v>0.951492</v>
      </c>
      <c r="AB5105">
        <v>23</v>
      </c>
      <c r="AC5105">
        <v>9.3753000000000295</v>
      </c>
      <c r="AD5105">
        <v>-1.1087008545879999</v>
      </c>
      <c r="AE5105">
        <v>-3.09866999999999</v>
      </c>
      <c r="AF5105">
        <v>3.0482661697272002</v>
      </c>
      <c r="AG5105">
        <v>-1.1087008545879999</v>
      </c>
      <c r="AH5105">
        <v>9.2624708987559199</v>
      </c>
      <c r="AI5105">
        <v>96.486632425894896</v>
      </c>
      <c r="AJ5105">
        <v>71.783697200391302</v>
      </c>
      <c r="AK5105">
        <v>9.8139956886462798</v>
      </c>
      <c r="AL5105">
        <v>83.305551756816698</v>
      </c>
      <c r="AM5105">
        <v>76.255317479462505</v>
      </c>
      <c r="AN5105">
        <v>0.99999998408078905</v>
      </c>
    </row>
    <row r="5106" spans="1:40" x14ac:dyDescent="0.25">
      <c r="A5106" t="str">
        <f>"20190312151637247"</f>
        <v>20190312151637247</v>
      </c>
      <c r="B5106" t="str">
        <f>"1552374997243109"</f>
        <v>1552374997243109</v>
      </c>
      <c r="C5106" t="s">
        <v>40</v>
      </c>
      <c r="D5106">
        <v>4.6066549999999999</v>
      </c>
      <c r="E5106">
        <v>0.52880579999999999</v>
      </c>
      <c r="F5106" t="s">
        <v>43</v>
      </c>
      <c r="G5106">
        <v>-326.22489999999999</v>
      </c>
      <c r="H5106" s="1">
        <v>-2.909021E-6</v>
      </c>
      <c r="I5106">
        <v>14.072369999999999</v>
      </c>
      <c r="J5106">
        <v>-335.61619999999999</v>
      </c>
      <c r="K5106">
        <v>1.1086990000000001</v>
      </c>
      <c r="L5106">
        <v>17.194430000000001</v>
      </c>
      <c r="M5106">
        <v>0.99991430000000003</v>
      </c>
      <c r="N5106">
        <v>0</v>
      </c>
      <c r="O5106">
        <v>-2.388809E-3</v>
      </c>
      <c r="P5106">
        <v>0.96565400000000001</v>
      </c>
      <c r="Q5106">
        <v>0.1050377</v>
      </c>
      <c r="R5106">
        <v>-0.2376548</v>
      </c>
      <c r="S5106">
        <v>2.9085390000000002</v>
      </c>
      <c r="T5106">
        <v>-0.33944679999999999</v>
      </c>
      <c r="U5106">
        <v>-0.9562988</v>
      </c>
      <c r="V5106">
        <v>0.23578379999999999</v>
      </c>
      <c r="W5106">
        <v>0.1165921</v>
      </c>
      <c r="X5106">
        <v>0.96478609999999998</v>
      </c>
      <c r="Y5106">
        <v>0.308197</v>
      </c>
      <c r="Z5106">
        <v>-1.7197279999999999E-2</v>
      </c>
      <c r="AA5106">
        <v>0.95116710000000004</v>
      </c>
      <c r="AB5106">
        <v>23</v>
      </c>
      <c r="AC5106">
        <v>9.3912999999999993</v>
      </c>
      <c r="AD5106">
        <v>-1.108701909021</v>
      </c>
      <c r="AE5106">
        <v>-3.1220599999999901</v>
      </c>
      <c r="AF5106">
        <v>3.0611963964461402</v>
      </c>
      <c r="AG5106">
        <v>-1.108701909021</v>
      </c>
      <c r="AH5106">
        <v>9.2822373228782293</v>
      </c>
      <c r="AI5106">
        <v>96.471622536093804</v>
      </c>
      <c r="AJ5106">
        <v>71.747920313664395</v>
      </c>
      <c r="AK5106">
        <v>9.8366698134539092</v>
      </c>
      <c r="AL5106">
        <v>83.304536322257803</v>
      </c>
      <c r="AM5106">
        <v>76.266690691802395</v>
      </c>
      <c r="AN5106">
        <v>0.99999996843902905</v>
      </c>
    </row>
    <row r="5107" spans="1:40" x14ac:dyDescent="0.25">
      <c r="A5107" t="str">
        <f>"20190312151637257"</f>
        <v>20190312151637257</v>
      </c>
      <c r="B5107" t="str">
        <f>"1552374997252869"</f>
        <v>1552374997252869</v>
      </c>
      <c r="C5107" t="s">
        <v>40</v>
      </c>
      <c r="D5107">
        <v>4.6082809999999998</v>
      </c>
      <c r="E5107">
        <v>0.52890429999999999</v>
      </c>
      <c r="F5107" t="s">
        <v>43</v>
      </c>
      <c r="G5107">
        <v>-326.11470000000003</v>
      </c>
      <c r="H5107" s="1">
        <v>-2.9547599999999998E-6</v>
      </c>
      <c r="I5107">
        <v>14.059519999999999</v>
      </c>
      <c r="J5107">
        <v>-335.50420000000003</v>
      </c>
      <c r="K5107">
        <v>1.108697</v>
      </c>
      <c r="L5107">
        <v>17.192900000000002</v>
      </c>
      <c r="M5107">
        <v>0.99991079999999999</v>
      </c>
      <c r="N5107">
        <v>0</v>
      </c>
      <c r="O5107">
        <v>-3.5404439999999998E-3</v>
      </c>
      <c r="P5107">
        <v>0.96534609999999998</v>
      </c>
      <c r="Q5107">
        <v>0.10513450000000001</v>
      </c>
      <c r="R5107">
        <v>-0.2388586</v>
      </c>
      <c r="S5107">
        <v>2.9075009999999999</v>
      </c>
      <c r="T5107">
        <v>-0.3392655</v>
      </c>
      <c r="U5107">
        <v>-0.95928959999999996</v>
      </c>
      <c r="V5107">
        <v>0.23587630000000001</v>
      </c>
      <c r="W5107">
        <v>0.1166891</v>
      </c>
      <c r="X5107">
        <v>0.96475180000000005</v>
      </c>
      <c r="Y5107">
        <v>0.3080948</v>
      </c>
      <c r="Z5107">
        <v>-1.7055000000000001E-2</v>
      </c>
      <c r="AA5107">
        <v>0.95120280000000001</v>
      </c>
      <c r="AB5107">
        <v>23</v>
      </c>
      <c r="AC5107">
        <v>9.3894999999999893</v>
      </c>
      <c r="AD5107">
        <v>-1.1086999547600001</v>
      </c>
      <c r="AE5107">
        <v>-3.1333799999999998</v>
      </c>
      <c r="AF5107">
        <v>3.0617040658004799</v>
      </c>
      <c r="AG5107">
        <v>-1.1086999547600001</v>
      </c>
      <c r="AH5107">
        <v>9.2840626285212</v>
      </c>
      <c r="AI5107">
        <v>96.470369038721202</v>
      </c>
      <c r="AJ5107">
        <v>71.748445190725207</v>
      </c>
      <c r="AK5107">
        <v>9.8385500083359894</v>
      </c>
      <c r="AL5107">
        <v>83.298940683016099</v>
      </c>
      <c r="AM5107">
        <v>76.261037171450795</v>
      </c>
      <c r="AN5107">
        <v>1.0000000052818701</v>
      </c>
    </row>
    <row r="5108" spans="1:40" x14ac:dyDescent="0.25">
      <c r="A5108" t="str">
        <f>"20190312151637268"</f>
        <v>20190312151637268</v>
      </c>
      <c r="B5108" t="str">
        <f>"1552374997262629"</f>
        <v>1552374997262629</v>
      </c>
      <c r="C5108" t="s">
        <v>40</v>
      </c>
      <c r="D5108">
        <v>4.6611640000000003</v>
      </c>
      <c r="E5108">
        <v>0.52923199999999904</v>
      </c>
      <c r="F5108" t="s">
        <v>43</v>
      </c>
      <c r="G5108">
        <v>-325.97730000000001</v>
      </c>
      <c r="H5108" s="1">
        <v>-3.0143600000000001E-6</v>
      </c>
      <c r="I5108">
        <v>14.03379</v>
      </c>
      <c r="J5108">
        <v>-335.38569999999999</v>
      </c>
      <c r="K5108">
        <v>1.108692</v>
      </c>
      <c r="L5108">
        <v>17.191129999999902</v>
      </c>
      <c r="M5108">
        <v>0.99990590000000001</v>
      </c>
      <c r="N5108">
        <v>0</v>
      </c>
      <c r="O5108">
        <v>-4.7613580000000003E-3</v>
      </c>
      <c r="P5108">
        <v>0.96510050000000003</v>
      </c>
      <c r="Q5108">
        <v>0.10508389999999999</v>
      </c>
      <c r="R5108">
        <v>-0.2398721</v>
      </c>
      <c r="S5108">
        <v>2.9060670000000002</v>
      </c>
      <c r="T5108">
        <v>-0.33819759999999999</v>
      </c>
      <c r="U5108">
        <v>-0.9636536</v>
      </c>
      <c r="V5108">
        <v>0.2357108</v>
      </c>
      <c r="W5108">
        <v>0.1166399</v>
      </c>
      <c r="X5108">
        <v>0.96479820000000005</v>
      </c>
      <c r="Y5108">
        <v>0.30837789999999998</v>
      </c>
      <c r="Z5108">
        <v>-1.6883780000000001E-2</v>
      </c>
      <c r="AA5108">
        <v>0.95111409999999996</v>
      </c>
      <c r="AB5108">
        <v>23</v>
      </c>
      <c r="AC5108">
        <v>9.4083999999999701</v>
      </c>
      <c r="AD5108">
        <v>-1.1086950143600001</v>
      </c>
      <c r="AE5108">
        <v>-3.1573399999999898</v>
      </c>
      <c r="AF5108">
        <v>3.0741357273696401</v>
      </c>
      <c r="AG5108">
        <v>-1.1086950143600001</v>
      </c>
      <c r="AH5108">
        <v>9.30716591311994</v>
      </c>
      <c r="AI5108">
        <v>96.453429897105295</v>
      </c>
      <c r="AJ5108">
        <v>71.721728260783706</v>
      </c>
      <c r="AK5108">
        <v>9.8642208227258905</v>
      </c>
      <c r="AL5108">
        <v>83.3017790295943</v>
      </c>
      <c r="AM5108">
        <v>76.270947349919695</v>
      </c>
      <c r="AN5108">
        <v>1.0000000071159401</v>
      </c>
    </row>
    <row r="5109" spans="1:40" x14ac:dyDescent="0.25">
      <c r="A5109" t="str">
        <f>"20190312151637280"</f>
        <v>20190312151637280</v>
      </c>
      <c r="B5109" t="str">
        <f>"1552374997273365"</f>
        <v>1552374997273365</v>
      </c>
      <c r="C5109" t="s">
        <v>40</v>
      </c>
      <c r="D5109">
        <v>4.6179699999999997</v>
      </c>
      <c r="E5109">
        <v>0.52938019999999997</v>
      </c>
      <c r="F5109" t="s">
        <v>43</v>
      </c>
      <c r="G5109">
        <v>-325.8417</v>
      </c>
      <c r="H5109" s="1">
        <v>-3.073826E-6</v>
      </c>
      <c r="I5109">
        <v>14.00595</v>
      </c>
      <c r="J5109">
        <v>-335.27190000000002</v>
      </c>
      <c r="K5109">
        <v>1.108689</v>
      </c>
      <c r="L5109">
        <v>17.18927</v>
      </c>
      <c r="M5109">
        <v>0.9998996</v>
      </c>
      <c r="N5109">
        <v>0</v>
      </c>
      <c r="O5109">
        <v>-5.9386619999999999E-3</v>
      </c>
      <c r="P5109">
        <v>0.96483189999999996</v>
      </c>
      <c r="Q5109">
        <v>0.1050793</v>
      </c>
      <c r="R5109">
        <v>-0.24095249999999999</v>
      </c>
      <c r="S5109">
        <v>2.9042659999999998</v>
      </c>
      <c r="T5109">
        <v>-0.33738230000000002</v>
      </c>
      <c r="U5109">
        <v>-0.96926880000000004</v>
      </c>
      <c r="V5109">
        <v>0.23565549999999999</v>
      </c>
      <c r="W5109">
        <v>0.11663560000000001</v>
      </c>
      <c r="X5109">
        <v>0.96481220000000001</v>
      </c>
      <c r="Y5109">
        <v>0.30910130000000002</v>
      </c>
      <c r="Z5109">
        <v>-1.675631E-2</v>
      </c>
      <c r="AA5109">
        <v>0.95088150000000005</v>
      </c>
      <c r="AB5109">
        <v>23</v>
      </c>
      <c r="AC5109">
        <v>9.4302000000000099</v>
      </c>
      <c r="AD5109">
        <v>-1.108692073826</v>
      </c>
      <c r="AE5109">
        <v>-3.1833200000000001</v>
      </c>
      <c r="AF5109">
        <v>3.08892796070162</v>
      </c>
      <c r="AG5109">
        <v>-1.108692073826</v>
      </c>
      <c r="AH5109">
        <v>9.3331311777869495</v>
      </c>
      <c r="AI5109">
        <v>96.434343370414496</v>
      </c>
      <c r="AJ5109">
        <v>71.687329063778705</v>
      </c>
      <c r="AK5109">
        <v>9.8933316755655092</v>
      </c>
      <c r="AL5109">
        <v>83.302026909247203</v>
      </c>
      <c r="AM5109">
        <v>76.274238113217095</v>
      </c>
      <c r="AN5109">
        <v>0.99999997956822395</v>
      </c>
    </row>
    <row r="5110" spans="1:40" x14ac:dyDescent="0.25">
      <c r="A5110" t="str">
        <f>"20190312151637290"</f>
        <v>20190312151637290</v>
      </c>
      <c r="B5110" t="str">
        <f>"1552374997283125"</f>
        <v>1552374997283125</v>
      </c>
      <c r="C5110" t="s">
        <v>40</v>
      </c>
      <c r="D5110">
        <v>4.6288419999999997</v>
      </c>
      <c r="E5110">
        <v>0.52947390000000005</v>
      </c>
      <c r="F5110" t="s">
        <v>43</v>
      </c>
      <c r="G5110">
        <v>-325.74970000000002</v>
      </c>
      <c r="H5110" s="1">
        <v>-3.111837E-6</v>
      </c>
      <c r="I5110">
        <v>13.99596</v>
      </c>
      <c r="J5110">
        <v>-335.16090000000003</v>
      </c>
      <c r="K5110">
        <v>1.1086849999999999</v>
      </c>
      <c r="L5110">
        <v>17.187379999999902</v>
      </c>
      <c r="M5110">
        <v>0.99989189999999994</v>
      </c>
      <c r="N5110">
        <v>0</v>
      </c>
      <c r="O5110">
        <v>-7.0907030000000003E-3</v>
      </c>
      <c r="P5110">
        <v>0.96463069999999895</v>
      </c>
      <c r="Q5110">
        <v>0.10467559999999999</v>
      </c>
      <c r="R5110">
        <v>-0.24193149999999999</v>
      </c>
      <c r="S5110">
        <v>2.9030459999999998</v>
      </c>
      <c r="T5110">
        <v>-0.33800639999999998</v>
      </c>
      <c r="U5110">
        <v>-0.97354130000000005</v>
      </c>
      <c r="V5110">
        <v>0.23552129999999999</v>
      </c>
      <c r="W5110">
        <v>0.11623260000000001</v>
      </c>
      <c r="X5110">
        <v>0.96489360000000002</v>
      </c>
      <c r="Y5110">
        <v>0.30938300000000002</v>
      </c>
      <c r="Z5110">
        <v>-1.66757999999999E-2</v>
      </c>
      <c r="AA5110">
        <v>0.95079130000000001</v>
      </c>
      <c r="AB5110">
        <v>23</v>
      </c>
      <c r="AC5110">
        <v>9.4111999999999991</v>
      </c>
      <c r="AD5110">
        <v>-1.108688111837</v>
      </c>
      <c r="AE5110">
        <v>-3.1914199999999902</v>
      </c>
      <c r="AF5110">
        <v>3.0861891711815699</v>
      </c>
      <c r="AG5110">
        <v>-1.108688111837</v>
      </c>
      <c r="AH5110">
        <v>9.3176205652864592</v>
      </c>
      <c r="AI5110">
        <v>96.444451381799198</v>
      </c>
      <c r="AJ5110">
        <v>71.6740585872694</v>
      </c>
      <c r="AK5110">
        <v>9.8778441943723898</v>
      </c>
      <c r="AL5110">
        <v>83.325275235198603</v>
      </c>
      <c r="AM5110">
        <v>76.282872772632302</v>
      </c>
      <c r="AN5110">
        <v>0.99999997968870402</v>
      </c>
    </row>
    <row r="5111" spans="1:40" x14ac:dyDescent="0.25">
      <c r="A5111" t="str">
        <f>"20190312151637302"</f>
        <v>20190312151637302</v>
      </c>
      <c r="B5111" t="str">
        <f>"1552374997292886"</f>
        <v>1552374997292886</v>
      </c>
      <c r="C5111" t="s">
        <v>40</v>
      </c>
      <c r="D5111">
        <v>4.658703</v>
      </c>
      <c r="E5111">
        <v>0.52954820000000002</v>
      </c>
      <c r="F5111" t="s">
        <v>43</v>
      </c>
      <c r="G5111">
        <v>-325.69839999999999</v>
      </c>
      <c r="H5111" s="1">
        <v>-3.130242E-6</v>
      </c>
      <c r="I5111">
        <v>14.00079</v>
      </c>
      <c r="J5111">
        <v>-335.03890000000001</v>
      </c>
      <c r="K5111">
        <v>1.108684</v>
      </c>
      <c r="L5111">
        <v>17.185089999999999</v>
      </c>
      <c r="M5111">
        <v>0.9998821</v>
      </c>
      <c r="N5111">
        <v>0</v>
      </c>
      <c r="O5111">
        <v>-8.3662630000000005E-3</v>
      </c>
      <c r="P5111">
        <v>0.96442329999999998</v>
      </c>
      <c r="Q5111">
        <v>0.1043106</v>
      </c>
      <c r="R5111">
        <v>-0.24291450000000001</v>
      </c>
      <c r="S5111">
        <v>2.9017940000000002</v>
      </c>
      <c r="T5111">
        <v>-0.33999190000000001</v>
      </c>
      <c r="U5111">
        <v>-0.97720340000000006</v>
      </c>
      <c r="V5111">
        <v>0.2352727</v>
      </c>
      <c r="W5111">
        <v>0.1158684</v>
      </c>
      <c r="X5111">
        <v>0.96499809999999997</v>
      </c>
      <c r="Y5111">
        <v>0.30935839999999998</v>
      </c>
      <c r="Z5111">
        <v>-1.663042E-2</v>
      </c>
      <c r="AA5111">
        <v>0.95080010000000004</v>
      </c>
      <c r="AB5111">
        <v>23</v>
      </c>
      <c r="AC5111">
        <v>9.3405000000000094</v>
      </c>
      <c r="AD5111">
        <v>-1.1086871302420001</v>
      </c>
      <c r="AE5111">
        <v>-3.1842999999999901</v>
      </c>
      <c r="AF5111">
        <v>3.0673213323238899</v>
      </c>
      <c r="AG5111">
        <v>-1.1086871302420001</v>
      </c>
      <c r="AH5111">
        <v>9.2500619158287396</v>
      </c>
      <c r="AI5111">
        <v>96.490384051771599</v>
      </c>
      <c r="AJ5111">
        <v>71.654474552859895</v>
      </c>
      <c r="AK5111">
        <v>9.8082257699932107</v>
      </c>
      <c r="AL5111">
        <v>83.346284654948704</v>
      </c>
      <c r="AM5111">
        <v>76.298233494060199</v>
      </c>
      <c r="AN5111">
        <v>1.0000000312437201</v>
      </c>
    </row>
    <row r="5112" spans="1:40" x14ac:dyDescent="0.25">
      <c r="A5112" t="str">
        <f>"20190312151637314"</f>
        <v>20190312151637314</v>
      </c>
      <c r="B5112" t="str">
        <f>"1552374997302645"</f>
        <v>1552374997302645</v>
      </c>
      <c r="C5112" t="s">
        <v>40</v>
      </c>
      <c r="D5112">
        <v>4.6799770000000001</v>
      </c>
      <c r="E5112">
        <v>0.52970280000000003</v>
      </c>
      <c r="F5112" t="s">
        <v>43</v>
      </c>
      <c r="G5112">
        <v>-325.60120000000001</v>
      </c>
      <c r="H5112" s="1">
        <v>-3.1696769999999999E-6</v>
      </c>
      <c r="I5112">
        <v>13.99283</v>
      </c>
      <c r="J5112">
        <v>-334.91890000000001</v>
      </c>
      <c r="K5112">
        <v>1.108679</v>
      </c>
      <c r="L5112">
        <v>17.18271</v>
      </c>
      <c r="M5112">
        <v>0.9998707</v>
      </c>
      <c r="N5112">
        <v>0</v>
      </c>
      <c r="O5112">
        <v>-9.6229950000000005E-3</v>
      </c>
      <c r="P5112">
        <v>0.96417299999999995</v>
      </c>
      <c r="Q5112">
        <v>0.1040353</v>
      </c>
      <c r="R5112">
        <v>-0.2440224</v>
      </c>
      <c r="S5112">
        <v>2.9003909999999999</v>
      </c>
      <c r="T5112">
        <v>-0.34072340000000001</v>
      </c>
      <c r="U5112">
        <v>-0.98104860000000005</v>
      </c>
      <c r="V5112">
        <v>0.23516819999999999</v>
      </c>
      <c r="W5112">
        <v>0.11559270000000001</v>
      </c>
      <c r="X5112">
        <v>0.96505660000000004</v>
      </c>
      <c r="Y5112">
        <v>0.30943349999999997</v>
      </c>
      <c r="Z5112">
        <v>-1.6531359999999998E-2</v>
      </c>
      <c r="AA5112">
        <v>0.95077739999999999</v>
      </c>
      <c r="AB5112">
        <v>23</v>
      </c>
      <c r="AC5112">
        <v>9.3177000000000003</v>
      </c>
      <c r="AD5112">
        <v>-1.108682169677</v>
      </c>
      <c r="AE5112">
        <v>-3.18988</v>
      </c>
      <c r="AF5112">
        <v>3.0612664808310202</v>
      </c>
      <c r="AG5112">
        <v>-1.108682169677</v>
      </c>
      <c r="AH5112">
        <v>9.2309867398012493</v>
      </c>
      <c r="AI5112">
        <v>96.503595880667902</v>
      </c>
      <c r="AJ5112">
        <v>71.652962048228304</v>
      </c>
      <c r="AK5112">
        <v>9.7883422912363294</v>
      </c>
      <c r="AL5112">
        <v>83.362187738505995</v>
      </c>
      <c r="AM5112">
        <v>76.304889061793105</v>
      </c>
      <c r="AN5112">
        <v>0.99999999789404503</v>
      </c>
    </row>
    <row r="5113" spans="1:40" x14ac:dyDescent="0.25">
      <c r="A5113" t="str">
        <f>"20190312151637324"</f>
        <v>20190312151637324</v>
      </c>
      <c r="B5113" t="str">
        <f>"1552374997313381"</f>
        <v>1552374997313381</v>
      </c>
      <c r="C5113" t="s">
        <v>40</v>
      </c>
      <c r="D5113">
        <v>4.6455900000000003</v>
      </c>
      <c r="E5113">
        <v>0.52969560000000004</v>
      </c>
      <c r="F5113" t="s">
        <v>43</v>
      </c>
      <c r="G5113">
        <v>-325.48869999999999</v>
      </c>
      <c r="H5113" s="1">
        <v>-3.2175309999999999E-6</v>
      </c>
      <c r="I5113">
        <v>13.97541</v>
      </c>
      <c r="J5113">
        <v>-334.80829999999997</v>
      </c>
      <c r="K5113">
        <v>1.1086750000000001</v>
      </c>
      <c r="L5113">
        <v>17.180329999999898</v>
      </c>
      <c r="M5113">
        <v>0.99985889999999999</v>
      </c>
      <c r="N5113">
        <v>0</v>
      </c>
      <c r="O5113">
        <v>-1.0788900000000001E-2</v>
      </c>
      <c r="P5113">
        <v>0.96407370000000003</v>
      </c>
      <c r="Q5113">
        <v>0.1036267</v>
      </c>
      <c r="R5113">
        <v>-0.24458869999999999</v>
      </c>
      <c r="S5113">
        <v>2.898682</v>
      </c>
      <c r="T5113">
        <v>-0.34079029999999999</v>
      </c>
      <c r="U5113">
        <v>-0.98587040000000004</v>
      </c>
      <c r="V5113">
        <v>0.23460780000000001</v>
      </c>
      <c r="W5113">
        <v>0.11518680000000001</v>
      </c>
      <c r="X5113">
        <v>0.96524149999999997</v>
      </c>
      <c r="Y5113">
        <v>0.30991659999999999</v>
      </c>
      <c r="Z5113">
        <v>-1.6434239999999999E-2</v>
      </c>
      <c r="AA5113">
        <v>0.95062170000000001</v>
      </c>
      <c r="AB5113">
        <v>23</v>
      </c>
      <c r="AC5113">
        <v>9.3195999999999799</v>
      </c>
      <c r="AD5113">
        <v>-1.1086782175309999</v>
      </c>
      <c r="AE5113">
        <v>-3.2049199999999902</v>
      </c>
      <c r="AF5113">
        <v>3.0653834289005402</v>
      </c>
      <c r="AG5113">
        <v>-1.1086782175309999</v>
      </c>
      <c r="AH5113">
        <v>9.2367438747401494</v>
      </c>
      <c r="AI5113">
        <v>96.499093723028395</v>
      </c>
      <c r="AJ5113">
        <v>71.640625293697497</v>
      </c>
      <c r="AK5113">
        <v>9.7950589770432508</v>
      </c>
      <c r="AL5113">
        <v>83.385600407008596</v>
      </c>
      <c r="AM5113">
        <v>76.338818775124693</v>
      </c>
      <c r="AN5113">
        <v>0.99999998601866402</v>
      </c>
    </row>
    <row r="5114" spans="1:40" x14ac:dyDescent="0.25">
      <c r="A5114" t="str">
        <f>"20190312151637336"</f>
        <v>20190312151637336</v>
      </c>
      <c r="B5114" t="str">
        <f>"1552374997332901"</f>
        <v>1552374997332901</v>
      </c>
      <c r="C5114" t="s">
        <v>40</v>
      </c>
      <c r="D5114">
        <v>4.6570710000000002</v>
      </c>
      <c r="E5114">
        <v>0.52972989999999998</v>
      </c>
      <c r="F5114" t="s">
        <v>43</v>
      </c>
      <c r="G5114">
        <v>-325.41719999999998</v>
      </c>
      <c r="H5114" s="1">
        <v>-3.244056E-6</v>
      </c>
      <c r="I5114">
        <v>13.978960000000001</v>
      </c>
      <c r="J5114">
        <v>-334.6902</v>
      </c>
      <c r="K5114">
        <v>1.108668</v>
      </c>
      <c r="L5114">
        <v>17.177700000000002</v>
      </c>
      <c r="M5114">
        <v>0.99984459999999997</v>
      </c>
      <c r="N5114">
        <v>0</v>
      </c>
      <c r="O5114">
        <v>-1.2037890000000001E-2</v>
      </c>
      <c r="P5114">
        <v>0.96386830000000001</v>
      </c>
      <c r="Q5114">
        <v>0.1032247</v>
      </c>
      <c r="R5114">
        <v>-0.24556629999999999</v>
      </c>
      <c r="S5114">
        <v>2.8979490000000001</v>
      </c>
      <c r="T5114">
        <v>-0.34211770000000002</v>
      </c>
      <c r="U5114">
        <v>-0.98788450000000005</v>
      </c>
      <c r="V5114">
        <v>0.23437959999999999</v>
      </c>
      <c r="W5114">
        <v>0.1147856</v>
      </c>
      <c r="X5114">
        <v>0.96534469999999994</v>
      </c>
      <c r="Y5114">
        <v>0.30939139999999998</v>
      </c>
      <c r="Z5114">
        <v>-1.6327120000000001E-2</v>
      </c>
      <c r="AA5114">
        <v>0.95079460000000005</v>
      </c>
      <c r="AB5114">
        <v>23</v>
      </c>
      <c r="AC5114">
        <v>9.2730000000000192</v>
      </c>
      <c r="AD5114">
        <v>-1.108671244056</v>
      </c>
      <c r="AE5114">
        <v>-3.1987399999999999</v>
      </c>
      <c r="AF5114">
        <v>3.04793623332522</v>
      </c>
      <c r="AG5114">
        <v>-1.108671244056</v>
      </c>
      <c r="AH5114">
        <v>9.1933977686924493</v>
      </c>
      <c r="AI5114">
        <v>96.530075966419204</v>
      </c>
      <c r="AJ5114">
        <v>71.657816941997993</v>
      </c>
      <c r="AK5114">
        <v>9.7487245187877196</v>
      </c>
      <c r="AL5114">
        <v>83.408740793485606</v>
      </c>
      <c r="AM5114">
        <v>76.353014116226007</v>
      </c>
      <c r="AN5114">
        <v>0.99999996034080396</v>
      </c>
    </row>
    <row r="5115" spans="1:40" x14ac:dyDescent="0.25">
      <c r="A5115" t="str">
        <f>"20190312151637347"</f>
        <v>20190312151637347</v>
      </c>
      <c r="B5115" t="str">
        <f>"1552374997342661"</f>
        <v>1552374997342661</v>
      </c>
      <c r="C5115" t="s">
        <v>40</v>
      </c>
      <c r="D5115">
        <v>4.663208</v>
      </c>
      <c r="E5115">
        <v>0.52979339999999997</v>
      </c>
      <c r="F5115" t="s">
        <v>43</v>
      </c>
      <c r="G5115">
        <v>-325.3426</v>
      </c>
      <c r="H5115" s="1">
        <v>-3.2728639999999999E-6</v>
      </c>
      <c r="I5115">
        <v>13.97833</v>
      </c>
      <c r="J5115">
        <v>-334.56610000000001</v>
      </c>
      <c r="K5115">
        <v>1.108662</v>
      </c>
      <c r="L5115">
        <v>17.174769999999999</v>
      </c>
      <c r="M5115">
        <v>0.99982789999999999</v>
      </c>
      <c r="N5115">
        <v>0</v>
      </c>
      <c r="O5115">
        <v>-1.3354939999999999E-2</v>
      </c>
      <c r="P5115">
        <v>0.96369199999999999</v>
      </c>
      <c r="Q5115">
        <v>0.1029306</v>
      </c>
      <c r="R5115">
        <v>-0.24637980000000001</v>
      </c>
      <c r="S5115">
        <v>2.8966370000000001</v>
      </c>
      <c r="T5115">
        <v>-0.34355619999999998</v>
      </c>
      <c r="U5115">
        <v>-0.99142459999999999</v>
      </c>
      <c r="V5115">
        <v>0.23392180000000001</v>
      </c>
      <c r="W5115">
        <v>0.11449330000000001</v>
      </c>
      <c r="X5115">
        <v>0.96549050000000003</v>
      </c>
      <c r="Y5115">
        <v>0.30930439999999998</v>
      </c>
      <c r="Z5115">
        <v>-1.6242960000000001E-2</v>
      </c>
      <c r="AA5115">
        <v>0.95082429999999996</v>
      </c>
      <c r="AB5115">
        <v>23</v>
      </c>
      <c r="AC5115">
        <v>9.2234999999999996</v>
      </c>
      <c r="AD5115">
        <v>-1.1086652728640001</v>
      </c>
      <c r="AE5115">
        <v>-3.1964399999999999</v>
      </c>
      <c r="AF5115">
        <v>3.03383228277433</v>
      </c>
      <c r="AG5115">
        <v>-1.1086652728640001</v>
      </c>
      <c r="AH5115">
        <v>9.1473779746229997</v>
      </c>
      <c r="AI5115">
        <v>96.562362378633594</v>
      </c>
      <c r="AJ5115">
        <v>71.651309079204196</v>
      </c>
      <c r="AK5115">
        <v>9.7009175245373704</v>
      </c>
      <c r="AL5115">
        <v>83.425599857659293</v>
      </c>
      <c r="AM5115">
        <v>76.3806563400166</v>
      </c>
      <c r="AN5115">
        <v>1.00000001492519</v>
      </c>
    </row>
    <row r="5116" spans="1:40" x14ac:dyDescent="0.25">
      <c r="A5116" t="str">
        <f>"20190312151637360"</f>
        <v>20190312151637360</v>
      </c>
      <c r="B5116" t="str">
        <f>"1552374997353397"</f>
        <v>1552374997353397</v>
      </c>
      <c r="C5116" t="s">
        <v>40</v>
      </c>
      <c r="D5116">
        <v>5.047949</v>
      </c>
      <c r="E5116">
        <v>0.52979339999999997</v>
      </c>
      <c r="F5116" t="s">
        <v>43</v>
      </c>
      <c r="G5116">
        <v>-325.23880000000003</v>
      </c>
      <c r="H5116" s="1">
        <v>-3.3147659999999999E-6</v>
      </c>
      <c r="I5116">
        <v>13.9706299999999</v>
      </c>
      <c r="J5116">
        <v>-334.44639999999998</v>
      </c>
      <c r="K5116">
        <v>1.1086560000000001</v>
      </c>
      <c r="L5116">
        <v>17.171720000000001</v>
      </c>
      <c r="M5116">
        <v>0.99980999999999998</v>
      </c>
      <c r="N5116">
        <v>0</v>
      </c>
      <c r="O5116">
        <v>-1.463074E-2</v>
      </c>
      <c r="P5116">
        <v>0.96350630000000004</v>
      </c>
      <c r="Q5116">
        <v>0.10255599999999999</v>
      </c>
      <c r="R5116">
        <v>-0.24726110000000001</v>
      </c>
      <c r="S5116">
        <v>2.8954770000000001</v>
      </c>
      <c r="T5116">
        <v>-0.34416210000000003</v>
      </c>
      <c r="U5116">
        <v>-0.99465939999999997</v>
      </c>
      <c r="V5116">
        <v>0.2335711</v>
      </c>
      <c r="W5116">
        <v>0.1141196</v>
      </c>
      <c r="X5116">
        <v>0.96561960000000002</v>
      </c>
      <c r="Y5116">
        <v>0.30916090000000002</v>
      </c>
      <c r="Z5116">
        <v>-1.6119680000000001E-2</v>
      </c>
      <c r="AA5116">
        <v>0.95087310000000003</v>
      </c>
      <c r="AB5116">
        <v>23</v>
      </c>
      <c r="AC5116">
        <v>9.2075999999999496</v>
      </c>
      <c r="AD5116">
        <v>-1.10865931476599</v>
      </c>
      <c r="AE5116">
        <v>-3.2010900000000002</v>
      </c>
      <c r="AF5116">
        <v>3.0268710612798202</v>
      </c>
      <c r="AG5116">
        <v>-1.10865931476599</v>
      </c>
      <c r="AH5116">
        <v>9.1352920323584499</v>
      </c>
      <c r="AI5116">
        <v>96.571562312180902</v>
      </c>
      <c r="AJ5116">
        <v>71.667995017847005</v>
      </c>
      <c r="AK5116">
        <v>9.6873440330310601</v>
      </c>
      <c r="AL5116">
        <v>83.447152306247801</v>
      </c>
      <c r="AM5116">
        <v>76.402066588437293</v>
      </c>
      <c r="AN5116">
        <v>0.99999997688176401</v>
      </c>
    </row>
    <row r="5117" spans="1:40" x14ac:dyDescent="0.25">
      <c r="A5117" t="str">
        <f>"20190312151637371"</f>
        <v>20190312151637371</v>
      </c>
      <c r="B5117" t="str">
        <f>"1552374997363157"</f>
        <v>1552374997363157</v>
      </c>
      <c r="C5117" t="s">
        <v>40</v>
      </c>
      <c r="D5117">
        <v>4.6581809999999999</v>
      </c>
      <c r="E5117">
        <v>0.52724309999999996</v>
      </c>
      <c r="F5117" t="s">
        <v>43</v>
      </c>
      <c r="G5117">
        <v>-325.15219999999999</v>
      </c>
      <c r="H5117" s="1">
        <v>-3.3484419999999999E-6</v>
      </c>
      <c r="I5117">
        <v>13.96909</v>
      </c>
      <c r="J5117">
        <v>-334.32420000000002</v>
      </c>
      <c r="K5117">
        <v>1.108652</v>
      </c>
      <c r="L5117">
        <v>17.16855</v>
      </c>
      <c r="M5117">
        <v>0.99979010000000001</v>
      </c>
      <c r="N5117">
        <v>0</v>
      </c>
      <c r="O5117">
        <v>-1.5934790000000001E-2</v>
      </c>
      <c r="P5117">
        <v>0.96327070000000004</v>
      </c>
      <c r="Q5117">
        <v>0.10232570000000001</v>
      </c>
      <c r="R5117">
        <v>-0.24827250000000001</v>
      </c>
      <c r="S5117">
        <v>2.8944399999999999</v>
      </c>
      <c r="T5117">
        <v>-0.34526299999999999</v>
      </c>
      <c r="U5117">
        <v>-0.99737549999999997</v>
      </c>
      <c r="V5117">
        <v>0.2333248</v>
      </c>
      <c r="W5117">
        <v>0.1138903</v>
      </c>
      <c r="X5117">
        <v>0.96570619999999996</v>
      </c>
      <c r="Y5117">
        <v>0.30882209999999899</v>
      </c>
      <c r="Z5117">
        <v>-1.6003899999999901E-2</v>
      </c>
      <c r="AA5117">
        <v>0.95098519999999997</v>
      </c>
      <c r="AB5117">
        <v>23</v>
      </c>
      <c r="AC5117">
        <v>9.1720000000000201</v>
      </c>
      <c r="AD5117">
        <v>-1.1086553484420001</v>
      </c>
      <c r="AE5117">
        <v>-3.19945999999999</v>
      </c>
      <c r="AF5117">
        <v>3.0136335207862501</v>
      </c>
      <c r="AG5117">
        <v>-1.1086553484420001</v>
      </c>
      <c r="AH5117">
        <v>9.1032475985406407</v>
      </c>
      <c r="AI5117">
        <v>96.595029640681304</v>
      </c>
      <c r="AJ5117">
        <v>71.682855242408095</v>
      </c>
      <c r="AK5117">
        <v>9.6529902372048202</v>
      </c>
      <c r="AL5117">
        <v>83.460376361404997</v>
      </c>
      <c r="AM5117">
        <v>76.417047004556196</v>
      </c>
      <c r="AN5117">
        <v>0.99999996372378397</v>
      </c>
    </row>
    <row r="5118" spans="1:40" x14ac:dyDescent="0.25">
      <c r="A5118" t="str">
        <f>"20190312151637382"</f>
        <v>20190312151637382</v>
      </c>
      <c r="B5118" t="str">
        <f>"1552374997372917"</f>
        <v>1552374997372917</v>
      </c>
      <c r="C5118" t="s">
        <v>40</v>
      </c>
      <c r="D5118">
        <v>4.6823550000000003</v>
      </c>
      <c r="E5118">
        <v>0.52726790000000001</v>
      </c>
      <c r="F5118" t="s">
        <v>43</v>
      </c>
      <c r="G5118">
        <v>-321.4042</v>
      </c>
      <c r="H5118" s="1">
        <v>-5.2531840000000004E-6</v>
      </c>
      <c r="I5118">
        <v>12.798260000000001</v>
      </c>
      <c r="J5118">
        <v>-334.20760000000001</v>
      </c>
      <c r="K5118">
        <v>1.108649</v>
      </c>
      <c r="L5118">
        <v>17.165279999999999</v>
      </c>
      <c r="M5118">
        <v>0.99976940000000003</v>
      </c>
      <c r="N5118">
        <v>0</v>
      </c>
      <c r="O5118">
        <v>-1.71840999999999E-2</v>
      </c>
      <c r="P5118">
        <v>0.96308919999999998</v>
      </c>
      <c r="Q5118">
        <v>0.1018584</v>
      </c>
      <c r="R5118">
        <v>-0.24916759999999999</v>
      </c>
      <c r="S5118">
        <v>2.888855</v>
      </c>
      <c r="T5118">
        <v>-0.2478901</v>
      </c>
      <c r="U5118">
        <v>-0.97717290000000001</v>
      </c>
      <c r="V5118">
        <v>0.2330129</v>
      </c>
      <c r="W5118">
        <v>0.1134251</v>
      </c>
      <c r="X5118">
        <v>0.96583629999999998</v>
      </c>
      <c r="Y5118">
        <v>0.30315310000000001</v>
      </c>
      <c r="Z5118">
        <v>-1.1201829999999999E-2</v>
      </c>
      <c r="AA5118">
        <v>0.95287599999999995</v>
      </c>
      <c r="AB5118">
        <v>23</v>
      </c>
      <c r="AC5118">
        <v>12.8034</v>
      </c>
      <c r="AD5118">
        <v>-1.108654253184</v>
      </c>
      <c r="AE5118">
        <v>-4.3670199999999904</v>
      </c>
      <c r="AF5118">
        <v>4.1186786142618601</v>
      </c>
      <c r="AG5118">
        <v>-1.108654253184</v>
      </c>
      <c r="AH5118">
        <v>12.7906496893861</v>
      </c>
      <c r="AI5118">
        <v>94.716505723378404</v>
      </c>
      <c r="AJ5118">
        <v>72.151078546616603</v>
      </c>
      <c r="AK5118">
        <v>13.4830763276514</v>
      </c>
      <c r="AL5118">
        <v>83.487204517943795</v>
      </c>
      <c r="AM5118">
        <v>76.436292571803506</v>
      </c>
      <c r="AN5118">
        <v>1.00000001163705</v>
      </c>
    </row>
    <row r="5119" spans="1:40" x14ac:dyDescent="0.25">
      <c r="A5119" t="str">
        <f>"20190312151637393"</f>
        <v>20190312151637393</v>
      </c>
      <c r="B5119" t="str">
        <f>"1552374997382678"</f>
        <v>1552374997382678</v>
      </c>
      <c r="C5119" t="s">
        <v>40</v>
      </c>
      <c r="D5119">
        <v>4.6712040000000004</v>
      </c>
      <c r="E5119">
        <v>0.52736740000000004</v>
      </c>
      <c r="F5119" t="s">
        <v>43</v>
      </c>
      <c r="G5119">
        <v>-321.47890000000001</v>
      </c>
      <c r="H5119" s="1">
        <v>-5.2095200000000004E-6</v>
      </c>
      <c r="I5119">
        <v>12.845420000000001</v>
      </c>
      <c r="J5119">
        <v>-334.10309999999998</v>
      </c>
      <c r="K5119">
        <v>1.1086450000000001</v>
      </c>
      <c r="L5119">
        <v>17.162320000000001</v>
      </c>
      <c r="M5119">
        <v>0.99974949999999996</v>
      </c>
      <c r="N5119">
        <v>0</v>
      </c>
      <c r="O5119">
        <v>-1.8303940000000001E-2</v>
      </c>
      <c r="P5119">
        <v>0.96295319999999995</v>
      </c>
      <c r="Q5119">
        <v>0.1016445</v>
      </c>
      <c r="R5119">
        <v>-0.24977920000000001</v>
      </c>
      <c r="S5119">
        <v>2.8880309999999998</v>
      </c>
      <c r="T5119">
        <v>-0.25154280000000001</v>
      </c>
      <c r="U5119">
        <v>-0.98013309999999998</v>
      </c>
      <c r="V5119">
        <v>0.2325431</v>
      </c>
      <c r="W5119">
        <v>0.1132138</v>
      </c>
      <c r="X5119">
        <v>0.96597429999999995</v>
      </c>
      <c r="Y5119">
        <v>0.30302089999999998</v>
      </c>
      <c r="Z5119">
        <v>-1.126741E-2</v>
      </c>
      <c r="AA5119">
        <v>0.95291729999999997</v>
      </c>
      <c r="AB5119">
        <v>23</v>
      </c>
      <c r="AC5119">
        <v>12.624199999999901</v>
      </c>
      <c r="AD5119">
        <v>-1.1086502095199999</v>
      </c>
      <c r="AE5119">
        <v>-4.3169000000000004</v>
      </c>
      <c r="AF5119">
        <v>4.0570714209863397</v>
      </c>
      <c r="AG5119">
        <v>-1.1086502095199999</v>
      </c>
      <c r="AH5119">
        <v>12.6140096771194</v>
      </c>
      <c r="AI5119">
        <v>94.782751933892001</v>
      </c>
      <c r="AJ5119">
        <v>72.170538256989502</v>
      </c>
      <c r="AK5119">
        <v>13.2966978583599</v>
      </c>
      <c r="AL5119">
        <v>83.499389549021899</v>
      </c>
      <c r="AM5119">
        <v>76.464495073921199</v>
      </c>
      <c r="AN5119">
        <v>1.0000000030642699</v>
      </c>
    </row>
    <row r="5120" spans="1:40" x14ac:dyDescent="0.25">
      <c r="A5120" t="str">
        <f>"20190312151637402"</f>
        <v>20190312151637402</v>
      </c>
      <c r="B5120" t="str">
        <f>"1552374997393416"</f>
        <v>1552374997393416</v>
      </c>
      <c r="C5120" t="s">
        <v>40</v>
      </c>
      <c r="D5120">
        <v>4.667891</v>
      </c>
      <c r="E5120">
        <v>0.52745739999999997</v>
      </c>
      <c r="F5120" t="s">
        <v>43</v>
      </c>
      <c r="G5120">
        <v>-321.32839999999999</v>
      </c>
      <c r="H5120" s="1">
        <v>-5.2864069999999999E-6</v>
      </c>
      <c r="I5120">
        <v>12.81301</v>
      </c>
      <c r="J5120">
        <v>-334.0052</v>
      </c>
      <c r="K5120">
        <v>1.1086419999999999</v>
      </c>
      <c r="L5120">
        <v>17.159329999999901</v>
      </c>
      <c r="M5120">
        <v>0.99972969999999906</v>
      </c>
      <c r="N5120">
        <v>0</v>
      </c>
      <c r="O5120">
        <v>-1.9356410000000001E-2</v>
      </c>
      <c r="P5120">
        <v>0.96286179999999999</v>
      </c>
      <c r="Q5120">
        <v>0.1012858</v>
      </c>
      <c r="R5120">
        <v>-0.25027680000000002</v>
      </c>
      <c r="S5120">
        <v>2.8869020000000001</v>
      </c>
      <c r="T5120">
        <v>-0.25053809999999999</v>
      </c>
      <c r="U5120">
        <v>-0.98287959999999996</v>
      </c>
      <c r="V5120">
        <v>0.2320227</v>
      </c>
      <c r="W5120">
        <v>0.1128594</v>
      </c>
      <c r="X5120">
        <v>0.96614089999999997</v>
      </c>
      <c r="Y5120">
        <v>0.30295519999999998</v>
      </c>
      <c r="Z5120">
        <v>-1.113374E-2</v>
      </c>
      <c r="AA5120">
        <v>0.95293969999999995</v>
      </c>
      <c r="AB5120">
        <v>23</v>
      </c>
      <c r="AC5120">
        <v>12.6768</v>
      </c>
      <c r="AD5120">
        <v>-1.1086472864069901</v>
      </c>
      <c r="AE5120">
        <v>-4.3463199999999897</v>
      </c>
      <c r="AF5120">
        <v>4.0722380984916802</v>
      </c>
      <c r="AG5120">
        <v>-1.1086472864069901</v>
      </c>
      <c r="AH5120">
        <v>12.671836568452999</v>
      </c>
      <c r="AI5120">
        <v>94.761388342654996</v>
      </c>
      <c r="AJ5120">
        <v>72.184603669512597</v>
      </c>
      <c r="AK5120">
        <v>13.356184483378801</v>
      </c>
      <c r="AL5120">
        <v>83.519826187685197</v>
      </c>
      <c r="AM5120">
        <v>76.495918505446099</v>
      </c>
      <c r="AN5120">
        <v>1.0000000080682301</v>
      </c>
    </row>
    <row r="5121" spans="1:40" x14ac:dyDescent="0.25">
      <c r="A5121" t="str">
        <f>"20190312151637414"</f>
        <v>20190312151637414</v>
      </c>
      <c r="B5121" t="str">
        <f>"1552374997403173"</f>
        <v>1552374997403173</v>
      </c>
      <c r="C5121" t="s">
        <v>40</v>
      </c>
      <c r="D5121">
        <v>4.6651300000000004</v>
      </c>
      <c r="E5121">
        <v>0.52727029999999997</v>
      </c>
      <c r="F5121" t="s">
        <v>43</v>
      </c>
      <c r="G5121">
        <v>-321.31279999999998</v>
      </c>
      <c r="H5121" s="1">
        <v>-5.2913910000000002E-6</v>
      </c>
      <c r="I5121">
        <v>12.82629</v>
      </c>
      <c r="J5121">
        <v>-333.87880000000001</v>
      </c>
      <c r="K5121">
        <v>1.1086400000000001</v>
      </c>
      <c r="L5121">
        <v>17.155429999999999</v>
      </c>
      <c r="M5121">
        <v>0.99970239999999999</v>
      </c>
      <c r="N5121">
        <v>0</v>
      </c>
      <c r="O5121">
        <v>-2.0714630000000001E-2</v>
      </c>
      <c r="P5121">
        <v>0.96269039999999995</v>
      </c>
      <c r="Q5121">
        <v>0.1009092</v>
      </c>
      <c r="R5121">
        <v>-0.251087</v>
      </c>
      <c r="S5121">
        <v>2.8861080000000001</v>
      </c>
      <c r="T5121">
        <v>-0.25209530000000002</v>
      </c>
      <c r="U5121">
        <v>-0.98529049999999996</v>
      </c>
      <c r="V5121">
        <v>0.23152010000000001</v>
      </c>
      <c r="W5121">
        <v>0.1124865</v>
      </c>
      <c r="X5121">
        <v>0.96630499999999997</v>
      </c>
      <c r="Y5121">
        <v>0.302448299999999</v>
      </c>
      <c r="Z5121">
        <v>-1.106768E-2</v>
      </c>
      <c r="AA5121">
        <v>0.95310150000000005</v>
      </c>
      <c r="AB5121">
        <v>23</v>
      </c>
      <c r="AC5121">
        <v>12.566000000000001</v>
      </c>
      <c r="AD5121">
        <v>-1.1086452913910001</v>
      </c>
      <c r="AE5121">
        <v>-4.32913999999999</v>
      </c>
      <c r="AF5121">
        <v>4.0397806576663804</v>
      </c>
      <c r="AG5121">
        <v>-1.1086452913910001</v>
      </c>
      <c r="AH5121">
        <v>12.5655565979167</v>
      </c>
      <c r="AI5121">
        <v>94.801276249233197</v>
      </c>
      <c r="AJ5121">
        <v>72.177591066289594</v>
      </c>
      <c r="AK5121">
        <v>13.245457136680001</v>
      </c>
      <c r="AL5121">
        <v>83.541329053777602</v>
      </c>
      <c r="AM5121">
        <v>76.526307657576695</v>
      </c>
      <c r="AN5121">
        <v>1.0000000612056199</v>
      </c>
    </row>
    <row r="5122" spans="1:40" x14ac:dyDescent="0.25">
      <c r="A5122" t="str">
        <f>"20190312151637425"</f>
        <v>20190312151637425</v>
      </c>
      <c r="B5122" t="str">
        <f>"1552374997422693"</f>
        <v>1552374997422693</v>
      </c>
      <c r="C5122" t="s">
        <v>40</v>
      </c>
      <c r="D5122">
        <v>4.6791260000000001</v>
      </c>
      <c r="E5122">
        <v>0.52957359999999998</v>
      </c>
      <c r="F5122" t="s">
        <v>43</v>
      </c>
      <c r="G5122">
        <v>-321.49520000000001</v>
      </c>
      <c r="H5122" s="1">
        <v>-5.1882949999999996E-6</v>
      </c>
      <c r="I5122">
        <v>12.921469999999999</v>
      </c>
      <c r="J5122">
        <v>-333.76459999999997</v>
      </c>
      <c r="K5122">
        <v>1.1086370000000001</v>
      </c>
      <c r="L5122">
        <v>17.151669999999999</v>
      </c>
      <c r="M5122">
        <v>0.99967620000000001</v>
      </c>
      <c r="N5122">
        <v>0</v>
      </c>
      <c r="O5122">
        <v>-2.194231E-2</v>
      </c>
      <c r="P5122">
        <v>0.96252360000000003</v>
      </c>
      <c r="Q5122">
        <v>0.1005745</v>
      </c>
      <c r="R5122">
        <v>-0.25185960000000002</v>
      </c>
      <c r="S5122">
        <v>2.8859859999999999</v>
      </c>
      <c r="T5122">
        <v>-0.25836989999999999</v>
      </c>
      <c r="U5122">
        <v>-0.98672490000000002</v>
      </c>
      <c r="V5122">
        <v>0.23110620000000001</v>
      </c>
      <c r="W5122">
        <v>0.1121553</v>
      </c>
      <c r="X5122">
        <v>0.96644249999999998</v>
      </c>
      <c r="Y5122">
        <v>0.30167359999999999</v>
      </c>
      <c r="Z5122">
        <v>-1.1201600000000001E-2</v>
      </c>
      <c r="AA5122">
        <v>0.95334549999999996</v>
      </c>
      <c r="AB5122">
        <v>23</v>
      </c>
      <c r="AC5122">
        <v>12.2693999999999</v>
      </c>
      <c r="AD5122">
        <v>-1.1086421882949999</v>
      </c>
      <c r="AE5122">
        <v>-4.2302</v>
      </c>
      <c r="AF5122">
        <v>3.9312528949740799</v>
      </c>
      <c r="AG5122">
        <v>-1.1086421882949999</v>
      </c>
      <c r="AH5122">
        <v>12.2697388455565</v>
      </c>
      <c r="AI5122">
        <v>94.918016017548197</v>
      </c>
      <c r="AJ5122">
        <v>72.234420332075601</v>
      </c>
      <c r="AK5122">
        <v>12.931756576895101</v>
      </c>
      <c r="AL5122">
        <v>83.560425843195503</v>
      </c>
      <c r="AM5122">
        <v>76.551363370288698</v>
      </c>
      <c r="AN5122">
        <v>0.99999999640138904</v>
      </c>
    </row>
    <row r="5123" spans="1:40" x14ac:dyDescent="0.25">
      <c r="A5123" t="str">
        <f>"20190312151637437"</f>
        <v>20190312151637437</v>
      </c>
      <c r="B5123" t="str">
        <f>"1552374997433429"</f>
        <v>1552374997433429</v>
      </c>
      <c r="C5123" t="s">
        <v>40</v>
      </c>
      <c r="D5123">
        <v>4.6788869999999996</v>
      </c>
      <c r="E5123">
        <v>0.52940149999999997</v>
      </c>
      <c r="F5123" t="s">
        <v>43</v>
      </c>
      <c r="G5123">
        <v>-324.64069999999998</v>
      </c>
      <c r="H5123" s="1">
        <v>-3.5474699999999902E-6</v>
      </c>
      <c r="I5123">
        <v>13.9591799999999</v>
      </c>
      <c r="J5123">
        <v>-333.64920000000001</v>
      </c>
      <c r="K5123">
        <v>1.1086370000000001</v>
      </c>
      <c r="L5123">
        <v>17.1478</v>
      </c>
      <c r="M5123">
        <v>0.99964819999999999</v>
      </c>
      <c r="N5123">
        <v>0</v>
      </c>
      <c r="O5123">
        <v>-2.318369E-2</v>
      </c>
      <c r="P5123">
        <v>0.96243109999999998</v>
      </c>
      <c r="Q5123">
        <v>0.1001592</v>
      </c>
      <c r="R5123">
        <v>-0.25237779999999999</v>
      </c>
      <c r="S5123">
        <v>2.8889469999999999</v>
      </c>
      <c r="T5123">
        <v>-0.35103709999999999</v>
      </c>
      <c r="U5123">
        <v>-1.010864</v>
      </c>
      <c r="V5123">
        <v>0.23042270000000001</v>
      </c>
      <c r="W5123">
        <v>0.111745899999999</v>
      </c>
      <c r="X5123">
        <v>0.96665310000000004</v>
      </c>
      <c r="Y5123">
        <v>0.3064461</v>
      </c>
      <c r="Z5123">
        <v>-1.529606E-2</v>
      </c>
      <c r="AA5123">
        <v>0.95176510000000003</v>
      </c>
      <c r="AB5123">
        <v>23</v>
      </c>
      <c r="AC5123">
        <v>9.0085000000000193</v>
      </c>
      <c r="AD5123">
        <v>-1.1086405474700001</v>
      </c>
      <c r="AE5123">
        <v>-3.1886199999999998</v>
      </c>
      <c r="AF5123">
        <v>2.9393346184759701</v>
      </c>
      <c r="AG5123">
        <v>-1.1086405474700001</v>
      </c>
      <c r="AH5123">
        <v>8.9594232538034895</v>
      </c>
      <c r="AI5123">
        <v>96.705735987225594</v>
      </c>
      <c r="AJ5123">
        <v>71.836792454837095</v>
      </c>
      <c r="AK5123">
        <v>9.4942107046168207</v>
      </c>
      <c r="AL5123">
        <v>83.584031090804899</v>
      </c>
      <c r="AM5123">
        <v>76.592515268837005</v>
      </c>
      <c r="AN5123">
        <v>0.99999999129085504</v>
      </c>
    </row>
    <row r="5124" spans="1:40" x14ac:dyDescent="0.25">
      <c r="A5124" t="str">
        <f>"20190312151637447"</f>
        <v>20190312151637447</v>
      </c>
      <c r="B5124" t="str">
        <f>"1552374997443189"</f>
        <v>1552374997443189</v>
      </c>
      <c r="C5124" t="s">
        <v>40</v>
      </c>
      <c r="D5124">
        <v>4.6695609999999999</v>
      </c>
      <c r="E5124">
        <v>0.52956650000000005</v>
      </c>
      <c r="F5124" t="s">
        <v>43</v>
      </c>
      <c r="G5124">
        <v>-324.54250000000002</v>
      </c>
      <c r="H5124" s="1">
        <v>-3.5851289999999999E-6</v>
      </c>
      <c r="I5124">
        <v>13.959379999999999</v>
      </c>
      <c r="J5124">
        <v>-333.54390000000001</v>
      </c>
      <c r="K5124">
        <v>1.1086370000000001</v>
      </c>
      <c r="L5124">
        <v>17.144100000000002</v>
      </c>
      <c r="M5124">
        <v>0.99962139999999999</v>
      </c>
      <c r="N5124">
        <v>0</v>
      </c>
      <c r="O5124">
        <v>-2.431492E-2</v>
      </c>
      <c r="P5124">
        <v>0.96227870000000004</v>
      </c>
      <c r="Q5124">
        <v>0.1001543</v>
      </c>
      <c r="R5124">
        <v>-0.25296020000000002</v>
      </c>
      <c r="S5124">
        <v>2.8884889999999999</v>
      </c>
      <c r="T5124">
        <v>-0.35164509999999899</v>
      </c>
      <c r="U5124">
        <v>-1.0113219999999901</v>
      </c>
      <c r="V5124">
        <v>0.22991249999999999</v>
      </c>
      <c r="W5124">
        <v>0.111745</v>
      </c>
      <c r="X5124">
        <v>0.96677469999999999</v>
      </c>
      <c r="Y5124">
        <v>0.30555749999999998</v>
      </c>
      <c r="Z5124">
        <v>-1.513892E-2</v>
      </c>
      <c r="AA5124">
        <v>0.95205320000000004</v>
      </c>
      <c r="AB5124">
        <v>23</v>
      </c>
      <c r="AC5124">
        <v>9.0013999999999896</v>
      </c>
      <c r="AD5124">
        <v>-1.108640585129</v>
      </c>
      <c r="AE5124">
        <v>-3.18472</v>
      </c>
      <c r="AF5124">
        <v>2.9254520865687001</v>
      </c>
      <c r="AG5124">
        <v>-1.108640585129</v>
      </c>
      <c r="AH5124">
        <v>8.9554473297858603</v>
      </c>
      <c r="AI5124">
        <v>96.711447431150006</v>
      </c>
      <c r="AJ5124">
        <v>71.909476183418306</v>
      </c>
      <c r="AK5124">
        <v>9.4861683905765197</v>
      </c>
      <c r="AL5124">
        <v>83.584083112990896</v>
      </c>
      <c r="AM5124">
        <v>76.622755778034502</v>
      </c>
      <c r="AN5124">
        <v>1.00000001162067</v>
      </c>
    </row>
    <row r="5125" spans="1:40" x14ac:dyDescent="0.25">
      <c r="A5125" t="str">
        <f>"20190312151637458"</f>
        <v>20190312151637458</v>
      </c>
      <c r="B5125" t="str">
        <f>"1552374997452949"</f>
        <v>1552374997452949</v>
      </c>
      <c r="C5125" t="s">
        <v>40</v>
      </c>
      <c r="D5125">
        <v>4.6507800000000001</v>
      </c>
      <c r="E5125">
        <v>0.52963700000000002</v>
      </c>
      <c r="F5125" t="s">
        <v>43</v>
      </c>
      <c r="G5125">
        <v>-324.4076</v>
      </c>
      <c r="H5125" s="1">
        <v>-3.6437150000000001E-6</v>
      </c>
      <c r="I5125">
        <v>13.934010000000001</v>
      </c>
      <c r="J5125">
        <v>-333.42270000000002</v>
      </c>
      <c r="K5125">
        <v>1.1086389999999999</v>
      </c>
      <c r="L5125">
        <v>17.139710000000001</v>
      </c>
      <c r="M5125">
        <v>0.9995889</v>
      </c>
      <c r="N5125">
        <v>0</v>
      </c>
      <c r="O5125">
        <v>-2.5617319999999999E-2</v>
      </c>
      <c r="P5125">
        <v>0.96212790000000004</v>
      </c>
      <c r="Q5125">
        <v>0.1000033</v>
      </c>
      <c r="R5125">
        <v>-0.25359310000000002</v>
      </c>
      <c r="S5125">
        <v>2.8873899999999999</v>
      </c>
      <c r="T5125">
        <v>-0.35036729999999999</v>
      </c>
      <c r="U5125">
        <v>-1.0144959999999901</v>
      </c>
      <c r="V5125">
        <v>0.22928660000000001</v>
      </c>
      <c r="W5125">
        <v>0.111599</v>
      </c>
      <c r="X5125">
        <v>0.96694020000000003</v>
      </c>
      <c r="Y5125">
        <v>0.30538510000000002</v>
      </c>
      <c r="Z5125">
        <v>-1.492433E-2</v>
      </c>
      <c r="AA5125">
        <v>0.95211199999999996</v>
      </c>
      <c r="AB5125">
        <v>23</v>
      </c>
      <c r="AC5125">
        <v>9.0151000000000092</v>
      </c>
      <c r="AD5125">
        <v>-1.1086426437150001</v>
      </c>
      <c r="AE5125">
        <v>-3.2057000000000002</v>
      </c>
      <c r="AF5125">
        <v>2.9342914948199299</v>
      </c>
      <c r="AG5125">
        <v>-1.1086426437150001</v>
      </c>
      <c r="AH5125">
        <v>8.9737912230463603</v>
      </c>
      <c r="AI5125">
        <v>96.697243485580202</v>
      </c>
      <c r="AJ5125">
        <v>71.893052604535796</v>
      </c>
      <c r="AK5125">
        <v>9.5062129159229301</v>
      </c>
      <c r="AL5125">
        <v>83.592500977814396</v>
      </c>
      <c r="AM5125">
        <v>76.660071182433498</v>
      </c>
      <c r="AN5125">
        <v>1.00000001605829</v>
      </c>
    </row>
    <row r="5126" spans="1:40" x14ac:dyDescent="0.25">
      <c r="A5126" t="str">
        <f>"20190312151637469"</f>
        <v>20190312151637469</v>
      </c>
      <c r="B5126" t="str">
        <f>"1552374997462708"</f>
        <v>1552374997462708</v>
      </c>
      <c r="C5126" t="s">
        <v>40</v>
      </c>
      <c r="D5126">
        <v>4.6756580000000003</v>
      </c>
      <c r="E5126">
        <v>0.5298446</v>
      </c>
      <c r="F5126" t="s">
        <v>43</v>
      </c>
      <c r="G5126">
        <v>-324.31380000000001</v>
      </c>
      <c r="H5126" s="1">
        <v>-3.6807850000000002E-6</v>
      </c>
      <c r="I5126">
        <v>13.930099999999999</v>
      </c>
      <c r="J5126">
        <v>-333.30869999999999</v>
      </c>
      <c r="K5126">
        <v>1.1086309999999999</v>
      </c>
      <c r="L5126">
        <v>17.135470000000002</v>
      </c>
      <c r="M5126">
        <v>0.99955680000000002</v>
      </c>
      <c r="N5126">
        <v>0</v>
      </c>
      <c r="O5126">
        <v>-2.6842230000000002E-2</v>
      </c>
      <c r="P5126">
        <v>0.96199409999999996</v>
      </c>
      <c r="Q5126">
        <v>9.9731509999999995E-2</v>
      </c>
      <c r="R5126">
        <v>-0.25420759999999998</v>
      </c>
      <c r="S5126">
        <v>2.886536</v>
      </c>
      <c r="T5126">
        <v>-0.35131630000000003</v>
      </c>
      <c r="U5126">
        <v>-1.01709</v>
      </c>
      <c r="V5126">
        <v>0.22871620000000001</v>
      </c>
      <c r="W5126">
        <v>0.11133270000000001</v>
      </c>
      <c r="X5126">
        <v>0.96710600000000002</v>
      </c>
      <c r="Y5126">
        <v>0.30506850000000002</v>
      </c>
      <c r="Z5126">
        <v>-1.480397E-2</v>
      </c>
      <c r="AA5126">
        <v>0.95221529999999999</v>
      </c>
      <c r="AB5126">
        <v>23</v>
      </c>
      <c r="AC5126">
        <v>8.9948999999999693</v>
      </c>
      <c r="AD5126">
        <v>-1.1086346807849901</v>
      </c>
      <c r="AE5126">
        <v>-3.2053699999999998</v>
      </c>
      <c r="AF5126">
        <v>2.9233472294043401</v>
      </c>
      <c r="AG5126">
        <v>-1.1086346807849901</v>
      </c>
      <c r="AH5126">
        <v>8.9569718345226192</v>
      </c>
      <c r="AI5126">
        <v>96.710850273369999</v>
      </c>
      <c r="AJ5126">
        <v>71.9245219924818</v>
      </c>
      <c r="AK5126">
        <v>9.4869581175177906</v>
      </c>
      <c r="AL5126">
        <v>83.607854694149296</v>
      </c>
      <c r="AM5126">
        <v>76.694275366148702</v>
      </c>
      <c r="AN5126">
        <v>1.00000004273386</v>
      </c>
    </row>
    <row r="5127" spans="1:40" x14ac:dyDescent="0.25">
      <c r="A5127" t="str">
        <f>"20190312151637481"</f>
        <v>20190312151637481</v>
      </c>
      <c r="B5127" t="str">
        <f>"1552374997472470"</f>
        <v>1552374997472470</v>
      </c>
      <c r="C5127" t="s">
        <v>40</v>
      </c>
      <c r="D5127">
        <v>4.6844029999999997</v>
      </c>
      <c r="E5127">
        <v>0.53005570000000002</v>
      </c>
      <c r="F5127" t="s">
        <v>43</v>
      </c>
      <c r="G5127">
        <v>-324.21699999999998</v>
      </c>
      <c r="H5127" s="1">
        <v>-3.7247390000000001E-6</v>
      </c>
      <c r="I5127">
        <v>13.918979999999999</v>
      </c>
      <c r="J5127">
        <v>-333.19970000000001</v>
      </c>
      <c r="K5127">
        <v>1.108633</v>
      </c>
      <c r="L5127">
        <v>17.131229999999999</v>
      </c>
      <c r="M5127">
        <v>0.99952470000000004</v>
      </c>
      <c r="N5127">
        <v>0</v>
      </c>
      <c r="O5127">
        <v>-2.801242E-2</v>
      </c>
      <c r="P5127">
        <v>0.96183909999999995</v>
      </c>
      <c r="Q5127">
        <v>9.9744600000000003E-2</v>
      </c>
      <c r="R5127">
        <v>-0.25478790000000001</v>
      </c>
      <c r="S5127">
        <v>2.8852540000000002</v>
      </c>
      <c r="T5127">
        <v>-0.3518251</v>
      </c>
      <c r="U5127">
        <v>-1.0207520000000001</v>
      </c>
      <c r="V5127">
        <v>0.22816610000000001</v>
      </c>
      <c r="W5127">
        <v>0.1113502</v>
      </c>
      <c r="X5127">
        <v>0.96723389999999998</v>
      </c>
      <c r="Y5127">
        <v>0.30516290000000001</v>
      </c>
      <c r="Z5127">
        <v>-1.4696330000000001E-2</v>
      </c>
      <c r="AA5127">
        <v>0.9521868</v>
      </c>
      <c r="AB5127">
        <v>23</v>
      </c>
      <c r="AC5127">
        <v>8.9827000000000208</v>
      </c>
      <c r="AD5127">
        <v>-1.1086367247390001</v>
      </c>
      <c r="AE5127">
        <v>-3.2122499999999898</v>
      </c>
      <c r="AF5127">
        <v>2.9199072301809101</v>
      </c>
      <c r="AG5127">
        <v>-1.1086367247390001</v>
      </c>
      <c r="AH5127">
        <v>8.9483157824779607</v>
      </c>
      <c r="AI5127">
        <v>96.717429804195504</v>
      </c>
      <c r="AJ5127">
        <v>71.928080026455703</v>
      </c>
      <c r="AK5127">
        <v>9.4777259383908596</v>
      </c>
      <c r="AL5127">
        <v>83.606845642125094</v>
      </c>
      <c r="AM5127">
        <v>76.726836730073103</v>
      </c>
      <c r="AN5127">
        <v>1.00000002676922</v>
      </c>
    </row>
    <row r="5128" spans="1:40" x14ac:dyDescent="0.25">
      <c r="A5128" t="str">
        <f>"20190312151637491"</f>
        <v>20190312151637491</v>
      </c>
      <c r="B5128" t="str">
        <f>"1552374997483205"</f>
        <v>1552374997483205</v>
      </c>
      <c r="C5128" t="s">
        <v>40</v>
      </c>
      <c r="D5128">
        <v>4.6692030000000004</v>
      </c>
      <c r="E5128">
        <v>0.53019620000000001</v>
      </c>
      <c r="F5128" t="s">
        <v>43</v>
      </c>
      <c r="G5128">
        <v>-324.0933</v>
      </c>
      <c r="H5128" s="1">
        <v>-3.7871239999999999E-6</v>
      </c>
      <c r="I5128">
        <v>13.897080000000001</v>
      </c>
      <c r="J5128">
        <v>-333.08280000000002</v>
      </c>
      <c r="K5128">
        <v>1.1086339999999999</v>
      </c>
      <c r="L5128">
        <v>17.126619999999999</v>
      </c>
      <c r="M5128">
        <v>0.9994885</v>
      </c>
      <c r="N5128">
        <v>0</v>
      </c>
      <c r="O5128">
        <v>-2.926689E-2</v>
      </c>
      <c r="P5128">
        <v>0.96166499999999999</v>
      </c>
      <c r="Q5128">
        <v>9.9687159999999997E-2</v>
      </c>
      <c r="R5128">
        <v>-0.25546600000000003</v>
      </c>
      <c r="S5128">
        <v>2.884125</v>
      </c>
      <c r="T5128">
        <v>-0.35111870000000001</v>
      </c>
      <c r="U5128">
        <v>-1.024292</v>
      </c>
      <c r="V5128">
        <v>0.22763249999999999</v>
      </c>
      <c r="W5128">
        <v>0.1112972</v>
      </c>
      <c r="X5128">
        <v>0.9673657</v>
      </c>
      <c r="Y5128">
        <v>0.3051392</v>
      </c>
      <c r="Z5128">
        <v>-1.452083E-2</v>
      </c>
      <c r="AA5128">
        <v>0.95219699999999996</v>
      </c>
      <c r="AB5128">
        <v>23</v>
      </c>
      <c r="AC5128">
        <v>8.9895000000000191</v>
      </c>
      <c r="AD5128">
        <v>-1.1086377871240001</v>
      </c>
      <c r="AE5128">
        <v>-3.2295400000000001</v>
      </c>
      <c r="AF5128">
        <v>2.9256295843317899</v>
      </c>
      <c r="AG5128">
        <v>-1.1086377871240001</v>
      </c>
      <c r="AH5128">
        <v>8.9594847552572592</v>
      </c>
      <c r="AI5128">
        <v>96.708683761128398</v>
      </c>
      <c r="AJ5128">
        <v>71.916071844109993</v>
      </c>
      <c r="AK5128">
        <v>9.4900344197186097</v>
      </c>
      <c r="AL5128">
        <v>83.609901202009098</v>
      </c>
      <c r="AM5128">
        <v>76.758523710683804</v>
      </c>
      <c r="AN5128">
        <v>1.0000000096602899</v>
      </c>
    </row>
    <row r="5129" spans="1:40" x14ac:dyDescent="0.25">
      <c r="A5129" t="str">
        <f>"20190312151637503"</f>
        <v>20190312151637503</v>
      </c>
      <c r="B5129" t="str">
        <f>"1552374997492966"</f>
        <v>1552374997492966</v>
      </c>
      <c r="C5129" t="s">
        <v>40</v>
      </c>
      <c r="D5129">
        <v>4.695913</v>
      </c>
      <c r="E5129">
        <v>0.53035719999999997</v>
      </c>
      <c r="F5129" t="s">
        <v>43</v>
      </c>
      <c r="G5129">
        <v>-323.99189999999999</v>
      </c>
      <c r="H5129" s="1">
        <v>-3.8368460000000003E-6</v>
      </c>
      <c r="I5129">
        <v>13.886990000000001</v>
      </c>
      <c r="J5129">
        <v>-332.96409999999997</v>
      </c>
      <c r="K5129">
        <v>1.1086389999999999</v>
      </c>
      <c r="L5129">
        <v>17.121700000000001</v>
      </c>
      <c r="M5129">
        <v>0.99945070000000003</v>
      </c>
      <c r="N5129">
        <v>0</v>
      </c>
      <c r="O5129">
        <v>-3.0539239999999999E-2</v>
      </c>
      <c r="P5129">
        <v>0.96147510000000003</v>
      </c>
      <c r="Q5129">
        <v>9.9654300000000001E-2</v>
      </c>
      <c r="R5129">
        <v>-0.25619350000000002</v>
      </c>
      <c r="S5129">
        <v>2.8831479999999998</v>
      </c>
      <c r="T5129">
        <v>-0.35160029999999998</v>
      </c>
      <c r="U5129">
        <v>-1.0274350000000001</v>
      </c>
      <c r="V5129">
        <v>0.22713140000000001</v>
      </c>
      <c r="W5129">
        <v>0.111268699999999</v>
      </c>
      <c r="X5129">
        <v>0.96748670000000003</v>
      </c>
      <c r="Y5129">
        <v>0.30495529999999998</v>
      </c>
      <c r="Z5129">
        <v>-1.4382249999999999E-2</v>
      </c>
      <c r="AA5129">
        <v>0.9522581</v>
      </c>
      <c r="AB5129">
        <v>23</v>
      </c>
      <c r="AC5129">
        <v>8.9721999999999795</v>
      </c>
      <c r="AD5129">
        <v>-1.108642836846</v>
      </c>
      <c r="AE5129">
        <v>-3.2347100000000002</v>
      </c>
      <c r="AF5129">
        <v>2.91972322575845</v>
      </c>
      <c r="AG5129">
        <v>-1.108642836846</v>
      </c>
      <c r="AH5129">
        <v>8.9459319913977993</v>
      </c>
      <c r="AI5129">
        <v>96.719109769947295</v>
      </c>
      <c r="AJ5129">
        <v>71.924642707640103</v>
      </c>
      <c r="AK5129">
        <v>9.4754193495294903</v>
      </c>
      <c r="AL5129">
        <v>83.611543990629897</v>
      </c>
      <c r="AM5129">
        <v>76.788243846744805</v>
      </c>
      <c r="AN5129">
        <v>0.99999995557126897</v>
      </c>
    </row>
    <row r="5130" spans="1:40" x14ac:dyDescent="0.25">
      <c r="A5130" t="str">
        <f>"20190312151637514"</f>
        <v>20190312151637514</v>
      </c>
      <c r="B5130" t="str">
        <f>"1552374997502725"</f>
        <v>1552374997502725</v>
      </c>
      <c r="C5130" t="s">
        <v>40</v>
      </c>
      <c r="D5130">
        <v>4.6897690000000001</v>
      </c>
      <c r="E5130">
        <v>0.53043409999999902</v>
      </c>
      <c r="F5130" t="s">
        <v>43</v>
      </c>
      <c r="G5130">
        <v>-323.89530000000002</v>
      </c>
      <c r="H5130" s="1">
        <v>-3.8841800000000003E-6</v>
      </c>
      <c r="I5130">
        <v>13.877370000000001</v>
      </c>
      <c r="J5130">
        <v>-332.85050000000001</v>
      </c>
      <c r="K5130">
        <v>1.108643</v>
      </c>
      <c r="L5130">
        <v>17.116910000000001</v>
      </c>
      <c r="M5130">
        <v>0.99941259999999998</v>
      </c>
      <c r="N5130">
        <v>0</v>
      </c>
      <c r="O5130">
        <v>-3.1756520000000003E-2</v>
      </c>
      <c r="P5130">
        <v>0.9612984</v>
      </c>
      <c r="Q5130">
        <v>9.9588860000000001E-2</v>
      </c>
      <c r="R5130">
        <v>-0.25688050000000001</v>
      </c>
      <c r="S5130">
        <v>2.8820190000000001</v>
      </c>
      <c r="T5130">
        <v>-0.3523232</v>
      </c>
      <c r="U5130">
        <v>-1.0310360000000001</v>
      </c>
      <c r="V5130">
        <v>0.22664280000000001</v>
      </c>
      <c r="W5130">
        <v>0.1112076</v>
      </c>
      <c r="X5130">
        <v>0.96760829999999998</v>
      </c>
      <c r="Y5130">
        <v>0.30496960000000001</v>
      </c>
      <c r="Z5130">
        <v>-1.427144E-2</v>
      </c>
      <c r="AA5130">
        <v>0.95225510000000002</v>
      </c>
      <c r="AB5130">
        <v>23</v>
      </c>
      <c r="AC5130">
        <v>8.9551999999999907</v>
      </c>
      <c r="AD5130">
        <v>-1.1086468841799999</v>
      </c>
      <c r="AE5130">
        <v>-3.2395399999999999</v>
      </c>
      <c r="AF5130">
        <v>2.9140035927865799</v>
      </c>
      <c r="AG5130">
        <v>-1.1086468841799999</v>
      </c>
      <c r="AH5130">
        <v>8.9325079636962492</v>
      </c>
      <c r="AI5130">
        <v>96.729433861226298</v>
      </c>
      <c r="AJ5130">
        <v>71.932401363901803</v>
      </c>
      <c r="AK5130">
        <v>9.4609837424060803</v>
      </c>
      <c r="AL5130">
        <v>83.615066625730805</v>
      </c>
      <c r="AM5130">
        <v>76.817269997574698</v>
      </c>
      <c r="AN5130">
        <v>0.99999995565924404</v>
      </c>
    </row>
    <row r="5131" spans="1:40" x14ac:dyDescent="0.25">
      <c r="A5131" t="str">
        <f>"20190312151637526"</f>
        <v>20190312151637526</v>
      </c>
      <c r="B5131" t="str">
        <f>"1552374997523222"</f>
        <v>1552374997523222</v>
      </c>
      <c r="C5131" t="s">
        <v>40</v>
      </c>
      <c r="D5131">
        <v>4.7135150000000001</v>
      </c>
      <c r="E5131">
        <v>0.53058119999999998</v>
      </c>
      <c r="F5131" t="s">
        <v>43</v>
      </c>
      <c r="G5131">
        <v>-323.80470000000003</v>
      </c>
      <c r="H5131" s="1">
        <v>-3.9281639999999998E-6</v>
      </c>
      <c r="I5131">
        <v>13.870950000000001</v>
      </c>
      <c r="J5131">
        <v>-332.7328</v>
      </c>
      <c r="K5131">
        <v>1.108643</v>
      </c>
      <c r="L5131">
        <v>17.111719999999998</v>
      </c>
      <c r="M5131">
        <v>0.99937189999999998</v>
      </c>
      <c r="N5131">
        <v>0</v>
      </c>
      <c r="O5131">
        <v>-3.3017070000000003E-2</v>
      </c>
      <c r="P5131">
        <v>0.96106420000000004</v>
      </c>
      <c r="Q5131">
        <v>9.9698140000000005E-2</v>
      </c>
      <c r="R5131">
        <v>-0.25771349999999998</v>
      </c>
      <c r="S5131">
        <v>2.8811040000000001</v>
      </c>
      <c r="T5131">
        <v>-0.35310599999999998</v>
      </c>
      <c r="U5131">
        <v>-1.033844</v>
      </c>
      <c r="V5131">
        <v>0.2262605</v>
      </c>
      <c r="W5131">
        <v>0.1113199</v>
      </c>
      <c r="X5131">
        <v>0.96768489999999996</v>
      </c>
      <c r="Y5131">
        <v>0.3046895</v>
      </c>
      <c r="Z5131">
        <v>-1.4139519999999999E-2</v>
      </c>
      <c r="AA5131">
        <v>0.95234669999999999</v>
      </c>
      <c r="AB5131">
        <v>23</v>
      </c>
      <c r="AC5131">
        <v>8.9280999999999704</v>
      </c>
      <c r="AD5131">
        <v>-1.1086469281639999</v>
      </c>
      <c r="AE5131">
        <v>-3.2407699999999999</v>
      </c>
      <c r="AF5131">
        <v>2.9046251454068002</v>
      </c>
      <c r="AG5131">
        <v>-1.1086469281639999</v>
      </c>
      <c r="AH5131">
        <v>8.9088639064609403</v>
      </c>
      <c r="AI5131">
        <v>96.747497885759998</v>
      </c>
      <c r="AJ5131">
        <v>71.942081090925797</v>
      </c>
      <c r="AK5131">
        <v>9.4357724299868195</v>
      </c>
      <c r="AL5131">
        <v>83.608592392123995</v>
      </c>
      <c r="AM5131">
        <v>76.839737504224104</v>
      </c>
      <c r="AN5131">
        <v>0.99999999984213495</v>
      </c>
    </row>
    <row r="5132" spans="1:40" x14ac:dyDescent="0.25">
      <c r="A5132" t="str">
        <f>"20190312151637536"</f>
        <v>20190312151637536</v>
      </c>
      <c r="B5132" t="str">
        <f>"1552374997532981"</f>
        <v>1552374997532981</v>
      </c>
      <c r="C5132" t="s">
        <v>40</v>
      </c>
      <c r="D5132">
        <v>4.6807600000000003</v>
      </c>
      <c r="E5132">
        <v>0.53070010000000001</v>
      </c>
      <c r="F5132" t="s">
        <v>43</v>
      </c>
      <c r="G5132">
        <v>-323.70359999999999</v>
      </c>
      <c r="H5132" s="1">
        <v>-3.9781559999999999E-6</v>
      </c>
      <c r="I5132">
        <v>13.858370000000001</v>
      </c>
      <c r="J5132">
        <v>-332.62079999999997</v>
      </c>
      <c r="K5132">
        <v>1.108646</v>
      </c>
      <c r="L5132">
        <v>17.106719999999999</v>
      </c>
      <c r="M5132">
        <v>0.99933159999999999</v>
      </c>
      <c r="N5132">
        <v>0</v>
      </c>
      <c r="O5132">
        <v>-3.421623E-2</v>
      </c>
      <c r="P5132">
        <v>0.96089429999999998</v>
      </c>
      <c r="Q5132">
        <v>9.9452579999999999E-2</v>
      </c>
      <c r="R5132">
        <v>-0.25844109999999998</v>
      </c>
      <c r="S5132">
        <v>2.8799440000000001</v>
      </c>
      <c r="T5132">
        <v>-0.35361429999999999</v>
      </c>
      <c r="U5132">
        <v>-1.0376890000000001</v>
      </c>
      <c r="V5132">
        <v>0.2258291</v>
      </c>
      <c r="W5132">
        <v>0.1110782</v>
      </c>
      <c r="X5132">
        <v>0.96781340000000005</v>
      </c>
      <c r="Y5132">
        <v>0.30479709999999899</v>
      </c>
      <c r="Z5132">
        <v>-1.40265999999999E-2</v>
      </c>
      <c r="AA5132">
        <v>0.95231399999999999</v>
      </c>
      <c r="AB5132">
        <v>23</v>
      </c>
      <c r="AC5132">
        <v>8.9171999999999798</v>
      </c>
      <c r="AD5132">
        <v>-1.108649978156</v>
      </c>
      <c r="AE5132">
        <v>-3.2483499999999998</v>
      </c>
      <c r="AF5132">
        <v>2.9017115511818501</v>
      </c>
      <c r="AG5132">
        <v>-1.108649978156</v>
      </c>
      <c r="AH5132">
        <v>8.9016578439186702</v>
      </c>
      <c r="AI5132">
        <v>96.753053050511795</v>
      </c>
      <c r="AJ5132">
        <v>71.945363393227098</v>
      </c>
      <c r="AK5132">
        <v>9.4280722881470496</v>
      </c>
      <c r="AL5132">
        <v>83.622526968140704</v>
      </c>
      <c r="AM5132">
        <v>76.865642324186595</v>
      </c>
      <c r="AN5132">
        <v>0.99999996307080397</v>
      </c>
    </row>
    <row r="5133" spans="1:40" x14ac:dyDescent="0.25">
      <c r="A5133" t="str">
        <f>"20190312151637549"</f>
        <v>20190312151637549</v>
      </c>
      <c r="B5133" t="str">
        <f>"1552374997542741"</f>
        <v>1552374997542741</v>
      </c>
      <c r="C5133" t="s">
        <v>40</v>
      </c>
      <c r="D5133">
        <v>4.6168559999999896</v>
      </c>
      <c r="E5133">
        <v>0.53061910000000001</v>
      </c>
      <c r="F5133" t="s">
        <v>43</v>
      </c>
      <c r="G5133">
        <v>-323.62450000000001</v>
      </c>
      <c r="H5133" s="1">
        <v>-4.0163430000000001E-6</v>
      </c>
      <c r="I5133">
        <v>13.853999999999999</v>
      </c>
      <c r="J5133">
        <v>-332.49239999999998</v>
      </c>
      <c r="K5133">
        <v>1.1086480000000001</v>
      </c>
      <c r="L5133">
        <v>17.1008</v>
      </c>
      <c r="M5133">
        <v>0.99928340000000004</v>
      </c>
      <c r="N5133">
        <v>0</v>
      </c>
      <c r="O5133">
        <v>-3.5590370000000003E-2</v>
      </c>
      <c r="P5133">
        <v>0.96066960000000001</v>
      </c>
      <c r="Q5133">
        <v>9.9408869999999996E-2</v>
      </c>
      <c r="R5133">
        <v>-0.25929099999999999</v>
      </c>
      <c r="S5133">
        <v>2.878876</v>
      </c>
      <c r="T5133">
        <v>-0.35477639999999999</v>
      </c>
      <c r="U5133">
        <v>-1.040894</v>
      </c>
      <c r="V5133">
        <v>0.22535289999999999</v>
      </c>
      <c r="W5133">
        <v>0.1110389</v>
      </c>
      <c r="X5133">
        <v>0.96792889999999998</v>
      </c>
      <c r="Y5133">
        <v>0.30453750000000002</v>
      </c>
      <c r="Z5133">
        <v>-1.3896250000000001E-2</v>
      </c>
      <c r="AA5133">
        <v>0.952399</v>
      </c>
      <c r="AB5133">
        <v>23</v>
      </c>
      <c r="AC5133">
        <v>8.8678999999999597</v>
      </c>
      <c r="AD5133">
        <v>-1.10865201634299</v>
      </c>
      <c r="AE5133">
        <v>-3.2467999999999901</v>
      </c>
      <c r="AF5133">
        <v>2.88928414860785</v>
      </c>
      <c r="AG5133">
        <v>-1.10865201634299</v>
      </c>
      <c r="AH5133">
        <v>8.8557936050347106</v>
      </c>
      <c r="AI5133">
        <v>96.787149333808898</v>
      </c>
      <c r="AJ5133">
        <v>71.930608144226198</v>
      </c>
      <c r="AK5133">
        <v>9.3809462507633903</v>
      </c>
      <c r="AL5133">
        <v>83.624792696261196</v>
      </c>
      <c r="AM5133">
        <v>76.893891273786906</v>
      </c>
      <c r="AN5133">
        <v>0.99999996115341405</v>
      </c>
    </row>
    <row r="5134" spans="1:40" x14ac:dyDescent="0.25">
      <c r="A5134" t="str">
        <f>"20190312151637561"</f>
        <v>20190312151637561</v>
      </c>
      <c r="B5134" t="str">
        <f>"1552374997552501"</f>
        <v>1552374997552501</v>
      </c>
      <c r="C5134" t="s">
        <v>40</v>
      </c>
      <c r="D5134">
        <v>4.6663870000000003</v>
      </c>
      <c r="E5134">
        <v>0.53063919999999998</v>
      </c>
      <c r="F5134" t="s">
        <v>43</v>
      </c>
      <c r="G5134">
        <v>-323.48849999999999</v>
      </c>
      <c r="H5134" s="1">
        <v>-4.0835059999999997E-6</v>
      </c>
      <c r="I5134">
        <v>13.83778</v>
      </c>
      <c r="J5134">
        <v>-332.37349999999998</v>
      </c>
      <c r="K5134">
        <v>1.1086450000000001</v>
      </c>
      <c r="L5134">
        <v>17.09515</v>
      </c>
      <c r="M5134">
        <v>0.9992375</v>
      </c>
      <c r="N5134">
        <v>0</v>
      </c>
      <c r="O5134">
        <v>-3.6862359999999997E-2</v>
      </c>
      <c r="P5134">
        <v>0.96043719999999999</v>
      </c>
      <c r="Q5134">
        <v>9.9196709999999994E-2</v>
      </c>
      <c r="R5134">
        <v>-0.26023269999999998</v>
      </c>
      <c r="S5134">
        <v>2.8780209999999999</v>
      </c>
      <c r="T5134">
        <v>-0.35437200000000002</v>
      </c>
      <c r="U5134">
        <v>-1.042999</v>
      </c>
      <c r="V5134">
        <v>0.22506699999999999</v>
      </c>
      <c r="W5134">
        <v>0.110829399999999</v>
      </c>
      <c r="X5134">
        <v>0.96801950000000003</v>
      </c>
      <c r="Y5134">
        <v>0.30404789999999998</v>
      </c>
      <c r="Z5134">
        <v>-1.3702880000000001E-2</v>
      </c>
      <c r="AA5134">
        <v>0.95255820000000002</v>
      </c>
      <c r="AB5134">
        <v>23</v>
      </c>
      <c r="AC5134">
        <v>8.8849999999999891</v>
      </c>
      <c r="AD5134">
        <v>-1.1086490835060001</v>
      </c>
      <c r="AE5134">
        <v>-3.2573699999999999</v>
      </c>
      <c r="AF5134">
        <v>2.8879698881846898</v>
      </c>
      <c r="AG5134">
        <v>-1.1086490835060001</v>
      </c>
      <c r="AH5134">
        <v>8.8772070840521096</v>
      </c>
      <c r="AI5134">
        <v>96.772759540597804</v>
      </c>
      <c r="AJ5134">
        <v>71.979041641292596</v>
      </c>
      <c r="AK5134">
        <v>9.4007594628607105</v>
      </c>
      <c r="AL5134">
        <v>83.636871159733801</v>
      </c>
      <c r="AM5134">
        <v>76.911128722481394</v>
      </c>
      <c r="AN5134">
        <v>1.0000000313868</v>
      </c>
    </row>
    <row r="5135" spans="1:40" x14ac:dyDescent="0.25">
      <c r="A5135" t="str">
        <f>"20190312151637573"</f>
        <v>20190312151637573</v>
      </c>
      <c r="B5135" t="str">
        <f>"1552374997563237"</f>
        <v>1552374997563237</v>
      </c>
      <c r="C5135" t="s">
        <v>40</v>
      </c>
      <c r="D5135">
        <v>4.6720410000000001</v>
      </c>
      <c r="E5135">
        <v>0.53071899999999905</v>
      </c>
      <c r="F5135" t="s">
        <v>43</v>
      </c>
      <c r="G5135">
        <v>-323.37939999999998</v>
      </c>
      <c r="H5135" s="1">
        <v>-4.1373570000000003E-6</v>
      </c>
      <c r="I5135">
        <v>13.82497</v>
      </c>
      <c r="J5135">
        <v>-332.24579999999997</v>
      </c>
      <c r="K5135">
        <v>1.1086499999999999</v>
      </c>
      <c r="L5135">
        <v>17.08896</v>
      </c>
      <c r="M5135">
        <v>0.99918609999999997</v>
      </c>
      <c r="N5135">
        <v>0</v>
      </c>
      <c r="O5135">
        <v>-3.8228280000000003E-2</v>
      </c>
      <c r="P5135">
        <v>0.96019219999999905</v>
      </c>
      <c r="Q5135">
        <v>9.9031439999999998E-2</v>
      </c>
      <c r="R5135">
        <v>-0.26119720000000002</v>
      </c>
      <c r="S5135">
        <v>2.8768310000000001</v>
      </c>
      <c r="T5135">
        <v>-0.35460849999999999</v>
      </c>
      <c r="U5135">
        <v>-1.04599</v>
      </c>
      <c r="V5135">
        <v>0.22471360000000001</v>
      </c>
      <c r="W5135">
        <v>0.1106673</v>
      </c>
      <c r="X5135">
        <v>0.96812010000000004</v>
      </c>
      <c r="Y5135">
        <v>0.30375580000000002</v>
      </c>
      <c r="Z5135">
        <v>-1.353559E-2</v>
      </c>
      <c r="AA5135">
        <v>0.9526538</v>
      </c>
      <c r="AB5135">
        <v>23</v>
      </c>
      <c r="AC5135">
        <v>8.8663999999999898</v>
      </c>
      <c r="AD5135">
        <v>-1.10865413735699</v>
      </c>
      <c r="AE5135">
        <v>-3.2639900000000002</v>
      </c>
      <c r="AF5135">
        <v>2.8829332761305002</v>
      </c>
      <c r="AG5135">
        <v>-1.10865413735699</v>
      </c>
      <c r="AH5135">
        <v>8.8626746618261798</v>
      </c>
      <c r="AI5135">
        <v>96.783861182265397</v>
      </c>
      <c r="AJ5135">
        <v>71.980847314012493</v>
      </c>
      <c r="AK5135">
        <v>9.3854898877083208</v>
      </c>
      <c r="AL5135">
        <v>83.646216032291505</v>
      </c>
      <c r="AM5135">
        <v>76.932286277174299</v>
      </c>
      <c r="AN5135">
        <v>0.99999999066913003</v>
      </c>
    </row>
    <row r="5136" spans="1:40" x14ac:dyDescent="0.25">
      <c r="A5136" t="str">
        <f>"20190312151637584"</f>
        <v>20190312151637584</v>
      </c>
      <c r="B5136" t="str">
        <f>"1552374997582757"</f>
        <v>1552374997582757</v>
      </c>
      <c r="C5136" t="s">
        <v>40</v>
      </c>
      <c r="D5136">
        <v>4.682995</v>
      </c>
      <c r="E5136">
        <v>0.53084900000000002</v>
      </c>
      <c r="F5136" t="s">
        <v>43</v>
      </c>
      <c r="G5136">
        <v>-323.27659999999997</v>
      </c>
      <c r="H5136" s="1">
        <v>-4.1877819999999999E-6</v>
      </c>
      <c r="I5136">
        <v>13.81479</v>
      </c>
      <c r="J5136">
        <v>-332.12009999999998</v>
      </c>
      <c r="K5136">
        <v>1.108652</v>
      </c>
      <c r="L5136">
        <v>17.08258</v>
      </c>
      <c r="M5136">
        <v>0.99913359999999996</v>
      </c>
      <c r="N5136">
        <v>0</v>
      </c>
      <c r="O5136">
        <v>-3.957335E-2</v>
      </c>
      <c r="P5136">
        <v>0.95992639999999996</v>
      </c>
      <c r="Q5136">
        <v>9.8761059999999998E-2</v>
      </c>
      <c r="R5136">
        <v>-0.26227450000000002</v>
      </c>
      <c r="S5136">
        <v>2.8755190000000002</v>
      </c>
      <c r="T5136">
        <v>-0.35542980000000002</v>
      </c>
      <c r="U5136">
        <v>-1.0496829999999999</v>
      </c>
      <c r="V5136">
        <v>0.22449379999999999</v>
      </c>
      <c r="W5136">
        <v>0.1103996</v>
      </c>
      <c r="X5136">
        <v>0.9682016</v>
      </c>
      <c r="Y5136">
        <v>0.30369439999999998</v>
      </c>
      <c r="Z5136">
        <v>-1.340613E-2</v>
      </c>
      <c r="AA5136">
        <v>0.95267520000000006</v>
      </c>
      <c r="AB5136">
        <v>23</v>
      </c>
      <c r="AC5136">
        <v>8.8435000000000006</v>
      </c>
      <c r="AD5136">
        <v>-1.108656187782</v>
      </c>
      <c r="AE5136">
        <v>-3.2677900000000002</v>
      </c>
      <c r="AF5136">
        <v>2.8754716967493001</v>
      </c>
      <c r="AG5136">
        <v>-1.108656187782</v>
      </c>
      <c r="AH5136">
        <v>8.8436097810541501</v>
      </c>
      <c r="AI5136">
        <v>96.798643632304106</v>
      </c>
      <c r="AJ5136">
        <v>71.9882296249517</v>
      </c>
      <c r="AK5136">
        <v>9.3651956723322307</v>
      </c>
      <c r="AL5136">
        <v>83.661648342977301</v>
      </c>
      <c r="AM5136">
        <v>76.945691512095294</v>
      </c>
      <c r="AN5136">
        <v>0.99999993808057797</v>
      </c>
    </row>
    <row r="5137" spans="1:40" x14ac:dyDescent="0.25">
      <c r="A5137" t="str">
        <f>"20190312151637595"</f>
        <v>20190312151637595</v>
      </c>
      <c r="B5137" t="str">
        <f>"1552374997592517"</f>
        <v>1552374997592517</v>
      </c>
      <c r="C5137" t="s">
        <v>40</v>
      </c>
      <c r="D5137">
        <v>4.6879220000000004</v>
      </c>
      <c r="E5137">
        <v>0.53096399999999999</v>
      </c>
      <c r="F5137" t="s">
        <v>43</v>
      </c>
      <c r="G5137">
        <v>-323.18380000000002</v>
      </c>
      <c r="H5137" s="1">
        <v>-4.2333900000000001E-6</v>
      </c>
      <c r="I5137">
        <v>13.804779999999999</v>
      </c>
      <c r="J5137">
        <v>-332.02030000000002</v>
      </c>
      <c r="K5137">
        <v>1.108654</v>
      </c>
      <c r="L5137">
        <v>17.07751</v>
      </c>
      <c r="M5137">
        <v>0.9990909</v>
      </c>
      <c r="N5137">
        <v>0</v>
      </c>
      <c r="O5137">
        <v>-4.064127E-2</v>
      </c>
      <c r="P5137">
        <v>0.95969110000000002</v>
      </c>
      <c r="Q5137">
        <v>9.8692539999999995E-2</v>
      </c>
      <c r="R5137">
        <v>-0.2631597</v>
      </c>
      <c r="S5137">
        <v>2.873901</v>
      </c>
      <c r="T5137">
        <v>-0.35654269999999999</v>
      </c>
      <c r="U5137">
        <v>-1.054138</v>
      </c>
      <c r="V5137">
        <v>0.22435099999999999</v>
      </c>
      <c r="W5137">
        <v>0.11033279999999999</v>
      </c>
      <c r="X5137">
        <v>0.96824239999999995</v>
      </c>
      <c r="Y5137">
        <v>0.30414439999999998</v>
      </c>
      <c r="Z5137">
        <v>-1.335107E-2</v>
      </c>
      <c r="AA5137">
        <v>0.95253239999999995</v>
      </c>
      <c r="AB5137">
        <v>23</v>
      </c>
      <c r="AC5137">
        <v>8.8364999999999991</v>
      </c>
      <c r="AD5137">
        <v>-1.1086582333899999</v>
      </c>
      <c r="AE5137">
        <v>-3.2727300000000001</v>
      </c>
      <c r="AF5137">
        <v>2.8711262080178801</v>
      </c>
      <c r="AG5137">
        <v>-1.1086582333899999</v>
      </c>
      <c r="AH5137">
        <v>8.8398528169442798</v>
      </c>
      <c r="AI5137">
        <v>96.802218349991506</v>
      </c>
      <c r="AJ5137">
        <v>72.006543396654806</v>
      </c>
      <c r="AK5137">
        <v>9.3603144501703692</v>
      </c>
      <c r="AL5137">
        <v>83.665499757319296</v>
      </c>
      <c r="AM5137">
        <v>76.954242124820993</v>
      </c>
      <c r="AN5137">
        <v>1.00000002155729</v>
      </c>
    </row>
    <row r="5138" spans="1:40" x14ac:dyDescent="0.25">
      <c r="A5138" t="str">
        <f>"20190312151637605"</f>
        <v>20190312151637605</v>
      </c>
      <c r="B5138" t="str">
        <f>"1552374997592517"</f>
        <v>1552374997592517</v>
      </c>
      <c r="C5138" t="s">
        <v>40</v>
      </c>
      <c r="D5138">
        <v>4.6879220000000004</v>
      </c>
      <c r="E5138">
        <v>0.53096399999999999</v>
      </c>
      <c r="F5138" t="s">
        <v>43</v>
      </c>
      <c r="G5138">
        <v>-323.10169999999999</v>
      </c>
      <c r="H5138" s="1">
        <v>-4.2742709999999997E-6</v>
      </c>
      <c r="I5138">
        <v>13.79317</v>
      </c>
      <c r="J5138">
        <v>-331.91989999999998</v>
      </c>
      <c r="K5138">
        <v>1.1086469999999999</v>
      </c>
      <c r="L5138">
        <v>17.072199999999999</v>
      </c>
      <c r="M5138">
        <v>0.99904660000000001</v>
      </c>
      <c r="N5138">
        <v>0</v>
      </c>
      <c r="O5138">
        <v>-4.1715389999999998E-2</v>
      </c>
      <c r="P5138">
        <v>0.95946629999999999</v>
      </c>
      <c r="Q5138">
        <v>9.8664760000000004E-2</v>
      </c>
      <c r="R5138">
        <v>-0.26398880000000002</v>
      </c>
      <c r="S5138">
        <v>2.87262</v>
      </c>
      <c r="T5138">
        <v>-0.35709010000000002</v>
      </c>
      <c r="U5138">
        <v>-1.0578609999999999</v>
      </c>
      <c r="V5138">
        <v>0.2241455</v>
      </c>
      <c r="W5138">
        <v>0.11030719999999999</v>
      </c>
      <c r="X5138">
        <v>0.96829290000000001</v>
      </c>
      <c r="Y5138">
        <v>0.3043459</v>
      </c>
      <c r="Z5138">
        <v>-1.3257959999999999E-2</v>
      </c>
      <c r="AA5138">
        <v>0.95246929999999996</v>
      </c>
      <c r="AB5138">
        <v>23</v>
      </c>
      <c r="AC5138">
        <v>8.8181999999999903</v>
      </c>
      <c r="AD5138">
        <v>-1.108651274271</v>
      </c>
      <c r="AE5138">
        <v>-3.2790299999999899</v>
      </c>
      <c r="AF5138">
        <v>2.8684580366405399</v>
      </c>
      <c r="AG5138">
        <v>-1.108651274271</v>
      </c>
      <c r="AH5138">
        <v>8.8247772412943508</v>
      </c>
      <c r="AI5138">
        <v>96.8131863509265</v>
      </c>
      <c r="AJ5138">
        <v>71.993457585414504</v>
      </c>
      <c r="AK5138">
        <v>9.3452582904046704</v>
      </c>
      <c r="AL5138">
        <v>83.666975475601305</v>
      </c>
      <c r="AM5138">
        <v>76.966440084994105</v>
      </c>
      <c r="AN5138">
        <v>1.00000001186625</v>
      </c>
    </row>
    <row r="5139" spans="1:40" x14ac:dyDescent="0.25">
      <c r="A5139" t="str">
        <f>"20190312151637615"</f>
        <v>20190312151637615</v>
      </c>
      <c r="B5139" t="str">
        <f>"1552374997613013"</f>
        <v>1552374997613013</v>
      </c>
      <c r="C5139" t="s">
        <v>40</v>
      </c>
      <c r="D5139">
        <v>4.700475</v>
      </c>
      <c r="E5139">
        <v>0.53108730000000004</v>
      </c>
      <c r="F5139" t="s">
        <v>43</v>
      </c>
      <c r="G5139">
        <v>-323.0061</v>
      </c>
      <c r="H5139" s="1">
        <v>-4.3217740000000004E-6</v>
      </c>
      <c r="I5139">
        <v>13.78017</v>
      </c>
      <c r="J5139">
        <v>-331.81459999999998</v>
      </c>
      <c r="K5139">
        <v>1.108649</v>
      </c>
      <c r="L5139">
        <v>17.06662</v>
      </c>
      <c r="M5139">
        <v>0.99899890000000002</v>
      </c>
      <c r="N5139">
        <v>0</v>
      </c>
      <c r="O5139">
        <v>-4.2842680000000001E-2</v>
      </c>
      <c r="P5139">
        <v>0.95920190000000005</v>
      </c>
      <c r="Q5139">
        <v>9.8626099999999994E-2</v>
      </c>
      <c r="R5139">
        <v>-0.26496199999999998</v>
      </c>
      <c r="S5139">
        <v>2.8716430000000002</v>
      </c>
      <c r="T5139">
        <v>-0.35715849999999999</v>
      </c>
      <c r="U5139">
        <v>-1.0605469999999999</v>
      </c>
      <c r="V5139">
        <v>0.2240346</v>
      </c>
      <c r="W5139">
        <v>0.110269699999999</v>
      </c>
      <c r="X5139">
        <v>0.96832280000000004</v>
      </c>
      <c r="Y5139">
        <v>0.30416870000000001</v>
      </c>
      <c r="Z5139">
        <v>-1.311735E-2</v>
      </c>
      <c r="AA5139">
        <v>0.95252789999999998</v>
      </c>
      <c r="AB5139">
        <v>23</v>
      </c>
      <c r="AC5139">
        <v>8.8084999999999791</v>
      </c>
      <c r="AD5139">
        <v>-1.108653321774</v>
      </c>
      <c r="AE5139">
        <v>-3.2864499999999901</v>
      </c>
      <c r="AF5139">
        <v>2.8661655293973398</v>
      </c>
      <c r="AG5139">
        <v>-1.108653321774</v>
      </c>
      <c r="AH5139">
        <v>8.8185960590136006</v>
      </c>
      <c r="AI5139">
        <v>96.817993216500597</v>
      </c>
      <c r="AJ5139">
        <v>71.995122584865001</v>
      </c>
      <c r="AK5139">
        <v>9.3387179784934293</v>
      </c>
      <c r="AL5139">
        <v>83.669137032501496</v>
      </c>
      <c r="AM5139">
        <v>76.973057197895002</v>
      </c>
      <c r="AN5139">
        <v>0.99999997686754405</v>
      </c>
    </row>
    <row r="5140" spans="1:40" x14ac:dyDescent="0.25">
      <c r="A5140" t="str">
        <f>"20190312151637625"</f>
        <v>20190312151637625</v>
      </c>
      <c r="B5140" t="str">
        <f>"1552374997622773"</f>
        <v>1552374997622773</v>
      </c>
      <c r="C5140" t="s">
        <v>40</v>
      </c>
      <c r="D5140">
        <v>4.6671319999999996</v>
      </c>
      <c r="E5140">
        <v>0.5311591</v>
      </c>
      <c r="F5140" t="s">
        <v>43</v>
      </c>
      <c r="G5140">
        <v>-322.91860000000003</v>
      </c>
      <c r="H5140" s="1">
        <v>-4.365539E-6</v>
      </c>
      <c r="I5140">
        <v>13.766640000000001</v>
      </c>
      <c r="J5140">
        <v>-331.70370000000003</v>
      </c>
      <c r="K5140">
        <v>1.1086510000000001</v>
      </c>
      <c r="L5140">
        <v>17.06052</v>
      </c>
      <c r="M5140">
        <v>0.99894729999999998</v>
      </c>
      <c r="N5140">
        <v>0</v>
      </c>
      <c r="O5140">
        <v>-4.402909E-2</v>
      </c>
      <c r="P5140">
        <v>0.95898209999999995</v>
      </c>
      <c r="Q5140">
        <v>9.8395709999999997E-2</v>
      </c>
      <c r="R5140">
        <v>-0.26584210000000003</v>
      </c>
      <c r="S5140">
        <v>2.8702700000000001</v>
      </c>
      <c r="T5140">
        <v>-0.35770390000000002</v>
      </c>
      <c r="U5140">
        <v>-1.0647279999999999</v>
      </c>
      <c r="V5140">
        <v>0.22377030000000001</v>
      </c>
      <c r="W5140">
        <v>0.1100418</v>
      </c>
      <c r="X5140">
        <v>0.96840990000000005</v>
      </c>
      <c r="Y5140">
        <v>0.30440709999999999</v>
      </c>
      <c r="Z5140">
        <v>-1.3012330000000001E-2</v>
      </c>
      <c r="AA5140">
        <v>0.95245310000000005</v>
      </c>
      <c r="AB5140">
        <v>23</v>
      </c>
      <c r="AC5140">
        <v>8.7850999999999999</v>
      </c>
      <c r="AD5140">
        <v>-1.1086553655389999</v>
      </c>
      <c r="AE5140">
        <v>-3.2938800000000001</v>
      </c>
      <c r="AF5140">
        <v>2.8638654838442701</v>
      </c>
      <c r="AG5140">
        <v>-1.1086553655389999</v>
      </c>
      <c r="AH5140">
        <v>8.7987619795648904</v>
      </c>
      <c r="AI5140">
        <v>96.832291472399007</v>
      </c>
      <c r="AJ5140">
        <v>71.970705676802794</v>
      </c>
      <c r="AK5140">
        <v>9.3192840176769902</v>
      </c>
      <c r="AL5140">
        <v>83.682275090693196</v>
      </c>
      <c r="AM5140">
        <v>76.989032663201201</v>
      </c>
      <c r="AN5140">
        <v>1.0000000396636599</v>
      </c>
    </row>
    <row r="5141" spans="1:40" x14ac:dyDescent="0.25">
      <c r="A5141" t="str">
        <f>"20190312151637637"</f>
        <v>20190312151637637</v>
      </c>
      <c r="B5141" t="str">
        <f>"1552374997632533"</f>
        <v>1552374997632533</v>
      </c>
      <c r="C5141" t="s">
        <v>40</v>
      </c>
      <c r="D5141">
        <v>4.6388829999999999</v>
      </c>
      <c r="E5141">
        <v>0.53116790000000003</v>
      </c>
      <c r="F5141" t="s">
        <v>43</v>
      </c>
      <c r="G5141">
        <v>-322.83879999999999</v>
      </c>
      <c r="H5141" s="1">
        <v>-4.4042930000000004E-6</v>
      </c>
      <c r="I5141">
        <v>13.7607</v>
      </c>
      <c r="J5141">
        <v>-331.59399999999999</v>
      </c>
      <c r="K5141">
        <v>1.108649</v>
      </c>
      <c r="L5141">
        <v>17.054410000000001</v>
      </c>
      <c r="M5141">
        <v>0.99889490000000003</v>
      </c>
      <c r="N5141">
        <v>0</v>
      </c>
      <c r="O5141">
        <v>-4.520383E-2</v>
      </c>
      <c r="P5141">
        <v>0.95871930000000005</v>
      </c>
      <c r="Q5141">
        <v>9.8409029999999995E-2</v>
      </c>
      <c r="R5141">
        <v>-0.2667833</v>
      </c>
      <c r="S5141">
        <v>2.869049</v>
      </c>
      <c r="T5141">
        <v>-0.35880879999999998</v>
      </c>
      <c r="U5141">
        <v>-1.067963</v>
      </c>
      <c r="V5141">
        <v>0.22358169999999999</v>
      </c>
      <c r="W5141">
        <v>0.1100565</v>
      </c>
      <c r="X5141">
        <v>0.96845170000000003</v>
      </c>
      <c r="Y5141">
        <v>0.30436029999999997</v>
      </c>
      <c r="Z5141">
        <v>-1.291118E-2</v>
      </c>
      <c r="AA5141">
        <v>0.95246949999999997</v>
      </c>
      <c r="AB5141">
        <v>23</v>
      </c>
      <c r="AC5141">
        <v>8.7552000000000003</v>
      </c>
      <c r="AD5141">
        <v>-1.1086534042929901</v>
      </c>
      <c r="AE5141">
        <v>-3.2937099999999999</v>
      </c>
      <c r="AF5141">
        <v>2.8544457609356999</v>
      </c>
      <c r="AG5141">
        <v>-1.1086534042929901</v>
      </c>
      <c r="AH5141">
        <v>8.7719330113207405</v>
      </c>
      <c r="AI5141">
        <v>96.853134117379298</v>
      </c>
      <c r="AJ5141">
        <v>71.974764953454894</v>
      </c>
      <c r="AK5141">
        <v>9.2910592360652196</v>
      </c>
      <c r="AL5141">
        <v>83.681427142822301</v>
      </c>
      <c r="AM5141">
        <v>77.000168065783697</v>
      </c>
      <c r="AN5141">
        <v>0.99999995250001295</v>
      </c>
    </row>
    <row r="5142" spans="1:40" x14ac:dyDescent="0.25">
      <c r="A5142" t="str">
        <f>"20190312151637648"</f>
        <v>20190312151637648</v>
      </c>
      <c r="B5142" t="str">
        <f>"1552374997643269"</f>
        <v>1552374997643269</v>
      </c>
      <c r="C5142" t="s">
        <v>40</v>
      </c>
      <c r="D5142">
        <v>4.6389250000000004</v>
      </c>
      <c r="E5142">
        <v>0.53121229999999997</v>
      </c>
      <c r="F5142" t="s">
        <v>43</v>
      </c>
      <c r="G5142">
        <v>-322.74</v>
      </c>
      <c r="H5142" s="1">
        <v>-4.4534289999999997E-6</v>
      </c>
      <c r="I5142">
        <v>13.74713</v>
      </c>
      <c r="J5142">
        <v>-331.47500000000002</v>
      </c>
      <c r="K5142">
        <v>1.1086499999999999</v>
      </c>
      <c r="L5142">
        <v>17.04758</v>
      </c>
      <c r="M5142">
        <v>0.99883630000000001</v>
      </c>
      <c r="N5142">
        <v>0</v>
      </c>
      <c r="O5142">
        <v>-4.6476669999999998E-2</v>
      </c>
      <c r="P5142">
        <v>0.95847170000000004</v>
      </c>
      <c r="Q5142">
        <v>9.7946199999999997E-2</v>
      </c>
      <c r="R5142">
        <v>-0.267841</v>
      </c>
      <c r="S5142">
        <v>2.8678889999999999</v>
      </c>
      <c r="T5142">
        <v>-0.35910310000000001</v>
      </c>
      <c r="U5142">
        <v>-1.071259</v>
      </c>
      <c r="V5142">
        <v>0.22341159999999999</v>
      </c>
      <c r="W5142">
        <v>0.10959579999999999</v>
      </c>
      <c r="X5142">
        <v>0.96854320000000005</v>
      </c>
      <c r="Y5142">
        <v>0.30424040000000002</v>
      </c>
      <c r="Z5142">
        <v>-1.2763979999999999E-2</v>
      </c>
      <c r="AA5142">
        <v>0.95250979999999996</v>
      </c>
      <c r="AB5142">
        <v>23</v>
      </c>
      <c r="AC5142">
        <v>8.7350000000000101</v>
      </c>
      <c r="AD5142">
        <v>-1.1086544534289999</v>
      </c>
      <c r="AE5142">
        <v>-3.3004500000000001</v>
      </c>
      <c r="AF5142">
        <v>2.8506908291930499</v>
      </c>
      <c r="AG5142">
        <v>-1.1086544534289999</v>
      </c>
      <c r="AH5142">
        <v>8.7555437325431793</v>
      </c>
      <c r="AI5142">
        <v>96.865485656171302</v>
      </c>
      <c r="AJ5142">
        <v>71.965426384050303</v>
      </c>
      <c r="AK5142">
        <v>9.2744325407665507</v>
      </c>
      <c r="AL5142">
        <v>83.707983981309795</v>
      </c>
      <c r="AM5142">
        <v>77.010908297064503</v>
      </c>
      <c r="AN5142">
        <v>0.99999995632921901</v>
      </c>
    </row>
    <row r="5143" spans="1:40" x14ac:dyDescent="0.25">
      <c r="A5143" t="str">
        <f>"20190312151637659"</f>
        <v>20190312151637659</v>
      </c>
      <c r="B5143" t="str">
        <f>"1552374997653029"</f>
        <v>1552374997653029</v>
      </c>
      <c r="C5143" t="s">
        <v>40</v>
      </c>
      <c r="D5143">
        <v>4.6211000000000002</v>
      </c>
      <c r="E5143">
        <v>0.53121750000000001</v>
      </c>
      <c r="F5143" t="s">
        <v>43</v>
      </c>
      <c r="G5143">
        <v>-322.66570000000002</v>
      </c>
      <c r="H5143" s="1">
        <v>-4.4891209999999999E-6</v>
      </c>
      <c r="I5143">
        <v>13.743740000000001</v>
      </c>
      <c r="J5143">
        <v>-331.35700000000003</v>
      </c>
      <c r="K5143">
        <v>1.108646</v>
      </c>
      <c r="L5143">
        <v>17.040679999999998</v>
      </c>
      <c r="M5143">
        <v>0.99877669999999996</v>
      </c>
      <c r="N5143">
        <v>0</v>
      </c>
      <c r="O5143">
        <v>-4.77408E-2</v>
      </c>
      <c r="P5143">
        <v>0.95820320000000003</v>
      </c>
      <c r="Q5143">
        <v>9.7867209999999996E-2</v>
      </c>
      <c r="R5143">
        <v>-0.26882840000000002</v>
      </c>
      <c r="S5143">
        <v>2.8663940000000001</v>
      </c>
      <c r="T5143">
        <v>-0.36073719999999998</v>
      </c>
      <c r="U5143">
        <v>-1.0750120000000001</v>
      </c>
      <c r="V5143">
        <v>0.2231823</v>
      </c>
      <c r="W5143">
        <v>0.10951900000000001</v>
      </c>
      <c r="X5143">
        <v>0.96860480000000004</v>
      </c>
      <c r="Y5143">
        <v>0.30428430000000001</v>
      </c>
      <c r="Z5143">
        <v>-1.2675209999999999E-2</v>
      </c>
      <c r="AA5143">
        <v>0.95249689999999998</v>
      </c>
      <c r="AB5143">
        <v>23</v>
      </c>
      <c r="AC5143">
        <v>8.6912999999999503</v>
      </c>
      <c r="AD5143">
        <v>-1.1086504891210001</v>
      </c>
      <c r="AE5143">
        <v>-3.2969400000000002</v>
      </c>
      <c r="AF5143">
        <v>2.8378494269549801</v>
      </c>
      <c r="AG5143">
        <v>-1.1086504891210001</v>
      </c>
      <c r="AH5143">
        <v>8.7148367884502793</v>
      </c>
      <c r="AI5143">
        <v>96.897126535428896</v>
      </c>
      <c r="AJ5143">
        <v>71.962975866527501</v>
      </c>
      <c r="AK5143">
        <v>9.2320569499122591</v>
      </c>
      <c r="AL5143">
        <v>83.712411249641605</v>
      </c>
      <c r="AM5143">
        <v>77.024585622906102</v>
      </c>
      <c r="AN5143">
        <v>1.0000000044886601</v>
      </c>
    </row>
    <row r="5144" spans="1:40" x14ac:dyDescent="0.25">
      <c r="A5144" t="str">
        <f>"20190312151637670"</f>
        <v>20190312151637670</v>
      </c>
      <c r="B5144" t="str">
        <f>"1552374997662789"</f>
        <v>1552374997662789</v>
      </c>
      <c r="C5144" t="s">
        <v>40</v>
      </c>
      <c r="D5144">
        <v>4.6467479999999997</v>
      </c>
      <c r="E5144">
        <v>0.53128339999999996</v>
      </c>
      <c r="F5144" t="s">
        <v>43</v>
      </c>
      <c r="G5144">
        <v>-322.55489999999998</v>
      </c>
      <c r="H5144" s="1">
        <v>-4.5442389999999996E-6</v>
      </c>
      <c r="I5144">
        <v>13.728289999999999</v>
      </c>
      <c r="J5144">
        <v>-331.25020000000001</v>
      </c>
      <c r="K5144">
        <v>1.1086469999999999</v>
      </c>
      <c r="L5144">
        <v>17.03436</v>
      </c>
      <c r="M5144">
        <v>0.99872139999999998</v>
      </c>
      <c r="N5144">
        <v>0</v>
      </c>
      <c r="O5144">
        <v>-4.8884539999999997E-2</v>
      </c>
      <c r="P5144">
        <v>0.95804809999999996</v>
      </c>
      <c r="Q5144">
        <v>9.7252409999999997E-2</v>
      </c>
      <c r="R5144">
        <v>-0.26960279999999998</v>
      </c>
      <c r="S5144">
        <v>2.8652340000000001</v>
      </c>
      <c r="T5144">
        <v>-0.36088759999999998</v>
      </c>
      <c r="U5144">
        <v>-1.078247</v>
      </c>
      <c r="V5144">
        <v>0.2228501</v>
      </c>
      <c r="W5144">
        <v>0.10890759999999999</v>
      </c>
      <c r="X5144">
        <v>0.96875020000000001</v>
      </c>
      <c r="Y5144">
        <v>0.30426940000000002</v>
      </c>
      <c r="Z5144">
        <v>-1.254388E-2</v>
      </c>
      <c r="AA5144">
        <v>0.9525034</v>
      </c>
      <c r="AB5144">
        <v>23</v>
      </c>
      <c r="AC5144">
        <v>8.6953000000000298</v>
      </c>
      <c r="AD5144">
        <v>-1.1086515442389999</v>
      </c>
      <c r="AE5144">
        <v>-3.3060699999999899</v>
      </c>
      <c r="AF5144">
        <v>2.8367255782712002</v>
      </c>
      <c r="AG5144">
        <v>-1.1086515442389999</v>
      </c>
      <c r="AH5144">
        <v>8.7226434768688605</v>
      </c>
      <c r="AI5144">
        <v>96.891863634041897</v>
      </c>
      <c r="AJ5144">
        <v>71.984750340882798</v>
      </c>
      <c r="AK5144">
        <v>9.2390816360461105</v>
      </c>
      <c r="AL5144">
        <v>83.747652608674599</v>
      </c>
      <c r="AM5144">
        <v>77.0451260026732</v>
      </c>
      <c r="AN5144">
        <v>0.99999999120390504</v>
      </c>
    </row>
    <row r="5145" spans="1:40" x14ac:dyDescent="0.25">
      <c r="A5145" t="str">
        <f>"20190312151637682"</f>
        <v>20190312151637682</v>
      </c>
      <c r="B5145" t="str">
        <f>"1552374997672550"</f>
        <v>1552374997672550</v>
      </c>
      <c r="C5145" t="s">
        <v>40</v>
      </c>
      <c r="D5145">
        <v>4.6570229999999997</v>
      </c>
      <c r="E5145">
        <v>0.53128549999999997</v>
      </c>
      <c r="F5145" t="s">
        <v>43</v>
      </c>
      <c r="G5145">
        <v>-322.4973</v>
      </c>
      <c r="H5145" s="1">
        <v>-4.571149E-6</v>
      </c>
      <c r="I5145">
        <v>13.730320000000001</v>
      </c>
      <c r="J5145">
        <v>-331.13549999999998</v>
      </c>
      <c r="K5145">
        <v>1.1086480000000001</v>
      </c>
      <c r="L5145">
        <v>17.027339999999999</v>
      </c>
      <c r="M5145">
        <v>0.99866069999999996</v>
      </c>
      <c r="N5145">
        <v>0</v>
      </c>
      <c r="O5145">
        <v>-5.0112440000000001E-2</v>
      </c>
      <c r="P5145">
        <v>0.9577734</v>
      </c>
      <c r="Q5145">
        <v>9.6953650000000002E-2</v>
      </c>
      <c r="R5145">
        <v>-0.2706847</v>
      </c>
      <c r="S5145">
        <v>2.863953</v>
      </c>
      <c r="T5145">
        <v>-0.36275099999999999</v>
      </c>
      <c r="U5145">
        <v>-1.0810850000000001</v>
      </c>
      <c r="V5145">
        <v>0.22275010000000001</v>
      </c>
      <c r="W5145">
        <v>0.1086104</v>
      </c>
      <c r="X5145">
        <v>0.96880659999999996</v>
      </c>
      <c r="Y5145">
        <v>0.30405720000000003</v>
      </c>
      <c r="Z5145">
        <v>-1.2449399999999999E-2</v>
      </c>
      <c r="AA5145">
        <v>0.95257239999999999</v>
      </c>
      <c r="AB5145">
        <v>23</v>
      </c>
      <c r="AC5145">
        <v>8.6381999999999799</v>
      </c>
      <c r="AD5145">
        <v>-1.1086525711489901</v>
      </c>
      <c r="AE5145">
        <v>-3.2970199999999901</v>
      </c>
      <c r="AF5145">
        <v>2.8194236744495198</v>
      </c>
      <c r="AG5145">
        <v>-1.1086525711489901</v>
      </c>
      <c r="AH5145">
        <v>8.6679573875617795</v>
      </c>
      <c r="AI5145">
        <v>96.934816106588002</v>
      </c>
      <c r="AJ5145">
        <v>71.981864431875195</v>
      </c>
      <c r="AK5145">
        <v>9.1821427592990794</v>
      </c>
      <c r="AL5145">
        <v>83.764782751565605</v>
      </c>
      <c r="AM5145">
        <v>77.051471729131194</v>
      </c>
      <c r="AN5145">
        <v>1.00000002712086</v>
      </c>
    </row>
    <row r="5146" spans="1:40" x14ac:dyDescent="0.25">
      <c r="A5146" t="str">
        <f>"20190312151637694"</f>
        <v>20190312151637694</v>
      </c>
      <c r="B5146" t="str">
        <f>"1552374997683286"</f>
        <v>1552374997683286</v>
      </c>
      <c r="C5146" t="s">
        <v>40</v>
      </c>
      <c r="D5146">
        <v>4.6585760000000001</v>
      </c>
      <c r="E5146">
        <v>0.53128640000000005</v>
      </c>
      <c r="F5146" t="s">
        <v>43</v>
      </c>
      <c r="G5146">
        <v>-322.41860000000003</v>
      </c>
      <c r="H5146" s="1">
        <v>-4.6091940000000001E-6</v>
      </c>
      <c r="I5146">
        <v>13.725390000000001</v>
      </c>
      <c r="J5146">
        <v>-331.01690000000002</v>
      </c>
      <c r="K5146">
        <v>1.1086469999999999</v>
      </c>
      <c r="L5146">
        <v>17.020019999999999</v>
      </c>
      <c r="M5146">
        <v>0.99859600000000004</v>
      </c>
      <c r="N5146">
        <v>0</v>
      </c>
      <c r="O5146">
        <v>-5.1382659999999997E-2</v>
      </c>
      <c r="P5146">
        <v>0.95750460000000004</v>
      </c>
      <c r="Q5146">
        <v>9.6561729999999998E-2</v>
      </c>
      <c r="R5146">
        <v>-0.27177390000000001</v>
      </c>
      <c r="S5146">
        <v>2.8626710000000002</v>
      </c>
      <c r="T5146">
        <v>-0.3640873</v>
      </c>
      <c r="U5146">
        <v>-1.084381</v>
      </c>
      <c r="V5146">
        <v>0.2226156</v>
      </c>
      <c r="W5146">
        <v>0.1082197</v>
      </c>
      <c r="X5146">
        <v>0.9688812</v>
      </c>
      <c r="Y5146">
        <v>0.30394290000000002</v>
      </c>
      <c r="Z5146">
        <v>-1.233602E-2</v>
      </c>
      <c r="AA5146">
        <v>0.95261039999999997</v>
      </c>
      <c r="AB5146">
        <v>23</v>
      </c>
      <c r="AC5146">
        <v>8.5982999999999894</v>
      </c>
      <c r="AD5146">
        <v>-1.108651609194</v>
      </c>
      <c r="AE5146">
        <v>-3.2946300000000002</v>
      </c>
      <c r="AF5146">
        <v>2.8077341322768801</v>
      </c>
      <c r="AG5146">
        <v>-1.108651609194</v>
      </c>
      <c r="AH5146">
        <v>8.6311181925218907</v>
      </c>
      <c r="AI5146">
        <v>96.964050243734306</v>
      </c>
      <c r="AJ5146">
        <v>71.980104742777101</v>
      </c>
      <c r="AK5146">
        <v>9.1437782454193108</v>
      </c>
      <c r="AL5146">
        <v>83.787300735850806</v>
      </c>
      <c r="AM5146">
        <v>77.059989839866006</v>
      </c>
      <c r="AN5146">
        <v>0.99999999427244501</v>
      </c>
    </row>
    <row r="5147" spans="1:40" x14ac:dyDescent="0.25">
      <c r="A5147" t="str">
        <f>"20190312151637705"</f>
        <v>20190312151637705</v>
      </c>
      <c r="B5147" t="str">
        <f>"1552374997702806"</f>
        <v>1552374997702806</v>
      </c>
      <c r="C5147" t="s">
        <v>40</v>
      </c>
      <c r="D5147">
        <v>4.6756729999999997</v>
      </c>
      <c r="E5147">
        <v>0.53131319999999904</v>
      </c>
      <c r="F5147" t="s">
        <v>43</v>
      </c>
      <c r="G5147">
        <v>-322.33350000000002</v>
      </c>
      <c r="H5147" s="1">
        <v>-4.6505200000000003E-6</v>
      </c>
      <c r="I5147">
        <v>13.719329999999999</v>
      </c>
      <c r="J5147">
        <v>-330.88490000000002</v>
      </c>
      <c r="K5147">
        <v>1.108644</v>
      </c>
      <c r="L5147">
        <v>17.011600000000001</v>
      </c>
      <c r="M5147">
        <v>0.99852240000000003</v>
      </c>
      <c r="N5147">
        <v>0</v>
      </c>
      <c r="O5147">
        <v>-5.2797219999999999E-2</v>
      </c>
      <c r="P5147">
        <v>0.95725959999999999</v>
      </c>
      <c r="Q5147">
        <v>9.5993529999999994E-2</v>
      </c>
      <c r="R5147">
        <v>-0.27283610000000003</v>
      </c>
      <c r="S5147">
        <v>2.8612980000000001</v>
      </c>
      <c r="T5147">
        <v>-0.36531390000000002</v>
      </c>
      <c r="U5147">
        <v>-1.0876159999999999</v>
      </c>
      <c r="V5147">
        <v>0.22231239999999999</v>
      </c>
      <c r="W5147">
        <v>0.10765139999999999</v>
      </c>
      <c r="X5147">
        <v>0.96901409999999999</v>
      </c>
      <c r="Y5147">
        <v>0.30368640000000002</v>
      </c>
      <c r="Z5147">
        <v>-1.2191810000000001E-2</v>
      </c>
      <c r="AA5147">
        <v>0.95269409999999999</v>
      </c>
      <c r="AB5147">
        <v>23</v>
      </c>
      <c r="AC5147">
        <v>8.5513999999999992</v>
      </c>
      <c r="AD5147">
        <v>-1.1086486505199999</v>
      </c>
      <c r="AE5147">
        <v>-3.2922699999999998</v>
      </c>
      <c r="AF5147">
        <v>2.79523273489158</v>
      </c>
      <c r="AG5147">
        <v>-1.1086486505199999</v>
      </c>
      <c r="AH5147">
        <v>8.5876012322236495</v>
      </c>
      <c r="AI5147">
        <v>96.998579453942895</v>
      </c>
      <c r="AJ5147">
        <v>71.970120994898807</v>
      </c>
      <c r="AK5147">
        <v>9.0988638189720401</v>
      </c>
      <c r="AL5147">
        <v>83.820053161896197</v>
      </c>
      <c r="AM5147">
        <v>77.078734835878393</v>
      </c>
      <c r="AN5147">
        <v>0.99999997655726403</v>
      </c>
    </row>
    <row r="5148" spans="1:40" x14ac:dyDescent="0.25">
      <c r="A5148" t="str">
        <f>"20190312151637718"</f>
        <v>20190312151637718</v>
      </c>
      <c r="B5148" t="str">
        <f>"1552374997712565"</f>
        <v>1552374997712565</v>
      </c>
      <c r="C5148" t="s">
        <v>40</v>
      </c>
      <c r="D5148">
        <v>4.639087</v>
      </c>
      <c r="E5148">
        <v>0.53134799999999904</v>
      </c>
      <c r="F5148" t="s">
        <v>43</v>
      </c>
      <c r="G5148">
        <v>-322.25</v>
      </c>
      <c r="H5148" s="1">
        <v>-4.6902649999999999E-6</v>
      </c>
      <c r="I5148">
        <v>13.717650000000001</v>
      </c>
      <c r="J5148">
        <v>-330.76319999999998</v>
      </c>
      <c r="K5148">
        <v>1.108643</v>
      </c>
      <c r="L5148">
        <v>17.003720000000001</v>
      </c>
      <c r="M5148">
        <v>0.99845260000000002</v>
      </c>
      <c r="N5148">
        <v>0</v>
      </c>
      <c r="O5148">
        <v>-5.4101740000000002E-2</v>
      </c>
      <c r="P5148">
        <v>0.95703539999999998</v>
      </c>
      <c r="Q5148">
        <v>9.5470250000000006E-2</v>
      </c>
      <c r="R5148">
        <v>-0.27380480000000001</v>
      </c>
      <c r="S5148">
        <v>2.8598330000000001</v>
      </c>
      <c r="T5148">
        <v>-0.3671799</v>
      </c>
      <c r="U5148">
        <v>-1.0909420000000001</v>
      </c>
      <c r="V5148">
        <v>0.22202179999999999</v>
      </c>
      <c r="W5148">
        <v>0.107127</v>
      </c>
      <c r="X5148">
        <v>0.96913890000000003</v>
      </c>
      <c r="Y5148">
        <v>0.30356369999999999</v>
      </c>
      <c r="Z5148">
        <v>-1.2089239999999999E-2</v>
      </c>
      <c r="AA5148">
        <v>0.95273450000000004</v>
      </c>
      <c r="AB5148">
        <v>23</v>
      </c>
      <c r="AC5148">
        <v>8.5131999999999799</v>
      </c>
      <c r="AD5148">
        <v>-1.108647690265</v>
      </c>
      <c r="AE5148">
        <v>-3.28607</v>
      </c>
      <c r="AF5148">
        <v>2.7796126492137798</v>
      </c>
      <c r="AG5148">
        <v>-1.108647690265</v>
      </c>
      <c r="AH5148">
        <v>8.5522954211361792</v>
      </c>
      <c r="AI5148">
        <v>97.028164678078298</v>
      </c>
      <c r="AJ5148">
        <v>71.995131640582599</v>
      </c>
      <c r="AK5148">
        <v>9.0607451763740805</v>
      </c>
      <c r="AL5148">
        <v>83.850274229786194</v>
      </c>
      <c r="AM5148">
        <v>77.096665502769298</v>
      </c>
      <c r="AN5148">
        <v>1.0000000406487199</v>
      </c>
    </row>
    <row r="5149" spans="1:40" x14ac:dyDescent="0.25">
      <c r="A5149" t="str">
        <f>"20190312151637729"</f>
        <v>20190312151637729</v>
      </c>
      <c r="B5149" t="str">
        <f>"1552374997723302"</f>
        <v>1552374997723302</v>
      </c>
      <c r="C5149" t="s">
        <v>40</v>
      </c>
      <c r="D5149">
        <v>4.6325289999999999</v>
      </c>
      <c r="E5149">
        <v>0.53137639999999997</v>
      </c>
      <c r="F5149" t="s">
        <v>43</v>
      </c>
      <c r="G5149">
        <v>-322.17590000000001</v>
      </c>
      <c r="H5149" s="1">
        <v>-4.7254950000000004E-6</v>
      </c>
      <c r="I5149">
        <v>13.716419999999999</v>
      </c>
      <c r="J5149">
        <v>-330.64850000000001</v>
      </c>
      <c r="K5149">
        <v>1.108641</v>
      </c>
      <c r="L5149">
        <v>16.99615</v>
      </c>
      <c r="M5149">
        <v>0.99838530000000003</v>
      </c>
      <c r="N5149">
        <v>0</v>
      </c>
      <c r="O5149">
        <v>-5.533105E-2</v>
      </c>
      <c r="P5149">
        <v>0.95685249999999999</v>
      </c>
      <c r="Q5149">
        <v>9.502389E-2</v>
      </c>
      <c r="R5149">
        <v>-0.2745978</v>
      </c>
      <c r="S5149">
        <v>2.8584290000000001</v>
      </c>
      <c r="T5149">
        <v>-0.36903370000000002</v>
      </c>
      <c r="U5149">
        <v>-1.0942379999999901</v>
      </c>
      <c r="V5149">
        <v>0.22162689999999999</v>
      </c>
      <c r="W5149">
        <v>0.1066795</v>
      </c>
      <c r="X5149">
        <v>0.96927859999999999</v>
      </c>
      <c r="Y5149">
        <v>0.3034964</v>
      </c>
      <c r="Z5149">
        <v>-1.199705E-2</v>
      </c>
      <c r="AA5149">
        <v>0.95275710000000002</v>
      </c>
      <c r="AB5149">
        <v>23</v>
      </c>
      <c r="AC5149">
        <v>8.4725999999999999</v>
      </c>
      <c r="AD5149">
        <v>-1.108645725495</v>
      </c>
      <c r="AE5149">
        <v>-3.27972999999999</v>
      </c>
      <c r="AF5149">
        <v>2.7647001342187401</v>
      </c>
      <c r="AG5149">
        <v>-1.108645725495</v>
      </c>
      <c r="AH5149">
        <v>8.5143207545188506</v>
      </c>
      <c r="AI5149">
        <v>97.059802893790007</v>
      </c>
      <c r="AJ5149">
        <v>72.010776507940193</v>
      </c>
      <c r="AK5149">
        <v>9.0203281585338004</v>
      </c>
      <c r="AL5149">
        <v>83.876061627370404</v>
      </c>
      <c r="AM5149">
        <v>77.120644491181906</v>
      </c>
      <c r="AN5149">
        <v>1.0000000014709001</v>
      </c>
    </row>
    <row r="5150" spans="1:40" x14ac:dyDescent="0.25">
      <c r="A5150" t="str">
        <f>"20190312151637738"</f>
        <v>20190312151637738</v>
      </c>
      <c r="B5150" t="str">
        <f>"1552374997733063"</f>
        <v>1552374997733063</v>
      </c>
      <c r="C5150" t="s">
        <v>40</v>
      </c>
      <c r="D5150">
        <v>4.6391</v>
      </c>
      <c r="E5150">
        <v>0.531470199999999</v>
      </c>
      <c r="F5150" t="s">
        <v>43</v>
      </c>
      <c r="G5150">
        <v>-322.1001</v>
      </c>
      <c r="H5150" s="1">
        <v>-4.761758E-6</v>
      </c>
      <c r="I5150">
        <v>13.714</v>
      </c>
      <c r="J5150">
        <v>-330.54849999999999</v>
      </c>
      <c r="K5150">
        <v>1.108635</v>
      </c>
      <c r="L5150">
        <v>16.989409999999999</v>
      </c>
      <c r="M5150">
        <v>0.99832529999999997</v>
      </c>
      <c r="N5150">
        <v>0</v>
      </c>
      <c r="O5150">
        <v>-5.6402519999999998E-2</v>
      </c>
      <c r="P5150">
        <v>0.95668189999999997</v>
      </c>
      <c r="Q5150">
        <v>9.4372540000000005E-2</v>
      </c>
      <c r="R5150">
        <v>-0.27541549999999998</v>
      </c>
      <c r="S5150">
        <v>2.8572389999999999</v>
      </c>
      <c r="T5150">
        <v>-0.3705599</v>
      </c>
      <c r="U5150">
        <v>-1.097046</v>
      </c>
      <c r="V5150">
        <v>0.22140840000000001</v>
      </c>
      <c r="W5150">
        <v>0.1060252</v>
      </c>
      <c r="X5150">
        <v>0.96940029999999999</v>
      </c>
      <c r="Y5150">
        <v>0.30341630000000003</v>
      </c>
      <c r="Z5150">
        <v>-1.1911120000000001E-2</v>
      </c>
      <c r="AA5150">
        <v>0.95278359999999995</v>
      </c>
      <c r="AB5150">
        <v>23</v>
      </c>
      <c r="AC5150">
        <v>8.4483999999999906</v>
      </c>
      <c r="AD5150">
        <v>-1.1086397617579999</v>
      </c>
      <c r="AE5150">
        <v>-3.2754099999999902</v>
      </c>
      <c r="AF5150">
        <v>2.7524409367204399</v>
      </c>
      <c r="AG5150">
        <v>-1.1086397617579999</v>
      </c>
      <c r="AH5150">
        <v>8.4925728705576198</v>
      </c>
      <c r="AI5150">
        <v>97.0789194891737</v>
      </c>
      <c r="AJ5150">
        <v>72.042502378658398</v>
      </c>
      <c r="AK5150">
        <v>8.9960439746155405</v>
      </c>
      <c r="AL5150">
        <v>83.9137639676795</v>
      </c>
      <c r="AM5150">
        <v>77.134480898295195</v>
      </c>
      <c r="AN5150">
        <v>0.99999998213284402</v>
      </c>
    </row>
    <row r="5151" spans="1:40" x14ac:dyDescent="0.25">
      <c r="A5151" t="str">
        <f>"20190312151637749"</f>
        <v>20190312151637749</v>
      </c>
      <c r="B5151" t="str">
        <f>"1552374997742821"</f>
        <v>1552374997742821</v>
      </c>
      <c r="C5151" t="s">
        <v>40</v>
      </c>
      <c r="D5151">
        <v>4.6393750000000002</v>
      </c>
      <c r="E5151">
        <v>0.5315512</v>
      </c>
      <c r="F5151" t="s">
        <v>43</v>
      </c>
      <c r="G5151">
        <v>-322.0573</v>
      </c>
      <c r="H5151" s="1">
        <v>-4.7812580000000004E-6</v>
      </c>
      <c r="I5151">
        <v>13.718209999999999</v>
      </c>
      <c r="J5151">
        <v>-330.43720000000002</v>
      </c>
      <c r="K5151">
        <v>1.108633</v>
      </c>
      <c r="L5151">
        <v>16.981839999999998</v>
      </c>
      <c r="M5151">
        <v>0.99825730000000001</v>
      </c>
      <c r="N5151">
        <v>0</v>
      </c>
      <c r="O5151">
        <v>-5.759653E-2</v>
      </c>
      <c r="P5151">
        <v>0.95650069999999998</v>
      </c>
      <c r="Q5151">
        <v>9.3990850000000001E-2</v>
      </c>
      <c r="R5151">
        <v>-0.2761748</v>
      </c>
      <c r="S5151">
        <v>2.855896</v>
      </c>
      <c r="T5151">
        <v>-0.37287500000000001</v>
      </c>
      <c r="U5151">
        <v>-1.10022</v>
      </c>
      <c r="V5151">
        <v>0.22101399999999999</v>
      </c>
      <c r="W5151">
        <v>0.1056406</v>
      </c>
      <c r="X5151">
        <v>0.96953230000000001</v>
      </c>
      <c r="Y5151">
        <v>0.30333599999999999</v>
      </c>
      <c r="Z5151">
        <v>-1.1833959999999999E-2</v>
      </c>
      <c r="AA5151">
        <v>0.95281020000000005</v>
      </c>
      <c r="AB5151">
        <v>23</v>
      </c>
      <c r="AC5151">
        <v>8.3799000000000099</v>
      </c>
      <c r="AD5151">
        <v>-1.1086377812579999</v>
      </c>
      <c r="AE5151">
        <v>-3.2636299999999898</v>
      </c>
      <c r="AF5151">
        <v>2.7339689778021898</v>
      </c>
      <c r="AG5151">
        <v>-1.1086377812579999</v>
      </c>
      <c r="AH5151">
        <v>8.4259234009044892</v>
      </c>
      <c r="AI5151">
        <v>97.133557337090707</v>
      </c>
      <c r="AJ5151">
        <v>72.023249235703105</v>
      </c>
      <c r="AK5151">
        <v>8.9274772057691294</v>
      </c>
      <c r="AL5151">
        <v>83.9359245043849</v>
      </c>
      <c r="AM5151">
        <v>77.158328509165401</v>
      </c>
      <c r="AN5151">
        <v>1.0000000026538201</v>
      </c>
    </row>
    <row r="5152" spans="1:40" x14ac:dyDescent="0.25">
      <c r="A5152" t="str">
        <f>"20190312151637762"</f>
        <v>20190312151637762</v>
      </c>
      <c r="B5152" t="str">
        <f>"1552374997753557"</f>
        <v>1552374997753557</v>
      </c>
      <c r="C5152" t="s">
        <v>40</v>
      </c>
      <c r="D5152">
        <v>4.6261559999999999</v>
      </c>
      <c r="E5152">
        <v>0.53163919999999998</v>
      </c>
      <c r="F5152" t="s">
        <v>43</v>
      </c>
      <c r="G5152">
        <v>-321.9776</v>
      </c>
      <c r="H5152" s="1">
        <v>-4.8200329999999999E-6</v>
      </c>
      <c r="I5152">
        <v>13.71209</v>
      </c>
      <c r="J5152">
        <v>-330.31560000000002</v>
      </c>
      <c r="K5152">
        <v>1.1086290000000001</v>
      </c>
      <c r="L5152">
        <v>16.97336</v>
      </c>
      <c r="M5152">
        <v>0.99818130000000005</v>
      </c>
      <c r="N5152">
        <v>0</v>
      </c>
      <c r="O5152">
        <v>-5.8900889999999997E-2</v>
      </c>
      <c r="P5152">
        <v>0.95621690000000004</v>
      </c>
      <c r="Q5152">
        <v>9.3617069999999997E-2</v>
      </c>
      <c r="R5152">
        <v>-0.27728199999999997</v>
      </c>
      <c r="S5152">
        <v>2.8546450000000001</v>
      </c>
      <c r="T5152">
        <v>-0.37410450000000001</v>
      </c>
      <c r="U5152">
        <v>-1.1033630000000001</v>
      </c>
      <c r="V5152">
        <v>0.2208658</v>
      </c>
      <c r="W5152">
        <v>0.1052584</v>
      </c>
      <c r="X5152">
        <v>0.96960760000000001</v>
      </c>
      <c r="Y5152">
        <v>0.30314370000000002</v>
      </c>
      <c r="Z5152">
        <v>-1.1699920000000001E-2</v>
      </c>
      <c r="AA5152">
        <v>0.95287310000000003</v>
      </c>
      <c r="AB5152">
        <v>23</v>
      </c>
      <c r="AC5152">
        <v>8.3380000000000205</v>
      </c>
      <c r="AD5152">
        <v>-1.1086338200329999</v>
      </c>
      <c r="AE5152">
        <v>-3.2612700000000001</v>
      </c>
      <c r="AF5152">
        <v>2.7227035139897899</v>
      </c>
      <c r="AG5152">
        <v>-1.1086338200329999</v>
      </c>
      <c r="AH5152">
        <v>8.3870302111264898</v>
      </c>
      <c r="AI5152">
        <v>97.165933087373404</v>
      </c>
      <c r="AJ5152">
        <v>72.014879321556705</v>
      </c>
      <c r="AK5152">
        <v>8.8873201323212108</v>
      </c>
      <c r="AL5152">
        <v>83.957945499947897</v>
      </c>
      <c r="AM5152">
        <v>77.167617866556895</v>
      </c>
      <c r="AN5152">
        <v>0.99999996517897904</v>
      </c>
    </row>
    <row r="5153" spans="1:40" x14ac:dyDescent="0.25">
      <c r="A5153" t="str">
        <f>"20190312151637775"</f>
        <v>20190312151637775</v>
      </c>
      <c r="B5153" t="str">
        <f>"1552374997763318"</f>
        <v>1552374997763318</v>
      </c>
      <c r="C5153" t="s">
        <v>40</v>
      </c>
      <c r="D5153">
        <v>4.6317500000000003</v>
      </c>
      <c r="E5153">
        <v>0.53169480000000002</v>
      </c>
      <c r="F5153" t="s">
        <v>43</v>
      </c>
      <c r="G5153">
        <v>-321.88279999999997</v>
      </c>
      <c r="H5153" s="1">
        <v>-4.8669610000000001E-6</v>
      </c>
      <c r="I5153">
        <v>13.700240000000001</v>
      </c>
      <c r="J5153">
        <v>-330.18889999999999</v>
      </c>
      <c r="K5153">
        <v>1.1086210000000001</v>
      </c>
      <c r="L5153">
        <v>16.964389999999899</v>
      </c>
      <c r="M5153">
        <v>0.9981004</v>
      </c>
      <c r="N5153">
        <v>0</v>
      </c>
      <c r="O5153">
        <v>-6.0259119999999999E-2</v>
      </c>
      <c r="P5153">
        <v>0.9559221</v>
      </c>
      <c r="Q5153">
        <v>9.3120069999999999E-2</v>
      </c>
      <c r="R5153">
        <v>-0.27846379999999998</v>
      </c>
      <c r="S5153">
        <v>2.8529969999999998</v>
      </c>
      <c r="T5153">
        <v>-0.3750733</v>
      </c>
      <c r="U5153">
        <v>-1.107361</v>
      </c>
      <c r="V5153">
        <v>0.22073960000000001</v>
      </c>
      <c r="W5153">
        <v>0.1047515</v>
      </c>
      <c r="X5153">
        <v>0.96969130000000003</v>
      </c>
      <c r="Y5153">
        <v>0.3031935</v>
      </c>
      <c r="Z5153">
        <v>-1.1566180000000001E-2</v>
      </c>
      <c r="AA5153">
        <v>0.95285880000000001</v>
      </c>
      <c r="AB5153">
        <v>23</v>
      </c>
      <c r="AC5153">
        <v>8.3061000000000096</v>
      </c>
      <c r="AD5153">
        <v>-1.1086258669610001</v>
      </c>
      <c r="AE5153">
        <v>-3.2641499999999901</v>
      </c>
      <c r="AF5153">
        <v>2.7157499664537799</v>
      </c>
      <c r="AG5153">
        <v>-1.1086258669610001</v>
      </c>
      <c r="AH5153">
        <v>8.3587272635865197</v>
      </c>
      <c r="AI5153">
        <v>97.189333915044003</v>
      </c>
      <c r="AJ5153">
        <v>72.001023986986397</v>
      </c>
      <c r="AK5153">
        <v>8.8584801552079604</v>
      </c>
      <c r="AL5153">
        <v>83.987150590663603</v>
      </c>
      <c r="AM5153">
        <v>77.175778005937602</v>
      </c>
      <c r="AN5153">
        <v>1.00000003252804</v>
      </c>
    </row>
    <row r="5154" spans="1:40" x14ac:dyDescent="0.25">
      <c r="A5154" t="str">
        <f>"20190312151637793"</f>
        <v>20190312151637793</v>
      </c>
      <c r="B5154" t="str">
        <f>"1552374997782837"</f>
        <v>1552374997782837</v>
      </c>
      <c r="C5154" t="s">
        <v>40</v>
      </c>
      <c r="D5154">
        <v>4.6780599999999897</v>
      </c>
      <c r="E5154">
        <v>0.53175530000000004</v>
      </c>
      <c r="F5154" t="s">
        <v>43</v>
      </c>
      <c r="G5154">
        <v>-321.79489999999998</v>
      </c>
      <c r="H5154" s="1">
        <v>-4.9098360000000001E-6</v>
      </c>
      <c r="I5154">
        <v>13.692769999999999</v>
      </c>
      <c r="J5154">
        <v>-329.99329999999998</v>
      </c>
      <c r="K5154">
        <v>1.108609</v>
      </c>
      <c r="L5154">
        <v>16.95016</v>
      </c>
      <c r="M5154">
        <v>0.99797179999999996</v>
      </c>
      <c r="N5154">
        <v>0</v>
      </c>
      <c r="O5154">
        <v>-6.2358329999999997E-2</v>
      </c>
      <c r="P5154">
        <v>0.95552599999999999</v>
      </c>
      <c r="Q5154">
        <v>9.2647289999999993E-2</v>
      </c>
      <c r="R5154">
        <v>-0.27997650000000002</v>
      </c>
      <c r="S5154">
        <v>2.8512879999999998</v>
      </c>
      <c r="T5154">
        <v>-0.37657629999999997</v>
      </c>
      <c r="U5154">
        <v>-1.1112979999999999</v>
      </c>
      <c r="V5154">
        <v>0.22022939999999999</v>
      </c>
      <c r="W5154">
        <v>0.1042593</v>
      </c>
      <c r="X5154">
        <v>0.96986030000000001</v>
      </c>
      <c r="Y5154">
        <v>0.30253140000000001</v>
      </c>
      <c r="Z5154">
        <v>-1.1309369999999999E-2</v>
      </c>
      <c r="AA5154">
        <v>0.95307240000000004</v>
      </c>
      <c r="AB5154">
        <v>23</v>
      </c>
      <c r="AC5154">
        <v>8.1983999999999906</v>
      </c>
      <c r="AD5154">
        <v>-1.1086139098359999</v>
      </c>
      <c r="AE5154">
        <v>-3.2573899999999898</v>
      </c>
      <c r="AF5154">
        <v>2.69717455761519</v>
      </c>
      <c r="AG5154">
        <v>-1.1086139098359999</v>
      </c>
      <c r="AH5154">
        <v>8.2552151408463406</v>
      </c>
      <c r="AI5154">
        <v>97.2745755331146</v>
      </c>
      <c r="AJ5154">
        <v>71.906557227797194</v>
      </c>
      <c r="AK5154">
        <v>8.7551329182935493</v>
      </c>
      <c r="AL5154">
        <v>84.015506622424894</v>
      </c>
      <c r="AM5154">
        <v>77.206598341101994</v>
      </c>
      <c r="AN5154">
        <v>0.999999995888469</v>
      </c>
    </row>
    <row r="5155" spans="1:40" x14ac:dyDescent="0.25">
      <c r="A5155" t="str">
        <f>"20190312151637805"</f>
        <v>20190312151637805</v>
      </c>
      <c r="B5155" t="str">
        <f>"1552374997792598"</f>
        <v>1552374997792598</v>
      </c>
      <c r="C5155" t="s">
        <v>40</v>
      </c>
      <c r="D5155">
        <v>4.6413710000000004</v>
      </c>
      <c r="E5155">
        <v>0.53580669999999897</v>
      </c>
      <c r="F5155" t="s">
        <v>43</v>
      </c>
      <c r="G5155">
        <v>-321.64569999999998</v>
      </c>
      <c r="H5155" s="1">
        <v>-4.9826910000000001E-6</v>
      </c>
      <c r="I5155">
        <v>13.67952</v>
      </c>
      <c r="J5155">
        <v>-329.87430000000001</v>
      </c>
      <c r="K5155">
        <v>1.1086069999999999</v>
      </c>
      <c r="L5155">
        <v>16.941279999999999</v>
      </c>
      <c r="M5155">
        <v>0.99789150000000004</v>
      </c>
      <c r="N5155">
        <v>0</v>
      </c>
      <c r="O5155">
        <v>-6.3633410000000001E-2</v>
      </c>
      <c r="P5155">
        <v>0.95524629999999999</v>
      </c>
      <c r="Q5155">
        <v>9.2318170000000005E-2</v>
      </c>
      <c r="R5155">
        <v>-0.2810375</v>
      </c>
      <c r="S5155">
        <v>2.8491819999999999</v>
      </c>
      <c r="T5155">
        <v>-0.37839149999999999</v>
      </c>
      <c r="U5155">
        <v>-1.116333</v>
      </c>
      <c r="V5155">
        <v>0.22006329999999999</v>
      </c>
      <c r="W5155">
        <v>0.10391499999999999</v>
      </c>
      <c r="X5155">
        <v>0.96993490000000004</v>
      </c>
      <c r="Y5155">
        <v>0.30300159999999998</v>
      </c>
      <c r="Z5155">
        <v>-1.1236370000000001E-2</v>
      </c>
      <c r="AA5155">
        <v>0.95292379999999999</v>
      </c>
      <c r="AB5155">
        <v>23</v>
      </c>
      <c r="AC5155">
        <v>8.2286000000000197</v>
      </c>
      <c r="AD5155">
        <v>-1.1086119826909999</v>
      </c>
      <c r="AE5155">
        <v>-3.26175999999999</v>
      </c>
      <c r="AF5155">
        <v>2.6893059996587598</v>
      </c>
      <c r="AG5155">
        <v>-1.1086119826909999</v>
      </c>
      <c r="AH5155">
        <v>8.2894619324396803</v>
      </c>
      <c r="AI5155">
        <v>97.249681703491902</v>
      </c>
      <c r="AJ5155">
        <v>72.025657929173406</v>
      </c>
      <c r="AK5155">
        <v>8.7850194318130796</v>
      </c>
      <c r="AL5155">
        <v>84.035341003628702</v>
      </c>
      <c r="AM5155">
        <v>77.216881059875902</v>
      </c>
      <c r="AN5155">
        <v>0.99999994673494796</v>
      </c>
    </row>
    <row r="5156" spans="1:40" x14ac:dyDescent="0.25">
      <c r="A5156" t="str">
        <f>"20190312151637816"</f>
        <v>20190312151637816</v>
      </c>
      <c r="B5156" t="str">
        <f>"1552374997813093"</f>
        <v>1552374997813093</v>
      </c>
      <c r="C5156" t="s">
        <v>40</v>
      </c>
      <c r="D5156">
        <v>4.6516060000000001</v>
      </c>
      <c r="E5156">
        <v>0.53572180000000003</v>
      </c>
      <c r="F5156" t="s">
        <v>43</v>
      </c>
      <c r="G5156">
        <v>-321.75310000000002</v>
      </c>
      <c r="H5156" s="1">
        <v>-4.9372239999999997E-6</v>
      </c>
      <c r="I5156">
        <v>13.6496</v>
      </c>
      <c r="J5156">
        <v>-329.76409999999998</v>
      </c>
      <c r="K5156">
        <v>1.108603</v>
      </c>
      <c r="L5156">
        <v>16.932980000000001</v>
      </c>
      <c r="M5156">
        <v>0.99781569999999997</v>
      </c>
      <c r="N5156">
        <v>0</v>
      </c>
      <c r="O5156">
        <v>-6.4812889999999998E-2</v>
      </c>
      <c r="P5156">
        <v>0.95497469999999995</v>
      </c>
      <c r="Q5156">
        <v>9.2127050000000002E-2</v>
      </c>
      <c r="R5156">
        <v>-0.28202080000000002</v>
      </c>
      <c r="S5156">
        <v>2.8394170000000001</v>
      </c>
      <c r="T5156">
        <v>-0.38760660000000002</v>
      </c>
      <c r="U5156">
        <v>-1.150879</v>
      </c>
      <c r="V5156">
        <v>0.2199131</v>
      </c>
      <c r="W5156">
        <v>0.1037096</v>
      </c>
      <c r="X5156">
        <v>0.96999100000000005</v>
      </c>
      <c r="Y5156">
        <v>0.31281330000000002</v>
      </c>
      <c r="Z5156">
        <v>-1.2008889999999999E-2</v>
      </c>
      <c r="AA5156">
        <v>0.94973870000000005</v>
      </c>
      <c r="AB5156">
        <v>23</v>
      </c>
      <c r="AC5156">
        <v>8.0109999999999602</v>
      </c>
      <c r="AD5156">
        <v>-1.1086079372239901</v>
      </c>
      <c r="AE5156">
        <v>-3.2833800000000002</v>
      </c>
      <c r="AF5156">
        <v>2.7127381072747601</v>
      </c>
      <c r="AG5156">
        <v>-1.1086079372239901</v>
      </c>
      <c r="AH5156">
        <v>8.0745831276991407</v>
      </c>
      <c r="AI5156">
        <v>97.415222286159803</v>
      </c>
      <c r="AJ5156">
        <v>71.429703460026403</v>
      </c>
      <c r="AK5156">
        <v>8.5899273735730901</v>
      </c>
      <c r="AL5156">
        <v>84.047173786033994</v>
      </c>
      <c r="AM5156">
        <v>77.226034142281094</v>
      </c>
      <c r="AN5156">
        <v>0.99999999638238501</v>
      </c>
    </row>
    <row r="5157" spans="1:40" x14ac:dyDescent="0.25">
      <c r="A5157" t="str">
        <f>"20190312151637826"</f>
        <v>20190312151637826</v>
      </c>
      <c r="B5157" t="str">
        <f>"1552374997822853"</f>
        <v>1552374997822853</v>
      </c>
      <c r="C5157" t="s">
        <v>40</v>
      </c>
      <c r="D5157">
        <v>4.6424289999999999</v>
      </c>
      <c r="E5157">
        <v>0.5362401</v>
      </c>
      <c r="F5157" t="s">
        <v>43</v>
      </c>
      <c r="G5157">
        <v>-321.5865</v>
      </c>
      <c r="H5157" s="1">
        <v>-5.022883E-6</v>
      </c>
      <c r="I5157">
        <v>13.61077</v>
      </c>
      <c r="J5157">
        <v>-329.65260000000001</v>
      </c>
      <c r="K5157">
        <v>1.1086009999999999</v>
      </c>
      <c r="L5157">
        <v>16.924379999999999</v>
      </c>
      <c r="M5157">
        <v>0.99773780000000001</v>
      </c>
      <c r="N5157">
        <v>0</v>
      </c>
      <c r="O5157">
        <v>-6.600665E-2</v>
      </c>
      <c r="P5157">
        <v>0.95478189999999996</v>
      </c>
      <c r="Q5157">
        <v>9.1814179999999995E-2</v>
      </c>
      <c r="R5157">
        <v>-0.2827752</v>
      </c>
      <c r="S5157">
        <v>2.8380740000000002</v>
      </c>
      <c r="T5157">
        <v>-0.38474639999999999</v>
      </c>
      <c r="U5157">
        <v>-1.1529849999999999</v>
      </c>
      <c r="V5157">
        <v>0.2195144</v>
      </c>
      <c r="W5157">
        <v>0.103381399999999</v>
      </c>
      <c r="X5157">
        <v>0.97011630000000004</v>
      </c>
      <c r="Y5157">
        <v>0.31247900000000001</v>
      </c>
      <c r="Z5157">
        <v>-1.174915E-2</v>
      </c>
      <c r="AA5157">
        <v>0.94985200000000003</v>
      </c>
      <c r="AB5157">
        <v>23</v>
      </c>
      <c r="AC5157">
        <v>8.0661000000000005</v>
      </c>
      <c r="AD5157">
        <v>-1.1086060228829999</v>
      </c>
      <c r="AE5157">
        <v>-3.31360999999999</v>
      </c>
      <c r="AF5157">
        <v>2.7298032852449401</v>
      </c>
      <c r="AG5157">
        <v>-1.1086060228829999</v>
      </c>
      <c r="AH5157">
        <v>8.1357526756728102</v>
      </c>
      <c r="AI5157">
        <v>97.361012140246999</v>
      </c>
      <c r="AJ5157">
        <v>71.451762346120404</v>
      </c>
      <c r="AK5157">
        <v>8.6528206320149597</v>
      </c>
      <c r="AL5157">
        <v>84.066079673556303</v>
      </c>
      <c r="AM5157">
        <v>77.250028502763499</v>
      </c>
      <c r="AN5157">
        <v>0.99999996059950402</v>
      </c>
    </row>
    <row r="5158" spans="1:40" x14ac:dyDescent="0.25">
      <c r="A5158" t="str">
        <f>"20190312151637838"</f>
        <v>20190312151637838</v>
      </c>
      <c r="B5158" t="str">
        <f>"1552374997832614"</f>
        <v>1552374997832614</v>
      </c>
      <c r="C5158" t="s">
        <v>40</v>
      </c>
      <c r="D5158">
        <v>4.6245729999999998</v>
      </c>
      <c r="E5158">
        <v>0.53633319999999995</v>
      </c>
      <c r="F5158" t="s">
        <v>43</v>
      </c>
      <c r="G5158">
        <v>-321.471</v>
      </c>
      <c r="H5158" s="1">
        <v>-5.0828970000000002E-6</v>
      </c>
      <c r="I5158">
        <v>13.580069999999999</v>
      </c>
      <c r="J5158">
        <v>-329.53960000000001</v>
      </c>
      <c r="K5158">
        <v>1.1085989999999999</v>
      </c>
      <c r="L5158">
        <v>16.915589999999899</v>
      </c>
      <c r="M5158">
        <v>0.99765749999999997</v>
      </c>
      <c r="N5158">
        <v>0</v>
      </c>
      <c r="O5158">
        <v>-6.7214430000000006E-2</v>
      </c>
      <c r="P5158">
        <v>0.95447740000000003</v>
      </c>
      <c r="Q5158">
        <v>9.1672600000000007E-2</v>
      </c>
      <c r="R5158">
        <v>-0.28384700000000002</v>
      </c>
      <c r="S5158">
        <v>2.8357540000000001</v>
      </c>
      <c r="T5158">
        <v>-0.38424710000000001</v>
      </c>
      <c r="U5158">
        <v>-1.159149</v>
      </c>
      <c r="V5158">
        <v>0.21942719999999999</v>
      </c>
      <c r="W5158">
        <v>0.1032187</v>
      </c>
      <c r="X5158">
        <v>0.97015340000000005</v>
      </c>
      <c r="Y5158">
        <v>0.31337789999999999</v>
      </c>
      <c r="Z5158">
        <v>-1.164129E-2</v>
      </c>
      <c r="AA5158">
        <v>0.94955719999999999</v>
      </c>
      <c r="AB5158">
        <v>23</v>
      </c>
      <c r="AC5158">
        <v>8.0686</v>
      </c>
      <c r="AD5158">
        <v>-1.1086040828970001</v>
      </c>
      <c r="AE5158">
        <v>-3.33551999999999</v>
      </c>
      <c r="AF5158">
        <v>2.7414065246511301</v>
      </c>
      <c r="AG5158">
        <v>-1.1086040828970001</v>
      </c>
      <c r="AH5158">
        <v>8.1432718170844591</v>
      </c>
      <c r="AI5158">
        <v>97.351828134700199</v>
      </c>
      <c r="AJ5158">
        <v>71.394357672293395</v>
      </c>
      <c r="AK5158">
        <v>8.6635551959306891</v>
      </c>
      <c r="AL5158">
        <v>84.075452116910697</v>
      </c>
      <c r="AM5158">
        <v>77.255399317603803</v>
      </c>
      <c r="AN5158">
        <v>1.00000000783054</v>
      </c>
    </row>
    <row r="5159" spans="1:40" x14ac:dyDescent="0.25">
      <c r="A5159" t="str">
        <f>"20190312151637849"</f>
        <v>20190312151637849</v>
      </c>
      <c r="B5159" t="str">
        <f>"1552374997843349"</f>
        <v>1552374997843349</v>
      </c>
      <c r="C5159" t="s">
        <v>40</v>
      </c>
      <c r="D5159">
        <v>4.6147640000000001</v>
      </c>
      <c r="E5159">
        <v>0.53648890000000005</v>
      </c>
      <c r="F5159" t="s">
        <v>43</v>
      </c>
      <c r="G5159">
        <v>-321.33510000000001</v>
      </c>
      <c r="H5159" s="1">
        <v>-5.1526429999999997E-6</v>
      </c>
      <c r="I5159">
        <v>13.54914</v>
      </c>
      <c r="J5159">
        <v>-329.42009999999999</v>
      </c>
      <c r="K5159">
        <v>1.1085969999999901</v>
      </c>
      <c r="L5159">
        <v>16.90616</v>
      </c>
      <c r="M5159">
        <v>0.99757110000000004</v>
      </c>
      <c r="N5159">
        <v>0</v>
      </c>
      <c r="O5159">
        <v>-6.848986E-2</v>
      </c>
      <c r="P5159">
        <v>0.95420720000000003</v>
      </c>
      <c r="Q5159">
        <v>9.1721559999999994E-2</v>
      </c>
      <c r="R5159">
        <v>-0.28473890000000002</v>
      </c>
      <c r="S5159">
        <v>2.834076</v>
      </c>
      <c r="T5159">
        <v>-0.38294529999999999</v>
      </c>
      <c r="U5159">
        <v>-1.1628719999999999</v>
      </c>
      <c r="V5159">
        <v>0.21909229999999999</v>
      </c>
      <c r="W5159">
        <v>0.103242899999999</v>
      </c>
      <c r="X5159">
        <v>0.97022649999999999</v>
      </c>
      <c r="Y5159">
        <v>0.31345129999999999</v>
      </c>
      <c r="Z5159">
        <v>-1.1446990000000001E-2</v>
      </c>
      <c r="AA5159">
        <v>0.94953529999999997</v>
      </c>
      <c r="AB5159">
        <v>23</v>
      </c>
      <c r="AC5159">
        <v>8.0849999999999795</v>
      </c>
      <c r="AD5159">
        <v>-1.1086021526430001</v>
      </c>
      <c r="AE5159">
        <v>-3.3570199999999999</v>
      </c>
      <c r="AF5159">
        <v>2.7512301529218401</v>
      </c>
      <c r="AG5159">
        <v>-1.1086021526430001</v>
      </c>
      <c r="AH5159">
        <v>8.1650126255026692</v>
      </c>
      <c r="AI5159">
        <v>97.331780324238395</v>
      </c>
      <c r="AJ5159">
        <v>71.378572513778593</v>
      </c>
      <c r="AK5159">
        <v>8.68709947346116</v>
      </c>
      <c r="AL5159">
        <v>84.074058045949897</v>
      </c>
      <c r="AM5159">
        <v>77.275144414474596</v>
      </c>
      <c r="AN5159">
        <v>0.99999999681097496</v>
      </c>
    </row>
    <row r="5160" spans="1:40" x14ac:dyDescent="0.25">
      <c r="A5160" t="str">
        <f>"20190312151637860"</f>
        <v>20190312151637860</v>
      </c>
      <c r="B5160" t="str">
        <f>"1552374997853109"</f>
        <v>1552374997853109</v>
      </c>
      <c r="C5160" t="s">
        <v>40</v>
      </c>
      <c r="D5160">
        <v>4.623704</v>
      </c>
      <c r="E5160">
        <v>0.53666409999999998</v>
      </c>
      <c r="F5160" t="s">
        <v>43</v>
      </c>
      <c r="G5160">
        <v>-321.22340000000003</v>
      </c>
      <c r="H5160" s="1">
        <v>-5.2088109999999899E-6</v>
      </c>
      <c r="I5160">
        <v>13.53</v>
      </c>
      <c r="J5160">
        <v>-329.31240000000003</v>
      </c>
      <c r="K5160">
        <v>1.1085929999999999</v>
      </c>
      <c r="L5160">
        <v>16.897459999999999</v>
      </c>
      <c r="M5160">
        <v>0.99749180000000004</v>
      </c>
      <c r="N5160">
        <v>0</v>
      </c>
      <c r="O5160">
        <v>-6.9638909999999998E-2</v>
      </c>
      <c r="P5160">
        <v>0.95395969999999997</v>
      </c>
      <c r="Q5160">
        <v>9.1748880000000005E-2</v>
      </c>
      <c r="R5160">
        <v>-0.28555740000000002</v>
      </c>
      <c r="S5160">
        <v>2.8326419999999999</v>
      </c>
      <c r="T5160">
        <v>-0.3831155</v>
      </c>
      <c r="U5160">
        <v>-1.1667479999999999</v>
      </c>
      <c r="V5160">
        <v>0.21880630000000001</v>
      </c>
      <c r="W5160">
        <v>0.103241</v>
      </c>
      <c r="X5160">
        <v>0.97029129999999997</v>
      </c>
      <c r="Y5160">
        <v>0.31364370000000003</v>
      </c>
      <c r="Z5160">
        <v>-1.1319610000000001E-2</v>
      </c>
      <c r="AA5160">
        <v>0.94947329999999996</v>
      </c>
      <c r="AB5160">
        <v>23</v>
      </c>
      <c r="AC5160">
        <v>8.0889999999999898</v>
      </c>
      <c r="AD5160">
        <v>-1.108598208811</v>
      </c>
      <c r="AE5160">
        <v>-3.3674599999999901</v>
      </c>
      <c r="AF5160">
        <v>2.75187596799895</v>
      </c>
      <c r="AG5160">
        <v>-1.108598208811</v>
      </c>
      <c r="AH5160">
        <v>8.1730467908548192</v>
      </c>
      <c r="AI5160">
        <v>97.325178448350002</v>
      </c>
      <c r="AJ5160">
        <v>71.391550683766496</v>
      </c>
      <c r="AK5160">
        <v>8.6948550981216108</v>
      </c>
      <c r="AL5160">
        <v>84.074167832464497</v>
      </c>
      <c r="AM5160">
        <v>77.2920366113716</v>
      </c>
      <c r="AN5160">
        <v>1.0000000539281799</v>
      </c>
    </row>
    <row r="5161" spans="1:40" x14ac:dyDescent="0.25">
      <c r="A5161" t="str">
        <f>"20190312151637870"</f>
        <v>20190312151637870</v>
      </c>
      <c r="B5161" t="str">
        <f>"1552374997862869"</f>
        <v>1552374997862869</v>
      </c>
      <c r="C5161" t="s">
        <v>40</v>
      </c>
      <c r="D5161">
        <v>4.6028589999999996</v>
      </c>
      <c r="E5161">
        <v>0.53677390000000003</v>
      </c>
      <c r="F5161" t="s">
        <v>43</v>
      </c>
      <c r="G5161">
        <v>-321.12079999999997</v>
      </c>
      <c r="H5161" s="1">
        <v>-5.2608389999999997E-6</v>
      </c>
      <c r="I5161">
        <v>13.510289999999999</v>
      </c>
      <c r="J5161">
        <v>-329.20350000000002</v>
      </c>
      <c r="K5161">
        <v>1.108589</v>
      </c>
      <c r="L5161">
        <v>16.888579999999902</v>
      </c>
      <c r="M5161">
        <v>0.99741069999999998</v>
      </c>
      <c r="N5161">
        <v>0</v>
      </c>
      <c r="O5161">
        <v>-7.0798550000000002E-2</v>
      </c>
      <c r="P5161">
        <v>0.95368439999999999</v>
      </c>
      <c r="Q5161">
        <v>9.1765410000000006E-2</v>
      </c>
      <c r="R5161">
        <v>-0.28647030000000001</v>
      </c>
      <c r="S5161">
        <v>2.831207</v>
      </c>
      <c r="T5161">
        <v>-0.38315779999999999</v>
      </c>
      <c r="U5161">
        <v>-1.170685</v>
      </c>
      <c r="V5161">
        <v>0.21860589999999999</v>
      </c>
      <c r="W5161">
        <v>0.10322629999999999</v>
      </c>
      <c r="X5161">
        <v>0.97033800000000003</v>
      </c>
      <c r="Y5161">
        <v>0.31384459999999997</v>
      </c>
      <c r="Z5161">
        <v>-1.1187539999999999E-2</v>
      </c>
      <c r="AA5161">
        <v>0.94940849999999999</v>
      </c>
      <c r="AB5161">
        <v>23</v>
      </c>
      <c r="AC5161">
        <v>8.08270000000004</v>
      </c>
      <c r="AD5161">
        <v>-1.108594260839</v>
      </c>
      <c r="AE5161">
        <v>-3.37828999999999</v>
      </c>
      <c r="AF5161">
        <v>2.7534280698720801</v>
      </c>
      <c r="AG5161">
        <v>-1.108594260839</v>
      </c>
      <c r="AH5161">
        <v>8.1707626178771502</v>
      </c>
      <c r="AI5161">
        <v>97.326555338898501</v>
      </c>
      <c r="AJ5161">
        <v>71.376932480126598</v>
      </c>
      <c r="AK5161">
        <v>8.6931990158297499</v>
      </c>
      <c r="AL5161">
        <v>84.075014411060906</v>
      </c>
      <c r="AM5161">
        <v>77.303889346932905</v>
      </c>
      <c r="AN5161">
        <v>1.00000002138524</v>
      </c>
    </row>
    <row r="5162" spans="1:40" x14ac:dyDescent="0.25">
      <c r="A5162" t="str">
        <f>"20190312151637884"</f>
        <v>20190312151637884</v>
      </c>
      <c r="B5162" t="str">
        <f>"1552374997872630"</f>
        <v>1552374997872630</v>
      </c>
      <c r="C5162" t="s">
        <v>40</v>
      </c>
      <c r="D5162">
        <v>4.6127510000000003</v>
      </c>
      <c r="E5162">
        <v>0.5370357</v>
      </c>
      <c r="F5162" t="s">
        <v>43</v>
      </c>
      <c r="G5162">
        <v>-321.00150000000002</v>
      </c>
      <c r="H5162" s="1">
        <v>-5.3216650000000003E-6</v>
      </c>
      <c r="I5162">
        <v>13.48542</v>
      </c>
      <c r="J5162">
        <v>-329.07690000000002</v>
      </c>
      <c r="K5162">
        <v>1.108587</v>
      </c>
      <c r="L5162">
        <v>16.878079999999901</v>
      </c>
      <c r="M5162">
        <v>0.99731499999999995</v>
      </c>
      <c r="N5162">
        <v>0</v>
      </c>
      <c r="O5162">
        <v>-7.2142600000000001E-2</v>
      </c>
      <c r="P5162">
        <v>0.95338789999999995</v>
      </c>
      <c r="Q5162">
        <v>9.1977920000000005E-2</v>
      </c>
      <c r="R5162">
        <v>-0.28738819999999998</v>
      </c>
      <c r="S5162">
        <v>2.8298030000000001</v>
      </c>
      <c r="T5162">
        <v>-0.3824787</v>
      </c>
      <c r="U5162">
        <v>-1.1741330000000001</v>
      </c>
      <c r="V5162">
        <v>0.2182328</v>
      </c>
      <c r="W5162">
        <v>0.1033961</v>
      </c>
      <c r="X5162">
        <v>0.97040389999999999</v>
      </c>
      <c r="Y5162">
        <v>0.31373719999999999</v>
      </c>
      <c r="Z5162">
        <v>-1.099144E-2</v>
      </c>
      <c r="AA5162">
        <v>0.94944629999999997</v>
      </c>
      <c r="AB5162">
        <v>23</v>
      </c>
      <c r="AC5162">
        <v>8.0754000000000001</v>
      </c>
      <c r="AD5162">
        <v>-1.108592321665</v>
      </c>
      <c r="AE5162">
        <v>-3.39265999999999</v>
      </c>
      <c r="AF5162">
        <v>2.7570284592358298</v>
      </c>
      <c r="AG5162">
        <v>-1.108592321665</v>
      </c>
      <c r="AH5162">
        <v>8.1682856111809308</v>
      </c>
      <c r="AI5162">
        <v>97.327548481313997</v>
      </c>
      <c r="AJ5162">
        <v>71.348999910738101</v>
      </c>
      <c r="AK5162">
        <v>8.6920120045082996</v>
      </c>
      <c r="AL5162">
        <v>84.065233234383697</v>
      </c>
      <c r="AM5162">
        <v>77.325690413469999</v>
      </c>
      <c r="AN5162">
        <v>1.0000000188131299</v>
      </c>
    </row>
    <row r="5163" spans="1:40" x14ac:dyDescent="0.25">
      <c r="A5163" t="str">
        <f>"20190312151637894"</f>
        <v>20190312151637894</v>
      </c>
      <c r="B5163" t="str">
        <f>"1552374997883365"</f>
        <v>1552374997883365</v>
      </c>
      <c r="C5163" t="s">
        <v>40</v>
      </c>
      <c r="D5163">
        <v>4.5598179999999999</v>
      </c>
      <c r="E5163">
        <v>0.53707450000000001</v>
      </c>
      <c r="F5163" t="s">
        <v>43</v>
      </c>
      <c r="G5163">
        <v>-320.89179999999999</v>
      </c>
      <c r="H5163" s="1">
        <v>-5.3769070000000001E-6</v>
      </c>
      <c r="I5163">
        <v>13.46632</v>
      </c>
      <c r="J5163">
        <v>-328.96980000000002</v>
      </c>
      <c r="K5163">
        <v>1.108584</v>
      </c>
      <c r="L5163">
        <v>16.869109999999999</v>
      </c>
      <c r="M5163">
        <v>0.99723289999999998</v>
      </c>
      <c r="N5163">
        <v>0</v>
      </c>
      <c r="O5163">
        <v>-7.3278339999999997E-2</v>
      </c>
      <c r="P5163">
        <v>0.95316109999999998</v>
      </c>
      <c r="Q5163">
        <v>9.2046000000000003E-2</v>
      </c>
      <c r="R5163">
        <v>-0.28811779999999998</v>
      </c>
      <c r="S5163">
        <v>2.8282780000000001</v>
      </c>
      <c r="T5163">
        <v>-0.38306030000000002</v>
      </c>
      <c r="U5163">
        <v>-1.1788940000000001</v>
      </c>
      <c r="V5163">
        <v>0.2178696</v>
      </c>
      <c r="W5163">
        <v>0.103426</v>
      </c>
      <c r="X5163">
        <v>0.97048230000000002</v>
      </c>
      <c r="Y5163">
        <v>0.31419970000000003</v>
      </c>
      <c r="Z5163">
        <v>-1.089444E-2</v>
      </c>
      <c r="AA5163">
        <v>0.94929439999999998</v>
      </c>
      <c r="AB5163">
        <v>23</v>
      </c>
      <c r="AC5163">
        <v>8.0780000000000296</v>
      </c>
      <c r="AD5163">
        <v>-1.1085893769069901</v>
      </c>
      <c r="AE5163">
        <v>-3.4027899999999902</v>
      </c>
      <c r="AF5163">
        <v>2.7575435800378401</v>
      </c>
      <c r="AG5163">
        <v>-1.1085893769069901</v>
      </c>
      <c r="AH5163">
        <v>8.1748893991328195</v>
      </c>
      <c r="AI5163">
        <v>97.322134167094205</v>
      </c>
      <c r="AJ5163">
        <v>71.359784008545205</v>
      </c>
      <c r="AK5163">
        <v>8.6983810959541898</v>
      </c>
      <c r="AL5163">
        <v>84.063510728540507</v>
      </c>
      <c r="AM5163">
        <v>77.347093532015904</v>
      </c>
      <c r="AN5163">
        <v>0.99999999734672496</v>
      </c>
    </row>
    <row r="5164" spans="1:40" x14ac:dyDescent="0.25">
      <c r="A5164" t="str">
        <f>"20190312151637904"</f>
        <v>20190312151637904</v>
      </c>
      <c r="B5164" t="str">
        <f>"1552374997893126"</f>
        <v>1552374997893126</v>
      </c>
      <c r="C5164" t="s">
        <v>40</v>
      </c>
      <c r="D5164">
        <v>4.6144089999999904</v>
      </c>
      <c r="E5164">
        <v>0.53744559999999997</v>
      </c>
      <c r="F5164" t="s">
        <v>43</v>
      </c>
      <c r="G5164">
        <v>-320.78660000000002</v>
      </c>
      <c r="H5164" s="1">
        <v>-5.4294729999999997E-6</v>
      </c>
      <c r="I5164">
        <v>13.45012</v>
      </c>
      <c r="J5164">
        <v>-328.85750000000002</v>
      </c>
      <c r="K5164">
        <v>1.1085780000000001</v>
      </c>
      <c r="L5164">
        <v>16.859529999999999</v>
      </c>
      <c r="M5164">
        <v>0.99714539999999996</v>
      </c>
      <c r="N5164">
        <v>0</v>
      </c>
      <c r="O5164">
        <v>-7.4465610000000002E-2</v>
      </c>
      <c r="P5164">
        <v>0.95291409999999999</v>
      </c>
      <c r="Q5164">
        <v>9.2144889999999993E-2</v>
      </c>
      <c r="R5164">
        <v>-0.28890120000000002</v>
      </c>
      <c r="S5164">
        <v>2.8273320000000002</v>
      </c>
      <c r="T5164">
        <v>-0.38302160000000002</v>
      </c>
      <c r="U5164">
        <v>-1.1812739999999999</v>
      </c>
      <c r="V5164">
        <v>0.21751139999999999</v>
      </c>
      <c r="W5164">
        <v>0.10347870000000001</v>
      </c>
      <c r="X5164">
        <v>0.970557</v>
      </c>
      <c r="Y5164">
        <v>0.31387540000000003</v>
      </c>
      <c r="Z5164">
        <v>-1.072176E-2</v>
      </c>
      <c r="AA5164">
        <v>0.94940360000000001</v>
      </c>
      <c r="AB5164">
        <v>23</v>
      </c>
      <c r="AC5164">
        <v>8.0708999999999893</v>
      </c>
      <c r="AD5164">
        <v>-1.1085834294729999</v>
      </c>
      <c r="AE5164">
        <v>-3.4094099999999901</v>
      </c>
      <c r="AF5164">
        <v>2.7547880161240998</v>
      </c>
      <c r="AG5164">
        <v>-1.1085834294729999</v>
      </c>
      <c r="AH5164">
        <v>8.1715679166097299</v>
      </c>
      <c r="AI5164">
        <v>97.325478201464804</v>
      </c>
      <c r="AJ5164">
        <v>71.370078486420695</v>
      </c>
      <c r="AK5164">
        <v>8.6943853405314702</v>
      </c>
      <c r="AL5164">
        <v>84.060474791396004</v>
      </c>
      <c r="AM5164">
        <v>77.368169119233997</v>
      </c>
      <c r="AN5164">
        <v>0.99999997036632404</v>
      </c>
    </row>
    <row r="5165" spans="1:40" x14ac:dyDescent="0.25">
      <c r="A5165" t="str">
        <f>"20190312151637916"</f>
        <v>20190312151637916</v>
      </c>
      <c r="B5165" t="str">
        <f>"1552374997912645"</f>
        <v>1552374997912645</v>
      </c>
      <c r="C5165" t="s">
        <v>40</v>
      </c>
      <c r="D5165">
        <v>4.5460099999999999</v>
      </c>
      <c r="E5165">
        <v>0.53781759999999901</v>
      </c>
      <c r="F5165" t="s">
        <v>43</v>
      </c>
      <c r="G5165">
        <v>-320.67880000000002</v>
      </c>
      <c r="H5165" s="1">
        <v>-5.4847780000000002E-6</v>
      </c>
      <c r="I5165">
        <v>13.425789999999999</v>
      </c>
      <c r="J5165">
        <v>-328.74270000000001</v>
      </c>
      <c r="K5165">
        <v>1.108573</v>
      </c>
      <c r="L5165">
        <v>16.849609999999998</v>
      </c>
      <c r="M5165">
        <v>0.99705489999999997</v>
      </c>
      <c r="N5165">
        <v>0</v>
      </c>
      <c r="O5165">
        <v>-7.5677049999999996E-2</v>
      </c>
      <c r="P5165">
        <v>0.95265169999999999</v>
      </c>
      <c r="Q5165">
        <v>9.2265109999999997E-2</v>
      </c>
      <c r="R5165">
        <v>-0.28972730000000002</v>
      </c>
      <c r="S5165">
        <v>2.825653</v>
      </c>
      <c r="T5165">
        <v>-0.38300000000000001</v>
      </c>
      <c r="U5165">
        <v>-1.18631</v>
      </c>
      <c r="V5165">
        <v>0.21717339999999999</v>
      </c>
      <c r="W5165">
        <v>0.1035488</v>
      </c>
      <c r="X5165">
        <v>0.97062519999999997</v>
      </c>
      <c r="Y5165">
        <v>0.31436789999999998</v>
      </c>
      <c r="Z5165">
        <v>-1.0600139999999999E-2</v>
      </c>
      <c r="AA5165">
        <v>0.94924209999999998</v>
      </c>
      <c r="AB5165">
        <v>23</v>
      </c>
      <c r="AC5165">
        <v>8.0638999999999896</v>
      </c>
      <c r="AD5165">
        <v>-1.108578484778</v>
      </c>
      <c r="AE5165">
        <v>-3.4238200000000001</v>
      </c>
      <c r="AF5165">
        <v>2.7595141442064399</v>
      </c>
      <c r="AG5165">
        <v>-1.108578484778</v>
      </c>
      <c r="AH5165">
        <v>8.1690890397842892</v>
      </c>
      <c r="AI5165">
        <v>97.326149743648998</v>
      </c>
      <c r="AJ5165">
        <v>71.335057628564698</v>
      </c>
      <c r="AK5165">
        <v>8.6935539515730795</v>
      </c>
      <c r="AL5165">
        <v>84.056436598167593</v>
      </c>
      <c r="AM5165">
        <v>77.388027629512607</v>
      </c>
      <c r="AN5165">
        <v>0.99999995926201901</v>
      </c>
    </row>
    <row r="5166" spans="1:40" x14ac:dyDescent="0.25">
      <c r="A5166" t="str">
        <f>"20190312151637927"</f>
        <v>20190312151637927</v>
      </c>
      <c r="B5166" t="str">
        <f>"1552374997923382"</f>
        <v>1552374997923382</v>
      </c>
      <c r="C5166" t="s">
        <v>40</v>
      </c>
      <c r="D5166">
        <v>4.5833899999999996</v>
      </c>
      <c r="E5166">
        <v>0.53806880000000001</v>
      </c>
      <c r="F5166" t="s">
        <v>43</v>
      </c>
      <c r="G5166">
        <v>-320.58690000000001</v>
      </c>
      <c r="H5166" s="1">
        <v>-5.5312410000000002E-6</v>
      </c>
      <c r="I5166">
        <v>13.408519999999999</v>
      </c>
      <c r="J5166">
        <v>-328.63510000000002</v>
      </c>
      <c r="K5166">
        <v>1.1085689999999999</v>
      </c>
      <c r="L5166">
        <v>16.84018</v>
      </c>
      <c r="M5166">
        <v>0.99696890000000005</v>
      </c>
      <c r="N5166">
        <v>0</v>
      </c>
      <c r="O5166">
        <v>-7.681019E-2</v>
      </c>
      <c r="P5166">
        <v>0.95250190000000001</v>
      </c>
      <c r="Q5166">
        <v>9.2149190000000006E-2</v>
      </c>
      <c r="R5166">
        <v>-0.29025640000000003</v>
      </c>
      <c r="S5166">
        <v>2.8239139999999998</v>
      </c>
      <c r="T5166">
        <v>-0.38384190000000001</v>
      </c>
      <c r="U5166">
        <v>-1.1914670000000001</v>
      </c>
      <c r="V5166">
        <v>0.2166061</v>
      </c>
      <c r="W5166">
        <v>0.1033843</v>
      </c>
      <c r="X5166">
        <v>0.97076949999999995</v>
      </c>
      <c r="Y5166">
        <v>0.31496679999999999</v>
      </c>
      <c r="Z5166">
        <v>-1.051903E-2</v>
      </c>
      <c r="AA5166">
        <v>0.94904440000000001</v>
      </c>
      <c r="AB5166">
        <v>23</v>
      </c>
      <c r="AC5166">
        <v>8.0481999999999996</v>
      </c>
      <c r="AD5166">
        <v>-1.108574531241</v>
      </c>
      <c r="AE5166">
        <v>-3.4316599999999902</v>
      </c>
      <c r="AF5166">
        <v>2.7589961064197501</v>
      </c>
      <c r="AG5166">
        <v>-1.108574531241</v>
      </c>
      <c r="AH5166">
        <v>8.1570721157250698</v>
      </c>
      <c r="AI5166">
        <v>97.335843518364797</v>
      </c>
      <c r="AJ5166">
        <v>71.312734087939106</v>
      </c>
      <c r="AK5166">
        <v>8.68209781721532</v>
      </c>
      <c r="AL5166">
        <v>84.065912671205297</v>
      </c>
      <c r="AM5166">
        <v>77.421733104603902</v>
      </c>
      <c r="AN5166">
        <v>0.99999996908697397</v>
      </c>
    </row>
    <row r="5167" spans="1:40" x14ac:dyDescent="0.25">
      <c r="A5167" t="str">
        <f>"20190312151637938"</f>
        <v>20190312151637938</v>
      </c>
      <c r="B5167" t="str">
        <f>"1552374997933141"</f>
        <v>1552374997933141</v>
      </c>
      <c r="C5167" t="s">
        <v>40</v>
      </c>
      <c r="D5167">
        <v>4.560073</v>
      </c>
      <c r="E5167">
        <v>0.5379043</v>
      </c>
      <c r="F5167" t="s">
        <v>43</v>
      </c>
      <c r="G5167">
        <v>-320.4864</v>
      </c>
      <c r="H5167" s="1">
        <v>-5.5821149999999997E-6</v>
      </c>
      <c r="I5167">
        <v>13.389720000000001</v>
      </c>
      <c r="J5167">
        <v>-328.51339999999999</v>
      </c>
      <c r="K5167">
        <v>1.1085609999999999</v>
      </c>
      <c r="L5167">
        <v>16.82938</v>
      </c>
      <c r="M5167">
        <v>0.99687049999999999</v>
      </c>
      <c r="N5167">
        <v>0</v>
      </c>
      <c r="O5167">
        <v>-7.8088550000000007E-2</v>
      </c>
      <c r="P5167">
        <v>0.9522775</v>
      </c>
      <c r="Q5167">
        <v>9.2035259999999994E-2</v>
      </c>
      <c r="R5167">
        <v>-0.29102749999999999</v>
      </c>
      <c r="S5167">
        <v>2.82254</v>
      </c>
      <c r="T5167">
        <v>-0.38398490000000002</v>
      </c>
      <c r="U5167">
        <v>-1.19516</v>
      </c>
      <c r="V5167">
        <v>0.21614420000000001</v>
      </c>
      <c r="W5167">
        <v>0.1032116</v>
      </c>
      <c r="X5167">
        <v>0.97089080000000005</v>
      </c>
      <c r="Y5167">
        <v>0.31497760000000002</v>
      </c>
      <c r="Z5167">
        <v>-1.0361469999999999E-2</v>
      </c>
      <c r="AA5167">
        <v>0.94904259999999996</v>
      </c>
      <c r="AB5167">
        <v>23</v>
      </c>
      <c r="AC5167">
        <v>8.0269999999999797</v>
      </c>
      <c r="AD5167">
        <v>-1.1085665821149999</v>
      </c>
      <c r="AE5167">
        <v>-3.4396599999999999</v>
      </c>
      <c r="AF5167">
        <v>2.7578508347669599</v>
      </c>
      <c r="AG5167">
        <v>-1.1085665821149999</v>
      </c>
      <c r="AH5167">
        <v>8.1399365046960401</v>
      </c>
      <c r="AI5167">
        <v>97.349804030360801</v>
      </c>
      <c r="AJ5167">
        <v>71.283365002689393</v>
      </c>
      <c r="AK5167">
        <v>8.6656348523515696</v>
      </c>
      <c r="AL5167">
        <v>84.075860742896097</v>
      </c>
      <c r="AM5167">
        <v>77.449223185473102</v>
      </c>
      <c r="AN5167">
        <v>0.99999994754641797</v>
      </c>
    </row>
    <row r="5168" spans="1:40" x14ac:dyDescent="0.25">
      <c r="A5168" t="str">
        <f>"20190312151637950"</f>
        <v>20190312151637950</v>
      </c>
      <c r="B5168" t="str">
        <f>"1552374997942901"</f>
        <v>1552374997942901</v>
      </c>
      <c r="C5168" t="s">
        <v>40</v>
      </c>
      <c r="D5168">
        <v>4.5768430000000002</v>
      </c>
      <c r="E5168">
        <v>0.53759460000000003</v>
      </c>
      <c r="F5168" t="s">
        <v>43</v>
      </c>
      <c r="G5168">
        <v>-320.34840000000003</v>
      </c>
      <c r="H5168" s="1">
        <v>-5.6510119999999899E-6</v>
      </c>
      <c r="I5168">
        <v>13.36895</v>
      </c>
      <c r="J5168">
        <v>-328.39940000000001</v>
      </c>
      <c r="K5168">
        <v>1.108555</v>
      </c>
      <c r="L5168">
        <v>16.819179999999999</v>
      </c>
      <c r="M5168">
        <v>0.99677709999999997</v>
      </c>
      <c r="N5168">
        <v>0</v>
      </c>
      <c r="O5168">
        <v>-7.9282649999999996E-2</v>
      </c>
      <c r="P5168">
        <v>0.95200240000000003</v>
      </c>
      <c r="Q5168">
        <v>9.2238879999999995E-2</v>
      </c>
      <c r="R5168">
        <v>-0.2918618</v>
      </c>
      <c r="S5168">
        <v>2.8218990000000002</v>
      </c>
      <c r="T5168">
        <v>-0.383131</v>
      </c>
      <c r="U5168">
        <v>-1.195953</v>
      </c>
      <c r="V5168">
        <v>0.21583260000000001</v>
      </c>
      <c r="W5168">
        <v>0.1033558</v>
      </c>
      <c r="X5168">
        <v>0.97094480000000005</v>
      </c>
      <c r="Y5168">
        <v>0.31416820000000001</v>
      </c>
      <c r="Z5168">
        <v>-1.0134560000000001E-2</v>
      </c>
      <c r="AA5168">
        <v>0.94931319999999997</v>
      </c>
      <c r="AB5168">
        <v>23</v>
      </c>
      <c r="AC5168">
        <v>8.0509999999999806</v>
      </c>
      <c r="AD5168">
        <v>-1.1085606510120001</v>
      </c>
      <c r="AE5168">
        <v>-3.4502299999999901</v>
      </c>
      <c r="AF5168">
        <v>2.7568572670585199</v>
      </c>
      <c r="AG5168">
        <v>-1.1085606510120001</v>
      </c>
      <c r="AH5168">
        <v>8.1683797864952492</v>
      </c>
      <c r="AI5168">
        <v>97.327312429712805</v>
      </c>
      <c r="AJ5168">
        <v>71.350278070134493</v>
      </c>
      <c r="AK5168">
        <v>8.6920421676571298</v>
      </c>
      <c r="AL5168">
        <v>84.067554393033802</v>
      </c>
      <c r="AM5168">
        <v>77.467419711097307</v>
      </c>
      <c r="AN5168">
        <v>0.99999996863171903</v>
      </c>
    </row>
    <row r="5169" spans="1:40" x14ac:dyDescent="0.25">
      <c r="A5169" t="str">
        <f>"20190312151637963"</f>
        <v>20190312151637963</v>
      </c>
      <c r="B5169" t="str">
        <f>"1552374997952661"</f>
        <v>1552374997952661</v>
      </c>
      <c r="C5169" t="s">
        <v>40</v>
      </c>
      <c r="D5169">
        <v>4.5535750000000004</v>
      </c>
      <c r="E5169">
        <v>0.53729729999999998</v>
      </c>
      <c r="F5169" t="s">
        <v>43</v>
      </c>
      <c r="G5169">
        <v>-320.1986</v>
      </c>
      <c r="H5169" s="1">
        <v>-5.7263910000000003E-6</v>
      </c>
      <c r="I5169">
        <v>13.343249999999999</v>
      </c>
      <c r="J5169">
        <v>-328.27109999999999</v>
      </c>
      <c r="K5169">
        <v>1.10854599999999</v>
      </c>
      <c r="L5169">
        <v>16.807459999999999</v>
      </c>
      <c r="M5169">
        <v>0.99667050000000001</v>
      </c>
      <c r="N5169">
        <v>0</v>
      </c>
      <c r="O5169">
        <v>-8.0622639999999995E-2</v>
      </c>
      <c r="P5169">
        <v>0.95175359999999998</v>
      </c>
      <c r="Q5169">
        <v>9.2220410000000003E-2</v>
      </c>
      <c r="R5169">
        <v>-0.29267870000000001</v>
      </c>
      <c r="S5169">
        <v>2.821564</v>
      </c>
      <c r="T5169">
        <v>-0.38140930000000001</v>
      </c>
      <c r="U5169">
        <v>-1.1959229999999901</v>
      </c>
      <c r="V5169">
        <v>0.21535799999999999</v>
      </c>
      <c r="W5169">
        <v>0.10326150000000001</v>
      </c>
      <c r="X5169">
        <v>0.97106020000000004</v>
      </c>
      <c r="Y5169">
        <v>0.31295990000000001</v>
      </c>
      <c r="Z5169">
        <v>-9.8413560000000008E-3</v>
      </c>
      <c r="AA5169">
        <v>0.94971539999999999</v>
      </c>
      <c r="AB5169">
        <v>23</v>
      </c>
      <c r="AC5169">
        <v>8.0724999999999891</v>
      </c>
      <c r="AD5169">
        <v>-1.1085517263910001</v>
      </c>
      <c r="AE5169">
        <v>-3.46421</v>
      </c>
      <c r="AF5169">
        <v>2.7581329570529598</v>
      </c>
      <c r="AG5169">
        <v>-1.1085517263910001</v>
      </c>
      <c r="AH5169">
        <v>8.1950243778855398</v>
      </c>
      <c r="AI5169">
        <v>97.305747879212205</v>
      </c>
      <c r="AJ5169">
        <v>71.398727934807596</v>
      </c>
      <c r="AK5169">
        <v>8.7174886804058698</v>
      </c>
      <c r="AL5169">
        <v>84.072986391700596</v>
      </c>
      <c r="AM5169">
        <v>77.495549496313103</v>
      </c>
      <c r="AN5169">
        <v>0.99999995878514403</v>
      </c>
    </row>
    <row r="5170" spans="1:40" x14ac:dyDescent="0.25">
      <c r="A5170" t="str">
        <f>"20190312151637977"</f>
        <v>20190312151637977</v>
      </c>
      <c r="B5170" t="str">
        <f>"1552374997973159"</f>
        <v>1552374997973159</v>
      </c>
      <c r="C5170" t="s">
        <v>40</v>
      </c>
      <c r="D5170">
        <v>4.5415089999999996</v>
      </c>
      <c r="E5170">
        <v>0.53701519999999903</v>
      </c>
      <c r="F5170" t="s">
        <v>43</v>
      </c>
      <c r="G5170">
        <v>-320.04300000000001</v>
      </c>
      <c r="H5170" s="1">
        <v>-5.8040239999999996E-6</v>
      </c>
      <c r="I5170">
        <v>13.32029</v>
      </c>
      <c r="J5170">
        <v>-328.12990000000002</v>
      </c>
      <c r="K5170">
        <v>1.1085339999999999</v>
      </c>
      <c r="L5170">
        <v>16.794429999999998</v>
      </c>
      <c r="M5170">
        <v>0.99655179999999999</v>
      </c>
      <c r="N5170">
        <v>0</v>
      </c>
      <c r="O5170">
        <v>-8.209234E-2</v>
      </c>
      <c r="P5170">
        <v>0.95139490000000004</v>
      </c>
      <c r="Q5170">
        <v>9.2173409999999997E-2</v>
      </c>
      <c r="R5170">
        <v>-0.29385640000000002</v>
      </c>
      <c r="S5170">
        <v>2.8212280000000001</v>
      </c>
      <c r="T5170">
        <v>-0.38009920000000003</v>
      </c>
      <c r="U5170">
        <v>-1.1956789999999999</v>
      </c>
      <c r="V5170">
        <v>0.2151257</v>
      </c>
      <c r="W5170">
        <v>0.1031234</v>
      </c>
      <c r="X5170">
        <v>0.97112639999999995</v>
      </c>
      <c r="Y5170">
        <v>0.31156450000000002</v>
      </c>
      <c r="Z5170">
        <v>-9.5322069999999991E-3</v>
      </c>
      <c r="AA5170">
        <v>0.95017720000000006</v>
      </c>
      <c r="AB5170">
        <v>23</v>
      </c>
      <c r="AC5170">
        <v>8.0869000000000106</v>
      </c>
      <c r="AD5170">
        <v>-1.108539804024</v>
      </c>
      <c r="AE5170">
        <v>-3.47413999999999</v>
      </c>
      <c r="AF5170">
        <v>2.7547923398091001</v>
      </c>
      <c r="AG5170">
        <v>-1.108539804024</v>
      </c>
      <c r="AH5170">
        <v>8.2145155405841592</v>
      </c>
      <c r="AI5170">
        <v>97.291145968059794</v>
      </c>
      <c r="AJ5170">
        <v>71.460780288682002</v>
      </c>
      <c r="AK5170">
        <v>8.7347585484130601</v>
      </c>
      <c r="AL5170">
        <v>84.080941614588099</v>
      </c>
      <c r="AM5170">
        <v>77.509438875829105</v>
      </c>
      <c r="AN5170">
        <v>0.99999999360250402</v>
      </c>
    </row>
    <row r="5171" spans="1:40" x14ac:dyDescent="0.25">
      <c r="A5171" t="str">
        <f>"20190312151637989"</f>
        <v>20190312151637989</v>
      </c>
      <c r="B5171" t="str">
        <f>"1552374997982918"</f>
        <v>1552374997982918</v>
      </c>
      <c r="C5171" t="s">
        <v>40</v>
      </c>
      <c r="D5171">
        <v>4.5386559999999996</v>
      </c>
      <c r="E5171">
        <v>0.53188639999999998</v>
      </c>
      <c r="F5171" t="s">
        <v>42</v>
      </c>
      <c r="G5171">
        <v>-319.52879999999999</v>
      </c>
      <c r="H5171">
        <v>-0.05</v>
      </c>
      <c r="I5171">
        <v>13.14514</v>
      </c>
      <c r="J5171">
        <v>-327.99450000000002</v>
      </c>
      <c r="K5171">
        <v>1.1085229999999999</v>
      </c>
      <c r="L5171">
        <v>16.781739999999999</v>
      </c>
      <c r="M5171">
        <v>0.99643649999999995</v>
      </c>
      <c r="N5171">
        <v>0</v>
      </c>
      <c r="O5171">
        <v>-8.3496340000000002E-2</v>
      </c>
      <c r="P5171">
        <v>0.95112010000000002</v>
      </c>
      <c r="Q5171">
        <v>9.2120099999999996E-2</v>
      </c>
      <c r="R5171">
        <v>-0.29476140000000001</v>
      </c>
      <c r="S5171">
        <v>2.820465</v>
      </c>
      <c r="T5171">
        <v>-0.37990879999999999</v>
      </c>
      <c r="U5171">
        <v>-1.1966859999999999</v>
      </c>
      <c r="V5171">
        <v>0.2146788</v>
      </c>
      <c r="W5171">
        <v>0.10297729999999999</v>
      </c>
      <c r="X5171">
        <v>0.97124080000000002</v>
      </c>
      <c r="Y5171">
        <v>0.3106256</v>
      </c>
      <c r="Z5171">
        <v>-9.2902560000000002E-3</v>
      </c>
      <c r="AA5171">
        <v>0.95048699999999997</v>
      </c>
      <c r="AB5171">
        <v>23</v>
      </c>
      <c r="AC5171">
        <v>8.4657000000000195</v>
      </c>
      <c r="AD5171">
        <v>-1.158523</v>
      </c>
      <c r="AE5171">
        <v>-3.6366000000000001</v>
      </c>
      <c r="AF5171">
        <v>2.8715935799751802</v>
      </c>
      <c r="AG5171">
        <v>-1.158523</v>
      </c>
      <c r="AH5171">
        <v>8.6037712416970091</v>
      </c>
      <c r="AI5171">
        <v>97.278785400907395</v>
      </c>
      <c r="AJ5171">
        <v>71.543059063608993</v>
      </c>
      <c r="AK5171">
        <v>9.1440201667284295</v>
      </c>
      <c r="AL5171">
        <v>84.089357379182204</v>
      </c>
      <c r="AM5171">
        <v>77.535997141492999</v>
      </c>
      <c r="AN5171">
        <v>1.0000000015346799</v>
      </c>
    </row>
    <row r="5172" spans="1:40" x14ac:dyDescent="0.25">
      <c r="A5172" t="str">
        <f>"20190312151638008"</f>
        <v>20190312151638008</v>
      </c>
      <c r="B5172" t="str">
        <f>"1552374998003414"</f>
        <v>1552374998003414</v>
      </c>
      <c r="C5172" t="s">
        <v>40</v>
      </c>
      <c r="D5172">
        <v>4.5087599999999997</v>
      </c>
      <c r="E5172">
        <v>0.53236859999999997</v>
      </c>
      <c r="F5172" t="s">
        <v>42</v>
      </c>
      <c r="G5172">
        <v>-319.01620000000003</v>
      </c>
      <c r="H5172">
        <v>-0.05</v>
      </c>
      <c r="I5172">
        <v>13.103070000000001</v>
      </c>
      <c r="J5172">
        <v>-327.8141</v>
      </c>
      <c r="K5172">
        <v>1.108501</v>
      </c>
      <c r="L5172">
        <v>16.764500000000002</v>
      </c>
      <c r="M5172">
        <v>0.99628030000000001</v>
      </c>
      <c r="N5172">
        <v>0</v>
      </c>
      <c r="O5172">
        <v>-8.5358550000000005E-2</v>
      </c>
      <c r="P5172">
        <v>0.95075240000000005</v>
      </c>
      <c r="Q5172">
        <v>9.1985639999999994E-2</v>
      </c>
      <c r="R5172">
        <v>-0.29598770000000002</v>
      </c>
      <c r="S5172">
        <v>2.8301699999999999</v>
      </c>
      <c r="T5172">
        <v>-0.36519649999999998</v>
      </c>
      <c r="U5172">
        <v>-1.1596070000000001</v>
      </c>
      <c r="V5172">
        <v>0.21411179999999999</v>
      </c>
      <c r="W5172">
        <v>0.102716</v>
      </c>
      <c r="X5172">
        <v>0.97139359999999997</v>
      </c>
      <c r="Y5172">
        <v>0.29727140000000002</v>
      </c>
      <c r="Z5172">
        <v>-7.8723600000000001E-3</v>
      </c>
      <c r="AA5172">
        <v>0.95476059999999996</v>
      </c>
      <c r="AB5172">
        <v>23</v>
      </c>
      <c r="AC5172">
        <v>8.7978999999999701</v>
      </c>
      <c r="AD5172">
        <v>-1.158501</v>
      </c>
      <c r="AE5172">
        <v>-3.6614300000000002</v>
      </c>
      <c r="AF5172">
        <v>2.8548431324846</v>
      </c>
      <c r="AG5172">
        <v>-1.158501</v>
      </c>
      <c r="AH5172">
        <v>8.9461216460669295</v>
      </c>
      <c r="AI5172">
        <v>97.0329443389885</v>
      </c>
      <c r="AJ5172">
        <v>72.301328031963493</v>
      </c>
      <c r="AK5172">
        <v>9.4617834674189591</v>
      </c>
      <c r="AL5172">
        <v>84.1044084689225</v>
      </c>
      <c r="AM5172">
        <v>77.569786432714807</v>
      </c>
      <c r="AN5172">
        <v>0.99999998283809899</v>
      </c>
    </row>
    <row r="5173" spans="1:40" x14ac:dyDescent="0.25">
      <c r="A5173" t="str">
        <f>"20190312151638021"</f>
        <v>20190312151638021</v>
      </c>
      <c r="B5173" t="str">
        <f>"1552374998013175"</f>
        <v>1552374998013175</v>
      </c>
      <c r="C5173" t="s">
        <v>40</v>
      </c>
      <c r="D5173">
        <v>4.5237660000000002</v>
      </c>
      <c r="E5173">
        <v>0.53257480000000001</v>
      </c>
      <c r="F5173" t="s">
        <v>42</v>
      </c>
      <c r="G5173">
        <v>-318.88909999999998</v>
      </c>
      <c r="H5173">
        <v>-0.05</v>
      </c>
      <c r="I5173">
        <v>13.08028</v>
      </c>
      <c r="J5173">
        <v>-327.68459999999999</v>
      </c>
      <c r="K5173">
        <v>1.10849</v>
      </c>
      <c r="L5173">
        <v>16.751919999999998</v>
      </c>
      <c r="M5173">
        <v>0.99616629999999995</v>
      </c>
      <c r="N5173">
        <v>0</v>
      </c>
      <c r="O5173">
        <v>-8.6691210000000005E-2</v>
      </c>
      <c r="P5173">
        <v>0.95045950000000001</v>
      </c>
      <c r="Q5173">
        <v>9.1955739999999994E-2</v>
      </c>
      <c r="R5173">
        <v>-0.29693619999999998</v>
      </c>
      <c r="S5173">
        <v>2.8275450000000002</v>
      </c>
      <c r="T5173">
        <v>-0.36702750000000001</v>
      </c>
      <c r="U5173">
        <v>-1.167206</v>
      </c>
      <c r="V5173">
        <v>0.21377950000000001</v>
      </c>
      <c r="W5173">
        <v>0.10259310000000001</v>
      </c>
      <c r="X5173">
        <v>0.9714798</v>
      </c>
      <c r="Y5173">
        <v>0.29848530000000001</v>
      </c>
      <c r="Z5173">
        <v>-7.8264349999999996E-3</v>
      </c>
      <c r="AA5173">
        <v>0.95438210000000001</v>
      </c>
      <c r="AB5173">
        <v>23</v>
      </c>
      <c r="AC5173">
        <v>8.7955000000000005</v>
      </c>
      <c r="AD5173">
        <v>-1.15849</v>
      </c>
      <c r="AE5173">
        <v>-3.67164</v>
      </c>
      <c r="AF5173">
        <v>2.8531182561517099</v>
      </c>
      <c r="AG5173">
        <v>-1.15849</v>
      </c>
      <c r="AH5173">
        <v>8.9484977919240904</v>
      </c>
      <c r="AI5173">
        <v>97.031588679732295</v>
      </c>
      <c r="AJ5173">
        <v>72.315758895721402</v>
      </c>
      <c r="AK5173">
        <v>9.46350863029968</v>
      </c>
      <c r="AL5173">
        <v>84.111487680765507</v>
      </c>
      <c r="AM5173">
        <v>77.589546883235798</v>
      </c>
      <c r="AN5173">
        <v>1.00000001029795</v>
      </c>
    </row>
    <row r="5174" spans="1:40" x14ac:dyDescent="0.25">
      <c r="A5174" t="str">
        <f>"20190312151638035"</f>
        <v>20190312151638035</v>
      </c>
      <c r="B5174" t="str">
        <f>"1552374998022934"</f>
        <v>1552374998022934</v>
      </c>
      <c r="C5174" t="s">
        <v>40</v>
      </c>
      <c r="D5174">
        <v>4.5047940000000004</v>
      </c>
      <c r="E5174">
        <v>0.53281529999999999</v>
      </c>
      <c r="F5174" t="s">
        <v>42</v>
      </c>
      <c r="G5174">
        <v>-318.75810000000001</v>
      </c>
      <c r="H5174">
        <v>-0.05</v>
      </c>
      <c r="I5174">
        <v>13.05054</v>
      </c>
      <c r="J5174">
        <v>-327.53379999999999</v>
      </c>
      <c r="K5174">
        <v>1.1084769999999999</v>
      </c>
      <c r="L5174">
        <v>16.737089999999998</v>
      </c>
      <c r="M5174">
        <v>0.99603169999999996</v>
      </c>
      <c r="N5174">
        <v>0</v>
      </c>
      <c r="O5174">
        <v>-8.8241089999999994E-2</v>
      </c>
      <c r="P5174">
        <v>0.95004659999999996</v>
      </c>
      <c r="Q5174">
        <v>9.1814129999999994E-2</v>
      </c>
      <c r="R5174">
        <v>-0.29829899999999998</v>
      </c>
      <c r="S5174">
        <v>2.825806</v>
      </c>
      <c r="T5174">
        <v>-0.3667359</v>
      </c>
      <c r="U5174">
        <v>-1.1717219999999999</v>
      </c>
      <c r="V5174">
        <v>0.21365880000000001</v>
      </c>
      <c r="W5174">
        <v>0.10234169999999999</v>
      </c>
      <c r="X5174">
        <v>0.97153290000000003</v>
      </c>
      <c r="Y5174">
        <v>0.29852339999999999</v>
      </c>
      <c r="Z5174">
        <v>-7.6347180000000004E-3</v>
      </c>
      <c r="AA5174">
        <v>0.95437179999999999</v>
      </c>
      <c r="AB5174">
        <v>23</v>
      </c>
      <c r="AC5174">
        <v>8.7756999999999703</v>
      </c>
      <c r="AD5174">
        <v>-1.158477</v>
      </c>
      <c r="AE5174">
        <v>-3.6865499999999898</v>
      </c>
      <c r="AF5174">
        <v>2.8554416640538198</v>
      </c>
      <c r="AG5174">
        <v>-1.158477</v>
      </c>
      <c r="AH5174">
        <v>8.9344478451550202</v>
      </c>
      <c r="AI5174">
        <v>97.040919363557904</v>
      </c>
      <c r="AJ5174">
        <v>72.2761660344799</v>
      </c>
      <c r="AK5174">
        <v>9.4509245237774806</v>
      </c>
      <c r="AL5174">
        <v>84.125968240526504</v>
      </c>
      <c r="AM5174">
        <v>77.5969938431423</v>
      </c>
      <c r="AN5174">
        <v>1.0000000410793599</v>
      </c>
    </row>
    <row r="5175" spans="1:40" x14ac:dyDescent="0.25">
      <c r="A5175" t="str">
        <f>"20190312151638051"</f>
        <v>20190312151638051</v>
      </c>
      <c r="B5175" t="str">
        <f>"1552374998042961"</f>
        <v>1552374998042961</v>
      </c>
      <c r="C5175" t="s">
        <v>40</v>
      </c>
      <c r="D5175">
        <v>4.4629430000000001</v>
      </c>
      <c r="E5175">
        <v>0.53324169999999904</v>
      </c>
      <c r="F5175" t="s">
        <v>42</v>
      </c>
      <c r="G5175">
        <v>-318.58640000000003</v>
      </c>
      <c r="H5175">
        <v>-0.05</v>
      </c>
      <c r="I5175">
        <v>13.004960000000001</v>
      </c>
      <c r="J5175">
        <v>-327.36660000000001</v>
      </c>
      <c r="K5175">
        <v>1.1084609999999999</v>
      </c>
      <c r="L5175">
        <v>16.72043</v>
      </c>
      <c r="M5175">
        <v>0.99587979999999998</v>
      </c>
      <c r="N5175">
        <v>0</v>
      </c>
      <c r="O5175">
        <v>-8.9954709999999993E-2</v>
      </c>
      <c r="P5175">
        <v>0.94967480000000004</v>
      </c>
      <c r="Q5175">
        <v>9.134573E-2</v>
      </c>
      <c r="R5175">
        <v>-0.29962329999999998</v>
      </c>
      <c r="S5175">
        <v>2.8232729999999999</v>
      </c>
      <c r="T5175">
        <v>-0.36554740000000002</v>
      </c>
      <c r="U5175">
        <v>-1.177643</v>
      </c>
      <c r="V5175">
        <v>0.21333489999999999</v>
      </c>
      <c r="W5175">
        <v>0.1017526</v>
      </c>
      <c r="X5175">
        <v>0.97166589999999997</v>
      </c>
      <c r="Y5175">
        <v>0.29890939999999999</v>
      </c>
      <c r="Z5175">
        <v>-7.4279699999999999E-3</v>
      </c>
      <c r="AA5175">
        <v>0.95425260000000001</v>
      </c>
      <c r="AB5175">
        <v>23</v>
      </c>
      <c r="AC5175">
        <v>8.7801999999999794</v>
      </c>
      <c r="AD5175">
        <v>-1.158461</v>
      </c>
      <c r="AE5175">
        <v>-3.7154699999999998</v>
      </c>
      <c r="AF5175">
        <v>2.8681856893936599</v>
      </c>
      <c r="AG5175">
        <v>-1.158461</v>
      </c>
      <c r="AH5175">
        <v>8.9467519390605901</v>
      </c>
      <c r="AI5175">
        <v>97.029246891915307</v>
      </c>
      <c r="AJ5175">
        <v>72.224979933394593</v>
      </c>
      <c r="AK5175">
        <v>9.4664085743458202</v>
      </c>
      <c r="AL5175">
        <v>84.159898050100196</v>
      </c>
      <c r="AM5175">
        <v>77.616858669351004</v>
      </c>
      <c r="AN5175">
        <v>0.99999999619378899</v>
      </c>
    </row>
    <row r="5176" spans="1:40" x14ac:dyDescent="0.25">
      <c r="A5176" t="str">
        <f>"20190312151638062"</f>
        <v>20190312151638062</v>
      </c>
      <c r="B5176" t="str">
        <f>"1552374998052723"</f>
        <v>1552374998052723</v>
      </c>
      <c r="C5176" t="s">
        <v>40</v>
      </c>
      <c r="D5176">
        <v>4.5070589999999999</v>
      </c>
      <c r="E5176">
        <v>0.53339199999999998</v>
      </c>
      <c r="F5176" t="s">
        <v>42</v>
      </c>
      <c r="G5176">
        <v>-318.43779999999998</v>
      </c>
      <c r="H5176">
        <v>-0.05</v>
      </c>
      <c r="I5176">
        <v>12.970280000000001</v>
      </c>
      <c r="J5176">
        <v>-327.25490000000002</v>
      </c>
      <c r="K5176">
        <v>1.108449</v>
      </c>
      <c r="L5176">
        <v>16.709050000000001</v>
      </c>
      <c r="M5176">
        <v>0.99577680000000002</v>
      </c>
      <c r="N5176">
        <v>0</v>
      </c>
      <c r="O5176">
        <v>-9.1098410000000005E-2</v>
      </c>
      <c r="P5176">
        <v>0.94939680000000004</v>
      </c>
      <c r="Q5176">
        <v>9.0962600000000005E-2</v>
      </c>
      <c r="R5176">
        <v>-0.30061880000000002</v>
      </c>
      <c r="S5176">
        <v>2.8204349999999998</v>
      </c>
      <c r="T5176">
        <v>-0.36593629999999999</v>
      </c>
      <c r="U5176">
        <v>-1.184601</v>
      </c>
      <c r="V5176">
        <v>0.21323320000000001</v>
      </c>
      <c r="W5176">
        <v>0.10128910000000001</v>
      </c>
      <c r="X5176">
        <v>0.97173670000000001</v>
      </c>
      <c r="Y5176">
        <v>0.30015320000000001</v>
      </c>
      <c r="Z5176">
        <v>-7.3766129999999997E-3</v>
      </c>
      <c r="AA5176">
        <v>0.95386249999999995</v>
      </c>
      <c r="AB5176">
        <v>23</v>
      </c>
      <c r="AC5176">
        <v>8.8171000000000301</v>
      </c>
      <c r="AD5176">
        <v>-1.1584490000000001</v>
      </c>
      <c r="AE5176">
        <v>-3.7387700000000001</v>
      </c>
      <c r="AF5176">
        <v>2.8778385736785501</v>
      </c>
      <c r="AG5176">
        <v>-1.1584490000000001</v>
      </c>
      <c r="AH5176">
        <v>8.9895199480606802</v>
      </c>
      <c r="AI5176">
        <v>96.996973903363298</v>
      </c>
      <c r="AJ5176">
        <v>72.248435890564195</v>
      </c>
      <c r="AK5176">
        <v>9.50975435215517</v>
      </c>
      <c r="AL5176">
        <v>84.186592858698305</v>
      </c>
      <c r="AM5176">
        <v>77.623453923649507</v>
      </c>
      <c r="AN5176">
        <v>1.00000004674396</v>
      </c>
    </row>
    <row r="5177" spans="1:40" x14ac:dyDescent="0.25">
      <c r="A5177" t="str">
        <f>"20190312151638072"</f>
        <v>20190312151638072</v>
      </c>
      <c r="B5177" t="str">
        <f>"1552374998063457"</f>
        <v>1552374998063457</v>
      </c>
      <c r="C5177" t="s">
        <v>40</v>
      </c>
      <c r="D5177">
        <v>4.4723050000000004</v>
      </c>
      <c r="E5177">
        <v>0.53359290000000004</v>
      </c>
      <c r="F5177" t="s">
        <v>42</v>
      </c>
      <c r="G5177">
        <v>-318.36709999999999</v>
      </c>
      <c r="H5177">
        <v>-0.05</v>
      </c>
      <c r="I5177">
        <v>12.959630000000001</v>
      </c>
      <c r="J5177">
        <v>-327.14920000000001</v>
      </c>
      <c r="K5177">
        <v>1.10843799999999</v>
      </c>
      <c r="L5177">
        <v>16.698239999999998</v>
      </c>
      <c r="M5177">
        <v>0.99567810000000001</v>
      </c>
      <c r="N5177">
        <v>0</v>
      </c>
      <c r="O5177">
        <v>-9.217873E-2</v>
      </c>
      <c r="P5177">
        <v>0.94917169999999895</v>
      </c>
      <c r="Q5177">
        <v>9.0906550000000003E-2</v>
      </c>
      <c r="R5177">
        <v>-0.30134559999999999</v>
      </c>
      <c r="S5177">
        <v>2.8185730000000002</v>
      </c>
      <c r="T5177">
        <v>-0.36737920000000002</v>
      </c>
      <c r="U5177">
        <v>-1.1890559999999999</v>
      </c>
      <c r="V5177">
        <v>0.2129221</v>
      </c>
      <c r="W5177">
        <v>0.1011582</v>
      </c>
      <c r="X5177">
        <v>0.97181850000000003</v>
      </c>
      <c r="Y5177">
        <v>0.30061670000000001</v>
      </c>
      <c r="Z5177">
        <v>-7.3039819999999997E-3</v>
      </c>
      <c r="AA5177">
        <v>0.95371709999999998</v>
      </c>
      <c r="AB5177">
        <v>23</v>
      </c>
      <c r="AC5177">
        <v>8.7821000000000105</v>
      </c>
      <c r="AD5177">
        <v>-1.1584380000000001</v>
      </c>
      <c r="AE5177">
        <v>-3.7386099999999902</v>
      </c>
      <c r="AF5177">
        <v>2.8708274998327901</v>
      </c>
      <c r="AG5177">
        <v>-1.1584380000000001</v>
      </c>
      <c r="AH5177">
        <v>8.9574012682555608</v>
      </c>
      <c r="AI5177">
        <v>97.021009548521405</v>
      </c>
      <c r="AJ5177">
        <v>72.229459041241498</v>
      </c>
      <c r="AK5177">
        <v>9.4772710531136806</v>
      </c>
      <c r="AL5177">
        <v>84.194131322019302</v>
      </c>
      <c r="AM5177">
        <v>77.641963892468695</v>
      </c>
      <c r="AN5177">
        <v>0.99999999951895002</v>
      </c>
    </row>
    <row r="5178" spans="1:40" x14ac:dyDescent="0.25">
      <c r="A5178" t="str">
        <f>"20190312151638083"</f>
        <v>20190312151638083</v>
      </c>
      <c r="B5178" t="str">
        <f>"1552374998073217"</f>
        <v>1552374998073217</v>
      </c>
      <c r="C5178" t="s">
        <v>40</v>
      </c>
      <c r="D5178">
        <v>4.4801799999999998</v>
      </c>
      <c r="E5178">
        <v>0.53382180000000001</v>
      </c>
      <c r="F5178" t="s">
        <v>42</v>
      </c>
      <c r="G5178">
        <v>-318.29489999999998</v>
      </c>
      <c r="H5178">
        <v>-0.05</v>
      </c>
      <c r="I5178">
        <v>12.94815</v>
      </c>
      <c r="J5178">
        <v>-327.02980000000002</v>
      </c>
      <c r="K5178">
        <v>1.1084259999999999</v>
      </c>
      <c r="L5178">
        <v>16.68582</v>
      </c>
      <c r="M5178">
        <v>0.99556540000000004</v>
      </c>
      <c r="N5178">
        <v>0</v>
      </c>
      <c r="O5178">
        <v>-9.3398880000000004E-2</v>
      </c>
      <c r="P5178">
        <v>0.94884210000000002</v>
      </c>
      <c r="Q5178">
        <v>9.0513560000000007E-2</v>
      </c>
      <c r="R5178">
        <v>-0.30249969999999998</v>
      </c>
      <c r="S5178">
        <v>2.8171390000000001</v>
      </c>
      <c r="T5178">
        <v>-0.3685735</v>
      </c>
      <c r="U5178">
        <v>-1.19314599999999</v>
      </c>
      <c r="V5178">
        <v>0.2129086</v>
      </c>
      <c r="W5178">
        <v>0.1006843</v>
      </c>
      <c r="X5178">
        <v>0.97187069999999998</v>
      </c>
      <c r="Y5178">
        <v>0.30079450000000002</v>
      </c>
      <c r="Z5178">
        <v>-7.1897269999999999E-3</v>
      </c>
      <c r="AA5178">
        <v>0.95366189999999995</v>
      </c>
      <c r="AB5178">
        <v>23</v>
      </c>
      <c r="AC5178">
        <v>8.7349000000000299</v>
      </c>
      <c r="AD5178">
        <v>-1.158426</v>
      </c>
      <c r="AE5178">
        <v>-3.73767</v>
      </c>
      <c r="AF5178">
        <v>2.8628881341042902</v>
      </c>
      <c r="AG5178">
        <v>-1.158426</v>
      </c>
      <c r="AH5178">
        <v>8.9133220186862498</v>
      </c>
      <c r="AI5178">
        <v>97.053898932821696</v>
      </c>
      <c r="AJ5178">
        <v>72.193394827958798</v>
      </c>
      <c r="AK5178">
        <v>9.4332067015765197</v>
      </c>
      <c r="AL5178">
        <v>84.2214233029908</v>
      </c>
      <c r="AM5178">
        <v>77.643366690846705</v>
      </c>
      <c r="AN5178">
        <v>1.0000000288694599</v>
      </c>
    </row>
    <row r="5179" spans="1:40" x14ac:dyDescent="0.25">
      <c r="A5179" t="str">
        <f>"20190312151638095"</f>
        <v>20190312151638095</v>
      </c>
      <c r="B5179" t="str">
        <f>"1552374998092737"</f>
        <v>1552374998092737</v>
      </c>
      <c r="C5179" t="s">
        <v>40</v>
      </c>
      <c r="D5179">
        <v>4.4691130000000001</v>
      </c>
      <c r="E5179">
        <v>0.53395530000000002</v>
      </c>
      <c r="F5179" t="s">
        <v>42</v>
      </c>
      <c r="G5179">
        <v>-318.22629999999998</v>
      </c>
      <c r="H5179">
        <v>-0.05</v>
      </c>
      <c r="I5179">
        <v>12.93703</v>
      </c>
      <c r="J5179">
        <v>-326.91030000000001</v>
      </c>
      <c r="K5179">
        <v>1.1084130000000001</v>
      </c>
      <c r="L5179">
        <v>16.673310000000001</v>
      </c>
      <c r="M5179">
        <v>0.99545099999999997</v>
      </c>
      <c r="N5179">
        <v>0</v>
      </c>
      <c r="O5179">
        <v>-9.4620129999999997E-2</v>
      </c>
      <c r="P5179">
        <v>0.94854579999999999</v>
      </c>
      <c r="Q5179">
        <v>9.0322230000000003E-2</v>
      </c>
      <c r="R5179">
        <v>-0.30348449999999999</v>
      </c>
      <c r="S5179">
        <v>2.8149109999999999</v>
      </c>
      <c r="T5179">
        <v>-0.37040380000000001</v>
      </c>
      <c r="U5179">
        <v>-1.198669</v>
      </c>
      <c r="V5179">
        <v>0.212723</v>
      </c>
      <c r="W5179">
        <v>0.1004139</v>
      </c>
      <c r="X5179">
        <v>0.97193929999999995</v>
      </c>
      <c r="Y5179">
        <v>0.30147000000000002</v>
      </c>
      <c r="Z5179">
        <v>-7.1190000000000003E-3</v>
      </c>
      <c r="AA5179">
        <v>0.95344910000000005</v>
      </c>
      <c r="AB5179">
        <v>23</v>
      </c>
      <c r="AC5179">
        <v>8.6840000000000206</v>
      </c>
      <c r="AD5179">
        <v>-1.1584129999999999</v>
      </c>
      <c r="AE5179">
        <v>-3.7362799999999998</v>
      </c>
      <c r="AF5179">
        <v>2.85491587497427</v>
      </c>
      <c r="AG5179">
        <v>-1.1584129999999999</v>
      </c>
      <c r="AH5179">
        <v>8.8654676947136704</v>
      </c>
      <c r="AI5179">
        <v>97.089802226465693</v>
      </c>
      <c r="AJ5179">
        <v>72.150063755935705</v>
      </c>
      <c r="AK5179">
        <v>9.3855731193018102</v>
      </c>
      <c r="AL5179">
        <v>84.236994913893994</v>
      </c>
      <c r="AM5179">
        <v>77.654652594705993</v>
      </c>
      <c r="AN5179">
        <v>1.0000000144633401</v>
      </c>
    </row>
    <row r="5180" spans="1:40" x14ac:dyDescent="0.25">
      <c r="A5180" t="str">
        <f>"20190312151638107"</f>
        <v>20190312151638107</v>
      </c>
      <c r="B5180" t="str">
        <f>"1552374998103472"</f>
        <v>1552374998103472</v>
      </c>
      <c r="C5180" t="s">
        <v>40</v>
      </c>
      <c r="D5180">
        <v>4.4713059999999896</v>
      </c>
      <c r="E5180">
        <v>0.53428609999999999</v>
      </c>
      <c r="F5180" t="s">
        <v>42</v>
      </c>
      <c r="G5180">
        <v>-318.13350000000003</v>
      </c>
      <c r="H5180">
        <v>-0.05</v>
      </c>
      <c r="I5180">
        <v>12.920970000000001</v>
      </c>
      <c r="J5180">
        <v>-326.79539999999997</v>
      </c>
      <c r="K5180">
        <v>1.108393</v>
      </c>
      <c r="L5180">
        <v>16.661100000000001</v>
      </c>
      <c r="M5180">
        <v>0.99533959999999999</v>
      </c>
      <c r="N5180">
        <v>0</v>
      </c>
      <c r="O5180">
        <v>-9.5793760000000006E-2</v>
      </c>
      <c r="P5180">
        <v>0.94823409999999997</v>
      </c>
      <c r="Q5180">
        <v>8.9972880000000005E-2</v>
      </c>
      <c r="R5180">
        <v>-0.30456100000000003</v>
      </c>
      <c r="S5180">
        <v>2.8132320000000002</v>
      </c>
      <c r="T5180">
        <v>-0.37130449999999998</v>
      </c>
      <c r="U5180">
        <v>-1.202728</v>
      </c>
      <c r="V5180">
        <v>0.21267630000000001</v>
      </c>
      <c r="W5180">
        <v>9.999305E-2</v>
      </c>
      <c r="X5180">
        <v>0.97199290000000005</v>
      </c>
      <c r="Y5180">
        <v>0.30171419999999999</v>
      </c>
      <c r="Z5180">
        <v>-7.0078229999999998E-3</v>
      </c>
      <c r="AA5180">
        <v>0.95337269999999996</v>
      </c>
      <c r="AB5180">
        <v>23</v>
      </c>
      <c r="AC5180">
        <v>8.6618999999999406</v>
      </c>
      <c r="AD5180">
        <v>-1.158393</v>
      </c>
      <c r="AE5180">
        <v>-3.7401300000000002</v>
      </c>
      <c r="AF5180">
        <v>2.8501566859348499</v>
      </c>
      <c r="AG5180">
        <v>-1.158393</v>
      </c>
      <c r="AH5180">
        <v>8.8470011149879895</v>
      </c>
      <c r="AI5180">
        <v>97.1040530513975</v>
      </c>
      <c r="AJ5180">
        <v>72.143095786959194</v>
      </c>
      <c r="AK5180">
        <v>9.3666801058553695</v>
      </c>
      <c r="AL5180">
        <v>84.261229781218503</v>
      </c>
      <c r="AM5180">
        <v>77.657939512153504</v>
      </c>
      <c r="AN5180">
        <v>1.0000000081402001</v>
      </c>
    </row>
    <row r="5181" spans="1:40" x14ac:dyDescent="0.25">
      <c r="A5181" t="str">
        <f>"20190312151638118"</f>
        <v>20190312151638118</v>
      </c>
      <c r="B5181" t="str">
        <f>"1552374998113233"</f>
        <v>1552374998113233</v>
      </c>
      <c r="C5181" t="s">
        <v>40</v>
      </c>
      <c r="D5181">
        <v>4.4805650000000004</v>
      </c>
      <c r="E5181">
        <v>0.53446769999999999</v>
      </c>
      <c r="F5181" t="s">
        <v>42</v>
      </c>
      <c r="G5181">
        <v>-318.04419999999999</v>
      </c>
      <c r="H5181">
        <v>-0.05</v>
      </c>
      <c r="I5181">
        <v>12.897600000000001</v>
      </c>
      <c r="J5181">
        <v>-326.68259999999998</v>
      </c>
      <c r="K5181">
        <v>1.1083829999999999</v>
      </c>
      <c r="L5181">
        <v>16.648989999999898</v>
      </c>
      <c r="M5181">
        <v>0.99522880000000002</v>
      </c>
      <c r="N5181">
        <v>0</v>
      </c>
      <c r="O5181">
        <v>-9.6947389999999994E-2</v>
      </c>
      <c r="P5181">
        <v>0.94792290000000001</v>
      </c>
      <c r="Q5181">
        <v>8.9914399999999894E-2</v>
      </c>
      <c r="R5181">
        <v>-0.30554540000000002</v>
      </c>
      <c r="S5181">
        <v>2.8107600000000001</v>
      </c>
      <c r="T5181">
        <v>-0.37205559999999899</v>
      </c>
      <c r="U5181">
        <v>-1.20877099999999</v>
      </c>
      <c r="V5181">
        <v>0.212559</v>
      </c>
      <c r="W5181">
        <v>9.9866839999999998E-2</v>
      </c>
      <c r="X5181">
        <v>0.97203150000000005</v>
      </c>
      <c r="Y5181">
        <v>0.30263859999999998</v>
      </c>
      <c r="Z5181">
        <v>-6.9396450000000004E-3</v>
      </c>
      <c r="AA5181">
        <v>0.95308009999999999</v>
      </c>
      <c r="AB5181">
        <v>23</v>
      </c>
      <c r="AC5181">
        <v>8.6383999999999901</v>
      </c>
      <c r="AD5181">
        <v>-1.1583829999999999</v>
      </c>
      <c r="AE5181">
        <v>-3.75138999999999</v>
      </c>
      <c r="AF5181">
        <v>2.8530329316386598</v>
      </c>
      <c r="AG5181">
        <v>-1.1583829999999999</v>
      </c>
      <c r="AH5181">
        <v>8.8278580939771807</v>
      </c>
      <c r="AI5181">
        <v>97.117130125633494</v>
      </c>
      <c r="AJ5181">
        <v>72.089936098304705</v>
      </c>
      <c r="AK5181">
        <v>9.3494773442745007</v>
      </c>
      <c r="AL5181">
        <v>84.268497272926496</v>
      </c>
      <c r="AM5181">
        <v>77.665013072344607</v>
      </c>
      <c r="AN5181">
        <v>0.99999997560241705</v>
      </c>
    </row>
    <row r="5182" spans="1:40" x14ac:dyDescent="0.25">
      <c r="A5182" t="str">
        <f>"20190312151638127"</f>
        <v>20190312151638127</v>
      </c>
      <c r="B5182" t="str">
        <f>"1552374998122993"</f>
        <v>1552374998122993</v>
      </c>
      <c r="C5182" t="s">
        <v>40</v>
      </c>
      <c r="D5182">
        <v>4.4741220000000004</v>
      </c>
      <c r="E5182">
        <v>0.53470499999999999</v>
      </c>
      <c r="F5182" t="s">
        <v>42</v>
      </c>
      <c r="G5182">
        <v>-317.94619999999998</v>
      </c>
      <c r="H5182">
        <v>-0.05</v>
      </c>
      <c r="I5182">
        <v>12.87589</v>
      </c>
      <c r="J5182">
        <v>-326.57330000000002</v>
      </c>
      <c r="K5182">
        <v>1.1083719999999999</v>
      </c>
      <c r="L5182">
        <v>16.637149999999998</v>
      </c>
      <c r="M5182">
        <v>0.99511989999999995</v>
      </c>
      <c r="N5182">
        <v>0</v>
      </c>
      <c r="O5182">
        <v>-9.8064470000000001E-2</v>
      </c>
      <c r="P5182">
        <v>0.94755730000000005</v>
      </c>
      <c r="Q5182">
        <v>8.9881329999999995E-2</v>
      </c>
      <c r="R5182">
        <v>-0.30668659999999998</v>
      </c>
      <c r="S5182">
        <v>2.8090820000000001</v>
      </c>
      <c r="T5182">
        <v>-0.37246420000000002</v>
      </c>
      <c r="U5182">
        <v>-1.2131959999999999</v>
      </c>
      <c r="V5182">
        <v>0.21263879999999999</v>
      </c>
      <c r="W5182">
        <v>9.9770049999999999E-2</v>
      </c>
      <c r="X5182">
        <v>0.972024</v>
      </c>
      <c r="Y5182">
        <v>0.30304370000000003</v>
      </c>
      <c r="Z5182">
        <v>-6.8354459999999898E-3</v>
      </c>
      <c r="AA5182">
        <v>0.95295209999999997</v>
      </c>
      <c r="AB5182">
        <v>23</v>
      </c>
      <c r="AC5182">
        <v>8.6271000000000395</v>
      </c>
      <c r="AD5182">
        <v>-1.158372</v>
      </c>
      <c r="AE5182">
        <v>-3.7612599999999898</v>
      </c>
      <c r="AF5182">
        <v>2.85383281266374</v>
      </c>
      <c r="AG5182">
        <v>-1.158372</v>
      </c>
      <c r="AH5182">
        <v>8.8207534847647597</v>
      </c>
      <c r="AI5182">
        <v>97.122012442702299</v>
      </c>
      <c r="AJ5182">
        <v>72.071729630064397</v>
      </c>
      <c r="AK5182">
        <v>9.3430123328619192</v>
      </c>
      <c r="AL5182">
        <v>84.274070846483994</v>
      </c>
      <c r="AM5182">
        <v>77.660431759196101</v>
      </c>
      <c r="AN5182">
        <v>0.99999998935922096</v>
      </c>
    </row>
    <row r="5183" spans="1:40" x14ac:dyDescent="0.25">
      <c r="A5183" t="str">
        <f>"20190312151638139"</f>
        <v>20190312151638139</v>
      </c>
      <c r="B5183" t="str">
        <f>"1552374998132753"</f>
        <v>1552374998132753</v>
      </c>
      <c r="C5183" t="s">
        <v>40</v>
      </c>
      <c r="D5183">
        <v>4.4330480000000003</v>
      </c>
      <c r="E5183">
        <v>0.5348598</v>
      </c>
      <c r="F5183" t="s">
        <v>42</v>
      </c>
      <c r="G5183">
        <v>-317.84559999999999</v>
      </c>
      <c r="H5183">
        <v>-0.05</v>
      </c>
      <c r="I5183">
        <v>12.84801</v>
      </c>
      <c r="J5183">
        <v>-326.45639999999997</v>
      </c>
      <c r="K5183">
        <v>1.108357</v>
      </c>
      <c r="L5183">
        <v>16.62433</v>
      </c>
      <c r="M5183">
        <v>0.9950021</v>
      </c>
      <c r="N5183">
        <v>0</v>
      </c>
      <c r="O5183">
        <v>-9.9259639999999996E-2</v>
      </c>
      <c r="P5183">
        <v>0.94718579999999997</v>
      </c>
      <c r="Q5183">
        <v>8.9795120000000006E-2</v>
      </c>
      <c r="R5183">
        <v>-0.30785750000000001</v>
      </c>
      <c r="S5183">
        <v>2.8069459999999999</v>
      </c>
      <c r="T5183">
        <v>-0.37254549999999997</v>
      </c>
      <c r="U5183">
        <v>-1.218628</v>
      </c>
      <c r="V5183">
        <v>0.21267240000000001</v>
      </c>
      <c r="W5183">
        <v>9.9620109999999998E-2</v>
      </c>
      <c r="X5183">
        <v>0.97203209999999995</v>
      </c>
      <c r="Y5183">
        <v>0.30371910000000002</v>
      </c>
      <c r="Z5183">
        <v>-6.7330719999999997E-3</v>
      </c>
      <c r="AA5183">
        <v>0.95273790000000003</v>
      </c>
      <c r="AB5183">
        <v>23</v>
      </c>
      <c r="AC5183">
        <v>8.6107999999999798</v>
      </c>
      <c r="AD5183">
        <v>-1.1583570000000001</v>
      </c>
      <c r="AE5183">
        <v>-3.7763199999999899</v>
      </c>
      <c r="AF5183">
        <v>2.8595128862269301</v>
      </c>
      <c r="AG5183">
        <v>-1.1583570000000001</v>
      </c>
      <c r="AH5183">
        <v>8.8094242379819807</v>
      </c>
      <c r="AI5183">
        <v>97.128790612588503</v>
      </c>
      <c r="AJ5183">
        <v>72.016723945794197</v>
      </c>
      <c r="AK5183">
        <v>9.3340537972893198</v>
      </c>
      <c r="AL5183">
        <v>84.282705193459407</v>
      </c>
      <c r="AM5183">
        <v>77.658641368637902</v>
      </c>
      <c r="AN5183">
        <v>1.00000005973428</v>
      </c>
    </row>
    <row r="5184" spans="1:40" x14ac:dyDescent="0.25">
      <c r="A5184" t="str">
        <f>"20190312151638150"</f>
        <v>20190312151638150</v>
      </c>
      <c r="B5184" t="str">
        <f>"1552374998143489"</f>
        <v>1552374998143489</v>
      </c>
      <c r="C5184" t="s">
        <v>40</v>
      </c>
      <c r="D5184">
        <v>4.4273680000000004</v>
      </c>
      <c r="E5184">
        <v>0.53506889999999996</v>
      </c>
      <c r="F5184" t="s">
        <v>42</v>
      </c>
      <c r="G5184">
        <v>-317.73480000000001</v>
      </c>
      <c r="H5184">
        <v>-0.05</v>
      </c>
      <c r="I5184">
        <v>12.820080000000001</v>
      </c>
      <c r="J5184">
        <v>-326.34320000000002</v>
      </c>
      <c r="K5184">
        <v>1.1083499999999999</v>
      </c>
      <c r="L5184">
        <v>16.611789999999999</v>
      </c>
      <c r="M5184">
        <v>0.99488650000000001</v>
      </c>
      <c r="N5184">
        <v>0</v>
      </c>
      <c r="O5184">
        <v>-0.1004179</v>
      </c>
      <c r="P5184">
        <v>0.94681190000000004</v>
      </c>
      <c r="Q5184">
        <v>8.9646190000000001E-2</v>
      </c>
      <c r="R5184">
        <v>-0.30904890000000002</v>
      </c>
      <c r="S5184">
        <v>2.804932</v>
      </c>
      <c r="T5184">
        <v>-0.37253770000000003</v>
      </c>
      <c r="U5184">
        <v>-1.2234799999999999</v>
      </c>
      <c r="V5184">
        <v>0.21276249999999999</v>
      </c>
      <c r="W5184">
        <v>9.9411349999999996E-2</v>
      </c>
      <c r="X5184">
        <v>0.9720337</v>
      </c>
      <c r="Y5184">
        <v>0.30425010000000002</v>
      </c>
      <c r="Z5184">
        <v>-6.6244839999999999E-3</v>
      </c>
      <c r="AA5184">
        <v>0.9525692</v>
      </c>
      <c r="AB5184">
        <v>23</v>
      </c>
      <c r="AC5184">
        <v>8.6084000000000103</v>
      </c>
      <c r="AD5184">
        <v>-1.15835</v>
      </c>
      <c r="AE5184">
        <v>-3.7917099999999899</v>
      </c>
      <c r="AF5184">
        <v>2.8646136282769801</v>
      </c>
      <c r="AG5184">
        <v>-1.15835</v>
      </c>
      <c r="AH5184">
        <v>8.8120307063370706</v>
      </c>
      <c r="AI5184">
        <v>97.125660482744294</v>
      </c>
      <c r="AJ5184">
        <v>71.991700451255895</v>
      </c>
      <c r="AK5184">
        <v>9.3380764149388806</v>
      </c>
      <c r="AL5184">
        <v>84.294725622749993</v>
      </c>
      <c r="AM5184">
        <v>77.653592898704602</v>
      </c>
      <c r="AN5184">
        <v>1.00000000592538</v>
      </c>
    </row>
    <row r="5185" spans="1:40" x14ac:dyDescent="0.25">
      <c r="A5185" t="str">
        <f>"20190312151638163"</f>
        <v>20190312151638163</v>
      </c>
      <c r="B5185" t="str">
        <f>"1552374998153249"</f>
        <v>1552374998153249</v>
      </c>
      <c r="C5185" t="s">
        <v>40</v>
      </c>
      <c r="D5185">
        <v>4.4290699999999896</v>
      </c>
      <c r="E5185">
        <v>0.5351281</v>
      </c>
      <c r="F5185" t="s">
        <v>42</v>
      </c>
      <c r="G5185">
        <v>-317.63200000000001</v>
      </c>
      <c r="H5185">
        <v>-0.05</v>
      </c>
      <c r="I5185">
        <v>12.79289</v>
      </c>
      <c r="J5185">
        <v>-326.22379999999998</v>
      </c>
      <c r="K5185">
        <v>1.1083419999999999</v>
      </c>
      <c r="L5185">
        <v>16.59836</v>
      </c>
      <c r="M5185">
        <v>0.99476299999999995</v>
      </c>
      <c r="N5185">
        <v>0</v>
      </c>
      <c r="O5185">
        <v>-0.1016397</v>
      </c>
      <c r="P5185">
        <v>0.94639269999999998</v>
      </c>
      <c r="Q5185">
        <v>8.9799840000000006E-2</v>
      </c>
      <c r="R5185">
        <v>-0.31028529999999999</v>
      </c>
      <c r="S5185">
        <v>2.8027340000000001</v>
      </c>
      <c r="T5185">
        <v>-0.37268950000000001</v>
      </c>
      <c r="U5185">
        <v>-1.228699</v>
      </c>
      <c r="V5185">
        <v>0.21284120000000001</v>
      </c>
      <c r="W5185">
        <v>9.9506259999999999E-2</v>
      </c>
      <c r="X5185">
        <v>0.9720067</v>
      </c>
      <c r="Y5185">
        <v>0.3048459</v>
      </c>
      <c r="Z5185">
        <v>-6.5150520000000003E-3</v>
      </c>
      <c r="AA5185">
        <v>0.95237939999999999</v>
      </c>
      <c r="AB5185">
        <v>23</v>
      </c>
      <c r="AC5185">
        <v>8.5917999999999708</v>
      </c>
      <c r="AD5185">
        <v>-1.158342</v>
      </c>
      <c r="AE5185">
        <v>-3.8054700000000001</v>
      </c>
      <c r="AF5185">
        <v>2.8688485581440899</v>
      </c>
      <c r="AG5185">
        <v>-1.158342</v>
      </c>
      <c r="AH5185">
        <v>8.8003848696701894</v>
      </c>
      <c r="AI5185">
        <v>97.133050113828006</v>
      </c>
      <c r="AJ5185">
        <v>71.944484188123397</v>
      </c>
      <c r="AK5185">
        <v>9.3283879686068705</v>
      </c>
      <c r="AL5185">
        <v>84.289260254021002</v>
      </c>
      <c r="AM5185">
        <v>77.648833605843905</v>
      </c>
      <c r="AN5185">
        <v>0.99999994852075702</v>
      </c>
    </row>
    <row r="5186" spans="1:40" x14ac:dyDescent="0.25">
      <c r="A5186" t="str">
        <f>"20190312151638174"</f>
        <v>20190312151638174</v>
      </c>
      <c r="B5186" t="str">
        <f>"1552374998163010"</f>
        <v>1552374998163010</v>
      </c>
      <c r="C5186" t="s">
        <v>40</v>
      </c>
      <c r="D5186">
        <v>4.4934339999999997</v>
      </c>
      <c r="E5186">
        <v>0.53530849999999996</v>
      </c>
      <c r="F5186" t="s">
        <v>42</v>
      </c>
      <c r="G5186">
        <v>-317.50150000000002</v>
      </c>
      <c r="H5186">
        <v>-0.05</v>
      </c>
      <c r="I5186">
        <v>12.75774</v>
      </c>
      <c r="J5186">
        <v>-326.10109999999997</v>
      </c>
      <c r="K5186">
        <v>1.108336</v>
      </c>
      <c r="L5186">
        <v>16.584499999999998</v>
      </c>
      <c r="M5186">
        <v>0.99463440000000003</v>
      </c>
      <c r="N5186">
        <v>0</v>
      </c>
      <c r="O5186">
        <v>-0.1028954</v>
      </c>
      <c r="P5186">
        <v>0.94595790000000002</v>
      </c>
      <c r="Q5186">
        <v>8.9692469999999996E-2</v>
      </c>
      <c r="R5186">
        <v>-0.311639</v>
      </c>
      <c r="S5186">
        <v>2.8009029999999999</v>
      </c>
      <c r="T5186">
        <v>-0.37196839999999998</v>
      </c>
      <c r="U5186">
        <v>-1.2333069999999999</v>
      </c>
      <c r="V5186">
        <v>0.2130042</v>
      </c>
      <c r="W5186">
        <v>9.9340639999999994E-2</v>
      </c>
      <c r="X5186">
        <v>0.97198799999999996</v>
      </c>
      <c r="Y5186">
        <v>0.30519829999999998</v>
      </c>
      <c r="Z5186">
        <v>-6.3704469999999996E-3</v>
      </c>
      <c r="AA5186">
        <v>0.95226750000000004</v>
      </c>
      <c r="AB5186">
        <v>23</v>
      </c>
      <c r="AC5186">
        <v>8.5995999999999508</v>
      </c>
      <c r="AD5186">
        <v>-1.158336</v>
      </c>
      <c r="AE5186">
        <v>-3.8267599999999899</v>
      </c>
      <c r="AF5186">
        <v>2.8779512289670102</v>
      </c>
      <c r="AG5186">
        <v>-1.158336</v>
      </c>
      <c r="AH5186">
        <v>8.8142427694169108</v>
      </c>
      <c r="AI5186">
        <v>97.120833037997201</v>
      </c>
      <c r="AJ5186">
        <v>71.917546510151496</v>
      </c>
      <c r="AK5186">
        <v>9.3442614027769508</v>
      </c>
      <c r="AL5186">
        <v>84.298797196681903</v>
      </c>
      <c r="AM5186">
        <v>77.6394348773524</v>
      </c>
      <c r="AN5186">
        <v>1.0000000120586201</v>
      </c>
    </row>
    <row r="5187" spans="1:40" x14ac:dyDescent="0.25">
      <c r="A5187" t="str">
        <f>"20190312151638186"</f>
        <v>20190312151638186</v>
      </c>
      <c r="B5187" t="str">
        <f>"1552374998183506"</f>
        <v>1552374998183506</v>
      </c>
      <c r="C5187" t="s">
        <v>40</v>
      </c>
      <c r="D5187">
        <v>4.4210050000000001</v>
      </c>
      <c r="E5187">
        <v>0.53545940000000003</v>
      </c>
      <c r="F5187" t="s">
        <v>42</v>
      </c>
      <c r="G5187">
        <v>-317.41219999999998</v>
      </c>
      <c r="H5187">
        <v>-0.05</v>
      </c>
      <c r="I5187">
        <v>12.738340000000001</v>
      </c>
      <c r="J5187">
        <v>-325.9726</v>
      </c>
      <c r="K5187">
        <v>1.1083289999999999</v>
      </c>
      <c r="L5187">
        <v>16.569759999999999</v>
      </c>
      <c r="M5187">
        <v>0.9944982</v>
      </c>
      <c r="N5187">
        <v>0</v>
      </c>
      <c r="O5187">
        <v>-0.10421130000000001</v>
      </c>
      <c r="P5187">
        <v>0.94546390000000002</v>
      </c>
      <c r="Q5187">
        <v>8.9907139999999997E-2</v>
      </c>
      <c r="R5187">
        <v>-0.31307309999999999</v>
      </c>
      <c r="S5187">
        <v>2.798645</v>
      </c>
      <c r="T5187">
        <v>-0.3730948</v>
      </c>
      <c r="U5187">
        <v>-1.238831</v>
      </c>
      <c r="V5187">
        <v>0.213196</v>
      </c>
      <c r="W5187">
        <v>9.949914E-2</v>
      </c>
      <c r="X5187">
        <v>0.97192970000000001</v>
      </c>
      <c r="Y5187">
        <v>0.30579089999999998</v>
      </c>
      <c r="Z5187">
        <v>-6.2653329999999997E-3</v>
      </c>
      <c r="AA5187">
        <v>0.95207799999999998</v>
      </c>
      <c r="AB5187">
        <v>23</v>
      </c>
      <c r="AC5187">
        <v>8.5604000000000102</v>
      </c>
      <c r="AD5187">
        <v>-1.1583289999999999</v>
      </c>
      <c r="AE5187">
        <v>-3.83142</v>
      </c>
      <c r="AF5187">
        <v>2.8745672450128001</v>
      </c>
      <c r="AG5187">
        <v>-1.1583289999999999</v>
      </c>
      <c r="AH5187">
        <v>8.7791692201775504</v>
      </c>
      <c r="AI5187">
        <v>97.147024544471094</v>
      </c>
      <c r="AJ5187">
        <v>71.869978049967102</v>
      </c>
      <c r="AK5187">
        <v>9.3101382973001208</v>
      </c>
      <c r="AL5187">
        <v>84.289670400691307</v>
      </c>
      <c r="AM5187">
        <v>77.627928136158701</v>
      </c>
      <c r="AN5187">
        <v>0.99999997750941405</v>
      </c>
    </row>
    <row r="5188" spans="1:40" x14ac:dyDescent="0.25">
      <c r="A5188" t="str">
        <f>"20190312151638198"</f>
        <v>20190312151638198</v>
      </c>
      <c r="B5188" t="str">
        <f>"1552374998193265"</f>
        <v>1552374998193265</v>
      </c>
      <c r="C5188" t="s">
        <v>40</v>
      </c>
      <c r="D5188">
        <v>4.4449509999999997</v>
      </c>
      <c r="E5188">
        <v>0.5363637</v>
      </c>
      <c r="F5188" t="s">
        <v>42</v>
      </c>
      <c r="G5188">
        <v>-317.26650000000001</v>
      </c>
      <c r="H5188">
        <v>-0.05</v>
      </c>
      <c r="I5188">
        <v>12.69519</v>
      </c>
      <c r="J5188">
        <v>-325.85590000000002</v>
      </c>
      <c r="K5188">
        <v>1.108325</v>
      </c>
      <c r="L5188">
        <v>16.556239999999999</v>
      </c>
      <c r="M5188">
        <v>0.99437279999999995</v>
      </c>
      <c r="N5188">
        <v>0</v>
      </c>
      <c r="O5188">
        <v>-0.1054065</v>
      </c>
      <c r="P5188">
        <v>0.94504920000000003</v>
      </c>
      <c r="Q5188">
        <v>8.9850630000000001E-2</v>
      </c>
      <c r="R5188">
        <v>-0.31433990000000001</v>
      </c>
      <c r="S5188">
        <v>2.7963870000000002</v>
      </c>
      <c r="T5188">
        <v>-0.3720541</v>
      </c>
      <c r="U5188">
        <v>-1.244507</v>
      </c>
      <c r="V5188">
        <v>0.21333009999999999</v>
      </c>
      <c r="W5188">
        <v>9.9396150000000003E-2</v>
      </c>
      <c r="X5188">
        <v>0.97191079999999996</v>
      </c>
      <c r="Y5188">
        <v>0.30655680000000002</v>
      </c>
      <c r="Z5188">
        <v>-6.1499609999999998E-3</v>
      </c>
      <c r="AA5188">
        <v>0.95183249999999997</v>
      </c>
      <c r="AB5188">
        <v>23</v>
      </c>
      <c r="AC5188">
        <v>8.5894000000000101</v>
      </c>
      <c r="AD5188">
        <v>-1.158325</v>
      </c>
      <c r="AE5188">
        <v>-3.8610499999999899</v>
      </c>
      <c r="AF5188">
        <v>2.8903807518281299</v>
      </c>
      <c r="AG5188">
        <v>-1.158325</v>
      </c>
      <c r="AH5188">
        <v>8.8151832429451105</v>
      </c>
      <c r="AI5188">
        <v>97.117150590228505</v>
      </c>
      <c r="AJ5188">
        <v>71.846374257743307</v>
      </c>
      <c r="AK5188">
        <v>9.3489824741981398</v>
      </c>
      <c r="AL5188">
        <v>84.295600617383897</v>
      </c>
      <c r="AM5188">
        <v>77.620152680128996</v>
      </c>
      <c r="AN5188">
        <v>0.99999996467873498</v>
      </c>
    </row>
    <row r="5189" spans="1:40" x14ac:dyDescent="0.25">
      <c r="A5189" t="str">
        <f>"20190312151638208"</f>
        <v>20190312151638208</v>
      </c>
      <c r="B5189" t="str">
        <f>"1552374998203026"</f>
        <v>1552374998203026</v>
      </c>
      <c r="C5189" t="s">
        <v>40</v>
      </c>
      <c r="D5189">
        <v>4.4163209999999999</v>
      </c>
      <c r="E5189">
        <v>0.53720100000000004</v>
      </c>
      <c r="F5189" t="s">
        <v>42</v>
      </c>
      <c r="G5189">
        <v>-317.15039999999999</v>
      </c>
      <c r="H5189">
        <v>-0.05</v>
      </c>
      <c r="I5189">
        <v>12.6425</v>
      </c>
      <c r="J5189">
        <v>-325.73480000000001</v>
      </c>
      <c r="K5189">
        <v>1.1083229999999999</v>
      </c>
      <c r="L5189">
        <v>16.54205</v>
      </c>
      <c r="M5189">
        <v>0.99424100000000004</v>
      </c>
      <c r="N5189">
        <v>0</v>
      </c>
      <c r="O5189">
        <v>-0.10664559999999999</v>
      </c>
      <c r="P5189">
        <v>0.944712</v>
      </c>
      <c r="Q5189">
        <v>8.9545319999999998E-2</v>
      </c>
      <c r="R5189">
        <v>-0.3154381</v>
      </c>
      <c r="S5189">
        <v>2.7922359999999999</v>
      </c>
      <c r="T5189">
        <v>-0.37152659999999998</v>
      </c>
      <c r="U5189">
        <v>-1.2553099999999999</v>
      </c>
      <c r="V5189">
        <v>0.21324499999999999</v>
      </c>
      <c r="W5189">
        <v>9.9049330000000005E-2</v>
      </c>
      <c r="X5189">
        <v>0.97196490000000002</v>
      </c>
      <c r="Y5189">
        <v>0.30895850000000002</v>
      </c>
      <c r="Z5189">
        <v>-6.1432550000000002E-3</v>
      </c>
      <c r="AA5189">
        <v>0.95105569999999895</v>
      </c>
      <c r="AB5189">
        <v>23</v>
      </c>
      <c r="AC5189">
        <v>8.5844000000000094</v>
      </c>
      <c r="AD5189">
        <v>-1.158323</v>
      </c>
      <c r="AE5189">
        <v>-3.8995500000000001</v>
      </c>
      <c r="AF5189">
        <v>2.9177328941080698</v>
      </c>
      <c r="AG5189">
        <v>-1.158323</v>
      </c>
      <c r="AH5189">
        <v>8.8182409856842892</v>
      </c>
      <c r="AI5189">
        <v>97.108446243269299</v>
      </c>
      <c r="AJ5189">
        <v>71.691926621200295</v>
      </c>
      <c r="AK5189">
        <v>9.3603553081756097</v>
      </c>
      <c r="AL5189">
        <v>84.315570593085994</v>
      </c>
      <c r="AM5189">
        <v>77.625606545919496</v>
      </c>
      <c r="AN5189">
        <v>0.99999998331522899</v>
      </c>
    </row>
    <row r="5190" spans="1:40" x14ac:dyDescent="0.25">
      <c r="A5190" t="str">
        <f>"20190312151638220"</f>
        <v>20190312151638220</v>
      </c>
      <c r="B5190" t="str">
        <f>"1552374998212785"</f>
        <v>1552374998212785</v>
      </c>
      <c r="C5190" t="s">
        <v>40</v>
      </c>
      <c r="D5190">
        <v>4.4313120000000001</v>
      </c>
      <c r="E5190">
        <v>0.53793819999999903</v>
      </c>
      <c r="F5190" t="s">
        <v>42</v>
      </c>
      <c r="G5190">
        <v>-317.07220000000001</v>
      </c>
      <c r="H5190">
        <v>-0.05</v>
      </c>
      <c r="I5190">
        <v>12.611940000000001</v>
      </c>
      <c r="J5190">
        <v>-325.62650000000002</v>
      </c>
      <c r="K5190">
        <v>1.1083209999999999</v>
      </c>
      <c r="L5190">
        <v>16.529239999999898</v>
      </c>
      <c r="M5190">
        <v>0.99412180000000006</v>
      </c>
      <c r="N5190">
        <v>0</v>
      </c>
      <c r="O5190">
        <v>-0.1077538</v>
      </c>
      <c r="P5190">
        <v>0.94435899999999995</v>
      </c>
      <c r="Q5190">
        <v>8.9501250000000004E-2</v>
      </c>
      <c r="R5190">
        <v>-0.316505599999999</v>
      </c>
      <c r="S5190">
        <v>2.788513</v>
      </c>
      <c r="T5190">
        <v>-0.37286589999999997</v>
      </c>
      <c r="U5190">
        <v>-1.2651059999999901</v>
      </c>
      <c r="V5190">
        <v>0.21326000000000001</v>
      </c>
      <c r="W5190">
        <v>9.8972459999999998E-2</v>
      </c>
      <c r="X5190">
        <v>0.97196939999999998</v>
      </c>
      <c r="Y5190">
        <v>0.31112830000000002</v>
      </c>
      <c r="Z5190">
        <v>-6.1683529999999997E-3</v>
      </c>
      <c r="AA5190">
        <v>0.95034790000000002</v>
      </c>
      <c r="AB5190">
        <v>23</v>
      </c>
      <c r="AC5190">
        <v>8.5543000000000102</v>
      </c>
      <c r="AD5190">
        <v>-1.1583209999999999</v>
      </c>
      <c r="AE5190">
        <v>-3.9172999999999898</v>
      </c>
      <c r="AF5190">
        <v>2.9282960673436298</v>
      </c>
      <c r="AG5190">
        <v>-1.1583209999999999</v>
      </c>
      <c r="AH5190">
        <v>8.7933357267058003</v>
      </c>
      <c r="AI5190">
        <v>97.123850967016693</v>
      </c>
      <c r="AJ5190">
        <v>71.581565524350694</v>
      </c>
      <c r="AK5190">
        <v>9.3402022783032805</v>
      </c>
      <c r="AL5190">
        <v>84.319996449499797</v>
      </c>
      <c r="AM5190">
        <v>77.624818458995904</v>
      </c>
      <c r="AN5190">
        <v>0.99999994498740397</v>
      </c>
    </row>
    <row r="5191" spans="1:40" x14ac:dyDescent="0.25">
      <c r="A5191" t="str">
        <f>"20190312151638230"</f>
        <v>20190312151638230</v>
      </c>
      <c r="B5191" t="str">
        <f>"1552374998223521"</f>
        <v>1552374998223521</v>
      </c>
      <c r="C5191" t="s">
        <v>40</v>
      </c>
      <c r="D5191">
        <v>4.4231669999999896</v>
      </c>
      <c r="E5191">
        <v>0.53864650000000003</v>
      </c>
      <c r="F5191" t="s">
        <v>42</v>
      </c>
      <c r="G5191">
        <v>-316.97660000000002</v>
      </c>
      <c r="H5191">
        <v>-0.05</v>
      </c>
      <c r="I5191">
        <v>12.572010000000001</v>
      </c>
      <c r="J5191">
        <v>-325.52080000000001</v>
      </c>
      <c r="K5191">
        <v>1.1083179999999999</v>
      </c>
      <c r="L5191">
        <v>16.516629999999999</v>
      </c>
      <c r="M5191">
        <v>0.9940042</v>
      </c>
      <c r="N5191">
        <v>0</v>
      </c>
      <c r="O5191">
        <v>-0.108836</v>
      </c>
      <c r="P5191">
        <v>0.94402399999999997</v>
      </c>
      <c r="Q5191">
        <v>8.9294949999999998E-2</v>
      </c>
      <c r="R5191">
        <v>-0.3175617</v>
      </c>
      <c r="S5191">
        <v>2.785126</v>
      </c>
      <c r="T5191">
        <v>-0.37296069999999998</v>
      </c>
      <c r="U5191">
        <v>-1.27417</v>
      </c>
      <c r="V5191">
        <v>0.2132867</v>
      </c>
      <c r="W5191">
        <v>9.8737110000000003E-2</v>
      </c>
      <c r="X5191">
        <v>0.9719875</v>
      </c>
      <c r="Y5191">
        <v>0.3130812</v>
      </c>
      <c r="Z5191">
        <v>-6.1621089999999998E-3</v>
      </c>
      <c r="AA5191">
        <v>0.94970639999999995</v>
      </c>
      <c r="AB5191">
        <v>23</v>
      </c>
      <c r="AC5191">
        <v>8.5441999999999894</v>
      </c>
      <c r="AD5191">
        <v>-1.158318</v>
      </c>
      <c r="AE5191">
        <v>-3.9446199999999898</v>
      </c>
      <c r="AF5191">
        <v>2.9465778765268502</v>
      </c>
      <c r="AG5191">
        <v>-1.158318</v>
      </c>
      <c r="AH5191">
        <v>8.7896204760043108</v>
      </c>
      <c r="AI5191">
        <v>97.122106403876998</v>
      </c>
      <c r="AJ5191">
        <v>71.4671072448253</v>
      </c>
      <c r="AK5191">
        <v>9.3424541681378201</v>
      </c>
      <c r="AL5191">
        <v>84.333547509802699</v>
      </c>
      <c r="AM5191">
        <v>77.623540213381801</v>
      </c>
      <c r="AN5191">
        <v>0.99999996672214497</v>
      </c>
    </row>
    <row r="5192" spans="1:40" x14ac:dyDescent="0.25">
      <c r="A5192" t="str">
        <f>"20190312151638240"</f>
        <v>20190312151638240</v>
      </c>
      <c r="B5192" t="str">
        <f>"1552374998233281"</f>
        <v>1552374998233281</v>
      </c>
      <c r="C5192" t="s">
        <v>40</v>
      </c>
      <c r="D5192">
        <v>4.4727680000000003</v>
      </c>
      <c r="E5192">
        <v>0.53939530000000002</v>
      </c>
      <c r="F5192" t="s">
        <v>42</v>
      </c>
      <c r="G5192">
        <v>-316.89640000000003</v>
      </c>
      <c r="H5192">
        <v>-0.05</v>
      </c>
      <c r="I5192">
        <v>12.539149999999999</v>
      </c>
      <c r="J5192">
        <v>-325.41739999999999</v>
      </c>
      <c r="K5192">
        <v>1.1083160000000001</v>
      </c>
      <c r="L5192">
        <v>16.50412</v>
      </c>
      <c r="M5192">
        <v>0.99388810000000005</v>
      </c>
      <c r="N5192">
        <v>0</v>
      </c>
      <c r="O5192">
        <v>-0.10989450000000001</v>
      </c>
      <c r="P5192">
        <v>0.94369879999999995</v>
      </c>
      <c r="Q5192">
        <v>8.9075199999999993E-2</v>
      </c>
      <c r="R5192">
        <v>-0.3185886</v>
      </c>
      <c r="S5192">
        <v>2.7816770000000002</v>
      </c>
      <c r="T5192">
        <v>-0.37359629999999999</v>
      </c>
      <c r="U5192">
        <v>-1.282867</v>
      </c>
      <c r="V5192">
        <v>0.21330640000000001</v>
      </c>
      <c r="W5192">
        <v>9.8492239999999995E-2</v>
      </c>
      <c r="X5192">
        <v>0.97200799999999998</v>
      </c>
      <c r="Y5192">
        <v>0.31495499999999998</v>
      </c>
      <c r="Z5192">
        <v>-6.1629419999999898E-3</v>
      </c>
      <c r="AA5192">
        <v>0.9490866</v>
      </c>
      <c r="AB5192">
        <v>23</v>
      </c>
      <c r="AC5192">
        <v>8.5209999999999493</v>
      </c>
      <c r="AD5192">
        <v>-1.1583159999999999</v>
      </c>
      <c r="AE5192">
        <v>-3.9649700000000001</v>
      </c>
      <c r="AF5192">
        <v>2.9595352716989698</v>
      </c>
      <c r="AG5192">
        <v>-1.1583159999999999</v>
      </c>
      <c r="AH5192">
        <v>8.7718933228095093</v>
      </c>
      <c r="AI5192">
        <v>97.131742695037005</v>
      </c>
      <c r="AJ5192">
        <v>71.356200505970605</v>
      </c>
      <c r="AK5192">
        <v>9.3298798195387498</v>
      </c>
      <c r="AL5192">
        <v>84.347646136685896</v>
      </c>
      <c r="AM5192">
        <v>77.622685309855896</v>
      </c>
      <c r="AN5192">
        <v>0.99999994684258697</v>
      </c>
    </row>
    <row r="5193" spans="1:40" x14ac:dyDescent="0.25">
      <c r="A5193" t="str">
        <f>"20190312151638250"</f>
        <v>20190312151638250</v>
      </c>
      <c r="B5193" t="str">
        <f>"1552374998243041"</f>
        <v>1552374998243041</v>
      </c>
      <c r="C5193" t="s">
        <v>40</v>
      </c>
      <c r="D5193">
        <v>4.4530180000000001</v>
      </c>
      <c r="E5193">
        <v>0.54009189999999996</v>
      </c>
      <c r="F5193" t="s">
        <v>42</v>
      </c>
      <c r="G5193">
        <v>-316.80709999999999</v>
      </c>
      <c r="H5193">
        <v>-0.05</v>
      </c>
      <c r="I5193">
        <v>12.50099</v>
      </c>
      <c r="J5193">
        <v>-325.30680000000001</v>
      </c>
      <c r="K5193">
        <v>1.1083149999999999</v>
      </c>
      <c r="L5193">
        <v>16.49072</v>
      </c>
      <c r="M5193">
        <v>0.99376240000000005</v>
      </c>
      <c r="N5193">
        <v>0</v>
      </c>
      <c r="O5193">
        <v>-0.1110266</v>
      </c>
      <c r="P5193">
        <v>0.94331909999999997</v>
      </c>
      <c r="Q5193">
        <v>8.9062649999999993E-2</v>
      </c>
      <c r="R5193">
        <v>-0.3197142</v>
      </c>
      <c r="S5193">
        <v>2.7781980000000002</v>
      </c>
      <c r="T5193">
        <v>-0.37374249999999998</v>
      </c>
      <c r="U5193">
        <v>-1.2916559999999999</v>
      </c>
      <c r="V5193">
        <v>0.21335950000000001</v>
      </c>
      <c r="W5193">
        <v>9.845334E-2</v>
      </c>
      <c r="X5193">
        <v>0.97200039999999999</v>
      </c>
      <c r="Y5193">
        <v>0.31679049999999997</v>
      </c>
      <c r="Z5193">
        <v>-6.1441019999999898E-3</v>
      </c>
      <c r="AA5193">
        <v>0.94847570000000003</v>
      </c>
      <c r="AB5193">
        <v>23</v>
      </c>
      <c r="AC5193">
        <v>8.4997000000000096</v>
      </c>
      <c r="AD5193">
        <v>-1.158315</v>
      </c>
      <c r="AE5193">
        <v>-3.9897300000000002</v>
      </c>
      <c r="AF5193">
        <v>2.97602589428659</v>
      </c>
      <c r="AG5193">
        <v>-1.158315</v>
      </c>
      <c r="AH5193">
        <v>8.7568695069775497</v>
      </c>
      <c r="AI5193">
        <v>97.138559999340202</v>
      </c>
      <c r="AJ5193">
        <v>71.2296486925962</v>
      </c>
      <c r="AK5193">
        <v>9.3210078492039994</v>
      </c>
      <c r="AL5193">
        <v>84.349886452523293</v>
      </c>
      <c r="AM5193">
        <v>77.619605316814699</v>
      </c>
      <c r="AN5193">
        <v>1.0000000569987799</v>
      </c>
    </row>
    <row r="5194" spans="1:40" x14ac:dyDescent="0.25">
      <c r="A5194" t="str">
        <f>"20190312151638263"</f>
        <v>20190312151638263</v>
      </c>
      <c r="B5194" t="str">
        <f>"1552374998252802"</f>
        <v>1552374998252802</v>
      </c>
      <c r="C5194" t="s">
        <v>40</v>
      </c>
      <c r="D5194">
        <v>4.4657669999999996</v>
      </c>
      <c r="E5194">
        <v>0.5407843</v>
      </c>
      <c r="F5194" t="s">
        <v>42</v>
      </c>
      <c r="G5194">
        <v>-316.6925</v>
      </c>
      <c r="H5194">
        <v>-0.05</v>
      </c>
      <c r="I5194">
        <v>12.45284</v>
      </c>
      <c r="J5194">
        <v>-325.1859</v>
      </c>
      <c r="K5194">
        <v>1.108311</v>
      </c>
      <c r="L5194">
        <v>16.4758</v>
      </c>
      <c r="M5194">
        <v>0.99362379999999995</v>
      </c>
      <c r="N5194">
        <v>0</v>
      </c>
      <c r="O5194">
        <v>-0.1122631</v>
      </c>
      <c r="P5194">
        <v>0.94294160000000005</v>
      </c>
      <c r="Q5194">
        <v>8.9022240000000002E-2</v>
      </c>
      <c r="R5194">
        <v>-0.32083739999999999</v>
      </c>
      <c r="S5194">
        <v>2.7746580000000001</v>
      </c>
      <c r="T5194">
        <v>-0.37309229999999999</v>
      </c>
      <c r="U5194">
        <v>-1.3005979999999999</v>
      </c>
      <c r="V5194">
        <v>0.2133072</v>
      </c>
      <c r="W5194">
        <v>9.8386440000000006E-2</v>
      </c>
      <c r="X5194">
        <v>0.97201859999999995</v>
      </c>
      <c r="Y5194">
        <v>0.31858239999999999</v>
      </c>
      <c r="Z5194">
        <v>-6.0965309999999997E-3</v>
      </c>
      <c r="AA5194">
        <v>0.94787560000000004</v>
      </c>
      <c r="AB5194">
        <v>23</v>
      </c>
      <c r="AC5194">
        <v>8.4933999999999994</v>
      </c>
      <c r="AD5194">
        <v>-1.1583110000000001</v>
      </c>
      <c r="AE5194">
        <v>-4.0229599999999897</v>
      </c>
      <c r="AF5194">
        <v>2.9984302806143002</v>
      </c>
      <c r="AG5194">
        <v>-1.1583110000000001</v>
      </c>
      <c r="AH5194">
        <v>8.75831184343369</v>
      </c>
      <c r="AI5194">
        <v>97.131973761312395</v>
      </c>
      <c r="AJ5194">
        <v>71.101230244030702</v>
      </c>
      <c r="AK5194">
        <v>9.3295388346507604</v>
      </c>
      <c r="AL5194">
        <v>84.353737951282497</v>
      </c>
      <c r="AM5194">
        <v>77.622771136479898</v>
      </c>
      <c r="AN5194">
        <v>1.0000000059468299</v>
      </c>
    </row>
    <row r="5195" spans="1:40" x14ac:dyDescent="0.25">
      <c r="A5195" t="str">
        <f>"20190312151638274"</f>
        <v>20190312151638274</v>
      </c>
      <c r="B5195" t="str">
        <f>"1552374998262562"</f>
        <v>1552374998262562</v>
      </c>
      <c r="C5195" t="s">
        <v>40</v>
      </c>
      <c r="D5195">
        <v>4.496397</v>
      </c>
      <c r="E5195">
        <v>0.54143219999999903</v>
      </c>
      <c r="F5195" t="s">
        <v>42</v>
      </c>
      <c r="G5195">
        <v>-316.59449999999998</v>
      </c>
      <c r="H5195">
        <v>-0.05</v>
      </c>
      <c r="I5195">
        <v>12.41682</v>
      </c>
      <c r="J5195">
        <v>-325.0711</v>
      </c>
      <c r="K5195">
        <v>1.1083069999999999</v>
      </c>
      <c r="L5195">
        <v>16.46161</v>
      </c>
      <c r="M5195">
        <v>0.9934906</v>
      </c>
      <c r="N5195">
        <v>0</v>
      </c>
      <c r="O5195">
        <v>-0.11343789999999999</v>
      </c>
      <c r="P5195">
        <v>0.94258779999999998</v>
      </c>
      <c r="Q5195">
        <v>8.8998469999999996E-2</v>
      </c>
      <c r="R5195">
        <v>-0.3218818</v>
      </c>
      <c r="S5195">
        <v>2.7713320000000001</v>
      </c>
      <c r="T5195">
        <v>-0.37363449999999998</v>
      </c>
      <c r="U5195">
        <v>-1.309296</v>
      </c>
      <c r="V5195">
        <v>0.21323510000000001</v>
      </c>
      <c r="W5195">
        <v>9.8338999999999996E-2</v>
      </c>
      <c r="X5195">
        <v>0.97203919999999999</v>
      </c>
      <c r="Y5195">
        <v>0.32032470000000002</v>
      </c>
      <c r="Z5195">
        <v>-6.0725400000000004E-3</v>
      </c>
      <c r="AA5195">
        <v>0.94728829999999997</v>
      </c>
      <c r="AB5195">
        <v>23</v>
      </c>
      <c r="AC5195">
        <v>8.4766000000000101</v>
      </c>
      <c r="AD5195">
        <v>-1.158307</v>
      </c>
      <c r="AE5195">
        <v>-4.0447899999999999</v>
      </c>
      <c r="AF5195">
        <v>3.01125895291139</v>
      </c>
      <c r="AG5195">
        <v>-1.158307</v>
      </c>
      <c r="AH5195">
        <v>8.7476878812346097</v>
      </c>
      <c r="AI5195">
        <v>97.136437811078395</v>
      </c>
      <c r="AJ5195">
        <v>71.004752150989503</v>
      </c>
      <c r="AK5195">
        <v>9.3237009205163197</v>
      </c>
      <c r="AL5195">
        <v>84.356469198671206</v>
      </c>
      <c r="AM5195">
        <v>77.627080024809104</v>
      </c>
      <c r="AN5195">
        <v>0.99999998656482403</v>
      </c>
    </row>
    <row r="5196" spans="1:40" x14ac:dyDescent="0.25">
      <c r="A5196" t="str">
        <f>"20190312151638285"</f>
        <v>20190312151638285</v>
      </c>
      <c r="B5196" t="str">
        <f>"1552374998283058"</f>
        <v>1552374998283058</v>
      </c>
      <c r="C5196" t="s">
        <v>40</v>
      </c>
      <c r="D5196">
        <v>4.4890280000000002</v>
      </c>
      <c r="E5196">
        <v>0.54259760000000001</v>
      </c>
      <c r="F5196" t="s">
        <v>42</v>
      </c>
      <c r="G5196">
        <v>-316.49259999999998</v>
      </c>
      <c r="H5196">
        <v>-0.05</v>
      </c>
      <c r="I5196">
        <v>12.37875</v>
      </c>
      <c r="J5196">
        <v>-324.9486</v>
      </c>
      <c r="K5196">
        <v>1.108304</v>
      </c>
      <c r="L5196">
        <v>16.44623</v>
      </c>
      <c r="M5196">
        <v>0.99334719999999999</v>
      </c>
      <c r="N5196">
        <v>0</v>
      </c>
      <c r="O5196">
        <v>-0.1146904</v>
      </c>
      <c r="P5196">
        <v>0.94215170000000004</v>
      </c>
      <c r="Q5196">
        <v>8.8932189999999994E-2</v>
      </c>
      <c r="R5196">
        <v>-0.32317479999999998</v>
      </c>
      <c r="S5196">
        <v>2.7681580000000001</v>
      </c>
      <c r="T5196">
        <v>-0.37376799999999999</v>
      </c>
      <c r="U5196">
        <v>-1.317474</v>
      </c>
      <c r="V5196">
        <v>0.213343</v>
      </c>
      <c r="W5196">
        <v>9.8249299999999998E-2</v>
      </c>
      <c r="X5196">
        <v>0.97202460000000002</v>
      </c>
      <c r="Y5196">
        <v>0.32183109999999998</v>
      </c>
      <c r="Z5196">
        <v>-6.0169949999999998E-3</v>
      </c>
      <c r="AA5196">
        <v>0.94677800000000001</v>
      </c>
      <c r="AB5196">
        <v>23</v>
      </c>
      <c r="AC5196">
        <v>8.4560000000000102</v>
      </c>
      <c r="AD5196">
        <v>-1.158304</v>
      </c>
      <c r="AE5196">
        <v>-4.0674799999999998</v>
      </c>
      <c r="AF5196">
        <v>3.0246732821982998</v>
      </c>
      <c r="AG5196">
        <v>-1.158304</v>
      </c>
      <c r="AH5196">
        <v>8.7336392436233599</v>
      </c>
      <c r="AI5196">
        <v>97.143221464018794</v>
      </c>
      <c r="AJ5196">
        <v>70.897776724243798</v>
      </c>
      <c r="AK5196">
        <v>9.31486827916628</v>
      </c>
      <c r="AL5196">
        <v>84.361633669088604</v>
      </c>
      <c r="AM5196">
        <v>77.620831927130297</v>
      </c>
      <c r="AN5196">
        <v>0.99999999180232402</v>
      </c>
    </row>
    <row r="5197" spans="1:40" x14ac:dyDescent="0.25">
      <c r="A5197" t="str">
        <f>"20190312151638295"</f>
        <v>20190312151638295</v>
      </c>
      <c r="B5197" t="str">
        <f>"1552374998292817"</f>
        <v>1552374998292817</v>
      </c>
      <c r="C5197" t="s">
        <v>40</v>
      </c>
      <c r="D5197">
        <v>4.4703229999999996</v>
      </c>
      <c r="E5197">
        <v>0.54317139999999997</v>
      </c>
      <c r="F5197" t="s">
        <v>42</v>
      </c>
      <c r="G5197">
        <v>-316.38740000000001</v>
      </c>
      <c r="H5197">
        <v>-0.05</v>
      </c>
      <c r="I5197">
        <v>12.324859999999999</v>
      </c>
      <c r="J5197">
        <v>-324.84199999999998</v>
      </c>
      <c r="K5197">
        <v>1.108301</v>
      </c>
      <c r="L5197">
        <v>16.432770000000001</v>
      </c>
      <c r="M5197">
        <v>0.99322089999999996</v>
      </c>
      <c r="N5197">
        <v>0</v>
      </c>
      <c r="O5197">
        <v>-0.1157797</v>
      </c>
      <c r="P5197">
        <v>0.94176099999999996</v>
      </c>
      <c r="Q5197">
        <v>8.8876339999999998E-2</v>
      </c>
      <c r="R5197">
        <v>-0.32432610000000001</v>
      </c>
      <c r="S5197">
        <v>2.7631839999999999</v>
      </c>
      <c r="T5197">
        <v>-0.37384919999999999</v>
      </c>
      <c r="U5197">
        <v>-1.3302</v>
      </c>
      <c r="V5197">
        <v>0.21346499999999999</v>
      </c>
      <c r="W5197">
        <v>9.8174310000000001E-2</v>
      </c>
      <c r="X5197">
        <v>0.97200540000000002</v>
      </c>
      <c r="Y5197">
        <v>0.32498250000000001</v>
      </c>
      <c r="Z5197">
        <v>-6.0879619999999997E-3</v>
      </c>
      <c r="AA5197">
        <v>0.94570050000000005</v>
      </c>
      <c r="AB5197">
        <v>23</v>
      </c>
      <c r="AC5197">
        <v>8.4545999999999708</v>
      </c>
      <c r="AD5197">
        <v>-1.158301</v>
      </c>
      <c r="AE5197">
        <v>-4.1079099999999897</v>
      </c>
      <c r="AF5197">
        <v>3.0549681490912</v>
      </c>
      <c r="AG5197">
        <v>-1.158301</v>
      </c>
      <c r="AH5197">
        <v>8.7406485666595195</v>
      </c>
      <c r="AI5197">
        <v>97.130547734343494</v>
      </c>
      <c r="AJ5197">
        <v>70.734828079696101</v>
      </c>
      <c r="AK5197">
        <v>9.3313144285470297</v>
      </c>
      <c r="AL5197">
        <v>84.365951195858202</v>
      </c>
      <c r="AM5197">
        <v>77.613734237033498</v>
      </c>
      <c r="AN5197">
        <v>0.99999999949906804</v>
      </c>
    </row>
    <row r="5198" spans="1:40" x14ac:dyDescent="0.25">
      <c r="A5198" t="str">
        <f>"20190312151638306"</f>
        <v>20190312151638306</v>
      </c>
      <c r="B5198" t="str">
        <f>"1552374998302577"</f>
        <v>1552374998302577</v>
      </c>
      <c r="C5198" t="s">
        <v>40</v>
      </c>
      <c r="D5198">
        <v>4.4848660000000002</v>
      </c>
      <c r="E5198">
        <v>0.54370799999999997</v>
      </c>
      <c r="F5198" t="s">
        <v>42</v>
      </c>
      <c r="G5198">
        <v>-316.30619999999999</v>
      </c>
      <c r="H5198">
        <v>-0.05</v>
      </c>
      <c r="I5198">
        <v>12.29372</v>
      </c>
      <c r="J5198">
        <v>-324.72730000000001</v>
      </c>
      <c r="K5198">
        <v>1.1082989999999999</v>
      </c>
      <c r="L5198">
        <v>16.418060000000001</v>
      </c>
      <c r="M5198">
        <v>0.99308379999999996</v>
      </c>
      <c r="N5198">
        <v>0</v>
      </c>
      <c r="O5198">
        <v>-0.1169515</v>
      </c>
      <c r="P5198">
        <v>0.941438</v>
      </c>
      <c r="Q5198">
        <v>8.8598460000000004E-2</v>
      </c>
      <c r="R5198">
        <v>-0.32533859999999998</v>
      </c>
      <c r="S5198">
        <v>2.7599179999999999</v>
      </c>
      <c r="T5198">
        <v>-0.37451570000000001</v>
      </c>
      <c r="U5198">
        <v>-1.338287</v>
      </c>
      <c r="V5198">
        <v>0.21335960000000001</v>
      </c>
      <c r="W5198">
        <v>9.7879160000000007E-2</v>
      </c>
      <c r="X5198">
        <v>0.97205830000000004</v>
      </c>
      <c r="Y5198">
        <v>0.32654129999999998</v>
      </c>
      <c r="Z5198">
        <v>-6.0546419999999998E-3</v>
      </c>
      <c r="AA5198">
        <v>0.94516350000000005</v>
      </c>
      <c r="AB5198">
        <v>23</v>
      </c>
      <c r="AC5198">
        <v>8.4211000000000205</v>
      </c>
      <c r="AD5198">
        <v>-1.158299</v>
      </c>
      <c r="AE5198">
        <v>-4.1243400000000001</v>
      </c>
      <c r="AF5198">
        <v>3.0643619208903998</v>
      </c>
      <c r="AG5198">
        <v>-1.158299</v>
      </c>
      <c r="AH5198">
        <v>8.7127303246185495</v>
      </c>
      <c r="AI5198">
        <v>97.148290803744302</v>
      </c>
      <c r="AJ5198">
        <v>70.622672697182495</v>
      </c>
      <c r="AK5198">
        <v>9.3082565642085608</v>
      </c>
      <c r="AL5198">
        <v>84.382943853287301</v>
      </c>
      <c r="AM5198">
        <v>77.620314384975998</v>
      </c>
      <c r="AN5198">
        <v>0.99999999373667703</v>
      </c>
    </row>
    <row r="5199" spans="1:40" x14ac:dyDescent="0.25">
      <c r="A5199" t="str">
        <f>"20190312151638319"</f>
        <v>20190312151638319</v>
      </c>
      <c r="B5199" t="str">
        <f>"1552374998313313"</f>
        <v>1552374998313313</v>
      </c>
      <c r="C5199" t="s">
        <v>40</v>
      </c>
      <c r="D5199">
        <v>4.4832280000000004</v>
      </c>
      <c r="E5199">
        <v>0.54418049999999996</v>
      </c>
      <c r="F5199" t="s">
        <v>42</v>
      </c>
      <c r="G5199">
        <v>-316.2201</v>
      </c>
      <c r="H5199">
        <v>-0.05</v>
      </c>
      <c r="I5199">
        <v>12.26703</v>
      </c>
      <c r="J5199">
        <v>-324.60070000000002</v>
      </c>
      <c r="K5199">
        <v>1.1082959999999999</v>
      </c>
      <c r="L5199">
        <v>16.401759999999999</v>
      </c>
      <c r="M5199">
        <v>0.99293109999999996</v>
      </c>
      <c r="N5199">
        <v>0</v>
      </c>
      <c r="O5199">
        <v>-0.1182424</v>
      </c>
      <c r="P5199">
        <v>0.94096480000000005</v>
      </c>
      <c r="Q5199">
        <v>8.8681280000000001E-2</v>
      </c>
      <c r="R5199">
        <v>-0.32668249999999999</v>
      </c>
      <c r="S5199">
        <v>2.7570190000000001</v>
      </c>
      <c r="T5199">
        <v>-0.37538349999999998</v>
      </c>
      <c r="U5199">
        <v>-1.3452759999999999</v>
      </c>
      <c r="V5199">
        <v>0.21348549999999999</v>
      </c>
      <c r="W5199">
        <v>9.7944160000000002E-2</v>
      </c>
      <c r="X5199">
        <v>0.97202409999999995</v>
      </c>
      <c r="Y5199">
        <v>0.32763399999999998</v>
      </c>
      <c r="Z5199">
        <v>-5.9791269999999999E-3</v>
      </c>
      <c r="AA5199">
        <v>0.94478580000000001</v>
      </c>
      <c r="AB5199">
        <v>23</v>
      </c>
      <c r="AC5199">
        <v>8.38060000000001</v>
      </c>
      <c r="AD5199">
        <v>-1.158296</v>
      </c>
      <c r="AE5199">
        <v>-4.1347299999999896</v>
      </c>
      <c r="AF5199">
        <v>3.0675984827576399</v>
      </c>
      <c r="AG5199">
        <v>-1.158296</v>
      </c>
      <c r="AH5199">
        <v>8.6774178772672101</v>
      </c>
      <c r="AI5199">
        <v>97.173041697352303</v>
      </c>
      <c r="AJ5199">
        <v>70.530728138664699</v>
      </c>
      <c r="AK5199">
        <v>9.2762811024542309</v>
      </c>
      <c r="AL5199">
        <v>84.379201592276303</v>
      </c>
      <c r="AM5199">
        <v>77.612812404005297</v>
      </c>
      <c r="AN5199">
        <v>0.99999998408458202</v>
      </c>
    </row>
    <row r="5200" spans="1:40" x14ac:dyDescent="0.25">
      <c r="A5200" t="str">
        <f>"20190312151638328"</f>
        <v>20190312151638328</v>
      </c>
      <c r="B5200" t="str">
        <f>"1552374998323073"</f>
        <v>1552374998323073</v>
      </c>
      <c r="C5200" t="s">
        <v>40</v>
      </c>
      <c r="D5200">
        <v>4.4922760000000004</v>
      </c>
      <c r="E5200">
        <v>0.54467119999999902</v>
      </c>
      <c r="F5200" t="s">
        <v>42</v>
      </c>
      <c r="G5200">
        <v>-316.11509999999998</v>
      </c>
      <c r="H5200">
        <v>-0.05</v>
      </c>
      <c r="I5200">
        <v>12.23415</v>
      </c>
      <c r="J5200">
        <v>-324.48860000000002</v>
      </c>
      <c r="K5200">
        <v>1.108293</v>
      </c>
      <c r="L5200">
        <v>16.387149999999998</v>
      </c>
      <c r="M5200">
        <v>0.99279439999999997</v>
      </c>
      <c r="N5200">
        <v>0</v>
      </c>
      <c r="O5200">
        <v>-0.1193849</v>
      </c>
      <c r="P5200">
        <v>0.94059309999999996</v>
      </c>
      <c r="Q5200">
        <v>8.8600429999999994E-2</v>
      </c>
      <c r="R5200">
        <v>-0.32777260000000003</v>
      </c>
      <c r="S5200">
        <v>2.7540589999999998</v>
      </c>
      <c r="T5200">
        <v>-0.37593320000000002</v>
      </c>
      <c r="U5200">
        <v>-1.3526309999999999</v>
      </c>
      <c r="V5200">
        <v>0.21349209999999999</v>
      </c>
      <c r="W5200">
        <v>9.7848770000000002E-2</v>
      </c>
      <c r="X5200">
        <v>0.97203220000000001</v>
      </c>
      <c r="Y5200">
        <v>0.32897559999999998</v>
      </c>
      <c r="Z5200">
        <v>-5.9329439999999999E-3</v>
      </c>
      <c r="AA5200">
        <v>0.94431980000000004</v>
      </c>
      <c r="AB5200">
        <v>23</v>
      </c>
      <c r="AC5200">
        <v>8.3735000000000301</v>
      </c>
      <c r="AD5200">
        <v>-1.158293</v>
      </c>
      <c r="AE5200">
        <v>-4.1529999999999898</v>
      </c>
      <c r="AF5200">
        <v>3.07632851192017</v>
      </c>
      <c r="AG5200">
        <v>-1.158293</v>
      </c>
      <c r="AH5200">
        <v>8.6761972250575692</v>
      </c>
      <c r="AI5200">
        <v>97.171663917773003</v>
      </c>
      <c r="AJ5200">
        <v>70.476966091614599</v>
      </c>
      <c r="AK5200">
        <v>9.2780298595767992</v>
      </c>
      <c r="AL5200">
        <v>84.384693101328196</v>
      </c>
      <c r="AM5200">
        <v>77.612541310627094</v>
      </c>
      <c r="AN5200">
        <v>0.99999992819487804</v>
      </c>
    </row>
    <row r="5201" spans="1:40" x14ac:dyDescent="0.25">
      <c r="A5201" t="str">
        <f>"20190312151638340"</f>
        <v>20190312151638340</v>
      </c>
      <c r="B5201" t="str">
        <f>"1552374998332834"</f>
        <v>1552374998332834</v>
      </c>
      <c r="C5201" t="s">
        <v>40</v>
      </c>
      <c r="D5201">
        <v>4.4750100000000002</v>
      </c>
      <c r="E5201">
        <v>0.54512299999999903</v>
      </c>
      <c r="F5201" t="s">
        <v>42</v>
      </c>
      <c r="G5201">
        <v>-316.02719999999999</v>
      </c>
      <c r="H5201">
        <v>-0.05</v>
      </c>
      <c r="I5201">
        <v>12.20576</v>
      </c>
      <c r="J5201">
        <v>-324.37430000000001</v>
      </c>
      <c r="K5201">
        <v>1.108282</v>
      </c>
      <c r="L5201">
        <v>16.372129999999999</v>
      </c>
      <c r="M5201">
        <v>0.99265420000000004</v>
      </c>
      <c r="N5201">
        <v>0</v>
      </c>
      <c r="O5201">
        <v>-0.1205463</v>
      </c>
      <c r="P5201">
        <v>0.94023369999999995</v>
      </c>
      <c r="Q5201">
        <v>8.8647169999999997E-2</v>
      </c>
      <c r="R5201">
        <v>-0.32878960000000002</v>
      </c>
      <c r="S5201">
        <v>2.7511899999999998</v>
      </c>
      <c r="T5201">
        <v>-0.37661480000000003</v>
      </c>
      <c r="U5201">
        <v>-1.359558</v>
      </c>
      <c r="V5201">
        <v>0.2134066</v>
      </c>
      <c r="W5201">
        <v>9.788579E-2</v>
      </c>
      <c r="X5201">
        <v>0.97204729999999995</v>
      </c>
      <c r="Y5201">
        <v>0.3301674</v>
      </c>
      <c r="Z5201">
        <v>-5.8765780000000004E-3</v>
      </c>
      <c r="AA5201">
        <v>0.94390410000000002</v>
      </c>
      <c r="AB5201">
        <v>23</v>
      </c>
      <c r="AC5201">
        <v>8.34710000000001</v>
      </c>
      <c r="AD5201">
        <v>-1.158282</v>
      </c>
      <c r="AE5201">
        <v>-4.1663699999999899</v>
      </c>
      <c r="AF5201">
        <v>3.0822064061865002</v>
      </c>
      <c r="AG5201">
        <v>-1.158282</v>
      </c>
      <c r="AH5201">
        <v>8.6550724457867805</v>
      </c>
      <c r="AI5201">
        <v>97.185451843044007</v>
      </c>
      <c r="AJ5201">
        <v>70.3983918045774</v>
      </c>
      <c r="AK5201">
        <v>9.26023177699558</v>
      </c>
      <c r="AL5201">
        <v>84.382562066958002</v>
      </c>
      <c r="AM5201">
        <v>77.617535633704094</v>
      </c>
      <c r="AN5201">
        <v>0.99999997912238603</v>
      </c>
    </row>
    <row r="5202" spans="1:40" x14ac:dyDescent="0.25">
      <c r="A5202" t="str">
        <f>"20190312151638351"</f>
        <v>20190312151638351</v>
      </c>
      <c r="B5202" t="str">
        <f>"1552374998342593"</f>
        <v>1552374998342593</v>
      </c>
      <c r="C5202" t="s">
        <v>40</v>
      </c>
      <c r="D5202">
        <v>4.5120809999999896</v>
      </c>
      <c r="E5202">
        <v>0.5455333</v>
      </c>
      <c r="F5202" t="s">
        <v>42</v>
      </c>
      <c r="G5202">
        <v>-315.9323</v>
      </c>
      <c r="H5202">
        <v>-0.05</v>
      </c>
      <c r="I5202">
        <v>12.176069999999999</v>
      </c>
      <c r="J5202">
        <v>-324.26179999999999</v>
      </c>
      <c r="K5202">
        <v>1.1082809999999901</v>
      </c>
      <c r="L5202">
        <v>16.35727</v>
      </c>
      <c r="M5202">
        <v>0.99251509999999998</v>
      </c>
      <c r="N5202">
        <v>0</v>
      </c>
      <c r="O5202">
        <v>-0.1216877</v>
      </c>
      <c r="P5202">
        <v>0.93987830000000006</v>
      </c>
      <c r="Q5202">
        <v>8.830433E-2</v>
      </c>
      <c r="R5202">
        <v>-0.32989550000000001</v>
      </c>
      <c r="S5202">
        <v>2.7485659999999998</v>
      </c>
      <c r="T5202">
        <v>-0.37711329999999998</v>
      </c>
      <c r="U5202">
        <v>-1.36615</v>
      </c>
      <c r="V5202">
        <v>0.21342710000000001</v>
      </c>
      <c r="W5202">
        <v>9.7534170000000003E-2</v>
      </c>
      <c r="X5202">
        <v>0.97207809999999994</v>
      </c>
      <c r="Y5202">
        <v>0.33125329999999997</v>
      </c>
      <c r="Z5202">
        <v>-5.8124980000000001E-3</v>
      </c>
      <c r="AA5202">
        <v>0.94352389999999997</v>
      </c>
      <c r="AB5202">
        <v>23</v>
      </c>
      <c r="AC5202">
        <v>8.3294999999999906</v>
      </c>
      <c r="AD5202">
        <v>-1.1582809999999999</v>
      </c>
      <c r="AE5202">
        <v>-4.1811999999999996</v>
      </c>
      <c r="AF5202">
        <v>3.0887659370015799</v>
      </c>
      <c r="AG5202">
        <v>-1.1582809999999999</v>
      </c>
      <c r="AH5202">
        <v>8.6429281762927204</v>
      </c>
      <c r="AI5202">
        <v>97.192599245121002</v>
      </c>
      <c r="AJ5202">
        <v>70.334383676308406</v>
      </c>
      <c r="AK5202">
        <v>9.2510700650841908</v>
      </c>
      <c r="AL5202">
        <v>84.402805037626095</v>
      </c>
      <c r="AM5202">
        <v>77.616763127819198</v>
      </c>
      <c r="AN5202">
        <v>0.99999993691580202</v>
      </c>
    </row>
    <row r="5203" spans="1:40" x14ac:dyDescent="0.25">
      <c r="A5203" t="str">
        <f>"20190312151638365"</f>
        <v>20190312151638365</v>
      </c>
      <c r="B5203" t="str">
        <f>"1552374998353331"</f>
        <v>1552374998353331</v>
      </c>
      <c r="C5203" t="s">
        <v>40</v>
      </c>
      <c r="D5203">
        <v>4.5104350000000002</v>
      </c>
      <c r="E5203">
        <v>0.54599089999999995</v>
      </c>
      <c r="F5203" t="s">
        <v>42</v>
      </c>
      <c r="G5203">
        <v>-315.86829999999998</v>
      </c>
      <c r="H5203">
        <v>-0.05</v>
      </c>
      <c r="I5203">
        <v>12.161770000000001</v>
      </c>
      <c r="J5203">
        <v>-324.1293</v>
      </c>
      <c r="K5203">
        <v>1.1082809999999901</v>
      </c>
      <c r="L5203">
        <v>16.339510000000001</v>
      </c>
      <c r="M5203">
        <v>0.99235019999999996</v>
      </c>
      <c r="N5203">
        <v>0</v>
      </c>
      <c r="O5203">
        <v>-0.1230256</v>
      </c>
      <c r="P5203">
        <v>0.93951050000000003</v>
      </c>
      <c r="Q5203">
        <v>8.8251339999999998E-2</v>
      </c>
      <c r="R5203">
        <v>-0.33095639999999998</v>
      </c>
      <c r="S5203">
        <v>2.7457579999999999</v>
      </c>
      <c r="T5203">
        <v>-0.3789073</v>
      </c>
      <c r="U5203">
        <v>-1.3724670000000001</v>
      </c>
      <c r="V5203">
        <v>0.21321190000000001</v>
      </c>
      <c r="W5203">
        <v>9.7475790000000007E-2</v>
      </c>
      <c r="X5203">
        <v>0.97213130000000003</v>
      </c>
      <c r="Y5203">
        <v>0.33209309999999997</v>
      </c>
      <c r="Z5203">
        <v>-5.7272679999999998E-3</v>
      </c>
      <c r="AA5203">
        <v>0.94322930000000005</v>
      </c>
      <c r="AB5203">
        <v>23</v>
      </c>
      <c r="AC5203">
        <v>8.2610000000000205</v>
      </c>
      <c r="AD5203">
        <v>-1.1582809999999999</v>
      </c>
      <c r="AE5203">
        <v>-4.17774</v>
      </c>
      <c r="AF5203">
        <v>3.0813923174786901</v>
      </c>
      <c r="AG5203">
        <v>-1.1582809999999999</v>
      </c>
      <c r="AH5203">
        <v>8.5779452068880104</v>
      </c>
      <c r="AI5203">
        <v>97.242305091431007</v>
      </c>
      <c r="AJ5203">
        <v>70.240561656690602</v>
      </c>
      <c r="AK5203">
        <v>9.1879125736780196</v>
      </c>
      <c r="AL5203">
        <v>84.406166638312101</v>
      </c>
      <c r="AM5203">
        <v>77.629520745533895</v>
      </c>
      <c r="AN5203">
        <v>1.00000005418871</v>
      </c>
    </row>
    <row r="5204" spans="1:40" x14ac:dyDescent="0.25">
      <c r="A5204" t="str">
        <f>"20190312151638376"</f>
        <v>20190312151638376</v>
      </c>
      <c r="B5204" t="str">
        <f>"1552374998372849"</f>
        <v>1552374998372849</v>
      </c>
      <c r="C5204" t="s">
        <v>40</v>
      </c>
      <c r="D5204">
        <v>4.527603</v>
      </c>
      <c r="E5204">
        <v>0.54684189999999999</v>
      </c>
      <c r="F5204" t="s">
        <v>42</v>
      </c>
      <c r="G5204">
        <v>-315.75349999999997</v>
      </c>
      <c r="H5204">
        <v>-0.05</v>
      </c>
      <c r="I5204">
        <v>12.12886</v>
      </c>
      <c r="J5204">
        <v>-324.00439999999998</v>
      </c>
      <c r="K5204">
        <v>1.108279</v>
      </c>
      <c r="L5204">
        <v>16.32263</v>
      </c>
      <c r="M5204">
        <v>0.99219360000000001</v>
      </c>
      <c r="N5204">
        <v>0</v>
      </c>
      <c r="O5204">
        <v>-0.1242833</v>
      </c>
      <c r="P5204">
        <v>0.93914229999999999</v>
      </c>
      <c r="Q5204">
        <v>8.7710469999999999E-2</v>
      </c>
      <c r="R5204">
        <v>-0.33214270000000001</v>
      </c>
      <c r="S5204">
        <v>2.743042</v>
      </c>
      <c r="T5204">
        <v>-0.37933119999999998</v>
      </c>
      <c r="U5204">
        <v>-1.3789670000000001</v>
      </c>
      <c r="V5204">
        <v>0.21319850000000001</v>
      </c>
      <c r="W5204">
        <v>9.6930489999999994E-2</v>
      </c>
      <c r="X5204">
        <v>0.97218870000000002</v>
      </c>
      <c r="Y5204">
        <v>0.33305570000000001</v>
      </c>
      <c r="Z5204">
        <v>-5.638746E-3</v>
      </c>
      <c r="AA5204">
        <v>0.94289029999999996</v>
      </c>
      <c r="AB5204">
        <v>23</v>
      </c>
      <c r="AC5204">
        <v>8.2508999999999997</v>
      </c>
      <c r="AD5204">
        <v>-1.1582790000000001</v>
      </c>
      <c r="AE5204">
        <v>-4.19376999999999</v>
      </c>
      <c r="AF5204">
        <v>3.0873960606483601</v>
      </c>
      <c r="AG5204">
        <v>-1.1582790000000001</v>
      </c>
      <c r="AH5204">
        <v>8.5738885634802706</v>
      </c>
      <c r="AI5204">
        <v>97.243696562049394</v>
      </c>
      <c r="AJ5204">
        <v>70.196413684355903</v>
      </c>
      <c r="AK5204">
        <v>9.1861411798494501</v>
      </c>
      <c r="AL5204">
        <v>84.437558346729901</v>
      </c>
      <c r="AM5204">
        <v>77.630982126790002</v>
      </c>
      <c r="AN5204">
        <v>0.99999999435079001</v>
      </c>
    </row>
    <row r="5205" spans="1:40" x14ac:dyDescent="0.25">
      <c r="A5205" t="str">
        <f>"20190312151638388"</f>
        <v>20190312151638388</v>
      </c>
      <c r="B5205" t="str">
        <f>"1552374998382609"</f>
        <v>1552374998382609</v>
      </c>
      <c r="C5205" t="s">
        <v>40</v>
      </c>
      <c r="D5205">
        <v>4.3103930000000004</v>
      </c>
      <c r="E5205">
        <v>0.5471627</v>
      </c>
      <c r="F5205" t="s">
        <v>42</v>
      </c>
      <c r="G5205">
        <v>-315.70499999999998</v>
      </c>
      <c r="H5205">
        <v>-0.05</v>
      </c>
      <c r="I5205">
        <v>12.11436</v>
      </c>
      <c r="J5205">
        <v>-323.8802</v>
      </c>
      <c r="K5205">
        <v>1.108282</v>
      </c>
      <c r="L5205">
        <v>16.305730000000001</v>
      </c>
      <c r="M5205">
        <v>0.99203719999999995</v>
      </c>
      <c r="N5205">
        <v>0</v>
      </c>
      <c r="O5205">
        <v>-0.12552639999999901</v>
      </c>
      <c r="P5205">
        <v>0.9387489</v>
      </c>
      <c r="Q5205">
        <v>8.7846789999999994E-2</v>
      </c>
      <c r="R5205">
        <v>-0.3332175</v>
      </c>
      <c r="S5205">
        <v>2.7389220000000001</v>
      </c>
      <c r="T5205">
        <v>-0.38225049999999999</v>
      </c>
      <c r="U5205">
        <v>-1.3887940000000001</v>
      </c>
      <c r="V5205">
        <v>0.2130939</v>
      </c>
      <c r="W5205">
        <v>9.7063380000000005E-2</v>
      </c>
      <c r="X5205">
        <v>0.97219840000000002</v>
      </c>
      <c r="Y5205">
        <v>0.33510699999999999</v>
      </c>
      <c r="Z5205">
        <v>-5.6608140000000001E-3</v>
      </c>
      <c r="AA5205">
        <v>0.94216310000000003</v>
      </c>
      <c r="AB5205">
        <v>23</v>
      </c>
      <c r="AC5205">
        <v>8.1752000000000091</v>
      </c>
      <c r="AD5205">
        <v>-1.158282</v>
      </c>
      <c r="AE5205">
        <v>-4.1913699999999903</v>
      </c>
      <c r="AF5205">
        <v>3.0829509220113702</v>
      </c>
      <c r="AG5205">
        <v>-1.158282</v>
      </c>
      <c r="AH5205">
        <v>8.5015472062356707</v>
      </c>
      <c r="AI5205">
        <v>97.298823553723807</v>
      </c>
      <c r="AJ5205">
        <v>70.067628634062501</v>
      </c>
      <c r="AK5205">
        <v>9.1171546262476202</v>
      </c>
      <c r="AL5205">
        <v>84.429908378125006</v>
      </c>
      <c r="AM5205">
        <v>77.636983541177997</v>
      </c>
      <c r="AN5205">
        <v>1.00000001945839</v>
      </c>
    </row>
    <row r="5206" spans="1:40" x14ac:dyDescent="0.25">
      <c r="A5206" t="str">
        <f>"20190312151638401"</f>
        <v>20190312151638401</v>
      </c>
      <c r="B5206" t="str">
        <f>"1552374998393345"</f>
        <v>1552374998393345</v>
      </c>
      <c r="C5206" t="s">
        <v>40</v>
      </c>
      <c r="D5206">
        <v>4.5030799999999997</v>
      </c>
      <c r="E5206">
        <v>0.54751709999999998</v>
      </c>
      <c r="F5206" t="s">
        <v>42</v>
      </c>
      <c r="G5206">
        <v>-315.52999999999997</v>
      </c>
      <c r="H5206">
        <v>-0.05</v>
      </c>
      <c r="I5206">
        <v>12.05212</v>
      </c>
      <c r="J5206">
        <v>-323.7527</v>
      </c>
      <c r="K5206">
        <v>1.1082860000000001</v>
      </c>
      <c r="L5206">
        <v>16.288150000000002</v>
      </c>
      <c r="M5206">
        <v>0.99187559999999997</v>
      </c>
      <c r="N5206">
        <v>0</v>
      </c>
      <c r="O5206">
        <v>-0.12679550000000001</v>
      </c>
      <c r="P5206">
        <v>0.93826500000000002</v>
      </c>
      <c r="Q5206">
        <v>8.7581619999999999E-2</v>
      </c>
      <c r="R5206">
        <v>-0.33464670000000002</v>
      </c>
      <c r="S5206">
        <v>2.7364809999999999</v>
      </c>
      <c r="T5206">
        <v>-0.37958229999999998</v>
      </c>
      <c r="U5206">
        <v>-1.3939509999999999</v>
      </c>
      <c r="V5206">
        <v>0.21332509999999999</v>
      </c>
      <c r="W5206">
        <v>9.6796179999999996E-2</v>
      </c>
      <c r="X5206">
        <v>0.97217430000000005</v>
      </c>
      <c r="Y5206">
        <v>0.3356788</v>
      </c>
      <c r="Z5206">
        <v>-5.4997190000000001E-3</v>
      </c>
      <c r="AA5206">
        <v>0.94196049999999998</v>
      </c>
      <c r="AB5206">
        <v>23</v>
      </c>
      <c r="AC5206">
        <v>8.2227000000000299</v>
      </c>
      <c r="AD5206">
        <v>-1.1582859999999999</v>
      </c>
      <c r="AE5206">
        <v>-4.2360300000000004</v>
      </c>
      <c r="AF5206">
        <v>3.11040572284052</v>
      </c>
      <c r="AG5206">
        <v>-1.1582859999999999</v>
      </c>
      <c r="AH5206">
        <v>8.5592458317227393</v>
      </c>
      <c r="AI5206">
        <v>97.248416190067204</v>
      </c>
      <c r="AJ5206">
        <v>70.028998574114397</v>
      </c>
      <c r="AK5206">
        <v>9.1802472421138095</v>
      </c>
      <c r="AL5206">
        <v>84.4452900432684</v>
      </c>
      <c r="AM5206">
        <v>77.623685855514296</v>
      </c>
      <c r="AN5206">
        <v>0.99999998416654601</v>
      </c>
    </row>
    <row r="5207" spans="1:40" x14ac:dyDescent="0.25">
      <c r="A5207" t="str">
        <f>"20190312151638410"</f>
        <v>20190312151638410</v>
      </c>
      <c r="B5207" t="str">
        <f>"1552374998403105"</f>
        <v>1552374998403105</v>
      </c>
      <c r="C5207" t="s">
        <v>40</v>
      </c>
      <c r="D5207">
        <v>4.555396</v>
      </c>
      <c r="E5207">
        <v>0.54789900000000002</v>
      </c>
      <c r="F5207" t="s">
        <v>42</v>
      </c>
      <c r="G5207">
        <v>-315.38900000000001</v>
      </c>
      <c r="H5207">
        <v>-0.05</v>
      </c>
      <c r="I5207">
        <v>12.00325</v>
      </c>
      <c r="J5207">
        <v>-323.64519999999999</v>
      </c>
      <c r="K5207">
        <v>1.108287</v>
      </c>
      <c r="L5207">
        <v>16.273319999999998</v>
      </c>
      <c r="M5207">
        <v>0.99173900000000004</v>
      </c>
      <c r="N5207">
        <v>0</v>
      </c>
      <c r="O5207">
        <v>-0.12786049999999999</v>
      </c>
      <c r="P5207">
        <v>0.93790750000000001</v>
      </c>
      <c r="Q5207">
        <v>8.7110649999999998E-2</v>
      </c>
      <c r="R5207">
        <v>-0.33576980000000001</v>
      </c>
      <c r="S5207">
        <v>2.733276</v>
      </c>
      <c r="T5207">
        <v>-0.3785346</v>
      </c>
      <c r="U5207">
        <v>-1.4003300000000001</v>
      </c>
      <c r="V5207">
        <v>0.21343670000000001</v>
      </c>
      <c r="W5207">
        <v>9.6325839999999996E-2</v>
      </c>
      <c r="X5207">
        <v>0.97219650000000002</v>
      </c>
      <c r="Y5207">
        <v>0.33686369999999999</v>
      </c>
      <c r="Z5207">
        <v>-5.4297779999999997E-3</v>
      </c>
      <c r="AA5207">
        <v>0.94153779999999998</v>
      </c>
      <c r="AB5207">
        <v>23</v>
      </c>
      <c r="AC5207">
        <v>8.2561999999999696</v>
      </c>
      <c r="AD5207">
        <v>-1.1582870000000001</v>
      </c>
      <c r="AE5207">
        <v>-4.2700699999999996</v>
      </c>
      <c r="AF5207">
        <v>3.1307058398630199</v>
      </c>
      <c r="AG5207">
        <v>-1.1582870000000001</v>
      </c>
      <c r="AH5207">
        <v>8.6008714876493908</v>
      </c>
      <c r="AI5207">
        <v>97.212333658701894</v>
      </c>
      <c r="AJ5207">
        <v>69.998561013037303</v>
      </c>
      <c r="AK5207">
        <v>9.2259383358649103</v>
      </c>
      <c r="AL5207">
        <v>84.472364945947305</v>
      </c>
      <c r="AM5207">
        <v>77.617684959006993</v>
      </c>
      <c r="AN5207">
        <v>0.99999996348542197</v>
      </c>
    </row>
    <row r="5208" spans="1:40" x14ac:dyDescent="0.25">
      <c r="A5208" t="str">
        <f>"20190312151638419"</f>
        <v>20190312151638419</v>
      </c>
      <c r="B5208" t="str">
        <f>"1552374998412865"</f>
        <v>1552374998412865</v>
      </c>
      <c r="C5208" t="s">
        <v>40</v>
      </c>
      <c r="D5208">
        <v>4.8486779999999996</v>
      </c>
      <c r="E5208">
        <v>0.54818509999999998</v>
      </c>
      <c r="F5208" t="s">
        <v>42</v>
      </c>
      <c r="G5208">
        <v>-315.27589999999998</v>
      </c>
      <c r="H5208">
        <v>-0.05</v>
      </c>
      <c r="I5208">
        <v>11.96205</v>
      </c>
      <c r="J5208">
        <v>-323.54880000000003</v>
      </c>
      <c r="K5208">
        <v>1.1082939999999999</v>
      </c>
      <c r="L5208">
        <v>16.259799999999998</v>
      </c>
      <c r="M5208">
        <v>0.99161650000000001</v>
      </c>
      <c r="N5208">
        <v>0</v>
      </c>
      <c r="O5208">
        <v>-0.1288079</v>
      </c>
      <c r="P5208">
        <v>0.93762900000000005</v>
      </c>
      <c r="Q5208">
        <v>8.6805549999999995E-2</v>
      </c>
      <c r="R5208">
        <v>-0.33662589999999998</v>
      </c>
      <c r="S5208">
        <v>2.730194</v>
      </c>
      <c r="T5208">
        <v>-0.37785200000000002</v>
      </c>
      <c r="U5208">
        <v>-1.4064030000000001</v>
      </c>
      <c r="V5208">
        <v>0.2133891</v>
      </c>
      <c r="W5208">
        <v>9.6023510000000006E-2</v>
      </c>
      <c r="X5208">
        <v>0.97223689999999996</v>
      </c>
      <c r="Y5208">
        <v>0.3380553</v>
      </c>
      <c r="Z5208">
        <v>-5.3805260000000001E-3</v>
      </c>
      <c r="AA5208">
        <v>0.94111080000000003</v>
      </c>
      <c r="AB5208">
        <v>23</v>
      </c>
      <c r="AC5208">
        <v>8.2729000000000497</v>
      </c>
      <c r="AD5208">
        <v>-1.1582939999999999</v>
      </c>
      <c r="AE5208">
        <v>-4.29774999999999</v>
      </c>
      <c r="AF5208">
        <v>3.1476826552908301</v>
      </c>
      <c r="AG5208">
        <v>-1.1582939999999999</v>
      </c>
      <c r="AH5208">
        <v>8.6244542617363393</v>
      </c>
      <c r="AI5208">
        <v>97.190633906719</v>
      </c>
      <c r="AJ5208">
        <v>69.9493433089078</v>
      </c>
      <c r="AK5208">
        <v>9.2536891238919896</v>
      </c>
      <c r="AL5208">
        <v>84.489768086855406</v>
      </c>
      <c r="AM5208">
        <v>77.620859829048996</v>
      </c>
      <c r="AN5208">
        <v>1.0000000060965699</v>
      </c>
    </row>
    <row r="5209" spans="1:40" x14ac:dyDescent="0.25">
      <c r="A5209" t="str">
        <f>"20190312151638429"</f>
        <v>20190312151638429</v>
      </c>
      <c r="B5209" t="str">
        <f>"1552374998422626"</f>
        <v>1552374998422626</v>
      </c>
      <c r="C5209" t="s">
        <v>40</v>
      </c>
      <c r="D5209">
        <v>4.5267400000000002</v>
      </c>
      <c r="E5209">
        <v>0.54848180000000002</v>
      </c>
      <c r="F5209" t="s">
        <v>42</v>
      </c>
      <c r="G5209">
        <v>-315.16059999999999</v>
      </c>
      <c r="H5209">
        <v>-0.05</v>
      </c>
      <c r="I5209">
        <v>11.920389999999999</v>
      </c>
      <c r="J5209">
        <v>-323.4427</v>
      </c>
      <c r="K5209">
        <v>1.1083000000000001</v>
      </c>
      <c r="L5209">
        <v>16.244900000000001</v>
      </c>
      <c r="M5209">
        <v>0.99148080000000005</v>
      </c>
      <c r="N5209">
        <v>0</v>
      </c>
      <c r="O5209">
        <v>-0.12984769999999901</v>
      </c>
      <c r="P5209">
        <v>0.93728840000000002</v>
      </c>
      <c r="Q5209">
        <v>8.6706800000000001E-2</v>
      </c>
      <c r="R5209">
        <v>-0.33759860000000003</v>
      </c>
      <c r="S5209">
        <v>2.7278440000000002</v>
      </c>
      <c r="T5209">
        <v>-0.37667519999999999</v>
      </c>
      <c r="U5209">
        <v>-1.4111629999999999</v>
      </c>
      <c r="V5209">
        <v>0.21337500000000001</v>
      </c>
      <c r="W5209">
        <v>9.5928579999999999E-2</v>
      </c>
      <c r="X5209">
        <v>0.97224940000000004</v>
      </c>
      <c r="Y5209">
        <v>0.33870729999999999</v>
      </c>
      <c r="Z5209">
        <v>-5.2770040000000001E-3</v>
      </c>
      <c r="AA5209">
        <v>0.94087699999999996</v>
      </c>
      <c r="AB5209">
        <v>23</v>
      </c>
      <c r="AC5209">
        <v>8.2821000000000105</v>
      </c>
      <c r="AD5209">
        <v>-1.1583000000000001</v>
      </c>
      <c r="AE5209">
        <v>-4.3245100000000001</v>
      </c>
      <c r="AF5209">
        <v>3.1638008001973201</v>
      </c>
      <c r="AG5209">
        <v>-1.1583000000000001</v>
      </c>
      <c r="AH5209">
        <v>8.6407309460743509</v>
      </c>
      <c r="AI5209">
        <v>97.174569798504507</v>
      </c>
      <c r="AJ5209">
        <v>69.889812060585399</v>
      </c>
      <c r="AK5209">
        <v>9.2743477223886899</v>
      </c>
      <c r="AL5209">
        <v>84.495232584521403</v>
      </c>
      <c r="AM5209">
        <v>77.621806822330399</v>
      </c>
      <c r="AN5209">
        <v>1.0000000394430799</v>
      </c>
    </row>
    <row r="5210" spans="1:40" x14ac:dyDescent="0.25">
      <c r="A5210" t="str">
        <f>"20190312151638441"</f>
        <v>20190312151638441</v>
      </c>
      <c r="B5210" t="str">
        <f>"1552374998433361"</f>
        <v>1552374998433361</v>
      </c>
      <c r="C5210" t="s">
        <v>40</v>
      </c>
      <c r="D5210">
        <v>4.5281599999999997</v>
      </c>
      <c r="E5210">
        <v>0.54880890000000004</v>
      </c>
      <c r="F5210" t="s">
        <v>42</v>
      </c>
      <c r="G5210">
        <v>-315.03390000000002</v>
      </c>
      <c r="H5210">
        <v>-0.05</v>
      </c>
      <c r="I5210">
        <v>11.875170000000001</v>
      </c>
      <c r="J5210">
        <v>-323.32600000000002</v>
      </c>
      <c r="K5210">
        <v>1.108311</v>
      </c>
      <c r="L5210">
        <v>16.228359999999999</v>
      </c>
      <c r="M5210">
        <v>0.99133179999999999</v>
      </c>
      <c r="N5210">
        <v>0</v>
      </c>
      <c r="O5210">
        <v>-0.1309815</v>
      </c>
      <c r="P5210">
        <v>0.93696869999999999</v>
      </c>
      <c r="Q5210">
        <v>8.6340230000000004E-2</v>
      </c>
      <c r="R5210">
        <v>-0.33857890000000002</v>
      </c>
      <c r="S5210">
        <v>2.725311</v>
      </c>
      <c r="T5210">
        <v>-0.37540380000000001</v>
      </c>
      <c r="U5210">
        <v>-1.416229</v>
      </c>
      <c r="V5210">
        <v>0.2132725</v>
      </c>
      <c r="W5210">
        <v>9.5566910000000005E-2</v>
      </c>
      <c r="X5210">
        <v>0.97230740000000004</v>
      </c>
      <c r="Y5210">
        <v>0.33937979999999901</v>
      </c>
      <c r="Z5210">
        <v>-5.1623770000000001E-3</v>
      </c>
      <c r="AA5210">
        <v>0.94063529999999995</v>
      </c>
      <c r="AB5210">
        <v>23</v>
      </c>
      <c r="AC5210">
        <v>8.2920999999999392</v>
      </c>
      <c r="AD5210">
        <v>-1.1583110000000001</v>
      </c>
      <c r="AE5210">
        <v>-4.3531899999999997</v>
      </c>
      <c r="AF5210">
        <v>3.1808562641232401</v>
      </c>
      <c r="AG5210">
        <v>-1.1583110000000001</v>
      </c>
      <c r="AH5210">
        <v>8.6584241720902408</v>
      </c>
      <c r="AI5210">
        <v>97.157330651099798</v>
      </c>
      <c r="AJ5210">
        <v>69.828118393399905</v>
      </c>
      <c r="AK5210">
        <v>9.2966574686588093</v>
      </c>
      <c r="AL5210">
        <v>84.516049828583505</v>
      </c>
      <c r="AM5210">
        <v>77.628285134927694</v>
      </c>
      <c r="AN5210">
        <v>0.99999993681897703</v>
      </c>
    </row>
    <row r="5211" spans="1:40" x14ac:dyDescent="0.25">
      <c r="A5211" t="str">
        <f>"20190312151638452"</f>
        <v>20190312151638452</v>
      </c>
      <c r="B5211" t="str">
        <f>"1552374998442799"</f>
        <v>1552374998442799</v>
      </c>
      <c r="C5211" t="s">
        <v>40</v>
      </c>
      <c r="D5211">
        <v>4.5198530000000003</v>
      </c>
      <c r="E5211">
        <v>0.54912519999999998</v>
      </c>
      <c r="F5211" t="s">
        <v>42</v>
      </c>
      <c r="G5211">
        <v>-314.91410000000002</v>
      </c>
      <c r="H5211">
        <v>-0.05</v>
      </c>
      <c r="I5211">
        <v>11.83577</v>
      </c>
      <c r="J5211">
        <v>-323.20909999999998</v>
      </c>
      <c r="K5211">
        <v>1.1083229999999999</v>
      </c>
      <c r="L5211">
        <v>16.2117</v>
      </c>
      <c r="M5211">
        <v>0.99118139999999999</v>
      </c>
      <c r="N5211">
        <v>0</v>
      </c>
      <c r="O5211">
        <v>-0.1321138</v>
      </c>
      <c r="P5211">
        <v>0.93652360000000001</v>
      </c>
      <c r="Q5211">
        <v>8.6153480000000005E-2</v>
      </c>
      <c r="R5211">
        <v>-0.33985500000000002</v>
      </c>
      <c r="S5211">
        <v>2.722626</v>
      </c>
      <c r="T5211">
        <v>-0.37490180000000001</v>
      </c>
      <c r="U5211">
        <v>-1.4217219999999999</v>
      </c>
      <c r="V5211">
        <v>0.2134817</v>
      </c>
      <c r="W5211">
        <v>9.5383670000000004E-2</v>
      </c>
      <c r="X5211">
        <v>0.97227949999999996</v>
      </c>
      <c r="Y5211">
        <v>0.34018350000000003</v>
      </c>
      <c r="Z5211">
        <v>-5.0674229999999997E-3</v>
      </c>
      <c r="AA5211">
        <v>0.9403454</v>
      </c>
      <c r="AB5211">
        <v>24</v>
      </c>
      <c r="AC5211">
        <v>8.2949999999999502</v>
      </c>
      <c r="AD5211">
        <v>-1.158323</v>
      </c>
      <c r="AE5211">
        <v>-4.3759300000000003</v>
      </c>
      <c r="AF5211">
        <v>3.1929211774694402</v>
      </c>
      <c r="AG5211">
        <v>-1.158323</v>
      </c>
      <c r="AH5211">
        <v>8.6682059232140194</v>
      </c>
      <c r="AI5211">
        <v>97.147170651221401</v>
      </c>
      <c r="AJ5211">
        <v>69.778797734347407</v>
      </c>
      <c r="AK5211">
        <v>9.3099007376612004</v>
      </c>
      <c r="AL5211">
        <v>84.526596980175</v>
      </c>
      <c r="AM5211">
        <v>77.616179511084894</v>
      </c>
      <c r="AN5211">
        <v>0.99999995342890302</v>
      </c>
    </row>
    <row r="5212" spans="1:40" x14ac:dyDescent="0.25">
      <c r="A5212" t="str">
        <f>"20190312151638464"</f>
        <v>20190312151638464</v>
      </c>
      <c r="B5212" t="str">
        <f>"1552374998453535"</f>
        <v>1552374998453535</v>
      </c>
      <c r="C5212" t="s">
        <v>40</v>
      </c>
      <c r="D5212">
        <v>4.5518229999999997</v>
      </c>
      <c r="E5212">
        <v>0.54943260000000005</v>
      </c>
      <c r="F5212" t="s">
        <v>42</v>
      </c>
      <c r="G5212">
        <v>-314.78280000000001</v>
      </c>
      <c r="H5212">
        <v>-0.05</v>
      </c>
      <c r="I5212">
        <v>11.787610000000001</v>
      </c>
      <c r="J5212">
        <v>-323.08600000000001</v>
      </c>
      <c r="K5212">
        <v>1.108331</v>
      </c>
      <c r="L5212">
        <v>16.19397</v>
      </c>
      <c r="M5212">
        <v>0.99102369999999995</v>
      </c>
      <c r="N5212">
        <v>0</v>
      </c>
      <c r="O5212">
        <v>-0.13329189999999999</v>
      </c>
      <c r="P5212">
        <v>0.9360771</v>
      </c>
      <c r="Q5212">
        <v>8.6167049999999995E-2</v>
      </c>
      <c r="R5212">
        <v>-0.34107959999999998</v>
      </c>
      <c r="S5212">
        <v>2.7195429999999998</v>
      </c>
      <c r="T5212">
        <v>-0.37384390000000001</v>
      </c>
      <c r="U5212">
        <v>-1.427856</v>
      </c>
      <c r="V5212">
        <v>0.21359600000000001</v>
      </c>
      <c r="W5212">
        <v>9.540361E-2</v>
      </c>
      <c r="X5212">
        <v>0.97225249999999996</v>
      </c>
      <c r="Y5212">
        <v>0.3411767</v>
      </c>
      <c r="Z5212">
        <v>-4.9722359999999997E-3</v>
      </c>
      <c r="AA5212">
        <v>0.93998610000000005</v>
      </c>
      <c r="AB5212">
        <v>24</v>
      </c>
      <c r="AC5212">
        <v>8.3032000000000004</v>
      </c>
      <c r="AD5212">
        <v>-1.158331</v>
      </c>
      <c r="AE5212">
        <v>-4.4063599999999896</v>
      </c>
      <c r="AF5212">
        <v>3.2114635629359598</v>
      </c>
      <c r="AG5212">
        <v>-1.158331</v>
      </c>
      <c r="AH5212">
        <v>8.6845890532023606</v>
      </c>
      <c r="AI5212">
        <v>97.130573394635704</v>
      </c>
      <c r="AJ5212">
        <v>69.706171931807305</v>
      </c>
      <c r="AK5212">
        <v>9.3315227023583205</v>
      </c>
      <c r="AL5212">
        <v>84.525449589292194</v>
      </c>
      <c r="AM5212">
        <v>77.609420381297994</v>
      </c>
      <c r="AN5212">
        <v>1.0000000118866399</v>
      </c>
    </row>
    <row r="5213" spans="1:40" x14ac:dyDescent="0.25">
      <c r="A5213" t="str">
        <f>"20190312151638475"</f>
        <v>20190312151638475</v>
      </c>
      <c r="B5213" t="str">
        <f>"1552374998463294"</f>
        <v>1552374998463294</v>
      </c>
      <c r="C5213" t="s">
        <v>40</v>
      </c>
      <c r="D5213">
        <v>4.4802070000000001</v>
      </c>
      <c r="E5213">
        <v>0.54974339999999999</v>
      </c>
      <c r="F5213" t="s">
        <v>42</v>
      </c>
      <c r="G5213">
        <v>-314.62810000000002</v>
      </c>
      <c r="H5213">
        <v>-0.05</v>
      </c>
      <c r="I5213">
        <v>11.730409999999999</v>
      </c>
      <c r="J5213">
        <v>-322.97379999999998</v>
      </c>
      <c r="K5213">
        <v>1.1083379999999901</v>
      </c>
      <c r="L5213">
        <v>16.177700000000002</v>
      </c>
      <c r="M5213">
        <v>0.99087910000000001</v>
      </c>
      <c r="N5213">
        <v>0</v>
      </c>
      <c r="O5213">
        <v>-0.1343625</v>
      </c>
      <c r="P5213">
        <v>0.93567</v>
      </c>
      <c r="Q5213">
        <v>8.6153469999999996E-2</v>
      </c>
      <c r="R5213">
        <v>-0.34219850000000002</v>
      </c>
      <c r="S5213">
        <v>2.7167659999999998</v>
      </c>
      <c r="T5213">
        <v>-0.37206939999999999</v>
      </c>
      <c r="U5213">
        <v>-1.433746</v>
      </c>
      <c r="V5213">
        <v>0.21370610000000001</v>
      </c>
      <c r="W5213">
        <v>9.5396499999999995E-2</v>
      </c>
      <c r="X5213">
        <v>0.97222900000000001</v>
      </c>
      <c r="Y5213">
        <v>0.34216649999999998</v>
      </c>
      <c r="Z5213">
        <v>-4.8809780000000002E-3</v>
      </c>
      <c r="AA5213">
        <v>0.93962659999999998</v>
      </c>
      <c r="AB5213">
        <v>24</v>
      </c>
      <c r="AC5213">
        <v>8.3456999999999599</v>
      </c>
      <c r="AD5213">
        <v>-1.1583380000000001</v>
      </c>
      <c r="AE5213">
        <v>-4.4472899999999997</v>
      </c>
      <c r="AF5213">
        <v>3.2369846236686102</v>
      </c>
      <c r="AG5213">
        <v>-1.1583380000000001</v>
      </c>
      <c r="AH5213">
        <v>8.73651762701469</v>
      </c>
      <c r="AI5213">
        <v>97.087013348283804</v>
      </c>
      <c r="AJ5213">
        <v>69.669727556382796</v>
      </c>
      <c r="AK5213">
        <v>9.3886397642709394</v>
      </c>
      <c r="AL5213">
        <v>84.525858812500005</v>
      </c>
      <c r="AM5213">
        <v>77.602940584441697</v>
      </c>
      <c r="AN5213">
        <v>1.0000000089152199</v>
      </c>
    </row>
    <row r="5214" spans="1:40" x14ac:dyDescent="0.25">
      <c r="A5214" t="str">
        <f>"20190312151638485"</f>
        <v>20190312151638485</v>
      </c>
      <c r="B5214" t="str">
        <f>"1552374998482816"</f>
        <v>1552374998482816</v>
      </c>
      <c r="C5214" t="s">
        <v>40</v>
      </c>
      <c r="D5214">
        <v>4.6152410000000001</v>
      </c>
      <c r="E5214">
        <v>0.55023520000000004</v>
      </c>
      <c r="F5214" t="s">
        <v>42</v>
      </c>
      <c r="G5214">
        <v>-314.50290000000001</v>
      </c>
      <c r="H5214">
        <v>-0.05</v>
      </c>
      <c r="I5214">
        <v>11.685560000000001</v>
      </c>
      <c r="J5214">
        <v>-322.85640000000001</v>
      </c>
      <c r="K5214">
        <v>1.1083480000000001</v>
      </c>
      <c r="L5214">
        <v>16.160520000000002</v>
      </c>
      <c r="M5214">
        <v>0.99072800000000005</v>
      </c>
      <c r="N5214">
        <v>0</v>
      </c>
      <c r="O5214">
        <v>-0.13547129999999999</v>
      </c>
      <c r="P5214">
        <v>0.93532570000000004</v>
      </c>
      <c r="Q5214">
        <v>8.6155659999999995E-2</v>
      </c>
      <c r="R5214">
        <v>-0.34313769999999999</v>
      </c>
      <c r="S5214">
        <v>2.7140499999999999</v>
      </c>
      <c r="T5214">
        <v>-0.37112830000000002</v>
      </c>
      <c r="U5214">
        <v>-1.43927</v>
      </c>
      <c r="V5214">
        <v>0.213592</v>
      </c>
      <c r="W5214">
        <v>9.5408350000000003E-2</v>
      </c>
      <c r="X5214">
        <v>0.97225289999999998</v>
      </c>
      <c r="Y5214">
        <v>0.34300609999999998</v>
      </c>
      <c r="Z5214">
        <v>-4.7866699999999998E-3</v>
      </c>
      <c r="AA5214">
        <v>0.93932099999999996</v>
      </c>
      <c r="AB5214">
        <v>24</v>
      </c>
      <c r="AC5214">
        <v>8.3534999999999897</v>
      </c>
      <c r="AD5214">
        <v>-1.1583479999999999</v>
      </c>
      <c r="AE5214">
        <v>-4.4749600000000003</v>
      </c>
      <c r="AF5214">
        <v>3.2533751639073301</v>
      </c>
      <c r="AG5214">
        <v>-1.1583479999999999</v>
      </c>
      <c r="AH5214">
        <v>8.7519828655636402</v>
      </c>
      <c r="AI5214">
        <v>97.071895740119899</v>
      </c>
      <c r="AJ5214">
        <v>69.608386176799002</v>
      </c>
      <c r="AK5214">
        <v>9.4086887569603803</v>
      </c>
      <c r="AL5214">
        <v>84.525176690021496</v>
      </c>
      <c r="AM5214">
        <v>77.609650192223</v>
      </c>
      <c r="AN5214">
        <v>0.99999999863606603</v>
      </c>
    </row>
    <row r="5215" spans="1:40" x14ac:dyDescent="0.25">
      <c r="A5215" t="str">
        <f>"20190312151638497"</f>
        <v>20190312151638497</v>
      </c>
      <c r="B5215" t="str">
        <f>"1552374998493551"</f>
        <v>1552374998493551</v>
      </c>
      <c r="C5215" t="s">
        <v>40</v>
      </c>
      <c r="D5215">
        <v>4.6120950000000001</v>
      </c>
      <c r="E5215">
        <v>0.55052670000000004</v>
      </c>
      <c r="F5215" t="s">
        <v>42</v>
      </c>
      <c r="G5215">
        <v>-314.40530000000001</v>
      </c>
      <c r="H5215">
        <v>-0.05</v>
      </c>
      <c r="I5215">
        <v>11.6541</v>
      </c>
      <c r="J5215">
        <v>-322.74270000000001</v>
      </c>
      <c r="K5215">
        <v>1.108355</v>
      </c>
      <c r="L5215">
        <v>16.143829999999902</v>
      </c>
      <c r="M5215">
        <v>0.99058089999999999</v>
      </c>
      <c r="N5215">
        <v>0</v>
      </c>
      <c r="O5215">
        <v>-0.13654289999999999</v>
      </c>
      <c r="P5215">
        <v>0.93500269999999996</v>
      </c>
      <c r="Q5215">
        <v>8.6070569999999999E-2</v>
      </c>
      <c r="R5215">
        <v>-0.34403779999999901</v>
      </c>
      <c r="S5215">
        <v>2.7112729999999998</v>
      </c>
      <c r="T5215">
        <v>-0.37161899999999998</v>
      </c>
      <c r="U5215">
        <v>-1.44574</v>
      </c>
      <c r="V5215">
        <v>0.2134733</v>
      </c>
      <c r="W5215">
        <v>9.5331949999999999E-2</v>
      </c>
      <c r="X5215">
        <v>0.97228650000000005</v>
      </c>
      <c r="Y5215">
        <v>0.34413070000000001</v>
      </c>
      <c r="Z5215">
        <v>-4.7334880000000001E-3</v>
      </c>
      <c r="AA5215">
        <v>0.93890980000000002</v>
      </c>
      <c r="AB5215">
        <v>24</v>
      </c>
      <c r="AC5215">
        <v>8.3374000000000006</v>
      </c>
      <c r="AD5215">
        <v>-1.158355</v>
      </c>
      <c r="AE5215">
        <v>-4.48972999999999</v>
      </c>
      <c r="AF5215">
        <v>3.2604149996490701</v>
      </c>
      <c r="AG5215">
        <v>-1.158355</v>
      </c>
      <c r="AH5215">
        <v>8.7415725076971107</v>
      </c>
      <c r="AI5215">
        <v>97.077414886409898</v>
      </c>
      <c r="AJ5215">
        <v>69.545586749081593</v>
      </c>
      <c r="AK5215">
        <v>9.4014457496327406</v>
      </c>
      <c r="AL5215">
        <v>84.529574327307699</v>
      </c>
      <c r="AM5215">
        <v>77.616738155208196</v>
      </c>
      <c r="AN5215">
        <v>1.00000003429297</v>
      </c>
    </row>
    <row r="5216" spans="1:40" x14ac:dyDescent="0.25">
      <c r="A5216" t="str">
        <f>"20190312151638508"</f>
        <v>20190312151638508</v>
      </c>
      <c r="B5216" t="str">
        <f>"1552374998503310"</f>
        <v>1552374998503310</v>
      </c>
      <c r="C5216" t="s">
        <v>40</v>
      </c>
      <c r="D5216">
        <v>4.5707089999999999</v>
      </c>
      <c r="E5216">
        <v>0.55073289999999997</v>
      </c>
      <c r="F5216" t="s">
        <v>42</v>
      </c>
      <c r="G5216">
        <v>-314.31650000000002</v>
      </c>
      <c r="H5216">
        <v>-0.05</v>
      </c>
      <c r="I5216">
        <v>11.631869999999999</v>
      </c>
      <c r="J5216">
        <v>-322.62090000000001</v>
      </c>
      <c r="K5216">
        <v>1.1083609999999999</v>
      </c>
      <c r="L5216">
        <v>16.125789999999999</v>
      </c>
      <c r="M5216">
        <v>0.99042280000000005</v>
      </c>
      <c r="N5216">
        <v>0</v>
      </c>
      <c r="O5216">
        <v>-0.13768359999999999</v>
      </c>
      <c r="P5216">
        <v>0.93467659999999997</v>
      </c>
      <c r="Q5216">
        <v>8.5874389999999995E-2</v>
      </c>
      <c r="R5216">
        <v>-0.34497119999999998</v>
      </c>
      <c r="S5216">
        <v>2.709076</v>
      </c>
      <c r="T5216">
        <v>-0.37241839999999998</v>
      </c>
      <c r="U5216">
        <v>-1.450623</v>
      </c>
      <c r="V5216">
        <v>0.2133195</v>
      </c>
      <c r="W5216">
        <v>9.5144909999999999E-2</v>
      </c>
      <c r="X5216">
        <v>0.97233860000000005</v>
      </c>
      <c r="Y5216">
        <v>0.34467969999999998</v>
      </c>
      <c r="Z5216">
        <v>-4.6379639999999996E-3</v>
      </c>
      <c r="AA5216">
        <v>0.93870889999999996</v>
      </c>
      <c r="AB5216">
        <v>24</v>
      </c>
      <c r="AC5216">
        <v>8.3043999999999798</v>
      </c>
      <c r="AD5216">
        <v>-1.158361</v>
      </c>
      <c r="AE5216">
        <v>-4.4939199999999904</v>
      </c>
      <c r="AF5216">
        <v>3.2586350550683099</v>
      </c>
      <c r="AG5216">
        <v>-1.158361</v>
      </c>
      <c r="AH5216">
        <v>8.7129478997314695</v>
      </c>
      <c r="AI5216">
        <v>97.098114077624501</v>
      </c>
      <c r="AJ5216">
        <v>69.494246237261507</v>
      </c>
      <c r="AK5216">
        <v>9.3742180330881997</v>
      </c>
      <c r="AL5216">
        <v>84.540339994316099</v>
      </c>
      <c r="AM5216">
        <v>77.626027530755493</v>
      </c>
      <c r="AN5216">
        <v>1.0000000580145501</v>
      </c>
    </row>
    <row r="5217" spans="1:40" x14ac:dyDescent="0.25">
      <c r="A5217" t="str">
        <f>"20190312151638519"</f>
        <v>20190312151638519</v>
      </c>
      <c r="B5217" t="str">
        <f>"1552374998513070"</f>
        <v>1552374998513070</v>
      </c>
      <c r="C5217" t="s">
        <v>40</v>
      </c>
      <c r="D5217">
        <v>4.5915780000000002</v>
      </c>
      <c r="E5217">
        <v>0.55093190000000003</v>
      </c>
      <c r="F5217" t="s">
        <v>42</v>
      </c>
      <c r="G5217">
        <v>-314.2251</v>
      </c>
      <c r="H5217">
        <v>-0.05</v>
      </c>
      <c r="I5217">
        <v>11.613659999999999</v>
      </c>
      <c r="J5217">
        <v>-322.50240000000002</v>
      </c>
      <c r="K5217">
        <v>1.108366</v>
      </c>
      <c r="L5217">
        <v>16.108059999999998</v>
      </c>
      <c r="M5217">
        <v>0.9902685</v>
      </c>
      <c r="N5217">
        <v>0</v>
      </c>
      <c r="O5217">
        <v>-0.13878869999999999</v>
      </c>
      <c r="P5217">
        <v>0.93423299999999998</v>
      </c>
      <c r="Q5217">
        <v>8.58762E-2</v>
      </c>
      <c r="R5217">
        <v>-0.34617059999999999</v>
      </c>
      <c r="S5217">
        <v>2.7070310000000002</v>
      </c>
      <c r="T5217">
        <v>-0.37348720000000002</v>
      </c>
      <c r="U5217">
        <v>-1.454834</v>
      </c>
      <c r="V5217">
        <v>0.21348159999999999</v>
      </c>
      <c r="W5217">
        <v>9.51544E-2</v>
      </c>
      <c r="X5217">
        <v>0.972302</v>
      </c>
      <c r="Y5217">
        <v>0.34505780000000003</v>
      </c>
      <c r="Z5217">
        <v>-4.5386419999999999E-3</v>
      </c>
      <c r="AA5217">
        <v>0.93857040000000003</v>
      </c>
      <c r="AB5217">
        <v>24</v>
      </c>
      <c r="AC5217">
        <v>8.2773000000000199</v>
      </c>
      <c r="AD5217">
        <v>-1.158366</v>
      </c>
      <c r="AE5217">
        <v>-4.4943999999999997</v>
      </c>
      <c r="AF5217">
        <v>3.2528419758229501</v>
      </c>
      <c r="AG5217">
        <v>-1.158366</v>
      </c>
      <c r="AH5217">
        <v>8.6895571123784201</v>
      </c>
      <c r="AI5217">
        <v>97.116269509492497</v>
      </c>
      <c r="AJ5217">
        <v>69.477154557217503</v>
      </c>
      <c r="AK5217">
        <v>9.3504649894493603</v>
      </c>
      <c r="AL5217">
        <v>84.539793276859697</v>
      </c>
      <c r="AM5217">
        <v>77.616462864642401</v>
      </c>
      <c r="AN5217">
        <v>0.999999966290959</v>
      </c>
    </row>
    <row r="5218" spans="1:40" x14ac:dyDescent="0.25">
      <c r="A5218" t="str">
        <f>"20190312151638529"</f>
        <v>20190312151638529</v>
      </c>
      <c r="B5218" t="str">
        <f>"1552374998522831"</f>
        <v>1552374998522831</v>
      </c>
      <c r="C5218" t="s">
        <v>40</v>
      </c>
      <c r="D5218">
        <v>4.6097149999999996</v>
      </c>
      <c r="E5218">
        <v>0.55108619999999997</v>
      </c>
      <c r="F5218" t="s">
        <v>42</v>
      </c>
      <c r="G5218">
        <v>-314.11649999999997</v>
      </c>
      <c r="H5218">
        <v>-0.05</v>
      </c>
      <c r="I5218">
        <v>11.58212</v>
      </c>
      <c r="J5218">
        <v>-322.39280000000002</v>
      </c>
      <c r="K5218">
        <v>1.1083689999999999</v>
      </c>
      <c r="L5218">
        <v>16.09158</v>
      </c>
      <c r="M5218">
        <v>0.99012500000000003</v>
      </c>
      <c r="N5218">
        <v>0</v>
      </c>
      <c r="O5218">
        <v>-0.13980860000000001</v>
      </c>
      <c r="P5218">
        <v>0.93391029999999997</v>
      </c>
      <c r="Q5218">
        <v>8.6051749999999996E-2</v>
      </c>
      <c r="R5218">
        <v>-0.34699639999999998</v>
      </c>
      <c r="S5218">
        <v>2.7046510000000001</v>
      </c>
      <c r="T5218">
        <v>-0.37359989999999998</v>
      </c>
      <c r="U5218">
        <v>-1.4597169999999999</v>
      </c>
      <c r="V5218">
        <v>0.2133418</v>
      </c>
      <c r="W5218">
        <v>9.5338599999999996E-2</v>
      </c>
      <c r="X5218">
        <v>0.97231469999999998</v>
      </c>
      <c r="Y5218">
        <v>0.34575009999999901</v>
      </c>
      <c r="Z5218">
        <v>-4.4586749999999996E-3</v>
      </c>
      <c r="AA5218">
        <v>0.93831600000000004</v>
      </c>
      <c r="AB5218">
        <v>24</v>
      </c>
      <c r="AC5218">
        <v>8.27630000000004</v>
      </c>
      <c r="AD5218">
        <v>-1.158369</v>
      </c>
      <c r="AE5218">
        <v>-4.5094599999999998</v>
      </c>
      <c r="AF5218">
        <v>3.2587824404884498</v>
      </c>
      <c r="AG5218">
        <v>-1.158369</v>
      </c>
      <c r="AH5218">
        <v>8.6941746923822798</v>
      </c>
      <c r="AI5218">
        <v>97.111426724273997</v>
      </c>
      <c r="AJ5218">
        <v>69.452812834023703</v>
      </c>
      <c r="AK5218">
        <v>9.3568239972897498</v>
      </c>
      <c r="AL5218">
        <v>84.529191510826195</v>
      </c>
      <c r="AM5218">
        <v>77.624479018157999</v>
      </c>
      <c r="AN5218">
        <v>1.00000002405664</v>
      </c>
    </row>
    <row r="5219" spans="1:40" x14ac:dyDescent="0.25">
      <c r="A5219" t="str">
        <f>"20190312151638541"</f>
        <v>20190312151638541</v>
      </c>
      <c r="B5219" t="str">
        <f>"1552374998533567"</f>
        <v>1552374998533567</v>
      </c>
      <c r="C5219" t="s">
        <v>40</v>
      </c>
      <c r="D5219">
        <v>4.8476699999999999</v>
      </c>
      <c r="E5219">
        <v>0.55132559999999997</v>
      </c>
      <c r="F5219" t="s">
        <v>42</v>
      </c>
      <c r="G5219">
        <v>-313.99829999999997</v>
      </c>
      <c r="H5219">
        <v>-0.05</v>
      </c>
      <c r="I5219">
        <v>11.54701</v>
      </c>
      <c r="J5219">
        <v>-322.27289999999999</v>
      </c>
      <c r="K5219">
        <v>1.108365</v>
      </c>
      <c r="L5219">
        <v>16.073429999999998</v>
      </c>
      <c r="M5219">
        <v>0.9899675</v>
      </c>
      <c r="N5219">
        <v>0</v>
      </c>
      <c r="O5219">
        <v>-0.14091979999999901</v>
      </c>
      <c r="P5219">
        <v>0.93347950000000002</v>
      </c>
      <c r="Q5219">
        <v>8.5792149999999998E-2</v>
      </c>
      <c r="R5219">
        <v>-0.34821839999999998</v>
      </c>
      <c r="S5219">
        <v>2.7029420000000002</v>
      </c>
      <c r="T5219">
        <v>-0.37298520000000002</v>
      </c>
      <c r="U5219">
        <v>-1.4633179999999999</v>
      </c>
      <c r="V5219">
        <v>0.21351829999999999</v>
      </c>
      <c r="W5219">
        <v>9.5087480000000002E-2</v>
      </c>
      <c r="X5219">
        <v>0.97230050000000001</v>
      </c>
      <c r="Y5219">
        <v>0.34592420000000002</v>
      </c>
      <c r="Z5219">
        <v>-4.3247700000000004E-3</v>
      </c>
      <c r="AA5219">
        <v>0.93825250000000004</v>
      </c>
      <c r="AB5219">
        <v>24</v>
      </c>
      <c r="AC5219">
        <v>8.2746000000000102</v>
      </c>
      <c r="AD5219">
        <v>-1.1583649999999901</v>
      </c>
      <c r="AE5219">
        <v>-4.5264199999999901</v>
      </c>
      <c r="AF5219">
        <v>3.26586792614401</v>
      </c>
      <c r="AG5219">
        <v>-1.1583649999999901</v>
      </c>
      <c r="AH5219">
        <v>8.69870627217189</v>
      </c>
      <c r="AI5219">
        <v>97.106303074052093</v>
      </c>
      <c r="AJ5219">
        <v>69.421707897113194</v>
      </c>
      <c r="AK5219">
        <v>9.3635032756849998</v>
      </c>
      <c r="AL5219">
        <v>84.543645038175796</v>
      </c>
      <c r="AM5219">
        <v>77.614381168965593</v>
      </c>
      <c r="AN5219">
        <v>0.99999997779394501</v>
      </c>
    </row>
    <row r="5220" spans="1:40" x14ac:dyDescent="0.25">
      <c r="A5220" t="str">
        <f>"20190312151638552"</f>
        <v>20190312151638552</v>
      </c>
      <c r="B5220" t="str">
        <f>"1552374998542946"</f>
        <v>1552374998542946</v>
      </c>
      <c r="C5220" t="s">
        <v>40</v>
      </c>
      <c r="D5220">
        <v>6.47302</v>
      </c>
      <c r="E5220">
        <v>0.55159279999999999</v>
      </c>
      <c r="F5220" t="s">
        <v>42</v>
      </c>
      <c r="G5220">
        <v>-313.9171</v>
      </c>
      <c r="H5220">
        <v>-0.05</v>
      </c>
      <c r="I5220">
        <v>11.52927</v>
      </c>
      <c r="J5220">
        <v>-322.15620000000001</v>
      </c>
      <c r="K5220">
        <v>1.1083689999999999</v>
      </c>
      <c r="L5220">
        <v>16.055629999999901</v>
      </c>
      <c r="M5220">
        <v>0.9898129</v>
      </c>
      <c r="N5220">
        <v>0</v>
      </c>
      <c r="O5220">
        <v>-0.1420014</v>
      </c>
      <c r="P5220">
        <v>0.93309299999999995</v>
      </c>
      <c r="Q5220">
        <v>8.5774039999999996E-2</v>
      </c>
      <c r="R5220">
        <v>-0.34925709999999999</v>
      </c>
      <c r="S5220">
        <v>2.7004090000000001</v>
      </c>
      <c r="T5220">
        <v>-0.37435669999999999</v>
      </c>
      <c r="U5220">
        <v>-1.468567</v>
      </c>
      <c r="V5220">
        <v>0.21353759999999999</v>
      </c>
      <c r="W5220">
        <v>9.5078480000000007E-2</v>
      </c>
      <c r="X5220">
        <v>0.97229719999999997</v>
      </c>
      <c r="Y5220">
        <v>0.34666760000000002</v>
      </c>
      <c r="Z5220">
        <v>-4.2546729999999996E-3</v>
      </c>
      <c r="AA5220">
        <v>0.93797839999999999</v>
      </c>
      <c r="AB5220">
        <v>24</v>
      </c>
      <c r="AC5220">
        <v>8.2391000000000005</v>
      </c>
      <c r="AD5220">
        <v>-1.158369</v>
      </c>
      <c r="AE5220">
        <v>-4.5263599999999897</v>
      </c>
      <c r="AF5220">
        <v>3.2609471377877002</v>
      </c>
      <c r="AG5220">
        <v>-1.158369</v>
      </c>
      <c r="AH5220">
        <v>8.6667870634276802</v>
      </c>
      <c r="AI5220">
        <v>97.130336209491702</v>
      </c>
      <c r="AJ5220">
        <v>69.380793981477098</v>
      </c>
      <c r="AK5220">
        <v>9.3321376424913591</v>
      </c>
      <c r="AL5220">
        <v>84.544163357713202</v>
      </c>
      <c r="AM5220">
        <v>77.613255442136193</v>
      </c>
      <c r="AN5220">
        <v>1.0000000345503499</v>
      </c>
    </row>
    <row r="5221" spans="1:40" x14ac:dyDescent="0.25">
      <c r="A5221" t="str">
        <f>"20190312151638564"</f>
        <v>20190312151638564</v>
      </c>
      <c r="B5221" t="str">
        <f>"1552374998552705"</f>
        <v>1552374998552705</v>
      </c>
      <c r="C5221" t="s">
        <v>40</v>
      </c>
      <c r="D5221">
        <v>4.6138190000000003</v>
      </c>
      <c r="E5221">
        <v>0.55182969999999998</v>
      </c>
      <c r="F5221" t="s">
        <v>42</v>
      </c>
      <c r="G5221">
        <v>-313.82459999999998</v>
      </c>
      <c r="H5221">
        <v>-0.05</v>
      </c>
      <c r="I5221">
        <v>11.504989999999999</v>
      </c>
      <c r="J5221">
        <v>-322.03269999999998</v>
      </c>
      <c r="K5221">
        <v>1.1083689999999999</v>
      </c>
      <c r="L5221">
        <v>16.036619999999999</v>
      </c>
      <c r="M5221">
        <v>0.98964830000000004</v>
      </c>
      <c r="N5221">
        <v>0</v>
      </c>
      <c r="O5221">
        <v>-0.1431422</v>
      </c>
      <c r="P5221">
        <v>0.93267</v>
      </c>
      <c r="Q5221">
        <v>8.5893549999999999E-2</v>
      </c>
      <c r="R5221">
        <v>-0.350356099999999</v>
      </c>
      <c r="S5221">
        <v>2.698029</v>
      </c>
      <c r="T5221">
        <v>-0.37511529999999998</v>
      </c>
      <c r="U5221">
        <v>-1.473633</v>
      </c>
      <c r="V5221">
        <v>0.21356410000000001</v>
      </c>
      <c r="W5221">
        <v>9.520853E-2</v>
      </c>
      <c r="X5221">
        <v>0.97227859999999999</v>
      </c>
      <c r="Y5221">
        <v>0.34728890000000001</v>
      </c>
      <c r="Z5221">
        <v>-4.161606E-3</v>
      </c>
      <c r="AA5221">
        <v>0.93774900000000005</v>
      </c>
      <c r="AB5221">
        <v>24</v>
      </c>
      <c r="AC5221">
        <v>8.2081</v>
      </c>
      <c r="AD5221">
        <v>-1.158369</v>
      </c>
      <c r="AE5221">
        <v>-4.5316299999999998</v>
      </c>
      <c r="AF5221">
        <v>3.2602076316238402</v>
      </c>
      <c r="AG5221">
        <v>-1.158369</v>
      </c>
      <c r="AH5221">
        <v>8.6403820215603098</v>
      </c>
      <c r="AI5221">
        <v>97.149416288247494</v>
      </c>
      <c r="AJ5221">
        <v>69.327397240886796</v>
      </c>
      <c r="AK5221">
        <v>9.3073612812634501</v>
      </c>
      <c r="AL5221">
        <v>84.536677800205197</v>
      </c>
      <c r="AM5221">
        <v>77.611536034306297</v>
      </c>
      <c r="AN5221">
        <v>0.99999998250576505</v>
      </c>
    </row>
    <row r="5222" spans="1:40" x14ac:dyDescent="0.25">
      <c r="A5222" t="str">
        <f>"20190312151638577"</f>
        <v>20190312151638577</v>
      </c>
      <c r="B5222" t="str">
        <f>"1552374998573200"</f>
        <v>1552374998573200</v>
      </c>
      <c r="C5222" t="s">
        <v>40</v>
      </c>
      <c r="D5222">
        <v>4.9161000000000001</v>
      </c>
      <c r="E5222">
        <v>0.55228789999999905</v>
      </c>
      <c r="F5222" t="s">
        <v>42</v>
      </c>
      <c r="G5222">
        <v>-313.70679999999999</v>
      </c>
      <c r="H5222">
        <v>-0.05</v>
      </c>
      <c r="I5222">
        <v>11.46988</v>
      </c>
      <c r="J5222">
        <v>-321.90800000000002</v>
      </c>
      <c r="K5222">
        <v>1.108371</v>
      </c>
      <c r="L5222">
        <v>16.017299999999999</v>
      </c>
      <c r="M5222">
        <v>0.98948069999999999</v>
      </c>
      <c r="N5222">
        <v>0</v>
      </c>
      <c r="O5222">
        <v>-0.14429529999999999</v>
      </c>
      <c r="P5222">
        <v>0.93225760000000002</v>
      </c>
      <c r="Q5222">
        <v>8.5657250000000004E-2</v>
      </c>
      <c r="R5222">
        <v>-0.35150930000000002</v>
      </c>
      <c r="S5222">
        <v>2.6956790000000002</v>
      </c>
      <c r="T5222">
        <v>-0.37504569999999998</v>
      </c>
      <c r="U5222">
        <v>-1.478577</v>
      </c>
      <c r="V5222">
        <v>0.2136304</v>
      </c>
      <c r="W5222">
        <v>9.4982590000000006E-2</v>
      </c>
      <c r="X5222">
        <v>0.97228619999999999</v>
      </c>
      <c r="Y5222">
        <v>0.34786810000000001</v>
      </c>
      <c r="Z5222">
        <v>-4.0549360000000003E-3</v>
      </c>
      <c r="AA5222">
        <v>0.93753470000000005</v>
      </c>
      <c r="AB5222">
        <v>24</v>
      </c>
      <c r="AC5222">
        <v>8.2012000000000196</v>
      </c>
      <c r="AD5222">
        <v>-1.15837099999999</v>
      </c>
      <c r="AE5222">
        <v>-4.54741999999999</v>
      </c>
      <c r="AF5222">
        <v>3.266524175342</v>
      </c>
      <c r="AG5222">
        <v>-1.15837099999999</v>
      </c>
      <c r="AH5222">
        <v>8.6397384244997095</v>
      </c>
      <c r="AI5222">
        <v>97.148180044564498</v>
      </c>
      <c r="AJ5222">
        <v>69.289328475560595</v>
      </c>
      <c r="AK5222">
        <v>9.3089786553365599</v>
      </c>
      <c r="AL5222">
        <v>84.549682497722202</v>
      </c>
      <c r="AM5222">
        <v>77.607902769577905</v>
      </c>
      <c r="AN5222">
        <v>1.00000004745885</v>
      </c>
    </row>
    <row r="5223" spans="1:40" x14ac:dyDescent="0.25">
      <c r="A5223" t="str">
        <f>"20190312151638588"</f>
        <v>20190312151638588</v>
      </c>
      <c r="B5223" t="str">
        <f>"1552374998582961"</f>
        <v>1552374998582961</v>
      </c>
      <c r="C5223" t="s">
        <v>40</v>
      </c>
      <c r="D5223">
        <v>4.8738469999999996</v>
      </c>
      <c r="E5223">
        <v>0.55249609999999905</v>
      </c>
      <c r="F5223" t="s">
        <v>42</v>
      </c>
      <c r="G5223">
        <v>-313.62630000000001</v>
      </c>
      <c r="H5223">
        <v>-0.05</v>
      </c>
      <c r="I5223">
        <v>11.449450000000001</v>
      </c>
      <c r="J5223">
        <v>-321.78050000000002</v>
      </c>
      <c r="K5223">
        <v>1.1083689999999999</v>
      </c>
      <c r="L5223">
        <v>15.997439999999999</v>
      </c>
      <c r="M5223">
        <v>0.98930799999999997</v>
      </c>
      <c r="N5223">
        <v>0</v>
      </c>
      <c r="O5223">
        <v>-0.1454734</v>
      </c>
      <c r="P5223">
        <v>0.93176970000000003</v>
      </c>
      <c r="Q5223">
        <v>8.5701529999999998E-2</v>
      </c>
      <c r="R5223">
        <v>-0.35278969999999998</v>
      </c>
      <c r="S5223">
        <v>2.6926269999999999</v>
      </c>
      <c r="T5223">
        <v>-0.3766176</v>
      </c>
      <c r="U5223">
        <v>-1.4851379999999901</v>
      </c>
      <c r="V5223">
        <v>0.21380930000000001</v>
      </c>
      <c r="W5223">
        <v>9.5036679999999998E-2</v>
      </c>
      <c r="X5223">
        <v>0.97224149999999998</v>
      </c>
      <c r="Y5223">
        <v>0.34894130000000001</v>
      </c>
      <c r="Z5223">
        <v>-3.9949529999999999E-3</v>
      </c>
      <c r="AA5223">
        <v>0.93713610000000003</v>
      </c>
      <c r="AB5223">
        <v>24</v>
      </c>
      <c r="AC5223">
        <v>8.1541999999999994</v>
      </c>
      <c r="AD5223">
        <v>-1.158369</v>
      </c>
      <c r="AE5223">
        <v>-4.5479899999999898</v>
      </c>
      <c r="AF5223">
        <v>3.2630950036754598</v>
      </c>
      <c r="AG5223">
        <v>-1.158369</v>
      </c>
      <c r="AH5223">
        <v>8.5967713280372493</v>
      </c>
      <c r="AI5223">
        <v>97.180012588008793</v>
      </c>
      <c r="AJ5223">
        <v>69.2146327001971</v>
      </c>
      <c r="AK5223">
        <v>9.2679061826140696</v>
      </c>
      <c r="AL5223">
        <v>84.546568812158796</v>
      </c>
      <c r="AM5223">
        <v>77.597293727646999</v>
      </c>
      <c r="AN5223">
        <v>0.99999996081707998</v>
      </c>
    </row>
    <row r="5224" spans="1:40" x14ac:dyDescent="0.25">
      <c r="A5224" t="str">
        <f>"20190312151638599"</f>
        <v>20190312151638599</v>
      </c>
      <c r="B5224" t="str">
        <f>"1552374998592721"</f>
        <v>1552374998592721</v>
      </c>
      <c r="C5224" t="s">
        <v>40</v>
      </c>
      <c r="D5224">
        <v>4.6087069999999999</v>
      </c>
      <c r="E5224">
        <v>0.55249609999999905</v>
      </c>
      <c r="F5224" t="s">
        <v>42</v>
      </c>
      <c r="G5224">
        <v>-313.51159999999999</v>
      </c>
      <c r="H5224">
        <v>-0.05</v>
      </c>
      <c r="I5224">
        <v>11.415940000000001</v>
      </c>
      <c r="J5224">
        <v>-321.66899999999998</v>
      </c>
      <c r="K5224">
        <v>1.1083670000000001</v>
      </c>
      <c r="L5224">
        <v>15.979889999999999</v>
      </c>
      <c r="M5224">
        <v>0.98915589999999998</v>
      </c>
      <c r="N5224">
        <v>0</v>
      </c>
      <c r="O5224">
        <v>-0.14650389999999999</v>
      </c>
      <c r="P5224">
        <v>0.93130389999999996</v>
      </c>
      <c r="Q5224">
        <v>8.5763859999999997E-2</v>
      </c>
      <c r="R5224">
        <v>-0.35400320000000002</v>
      </c>
      <c r="S5224">
        <v>2.6900330000000001</v>
      </c>
      <c r="T5224">
        <v>-0.37683899999999998</v>
      </c>
      <c r="U5224">
        <v>-1.490448</v>
      </c>
      <c r="V5224">
        <v>0.21406459999999999</v>
      </c>
      <c r="W5224">
        <v>9.5106469999999999E-2</v>
      </c>
      <c r="X5224">
        <v>0.97217849999999995</v>
      </c>
      <c r="Y5224">
        <v>0.3497633</v>
      </c>
      <c r="Z5224">
        <v>-3.922427E-3</v>
      </c>
      <c r="AA5224">
        <v>0.93682989999999999</v>
      </c>
      <c r="AB5224">
        <v>24</v>
      </c>
      <c r="AC5224">
        <v>8.1574000000000506</v>
      </c>
      <c r="AD5224">
        <v>-1.1583669999999999</v>
      </c>
      <c r="AE5224">
        <v>-4.5639500000000002</v>
      </c>
      <c r="AF5224">
        <v>3.2693367895342602</v>
      </c>
      <c r="AG5224">
        <v>-1.1583669999999999</v>
      </c>
      <c r="AH5224">
        <v>8.6058817793545899</v>
      </c>
      <c r="AI5224">
        <v>97.171716637144399</v>
      </c>
      <c r="AJ5224">
        <v>69.198435107440403</v>
      </c>
      <c r="AK5224">
        <v>9.2785547554734293</v>
      </c>
      <c r="AL5224">
        <v>84.542551966353997</v>
      </c>
      <c r="AM5224">
        <v>77.582163626055205</v>
      </c>
      <c r="AN5224">
        <v>0.99999996473563402</v>
      </c>
    </row>
    <row r="5225" spans="1:40" x14ac:dyDescent="0.25">
      <c r="A5225" t="str">
        <f>"20190312151638610"</f>
        <v>20190312151638610</v>
      </c>
      <c r="B5225" t="str">
        <f>"1552374998603457"</f>
        <v>1552374998603457</v>
      </c>
      <c r="C5225" t="s">
        <v>40</v>
      </c>
      <c r="D5225">
        <v>4.6263059999999996</v>
      </c>
      <c r="E5225">
        <v>0.57490319999999995</v>
      </c>
      <c r="F5225" t="s">
        <v>42</v>
      </c>
      <c r="G5225">
        <v>-313.40210000000002</v>
      </c>
      <c r="H5225">
        <v>-0.05</v>
      </c>
      <c r="I5225">
        <v>11.38541</v>
      </c>
      <c r="J5225">
        <v>-321.55180000000001</v>
      </c>
      <c r="K5225">
        <v>1.108366</v>
      </c>
      <c r="L5225">
        <v>15.961360000000001</v>
      </c>
      <c r="M5225">
        <v>0.9889945</v>
      </c>
      <c r="N5225">
        <v>0</v>
      </c>
      <c r="O5225">
        <v>-0.14758840000000001</v>
      </c>
      <c r="P5225">
        <v>0.93084880000000003</v>
      </c>
      <c r="Q5225">
        <v>8.5431489999999999E-2</v>
      </c>
      <c r="R5225">
        <v>-0.35527809999999999</v>
      </c>
      <c r="S5225">
        <v>2.68811</v>
      </c>
      <c r="T5225">
        <v>-0.37665870000000001</v>
      </c>
      <c r="U5225">
        <v>-1.4939579999999999</v>
      </c>
      <c r="V5225">
        <v>0.21432509999999999</v>
      </c>
      <c r="W5225">
        <v>9.4781790000000005E-2</v>
      </c>
      <c r="X5225">
        <v>0.97215280000000004</v>
      </c>
      <c r="Y5225">
        <v>0.34996300000000002</v>
      </c>
      <c r="Z5225">
        <v>-3.7978909999999999E-3</v>
      </c>
      <c r="AA5225">
        <v>0.93675580000000003</v>
      </c>
      <c r="AB5225">
        <v>24</v>
      </c>
      <c r="AC5225">
        <v>8.1496999999999904</v>
      </c>
      <c r="AD5225">
        <v>-1.158366</v>
      </c>
      <c r="AE5225">
        <v>-4.5759499999999997</v>
      </c>
      <c r="AF5225">
        <v>3.27269789414694</v>
      </c>
      <c r="AG5225">
        <v>-1.158366</v>
      </c>
      <c r="AH5225">
        <v>8.6036818913836495</v>
      </c>
      <c r="AI5225">
        <v>97.172375115356402</v>
      </c>
      <c r="AJ5225">
        <v>69.174015323440003</v>
      </c>
      <c r="AK5225">
        <v>9.2776993583772001</v>
      </c>
      <c r="AL5225">
        <v>84.561239105479999</v>
      </c>
      <c r="AM5225">
        <v>77.567203255841306</v>
      </c>
      <c r="AN5225">
        <v>0.99999995137672504</v>
      </c>
    </row>
    <row r="5226" spans="1:40" x14ac:dyDescent="0.25">
      <c r="A5226" t="str">
        <f>"20190312151638620"</f>
        <v>20190312151638620</v>
      </c>
      <c r="B5226" t="str">
        <f>"1552374998613216"</f>
        <v>1552374998613216</v>
      </c>
      <c r="C5226" t="s">
        <v>40</v>
      </c>
      <c r="D5226">
        <v>4.9270529999999999</v>
      </c>
      <c r="E5226">
        <v>0.57490319999999995</v>
      </c>
      <c r="F5226" t="s">
        <v>42</v>
      </c>
      <c r="G5226">
        <v>-315.54109999999997</v>
      </c>
      <c r="H5226">
        <v>-0.05</v>
      </c>
      <c r="I5226">
        <v>12.139480000000001</v>
      </c>
      <c r="J5226">
        <v>-321.4511</v>
      </c>
      <c r="K5226">
        <v>1.108363</v>
      </c>
      <c r="L5226">
        <v>15.94528</v>
      </c>
      <c r="M5226">
        <v>0.98885489999999998</v>
      </c>
      <c r="N5226">
        <v>0</v>
      </c>
      <c r="O5226">
        <v>-0.14852070000000001</v>
      </c>
      <c r="P5226">
        <v>0.93046949999999995</v>
      </c>
      <c r="Q5226">
        <v>8.5470859999999996E-2</v>
      </c>
      <c r="R5226">
        <v>-0.35626079999999999</v>
      </c>
      <c r="S5226">
        <v>2.63089</v>
      </c>
      <c r="T5226">
        <v>-0.50702119999999995</v>
      </c>
      <c r="U5226">
        <v>-1.672852</v>
      </c>
      <c r="V5226">
        <v>0.2144365</v>
      </c>
      <c r="W5226">
        <v>9.4829269999999993E-2</v>
      </c>
      <c r="X5226">
        <v>0.97212359999999998</v>
      </c>
      <c r="Y5226">
        <v>0.40201249999999999</v>
      </c>
      <c r="Z5226">
        <v>-9.5377450000000003E-3</v>
      </c>
      <c r="AA5226">
        <v>0.91558450000000002</v>
      </c>
      <c r="AB5226">
        <v>24</v>
      </c>
      <c r="AC5226">
        <v>5.9100000000000197</v>
      </c>
      <c r="AD5226">
        <v>-1.15836299999999</v>
      </c>
      <c r="AE5226">
        <v>-3.8057999999999899</v>
      </c>
      <c r="AF5226">
        <v>2.8094892826063802</v>
      </c>
      <c r="AG5226">
        <v>-1.15836299999999</v>
      </c>
      <c r="AH5226">
        <v>6.2402610227703201</v>
      </c>
      <c r="AI5226">
        <v>99.607034385060302</v>
      </c>
      <c r="AJ5226">
        <v>65.761781059045902</v>
      </c>
      <c r="AK5226">
        <v>6.9408855703833403</v>
      </c>
      <c r="AL5226">
        <v>84.558506376449898</v>
      </c>
      <c r="AM5226">
        <v>77.560580144146698</v>
      </c>
      <c r="AN5226">
        <v>0.99999994832896999</v>
      </c>
    </row>
    <row r="5227" spans="1:40" x14ac:dyDescent="0.25">
      <c r="A5227" t="str">
        <f>"20190312151638630"</f>
        <v>20190312151638630</v>
      </c>
      <c r="B5227" t="str">
        <f>"1552374998622977"</f>
        <v>1552374998622977</v>
      </c>
      <c r="C5227" t="s">
        <v>40</v>
      </c>
      <c r="D5227">
        <v>4.5181500000000003</v>
      </c>
      <c r="E5227">
        <v>0.57126309999999902</v>
      </c>
      <c r="F5227" t="s">
        <v>42</v>
      </c>
      <c r="G5227">
        <v>-315.44260000000003</v>
      </c>
      <c r="H5227">
        <v>-0.05</v>
      </c>
      <c r="I5227">
        <v>12.115589999999999</v>
      </c>
      <c r="J5227">
        <v>-321.3365</v>
      </c>
      <c r="K5227">
        <v>1.1083590000000001</v>
      </c>
      <c r="L5227">
        <v>15.926909999999999</v>
      </c>
      <c r="M5227">
        <v>0.98869450000000003</v>
      </c>
      <c r="N5227">
        <v>0</v>
      </c>
      <c r="O5227">
        <v>-0.14958239999999901</v>
      </c>
      <c r="P5227">
        <v>0.9300697</v>
      </c>
      <c r="Q5227">
        <v>8.5355539999999994E-2</v>
      </c>
      <c r="R5227">
        <v>-0.35733009999999998</v>
      </c>
      <c r="S5227">
        <v>2.6291199999999999</v>
      </c>
      <c r="T5227">
        <v>-0.50685329999999995</v>
      </c>
      <c r="U5227">
        <v>-1.6757200000000001</v>
      </c>
      <c r="V5227">
        <v>0.21450900000000001</v>
      </c>
      <c r="W5227">
        <v>9.4723879999999996E-2</v>
      </c>
      <c r="X5227">
        <v>0.97211789999999998</v>
      </c>
      <c r="Y5227">
        <v>0.40203519999999998</v>
      </c>
      <c r="Z5227">
        <v>-9.3595220000000003E-3</v>
      </c>
      <c r="AA5227">
        <v>0.91557630000000001</v>
      </c>
      <c r="AB5227">
        <v>24</v>
      </c>
      <c r="AC5227">
        <v>5.8938999999999702</v>
      </c>
      <c r="AD5227">
        <v>-1.1583589999999999</v>
      </c>
      <c r="AE5227">
        <v>-3.8113199999999998</v>
      </c>
      <c r="AF5227">
        <v>2.8102224881456501</v>
      </c>
      <c r="AG5227">
        <v>-1.1583589999999999</v>
      </c>
      <c r="AH5227">
        <v>6.2280866864086102</v>
      </c>
      <c r="AI5227">
        <v>99.621900136268593</v>
      </c>
      <c r="AJ5227">
        <v>65.714264642076699</v>
      </c>
      <c r="AK5227">
        <v>6.9302387966924197</v>
      </c>
      <c r="AL5227">
        <v>84.5645721906386</v>
      </c>
      <c r="AM5227">
        <v>77.556434728218505</v>
      </c>
      <c r="AN5227">
        <v>0.999999968011831</v>
      </c>
    </row>
    <row r="5228" spans="1:40" x14ac:dyDescent="0.25">
      <c r="A5228" t="str">
        <f>"20190312151638642"</f>
        <v>20190312151638642</v>
      </c>
      <c r="B5228" t="str">
        <f>"1552374998632737"</f>
        <v>1552374998632737</v>
      </c>
      <c r="C5228" t="s">
        <v>40</v>
      </c>
      <c r="D5228">
        <v>4.525048</v>
      </c>
      <c r="E5228">
        <v>0.56920269999999995</v>
      </c>
      <c r="F5228" t="s">
        <v>42</v>
      </c>
      <c r="G5228">
        <v>-315.077</v>
      </c>
      <c r="H5228">
        <v>-0.05</v>
      </c>
      <c r="I5228">
        <v>12.00726</v>
      </c>
      <c r="J5228">
        <v>-321.21550000000002</v>
      </c>
      <c r="K5228">
        <v>1.10833</v>
      </c>
      <c r="L5228">
        <v>15.90741</v>
      </c>
      <c r="M5228">
        <v>0.98847450000000003</v>
      </c>
      <c r="N5228">
        <v>0</v>
      </c>
      <c r="O5228">
        <v>-0.15103929999999999</v>
      </c>
      <c r="P5228">
        <v>0.92956689999999997</v>
      </c>
      <c r="Q5228">
        <v>8.500742E-2</v>
      </c>
      <c r="R5228">
        <v>-0.35871930000000002</v>
      </c>
      <c r="S5228">
        <v>2.6361690000000002</v>
      </c>
      <c r="T5228">
        <v>-0.48783300000000002</v>
      </c>
      <c r="U5228">
        <v>-1.6507259999999999</v>
      </c>
      <c r="V5228">
        <v>0.21451819999999999</v>
      </c>
      <c r="W5228">
        <v>9.4260099999999999E-2</v>
      </c>
      <c r="X5228">
        <v>0.97216100000000005</v>
      </c>
      <c r="Y5228">
        <v>0.39370129999999998</v>
      </c>
      <c r="Z5228">
        <v>-8.0682519999999997E-3</v>
      </c>
      <c r="AA5228">
        <v>0.91920299999999999</v>
      </c>
      <c r="AB5228">
        <v>24</v>
      </c>
      <c r="AC5228">
        <v>6.1385000000000201</v>
      </c>
      <c r="AD5228">
        <v>-1.1583299999999901</v>
      </c>
      <c r="AE5228">
        <v>-3.90015</v>
      </c>
      <c r="AF5228">
        <v>2.85575584586873</v>
      </c>
      <c r="AG5228">
        <v>-1.1583299999999901</v>
      </c>
      <c r="AH5228">
        <v>6.4924813618671102</v>
      </c>
      <c r="AI5228">
        <v>99.275148207292403</v>
      </c>
      <c r="AJ5228">
        <v>66.257425894311694</v>
      </c>
      <c r="AK5228">
        <v>7.1867505921873498</v>
      </c>
      <c r="AL5228">
        <v>84.591264525892797</v>
      </c>
      <c r="AM5228">
        <v>77.556452178948206</v>
      </c>
      <c r="AN5228">
        <v>1.00000001725212</v>
      </c>
    </row>
    <row r="5229" spans="1:40" x14ac:dyDescent="0.25">
      <c r="A5229" t="str">
        <f>"20190312151638653"</f>
        <v>20190312151638653</v>
      </c>
      <c r="B5229" t="str">
        <f>"1552374998643098"</f>
        <v>1552374998643098</v>
      </c>
      <c r="C5229" t="s">
        <v>40</v>
      </c>
      <c r="D5229">
        <v>4.51037</v>
      </c>
      <c r="E5229">
        <v>0.56680520000000001</v>
      </c>
      <c r="F5229" t="s">
        <v>42</v>
      </c>
      <c r="G5229">
        <v>-314.286</v>
      </c>
      <c r="H5229">
        <v>-0.05</v>
      </c>
      <c r="I5229">
        <v>11.606769999999999</v>
      </c>
      <c r="J5229">
        <v>-321.09230000000002</v>
      </c>
      <c r="K5229">
        <v>1.108298</v>
      </c>
      <c r="L5229">
        <v>15.887510000000001</v>
      </c>
      <c r="M5229">
        <v>0.98823839999999996</v>
      </c>
      <c r="N5229">
        <v>0</v>
      </c>
      <c r="O5229">
        <v>-0.15258910000000001</v>
      </c>
      <c r="P5229">
        <v>0.92890079999999997</v>
      </c>
      <c r="Q5229">
        <v>8.5025950000000003E-2</v>
      </c>
      <c r="R5229">
        <v>-0.36043639999999999</v>
      </c>
      <c r="S5229">
        <v>2.6362299999999999</v>
      </c>
      <c r="T5229">
        <v>-0.44067630000000002</v>
      </c>
      <c r="U5229">
        <v>-1.636139</v>
      </c>
      <c r="V5229">
        <v>0.214786</v>
      </c>
      <c r="W5229">
        <v>9.4120519999999999E-2</v>
      </c>
      <c r="X5229">
        <v>0.97211539999999996</v>
      </c>
      <c r="Y5229">
        <v>0.38916889999999998</v>
      </c>
      <c r="Z5229">
        <v>-6.7292139999999999E-3</v>
      </c>
      <c r="AA5229">
        <v>0.92114189999999996</v>
      </c>
      <c r="AB5229">
        <v>24</v>
      </c>
      <c r="AC5229">
        <v>6.8063000000000198</v>
      </c>
      <c r="AD5229">
        <v>-1.158298</v>
      </c>
      <c r="AE5229">
        <v>-4.2807399999999998</v>
      </c>
      <c r="AF5229">
        <v>3.1270915849157901</v>
      </c>
      <c r="AG5229">
        <v>-1.158298</v>
      </c>
      <c r="AH5229">
        <v>7.2297800385431801</v>
      </c>
      <c r="AI5229">
        <v>98.365199671082195</v>
      </c>
      <c r="AJ5229">
        <v>66.610104122787902</v>
      </c>
      <c r="AK5229">
        <v>7.9617884575623199</v>
      </c>
      <c r="AL5229">
        <v>84.599297623207306</v>
      </c>
      <c r="AM5229">
        <v>77.540836517617194</v>
      </c>
      <c r="AN5229">
        <v>1.0000000244991101</v>
      </c>
    </row>
    <row r="5230" spans="1:40" x14ac:dyDescent="0.25">
      <c r="A5230" t="str">
        <f>"20190312151638664"</f>
        <v>20190312151638664</v>
      </c>
      <c r="B5230" t="str">
        <f>"1552374998652857"</f>
        <v>1552374998652857</v>
      </c>
      <c r="C5230" t="s">
        <v>40</v>
      </c>
      <c r="D5230">
        <v>5.2400129999999896</v>
      </c>
      <c r="E5230">
        <v>0.56753069999999906</v>
      </c>
      <c r="F5230" t="s">
        <v>42</v>
      </c>
      <c r="G5230">
        <v>-313.66030000000001</v>
      </c>
      <c r="H5230">
        <v>-0.05</v>
      </c>
      <c r="I5230">
        <v>11.31964</v>
      </c>
      <c r="J5230">
        <v>-320.97449999999998</v>
      </c>
      <c r="K5230">
        <v>1.1081490000000001</v>
      </c>
      <c r="L5230">
        <v>15.868259999999999</v>
      </c>
      <c r="M5230">
        <v>0.98803660000000004</v>
      </c>
      <c r="N5230">
        <v>0</v>
      </c>
      <c r="O5230">
        <v>-0.1539034</v>
      </c>
      <c r="P5230">
        <v>0.92833509999999997</v>
      </c>
      <c r="Q5230">
        <v>8.5352170000000005E-2</v>
      </c>
      <c r="R5230">
        <v>-0.36181360000000001</v>
      </c>
      <c r="S5230">
        <v>2.6380620000000001</v>
      </c>
      <c r="T5230">
        <v>-0.41115370000000001</v>
      </c>
      <c r="U5230">
        <v>-1.621429</v>
      </c>
      <c r="V5230">
        <v>0.21495439999999999</v>
      </c>
      <c r="W5230">
        <v>9.420692E-2</v>
      </c>
      <c r="X5230">
        <v>0.97206979999999998</v>
      </c>
      <c r="Y5230">
        <v>0.38428319999999999</v>
      </c>
      <c r="Z5230">
        <v>-5.7551249999999998E-3</v>
      </c>
      <c r="AA5230">
        <v>0.9231973</v>
      </c>
      <c r="AB5230">
        <v>24</v>
      </c>
      <c r="AC5230">
        <v>7.3141999999999703</v>
      </c>
      <c r="AD5230">
        <v>-1.1581489999999901</v>
      </c>
      <c r="AE5230">
        <v>-4.5486199999999997</v>
      </c>
      <c r="AF5230">
        <v>3.3088626600242699</v>
      </c>
      <c r="AG5230">
        <v>-1.1581489999999901</v>
      </c>
      <c r="AH5230">
        <v>7.7863542683598599</v>
      </c>
      <c r="AI5230">
        <v>97.7949375400013</v>
      </c>
      <c r="AJ5230">
        <v>66.976614080141005</v>
      </c>
      <c r="AK5230">
        <v>8.53915651581055</v>
      </c>
      <c r="AL5230">
        <v>84.594325133166294</v>
      </c>
      <c r="AM5230">
        <v>77.530806856535406</v>
      </c>
      <c r="AN5230">
        <v>1.00000001696364</v>
      </c>
    </row>
    <row r="5231" spans="1:40" x14ac:dyDescent="0.25">
      <c r="A5231" t="str">
        <f>"20190312151638676"</f>
        <v>20190312151638676</v>
      </c>
      <c r="B5231" t="str">
        <f>"1552374998673354"</f>
        <v>1552374998673354</v>
      </c>
      <c r="C5231" t="s">
        <v>40</v>
      </c>
      <c r="D5231">
        <v>4.5050910000000002</v>
      </c>
      <c r="E5231">
        <v>0.56471159999999998</v>
      </c>
      <c r="F5231" t="s">
        <v>42</v>
      </c>
      <c r="G5231">
        <v>-313.54000000000002</v>
      </c>
      <c r="H5231">
        <v>-0.05</v>
      </c>
      <c r="I5231">
        <v>11.26605</v>
      </c>
      <c r="J5231">
        <v>-320.85739999999998</v>
      </c>
      <c r="K5231">
        <v>1.1079889999999999</v>
      </c>
      <c r="L5231">
        <v>15.84906</v>
      </c>
      <c r="M5231">
        <v>0.98784709999999998</v>
      </c>
      <c r="N5231">
        <v>0</v>
      </c>
      <c r="O5231">
        <v>-0.15512379999999901</v>
      </c>
      <c r="P5231">
        <v>0.92771890000000001</v>
      </c>
      <c r="Q5231">
        <v>8.5397379999999995E-2</v>
      </c>
      <c r="R5231">
        <v>-0.36338009999999998</v>
      </c>
      <c r="S5231">
        <v>2.6338810000000001</v>
      </c>
      <c r="T5231">
        <v>-0.41030739999999999</v>
      </c>
      <c r="U5231">
        <v>-1.630463</v>
      </c>
      <c r="V5231">
        <v>0.2154133</v>
      </c>
      <c r="W5231">
        <v>9.4077800000000003E-2</v>
      </c>
      <c r="X5231">
        <v>0.97198070000000003</v>
      </c>
      <c r="Y5231">
        <v>0.38609179999999999</v>
      </c>
      <c r="Z5231">
        <v>-5.7080409999999996E-3</v>
      </c>
      <c r="AA5231">
        <v>0.92244269999999995</v>
      </c>
      <c r="AB5231">
        <v>24</v>
      </c>
      <c r="AC5231">
        <v>7.3173999999999602</v>
      </c>
      <c r="AD5231">
        <v>-1.1579889999999999</v>
      </c>
      <c r="AE5231">
        <v>-4.5830099999999998</v>
      </c>
      <c r="AF5231">
        <v>3.3324288113221199</v>
      </c>
      <c r="AG5231">
        <v>-1.1579889999999999</v>
      </c>
      <c r="AH5231">
        <v>7.7994889425543796</v>
      </c>
      <c r="AI5231">
        <v>97.774521113361203</v>
      </c>
      <c r="AJ5231">
        <v>66.864800330084407</v>
      </c>
      <c r="AK5231">
        <v>8.5602598133280203</v>
      </c>
      <c r="AL5231">
        <v>84.601756084680602</v>
      </c>
      <c r="AM5231">
        <v>77.503912479540404</v>
      </c>
      <c r="AN5231">
        <v>1.0000000017211099</v>
      </c>
    </row>
    <row r="5232" spans="1:40" x14ac:dyDescent="0.25">
      <c r="A5232" t="str">
        <f>"20190312151638686"</f>
        <v>20190312151638686</v>
      </c>
      <c r="B5232" t="str">
        <f>"1552374998683114"</f>
        <v>1552374998683114</v>
      </c>
      <c r="C5232" t="s">
        <v>40</v>
      </c>
      <c r="D5232">
        <v>4.4907370000000002</v>
      </c>
      <c r="E5232">
        <v>0.56411180000000005</v>
      </c>
      <c r="F5232" t="s">
        <v>42</v>
      </c>
      <c r="G5232">
        <v>-312.75049999999999</v>
      </c>
      <c r="H5232">
        <v>-0.05</v>
      </c>
      <c r="I5232">
        <v>10.89453</v>
      </c>
      <c r="J5232">
        <v>-320.74099999999999</v>
      </c>
      <c r="K5232">
        <v>1.1077859999999999</v>
      </c>
      <c r="L5232">
        <v>15.829739999999999</v>
      </c>
      <c r="M5232">
        <v>0.98769269999999998</v>
      </c>
      <c r="N5232">
        <v>0</v>
      </c>
      <c r="O5232">
        <v>-0.15609879999999901</v>
      </c>
      <c r="P5232">
        <v>0.92727389999999998</v>
      </c>
      <c r="Q5232">
        <v>8.5104700000000005E-2</v>
      </c>
      <c r="R5232">
        <v>-0.3645834</v>
      </c>
      <c r="S5232">
        <v>2.637146</v>
      </c>
      <c r="T5232">
        <v>-0.37669029999999998</v>
      </c>
      <c r="U5232">
        <v>-1.611694</v>
      </c>
      <c r="V5232">
        <v>0.21573809999999999</v>
      </c>
      <c r="W5232">
        <v>9.3799610000000005E-2</v>
      </c>
      <c r="X5232">
        <v>0.97193560000000001</v>
      </c>
      <c r="Y5232">
        <v>0.38025330000000002</v>
      </c>
      <c r="Z5232">
        <v>-4.7391040000000001E-3</v>
      </c>
      <c r="AA5232">
        <v>0.92487030000000003</v>
      </c>
      <c r="AB5232">
        <v>24</v>
      </c>
      <c r="AC5232">
        <v>7.9904999999999902</v>
      </c>
      <c r="AD5232">
        <v>-1.157786</v>
      </c>
      <c r="AE5232">
        <v>-4.9352099999999997</v>
      </c>
      <c r="AF5232">
        <v>3.5730375613282699</v>
      </c>
      <c r="AG5232">
        <v>-1.157786</v>
      </c>
      <c r="AH5232">
        <v>8.5332732857142997</v>
      </c>
      <c r="AI5232">
        <v>97.133523819920796</v>
      </c>
      <c r="AJ5232">
        <v>67.280047867546003</v>
      </c>
      <c r="AK5232">
        <v>9.3232944180232806</v>
      </c>
      <c r="AL5232">
        <v>84.617766268286402</v>
      </c>
      <c r="AM5232">
        <v>77.485101607898699</v>
      </c>
      <c r="AN5232">
        <v>1.0000000525875501</v>
      </c>
    </row>
    <row r="5233" spans="1:40" x14ac:dyDescent="0.25">
      <c r="A5233" t="str">
        <f>"20190312151638698"</f>
        <v>20190312151638698</v>
      </c>
      <c r="B5233" t="str">
        <f>"1552374998692874"</f>
        <v>1552374998692874</v>
      </c>
      <c r="C5233" t="s">
        <v>40</v>
      </c>
      <c r="D5233">
        <v>4.4710140000000003</v>
      </c>
      <c r="E5233">
        <v>0.56359139999999996</v>
      </c>
      <c r="F5233" t="s">
        <v>42</v>
      </c>
      <c r="G5233">
        <v>-312.43400000000003</v>
      </c>
      <c r="H5233">
        <v>-0.05</v>
      </c>
      <c r="I5233">
        <v>10.75568</v>
      </c>
      <c r="J5233">
        <v>-320.62020000000001</v>
      </c>
      <c r="K5233">
        <v>1.1075469999999901</v>
      </c>
      <c r="L5233">
        <v>15.80963</v>
      </c>
      <c r="M5233">
        <v>0.98754010000000003</v>
      </c>
      <c r="N5233">
        <v>0</v>
      </c>
      <c r="O5233">
        <v>-0.15704979999999999</v>
      </c>
      <c r="P5233">
        <v>0.92675280000000004</v>
      </c>
      <c r="Q5233">
        <v>8.5012229999999994E-2</v>
      </c>
      <c r="R5233">
        <v>-0.36592740000000001</v>
      </c>
      <c r="S5233">
        <v>2.6359859999999999</v>
      </c>
      <c r="T5233">
        <v>-0.36739060000000001</v>
      </c>
      <c r="U5233">
        <v>-1.610107</v>
      </c>
      <c r="V5233">
        <v>0.21623880000000001</v>
      </c>
      <c r="W5233">
        <v>9.381623E-2</v>
      </c>
      <c r="X5233">
        <v>0.97182270000000004</v>
      </c>
      <c r="Y5233">
        <v>0.37922939999999999</v>
      </c>
      <c r="Z5233">
        <v>-4.4419409999999996E-3</v>
      </c>
      <c r="AA5233">
        <v>0.925292</v>
      </c>
      <c r="AB5233">
        <v>24</v>
      </c>
      <c r="AC5233">
        <v>8.1861999999999799</v>
      </c>
      <c r="AD5233">
        <v>-1.1575470000000001</v>
      </c>
      <c r="AE5233">
        <v>-5.0539499999999897</v>
      </c>
      <c r="AF5233">
        <v>3.6526438833991199</v>
      </c>
      <c r="AG5233">
        <v>-1.1575470000000001</v>
      </c>
      <c r="AH5233">
        <v>8.7516703088484693</v>
      </c>
      <c r="AI5233">
        <v>96.959168887973505</v>
      </c>
      <c r="AJ5233">
        <v>67.346034068105197</v>
      </c>
      <c r="AK5233">
        <v>9.5537142301265199</v>
      </c>
      <c r="AL5233">
        <v>84.616809683234607</v>
      </c>
      <c r="AM5233">
        <v>77.455563244658507</v>
      </c>
      <c r="AN5233">
        <v>1.00000003193607</v>
      </c>
    </row>
    <row r="5234" spans="1:40" x14ac:dyDescent="0.25">
      <c r="A5234" t="str">
        <f>"20190312151638709"</f>
        <v>20190312151638709</v>
      </c>
      <c r="B5234" t="str">
        <f>"1552374998702633"</f>
        <v>1552374998702633</v>
      </c>
      <c r="C5234" t="s">
        <v>40</v>
      </c>
      <c r="D5234">
        <v>4.4456519999999999</v>
      </c>
      <c r="E5234">
        <v>0.56319370000000002</v>
      </c>
      <c r="F5234" t="s">
        <v>42</v>
      </c>
      <c r="G5234">
        <v>-312.14789999999999</v>
      </c>
      <c r="H5234">
        <v>-0.05</v>
      </c>
      <c r="I5234">
        <v>10.63322</v>
      </c>
      <c r="J5234">
        <v>-320.49829999999997</v>
      </c>
      <c r="K5234">
        <v>1.1072740000000001</v>
      </c>
      <c r="L5234">
        <v>15.78912</v>
      </c>
      <c r="M5234">
        <v>0.98739500000000002</v>
      </c>
      <c r="N5234">
        <v>0</v>
      </c>
      <c r="O5234">
        <v>-0.1579392</v>
      </c>
      <c r="P5234">
        <v>0.92635120000000004</v>
      </c>
      <c r="Q5234">
        <v>8.4427870000000002E-2</v>
      </c>
      <c r="R5234">
        <v>-0.3670774</v>
      </c>
      <c r="S5234">
        <v>2.6345830000000001</v>
      </c>
      <c r="T5234">
        <v>-0.35995579999999999</v>
      </c>
      <c r="U5234">
        <v>-1.60968</v>
      </c>
      <c r="V5234">
        <v>0.21658769999999999</v>
      </c>
      <c r="W5234">
        <v>9.3459700000000007E-2</v>
      </c>
      <c r="X5234">
        <v>0.97177930000000001</v>
      </c>
      <c r="Y5234">
        <v>0.37857629999999998</v>
      </c>
      <c r="Z5234">
        <v>-4.2058549999999997E-3</v>
      </c>
      <c r="AA5234">
        <v>0.92556050000000001</v>
      </c>
      <c r="AB5234">
        <v>24</v>
      </c>
      <c r="AC5234">
        <v>8.3503999999999792</v>
      </c>
      <c r="AD5234">
        <v>-1.1572739999999999</v>
      </c>
      <c r="AE5234">
        <v>-5.1558999999999999</v>
      </c>
      <c r="AF5234">
        <v>3.72051887328313</v>
      </c>
      <c r="AG5234">
        <v>-1.1572739999999999</v>
      </c>
      <c r="AH5234">
        <v>8.9356874665752208</v>
      </c>
      <c r="AI5234">
        <v>96.818021218104207</v>
      </c>
      <c r="AJ5234">
        <v>67.394801932196202</v>
      </c>
      <c r="AK5234">
        <v>9.7482333936894197</v>
      </c>
      <c r="AL5234">
        <v>84.637327203617801</v>
      </c>
      <c r="AM5234">
        <v>77.435421714883702</v>
      </c>
      <c r="AN5234">
        <v>0.99999997761193404</v>
      </c>
    </row>
    <row r="5235" spans="1:40" x14ac:dyDescent="0.25">
      <c r="A5235" t="str">
        <f>"20190312151638720"</f>
        <v>20190312151638720</v>
      </c>
      <c r="B5235" t="str">
        <f>"1552374998713370"</f>
        <v>1552374998713370</v>
      </c>
      <c r="C5235" t="s">
        <v>40</v>
      </c>
      <c r="D5235">
        <v>4.4698510000000002</v>
      </c>
      <c r="E5235">
        <v>0.56288830000000001</v>
      </c>
      <c r="F5235" t="s">
        <v>42</v>
      </c>
      <c r="G5235">
        <v>-311.90750000000003</v>
      </c>
      <c r="H5235">
        <v>-0.05</v>
      </c>
      <c r="I5235">
        <v>10.536670000000001</v>
      </c>
      <c r="J5235">
        <v>-320.38510000000002</v>
      </c>
      <c r="K5235">
        <v>1.1069549999999999</v>
      </c>
      <c r="L5235">
        <v>15.76993</v>
      </c>
      <c r="M5235">
        <v>0.98725180000000001</v>
      </c>
      <c r="N5235">
        <v>0</v>
      </c>
      <c r="O5235">
        <v>-0.15881110000000001</v>
      </c>
      <c r="P5235">
        <v>0.92584219999999895</v>
      </c>
      <c r="Q5235">
        <v>8.4297880000000006E-2</v>
      </c>
      <c r="R5235">
        <v>-0.36838919999999997</v>
      </c>
      <c r="S5235">
        <v>2.6329039999999999</v>
      </c>
      <c r="T5235">
        <v>-0.35468159999999999</v>
      </c>
      <c r="U5235">
        <v>-1.609772</v>
      </c>
      <c r="V5235">
        <v>0.2171255</v>
      </c>
      <c r="W5235">
        <v>9.3576950000000006E-2</v>
      </c>
      <c r="X5235">
        <v>0.97164799999999996</v>
      </c>
      <c r="Y5235">
        <v>0.3780946</v>
      </c>
      <c r="Z5235">
        <v>-4.0127690000000002E-3</v>
      </c>
      <c r="AA5235">
        <v>0.92575819999999998</v>
      </c>
      <c r="AB5235">
        <v>24</v>
      </c>
      <c r="AC5235">
        <v>8.47759999999999</v>
      </c>
      <c r="AD5235">
        <v>-1.156955</v>
      </c>
      <c r="AE5235">
        <v>-5.2332599999999996</v>
      </c>
      <c r="AF5235">
        <v>3.7695885879205702</v>
      </c>
      <c r="AG5235">
        <v>-1.156955</v>
      </c>
      <c r="AH5235">
        <v>9.0787124710193101</v>
      </c>
      <c r="AI5235">
        <v>96.712486869416395</v>
      </c>
      <c r="AJ5235">
        <v>67.451198195871996</v>
      </c>
      <c r="AK5235">
        <v>9.8980484503586705</v>
      </c>
      <c r="AL5235">
        <v>84.630579727024696</v>
      </c>
      <c r="AM5235">
        <v>77.403569682016496</v>
      </c>
      <c r="AN5235">
        <v>0.99999998211277596</v>
      </c>
    </row>
    <row r="5236" spans="1:40" x14ac:dyDescent="0.25">
      <c r="A5236" t="str">
        <f>"20190312151638730"</f>
        <v>20190312151638730</v>
      </c>
      <c r="B5236" t="str">
        <f>"1552374998723130"</f>
        <v>1552374998723130</v>
      </c>
      <c r="C5236" t="s">
        <v>40</v>
      </c>
      <c r="D5236">
        <v>4.4608349999999897</v>
      </c>
      <c r="E5236">
        <v>0.56270129999999996</v>
      </c>
      <c r="F5236" t="s">
        <v>42</v>
      </c>
      <c r="G5236">
        <v>-311.65559999999999</v>
      </c>
      <c r="H5236">
        <v>-0.05</v>
      </c>
      <c r="I5236">
        <v>10.424530000000001</v>
      </c>
      <c r="J5236">
        <v>-320.26369999999997</v>
      </c>
      <c r="K5236">
        <v>1.1065799999999999</v>
      </c>
      <c r="L5236">
        <v>15.749269999999999</v>
      </c>
      <c r="M5236">
        <v>0.98709340000000001</v>
      </c>
      <c r="N5236">
        <v>0</v>
      </c>
      <c r="O5236">
        <v>-0.15977</v>
      </c>
      <c r="P5236">
        <v>0.92530509999999999</v>
      </c>
      <c r="Q5236">
        <v>8.4192310000000006E-2</v>
      </c>
      <c r="R5236">
        <v>-0.36975970000000002</v>
      </c>
      <c r="S5236">
        <v>2.6310120000000001</v>
      </c>
      <c r="T5236">
        <v>-0.34869600000000001</v>
      </c>
      <c r="U5236">
        <v>-1.6110530000000001</v>
      </c>
      <c r="V5236">
        <v>0.21764</v>
      </c>
      <c r="W5236">
        <v>9.3754980000000002E-2</v>
      </c>
      <c r="X5236">
        <v>0.97151569999999998</v>
      </c>
      <c r="Y5236">
        <v>0.37787330000000002</v>
      </c>
      <c r="Z5236">
        <v>-3.8212849999999998E-3</v>
      </c>
      <c r="AA5236">
        <v>0.92584940000000004</v>
      </c>
      <c r="AB5236">
        <v>24</v>
      </c>
      <c r="AC5236">
        <v>8.6080999999999701</v>
      </c>
      <c r="AD5236">
        <v>-1.1565799999999999</v>
      </c>
      <c r="AE5236">
        <v>-5.3247400000000003</v>
      </c>
      <c r="AF5236">
        <v>3.8309140716597399</v>
      </c>
      <c r="AG5236">
        <v>-1.1565799999999999</v>
      </c>
      <c r="AH5236">
        <v>9.2278103298954992</v>
      </c>
      <c r="AI5236">
        <v>96.603020448651804</v>
      </c>
      <c r="AJ5236">
        <v>67.454278985603395</v>
      </c>
      <c r="AK5236">
        <v>10.0581341910598</v>
      </c>
      <c r="AL5236">
        <v>84.620334201080794</v>
      </c>
      <c r="AM5236">
        <v>77.373012833136897</v>
      </c>
      <c r="AN5236">
        <v>0.999999960610644</v>
      </c>
    </row>
    <row r="5237" spans="1:40" x14ac:dyDescent="0.25">
      <c r="A5237" t="str">
        <f>"20190312151638742"</f>
        <v>20190312151638742</v>
      </c>
      <c r="B5237" t="str">
        <f>"1552374998732890"</f>
        <v>1552374998732890</v>
      </c>
      <c r="C5237" t="s">
        <v>40</v>
      </c>
      <c r="D5237">
        <v>4.4341790000000003</v>
      </c>
      <c r="E5237">
        <v>0.56241609999999997</v>
      </c>
      <c r="F5237" t="s">
        <v>42</v>
      </c>
      <c r="G5237">
        <v>-311.41879999999998</v>
      </c>
      <c r="H5237">
        <v>-0.05</v>
      </c>
      <c r="I5237">
        <v>10.321350000000001</v>
      </c>
      <c r="J5237">
        <v>-320.14859999999999</v>
      </c>
      <c r="K5237">
        <v>1.1061430000000001</v>
      </c>
      <c r="L5237">
        <v>15.72946</v>
      </c>
      <c r="M5237">
        <v>0.98693690000000001</v>
      </c>
      <c r="N5237">
        <v>0</v>
      </c>
      <c r="O5237">
        <v>-0.16070509999999999</v>
      </c>
      <c r="P5237">
        <v>0.92478640000000001</v>
      </c>
      <c r="Q5237">
        <v>8.3554729999999994E-2</v>
      </c>
      <c r="R5237">
        <v>-0.37119940000000001</v>
      </c>
      <c r="S5237">
        <v>2.628784</v>
      </c>
      <c r="T5237">
        <v>-0.34374450000000001</v>
      </c>
      <c r="U5237">
        <v>-1.6132200000000001</v>
      </c>
      <c r="V5237">
        <v>0.21823509999999999</v>
      </c>
      <c r="W5237">
        <v>9.349056E-2</v>
      </c>
      <c r="X5237">
        <v>0.97140769999999999</v>
      </c>
      <c r="Y5237">
        <v>0.37794240000000001</v>
      </c>
      <c r="Z5237">
        <v>-3.6652030000000001E-3</v>
      </c>
      <c r="AA5237">
        <v>0.92582180000000003</v>
      </c>
      <c r="AB5237">
        <v>24</v>
      </c>
      <c r="AC5237">
        <v>8.7298000000000098</v>
      </c>
      <c r="AD5237">
        <v>-1.1561429999999999</v>
      </c>
      <c r="AE5237">
        <v>-5.4081099999999998</v>
      </c>
      <c r="AF5237">
        <v>3.8855453498304802</v>
      </c>
      <c r="AG5237">
        <v>-1.1561429999999999</v>
      </c>
      <c r="AH5237">
        <v>9.3667628877923992</v>
      </c>
      <c r="AI5237">
        <v>96.5042203965195</v>
      </c>
      <c r="AJ5237">
        <v>67.470219258968797</v>
      </c>
      <c r="AK5237">
        <v>10.2063889940646</v>
      </c>
      <c r="AL5237">
        <v>84.6355513018718</v>
      </c>
      <c r="AM5237">
        <v>77.338235758168395</v>
      </c>
      <c r="AN5237">
        <v>0.99999998165020598</v>
      </c>
    </row>
    <row r="5238" spans="1:40" x14ac:dyDescent="0.25">
      <c r="A5238" t="str">
        <f>"20190312151638754"</f>
        <v>20190312151638754</v>
      </c>
      <c r="B5238" t="str">
        <f>"1552374998743408"</f>
        <v>1552374998743408</v>
      </c>
      <c r="C5238" t="s">
        <v>40</v>
      </c>
      <c r="D5238">
        <v>4.4476399999999998</v>
      </c>
      <c r="E5238">
        <v>0.56222030000000001</v>
      </c>
      <c r="F5238" t="s">
        <v>42</v>
      </c>
      <c r="G5238">
        <v>-311.26569999999998</v>
      </c>
      <c r="H5238">
        <v>-0.05</v>
      </c>
      <c r="I5238">
        <v>10.268520000000001</v>
      </c>
      <c r="J5238">
        <v>-320.0258</v>
      </c>
      <c r="K5238">
        <v>1.1056569999999999</v>
      </c>
      <c r="L5238">
        <v>15.708310000000001</v>
      </c>
      <c r="M5238">
        <v>0.98676929999999996</v>
      </c>
      <c r="N5238">
        <v>0</v>
      </c>
      <c r="O5238">
        <v>-0.16169639999999999</v>
      </c>
      <c r="P5238">
        <v>0.9242108</v>
      </c>
      <c r="Q5238">
        <v>8.2995379999999994E-2</v>
      </c>
      <c r="R5238">
        <v>-0.37275560000000002</v>
      </c>
      <c r="S5238">
        <v>2.626709</v>
      </c>
      <c r="T5238">
        <v>-0.34187960000000001</v>
      </c>
      <c r="U5238">
        <v>-1.614838</v>
      </c>
      <c r="V5238">
        <v>0.21889939999999999</v>
      </c>
      <c r="W5238">
        <v>9.3360479999999996E-2</v>
      </c>
      <c r="X5238">
        <v>0.97127070000000004</v>
      </c>
      <c r="Y5238">
        <v>0.377772</v>
      </c>
      <c r="Z5238">
        <v>-3.5228519999999999E-3</v>
      </c>
      <c r="AA5238">
        <v>0.92589189999999999</v>
      </c>
      <c r="AB5238">
        <v>24</v>
      </c>
      <c r="AC5238">
        <v>8.7601000000000209</v>
      </c>
      <c r="AD5238">
        <v>-1.1556569999999999</v>
      </c>
      <c r="AE5238">
        <v>-5.4397900000000003</v>
      </c>
      <c r="AF5238">
        <v>3.9026012209397698</v>
      </c>
      <c r="AG5238">
        <v>-1.1556569999999999</v>
      </c>
      <c r="AH5238">
        <v>9.4063159315114806</v>
      </c>
      <c r="AI5238">
        <v>96.474247182303799</v>
      </c>
      <c r="AJ5238">
        <v>67.4668497943875</v>
      </c>
      <c r="AK5238">
        <v>10.249127708968</v>
      </c>
      <c r="AL5238">
        <v>84.643036905639093</v>
      </c>
      <c r="AM5238">
        <v>77.299208752620103</v>
      </c>
      <c r="AN5238">
        <v>0.99999994961233896</v>
      </c>
    </row>
    <row r="5239" spans="1:40" x14ac:dyDescent="0.25">
      <c r="A5239" t="str">
        <f>"20190312151638764"</f>
        <v>20190312151638764</v>
      </c>
      <c r="B5239" t="str">
        <f>"1552374998753168"</f>
        <v>1552374998753168</v>
      </c>
      <c r="C5239" t="s">
        <v>40</v>
      </c>
      <c r="D5239">
        <v>4.485468</v>
      </c>
      <c r="E5239">
        <v>0.56208719999999901</v>
      </c>
      <c r="F5239" t="s">
        <v>42</v>
      </c>
      <c r="G5239">
        <v>-311.10559999999998</v>
      </c>
      <c r="H5239">
        <v>-0.05</v>
      </c>
      <c r="I5239">
        <v>10.209720000000001</v>
      </c>
      <c r="J5239">
        <v>-319.90640000000002</v>
      </c>
      <c r="K5239">
        <v>1.1051120000000001</v>
      </c>
      <c r="L5239">
        <v>15.687530000000001</v>
      </c>
      <c r="M5239">
        <v>0.98661710000000002</v>
      </c>
      <c r="N5239">
        <v>0</v>
      </c>
      <c r="O5239">
        <v>-0.16257530000000001</v>
      </c>
      <c r="P5239">
        <v>0.9237088</v>
      </c>
      <c r="Q5239">
        <v>8.2253350000000003E-2</v>
      </c>
      <c r="R5239">
        <v>-0.37416139999999998</v>
      </c>
      <c r="S5239">
        <v>2.6241460000000001</v>
      </c>
      <c r="T5239">
        <v>-0.33997230000000001</v>
      </c>
      <c r="U5239">
        <v>-1.6175839999999999</v>
      </c>
      <c r="V5239">
        <v>0.21950939999999999</v>
      </c>
      <c r="W5239">
        <v>9.3206639999999993E-2</v>
      </c>
      <c r="X5239">
        <v>0.97114780000000001</v>
      </c>
      <c r="Y5239">
        <v>0.3780693</v>
      </c>
      <c r="Z5239">
        <v>-3.422329E-3</v>
      </c>
      <c r="AA5239">
        <v>0.92577100000000001</v>
      </c>
      <c r="AB5239">
        <v>24</v>
      </c>
      <c r="AC5239">
        <v>8.8008000000000308</v>
      </c>
      <c r="AD5239">
        <v>-1.1551119999999999</v>
      </c>
      <c r="AE5239">
        <v>-5.4778099999999998</v>
      </c>
      <c r="AF5239">
        <v>3.9252799794240101</v>
      </c>
      <c r="AG5239">
        <v>-1.1551119999999999</v>
      </c>
      <c r="AH5239">
        <v>9.4569013867746001</v>
      </c>
      <c r="AI5239">
        <v>96.436492178404507</v>
      </c>
      <c r="AJ5239">
        <v>67.458108334292703</v>
      </c>
      <c r="AK5239">
        <v>10.3041297783262</v>
      </c>
      <c r="AL5239">
        <v>84.651889904001493</v>
      </c>
      <c r="AM5239">
        <v>77.263409490253295</v>
      </c>
      <c r="AN5239">
        <v>0.99999995193664304</v>
      </c>
    </row>
    <row r="5240" spans="1:40" x14ac:dyDescent="0.25">
      <c r="A5240" t="str">
        <f>"20190312151638777"</f>
        <v>20190312151638777</v>
      </c>
      <c r="B5240" t="str">
        <f>"1552374998772688"</f>
        <v>1552374998772688</v>
      </c>
      <c r="C5240" t="s">
        <v>40</v>
      </c>
      <c r="D5240">
        <v>4.4327759999999996</v>
      </c>
      <c r="E5240">
        <v>0.56188990000000005</v>
      </c>
      <c r="F5240" t="s">
        <v>42</v>
      </c>
      <c r="G5240">
        <v>-310.9717</v>
      </c>
      <c r="H5240">
        <v>-0.05</v>
      </c>
      <c r="I5240">
        <v>10.16559</v>
      </c>
      <c r="J5240">
        <v>-319.77999999999997</v>
      </c>
      <c r="K5240">
        <v>1.104522</v>
      </c>
      <c r="L5240">
        <v>15.66544</v>
      </c>
      <c r="M5240">
        <v>0.98645059999999996</v>
      </c>
      <c r="N5240">
        <v>0</v>
      </c>
      <c r="O5240">
        <v>-0.1635247</v>
      </c>
      <c r="P5240">
        <v>0.92319649999999998</v>
      </c>
      <c r="Q5240">
        <v>8.1369529999999995E-2</v>
      </c>
      <c r="R5240">
        <v>-0.37561600000000001</v>
      </c>
      <c r="S5240">
        <v>2.621613</v>
      </c>
      <c r="T5240">
        <v>-0.33893109999999999</v>
      </c>
      <c r="U5240">
        <v>-1.620239</v>
      </c>
      <c r="V5240">
        <v>0.22009590000000001</v>
      </c>
      <c r="W5240">
        <v>9.301247E-2</v>
      </c>
      <c r="X5240">
        <v>0.97103379999999995</v>
      </c>
      <c r="Y5240">
        <v>0.37826680000000001</v>
      </c>
      <c r="Z5240">
        <v>-3.3170510000000001E-3</v>
      </c>
      <c r="AA5240">
        <v>0.92569069999999998</v>
      </c>
      <c r="AB5240">
        <v>24</v>
      </c>
      <c r="AC5240">
        <v>8.8082999999999707</v>
      </c>
      <c r="AD5240">
        <v>-1.1545219999999901</v>
      </c>
      <c r="AE5240">
        <v>-5.4998500000000003</v>
      </c>
      <c r="AF5240">
        <v>3.9366441355953699</v>
      </c>
      <c r="AG5240">
        <v>-1.1545219999999901</v>
      </c>
      <c r="AH5240">
        <v>9.4720702841645892</v>
      </c>
      <c r="AI5240">
        <v>96.421808858424001</v>
      </c>
      <c r="AJ5240">
        <v>67.431962709581498</v>
      </c>
      <c r="AK5240">
        <v>10.322315804457601</v>
      </c>
      <c r="AL5240">
        <v>84.663064266118994</v>
      </c>
      <c r="AM5240">
        <v>77.229043355903102</v>
      </c>
      <c r="AN5240">
        <v>1.0000000827573701</v>
      </c>
    </row>
    <row r="5241" spans="1:40" x14ac:dyDescent="0.25">
      <c r="A5241" t="str">
        <f>"20190312151638789"</f>
        <v>20190312151638789</v>
      </c>
      <c r="B5241" t="str">
        <f>"1552374998783424"</f>
        <v>1552374998783424</v>
      </c>
      <c r="C5241" t="s">
        <v>40</v>
      </c>
      <c r="D5241">
        <v>4.3887669999999996</v>
      </c>
      <c r="E5241">
        <v>0.56181719999999902</v>
      </c>
      <c r="F5241" t="s">
        <v>42</v>
      </c>
      <c r="G5241">
        <v>-310.76330000000002</v>
      </c>
      <c r="H5241">
        <v>-0.05</v>
      </c>
      <c r="I5241">
        <v>10.07938</v>
      </c>
      <c r="J5241">
        <v>-319.65179999999998</v>
      </c>
      <c r="K5241">
        <v>1.1038859999999999</v>
      </c>
      <c r="L5241">
        <v>15.642849999999999</v>
      </c>
      <c r="M5241">
        <v>0.9862727</v>
      </c>
      <c r="N5241">
        <v>0</v>
      </c>
      <c r="O5241">
        <v>-0.16452339999999999</v>
      </c>
      <c r="P5241">
        <v>0.92254570000000002</v>
      </c>
      <c r="Q5241">
        <v>8.0661540000000004E-2</v>
      </c>
      <c r="R5241">
        <v>-0.377363</v>
      </c>
      <c r="S5241">
        <v>2.6189879999999999</v>
      </c>
      <c r="T5241">
        <v>-0.33534190000000003</v>
      </c>
      <c r="U5241">
        <v>-1.622528</v>
      </c>
      <c r="V5241">
        <v>0.22093969999999999</v>
      </c>
      <c r="W5241">
        <v>9.3128790000000003E-2</v>
      </c>
      <c r="X5241">
        <v>0.97083090000000005</v>
      </c>
      <c r="Y5241">
        <v>0.37835839999999998</v>
      </c>
      <c r="Z5241">
        <v>-3.1765309999999998E-3</v>
      </c>
      <c r="AA5241">
        <v>0.92565370000000002</v>
      </c>
      <c r="AB5241">
        <v>24</v>
      </c>
      <c r="AC5241">
        <v>8.8884999999999597</v>
      </c>
      <c r="AD5241">
        <v>-1.153886</v>
      </c>
      <c r="AE5241">
        <v>-5.5634699999999899</v>
      </c>
      <c r="AF5241">
        <v>3.9769749520904298</v>
      </c>
      <c r="AG5241">
        <v>-1.153886</v>
      </c>
      <c r="AH5241">
        <v>9.5669217986303501</v>
      </c>
      <c r="AI5241">
        <v>96.354977061734502</v>
      </c>
      <c r="AJ5241">
        <v>67.427315585673298</v>
      </c>
      <c r="AK5241">
        <v>10.4246714754787</v>
      </c>
      <c r="AL5241">
        <v>84.656370014172794</v>
      </c>
      <c r="AM5241">
        <v>77.179106333440004</v>
      </c>
      <c r="AN5241">
        <v>0.99999997947888197</v>
      </c>
    </row>
    <row r="5242" spans="1:40" x14ac:dyDescent="0.25">
      <c r="A5242" t="str">
        <f>"20190312151638800"</f>
        <v>20190312151638800</v>
      </c>
      <c r="B5242" t="str">
        <f>"1552374998793185"</f>
        <v>1552374998793185</v>
      </c>
      <c r="C5242" t="s">
        <v>40</v>
      </c>
      <c r="D5242">
        <v>4.4407889999999997</v>
      </c>
      <c r="E5242">
        <v>0.5617626</v>
      </c>
      <c r="F5242" t="s">
        <v>42</v>
      </c>
      <c r="G5242">
        <v>-310.64870000000002</v>
      </c>
      <c r="H5242">
        <v>-0.05</v>
      </c>
      <c r="I5242">
        <v>10.044269999999999</v>
      </c>
      <c r="J5242">
        <v>-319.53269999999998</v>
      </c>
      <c r="K5242">
        <v>1.1032569999999999</v>
      </c>
      <c r="L5242">
        <v>15.621729999999999</v>
      </c>
      <c r="M5242">
        <v>0.9860854</v>
      </c>
      <c r="N5242">
        <v>0</v>
      </c>
      <c r="O5242">
        <v>-0.1655722</v>
      </c>
      <c r="P5242">
        <v>0.92182450000000005</v>
      </c>
      <c r="Q5242">
        <v>7.9761380000000007E-2</v>
      </c>
      <c r="R5242">
        <v>-0.37931239999999999</v>
      </c>
      <c r="S5242">
        <v>2.6158139999999999</v>
      </c>
      <c r="T5242">
        <v>-0.33525680000000002</v>
      </c>
      <c r="U5242">
        <v>-1.6266480000000001</v>
      </c>
      <c r="V5242">
        <v>0.221938</v>
      </c>
      <c r="W5242">
        <v>9.3018630000000005E-2</v>
      </c>
      <c r="X5242">
        <v>0.97061379999999997</v>
      </c>
      <c r="Y5242">
        <v>0.37892959999999998</v>
      </c>
      <c r="Z5242">
        <v>-3.0927699999999999E-3</v>
      </c>
      <c r="AA5242">
        <v>0.92542029999999997</v>
      </c>
      <c r="AB5242">
        <v>24</v>
      </c>
      <c r="AC5242">
        <v>8.8839999999999506</v>
      </c>
      <c r="AD5242">
        <v>-1.153257</v>
      </c>
      <c r="AE5242">
        <v>-5.5774599999999896</v>
      </c>
      <c r="AF5242">
        <v>3.9812324667210901</v>
      </c>
      <c r="AG5242">
        <v>-1.153257</v>
      </c>
      <c r="AH5242">
        <v>9.5692613692538195</v>
      </c>
      <c r="AI5242">
        <v>96.349234491172297</v>
      </c>
      <c r="AJ5242">
        <v>67.410547090711603</v>
      </c>
      <c r="AK5242">
        <v>10.4283736419068</v>
      </c>
      <c r="AL5242">
        <v>84.662709585577602</v>
      </c>
      <c r="AM5242">
        <v>77.120318863966304</v>
      </c>
      <c r="AN5242">
        <v>1.00000004506075</v>
      </c>
    </row>
    <row r="5243" spans="1:40" x14ac:dyDescent="0.25">
      <c r="A5243" t="str">
        <f>"20190312151638811"</f>
        <v>20190312151638811</v>
      </c>
      <c r="B5243" t="str">
        <f>"1552374998802944"</f>
        <v>1552374998802944</v>
      </c>
      <c r="C5243" t="s">
        <v>40</v>
      </c>
      <c r="D5243">
        <v>4.4061839999999997</v>
      </c>
      <c r="E5243">
        <v>0.56171979999999999</v>
      </c>
      <c r="F5243" t="s">
        <v>42</v>
      </c>
      <c r="G5243">
        <v>-310.58539999999999</v>
      </c>
      <c r="H5243">
        <v>-0.05</v>
      </c>
      <c r="I5243">
        <v>10.034700000000001</v>
      </c>
      <c r="J5243">
        <v>-319.40550000000002</v>
      </c>
      <c r="K5243">
        <v>1.102562</v>
      </c>
      <c r="L5243">
        <v>15.59909</v>
      </c>
      <c r="M5243">
        <v>0.98587210000000003</v>
      </c>
      <c r="N5243">
        <v>0</v>
      </c>
      <c r="O5243">
        <v>-0.166757399999999</v>
      </c>
      <c r="P5243">
        <v>0.92107159999999999</v>
      </c>
      <c r="Q5243">
        <v>7.8829949999999996E-2</v>
      </c>
      <c r="R5243">
        <v>-0.38133080000000003</v>
      </c>
      <c r="S5243">
        <v>2.6123349999999999</v>
      </c>
      <c r="T5243">
        <v>-0.33671279999999998</v>
      </c>
      <c r="U5243">
        <v>-1.6312260000000001</v>
      </c>
      <c r="V5243">
        <v>0.22287129999999999</v>
      </c>
      <c r="W5243">
        <v>9.2946009999999996E-2</v>
      </c>
      <c r="X5243">
        <v>0.97040680000000001</v>
      </c>
      <c r="Y5243">
        <v>0.37952730000000001</v>
      </c>
      <c r="Z5243">
        <v>-3.0089539999999999E-3</v>
      </c>
      <c r="AA5243">
        <v>0.92517570000000005</v>
      </c>
      <c r="AB5243">
        <v>24</v>
      </c>
      <c r="AC5243">
        <v>8.8201000000000196</v>
      </c>
      <c r="AD5243">
        <v>-1.1525620000000001</v>
      </c>
      <c r="AE5243">
        <v>-5.5643899999999897</v>
      </c>
      <c r="AF5243">
        <v>3.9670035428099002</v>
      </c>
      <c r="AG5243">
        <v>-1.1525620000000001</v>
      </c>
      <c r="AH5243">
        <v>9.5084478605743108</v>
      </c>
      <c r="AI5243">
        <v>96.383071530066502</v>
      </c>
      <c r="AJ5243">
        <v>67.353696659550906</v>
      </c>
      <c r="AK5243">
        <v>10.367067907068501</v>
      </c>
      <c r="AL5243">
        <v>84.666888093154995</v>
      </c>
      <c r="AM5243">
        <v>77.065308266581297</v>
      </c>
      <c r="AN5243">
        <v>0.99999996731242402</v>
      </c>
    </row>
    <row r="5244" spans="1:40" x14ac:dyDescent="0.25">
      <c r="A5244" t="str">
        <f>"20190312151638821"</f>
        <v>20190312151638821</v>
      </c>
      <c r="B5244" t="str">
        <f>"1552374998812704"</f>
        <v>1552374998812704</v>
      </c>
      <c r="C5244" t="s">
        <v>40</v>
      </c>
      <c r="D5244">
        <v>4.3454280000000001</v>
      </c>
      <c r="E5244">
        <v>0.56163109999999905</v>
      </c>
      <c r="F5244" t="s">
        <v>42</v>
      </c>
      <c r="G5244">
        <v>-310.4991</v>
      </c>
      <c r="H5244">
        <v>-0.05</v>
      </c>
      <c r="I5244">
        <v>10.01308</v>
      </c>
      <c r="J5244">
        <v>-319.3039</v>
      </c>
      <c r="K5244">
        <v>1.1019570000000001</v>
      </c>
      <c r="L5244">
        <v>15.58081</v>
      </c>
      <c r="M5244">
        <v>0.98568180000000005</v>
      </c>
      <c r="N5244">
        <v>0</v>
      </c>
      <c r="O5244">
        <v>-0.167816299999999</v>
      </c>
      <c r="P5244">
        <v>0.92032780000000003</v>
      </c>
      <c r="Q5244">
        <v>7.7774700000000002E-2</v>
      </c>
      <c r="R5244">
        <v>-0.38333810000000001</v>
      </c>
      <c r="S5244">
        <v>2.6086119999999999</v>
      </c>
      <c r="T5244">
        <v>-0.3375725</v>
      </c>
      <c r="U5244">
        <v>-1.6360779999999999</v>
      </c>
      <c r="V5244">
        <v>0.22391739999999999</v>
      </c>
      <c r="W5244">
        <v>9.2540070000000002E-2</v>
      </c>
      <c r="X5244">
        <v>0.97020479999999998</v>
      </c>
      <c r="Y5244">
        <v>0.380355</v>
      </c>
      <c r="Z5244">
        <v>-2.947411E-3</v>
      </c>
      <c r="AA5244">
        <v>0.92483590000000004</v>
      </c>
      <c r="AB5244">
        <v>24</v>
      </c>
      <c r="AC5244">
        <v>8.8048000000000002</v>
      </c>
      <c r="AD5244">
        <v>-1.1519569999999999</v>
      </c>
      <c r="AE5244">
        <v>-5.5677300000000001</v>
      </c>
      <c r="AF5244">
        <v>3.9625083095188001</v>
      </c>
      <c r="AG5244">
        <v>-1.1519569999999999</v>
      </c>
      <c r="AH5244">
        <v>9.4982385505799698</v>
      </c>
      <c r="AI5244">
        <v>96.386605186988703</v>
      </c>
      <c r="AJ5244">
        <v>67.354908318813699</v>
      </c>
      <c r="AK5244">
        <v>10.355916791698199</v>
      </c>
      <c r="AL5244">
        <v>84.690247648432006</v>
      </c>
      <c r="AM5244">
        <v>77.004038412352003</v>
      </c>
      <c r="AN5244">
        <v>1.0000000102607001</v>
      </c>
    </row>
    <row r="5245" spans="1:40" x14ac:dyDescent="0.25">
      <c r="A5245" t="str">
        <f>"20190312151638832"</f>
        <v>20190312151638832</v>
      </c>
      <c r="B5245" t="str">
        <f>"1552374998823441"</f>
        <v>1552374998823441</v>
      </c>
      <c r="C5245" t="s">
        <v>40</v>
      </c>
      <c r="D5245">
        <v>4.4000409999999999</v>
      </c>
      <c r="E5245">
        <v>0.5615812</v>
      </c>
      <c r="F5245" t="s">
        <v>42</v>
      </c>
      <c r="G5245">
        <v>-310.47770000000003</v>
      </c>
      <c r="H5245">
        <v>-0.05</v>
      </c>
      <c r="I5245">
        <v>10.02225</v>
      </c>
      <c r="J5245">
        <v>-319.19420000000002</v>
      </c>
      <c r="K5245">
        <v>1.1012949999999999</v>
      </c>
      <c r="L5245">
        <v>15.5611</v>
      </c>
      <c r="M5245">
        <v>0.9854735</v>
      </c>
      <c r="N5245">
        <v>0</v>
      </c>
      <c r="O5245">
        <v>-0.16896620000000001</v>
      </c>
      <c r="P5245">
        <v>0.91953499999999999</v>
      </c>
      <c r="Q5245">
        <v>7.6895839999999993E-2</v>
      </c>
      <c r="R5245">
        <v>-0.38541249999999999</v>
      </c>
      <c r="S5245">
        <v>2.6050719999999998</v>
      </c>
      <c r="T5245">
        <v>-0.34000279999999999</v>
      </c>
      <c r="U5245">
        <v>-1.640625</v>
      </c>
      <c r="V5245">
        <v>0.22494919999999999</v>
      </c>
      <c r="W5245">
        <v>9.2358689999999993E-2</v>
      </c>
      <c r="X5245">
        <v>0.96998340000000005</v>
      </c>
      <c r="Y5245">
        <v>0.38098080000000001</v>
      </c>
      <c r="Z5245">
        <v>-2.8760750000000001E-3</v>
      </c>
      <c r="AA5245">
        <v>0.92457849999999997</v>
      </c>
      <c r="AB5245">
        <v>24</v>
      </c>
      <c r="AC5245">
        <v>8.7164999999999893</v>
      </c>
      <c r="AD5245">
        <v>-1.151295</v>
      </c>
      <c r="AE5245">
        <v>-5.5388500000000001</v>
      </c>
      <c r="AF5245">
        <v>3.93724832569161</v>
      </c>
      <c r="AG5245">
        <v>-1.151295</v>
      </c>
      <c r="AH5245">
        <v>9.4102049978014595</v>
      </c>
      <c r="AI5245">
        <v>96.439410837995197</v>
      </c>
      <c r="AJ5245">
        <v>67.295469554577593</v>
      </c>
      <c r="AK5245">
        <v>10.2654450783117</v>
      </c>
      <c r="AL5245">
        <v>84.700684776607801</v>
      </c>
      <c r="AM5245">
        <v>76.943322657237104</v>
      </c>
      <c r="AN5245">
        <v>1.00000003323735</v>
      </c>
    </row>
    <row r="5246" spans="1:40" x14ac:dyDescent="0.25">
      <c r="A5246" t="str">
        <f>"20190312151638842"</f>
        <v>20190312151638842</v>
      </c>
      <c r="B5246" t="str">
        <f>"1552374998833201"</f>
        <v>1552374998833201</v>
      </c>
      <c r="C5246" t="s">
        <v>40</v>
      </c>
      <c r="D5246">
        <v>4.4630190000000001</v>
      </c>
      <c r="E5246">
        <v>0.56134669999999998</v>
      </c>
      <c r="F5246" t="s">
        <v>42</v>
      </c>
      <c r="G5246">
        <v>-310.41059999999999</v>
      </c>
      <c r="H5246">
        <v>-0.05</v>
      </c>
      <c r="I5246">
        <v>10.003740000000001</v>
      </c>
      <c r="J5246">
        <v>-319.0804</v>
      </c>
      <c r="K5246">
        <v>1.100568</v>
      </c>
      <c r="L5246">
        <v>15.540369999999999</v>
      </c>
      <c r="M5246">
        <v>0.98525229999999997</v>
      </c>
      <c r="N5246">
        <v>0</v>
      </c>
      <c r="O5246">
        <v>-0.17017850000000001</v>
      </c>
      <c r="P5246">
        <v>0.91869460000000003</v>
      </c>
      <c r="Q5246">
        <v>7.5608099999999998E-2</v>
      </c>
      <c r="R5246">
        <v>-0.38766460000000003</v>
      </c>
      <c r="S5246">
        <v>2.6012270000000002</v>
      </c>
      <c r="T5246">
        <v>-0.34094989999999997</v>
      </c>
      <c r="U5246">
        <v>-1.6457820000000001</v>
      </c>
      <c r="V5246">
        <v>0.22610540000000001</v>
      </c>
      <c r="W5246">
        <v>9.1764700000000005E-2</v>
      </c>
      <c r="X5246">
        <v>0.96977089999999999</v>
      </c>
      <c r="Y5246">
        <v>0.3817625</v>
      </c>
      <c r="Z5246">
        <v>-2.7936160000000001E-3</v>
      </c>
      <c r="AA5246">
        <v>0.92425619999999997</v>
      </c>
      <c r="AB5246">
        <v>24</v>
      </c>
      <c r="AC5246">
        <v>8.6698000000000093</v>
      </c>
      <c r="AD5246">
        <v>-1.150568</v>
      </c>
      <c r="AE5246">
        <v>-5.5366299999999997</v>
      </c>
      <c r="AF5246">
        <v>3.9310180401380999</v>
      </c>
      <c r="AG5246">
        <v>-1.150568</v>
      </c>
      <c r="AH5246">
        <v>9.3684606062325795</v>
      </c>
      <c r="AI5246">
        <v>96.461072504698706</v>
      </c>
      <c r="AJ5246">
        <v>67.237016539650796</v>
      </c>
      <c r="AK5246">
        <v>10.2247133791147</v>
      </c>
      <c r="AL5246">
        <v>84.734862893113004</v>
      </c>
      <c r="AM5246">
        <v>76.875754216539505</v>
      </c>
      <c r="AN5246">
        <v>1.0000000052810201</v>
      </c>
    </row>
    <row r="5247" spans="1:40" x14ac:dyDescent="0.25">
      <c r="A5247" t="str">
        <f>"20190312151638855"</f>
        <v>20190312151638855</v>
      </c>
      <c r="B5247" t="str">
        <f>"1552374998852720"</f>
        <v>1552374998852720</v>
      </c>
      <c r="C5247" t="s">
        <v>40</v>
      </c>
      <c r="D5247">
        <v>4.3600190000000003</v>
      </c>
      <c r="E5247">
        <v>0.56121399999999999</v>
      </c>
      <c r="F5247" t="s">
        <v>42</v>
      </c>
      <c r="G5247">
        <v>-310.4914</v>
      </c>
      <c r="H5247">
        <v>-0.05</v>
      </c>
      <c r="I5247">
        <v>10.08475</v>
      </c>
      <c r="J5247">
        <v>-318.94650000000001</v>
      </c>
      <c r="K5247">
        <v>1.0996969999999999</v>
      </c>
      <c r="L5247">
        <v>15.5159</v>
      </c>
      <c r="M5247">
        <v>0.98499130000000001</v>
      </c>
      <c r="N5247">
        <v>0</v>
      </c>
      <c r="O5247">
        <v>-0.1715942</v>
      </c>
      <c r="P5247">
        <v>0.9177727</v>
      </c>
      <c r="Q5247">
        <v>7.452048E-2</v>
      </c>
      <c r="R5247">
        <v>-0.3900515</v>
      </c>
      <c r="S5247">
        <v>2.5977779999999999</v>
      </c>
      <c r="T5247">
        <v>-0.34799530000000001</v>
      </c>
      <c r="U5247">
        <v>-1.65008499999999</v>
      </c>
      <c r="V5247">
        <v>0.2272103</v>
      </c>
      <c r="W5247">
        <v>9.1483610000000007E-2</v>
      </c>
      <c r="X5247">
        <v>0.96953920000000005</v>
      </c>
      <c r="Y5247">
        <v>0.38203150000000002</v>
      </c>
      <c r="Z5247">
        <v>-2.7029269999999999E-3</v>
      </c>
      <c r="AA5247">
        <v>0.92414529999999995</v>
      </c>
      <c r="AB5247">
        <v>24</v>
      </c>
      <c r="AC5247">
        <v>8.4551000000000105</v>
      </c>
      <c r="AD5247">
        <v>-1.149697</v>
      </c>
      <c r="AE5247">
        <v>-5.4311499999999997</v>
      </c>
      <c r="AF5247">
        <v>3.8490865619852901</v>
      </c>
      <c r="AG5247">
        <v>-1.149697</v>
      </c>
      <c r="AH5247">
        <v>9.1421028466505394</v>
      </c>
      <c r="AI5247">
        <v>96.611336774163306</v>
      </c>
      <c r="AJ5247">
        <v>67.167516461915199</v>
      </c>
      <c r="AK5247">
        <v>9.98575560547126</v>
      </c>
      <c r="AL5247">
        <v>84.751036249671102</v>
      </c>
      <c r="AM5247">
        <v>76.810814971743099</v>
      </c>
      <c r="AN5247">
        <v>1.0000000158306801</v>
      </c>
    </row>
    <row r="5248" spans="1:40" x14ac:dyDescent="0.25">
      <c r="A5248" t="str">
        <f>"20190312151638865"</f>
        <v>20190312151638865</v>
      </c>
      <c r="B5248" t="str">
        <f>"1552374998863456"</f>
        <v>1552374998863456</v>
      </c>
      <c r="C5248" t="s">
        <v>40</v>
      </c>
      <c r="D5248">
        <v>4.3764839999999996</v>
      </c>
      <c r="E5248">
        <v>0.56115990000000004</v>
      </c>
      <c r="F5248" t="s">
        <v>42</v>
      </c>
      <c r="G5248">
        <v>-310.3956</v>
      </c>
      <c r="H5248">
        <v>-0.05</v>
      </c>
      <c r="I5248">
        <v>10.05852</v>
      </c>
      <c r="J5248">
        <v>-318.83350000000002</v>
      </c>
      <c r="K5248">
        <v>1.0989420000000001</v>
      </c>
      <c r="L5248">
        <v>15.4950299999999</v>
      </c>
      <c r="M5248">
        <v>0.98477539999999997</v>
      </c>
      <c r="N5248">
        <v>0</v>
      </c>
      <c r="O5248">
        <v>-0.17275370000000001</v>
      </c>
      <c r="P5248">
        <v>0.91693369999999996</v>
      </c>
      <c r="Q5248">
        <v>7.3747670000000001E-2</v>
      </c>
      <c r="R5248">
        <v>-0.39216570000000001</v>
      </c>
      <c r="S5248">
        <v>2.5935969999999999</v>
      </c>
      <c r="T5248">
        <v>-0.34871940000000001</v>
      </c>
      <c r="U5248">
        <v>-1.6553040000000001</v>
      </c>
      <c r="V5248">
        <v>0.2282922</v>
      </c>
      <c r="W5248">
        <v>9.1363949999999999E-2</v>
      </c>
      <c r="X5248">
        <v>0.9692963</v>
      </c>
      <c r="Y5248">
        <v>0.38293270000000001</v>
      </c>
      <c r="Z5248">
        <v>-2.6297099999999999E-3</v>
      </c>
      <c r="AA5248">
        <v>0.9237725</v>
      </c>
      <c r="AB5248">
        <v>24</v>
      </c>
      <c r="AC5248">
        <v>8.4379000000000097</v>
      </c>
      <c r="AD5248">
        <v>-1.1489419999999999</v>
      </c>
      <c r="AE5248">
        <v>-5.4365099999999904</v>
      </c>
      <c r="AF5248">
        <v>3.8463956460715698</v>
      </c>
      <c r="AG5248">
        <v>-1.1489419999999999</v>
      </c>
      <c r="AH5248">
        <v>9.1307117430195301</v>
      </c>
      <c r="AI5248">
        <v>96.614662516150005</v>
      </c>
      <c r="AJ5248">
        <v>67.156296967477203</v>
      </c>
      <c r="AK5248">
        <v>9.9742029315428091</v>
      </c>
      <c r="AL5248">
        <v>84.757921057565497</v>
      </c>
      <c r="AM5248">
        <v>76.747019528879804</v>
      </c>
      <c r="AN5248">
        <v>1.00000000856706</v>
      </c>
    </row>
    <row r="5249" spans="1:40" x14ac:dyDescent="0.25">
      <c r="A5249" t="str">
        <f>"20190312151638876"</f>
        <v>20190312151638876</v>
      </c>
      <c r="B5249" t="str">
        <f>"1552374998873217"</f>
        <v>1552374998873217</v>
      </c>
      <c r="C5249" t="s">
        <v>40</v>
      </c>
      <c r="D5249">
        <v>4.3394399999999997</v>
      </c>
      <c r="E5249">
        <v>0.56108150000000001</v>
      </c>
      <c r="F5249" t="s">
        <v>42</v>
      </c>
      <c r="G5249">
        <v>-310.32850000000002</v>
      </c>
      <c r="H5249">
        <v>-0.05</v>
      </c>
      <c r="I5249">
        <v>10.040850000000001</v>
      </c>
      <c r="J5249">
        <v>-318.72379999999998</v>
      </c>
      <c r="K5249">
        <v>1.098206</v>
      </c>
      <c r="L5249">
        <v>15.474640000000001</v>
      </c>
      <c r="M5249">
        <v>0.98455210000000004</v>
      </c>
      <c r="N5249">
        <v>0</v>
      </c>
      <c r="O5249">
        <v>-0.17395289999999999</v>
      </c>
      <c r="P5249">
        <v>0.91606650000000001</v>
      </c>
      <c r="Q5249">
        <v>7.2615680000000002E-2</v>
      </c>
      <c r="R5249">
        <v>-0.39439809999999997</v>
      </c>
      <c r="S5249">
        <v>2.5896300000000001</v>
      </c>
      <c r="T5249">
        <v>-0.34983300000000001</v>
      </c>
      <c r="U5249">
        <v>-1.660706</v>
      </c>
      <c r="V5249">
        <v>0.22945360000000001</v>
      </c>
      <c r="W5249">
        <v>9.0820700000000004E-2</v>
      </c>
      <c r="X5249">
        <v>0.96907310000000002</v>
      </c>
      <c r="Y5249">
        <v>0.3838067</v>
      </c>
      <c r="Z5249">
        <v>-2.5523659999999999E-3</v>
      </c>
      <c r="AA5249">
        <v>0.92340990000000001</v>
      </c>
      <c r="AB5249">
        <v>24</v>
      </c>
      <c r="AC5249">
        <v>8.3952999999999598</v>
      </c>
      <c r="AD5249">
        <v>-1.1482060000000001</v>
      </c>
      <c r="AE5249">
        <v>-5.4337899999999903</v>
      </c>
      <c r="AF5249">
        <v>3.8396188933609499</v>
      </c>
      <c r="AG5249">
        <v>-1.1482060000000001</v>
      </c>
      <c r="AH5249">
        <v>9.0927964229314302</v>
      </c>
      <c r="AI5249">
        <v>96.635399969306604</v>
      </c>
      <c r="AJ5249">
        <v>67.107105052626494</v>
      </c>
      <c r="AK5249">
        <v>9.9368001415730003</v>
      </c>
      <c r="AL5249">
        <v>84.789176964164696</v>
      </c>
      <c r="AM5249">
        <v>76.679035704173998</v>
      </c>
      <c r="AN5249">
        <v>1.00000001362253</v>
      </c>
    </row>
    <row r="5250" spans="1:40" x14ac:dyDescent="0.25">
      <c r="A5250" t="str">
        <f>"20190312151638886"</f>
        <v>20190312151638886</v>
      </c>
      <c r="B5250" t="str">
        <f>"1552374998882975"</f>
        <v>1552374998882975</v>
      </c>
      <c r="C5250" t="s">
        <v>40</v>
      </c>
      <c r="D5250">
        <v>4.3655019999999896</v>
      </c>
      <c r="E5250">
        <v>0.56103809999999998</v>
      </c>
      <c r="F5250" t="s">
        <v>42</v>
      </c>
      <c r="G5250">
        <v>-310.28930000000003</v>
      </c>
      <c r="H5250">
        <v>-0.05</v>
      </c>
      <c r="I5250">
        <v>10.039</v>
      </c>
      <c r="J5250">
        <v>-318.60329999999999</v>
      </c>
      <c r="K5250">
        <v>1.0974079999999999</v>
      </c>
      <c r="L5250">
        <v>15.45209</v>
      </c>
      <c r="M5250">
        <v>0.98427810000000004</v>
      </c>
      <c r="N5250">
        <v>0</v>
      </c>
      <c r="O5250">
        <v>-0.17543120000000001</v>
      </c>
      <c r="P5250">
        <v>0.91496250000000001</v>
      </c>
      <c r="Q5250">
        <v>7.2054419999999994E-2</v>
      </c>
      <c r="R5250">
        <v>-0.39705410000000002</v>
      </c>
      <c r="S5250">
        <v>2.5854490000000001</v>
      </c>
      <c r="T5250">
        <v>-0.35196260000000001</v>
      </c>
      <c r="U5250">
        <v>-1.666199</v>
      </c>
      <c r="V5250">
        <v>0.2307997</v>
      </c>
      <c r="W5250">
        <v>9.0804549999999998E-2</v>
      </c>
      <c r="X5250">
        <v>0.96875489999999997</v>
      </c>
      <c r="Y5250">
        <v>0.38447229999999999</v>
      </c>
      <c r="Z5250">
        <v>-2.4354659999999998E-3</v>
      </c>
      <c r="AA5250">
        <v>0.92313330000000005</v>
      </c>
      <c r="AB5250">
        <v>24</v>
      </c>
      <c r="AC5250">
        <v>8.3139999999999592</v>
      </c>
      <c r="AD5250">
        <v>-1.147408</v>
      </c>
      <c r="AE5250">
        <v>-5.4130900000000004</v>
      </c>
      <c r="AF5250">
        <v>3.8191785264151501</v>
      </c>
      <c r="AG5250">
        <v>-1.147408</v>
      </c>
      <c r="AH5250">
        <v>9.0142569873323293</v>
      </c>
      <c r="AI5250">
        <v>96.684725680494296</v>
      </c>
      <c r="AJ5250">
        <v>67.0385003948806</v>
      </c>
      <c r="AK5250">
        <v>9.8569517990484492</v>
      </c>
      <c r="AL5250">
        <v>84.790106122079607</v>
      </c>
      <c r="AM5250">
        <v>76.5994555157571</v>
      </c>
      <c r="AN5250">
        <v>1.0000000120474</v>
      </c>
    </row>
    <row r="5251" spans="1:40" x14ac:dyDescent="0.25">
      <c r="A5251" t="str">
        <f>"20190312151638899"</f>
        <v>20190312151638899</v>
      </c>
      <c r="B5251" t="str">
        <f>"1552374998892736"</f>
        <v>1552374998892736</v>
      </c>
      <c r="C5251" t="s">
        <v>40</v>
      </c>
      <c r="D5251">
        <v>4.3040750000000001</v>
      </c>
      <c r="E5251">
        <v>0.56096780000000002</v>
      </c>
      <c r="F5251" t="s">
        <v>42</v>
      </c>
      <c r="G5251">
        <v>-310.202</v>
      </c>
      <c r="H5251">
        <v>-0.05</v>
      </c>
      <c r="I5251">
        <v>10.00394</v>
      </c>
      <c r="J5251">
        <v>-318.47840000000002</v>
      </c>
      <c r="K5251">
        <v>1.0965339999999999</v>
      </c>
      <c r="L5251">
        <v>15.4285</v>
      </c>
      <c r="M5251">
        <v>0.98400290000000001</v>
      </c>
      <c r="N5251">
        <v>0</v>
      </c>
      <c r="O5251">
        <v>-0.1769116</v>
      </c>
      <c r="P5251">
        <v>0.91395009999999999</v>
      </c>
      <c r="Q5251">
        <v>7.1487729999999999E-2</v>
      </c>
      <c r="R5251">
        <v>-0.39948090000000003</v>
      </c>
      <c r="S5251">
        <v>2.5804140000000002</v>
      </c>
      <c r="T5251">
        <v>-0.3524196</v>
      </c>
      <c r="U5251">
        <v>-1.67337</v>
      </c>
      <c r="V5251">
        <v>0.23190930000000001</v>
      </c>
      <c r="W5251">
        <v>9.0682509999999994E-2</v>
      </c>
      <c r="X5251">
        <v>0.96850130000000001</v>
      </c>
      <c r="Y5251">
        <v>0.38570710000000002</v>
      </c>
      <c r="Z5251">
        <v>-2.341699E-3</v>
      </c>
      <c r="AA5251">
        <v>0.9226183</v>
      </c>
      <c r="AB5251">
        <v>24</v>
      </c>
      <c r="AC5251">
        <v>8.2764000000000202</v>
      </c>
      <c r="AD5251">
        <v>-1.1465339999999999</v>
      </c>
      <c r="AE5251">
        <v>-5.4245599999999996</v>
      </c>
      <c r="AF5251">
        <v>3.8231235969176098</v>
      </c>
      <c r="AG5251">
        <v>-1.1465339999999999</v>
      </c>
      <c r="AH5251">
        <v>8.98505987460908</v>
      </c>
      <c r="AI5251">
        <v>96.696852311162701</v>
      </c>
      <c r="AJ5251">
        <v>66.950351975186095</v>
      </c>
      <c r="AK5251">
        <v>9.8316893360589095</v>
      </c>
      <c r="AL5251">
        <v>84.797127427937099</v>
      </c>
      <c r="AM5251">
        <v>76.533973754869805</v>
      </c>
      <c r="AN5251">
        <v>1.00000000457404</v>
      </c>
    </row>
    <row r="5252" spans="1:40" x14ac:dyDescent="0.25">
      <c r="A5252" t="str">
        <f>"20190312151638910"</f>
        <v>20190312151638910</v>
      </c>
      <c r="B5252" t="str">
        <f>"1552374998903472"</f>
        <v>1552374998903472</v>
      </c>
      <c r="C5252" t="s">
        <v>40</v>
      </c>
      <c r="D5252">
        <v>4.3419040000000004</v>
      </c>
      <c r="E5252">
        <v>0.56092390000000003</v>
      </c>
      <c r="F5252" t="s">
        <v>42</v>
      </c>
      <c r="G5252">
        <v>-310.10390000000001</v>
      </c>
      <c r="H5252">
        <v>-0.05</v>
      </c>
      <c r="I5252">
        <v>9.9682770000000005</v>
      </c>
      <c r="J5252">
        <v>-318.36090000000002</v>
      </c>
      <c r="K5252">
        <v>1.0956729999999999</v>
      </c>
      <c r="L5252">
        <v>15.40619</v>
      </c>
      <c r="M5252">
        <v>0.98375159999999995</v>
      </c>
      <c r="N5252">
        <v>0</v>
      </c>
      <c r="O5252">
        <v>-0.1782608</v>
      </c>
      <c r="P5252">
        <v>0.91298679999999999</v>
      </c>
      <c r="Q5252">
        <v>7.1129510000000007E-2</v>
      </c>
      <c r="R5252">
        <v>-0.40174149999999997</v>
      </c>
      <c r="S5252">
        <v>2.5759280000000002</v>
      </c>
      <c r="T5252">
        <v>-0.35266779999999998</v>
      </c>
      <c r="U5252">
        <v>-1.67953499999999</v>
      </c>
      <c r="V5252">
        <v>0.232983</v>
      </c>
      <c r="W5252">
        <v>9.0644530000000001E-2</v>
      </c>
      <c r="X5252">
        <v>0.96824710000000003</v>
      </c>
      <c r="Y5252">
        <v>0.38672410000000002</v>
      </c>
      <c r="Z5252">
        <v>-2.2481179999999999E-3</v>
      </c>
      <c r="AA5252">
        <v>0.92219280000000003</v>
      </c>
      <c r="AB5252">
        <v>24</v>
      </c>
      <c r="AC5252">
        <v>8.2569999999999997</v>
      </c>
      <c r="AD5252">
        <v>-1.1456729999999999</v>
      </c>
      <c r="AE5252">
        <v>-5.4379129999999902</v>
      </c>
      <c r="AF5252">
        <v>3.82714963642858</v>
      </c>
      <c r="AG5252">
        <v>-1.1456729999999999</v>
      </c>
      <c r="AH5252">
        <v>8.9737775411328702</v>
      </c>
      <c r="AI5252">
        <v>96.6978516155216</v>
      </c>
      <c r="AJ5252">
        <v>66.9026516355068</v>
      </c>
      <c r="AK5252">
        <v>9.8228470577671807</v>
      </c>
      <c r="AL5252">
        <v>84.799312381564505</v>
      </c>
      <c r="AM5252">
        <v>76.470493552015498</v>
      </c>
      <c r="AN5252">
        <v>0.99999997788316497</v>
      </c>
    </row>
    <row r="5253" spans="1:40" x14ac:dyDescent="0.25">
      <c r="A5253" t="str">
        <f>"20190312151638922"</f>
        <v>20190312151638922</v>
      </c>
      <c r="B5253" t="str">
        <f>"1552374998913232"</f>
        <v>1552374998913232</v>
      </c>
      <c r="C5253" t="s">
        <v>40</v>
      </c>
      <c r="D5253">
        <v>4.347588</v>
      </c>
      <c r="E5253">
        <v>0.56086340000000001</v>
      </c>
      <c r="F5253" t="s">
        <v>42</v>
      </c>
      <c r="G5253">
        <v>-310.01600000000002</v>
      </c>
      <c r="H5253">
        <v>-0.05</v>
      </c>
      <c r="I5253">
        <v>9.9368590000000001</v>
      </c>
      <c r="J5253">
        <v>-318.24180000000001</v>
      </c>
      <c r="K5253">
        <v>1.0947340000000001</v>
      </c>
      <c r="L5253">
        <v>15.383330000000001</v>
      </c>
      <c r="M5253">
        <v>0.98352249999999997</v>
      </c>
      <c r="N5253">
        <v>0</v>
      </c>
      <c r="O5253">
        <v>-0.17948310000000001</v>
      </c>
      <c r="P5253">
        <v>0.91200179999999997</v>
      </c>
      <c r="Q5253">
        <v>7.0818800000000001E-2</v>
      </c>
      <c r="R5253">
        <v>-0.40402680000000002</v>
      </c>
      <c r="S5253">
        <v>2.5717469999999998</v>
      </c>
      <c r="T5253">
        <v>-0.35307529999999998</v>
      </c>
      <c r="U5253">
        <v>-1.6855469999999999</v>
      </c>
      <c r="V5253">
        <v>0.23422209999999999</v>
      </c>
      <c r="W5253">
        <v>9.0561429999999998E-2</v>
      </c>
      <c r="X5253">
        <v>0.96795589999999998</v>
      </c>
      <c r="Y5253">
        <v>0.38776939999999999</v>
      </c>
      <c r="Z5253">
        <v>-2.1720709999999998E-3</v>
      </c>
      <c r="AA5253">
        <v>0.92175379999999996</v>
      </c>
      <c r="AB5253">
        <v>24</v>
      </c>
      <c r="AC5253">
        <v>8.2258000000000493</v>
      </c>
      <c r="AD5253">
        <v>-1.1447339999999999</v>
      </c>
      <c r="AE5253">
        <v>-5.4464709999999901</v>
      </c>
      <c r="AF5253">
        <v>3.8296829334029101</v>
      </c>
      <c r="AG5253">
        <v>-1.1447339999999999</v>
      </c>
      <c r="AH5253">
        <v>8.9494426854879805</v>
      </c>
      <c r="AI5253">
        <v>96.706978937576096</v>
      </c>
      <c r="AJ5253">
        <v>66.832746871664696</v>
      </c>
      <c r="AK5253">
        <v>9.8015004811502102</v>
      </c>
      <c r="AL5253">
        <v>84.804093411305402</v>
      </c>
      <c r="AM5253">
        <v>76.397264289420903</v>
      </c>
      <c r="AN5253">
        <v>0.99999999453843202</v>
      </c>
    </row>
    <row r="5254" spans="1:40" x14ac:dyDescent="0.25">
      <c r="A5254" t="str">
        <f>"20190312151638931"</f>
        <v>20190312151638931</v>
      </c>
      <c r="B5254" t="str">
        <f>"1552374998922992"</f>
        <v>1552374998922992</v>
      </c>
      <c r="C5254" t="s">
        <v>40</v>
      </c>
      <c r="D5254">
        <v>4.3103199999999999</v>
      </c>
      <c r="E5254">
        <v>0.56077569999999999</v>
      </c>
      <c r="F5254" t="s">
        <v>42</v>
      </c>
      <c r="G5254">
        <v>-309.91390000000001</v>
      </c>
      <c r="H5254">
        <v>-0.05</v>
      </c>
      <c r="I5254">
        <v>9.8968959999999999</v>
      </c>
      <c r="J5254">
        <v>-318.12389999999999</v>
      </c>
      <c r="K5254">
        <v>1.0937790000000001</v>
      </c>
      <c r="L5254">
        <v>15.36063</v>
      </c>
      <c r="M5254">
        <v>0.98330360000000006</v>
      </c>
      <c r="N5254">
        <v>0</v>
      </c>
      <c r="O5254">
        <v>-0.18064530000000001</v>
      </c>
      <c r="P5254">
        <v>0.91104499999999999</v>
      </c>
      <c r="Q5254">
        <v>7.0707339999999994E-2</v>
      </c>
      <c r="R5254">
        <v>-0.40619949999999999</v>
      </c>
      <c r="S5254">
        <v>2.5675349999999999</v>
      </c>
      <c r="T5254">
        <v>-0.35292790000000002</v>
      </c>
      <c r="U5254">
        <v>-1.6914979999999999</v>
      </c>
      <c r="V5254">
        <v>0.2354098</v>
      </c>
      <c r="W5254">
        <v>9.0643570000000007E-2</v>
      </c>
      <c r="X5254">
        <v>0.96766010000000002</v>
      </c>
      <c r="Y5254">
        <v>0.38886389999999998</v>
      </c>
      <c r="Z5254">
        <v>-2.102844E-3</v>
      </c>
      <c r="AA5254">
        <v>0.92129280000000002</v>
      </c>
      <c r="AB5254">
        <v>24</v>
      </c>
      <c r="AC5254">
        <v>8.2099999999999795</v>
      </c>
      <c r="AD5254">
        <v>-1.1437790000000001</v>
      </c>
      <c r="AE5254">
        <v>-5.4637339999999899</v>
      </c>
      <c r="AF5254">
        <v>3.8387119041047701</v>
      </c>
      <c r="AG5254">
        <v>-1.1437790000000001</v>
      </c>
      <c r="AH5254">
        <v>8.9418219919506203</v>
      </c>
      <c r="AI5254">
        <v>96.703787075551404</v>
      </c>
      <c r="AJ5254">
        <v>66.766218675925501</v>
      </c>
      <c r="AK5254">
        <v>9.7979650958394693</v>
      </c>
      <c r="AL5254">
        <v>84.799367988578297</v>
      </c>
      <c r="AM5254">
        <v>76.326847025093898</v>
      </c>
      <c r="AN5254">
        <v>1.00000004992519</v>
      </c>
    </row>
    <row r="5255" spans="1:40" x14ac:dyDescent="0.25">
      <c r="A5255" t="str">
        <f>"20190312151638943"</f>
        <v>20190312151638943</v>
      </c>
      <c r="B5255" t="str">
        <f>"1552374998932753"</f>
        <v>1552374998932753</v>
      </c>
      <c r="C5255" t="s">
        <v>40</v>
      </c>
      <c r="D5255">
        <v>4.3334359999999998</v>
      </c>
      <c r="E5255">
        <v>0.56069389999999997</v>
      </c>
      <c r="F5255" t="s">
        <v>42</v>
      </c>
      <c r="G5255">
        <v>-309.8073</v>
      </c>
      <c r="H5255">
        <v>-0.05</v>
      </c>
      <c r="I5255">
        <v>9.8554840000000006</v>
      </c>
      <c r="J5255">
        <v>-318.00510000000003</v>
      </c>
      <c r="K5255">
        <v>1.092768</v>
      </c>
      <c r="L5255">
        <v>15.337400000000001</v>
      </c>
      <c r="M5255">
        <v>0.98309440000000003</v>
      </c>
      <c r="N5255">
        <v>0</v>
      </c>
      <c r="O5255">
        <v>-0.18175359999999999</v>
      </c>
      <c r="P5255">
        <v>0.91008429999999996</v>
      </c>
      <c r="Q5255">
        <v>7.0201230000000003E-2</v>
      </c>
      <c r="R5255">
        <v>-0.40843479999999999</v>
      </c>
      <c r="S5255">
        <v>2.56366</v>
      </c>
      <c r="T5255">
        <v>-0.35257690000000003</v>
      </c>
      <c r="U5255">
        <v>-1.6969909999999999</v>
      </c>
      <c r="V5255">
        <v>0.23671320000000001</v>
      </c>
      <c r="W5255">
        <v>9.0271270000000001E-2</v>
      </c>
      <c r="X5255">
        <v>0.96737680000000004</v>
      </c>
      <c r="Y5255">
        <v>0.38984079999999999</v>
      </c>
      <c r="Z5255">
        <v>-2.03141E-3</v>
      </c>
      <c r="AA5255">
        <v>0.92088000000000003</v>
      </c>
      <c r="AB5255">
        <v>24</v>
      </c>
      <c r="AC5255">
        <v>8.1978000000000293</v>
      </c>
      <c r="AD5255">
        <v>-1.142768</v>
      </c>
      <c r="AE5255">
        <v>-5.481916</v>
      </c>
      <c r="AF5255">
        <v>3.8485417418435901</v>
      </c>
      <c r="AG5255">
        <v>-1.142768</v>
      </c>
      <c r="AH5255">
        <v>8.9377792110148597</v>
      </c>
      <c r="AI5255">
        <v>96.697800391987002</v>
      </c>
      <c r="AJ5255">
        <v>66.703645382228004</v>
      </c>
      <c r="AK5255">
        <v>9.7980145675226407</v>
      </c>
      <c r="AL5255">
        <v>84.820786535920703</v>
      </c>
      <c r="AM5255">
        <v>76.250133947704498</v>
      </c>
      <c r="AN5255">
        <v>0.99999995720994495</v>
      </c>
    </row>
    <row r="5256" spans="1:40" x14ac:dyDescent="0.25">
      <c r="A5256" t="str">
        <f>"20190312151638955"</f>
        <v>20190312151638955</v>
      </c>
      <c r="B5256" t="str">
        <f>"1552374998953248"</f>
        <v>1552374998953248</v>
      </c>
      <c r="C5256" t="s">
        <v>40</v>
      </c>
      <c r="D5256">
        <v>4.3809420000000001</v>
      </c>
      <c r="E5256">
        <v>0.56076090000000001</v>
      </c>
      <c r="F5256" t="s">
        <v>42</v>
      </c>
      <c r="G5256">
        <v>-309.7208</v>
      </c>
      <c r="H5256">
        <v>-0.05</v>
      </c>
      <c r="I5256">
        <v>9.8269350000000006</v>
      </c>
      <c r="J5256">
        <v>-317.87799999999999</v>
      </c>
      <c r="K5256">
        <v>1.0916779999999999</v>
      </c>
      <c r="L5256">
        <v>15.31241</v>
      </c>
      <c r="M5256">
        <v>0.98286719999999905</v>
      </c>
      <c r="N5256">
        <v>0</v>
      </c>
      <c r="O5256">
        <v>-0.18295210000000001</v>
      </c>
      <c r="P5256">
        <v>0.90909090000000004</v>
      </c>
      <c r="Q5256">
        <v>6.9860510000000001E-2</v>
      </c>
      <c r="R5256">
        <v>-0.41069840000000002</v>
      </c>
      <c r="S5256">
        <v>2.5595699999999999</v>
      </c>
      <c r="T5256">
        <v>-0.353076</v>
      </c>
      <c r="U5256">
        <v>-1.702545</v>
      </c>
      <c r="V5256">
        <v>0.23796410000000001</v>
      </c>
      <c r="W5256">
        <v>9.0055670000000004E-2</v>
      </c>
      <c r="X5256">
        <v>0.96709000000000001</v>
      </c>
      <c r="Y5256">
        <v>0.39077780000000001</v>
      </c>
      <c r="Z5256">
        <v>-1.9515940000000001E-3</v>
      </c>
      <c r="AA5256">
        <v>0.92048300000000005</v>
      </c>
      <c r="AB5256">
        <v>24</v>
      </c>
      <c r="AC5256">
        <v>8.15719999999998</v>
      </c>
      <c r="AD5256">
        <v>-1.141678</v>
      </c>
      <c r="AE5256">
        <v>-5.4854749999999903</v>
      </c>
      <c r="AF5256">
        <v>3.8481854396302202</v>
      </c>
      <c r="AG5256">
        <v>-1.141678</v>
      </c>
      <c r="AH5256">
        <v>8.9031888419713905</v>
      </c>
      <c r="AI5256">
        <v>96.713278328998399</v>
      </c>
      <c r="AJ5256">
        <v>66.624767184164099</v>
      </c>
      <c r="AK5256">
        <v>9.7662035299941401</v>
      </c>
      <c r="AL5256">
        <v>84.833190260043594</v>
      </c>
      <c r="AM5256">
        <v>76.176310865703698</v>
      </c>
      <c r="AN5256">
        <v>1.0000000023439699</v>
      </c>
    </row>
    <row r="5257" spans="1:40" x14ac:dyDescent="0.25">
      <c r="A5257" t="str">
        <f>"20190312151638966"</f>
        <v>20190312151638966</v>
      </c>
      <c r="B5257" t="str">
        <f>"1552374998963008"</f>
        <v>1552374998963008</v>
      </c>
      <c r="C5257" t="s">
        <v>40</v>
      </c>
      <c r="D5257">
        <v>4.4709599999999998</v>
      </c>
      <c r="E5257">
        <v>0.60538649999999905</v>
      </c>
      <c r="F5257" t="s">
        <v>42</v>
      </c>
      <c r="G5257">
        <v>-309.68520000000001</v>
      </c>
      <c r="H5257">
        <v>-0.05</v>
      </c>
      <c r="I5257">
        <v>9.8302309999999995</v>
      </c>
      <c r="J5257">
        <v>-317.755</v>
      </c>
      <c r="K5257">
        <v>1.0905929999999999</v>
      </c>
      <c r="L5257">
        <v>15.28796</v>
      </c>
      <c r="M5257">
        <v>0.9826336</v>
      </c>
      <c r="N5257">
        <v>0</v>
      </c>
      <c r="O5257">
        <v>-0.18418599999999999</v>
      </c>
      <c r="P5257">
        <v>0.90795170000000003</v>
      </c>
      <c r="Q5257">
        <v>6.946534E-2</v>
      </c>
      <c r="R5257">
        <v>-0.41327770000000003</v>
      </c>
      <c r="S5257">
        <v>2.5549620000000002</v>
      </c>
      <c r="T5257">
        <v>-0.35603390000000001</v>
      </c>
      <c r="U5257">
        <v>-1.709625</v>
      </c>
      <c r="V5257">
        <v>0.23951120000000001</v>
      </c>
      <c r="W5257">
        <v>8.9716110000000002E-2</v>
      </c>
      <c r="X5257">
        <v>0.96673960000000003</v>
      </c>
      <c r="Y5257">
        <v>0.3921268</v>
      </c>
      <c r="Z5257">
        <v>-1.9064360000000001E-3</v>
      </c>
      <c r="AA5257">
        <v>0.91990919999999998</v>
      </c>
      <c r="AB5257">
        <v>24</v>
      </c>
      <c r="AC5257">
        <v>8.0697999999999794</v>
      </c>
      <c r="AD5257">
        <v>-1.140593</v>
      </c>
      <c r="AE5257">
        <v>-5.4577289999999996</v>
      </c>
      <c r="AF5257">
        <v>3.8251532096343301</v>
      </c>
      <c r="AG5257">
        <v>-1.140593</v>
      </c>
      <c r="AH5257">
        <v>8.8163094841571699</v>
      </c>
      <c r="AI5257">
        <v>96.768410269559695</v>
      </c>
      <c r="AJ5257">
        <v>66.545309714541503</v>
      </c>
      <c r="AK5257">
        <v>9.6778128928629599</v>
      </c>
      <c r="AL5257">
        <v>84.852724804687497</v>
      </c>
      <c r="AM5257">
        <v>76.085071103414705</v>
      </c>
      <c r="AN5257">
        <v>1.0000000247635601</v>
      </c>
    </row>
    <row r="5258" spans="1:40" x14ac:dyDescent="0.25">
      <c r="A5258" t="str">
        <f>"20190312151638979"</f>
        <v>20190312151638979</v>
      </c>
      <c r="B5258" t="str">
        <f>"1552374998972769"</f>
        <v>1552374998972769</v>
      </c>
      <c r="C5258" t="s">
        <v>40</v>
      </c>
      <c r="D5258">
        <v>4.6585070000000002</v>
      </c>
      <c r="E5258">
        <v>0.61233300000000002</v>
      </c>
      <c r="F5258" t="s">
        <v>42</v>
      </c>
      <c r="G5258">
        <v>-308.47329999999999</v>
      </c>
      <c r="H5258">
        <v>-0.05</v>
      </c>
      <c r="I5258">
        <v>7.4098509999999997</v>
      </c>
      <c r="J5258">
        <v>-317.62599999999998</v>
      </c>
      <c r="K5258">
        <v>1.0894299999999999</v>
      </c>
      <c r="L5258">
        <v>15.26215</v>
      </c>
      <c r="M5258">
        <v>0.98237470000000005</v>
      </c>
      <c r="N5258">
        <v>0</v>
      </c>
      <c r="O5258">
        <v>-0.18555140000000001</v>
      </c>
      <c r="P5258">
        <v>0.90674410000000005</v>
      </c>
      <c r="Q5258">
        <v>6.9115419999999997E-2</v>
      </c>
      <c r="R5258">
        <v>-0.4159794</v>
      </c>
      <c r="S5258">
        <v>2.3996580000000001</v>
      </c>
      <c r="T5258">
        <v>-0.29488409999999998</v>
      </c>
      <c r="U5258">
        <v>-2.0367739999999999</v>
      </c>
      <c r="V5258">
        <v>0.24106079999999999</v>
      </c>
      <c r="W5258">
        <v>8.9377970000000001E-2</v>
      </c>
      <c r="X5258">
        <v>0.96638570000000001</v>
      </c>
      <c r="Y5258">
        <v>0.49305870000000002</v>
      </c>
      <c r="Z5258">
        <v>-6.8718750000000004E-3</v>
      </c>
      <c r="AA5258">
        <v>0.86996899999999999</v>
      </c>
      <c r="AB5258">
        <v>24</v>
      </c>
      <c r="AC5258">
        <v>9.1526999999999799</v>
      </c>
      <c r="AD5258">
        <v>-1.1394299999999999</v>
      </c>
      <c r="AE5258">
        <v>-7.8522990000000004</v>
      </c>
      <c r="AF5258">
        <v>5.9638985628055599</v>
      </c>
      <c r="AG5258">
        <v>-1.1394299999999999</v>
      </c>
      <c r="AH5258">
        <v>10.358580548384101</v>
      </c>
      <c r="AI5258">
        <v>95.445427683250998</v>
      </c>
      <c r="AJ5258">
        <v>60.069039260593598</v>
      </c>
      <c r="AK5258">
        <v>12.0069387343193</v>
      </c>
      <c r="AL5258">
        <v>84.872176952645603</v>
      </c>
      <c r="AM5258">
        <v>75.993648922093598</v>
      </c>
      <c r="AN5258">
        <v>1.0000000259912201</v>
      </c>
    </row>
    <row r="5259" spans="1:40" x14ac:dyDescent="0.25">
      <c r="A5259" t="str">
        <f>"20190312151638994"</f>
        <v>20190312151638994</v>
      </c>
      <c r="B5259" t="str">
        <f>"1552374998983505"</f>
        <v>1552374998983505</v>
      </c>
      <c r="C5259" t="s">
        <v>40</v>
      </c>
      <c r="D5259">
        <v>4.7337579999999999</v>
      </c>
      <c r="E5259">
        <v>0.61376850000000005</v>
      </c>
      <c r="F5259" t="s">
        <v>42</v>
      </c>
      <c r="G5259">
        <v>-309.93700000000001</v>
      </c>
      <c r="H5259">
        <v>-0.05</v>
      </c>
      <c r="I5259">
        <v>8.4650269999999992</v>
      </c>
      <c r="J5259">
        <v>-317.46820000000002</v>
      </c>
      <c r="K5259">
        <v>1.087974</v>
      </c>
      <c r="L5259">
        <v>15.23035</v>
      </c>
      <c r="M5259">
        <v>0.98203879999999999</v>
      </c>
      <c r="N5259">
        <v>0</v>
      </c>
      <c r="O5259">
        <v>-0.18731780000000001</v>
      </c>
      <c r="P5259">
        <v>0.90540359999999998</v>
      </c>
      <c r="Q5259">
        <v>6.9129350000000006E-2</v>
      </c>
      <c r="R5259">
        <v>-0.41888649999999999</v>
      </c>
      <c r="S5259">
        <v>2.3730159999999998</v>
      </c>
      <c r="T5259">
        <v>-0.35165419999999997</v>
      </c>
      <c r="U5259">
        <v>-2.0977480000000002</v>
      </c>
      <c r="V5259">
        <v>0.24244540000000001</v>
      </c>
      <c r="W5259">
        <v>8.9344259999999995E-2</v>
      </c>
      <c r="X5259">
        <v>0.96604230000000002</v>
      </c>
      <c r="Y5259">
        <v>0.50829950000000002</v>
      </c>
      <c r="Z5259">
        <v>-8.9588259999999996E-3</v>
      </c>
      <c r="AA5259">
        <v>0.86113379999999995</v>
      </c>
      <c r="AB5259">
        <v>24</v>
      </c>
      <c r="AC5259">
        <v>7.5312000000000099</v>
      </c>
      <c r="AD5259">
        <v>-1.137974</v>
      </c>
      <c r="AE5259">
        <v>-6.7653229999999898</v>
      </c>
      <c r="AF5259">
        <v>5.1691078385340701</v>
      </c>
      <c r="AG5259">
        <v>-1.137974</v>
      </c>
      <c r="AH5259">
        <v>8.5572891205298607</v>
      </c>
      <c r="AI5259">
        <v>96.493893110060796</v>
      </c>
      <c r="AJ5259">
        <v>58.865545404455801</v>
      </c>
      <c r="AK5259">
        <v>10.0619012996256</v>
      </c>
      <c r="AL5259">
        <v>84.874115745930894</v>
      </c>
      <c r="AM5259">
        <v>75.911585566450896</v>
      </c>
      <c r="AN5259">
        <v>0.99999994708269702</v>
      </c>
    </row>
    <row r="5260" spans="1:40" x14ac:dyDescent="0.25">
      <c r="A5260" t="str">
        <f>"20190312151639007"</f>
        <v>20190312151639007</v>
      </c>
      <c r="B5260" t="str">
        <f>"1552374999003024"</f>
        <v>1552374999003024</v>
      </c>
      <c r="C5260" t="s">
        <v>40</v>
      </c>
      <c r="D5260">
        <v>4.6081690000000002</v>
      </c>
      <c r="E5260">
        <v>0.61832299999999996</v>
      </c>
      <c r="F5260" t="s">
        <v>42</v>
      </c>
      <c r="G5260">
        <v>-310.67399999999998</v>
      </c>
      <c r="H5260">
        <v>-0.05</v>
      </c>
      <c r="I5260">
        <v>9.1409610000000008</v>
      </c>
      <c r="J5260">
        <v>-317.31180000000001</v>
      </c>
      <c r="K5260">
        <v>1.0864400000000001</v>
      </c>
      <c r="L5260">
        <v>15.19839</v>
      </c>
      <c r="M5260">
        <v>0.98168829999999996</v>
      </c>
      <c r="N5260">
        <v>0</v>
      </c>
      <c r="O5260">
        <v>-0.18915899999999999</v>
      </c>
      <c r="P5260">
        <v>0.9039393</v>
      </c>
      <c r="Q5260">
        <v>6.9069270000000002E-2</v>
      </c>
      <c r="R5260">
        <v>-0.42204629999999999</v>
      </c>
      <c r="S5260">
        <v>2.3635860000000002</v>
      </c>
      <c r="T5260">
        <v>-0.39587899999999998</v>
      </c>
      <c r="U5260">
        <v>-2.1183779999999999</v>
      </c>
      <c r="V5260">
        <v>0.2440281</v>
      </c>
      <c r="W5260">
        <v>8.9111070000000001E-2</v>
      </c>
      <c r="X5260">
        <v>0.96566529999999995</v>
      </c>
      <c r="Y5260">
        <v>0.51205069999999997</v>
      </c>
      <c r="Z5260">
        <v>-1.010286E-2</v>
      </c>
      <c r="AA5260">
        <v>0.85889579999999999</v>
      </c>
      <c r="AB5260">
        <v>24</v>
      </c>
      <c r="AC5260">
        <v>6.6377999999999702</v>
      </c>
      <c r="AD5260">
        <v>-1.1364399999999999</v>
      </c>
      <c r="AE5260">
        <v>-6.0574289999999902</v>
      </c>
      <c r="AF5260">
        <v>4.6182366953057796</v>
      </c>
      <c r="AG5260">
        <v>-1.1364399999999999</v>
      </c>
      <c r="AH5260">
        <v>7.5433681467963201</v>
      </c>
      <c r="AI5260">
        <v>97.321635080767294</v>
      </c>
      <c r="AJ5260">
        <v>58.524000215342902</v>
      </c>
      <c r="AK5260">
        <v>8.9175113706442897</v>
      </c>
      <c r="AL5260">
        <v>84.887530245003006</v>
      </c>
      <c r="AM5260">
        <v>75.818000814220099</v>
      </c>
      <c r="AN5260">
        <v>0.99999998400512202</v>
      </c>
    </row>
    <row r="5261" spans="1:40" x14ac:dyDescent="0.25">
      <c r="A5261" t="str">
        <f>"20190312151639023"</f>
        <v>20190312151639023</v>
      </c>
      <c r="B5261" t="str">
        <f>"1552374999012785"</f>
        <v>1552374999012785</v>
      </c>
      <c r="C5261" t="s">
        <v>40</v>
      </c>
      <c r="D5261">
        <v>4.598096</v>
      </c>
      <c r="E5261">
        <v>0.619556</v>
      </c>
      <c r="F5261" t="s">
        <v>42</v>
      </c>
      <c r="G5261">
        <v>-310.98390000000001</v>
      </c>
      <c r="H5261">
        <v>-0.05</v>
      </c>
      <c r="I5261">
        <v>9.3605350000000005</v>
      </c>
      <c r="J5261">
        <v>-317.15129999999999</v>
      </c>
      <c r="K5261">
        <v>1.084808</v>
      </c>
      <c r="L5261">
        <v>15.16522</v>
      </c>
      <c r="M5261">
        <v>0.98133250000000005</v>
      </c>
      <c r="N5261">
        <v>0</v>
      </c>
      <c r="O5261">
        <v>-0.1910183</v>
      </c>
      <c r="P5261">
        <v>0.90177580000000002</v>
      </c>
      <c r="Q5261">
        <v>6.84313E-2</v>
      </c>
      <c r="R5261">
        <v>-0.42675259999999998</v>
      </c>
      <c r="S5261">
        <v>2.3421020000000001</v>
      </c>
      <c r="T5261">
        <v>-0.42062379999999999</v>
      </c>
      <c r="U5261">
        <v>-2.160736</v>
      </c>
      <c r="V5261">
        <v>0.24724280000000001</v>
      </c>
      <c r="W5261">
        <v>8.8203879999999998E-2</v>
      </c>
      <c r="X5261">
        <v>0.96493059999999997</v>
      </c>
      <c r="Y5261">
        <v>0.52237809999999996</v>
      </c>
      <c r="Z5261">
        <v>-1.1269970000000001E-2</v>
      </c>
      <c r="AA5261">
        <v>0.85263949999999999</v>
      </c>
      <c r="AB5261">
        <v>24</v>
      </c>
      <c r="AC5261">
        <v>6.1673999999999802</v>
      </c>
      <c r="AD5261">
        <v>-1.134808</v>
      </c>
      <c r="AE5261">
        <v>-5.8046850000000001</v>
      </c>
      <c r="AF5261">
        <v>4.4396612627794099</v>
      </c>
      <c r="AG5261">
        <v>-1.134808</v>
      </c>
      <c r="AH5261">
        <v>7.03653006693329</v>
      </c>
      <c r="AI5261">
        <v>97.766888519541695</v>
      </c>
      <c r="AJ5261">
        <v>57.750341131491098</v>
      </c>
      <c r="AK5261">
        <v>8.3970909669923302</v>
      </c>
      <c r="AL5261">
        <v>84.939713950395202</v>
      </c>
      <c r="AM5261">
        <v>75.628372831993403</v>
      </c>
      <c r="AN5261">
        <v>0.99999999470762702</v>
      </c>
    </row>
    <row r="5262" spans="1:40" x14ac:dyDescent="0.25">
      <c r="A5262" t="str">
        <f>"20190312151639036"</f>
        <v>20190312151639036</v>
      </c>
      <c r="B5262" t="str">
        <f>"1552374999033280"</f>
        <v>1552374999033280</v>
      </c>
      <c r="C5262" t="s">
        <v>40</v>
      </c>
      <c r="D5262">
        <v>4.7227540000000001</v>
      </c>
      <c r="E5262">
        <v>0.62037719999999996</v>
      </c>
      <c r="F5262" t="s">
        <v>42</v>
      </c>
      <c r="G5262">
        <v>-311.12470000000002</v>
      </c>
      <c r="H5262">
        <v>-0.05</v>
      </c>
      <c r="I5262">
        <v>9.5140689999999992</v>
      </c>
      <c r="J5262">
        <v>-317.0102</v>
      </c>
      <c r="K5262">
        <v>1.0833390000000001</v>
      </c>
      <c r="L5262">
        <v>15.13583</v>
      </c>
      <c r="M5262">
        <v>0.9810181</v>
      </c>
      <c r="N5262">
        <v>0</v>
      </c>
      <c r="O5262">
        <v>-0.19264990000000001</v>
      </c>
      <c r="P5262">
        <v>0.90051619999999999</v>
      </c>
      <c r="Q5262">
        <v>6.8200839999999999E-2</v>
      </c>
      <c r="R5262">
        <v>-0.42944090000000001</v>
      </c>
      <c r="S5262">
        <v>2.3272710000000001</v>
      </c>
      <c r="T5262">
        <v>-0.43822260000000002</v>
      </c>
      <c r="U5262">
        <v>-2.1822810000000001</v>
      </c>
      <c r="V5262">
        <v>0.24853</v>
      </c>
      <c r="W5262">
        <v>8.7709899999999993E-2</v>
      </c>
      <c r="X5262">
        <v>0.96464490000000003</v>
      </c>
      <c r="Y5262">
        <v>0.52760079999999998</v>
      </c>
      <c r="Z5262">
        <v>-1.193373E-2</v>
      </c>
      <c r="AA5262">
        <v>0.84940859999999996</v>
      </c>
      <c r="AB5262">
        <v>24</v>
      </c>
      <c r="AC5262">
        <v>5.8854999999999702</v>
      </c>
      <c r="AD5262">
        <v>-1.1333389999999901</v>
      </c>
      <c r="AE5262">
        <v>-5.6217609999999896</v>
      </c>
      <c r="AF5262">
        <v>4.2989248852803197</v>
      </c>
      <c r="AG5262">
        <v>-1.1333389999999901</v>
      </c>
      <c r="AH5262">
        <v>6.7280359819144699</v>
      </c>
      <c r="AI5262">
        <v>98.079046144640699</v>
      </c>
      <c r="AJ5262">
        <v>57.423176503722601</v>
      </c>
      <c r="AK5262">
        <v>8.0642222583544498</v>
      </c>
      <c r="AL5262">
        <v>84.968126993553497</v>
      </c>
      <c r="AM5262">
        <v>75.552574459279001</v>
      </c>
      <c r="AN5262">
        <v>0.99999998527700995</v>
      </c>
    </row>
    <row r="5263" spans="1:40" x14ac:dyDescent="0.25">
      <c r="A5263" t="str">
        <f>"20190312151639047"</f>
        <v>20190312151639047</v>
      </c>
      <c r="B5263" t="str">
        <f>"1552374999043042"</f>
        <v>1552374999043042</v>
      </c>
      <c r="C5263" t="s">
        <v>40</v>
      </c>
      <c r="D5263">
        <v>4.6305820000000004</v>
      </c>
      <c r="E5263">
        <v>0.62062569999999995</v>
      </c>
      <c r="F5263" t="s">
        <v>42</v>
      </c>
      <c r="G5263">
        <v>-311.38440000000003</v>
      </c>
      <c r="H5263">
        <v>-0.05</v>
      </c>
      <c r="I5263">
        <v>9.8081510000000005</v>
      </c>
      <c r="J5263">
        <v>-316.8836</v>
      </c>
      <c r="K5263">
        <v>1.082004</v>
      </c>
      <c r="L5263">
        <v>15.10913</v>
      </c>
      <c r="M5263">
        <v>0.98072859999999995</v>
      </c>
      <c r="N5263">
        <v>0</v>
      </c>
      <c r="O5263">
        <v>-0.19414519999999999</v>
      </c>
      <c r="P5263">
        <v>0.89923629999999999</v>
      </c>
      <c r="Q5263">
        <v>6.7979540000000005E-2</v>
      </c>
      <c r="R5263">
        <v>-0.43214900000000001</v>
      </c>
      <c r="S5263">
        <v>2.319366</v>
      </c>
      <c r="T5263">
        <v>-0.46724149999999998</v>
      </c>
      <c r="U5263">
        <v>-2.1964419999999998</v>
      </c>
      <c r="V5263">
        <v>0.24997069999999999</v>
      </c>
      <c r="W5263">
        <v>8.7210659999999995E-2</v>
      </c>
      <c r="X5263">
        <v>0.96431789999999995</v>
      </c>
      <c r="Y5263">
        <v>0.53006960000000003</v>
      </c>
      <c r="Z5263">
        <v>-1.2696519999999999E-2</v>
      </c>
      <c r="AA5263">
        <v>0.84785909999999998</v>
      </c>
      <c r="AB5263">
        <v>24</v>
      </c>
      <c r="AC5263">
        <v>5.4991999999999699</v>
      </c>
      <c r="AD5263">
        <v>-1.132004</v>
      </c>
      <c r="AE5263">
        <v>-5.3009789999999999</v>
      </c>
      <c r="AF5263">
        <v>4.0433586943868001</v>
      </c>
      <c r="AG5263">
        <v>-1.132004</v>
      </c>
      <c r="AH5263">
        <v>6.2858566720936704</v>
      </c>
      <c r="AI5263">
        <v>98.612493736182401</v>
      </c>
      <c r="AJ5263">
        <v>57.248969572694001</v>
      </c>
      <c r="AK5263">
        <v>7.5592444522977198</v>
      </c>
      <c r="AL5263">
        <v>84.996841602716103</v>
      </c>
      <c r="AM5263">
        <v>75.467640746049796</v>
      </c>
      <c r="AN5263">
        <v>1.00000003116826</v>
      </c>
    </row>
    <row r="5264" spans="1:40" x14ac:dyDescent="0.25">
      <c r="A5264" t="str">
        <f>"20190312151639059"</f>
        <v>20190312151639059</v>
      </c>
      <c r="B5264" t="str">
        <f>"1552374999052801"</f>
        <v>1552374999052801</v>
      </c>
      <c r="C5264" t="s">
        <v>40</v>
      </c>
      <c r="D5264">
        <v>4.6467929999999997</v>
      </c>
      <c r="E5264">
        <v>0.62074640000000003</v>
      </c>
      <c r="F5264" t="s">
        <v>42</v>
      </c>
      <c r="G5264">
        <v>-311.36399999999998</v>
      </c>
      <c r="H5264">
        <v>-0.05</v>
      </c>
      <c r="I5264">
        <v>9.8444369999999992</v>
      </c>
      <c r="J5264">
        <v>-316.75909999999999</v>
      </c>
      <c r="K5264">
        <v>1.080708</v>
      </c>
      <c r="L5264">
        <v>15.082579999999901</v>
      </c>
      <c r="M5264">
        <v>0.98042359999999995</v>
      </c>
      <c r="N5264">
        <v>0</v>
      </c>
      <c r="O5264">
        <v>-0.19570789999999999</v>
      </c>
      <c r="P5264">
        <v>0.89787050000000002</v>
      </c>
      <c r="Q5264">
        <v>6.7892910000000001E-2</v>
      </c>
      <c r="R5264">
        <v>-0.43499359999999998</v>
      </c>
      <c r="S5264">
        <v>2.3121640000000001</v>
      </c>
      <c r="T5264">
        <v>-0.47419739999999999</v>
      </c>
      <c r="U5264">
        <v>-2.2053829999999999</v>
      </c>
      <c r="V5264">
        <v>0.25149139999999998</v>
      </c>
      <c r="W5264">
        <v>8.683871E-2</v>
      </c>
      <c r="X5264">
        <v>0.96395600000000004</v>
      </c>
      <c r="Y5264">
        <v>0.53165150000000005</v>
      </c>
      <c r="Z5264">
        <v>-1.278257E-2</v>
      </c>
      <c r="AA5264">
        <v>0.84686669999999997</v>
      </c>
      <c r="AB5264">
        <v>24</v>
      </c>
      <c r="AC5264">
        <v>5.3950999999999496</v>
      </c>
      <c r="AD5264">
        <v>-1.130708</v>
      </c>
      <c r="AE5264">
        <v>-5.2381429999999902</v>
      </c>
      <c r="AF5264">
        <v>3.99046498338208</v>
      </c>
      <c r="AG5264">
        <v>-1.130708</v>
      </c>
      <c r="AH5264">
        <v>6.1764563662848104</v>
      </c>
      <c r="AI5264">
        <v>98.741720076883894</v>
      </c>
      <c r="AJ5264">
        <v>57.134436557538898</v>
      </c>
      <c r="AK5264">
        <v>7.4398202000775999</v>
      </c>
      <c r="AL5264">
        <v>85.018233910102097</v>
      </c>
      <c r="AM5264">
        <v>75.377756038501602</v>
      </c>
      <c r="AN5264">
        <v>1.0000000278822101</v>
      </c>
    </row>
    <row r="5265" spans="1:40" x14ac:dyDescent="0.25">
      <c r="A5265" t="str">
        <f>"20190312151639071"</f>
        <v>20190312151639071</v>
      </c>
      <c r="B5265" t="str">
        <f>"1552374999063536"</f>
        <v>1552374999063536</v>
      </c>
      <c r="C5265" t="s">
        <v>40</v>
      </c>
      <c r="D5265">
        <v>4.624066</v>
      </c>
      <c r="E5265">
        <v>0.62087239999999999</v>
      </c>
      <c r="F5265" t="s">
        <v>42</v>
      </c>
      <c r="G5265">
        <v>-311.32249999999999</v>
      </c>
      <c r="H5265">
        <v>-0.05</v>
      </c>
      <c r="I5265">
        <v>9.861694</v>
      </c>
      <c r="J5265">
        <v>-316.63549999999998</v>
      </c>
      <c r="K5265">
        <v>1.079434</v>
      </c>
      <c r="L5265">
        <v>15.056089999999999</v>
      </c>
      <c r="M5265">
        <v>0.9801048</v>
      </c>
      <c r="N5265">
        <v>0</v>
      </c>
      <c r="O5265">
        <v>-0.19732830000000001</v>
      </c>
      <c r="P5265">
        <v>0.89648119999999998</v>
      </c>
      <c r="Q5265">
        <v>6.7963590000000004E-2</v>
      </c>
      <c r="R5265">
        <v>-0.43783879999999997</v>
      </c>
      <c r="S5265">
        <v>2.3050540000000002</v>
      </c>
      <c r="T5265">
        <v>-0.4794139</v>
      </c>
      <c r="U5265">
        <v>-2.2136230000000001</v>
      </c>
      <c r="V5265">
        <v>0.2529592</v>
      </c>
      <c r="W5265">
        <v>8.6619260000000003E-2</v>
      </c>
      <c r="X5265">
        <v>0.96359159999999999</v>
      </c>
      <c r="Y5265">
        <v>0.53305579999999997</v>
      </c>
      <c r="Z5265">
        <v>-1.279537E-2</v>
      </c>
      <c r="AA5265">
        <v>0.84598329999999999</v>
      </c>
      <c r="AB5265">
        <v>24</v>
      </c>
      <c r="AC5265">
        <v>5.3129999999999802</v>
      </c>
      <c r="AD5265">
        <v>-1.129434</v>
      </c>
      <c r="AE5265">
        <v>-5.1943959999999896</v>
      </c>
      <c r="AF5265">
        <v>3.9522526418081201</v>
      </c>
      <c r="AG5265">
        <v>-1.129434</v>
      </c>
      <c r="AH5265">
        <v>6.0929424656976998</v>
      </c>
      <c r="AI5265">
        <v>98.839566153323005</v>
      </c>
      <c r="AJ5265">
        <v>57.030107994749997</v>
      </c>
      <c r="AK5265">
        <v>7.3498210859406399</v>
      </c>
      <c r="AL5265">
        <v>85.030854948198694</v>
      </c>
      <c r="AM5265">
        <v>75.290783534011496</v>
      </c>
      <c r="AN5265">
        <v>1.00000001232907</v>
      </c>
    </row>
    <row r="5266" spans="1:40" x14ac:dyDescent="0.25">
      <c r="A5266" t="str">
        <f>"20190312151639082"</f>
        <v>20190312151639082</v>
      </c>
      <c r="B5266" t="str">
        <f>"1552374999073297"</f>
        <v>1552374999073297</v>
      </c>
      <c r="C5266" t="s">
        <v>40</v>
      </c>
      <c r="D5266">
        <v>4.6626110000000001</v>
      </c>
      <c r="E5266">
        <v>0.6209074</v>
      </c>
      <c r="F5266" t="s">
        <v>42</v>
      </c>
      <c r="G5266">
        <v>-311.29160000000002</v>
      </c>
      <c r="H5266">
        <v>-0.05</v>
      </c>
      <c r="I5266">
        <v>9.8892670000000003</v>
      </c>
      <c r="J5266">
        <v>-316.52370000000002</v>
      </c>
      <c r="K5266">
        <v>1.0783100000000001</v>
      </c>
      <c r="L5266">
        <v>15.03177</v>
      </c>
      <c r="M5266">
        <v>0.97978469999999995</v>
      </c>
      <c r="N5266">
        <v>0</v>
      </c>
      <c r="O5266">
        <v>-0.19894239999999999</v>
      </c>
      <c r="P5266">
        <v>0.89501169999999997</v>
      </c>
      <c r="Q5266">
        <v>6.8037630000000002E-2</v>
      </c>
      <c r="R5266">
        <v>-0.44082379999999999</v>
      </c>
      <c r="S5266">
        <v>2.2980649999999998</v>
      </c>
      <c r="T5266">
        <v>-0.48569889999999999</v>
      </c>
      <c r="U5266">
        <v>-2.221924</v>
      </c>
      <c r="V5266">
        <v>0.25458360000000002</v>
      </c>
      <c r="W5266">
        <v>8.6408310000000002E-2</v>
      </c>
      <c r="X5266">
        <v>0.9631826</v>
      </c>
      <c r="Y5266">
        <v>0.5344354</v>
      </c>
      <c r="Z5266">
        <v>-1.283142E-2</v>
      </c>
      <c r="AA5266">
        <v>0.84511190000000003</v>
      </c>
      <c r="AB5266">
        <v>24</v>
      </c>
      <c r="AC5266">
        <v>5.2321</v>
      </c>
      <c r="AD5266">
        <v>-1.1283099999999999</v>
      </c>
      <c r="AE5266">
        <v>-5.1425029999999996</v>
      </c>
      <c r="AF5266">
        <v>3.9061492059963299</v>
      </c>
      <c r="AG5266">
        <v>-1.1283099999999999</v>
      </c>
      <c r="AH5266">
        <v>6.00862826107595</v>
      </c>
      <c r="AI5266">
        <v>98.947082882489696</v>
      </c>
      <c r="AJ5266">
        <v>56.972507152231103</v>
      </c>
      <c r="AK5266">
        <v>7.2549775089524804</v>
      </c>
      <c r="AL5266">
        <v>85.042986735727695</v>
      </c>
      <c r="AM5266">
        <v>75.194451951088595</v>
      </c>
      <c r="AN5266">
        <v>0.999999963184387</v>
      </c>
    </row>
    <row r="5267" spans="1:40" x14ac:dyDescent="0.25">
      <c r="A5267" t="str">
        <f>"20190312151639091"</f>
        <v>20190312151639091</v>
      </c>
      <c r="B5267" t="str">
        <f>"1552374999083057"</f>
        <v>1552374999083057</v>
      </c>
      <c r="C5267" t="s">
        <v>40</v>
      </c>
      <c r="D5267">
        <v>4.6568740000000002</v>
      </c>
      <c r="E5267">
        <v>0.62085869999999999</v>
      </c>
      <c r="F5267" t="s">
        <v>42</v>
      </c>
      <c r="G5267">
        <v>-311.23930000000001</v>
      </c>
      <c r="H5267">
        <v>-0.05</v>
      </c>
      <c r="I5267">
        <v>9.8898010000000003</v>
      </c>
      <c r="J5267">
        <v>-316.40839999999997</v>
      </c>
      <c r="K5267">
        <v>1.077153</v>
      </c>
      <c r="L5267">
        <v>15.006589999999999</v>
      </c>
      <c r="M5267">
        <v>0.9794448</v>
      </c>
      <c r="N5267">
        <v>0</v>
      </c>
      <c r="O5267">
        <v>-0.2006387</v>
      </c>
      <c r="P5267">
        <v>0.89351669999999905</v>
      </c>
      <c r="Q5267">
        <v>6.8174869999999999E-2</v>
      </c>
      <c r="R5267">
        <v>-0.44382470000000002</v>
      </c>
      <c r="S5267">
        <v>2.291077</v>
      </c>
      <c r="T5267">
        <v>-0.48918010000000001</v>
      </c>
      <c r="U5267">
        <v>-2.2293090000000002</v>
      </c>
      <c r="V5267">
        <v>0.25614880000000001</v>
      </c>
      <c r="W5267">
        <v>8.6248229999999995E-2</v>
      </c>
      <c r="X5267">
        <v>0.96278189999999997</v>
      </c>
      <c r="Y5267">
        <v>0.53561179999999997</v>
      </c>
      <c r="Z5267">
        <v>-1.2761140000000001E-2</v>
      </c>
      <c r="AA5267">
        <v>0.84436789999999995</v>
      </c>
      <c r="AB5267">
        <v>24</v>
      </c>
      <c r="AC5267">
        <v>5.1690999999999496</v>
      </c>
      <c r="AD5267">
        <v>-1.1271530000000001</v>
      </c>
      <c r="AE5267">
        <v>-5.11678899999999</v>
      </c>
      <c r="AF5267">
        <v>3.8821166850122699</v>
      </c>
      <c r="AG5267">
        <v>-1.1271530000000001</v>
      </c>
      <c r="AH5267">
        <v>5.9479438747185798</v>
      </c>
      <c r="AI5267">
        <v>99.017233358401</v>
      </c>
      <c r="AJ5267">
        <v>56.8682333143324</v>
      </c>
      <c r="AK5267">
        <v>7.1916159643199702</v>
      </c>
      <c r="AL5267">
        <v>85.0521930771217</v>
      </c>
      <c r="AM5267">
        <v>75.101537018989106</v>
      </c>
      <c r="AN5267">
        <v>0.99999997594359102</v>
      </c>
    </row>
    <row r="5268" spans="1:40" x14ac:dyDescent="0.25">
      <c r="A5268" t="str">
        <f>"20190312151639102"</f>
        <v>20190312151639102</v>
      </c>
      <c r="B5268" t="str">
        <f>"1552374999092816"</f>
        <v>1552374999092816</v>
      </c>
      <c r="C5268" t="s">
        <v>40</v>
      </c>
      <c r="D5268">
        <v>4.6550469999999997</v>
      </c>
      <c r="E5268">
        <v>0.62102360000000001</v>
      </c>
      <c r="F5268" t="s">
        <v>42</v>
      </c>
      <c r="G5268">
        <v>-311.19490000000002</v>
      </c>
      <c r="H5268">
        <v>-0.05</v>
      </c>
      <c r="I5268">
        <v>9.9021150000000002</v>
      </c>
      <c r="J5268">
        <v>-316.30900000000003</v>
      </c>
      <c r="K5268">
        <v>1.0761750000000001</v>
      </c>
      <c r="L5268">
        <v>14.984529999999999</v>
      </c>
      <c r="M5268">
        <v>0.9791282</v>
      </c>
      <c r="N5268">
        <v>0</v>
      </c>
      <c r="O5268">
        <v>-0.2022082</v>
      </c>
      <c r="P5268">
        <v>0.89212380000000002</v>
      </c>
      <c r="Q5268">
        <v>6.8411429999999995E-2</v>
      </c>
      <c r="R5268">
        <v>-0.44658170000000003</v>
      </c>
      <c r="S5268">
        <v>2.2843019999999998</v>
      </c>
      <c r="T5268">
        <v>-0.49387199999999998</v>
      </c>
      <c r="U5268">
        <v>-2.2365719999999998</v>
      </c>
      <c r="V5268">
        <v>0.25758379999999997</v>
      </c>
      <c r="W5268">
        <v>8.6196439999999999E-2</v>
      </c>
      <c r="X5268">
        <v>0.96240369999999997</v>
      </c>
      <c r="Y5268">
        <v>0.53681259999999997</v>
      </c>
      <c r="Z5268">
        <v>-1.274205E-2</v>
      </c>
      <c r="AA5268">
        <v>0.8436053</v>
      </c>
      <c r="AB5268">
        <v>24</v>
      </c>
      <c r="AC5268">
        <v>5.1140999999999996</v>
      </c>
      <c r="AD5268">
        <v>-1.1261749999999999</v>
      </c>
      <c r="AE5268">
        <v>-5.0824149999999904</v>
      </c>
      <c r="AF5268">
        <v>3.8491436104658798</v>
      </c>
      <c r="AG5268">
        <v>-1.1261749999999999</v>
      </c>
      <c r="AH5268">
        <v>5.8925724115817104</v>
      </c>
      <c r="AI5268">
        <v>99.090591398649806</v>
      </c>
      <c r="AJ5268">
        <v>56.846644630748202</v>
      </c>
      <c r="AK5268">
        <v>7.1278738969168902</v>
      </c>
      <c r="AL5268">
        <v>85.055171939362495</v>
      </c>
      <c r="AM5268">
        <v>75.0161925672179</v>
      </c>
      <c r="AN5268">
        <v>1.00000006103239</v>
      </c>
    </row>
    <row r="5269" spans="1:40" x14ac:dyDescent="0.25">
      <c r="A5269" t="str">
        <f>"20190312151639112"</f>
        <v>20190312151639112</v>
      </c>
      <c r="B5269" t="str">
        <f>"1552374999102577"</f>
        <v>1552374999102577</v>
      </c>
      <c r="C5269" t="s">
        <v>40</v>
      </c>
      <c r="D5269">
        <v>4.660374</v>
      </c>
      <c r="E5269">
        <v>0.62098350000000002</v>
      </c>
      <c r="F5269" t="s">
        <v>42</v>
      </c>
      <c r="G5269">
        <v>-311.13159999999999</v>
      </c>
      <c r="H5269">
        <v>-0.05</v>
      </c>
      <c r="I5269">
        <v>9.8813630000000003</v>
      </c>
      <c r="J5269">
        <v>-316.19659999999999</v>
      </c>
      <c r="K5269">
        <v>1.0750690000000001</v>
      </c>
      <c r="L5269">
        <v>14.95956</v>
      </c>
      <c r="M5269">
        <v>0.97876540000000001</v>
      </c>
      <c r="N5269">
        <v>0</v>
      </c>
      <c r="O5269">
        <v>-0.20398839999999999</v>
      </c>
      <c r="P5269">
        <v>0.89048859999999996</v>
      </c>
      <c r="Q5269">
        <v>6.8485190000000001E-2</v>
      </c>
      <c r="R5269">
        <v>-0.449822</v>
      </c>
      <c r="S5269">
        <v>2.277161</v>
      </c>
      <c r="T5269">
        <v>-0.49532290000000001</v>
      </c>
      <c r="U5269">
        <v>-2.244507</v>
      </c>
      <c r="V5269">
        <v>0.25933390000000001</v>
      </c>
      <c r="W5269">
        <v>8.5941340000000005E-2</v>
      </c>
      <c r="X5269">
        <v>0.96195629999999999</v>
      </c>
      <c r="Y5269">
        <v>0.53807609999999995</v>
      </c>
      <c r="Z5269">
        <v>-1.260909E-2</v>
      </c>
      <c r="AA5269">
        <v>0.84280189999999999</v>
      </c>
      <c r="AB5269">
        <v>24</v>
      </c>
      <c r="AC5269">
        <v>5.0649999999999897</v>
      </c>
      <c r="AD5269">
        <v>-1.1250690000000001</v>
      </c>
      <c r="AE5269">
        <v>-5.0781969999999896</v>
      </c>
      <c r="AF5269">
        <v>3.8433939154059198</v>
      </c>
      <c r="AG5269">
        <v>-1.1250690000000001</v>
      </c>
      <c r="AH5269">
        <v>5.8506012758304804</v>
      </c>
      <c r="AI5269">
        <v>99.1306160080577</v>
      </c>
      <c r="AJ5269">
        <v>56.698172060559799</v>
      </c>
      <c r="AK5269">
        <v>7.0899218847945997</v>
      </c>
      <c r="AL5269">
        <v>85.069842004454102</v>
      </c>
      <c r="AM5269">
        <v>74.912316638845297</v>
      </c>
      <c r="AN5269">
        <v>0.99999995435994604</v>
      </c>
    </row>
    <row r="5270" spans="1:40" x14ac:dyDescent="0.25">
      <c r="A5270" t="str">
        <f>"20190312151639123"</f>
        <v>20190312151639123</v>
      </c>
      <c r="B5270" t="str">
        <f>"1552374999113313"</f>
        <v>1552374999113313</v>
      </c>
      <c r="C5270" t="s">
        <v>40</v>
      </c>
      <c r="D5270">
        <v>4.6652760000000004</v>
      </c>
      <c r="E5270">
        <v>0.6210523</v>
      </c>
      <c r="F5270" t="s">
        <v>42</v>
      </c>
      <c r="G5270">
        <v>-311.07080000000002</v>
      </c>
      <c r="H5270">
        <v>-0.05</v>
      </c>
      <c r="I5270">
        <v>9.8717039999999994</v>
      </c>
      <c r="J5270">
        <v>-316.08539999999999</v>
      </c>
      <c r="K5270">
        <v>1.0740019999999999</v>
      </c>
      <c r="L5270">
        <v>14.934419999999999</v>
      </c>
      <c r="M5270">
        <v>0.9783927</v>
      </c>
      <c r="N5270">
        <v>0</v>
      </c>
      <c r="O5270">
        <v>-0.20580180000000001</v>
      </c>
      <c r="P5270">
        <v>0.88892229999999905</v>
      </c>
      <c r="Q5270">
        <v>6.8578120000000006E-2</v>
      </c>
      <c r="R5270">
        <v>-0.45289499999999999</v>
      </c>
      <c r="S5270">
        <v>2.2693789999999998</v>
      </c>
      <c r="T5270">
        <v>-0.49810460000000001</v>
      </c>
      <c r="U5270">
        <v>-2.2525629999999999</v>
      </c>
      <c r="V5270">
        <v>0.26088</v>
      </c>
      <c r="W5270">
        <v>8.5674330000000007E-2</v>
      </c>
      <c r="X5270">
        <v>0.96156200000000003</v>
      </c>
      <c r="Y5270">
        <v>0.53942780000000001</v>
      </c>
      <c r="Z5270">
        <v>-1.251266E-2</v>
      </c>
      <c r="AA5270">
        <v>0.84193890000000005</v>
      </c>
      <c r="AB5270">
        <v>24</v>
      </c>
      <c r="AC5270">
        <v>5.0145999999999704</v>
      </c>
      <c r="AD5270">
        <v>-1.1240019999999999</v>
      </c>
      <c r="AE5270">
        <v>-5.062716</v>
      </c>
      <c r="AF5270">
        <v>3.8268665706481402</v>
      </c>
      <c r="AG5270">
        <v>-1.1240019999999999</v>
      </c>
      <c r="AH5270">
        <v>5.8049035798295403</v>
      </c>
      <c r="AI5270">
        <v>99.1830529655075</v>
      </c>
      <c r="AJ5270">
        <v>56.6052430212738</v>
      </c>
      <c r="AK5270">
        <v>7.0430954712162004</v>
      </c>
      <c r="AL5270">
        <v>85.085197275249598</v>
      </c>
      <c r="AM5270">
        <v>74.820567339142301</v>
      </c>
      <c r="AN5270">
        <v>0.99999997253247397</v>
      </c>
    </row>
    <row r="5271" spans="1:40" x14ac:dyDescent="0.25">
      <c r="A5271" t="str">
        <f>"20190312151639133"</f>
        <v>20190312151639133</v>
      </c>
      <c r="B5271" t="str">
        <f>"1552374999123073"</f>
        <v>1552374999123073</v>
      </c>
      <c r="C5271" t="s">
        <v>40</v>
      </c>
      <c r="D5271">
        <v>4.8414549999999998</v>
      </c>
      <c r="E5271">
        <v>0.62124590000000002</v>
      </c>
      <c r="F5271" t="s">
        <v>42</v>
      </c>
      <c r="G5271">
        <v>-310.99889999999999</v>
      </c>
      <c r="H5271">
        <v>-0.05</v>
      </c>
      <c r="I5271">
        <v>9.8502810000000007</v>
      </c>
      <c r="J5271">
        <v>-315.9701</v>
      </c>
      <c r="K5271">
        <v>1.0729010000000001</v>
      </c>
      <c r="L5271">
        <v>14.908289999999999</v>
      </c>
      <c r="M5271">
        <v>0.97800189999999998</v>
      </c>
      <c r="N5271">
        <v>0</v>
      </c>
      <c r="O5271">
        <v>-0.20768619999999999</v>
      </c>
      <c r="P5271">
        <v>0.88739969999999901</v>
      </c>
      <c r="Q5271">
        <v>6.8632600000000002E-2</v>
      </c>
      <c r="R5271">
        <v>-0.45586339999999997</v>
      </c>
      <c r="S5271">
        <v>2.2616879999999999</v>
      </c>
      <c r="T5271">
        <v>-0.49978509999999998</v>
      </c>
      <c r="U5271">
        <v>-2.2606510000000002</v>
      </c>
      <c r="V5271">
        <v>0.26224699999999901</v>
      </c>
      <c r="W5271">
        <v>8.5354609999999997E-2</v>
      </c>
      <c r="X5271">
        <v>0.96121849999999998</v>
      </c>
      <c r="Y5271">
        <v>0.54072369999999903</v>
      </c>
      <c r="Z5271">
        <v>-1.2369639999999999E-2</v>
      </c>
      <c r="AA5271">
        <v>0.84110929999999995</v>
      </c>
      <c r="AB5271">
        <v>24</v>
      </c>
      <c r="AC5271">
        <v>4.9711999999999996</v>
      </c>
      <c r="AD5271">
        <v>-1.1229009999999999</v>
      </c>
      <c r="AE5271">
        <v>-5.0580089999999904</v>
      </c>
      <c r="AF5271">
        <v>3.8192863092392999</v>
      </c>
      <c r="AG5271">
        <v>-1.1229009999999999</v>
      </c>
      <c r="AH5271">
        <v>5.7688197274915103</v>
      </c>
      <c r="AI5271">
        <v>99.218895575717596</v>
      </c>
      <c r="AJ5271">
        <v>56.493178258213703</v>
      </c>
      <c r="AK5271">
        <v>7.0090752325851797</v>
      </c>
      <c r="AL5271">
        <v>85.103583128786497</v>
      </c>
      <c r="AM5271">
        <v>74.739527538477603</v>
      </c>
      <c r="AN5271">
        <v>0.99999995159974897</v>
      </c>
    </row>
    <row r="5272" spans="1:40" x14ac:dyDescent="0.25">
      <c r="A5272" t="str">
        <f>"20190312151639144"</f>
        <v>20190312151639144</v>
      </c>
      <c r="B5272" t="str">
        <f>"1552374999132832"</f>
        <v>1552374999132832</v>
      </c>
      <c r="C5272" t="s">
        <v>40</v>
      </c>
      <c r="D5272">
        <v>4.7954220000000003</v>
      </c>
      <c r="E5272">
        <v>0.62146099999999904</v>
      </c>
      <c r="F5272" t="s">
        <v>42</v>
      </c>
      <c r="G5272">
        <v>-310.95249999999999</v>
      </c>
      <c r="H5272">
        <v>-0.05</v>
      </c>
      <c r="I5272">
        <v>9.8549500000000005</v>
      </c>
      <c r="J5272">
        <v>-315.84699999999998</v>
      </c>
      <c r="K5272">
        <v>1.07177099999999</v>
      </c>
      <c r="L5272">
        <v>14.87982</v>
      </c>
      <c r="M5272">
        <v>0.97757609999999995</v>
      </c>
      <c r="N5272">
        <v>0</v>
      </c>
      <c r="O5272">
        <v>-0.20971699999999999</v>
      </c>
      <c r="P5272">
        <v>0.88566939999999905</v>
      </c>
      <c r="Q5272">
        <v>6.8622210000000003E-2</v>
      </c>
      <c r="R5272">
        <v>-0.45921790000000001</v>
      </c>
      <c r="S5272">
        <v>2.2536930000000002</v>
      </c>
      <c r="T5272">
        <v>-0.50436020000000004</v>
      </c>
      <c r="U5272">
        <v>-2.2697449999999999</v>
      </c>
      <c r="V5272">
        <v>0.26389509999999899</v>
      </c>
      <c r="W5272">
        <v>8.4917980000000004E-2</v>
      </c>
      <c r="X5272">
        <v>0.9608061</v>
      </c>
      <c r="Y5272">
        <v>0.54209189999999996</v>
      </c>
      <c r="Z5272">
        <v>-1.2275879999999999E-2</v>
      </c>
      <c r="AA5272">
        <v>0.84022949999999996</v>
      </c>
      <c r="AB5272">
        <v>24</v>
      </c>
      <c r="AC5272">
        <v>4.8944999999999901</v>
      </c>
      <c r="AD5272">
        <v>-1.1217710000000001</v>
      </c>
      <c r="AE5272">
        <v>-5.0248699999999999</v>
      </c>
      <c r="AF5272">
        <v>3.78952726651073</v>
      </c>
      <c r="AG5272">
        <v>-1.1217710000000001</v>
      </c>
      <c r="AH5272">
        <v>5.6939920556290504</v>
      </c>
      <c r="AI5272">
        <v>99.314034602102794</v>
      </c>
      <c r="AJ5272">
        <v>56.3550104903792</v>
      </c>
      <c r="AK5272">
        <v>6.9311205883057596</v>
      </c>
      <c r="AL5272">
        <v>85.128691702259601</v>
      </c>
      <c r="AM5272">
        <v>74.641855896232101</v>
      </c>
      <c r="AN5272">
        <v>1.00000002446424</v>
      </c>
    </row>
    <row r="5273" spans="1:40" x14ac:dyDescent="0.25">
      <c r="A5273" t="str">
        <f>"20190312151639156"</f>
        <v>20190312151639156</v>
      </c>
      <c r="B5273" t="str">
        <f>"1552374999153328"</f>
        <v>1552374999153328</v>
      </c>
      <c r="C5273" t="s">
        <v>40</v>
      </c>
      <c r="D5273">
        <v>4.6712109999999996</v>
      </c>
      <c r="E5273">
        <v>0.62138919999999997</v>
      </c>
      <c r="F5273" t="s">
        <v>42</v>
      </c>
      <c r="G5273">
        <v>-310.9033</v>
      </c>
      <c r="H5273">
        <v>-0.05</v>
      </c>
      <c r="I5273">
        <v>9.8586880000000008</v>
      </c>
      <c r="J5273">
        <v>-315.73250000000002</v>
      </c>
      <c r="K5273">
        <v>1.0707450000000001</v>
      </c>
      <c r="L5273">
        <v>14.85324</v>
      </c>
      <c r="M5273">
        <v>0.97717509999999996</v>
      </c>
      <c r="N5273">
        <v>0</v>
      </c>
      <c r="O5273">
        <v>-0.21161089999999999</v>
      </c>
      <c r="P5273">
        <v>0.88392059999999995</v>
      </c>
      <c r="Q5273">
        <v>6.8692690000000001E-2</v>
      </c>
      <c r="R5273">
        <v>-0.46256459999999999</v>
      </c>
      <c r="S5273">
        <v>2.244659</v>
      </c>
      <c r="T5273">
        <v>-0.50933379999999995</v>
      </c>
      <c r="U5273">
        <v>-2.2798159999999998</v>
      </c>
      <c r="V5273">
        <v>0.26567679999999999</v>
      </c>
      <c r="W5273">
        <v>8.4590139999999994E-2</v>
      </c>
      <c r="X5273">
        <v>0.96034390000000003</v>
      </c>
      <c r="Y5273">
        <v>0.54393210000000003</v>
      </c>
      <c r="Z5273">
        <v>-1.225819E-2</v>
      </c>
      <c r="AA5273">
        <v>0.83903969999999894</v>
      </c>
      <c r="AB5273">
        <v>24</v>
      </c>
      <c r="AC5273">
        <v>4.8292000000000099</v>
      </c>
      <c r="AD5273">
        <v>-1.1207450000000001</v>
      </c>
      <c r="AE5273">
        <v>-4.9945519999999899</v>
      </c>
      <c r="AF5273">
        <v>3.7614296684894399</v>
      </c>
      <c r="AG5273">
        <v>-1.1207450000000001</v>
      </c>
      <c r="AH5273">
        <v>5.6303638620482603</v>
      </c>
      <c r="AI5273">
        <v>99.398168749717101</v>
      </c>
      <c r="AJ5273">
        <v>56.2546377956754</v>
      </c>
      <c r="AK5273">
        <v>6.8633388175928403</v>
      </c>
      <c r="AL5273">
        <v>85.147543407629399</v>
      </c>
      <c r="AM5273">
        <v>74.536024301043398</v>
      </c>
      <c r="AN5273">
        <v>1.00000003005533</v>
      </c>
    </row>
    <row r="5274" spans="1:40" x14ac:dyDescent="0.25">
      <c r="A5274" t="str">
        <f>"20190312151639166"</f>
        <v>20190312151639166</v>
      </c>
      <c r="B5274" t="str">
        <f>"1552374999163089"</f>
        <v>1552374999163089</v>
      </c>
      <c r="C5274" t="s">
        <v>40</v>
      </c>
      <c r="D5274">
        <v>4.7077460000000002</v>
      </c>
      <c r="E5274">
        <v>0.62128719999999904</v>
      </c>
      <c r="F5274" t="s">
        <v>42</v>
      </c>
      <c r="G5274">
        <v>-310.82400000000001</v>
      </c>
      <c r="H5274">
        <v>-0.05</v>
      </c>
      <c r="I5274">
        <v>9.8317720000000008</v>
      </c>
      <c r="J5274">
        <v>-315.61799999999999</v>
      </c>
      <c r="K5274">
        <v>1.069777</v>
      </c>
      <c r="L5274">
        <v>14.826230000000001</v>
      </c>
      <c r="M5274">
        <v>0.97676680000000005</v>
      </c>
      <c r="N5274">
        <v>0</v>
      </c>
      <c r="O5274">
        <v>-0.21351990000000001</v>
      </c>
      <c r="P5274">
        <v>0.88210330000000003</v>
      </c>
      <c r="Q5274">
        <v>6.8664859999999994E-2</v>
      </c>
      <c r="R5274">
        <v>-0.46602500000000002</v>
      </c>
      <c r="S5274">
        <v>2.2363590000000002</v>
      </c>
      <c r="T5274">
        <v>-0.510625</v>
      </c>
      <c r="U5274">
        <v>-2.2878419999999999</v>
      </c>
      <c r="V5274">
        <v>0.26757009999999998</v>
      </c>
      <c r="W5274">
        <v>8.4163959999999996E-2</v>
      </c>
      <c r="X5274">
        <v>0.95985560000000003</v>
      </c>
      <c r="Y5274">
        <v>0.54530509999999999</v>
      </c>
      <c r="Z5274">
        <v>-1.210494E-2</v>
      </c>
      <c r="AA5274">
        <v>0.83815030000000001</v>
      </c>
      <c r="AB5274">
        <v>24</v>
      </c>
      <c r="AC5274">
        <v>4.7939999999999801</v>
      </c>
      <c r="AD5274">
        <v>-1.119777</v>
      </c>
      <c r="AE5274">
        <v>-4.9944579999999901</v>
      </c>
      <c r="AF5274">
        <v>3.7571565520432402</v>
      </c>
      <c r="AG5274">
        <v>-1.119777</v>
      </c>
      <c r="AH5274">
        <v>5.6034018486692698</v>
      </c>
      <c r="AI5274">
        <v>99.424073748152693</v>
      </c>
      <c r="AJ5274">
        <v>56.157613826250497</v>
      </c>
      <c r="AK5274">
        <v>6.8387307421743602</v>
      </c>
      <c r="AL5274">
        <v>85.172049217046904</v>
      </c>
      <c r="AM5274">
        <v>74.423614673213294</v>
      </c>
      <c r="AN5274">
        <v>1.0000000517141201</v>
      </c>
    </row>
    <row r="5275" spans="1:40" x14ac:dyDescent="0.25">
      <c r="A5275" t="str">
        <f>"20190312151639177"</f>
        <v>20190312151639177</v>
      </c>
      <c r="B5275" t="str">
        <f>"1552374999172849"</f>
        <v>1552374999172849</v>
      </c>
      <c r="C5275" t="s">
        <v>40</v>
      </c>
      <c r="D5275">
        <v>4.7518409999999998</v>
      </c>
      <c r="E5275">
        <v>0.6212879</v>
      </c>
      <c r="F5275" t="s">
        <v>42</v>
      </c>
      <c r="G5275">
        <v>-310.75200000000001</v>
      </c>
      <c r="H5275">
        <v>-0.05</v>
      </c>
      <c r="I5275">
        <v>9.8129880000000007</v>
      </c>
      <c r="J5275">
        <v>-315.49450000000002</v>
      </c>
      <c r="K5275">
        <v>1.0687799999999901</v>
      </c>
      <c r="L5275">
        <v>14.79684</v>
      </c>
      <c r="M5275">
        <v>0.97631630000000003</v>
      </c>
      <c r="N5275">
        <v>0</v>
      </c>
      <c r="O5275">
        <v>-0.21560260000000001</v>
      </c>
      <c r="P5275">
        <v>0.88025869999999995</v>
      </c>
      <c r="Q5275">
        <v>6.8446199999999999E-2</v>
      </c>
      <c r="R5275">
        <v>-0.46953139999999999</v>
      </c>
      <c r="S5275">
        <v>2.228119</v>
      </c>
      <c r="T5275">
        <v>-0.51273990000000003</v>
      </c>
      <c r="U5275">
        <v>-2.2955320000000001</v>
      </c>
      <c r="V5275">
        <v>0.26934330000000001</v>
      </c>
      <c r="W5275">
        <v>8.3531510000000003E-2</v>
      </c>
      <c r="X5275">
        <v>0.95941480000000001</v>
      </c>
      <c r="Y5275">
        <v>0.54644669999999995</v>
      </c>
      <c r="Z5275">
        <v>-1.191734E-2</v>
      </c>
      <c r="AA5275">
        <v>0.83740910000000002</v>
      </c>
      <c r="AB5275">
        <v>24</v>
      </c>
      <c r="AC5275">
        <v>4.7424999999999997</v>
      </c>
      <c r="AD5275">
        <v>-1.1187800000000001</v>
      </c>
      <c r="AE5275">
        <v>-4.98385199999999</v>
      </c>
      <c r="AF5275">
        <v>3.7449036225606802</v>
      </c>
      <c r="AG5275">
        <v>-1.1187800000000001</v>
      </c>
      <c r="AH5275">
        <v>5.5586293509256297</v>
      </c>
      <c r="AI5275">
        <v>99.476520737666405</v>
      </c>
      <c r="AJ5275">
        <v>56.031460850276197</v>
      </c>
      <c r="AK5275">
        <v>6.7951697617969797</v>
      </c>
      <c r="AL5275">
        <v>85.208413942669395</v>
      </c>
      <c r="AM5275">
        <v>74.318600240535901</v>
      </c>
      <c r="AN5275">
        <v>1.0000000424383999</v>
      </c>
    </row>
    <row r="5276" spans="1:40" x14ac:dyDescent="0.25">
      <c r="A5276" t="str">
        <f>"20190312151639189"</f>
        <v>20190312151639189</v>
      </c>
      <c r="B5276" t="str">
        <f>"1552374999182610"</f>
        <v>1552374999182610</v>
      </c>
      <c r="C5276" t="s">
        <v>40</v>
      </c>
      <c r="D5276">
        <v>4.7144579999999996</v>
      </c>
      <c r="E5276">
        <v>0.62125959999999902</v>
      </c>
      <c r="F5276" t="s">
        <v>42</v>
      </c>
      <c r="G5276">
        <v>-310.68650000000002</v>
      </c>
      <c r="H5276">
        <v>-0.05</v>
      </c>
      <c r="I5276">
        <v>9.8051759999999994</v>
      </c>
      <c r="J5276">
        <v>-315.37060000000002</v>
      </c>
      <c r="K5276">
        <v>1.067841</v>
      </c>
      <c r="L5276">
        <v>14.767060000000001</v>
      </c>
      <c r="M5276">
        <v>0.97585359999999999</v>
      </c>
      <c r="N5276">
        <v>0</v>
      </c>
      <c r="O5276">
        <v>-0.21771779999999999</v>
      </c>
      <c r="P5276">
        <v>0.87831150000000002</v>
      </c>
      <c r="Q5276">
        <v>6.7856810000000004E-2</v>
      </c>
      <c r="R5276">
        <v>-0.47324880000000003</v>
      </c>
      <c r="S5276">
        <v>2.2192690000000002</v>
      </c>
      <c r="T5276">
        <v>-0.51640459999999999</v>
      </c>
      <c r="U5276">
        <v>-2.3040470000000002</v>
      </c>
      <c r="V5276">
        <v>0.27131060000000001</v>
      </c>
      <c r="W5276">
        <v>8.2540260000000004E-2</v>
      </c>
      <c r="X5276">
        <v>0.95894610000000002</v>
      </c>
      <c r="Y5276">
        <v>0.54779679999999997</v>
      </c>
      <c r="Z5276">
        <v>-1.177745E-2</v>
      </c>
      <c r="AA5276">
        <v>0.83652850000000001</v>
      </c>
      <c r="AB5276">
        <v>24</v>
      </c>
      <c r="AC5276">
        <v>4.6840999999999999</v>
      </c>
      <c r="AD5276">
        <v>-1.1178410000000001</v>
      </c>
      <c r="AE5276">
        <v>-4.9618840000000004</v>
      </c>
      <c r="AF5276">
        <v>3.72293737887076</v>
      </c>
      <c r="AG5276">
        <v>-1.1178410000000001</v>
      </c>
      <c r="AH5276">
        <v>5.5044352734842796</v>
      </c>
      <c r="AI5276">
        <v>99.548731329500896</v>
      </c>
      <c r="AJ5276">
        <v>55.927455205954097</v>
      </c>
      <c r="AK5276">
        <v>6.7385932440125904</v>
      </c>
      <c r="AL5276">
        <v>85.265404901181</v>
      </c>
      <c r="AM5276">
        <v>74.202422702596493</v>
      </c>
      <c r="AN5276">
        <v>0.99999997944921803</v>
      </c>
    </row>
    <row r="5277" spans="1:40" x14ac:dyDescent="0.25">
      <c r="A5277" t="str">
        <f>"20190312151639202"</f>
        <v>20190312151639202</v>
      </c>
      <c r="B5277" t="str">
        <f>"1552374999193344"</f>
        <v>1552374999193344</v>
      </c>
      <c r="C5277" t="s">
        <v>40</v>
      </c>
      <c r="D5277">
        <v>4.6769910000000001</v>
      </c>
      <c r="E5277">
        <v>0.62125169999999996</v>
      </c>
      <c r="F5277" t="s">
        <v>42</v>
      </c>
      <c r="G5277">
        <v>-310.62520000000001</v>
      </c>
      <c r="H5277">
        <v>-0.05</v>
      </c>
      <c r="I5277">
        <v>9.8000179999999997</v>
      </c>
      <c r="J5277">
        <v>-315.24400000000003</v>
      </c>
      <c r="K5277">
        <v>1.0669569999999999</v>
      </c>
      <c r="L5277">
        <v>14.736179999999999</v>
      </c>
      <c r="M5277">
        <v>0.97536140000000005</v>
      </c>
      <c r="N5277">
        <v>0</v>
      </c>
      <c r="O5277">
        <v>-0.2199419</v>
      </c>
      <c r="P5277">
        <v>0.87651539999999994</v>
      </c>
      <c r="Q5277">
        <v>6.7546759999999997E-2</v>
      </c>
      <c r="R5277">
        <v>-0.47661150000000002</v>
      </c>
      <c r="S5277">
        <v>2.2096559999999998</v>
      </c>
      <c r="T5277">
        <v>-0.52050600000000002</v>
      </c>
      <c r="U5277">
        <v>-2.3128359999999999</v>
      </c>
      <c r="V5277">
        <v>0.27279429999999999</v>
      </c>
      <c r="W5277">
        <v>8.1849779999999997E-2</v>
      </c>
      <c r="X5277">
        <v>0.95858429999999994</v>
      </c>
      <c r="Y5277">
        <v>0.54923710000000003</v>
      </c>
      <c r="Z5277">
        <v>-1.1635360000000001E-2</v>
      </c>
      <c r="AA5277">
        <v>0.83558559999999904</v>
      </c>
      <c r="AB5277">
        <v>24</v>
      </c>
      <c r="AC5277">
        <v>4.6188000000000198</v>
      </c>
      <c r="AD5277">
        <v>-1.116957</v>
      </c>
      <c r="AE5277">
        <v>-4.9361620000000004</v>
      </c>
      <c r="AF5277">
        <v>3.6982723454067798</v>
      </c>
      <c r="AG5277">
        <v>-1.116957</v>
      </c>
      <c r="AH5277">
        <v>5.4429024197129801</v>
      </c>
      <c r="AI5277">
        <v>99.633484533206499</v>
      </c>
      <c r="AJ5277">
        <v>55.805187277916197</v>
      </c>
      <c r="AK5277">
        <v>6.6745784908986598</v>
      </c>
      <c r="AL5277">
        <v>85.305100855240298</v>
      </c>
      <c r="AM5277">
        <v>74.114685973793797</v>
      </c>
      <c r="AN5277">
        <v>0.99999998840251403</v>
      </c>
    </row>
    <row r="5278" spans="1:40" x14ac:dyDescent="0.25">
      <c r="A5278" t="str">
        <f>"20190312151639214"</f>
        <v>20190312151639214</v>
      </c>
      <c r="B5278" t="str">
        <f>"1552374999203105"</f>
        <v>1552374999203105</v>
      </c>
      <c r="C5278" t="s">
        <v>40</v>
      </c>
      <c r="D5278">
        <v>4.723687</v>
      </c>
      <c r="E5278">
        <v>0.62117299999999998</v>
      </c>
      <c r="F5278" t="s">
        <v>42</v>
      </c>
      <c r="G5278">
        <v>-310.54039999999998</v>
      </c>
      <c r="H5278">
        <v>-0.05</v>
      </c>
      <c r="I5278">
        <v>9.7754969999999997</v>
      </c>
      <c r="J5278">
        <v>-315.11720000000003</v>
      </c>
      <c r="K5278">
        <v>1.066109</v>
      </c>
      <c r="L5278">
        <v>14.705080000000001</v>
      </c>
      <c r="M5278">
        <v>0.97485730000000004</v>
      </c>
      <c r="N5278">
        <v>0</v>
      </c>
      <c r="O5278">
        <v>-0.22219349999999999</v>
      </c>
      <c r="P5278">
        <v>0.8746275</v>
      </c>
      <c r="Q5278">
        <v>6.7096370000000002E-2</v>
      </c>
      <c r="R5278">
        <v>-0.48013050000000002</v>
      </c>
      <c r="S5278">
        <v>2.200806</v>
      </c>
      <c r="T5278">
        <v>-0.52262509999999995</v>
      </c>
      <c r="U5278">
        <v>-2.3211059999999999</v>
      </c>
      <c r="V5278">
        <v>0.27442440000000001</v>
      </c>
      <c r="W5278">
        <v>8.1026639999999997E-2</v>
      </c>
      <c r="X5278">
        <v>0.95818890000000001</v>
      </c>
      <c r="Y5278">
        <v>0.55045010000000005</v>
      </c>
      <c r="Z5278">
        <v>-1.1417439999999999E-2</v>
      </c>
      <c r="AA5278">
        <v>0.83478999999999903</v>
      </c>
      <c r="AB5278">
        <v>24</v>
      </c>
      <c r="AC5278">
        <v>4.5768000000000404</v>
      </c>
      <c r="AD5278">
        <v>-1.116109</v>
      </c>
      <c r="AE5278">
        <v>-4.9295829999999903</v>
      </c>
      <c r="AF5278">
        <v>3.6877166586921</v>
      </c>
      <c r="AG5278">
        <v>-1.116109</v>
      </c>
      <c r="AH5278">
        <v>5.4089248095138398</v>
      </c>
      <c r="AI5278">
        <v>99.6754014286348</v>
      </c>
      <c r="AJ5278">
        <v>55.714472536151298</v>
      </c>
      <c r="AK5278">
        <v>6.6408900796241603</v>
      </c>
      <c r="AL5278">
        <v>85.352420619703807</v>
      </c>
      <c r="AM5278">
        <v>74.018337109706096</v>
      </c>
      <c r="AN5278">
        <v>1.00000001789412</v>
      </c>
    </row>
    <row r="5279" spans="1:40" x14ac:dyDescent="0.25">
      <c r="A5279" t="str">
        <f>"20190312151639226"</f>
        <v>20190312151639226</v>
      </c>
      <c r="B5279" t="str">
        <f>"1552374999222625"</f>
        <v>1552374999222625</v>
      </c>
      <c r="C5279" t="s">
        <v>40</v>
      </c>
      <c r="D5279">
        <v>4.7138920000000004</v>
      </c>
      <c r="E5279">
        <v>0.62105369999999904</v>
      </c>
      <c r="F5279" t="s">
        <v>42</v>
      </c>
      <c r="G5279">
        <v>-310.46719999999999</v>
      </c>
      <c r="H5279">
        <v>-0.05</v>
      </c>
      <c r="I5279">
        <v>9.7625729999999997</v>
      </c>
      <c r="J5279">
        <v>-314.97770000000003</v>
      </c>
      <c r="K5279">
        <v>1.065267</v>
      </c>
      <c r="L5279">
        <v>14.670260000000001</v>
      </c>
      <c r="M5279">
        <v>0.97427509999999995</v>
      </c>
      <c r="N5279">
        <v>0</v>
      </c>
      <c r="O5279">
        <v>-0.2247605</v>
      </c>
      <c r="P5279">
        <v>0.87256119999999904</v>
      </c>
      <c r="Q5279">
        <v>6.7130510000000004E-2</v>
      </c>
      <c r="R5279">
        <v>-0.483871</v>
      </c>
      <c r="S5279">
        <v>2.1916199999999999</v>
      </c>
      <c r="T5279">
        <v>-0.52603630000000001</v>
      </c>
      <c r="U5279">
        <v>-2.3294679999999999</v>
      </c>
      <c r="V5279">
        <v>0.27600570000000002</v>
      </c>
      <c r="W5279">
        <v>8.0683950000000004E-2</v>
      </c>
      <c r="X5279">
        <v>0.95776360000000005</v>
      </c>
      <c r="Y5279">
        <v>0.55145769999999905</v>
      </c>
      <c r="Z5279">
        <v>-1.114821E-2</v>
      </c>
      <c r="AA5279">
        <v>0.83412839999999999</v>
      </c>
      <c r="AB5279">
        <v>24</v>
      </c>
      <c r="AC5279">
        <v>4.5105000000000297</v>
      </c>
      <c r="AD5279">
        <v>-1.115267</v>
      </c>
      <c r="AE5279">
        <v>-4.9076870000000001</v>
      </c>
      <c r="AF5279">
        <v>3.66554792521092</v>
      </c>
      <c r="AG5279">
        <v>-1.115267</v>
      </c>
      <c r="AH5279">
        <v>5.3485338768048099</v>
      </c>
      <c r="AI5279">
        <v>99.759453243520696</v>
      </c>
      <c r="AJ5279">
        <v>55.575718319804302</v>
      </c>
      <c r="AK5279">
        <v>6.5792763055396701</v>
      </c>
      <c r="AL5279">
        <v>85.372120095577401</v>
      </c>
      <c r="AM5279">
        <v>73.924220982948299</v>
      </c>
      <c r="AN5279">
        <v>1.0000000798525199</v>
      </c>
    </row>
    <row r="5280" spans="1:40" x14ac:dyDescent="0.25">
      <c r="A5280" t="str">
        <f>"20190312151639237"</f>
        <v>20190312151639237</v>
      </c>
      <c r="B5280" t="str">
        <f>"1552374999233361"</f>
        <v>1552374999233361</v>
      </c>
      <c r="C5280" t="s">
        <v>40</v>
      </c>
      <c r="D5280">
        <v>4.7211160000000003</v>
      </c>
      <c r="E5280">
        <v>0.62097159999999996</v>
      </c>
      <c r="F5280" t="s">
        <v>42</v>
      </c>
      <c r="G5280">
        <v>-310.37360000000001</v>
      </c>
      <c r="H5280">
        <v>-0.05</v>
      </c>
      <c r="I5280">
        <v>9.7379759999999997</v>
      </c>
      <c r="J5280">
        <v>-314.8725</v>
      </c>
      <c r="K5280">
        <v>1.0646599999999999</v>
      </c>
      <c r="L5280">
        <v>14.64377</v>
      </c>
      <c r="M5280">
        <v>0.9738251</v>
      </c>
      <c r="N5280">
        <v>0</v>
      </c>
      <c r="O5280">
        <v>-0.2267207</v>
      </c>
      <c r="P5280">
        <v>0.87080930000000001</v>
      </c>
      <c r="Q5280">
        <v>6.6882330000000004E-2</v>
      </c>
      <c r="R5280">
        <v>-0.4870506</v>
      </c>
      <c r="S5280">
        <v>2.1823730000000001</v>
      </c>
      <c r="T5280">
        <v>-0.52864119999999903</v>
      </c>
      <c r="U5280">
        <v>-2.3379210000000001</v>
      </c>
      <c r="V5280">
        <v>0.27756730000000002</v>
      </c>
      <c r="W5280">
        <v>8.0155439999999994E-2</v>
      </c>
      <c r="X5280">
        <v>0.95735650000000005</v>
      </c>
      <c r="Y5280">
        <v>0.55300680000000002</v>
      </c>
      <c r="Z5280">
        <v>-1.1021029999999999E-2</v>
      </c>
      <c r="AA5280">
        <v>0.83310390000000001</v>
      </c>
      <c r="AB5280">
        <v>24</v>
      </c>
      <c r="AC5280">
        <v>4.4988999999999901</v>
      </c>
      <c r="AD5280">
        <v>-1.11466</v>
      </c>
      <c r="AE5280">
        <v>-4.9057940000000002</v>
      </c>
      <c r="AF5280">
        <v>3.6553794677498401</v>
      </c>
      <c r="AG5280">
        <v>-1.11466</v>
      </c>
      <c r="AH5280">
        <v>5.3442429103786697</v>
      </c>
      <c r="AI5280">
        <v>99.767962391500006</v>
      </c>
      <c r="AJ5280">
        <v>55.628475990651502</v>
      </c>
      <c r="AK5280">
        <v>6.5700226981327701</v>
      </c>
      <c r="AL5280">
        <v>85.402499443245205</v>
      </c>
      <c r="AM5280">
        <v>73.831489283946397</v>
      </c>
      <c r="AN5280">
        <v>0.99999998434156601</v>
      </c>
    </row>
    <row r="5281" spans="1:40" x14ac:dyDescent="0.25">
      <c r="A5281" t="str">
        <f>"20190312151639248"</f>
        <v>20190312151639248</v>
      </c>
      <c r="B5281" t="str">
        <f>"1552374999243121"</f>
        <v>1552374999243121</v>
      </c>
      <c r="C5281" t="s">
        <v>40</v>
      </c>
      <c r="D5281">
        <v>4.8036180000000002</v>
      </c>
      <c r="E5281">
        <v>0.62097159999999996</v>
      </c>
      <c r="F5281" t="s">
        <v>42</v>
      </c>
      <c r="G5281">
        <v>-310.29669999999999</v>
      </c>
      <c r="H5281">
        <v>-0.05</v>
      </c>
      <c r="I5281">
        <v>9.7080690000000001</v>
      </c>
      <c r="J5281">
        <v>-314.7534</v>
      </c>
      <c r="K5281">
        <v>1.064019</v>
      </c>
      <c r="L5281">
        <v>14.613490000000001</v>
      </c>
      <c r="M5281">
        <v>0.97330090000000002</v>
      </c>
      <c r="N5281">
        <v>0</v>
      </c>
      <c r="O5281">
        <v>-0.22898080000000001</v>
      </c>
      <c r="P5281">
        <v>0.86889249999999996</v>
      </c>
      <c r="Q5281">
        <v>6.6765690000000003E-2</v>
      </c>
      <c r="R5281">
        <v>-0.49047770000000002</v>
      </c>
      <c r="S5281">
        <v>2.1741329999999999</v>
      </c>
      <c r="T5281">
        <v>-0.5296149</v>
      </c>
      <c r="U5281">
        <v>-2.3451230000000001</v>
      </c>
      <c r="V5281">
        <v>0.27911609999999998</v>
      </c>
      <c r="W5281">
        <v>7.9738589999999998E-2</v>
      </c>
      <c r="X5281">
        <v>0.95694089999999998</v>
      </c>
      <c r="Y5281">
        <v>0.55392299999999906</v>
      </c>
      <c r="Z5281">
        <v>-1.0740080000000001E-2</v>
      </c>
      <c r="AA5281">
        <v>0.83249869999999904</v>
      </c>
      <c r="AB5281">
        <v>24</v>
      </c>
      <c r="AC5281">
        <v>4.4567000000000103</v>
      </c>
      <c r="AD5281">
        <v>-1.1140190000000001</v>
      </c>
      <c r="AE5281">
        <v>-4.9054209999999898</v>
      </c>
      <c r="AF5281">
        <v>3.6512666274491599</v>
      </c>
      <c r="AG5281">
        <v>-1.1140190000000001</v>
      </c>
      <c r="AH5281">
        <v>5.3115787348641801</v>
      </c>
      <c r="AI5281">
        <v>99.805920133337693</v>
      </c>
      <c r="AJ5281">
        <v>55.494727553264198</v>
      </c>
      <c r="AK5281">
        <v>6.5410744510169199</v>
      </c>
      <c r="AL5281">
        <v>85.426459786546502</v>
      </c>
      <c r="AM5281">
        <v>73.739335231331694</v>
      </c>
      <c r="AN5281">
        <v>0.99999996305360295</v>
      </c>
    </row>
    <row r="5282" spans="1:40" x14ac:dyDescent="0.25">
      <c r="A5282" t="str">
        <f>"20190312151639259"</f>
        <v>20190312151639259</v>
      </c>
      <c r="B5282" t="str">
        <f>"1552374999252885"</f>
        <v>1552374999252885</v>
      </c>
      <c r="C5282" t="s">
        <v>40</v>
      </c>
      <c r="D5282">
        <v>4.6905619999999999</v>
      </c>
      <c r="E5282">
        <v>0.62097400000000003</v>
      </c>
      <c r="F5282" t="s">
        <v>42</v>
      </c>
      <c r="G5282">
        <v>-310.22359999999998</v>
      </c>
      <c r="H5282">
        <v>-0.05</v>
      </c>
      <c r="I5282">
        <v>9.6896059999999995</v>
      </c>
      <c r="J5282">
        <v>-314.63490000000002</v>
      </c>
      <c r="K5282">
        <v>1.063418</v>
      </c>
      <c r="L5282">
        <v>14.58301</v>
      </c>
      <c r="M5282">
        <v>0.97276450000000003</v>
      </c>
      <c r="N5282">
        <v>0</v>
      </c>
      <c r="O5282">
        <v>-0.231267</v>
      </c>
      <c r="P5282">
        <v>0.86695650000000002</v>
      </c>
      <c r="Q5282">
        <v>6.6600709999999994E-2</v>
      </c>
      <c r="R5282">
        <v>-0.49391410000000002</v>
      </c>
      <c r="S5282">
        <v>2.1650999999999998</v>
      </c>
      <c r="T5282">
        <v>-0.5324641</v>
      </c>
      <c r="U5282">
        <v>-2.3534549999999999</v>
      </c>
      <c r="V5282">
        <v>0.28065519999999999</v>
      </c>
      <c r="W5282">
        <v>7.9287040000000003E-2</v>
      </c>
      <c r="X5282">
        <v>0.95652820000000005</v>
      </c>
      <c r="Y5282">
        <v>0.55513310000000005</v>
      </c>
      <c r="Z5282">
        <v>-1.0519590000000001E-2</v>
      </c>
      <c r="AA5282">
        <v>0.83169499999999996</v>
      </c>
      <c r="AB5282">
        <v>24</v>
      </c>
      <c r="AC5282">
        <v>4.4113000000000397</v>
      </c>
      <c r="AD5282">
        <v>-1.113418</v>
      </c>
      <c r="AE5282">
        <v>-4.8934040000000003</v>
      </c>
      <c r="AF5282">
        <v>3.6365354838827399</v>
      </c>
      <c r="AG5282">
        <v>-1.113418</v>
      </c>
      <c r="AH5282">
        <v>5.2729021769005202</v>
      </c>
      <c r="AI5282">
        <v>99.861053377032604</v>
      </c>
      <c r="AJ5282">
        <v>55.407334115484097</v>
      </c>
      <c r="AK5282">
        <v>6.5013527311955999</v>
      </c>
      <c r="AL5282">
        <v>85.452413979406501</v>
      </c>
      <c r="AM5282">
        <v>73.647769494505894</v>
      </c>
      <c r="AN5282">
        <v>0.99999998669711998</v>
      </c>
    </row>
    <row r="5283" spans="1:40" x14ac:dyDescent="0.25">
      <c r="A5283" t="str">
        <f>"20190312151639269"</f>
        <v>20190312151639269</v>
      </c>
      <c r="B5283" t="str">
        <f>"1552374999262640"</f>
        <v>1552374999262640</v>
      </c>
      <c r="C5283" t="s">
        <v>40</v>
      </c>
      <c r="D5283">
        <v>4.747261</v>
      </c>
      <c r="E5283">
        <v>0.621399699999999</v>
      </c>
      <c r="F5283" t="s">
        <v>42</v>
      </c>
      <c r="G5283">
        <v>-310.1361</v>
      </c>
      <c r="H5283">
        <v>-0.05</v>
      </c>
      <c r="I5283">
        <v>9.6547090000000004</v>
      </c>
      <c r="J5283">
        <v>-314.52030000000002</v>
      </c>
      <c r="K5283">
        <v>1.0628580000000001</v>
      </c>
      <c r="L5283">
        <v>14.553280000000001</v>
      </c>
      <c r="M5283">
        <v>0.97223380000000004</v>
      </c>
      <c r="N5283">
        <v>0</v>
      </c>
      <c r="O5283">
        <v>-0.2335045</v>
      </c>
      <c r="P5283">
        <v>0.86493779999999998</v>
      </c>
      <c r="Q5283">
        <v>6.6297629999999996E-2</v>
      </c>
      <c r="R5283">
        <v>-0.4974807</v>
      </c>
      <c r="S5283">
        <v>2.1558839999999999</v>
      </c>
      <c r="T5283">
        <v>-0.53356890000000001</v>
      </c>
      <c r="U5283">
        <v>-2.3617249999999999</v>
      </c>
      <c r="V5283">
        <v>0.28239059999999999</v>
      </c>
      <c r="W5283">
        <v>7.8711840000000005E-2</v>
      </c>
      <c r="X5283">
        <v>0.9560649</v>
      </c>
      <c r="Y5283">
        <v>0.55643219999999904</v>
      </c>
      <c r="Z5283">
        <v>-1.0281230000000001E-2</v>
      </c>
      <c r="AA5283">
        <v>0.83082939999999905</v>
      </c>
      <c r="AB5283">
        <v>24</v>
      </c>
      <c r="AC5283">
        <v>4.3842000000000203</v>
      </c>
      <c r="AD5283">
        <v>-1.1128579999999999</v>
      </c>
      <c r="AE5283">
        <v>-4.8985709999999898</v>
      </c>
      <c r="AF5283">
        <v>3.6350999997373998</v>
      </c>
      <c r="AG5283">
        <v>-1.1128579999999999</v>
      </c>
      <c r="AH5283">
        <v>5.25631920115468</v>
      </c>
      <c r="AI5283">
        <v>99.878054348296601</v>
      </c>
      <c r="AJ5283">
        <v>55.333522020232401</v>
      </c>
      <c r="AK5283">
        <v>6.4870098258505999</v>
      </c>
      <c r="AL5283">
        <v>85.485474117224996</v>
      </c>
      <c r="AM5283">
        <v>73.544566677292494</v>
      </c>
      <c r="AN5283">
        <v>1.0000000488682701</v>
      </c>
    </row>
    <row r="5284" spans="1:40" x14ac:dyDescent="0.25">
      <c r="A5284" t="str">
        <f>"20190312151639280"</f>
        <v>20190312151639280</v>
      </c>
      <c r="B5284" t="str">
        <f>"1552374999273377"</f>
        <v>1552374999273377</v>
      </c>
      <c r="C5284" t="s">
        <v>40</v>
      </c>
      <c r="D5284">
        <v>4.6872249999999998</v>
      </c>
      <c r="E5284">
        <v>0.621399699999999</v>
      </c>
      <c r="F5284" t="s">
        <v>42</v>
      </c>
      <c r="G5284">
        <v>-310.05189999999999</v>
      </c>
      <c r="H5284">
        <v>-0.05</v>
      </c>
      <c r="I5284">
        <v>9.6063390000000002</v>
      </c>
      <c r="J5284">
        <v>-314.41379999999998</v>
      </c>
      <c r="K5284">
        <v>1.0623769999999999</v>
      </c>
      <c r="L5284">
        <v>14.5253</v>
      </c>
      <c r="M5284">
        <v>0.97172440000000004</v>
      </c>
      <c r="N5284">
        <v>0</v>
      </c>
      <c r="O5284">
        <v>-0.2356298</v>
      </c>
      <c r="P5284">
        <v>0.86295829999999996</v>
      </c>
      <c r="Q5284">
        <v>6.663086E-2</v>
      </c>
      <c r="R5284">
        <v>-0.5008629</v>
      </c>
      <c r="S5284">
        <v>2.1440730000000001</v>
      </c>
      <c r="T5284">
        <v>-0.53398659999999998</v>
      </c>
      <c r="U5284">
        <v>-2.3737180000000002</v>
      </c>
      <c r="V5284">
        <v>0.2840568</v>
      </c>
      <c r="W5284">
        <v>7.8801220000000005E-2</v>
      </c>
      <c r="X5284">
        <v>0.95556379999999996</v>
      </c>
      <c r="Y5284">
        <v>0.55896459999999903</v>
      </c>
      <c r="Z5284">
        <v>-1.0176660000000001E-2</v>
      </c>
      <c r="AA5284">
        <v>0.82912909999999995</v>
      </c>
      <c r="AB5284">
        <v>24</v>
      </c>
      <c r="AC5284">
        <v>4.3618999999999897</v>
      </c>
      <c r="AD5284">
        <v>-1.1123769999999999</v>
      </c>
      <c r="AE5284">
        <v>-4.9189610000000004</v>
      </c>
      <c r="AF5284">
        <v>3.64807470993042</v>
      </c>
      <c r="AG5284">
        <v>-1.1123769999999999</v>
      </c>
      <c r="AH5284">
        <v>5.2479987578510201</v>
      </c>
      <c r="AI5284">
        <v>99.873028089974895</v>
      </c>
      <c r="AJ5284">
        <v>55.195431963139598</v>
      </c>
      <c r="AK5284">
        <v>6.4874742883320096</v>
      </c>
      <c r="AL5284">
        <v>85.480337010129603</v>
      </c>
      <c r="AM5284">
        <v>73.444566774608802</v>
      </c>
      <c r="AN5284">
        <v>1.0000000368850801</v>
      </c>
    </row>
    <row r="5285" spans="1:40" x14ac:dyDescent="0.25">
      <c r="A5285" t="str">
        <f>"20190312151639290"</f>
        <v>20190312151639290</v>
      </c>
      <c r="B5285" t="str">
        <f>"1552374999283137"</f>
        <v>1552374999283137</v>
      </c>
      <c r="C5285" t="s">
        <v>40</v>
      </c>
      <c r="D5285">
        <v>4.6338400000000002</v>
      </c>
      <c r="E5285">
        <v>0.64678619999999898</v>
      </c>
      <c r="F5285" t="s">
        <v>42</v>
      </c>
      <c r="G5285">
        <v>-309.96039999999999</v>
      </c>
      <c r="H5285">
        <v>-0.05</v>
      </c>
      <c r="I5285">
        <v>9.5579219999999996</v>
      </c>
      <c r="J5285">
        <v>-314.29790000000003</v>
      </c>
      <c r="K5285">
        <v>1.0618749999999999</v>
      </c>
      <c r="L5285">
        <v>14.49466</v>
      </c>
      <c r="M5285">
        <v>0.97115989999999996</v>
      </c>
      <c r="N5285">
        <v>0</v>
      </c>
      <c r="O5285">
        <v>-0.2379598</v>
      </c>
      <c r="P5285">
        <v>0.86080709999999905</v>
      </c>
      <c r="Q5285">
        <v>6.6394809999999999E-2</v>
      </c>
      <c r="R5285">
        <v>-0.50458199999999997</v>
      </c>
      <c r="S5285">
        <v>2.1352229999999999</v>
      </c>
      <c r="T5285">
        <v>-0.53333809999999904</v>
      </c>
      <c r="U5285">
        <v>-2.381653</v>
      </c>
      <c r="V5285">
        <v>0.28588839999999999</v>
      </c>
      <c r="W5285">
        <v>7.8304449999999998E-2</v>
      </c>
      <c r="X5285">
        <v>0.95505819999999997</v>
      </c>
      <c r="Y5285">
        <v>0.56008159999999996</v>
      </c>
      <c r="Z5285">
        <v>-9.8681559999999995E-3</v>
      </c>
      <c r="AA5285">
        <v>0.82837870000000002</v>
      </c>
      <c r="AB5285">
        <v>24</v>
      </c>
      <c r="AC5285">
        <v>4.3375000000000297</v>
      </c>
      <c r="AD5285">
        <v>-1.1118749999999999</v>
      </c>
      <c r="AE5285">
        <v>-4.9367380000000001</v>
      </c>
      <c r="AF5285">
        <v>3.6579167543616</v>
      </c>
      <c r="AG5285">
        <v>-1.1118749999999999</v>
      </c>
      <c r="AH5285">
        <v>5.2378106903853396</v>
      </c>
      <c r="AI5285">
        <v>99.872798367993695</v>
      </c>
      <c r="AJ5285">
        <v>55.070803389754602</v>
      </c>
      <c r="AK5285">
        <v>6.4846959701885201</v>
      </c>
      <c r="AL5285">
        <v>85.508887733313202</v>
      </c>
      <c r="AM5285">
        <v>73.335384534884895</v>
      </c>
      <c r="AN5285">
        <v>0.9999999647658</v>
      </c>
    </row>
    <row r="5286" spans="1:40" x14ac:dyDescent="0.25">
      <c r="A5286" t="str">
        <f>"20190312151639300"</f>
        <v>20190312151639300</v>
      </c>
      <c r="B5286" t="str">
        <f>"1552374999292896"</f>
        <v>1552374999292896</v>
      </c>
      <c r="C5286" t="s">
        <v>40</v>
      </c>
      <c r="D5286">
        <v>4.6469659999999999</v>
      </c>
      <c r="E5286">
        <v>0.6477984</v>
      </c>
      <c r="F5286" t="s">
        <v>42</v>
      </c>
      <c r="G5286">
        <v>-309.66649999999998</v>
      </c>
      <c r="H5286">
        <v>-0.05</v>
      </c>
      <c r="I5286">
        <v>8.6182560000000006</v>
      </c>
      <c r="J5286">
        <v>-314.19299999999998</v>
      </c>
      <c r="K5286">
        <v>1.061453</v>
      </c>
      <c r="L5286">
        <v>14.46646</v>
      </c>
      <c r="M5286">
        <v>0.97062959999999998</v>
      </c>
      <c r="N5286">
        <v>0</v>
      </c>
      <c r="O5286">
        <v>-0.24012549999999999</v>
      </c>
      <c r="P5286">
        <v>0.85872349999999997</v>
      </c>
      <c r="Q5286">
        <v>6.6209030000000002E-2</v>
      </c>
      <c r="R5286">
        <v>-0.5081447</v>
      </c>
      <c r="S5286">
        <v>2.0200809999999998</v>
      </c>
      <c r="T5286">
        <v>-0.48496099999999998</v>
      </c>
      <c r="U5286">
        <v>-2.5630799999999998</v>
      </c>
      <c r="V5286">
        <v>0.28771819999999998</v>
      </c>
      <c r="W5286">
        <v>7.7891360000000007E-2</v>
      </c>
      <c r="X5286">
        <v>0.95454240000000001</v>
      </c>
      <c r="Y5286">
        <v>0.60991309999999999</v>
      </c>
      <c r="Z5286">
        <v>-1.3339989999999999E-2</v>
      </c>
      <c r="AA5286">
        <v>0.79235599999999995</v>
      </c>
      <c r="AB5286">
        <v>24</v>
      </c>
      <c r="AC5286">
        <v>4.5264999999999898</v>
      </c>
      <c r="AD5286">
        <v>-1.111453</v>
      </c>
      <c r="AE5286">
        <v>-5.848204</v>
      </c>
      <c r="AF5286">
        <v>4.4886250349125802</v>
      </c>
      <c r="AG5286">
        <v>-1.111453</v>
      </c>
      <c r="AH5286">
        <v>5.6704090951737998</v>
      </c>
      <c r="AI5286">
        <v>98.737209522467694</v>
      </c>
      <c r="AJ5286">
        <v>51.635302608731898</v>
      </c>
      <c r="AK5286">
        <v>7.3168724043735196</v>
      </c>
      <c r="AL5286">
        <v>85.532628762051601</v>
      </c>
      <c r="AM5286">
        <v>73.226141121398598</v>
      </c>
      <c r="AN5286">
        <v>1.0000000099858199</v>
      </c>
    </row>
    <row r="5287" spans="1:40" x14ac:dyDescent="0.25">
      <c r="A5287" t="str">
        <f>"20190312151639311"</f>
        <v>20190312151639311</v>
      </c>
      <c r="B5287" t="str">
        <f>"1552374999302656"</f>
        <v>1552374999302656</v>
      </c>
      <c r="C5287" t="s">
        <v>40</v>
      </c>
      <c r="D5287">
        <v>4.6538279999999999</v>
      </c>
      <c r="E5287">
        <v>0.64686519999999903</v>
      </c>
      <c r="F5287" t="s">
        <v>42</v>
      </c>
      <c r="G5287">
        <v>-309.5557</v>
      </c>
      <c r="H5287">
        <v>-0.05</v>
      </c>
      <c r="I5287">
        <v>8.5040279999999999</v>
      </c>
      <c r="J5287">
        <v>-314.07810000000001</v>
      </c>
      <c r="K5287">
        <v>1.0609980000000001</v>
      </c>
      <c r="L5287">
        <v>14.435460000000001</v>
      </c>
      <c r="M5287">
        <v>0.97003890000000004</v>
      </c>
      <c r="N5287">
        <v>0</v>
      </c>
      <c r="O5287">
        <v>-0.24251220000000001</v>
      </c>
      <c r="P5287">
        <v>0.85669119999999999</v>
      </c>
      <c r="Q5287">
        <v>6.6089090000000003E-2</v>
      </c>
      <c r="R5287">
        <v>-0.51157859999999999</v>
      </c>
      <c r="S5287">
        <v>2.0050659999999998</v>
      </c>
      <c r="T5287">
        <v>-0.4805683</v>
      </c>
      <c r="U5287">
        <v>-2.578033</v>
      </c>
      <c r="V5287">
        <v>0.28919719999999999</v>
      </c>
      <c r="W5287">
        <v>7.7531959999999997E-2</v>
      </c>
      <c r="X5287">
        <v>0.95412459999999999</v>
      </c>
      <c r="Y5287">
        <v>0.61312500000000003</v>
      </c>
      <c r="Z5287">
        <v>-1.3153110000000001E-2</v>
      </c>
      <c r="AA5287">
        <v>0.78987640000000003</v>
      </c>
      <c r="AB5287">
        <v>24</v>
      </c>
      <c r="AC5287">
        <v>4.5224000000000002</v>
      </c>
      <c r="AD5287">
        <v>-1.1109979999999999</v>
      </c>
      <c r="AE5287">
        <v>-5.931432</v>
      </c>
      <c r="AF5287">
        <v>4.5563874444297001</v>
      </c>
      <c r="AG5287">
        <v>-1.1109979999999999</v>
      </c>
      <c r="AH5287">
        <v>5.6995155988709199</v>
      </c>
      <c r="AI5287">
        <v>98.657116058866293</v>
      </c>
      <c r="AJ5287">
        <v>51.359965771823703</v>
      </c>
      <c r="AK5287">
        <v>7.3810203333640496</v>
      </c>
      <c r="AL5287">
        <v>85.553283232754893</v>
      </c>
      <c r="AM5287">
        <v>73.137831966484299</v>
      </c>
      <c r="AN5287">
        <v>0.99999998881721996</v>
      </c>
    </row>
    <row r="5288" spans="1:40" x14ac:dyDescent="0.25">
      <c r="A5288" t="str">
        <f>"20190312151639323"</f>
        <v>20190312151639323</v>
      </c>
      <c r="B5288" t="str">
        <f>"1552374999313392"</f>
        <v>1552374999313392</v>
      </c>
      <c r="C5288" t="s">
        <v>40</v>
      </c>
      <c r="D5288">
        <v>4.656371</v>
      </c>
      <c r="E5288">
        <v>0.64643450000000002</v>
      </c>
      <c r="F5288" t="s">
        <v>42</v>
      </c>
      <c r="G5288">
        <v>-309.39710000000002</v>
      </c>
      <c r="H5288">
        <v>-0.05</v>
      </c>
      <c r="I5288">
        <v>8.3912809999999993</v>
      </c>
      <c r="J5288">
        <v>-313.95729999999998</v>
      </c>
      <c r="K5288">
        <v>1.060562</v>
      </c>
      <c r="L5288">
        <v>14.402279999999999</v>
      </c>
      <c r="M5288">
        <v>0.96939070000000005</v>
      </c>
      <c r="N5288">
        <v>0</v>
      </c>
      <c r="O5288">
        <v>-0.2451015</v>
      </c>
      <c r="P5288">
        <v>0.854495</v>
      </c>
      <c r="Q5288">
        <v>6.5681610000000001E-2</v>
      </c>
      <c r="R5288">
        <v>-0.5152909</v>
      </c>
      <c r="S5288">
        <v>1.9978940000000001</v>
      </c>
      <c r="T5288">
        <v>-0.47418399999999999</v>
      </c>
      <c r="U5288">
        <v>-2.5797119999999998</v>
      </c>
      <c r="V5288">
        <v>0.29078920000000003</v>
      </c>
      <c r="W5288">
        <v>7.6885389999999998E-2</v>
      </c>
      <c r="X5288">
        <v>0.95369300000000001</v>
      </c>
      <c r="Y5288">
        <v>0.61276109999999995</v>
      </c>
      <c r="Z5288">
        <v>-1.254863E-2</v>
      </c>
      <c r="AA5288">
        <v>0.7901686</v>
      </c>
      <c r="AB5288">
        <v>24</v>
      </c>
      <c r="AC5288">
        <v>4.5601999999999503</v>
      </c>
      <c r="AD5288">
        <v>-1.110562</v>
      </c>
      <c r="AE5288">
        <v>-6.010999</v>
      </c>
      <c r="AF5288">
        <v>4.6099072897527398</v>
      </c>
      <c r="AG5288">
        <v>-1.110562</v>
      </c>
      <c r="AH5288">
        <v>5.7695320134140999</v>
      </c>
      <c r="AI5288">
        <v>98.552060806446804</v>
      </c>
      <c r="AJ5288">
        <v>51.374834841698103</v>
      </c>
      <c r="AK5288">
        <v>7.4680715603005403</v>
      </c>
      <c r="AL5288">
        <v>85.590440062835199</v>
      </c>
      <c r="AM5288">
        <v>73.043085234606906</v>
      </c>
      <c r="AN5288">
        <v>1.0000000301405401</v>
      </c>
    </row>
    <row r="5289" spans="1:40" x14ac:dyDescent="0.25">
      <c r="A5289" t="str">
        <f>"20190312151639334"</f>
        <v>20190312151639334</v>
      </c>
      <c r="B5289" t="str">
        <f>"1552374999323153"</f>
        <v>1552374999323153</v>
      </c>
      <c r="C5289" t="s">
        <v>40</v>
      </c>
      <c r="D5289">
        <v>4.6936169999999997</v>
      </c>
      <c r="E5289">
        <v>0.64604289999999998</v>
      </c>
      <c r="F5289" t="s">
        <v>42</v>
      </c>
      <c r="G5289">
        <v>-309.27370000000002</v>
      </c>
      <c r="H5289">
        <v>-0.05</v>
      </c>
      <c r="I5289">
        <v>8.3116760000000003</v>
      </c>
      <c r="J5289">
        <v>-313.8331</v>
      </c>
      <c r="K5289">
        <v>1.0601240000000001</v>
      </c>
      <c r="L5289">
        <v>14.36795</v>
      </c>
      <c r="M5289">
        <v>0.96870959999999995</v>
      </c>
      <c r="N5289">
        <v>0</v>
      </c>
      <c r="O5289">
        <v>-0.24779000000000001</v>
      </c>
      <c r="P5289">
        <v>0.85220379999999996</v>
      </c>
      <c r="Q5289">
        <v>6.5422949999999994E-2</v>
      </c>
      <c r="R5289">
        <v>-0.5191036</v>
      </c>
      <c r="S5289">
        <v>1.9880370000000001</v>
      </c>
      <c r="T5289">
        <v>-0.47139779999999998</v>
      </c>
      <c r="U5289">
        <v>-2.5852659999999998</v>
      </c>
      <c r="V5289">
        <v>0.29240890000000003</v>
      </c>
      <c r="W5289">
        <v>7.6384279999999999E-2</v>
      </c>
      <c r="X5289">
        <v>0.95323789999999997</v>
      </c>
      <c r="Y5289">
        <v>0.61334149999999998</v>
      </c>
      <c r="Z5289">
        <v>-1.211808E-2</v>
      </c>
      <c r="AA5289">
        <v>0.78972489999999995</v>
      </c>
      <c r="AB5289">
        <v>24</v>
      </c>
      <c r="AC5289">
        <v>4.5593999999999797</v>
      </c>
      <c r="AD5289">
        <v>-1.1101239999999899</v>
      </c>
      <c r="AE5289">
        <v>-6.0562740000000002</v>
      </c>
      <c r="AF5289">
        <v>4.6380125998448403</v>
      </c>
      <c r="AG5289">
        <v>-1.1101239999999899</v>
      </c>
      <c r="AH5289">
        <v>5.7937681188855503</v>
      </c>
      <c r="AI5289">
        <v>98.507331666298001</v>
      </c>
      <c r="AJ5289">
        <v>51.322117722186398</v>
      </c>
      <c r="AK5289">
        <v>7.5040845668948899</v>
      </c>
      <c r="AL5289">
        <v>85.619236138417406</v>
      </c>
      <c r="AM5289">
        <v>72.946430532044602</v>
      </c>
      <c r="AN5289">
        <v>1.00000000851336</v>
      </c>
    </row>
    <row r="5290" spans="1:40" x14ac:dyDescent="0.25">
      <c r="A5290" t="str">
        <f>"20190312151639345"</f>
        <v>20190312151639345</v>
      </c>
      <c r="B5290" t="str">
        <f>"1552374999342672"</f>
        <v>1552374999342672</v>
      </c>
      <c r="C5290" t="s">
        <v>40</v>
      </c>
      <c r="D5290">
        <v>4.6677169999999997</v>
      </c>
      <c r="E5290">
        <v>0.64530959999999904</v>
      </c>
      <c r="F5290" t="s">
        <v>42</v>
      </c>
      <c r="G5290">
        <v>-309.15190000000001</v>
      </c>
      <c r="H5290">
        <v>-0.05</v>
      </c>
      <c r="I5290">
        <v>8.2350309999999993</v>
      </c>
      <c r="J5290">
        <v>-313.71480000000003</v>
      </c>
      <c r="K5290">
        <v>1.0597399999999999</v>
      </c>
      <c r="L5290">
        <v>14.33466</v>
      </c>
      <c r="M5290">
        <v>0.96803349999999999</v>
      </c>
      <c r="N5290">
        <v>0</v>
      </c>
      <c r="O5290">
        <v>-0.25042809999999999</v>
      </c>
      <c r="P5290">
        <v>0.84997800000000001</v>
      </c>
      <c r="Q5290">
        <v>6.5172560000000004E-2</v>
      </c>
      <c r="R5290">
        <v>-0.52277149999999994</v>
      </c>
      <c r="S5290">
        <v>1.977875</v>
      </c>
      <c r="T5290">
        <v>-0.46904370000000001</v>
      </c>
      <c r="U5290">
        <v>-2.5912480000000002</v>
      </c>
      <c r="V5290">
        <v>0.29392570000000001</v>
      </c>
      <c r="W5290">
        <v>7.5915960000000005E-2</v>
      </c>
      <c r="X5290">
        <v>0.95280869999999995</v>
      </c>
      <c r="Y5290">
        <v>0.61407609999999901</v>
      </c>
      <c r="Z5290">
        <v>-1.172402E-2</v>
      </c>
      <c r="AA5290">
        <v>0.78915970000000002</v>
      </c>
      <c r="AB5290">
        <v>24</v>
      </c>
      <c r="AC5290">
        <v>4.5629000000000097</v>
      </c>
      <c r="AD5290">
        <v>-1.1097399999999999</v>
      </c>
      <c r="AE5290">
        <v>-6.0996290000000002</v>
      </c>
      <c r="AF5290">
        <v>4.6634593614907898</v>
      </c>
      <c r="AG5290">
        <v>-1.1097399999999999</v>
      </c>
      <c r="AH5290">
        <v>5.8215876414731103</v>
      </c>
      <c r="AI5290">
        <v>98.462161407025704</v>
      </c>
      <c r="AJ5290">
        <v>51.303068151552402</v>
      </c>
      <c r="AK5290">
        <v>7.5412372162151602</v>
      </c>
      <c r="AL5290">
        <v>85.646146932380503</v>
      </c>
      <c r="AM5290">
        <v>72.855872306829397</v>
      </c>
      <c r="AN5290">
        <v>0.99999998444945004</v>
      </c>
    </row>
    <row r="5291" spans="1:40" x14ac:dyDescent="0.25">
      <c r="A5291" t="str">
        <f>"20190312151639356"</f>
        <v>20190312151639356</v>
      </c>
      <c r="B5291" t="str">
        <f>"1552374999353409"</f>
        <v>1552374999353409</v>
      </c>
      <c r="C5291" t="s">
        <v>40</v>
      </c>
      <c r="D5291">
        <v>4.6807990000000004</v>
      </c>
      <c r="E5291">
        <v>0.64495559999999996</v>
      </c>
      <c r="F5291" t="s">
        <v>42</v>
      </c>
      <c r="G5291">
        <v>-309.09519999999998</v>
      </c>
      <c r="H5291">
        <v>-0.05</v>
      </c>
      <c r="I5291">
        <v>8.2478789999999993</v>
      </c>
      <c r="J5291">
        <v>-313.60590000000002</v>
      </c>
      <c r="K5291">
        <v>1.0593969999999999</v>
      </c>
      <c r="L5291">
        <v>14.30383</v>
      </c>
      <c r="M5291">
        <v>0.96739699999999995</v>
      </c>
      <c r="N5291">
        <v>0</v>
      </c>
      <c r="O5291">
        <v>-0.25288300000000002</v>
      </c>
      <c r="P5291">
        <v>0.84775789999999995</v>
      </c>
      <c r="Q5291">
        <v>6.4976359999999997E-2</v>
      </c>
      <c r="R5291">
        <v>-0.52638799999999997</v>
      </c>
      <c r="S5291">
        <v>1.969635</v>
      </c>
      <c r="T5291">
        <v>-0.47315940000000001</v>
      </c>
      <c r="U5291">
        <v>-2.595215</v>
      </c>
      <c r="V5291">
        <v>0.2955738</v>
      </c>
      <c r="W5291">
        <v>7.552085E-2</v>
      </c>
      <c r="X5291">
        <v>0.95233020000000002</v>
      </c>
      <c r="Y5291">
        <v>0.61420240000000004</v>
      </c>
      <c r="Z5291">
        <v>-1.1458289999999999E-2</v>
      </c>
      <c r="AA5291">
        <v>0.78906540000000003</v>
      </c>
      <c r="AB5291">
        <v>24</v>
      </c>
      <c r="AC5291">
        <v>4.5107000000000399</v>
      </c>
      <c r="AD5291">
        <v>-1.109397</v>
      </c>
      <c r="AE5291">
        <v>-6.0559510000000003</v>
      </c>
      <c r="AF5291">
        <v>4.6185958631366297</v>
      </c>
      <c r="AG5291">
        <v>-1.109397</v>
      </c>
      <c r="AH5291">
        <v>5.7710890011453904</v>
      </c>
      <c r="AI5291">
        <v>98.535658040185396</v>
      </c>
      <c r="AJ5291">
        <v>51.329752677310303</v>
      </c>
      <c r="AK5291">
        <v>7.4744670518862497</v>
      </c>
      <c r="AL5291">
        <v>85.668850484826606</v>
      </c>
      <c r="AM5291">
        <v>72.757275760982097</v>
      </c>
      <c r="AN5291">
        <v>1.0000000399316</v>
      </c>
    </row>
    <row r="5292" spans="1:40" x14ac:dyDescent="0.25">
      <c r="A5292" t="str">
        <f>"20190312151639369"</f>
        <v>20190312151639369</v>
      </c>
      <c r="B5292" t="str">
        <f>"1552374999363169"</f>
        <v>1552374999363169</v>
      </c>
      <c r="C5292" t="s">
        <v>40</v>
      </c>
      <c r="D5292">
        <v>4.7316549999999999</v>
      </c>
      <c r="E5292">
        <v>0.64455319999999905</v>
      </c>
      <c r="F5292" t="s">
        <v>42</v>
      </c>
      <c r="G5292">
        <v>-309.01780000000002</v>
      </c>
      <c r="H5292">
        <v>-0.05</v>
      </c>
      <c r="I5292">
        <v>8.2166750000000004</v>
      </c>
      <c r="J5292">
        <v>-313.46980000000002</v>
      </c>
      <c r="K5292">
        <v>1.0590010000000001</v>
      </c>
      <c r="L5292">
        <v>14.264679999999901</v>
      </c>
      <c r="M5292">
        <v>0.96657230000000005</v>
      </c>
      <c r="N5292">
        <v>0</v>
      </c>
      <c r="O5292">
        <v>-0.2560267</v>
      </c>
      <c r="P5292">
        <v>0.84531149999999999</v>
      </c>
      <c r="Q5292">
        <v>6.469946E-2</v>
      </c>
      <c r="R5292">
        <v>-0.53034230000000004</v>
      </c>
      <c r="S5292">
        <v>1.960205</v>
      </c>
      <c r="T5292">
        <v>-0.47397860000000003</v>
      </c>
      <c r="U5292">
        <v>-2.6006770000000001</v>
      </c>
      <c r="V5292">
        <v>0.29693259999999899</v>
      </c>
      <c r="W5292">
        <v>7.5016360000000004E-2</v>
      </c>
      <c r="X5292">
        <v>0.95194730000000005</v>
      </c>
      <c r="Y5292">
        <v>0.61427500000000002</v>
      </c>
      <c r="Z5292">
        <v>-1.099288E-2</v>
      </c>
      <c r="AA5292">
        <v>0.78901549999999998</v>
      </c>
      <c r="AB5292">
        <v>24</v>
      </c>
      <c r="AC5292">
        <v>4.4519999999999902</v>
      </c>
      <c r="AD5292">
        <v>-1.1090009999999999</v>
      </c>
      <c r="AE5292">
        <v>-6.0480049999999901</v>
      </c>
      <c r="AF5292">
        <v>4.6060034990367296</v>
      </c>
      <c r="AG5292">
        <v>-1.1090009999999999</v>
      </c>
      <c r="AH5292">
        <v>5.7272870127650704</v>
      </c>
      <c r="AI5292">
        <v>98.580745224513606</v>
      </c>
      <c r="AJ5292">
        <v>51.193034336006299</v>
      </c>
      <c r="AK5292">
        <v>7.43283041497161</v>
      </c>
      <c r="AL5292">
        <v>85.697837871891096</v>
      </c>
      <c r="AM5292">
        <v>72.676189647336798</v>
      </c>
      <c r="AN5292">
        <v>1.00000004259384</v>
      </c>
    </row>
    <row r="5293" spans="1:40" x14ac:dyDescent="0.25">
      <c r="A5293" t="str">
        <f>"20190312151639379"</f>
        <v>20190312151639379</v>
      </c>
      <c r="B5293" t="str">
        <f>"1552374999372928"</f>
        <v>1552374999372928</v>
      </c>
      <c r="C5293" t="s">
        <v>40</v>
      </c>
      <c r="D5293">
        <v>4.8324930000000004</v>
      </c>
      <c r="E5293">
        <v>0.64384059999999999</v>
      </c>
      <c r="F5293" t="s">
        <v>42</v>
      </c>
      <c r="G5293">
        <v>-308.94600000000003</v>
      </c>
      <c r="H5293">
        <v>-0.05</v>
      </c>
      <c r="I5293">
        <v>8.2159879999999994</v>
      </c>
      <c r="J5293">
        <v>-313.36250000000001</v>
      </c>
      <c r="K5293">
        <v>1.0587040000000001</v>
      </c>
      <c r="L5293">
        <v>14.2334</v>
      </c>
      <c r="M5293">
        <v>0.96589919999999996</v>
      </c>
      <c r="N5293">
        <v>0</v>
      </c>
      <c r="O5293">
        <v>-0.25856040000000002</v>
      </c>
      <c r="P5293">
        <v>0.84325859999999997</v>
      </c>
      <c r="Q5293">
        <v>6.4081929999999995E-2</v>
      </c>
      <c r="R5293">
        <v>-0.53367500000000001</v>
      </c>
      <c r="S5293">
        <v>1.9498599999999999</v>
      </c>
      <c r="T5293">
        <v>-0.47801519999999997</v>
      </c>
      <c r="U5293">
        <v>-2.6071780000000002</v>
      </c>
      <c r="V5293">
        <v>0.29818739999999999</v>
      </c>
      <c r="W5293">
        <v>7.422463E-2</v>
      </c>
      <c r="X5293">
        <v>0.95161700000000005</v>
      </c>
      <c r="Y5293">
        <v>0.61511009999999999</v>
      </c>
      <c r="Z5293">
        <v>-1.076834E-2</v>
      </c>
      <c r="AA5293">
        <v>0.7883677</v>
      </c>
      <c r="AB5293">
        <v>24</v>
      </c>
      <c r="AC5293">
        <v>4.4165000000000401</v>
      </c>
      <c r="AD5293">
        <v>-1.1087039999999999</v>
      </c>
      <c r="AE5293">
        <v>-6.0174119999999904</v>
      </c>
      <c r="AF5293">
        <v>4.5698893798830804</v>
      </c>
      <c r="AG5293">
        <v>-1.1087039999999999</v>
      </c>
      <c r="AH5293">
        <v>5.6966141526496497</v>
      </c>
      <c r="AI5293">
        <v>98.632315711442999</v>
      </c>
      <c r="AJ5293">
        <v>51.263013117394003</v>
      </c>
      <c r="AK5293">
        <v>7.3867805103544599</v>
      </c>
      <c r="AL5293">
        <v>85.743327165203695</v>
      </c>
      <c r="AM5293">
        <v>72.601715530896399</v>
      </c>
      <c r="AN5293">
        <v>0.99999996795319701</v>
      </c>
    </row>
    <row r="5294" spans="1:40" x14ac:dyDescent="0.25">
      <c r="A5294" t="str">
        <f>"20190312151639391"</f>
        <v>20190312151639391</v>
      </c>
      <c r="B5294" t="str">
        <f>"1552374999382689"</f>
        <v>1552374999382689</v>
      </c>
      <c r="C5294" t="s">
        <v>40</v>
      </c>
      <c r="D5294">
        <v>4.8406419999999999</v>
      </c>
      <c r="E5294">
        <v>0.64331749999999999</v>
      </c>
      <c r="F5294" t="s">
        <v>42</v>
      </c>
      <c r="G5294">
        <v>-308.9203</v>
      </c>
      <c r="H5294">
        <v>-0.05</v>
      </c>
      <c r="I5294">
        <v>8.2646479999999993</v>
      </c>
      <c r="J5294">
        <v>-313.23430000000002</v>
      </c>
      <c r="K5294">
        <v>1.0583670000000001</v>
      </c>
      <c r="L5294">
        <v>14.195740000000001</v>
      </c>
      <c r="M5294">
        <v>0.96507469999999995</v>
      </c>
      <c r="N5294">
        <v>0</v>
      </c>
      <c r="O5294">
        <v>-0.26162770000000002</v>
      </c>
      <c r="P5294">
        <v>0.84096870000000001</v>
      </c>
      <c r="Q5294">
        <v>6.3670060000000001E-2</v>
      </c>
      <c r="R5294">
        <v>-0.53732500000000005</v>
      </c>
      <c r="S5294">
        <v>1.942596</v>
      </c>
      <c r="T5294">
        <v>-0.48483619999999999</v>
      </c>
      <c r="U5294">
        <v>-2.6101380000000001</v>
      </c>
      <c r="V5294">
        <v>0.29929050000000001</v>
      </c>
      <c r="W5294">
        <v>7.3614070000000004E-2</v>
      </c>
      <c r="X5294">
        <v>0.95131810000000006</v>
      </c>
      <c r="Y5294">
        <v>0.6143805</v>
      </c>
      <c r="Z5294">
        <v>-1.0355720000000001E-2</v>
      </c>
      <c r="AA5294">
        <v>0.78894189999999997</v>
      </c>
      <c r="AB5294">
        <v>24</v>
      </c>
      <c r="AC5294">
        <v>4.3140000000000196</v>
      </c>
      <c r="AD5294">
        <v>-1.1083670000000001</v>
      </c>
      <c r="AE5294">
        <v>-5.9310919999999996</v>
      </c>
      <c r="AF5294">
        <v>4.4930848165150197</v>
      </c>
      <c r="AG5294">
        <v>-1.1083670000000001</v>
      </c>
      <c r="AH5294">
        <v>5.5879658322490204</v>
      </c>
      <c r="AI5294">
        <v>98.787093992663301</v>
      </c>
      <c r="AJ5294">
        <v>51.198474661908797</v>
      </c>
      <c r="AK5294">
        <v>7.2554566167450396</v>
      </c>
      <c r="AL5294">
        <v>85.778405700284594</v>
      </c>
      <c r="AM5294">
        <v>72.536105312902507</v>
      </c>
      <c r="AN5294">
        <v>0.99999998103991194</v>
      </c>
    </row>
    <row r="5295" spans="1:40" x14ac:dyDescent="0.25">
      <c r="A5295" t="str">
        <f>"20190312151639405"</f>
        <v>20190312151639405</v>
      </c>
      <c r="B5295" t="str">
        <f>"1552374999393425"</f>
        <v>1552374999393425</v>
      </c>
      <c r="C5295" t="s">
        <v>40</v>
      </c>
      <c r="D5295">
        <v>4.8399809999999999</v>
      </c>
      <c r="E5295">
        <v>0.64280119999999996</v>
      </c>
      <c r="F5295" t="s">
        <v>42</v>
      </c>
      <c r="G5295">
        <v>-308.8707</v>
      </c>
      <c r="H5295">
        <v>-0.05</v>
      </c>
      <c r="I5295">
        <v>8.2932279999999992</v>
      </c>
      <c r="J5295">
        <v>-313.10309999999998</v>
      </c>
      <c r="K5295">
        <v>1.0580510000000001</v>
      </c>
      <c r="L5295">
        <v>14.1564</v>
      </c>
      <c r="M5295">
        <v>0.96419049999999995</v>
      </c>
      <c r="N5295">
        <v>0</v>
      </c>
      <c r="O5295">
        <v>-0.26487369999999999</v>
      </c>
      <c r="P5295">
        <v>0.8387696</v>
      </c>
      <c r="Q5295">
        <v>6.3146140000000003E-2</v>
      </c>
      <c r="R5295">
        <v>-0.54081239999999997</v>
      </c>
      <c r="S5295">
        <v>1.9334720000000001</v>
      </c>
      <c r="T5295">
        <v>-0.49110419999999999</v>
      </c>
      <c r="U5295">
        <v>-2.615326</v>
      </c>
      <c r="V5295">
        <v>0.30003879999999999</v>
      </c>
      <c r="W5295">
        <v>7.290597E-2</v>
      </c>
      <c r="X5295">
        <v>0.95113689999999995</v>
      </c>
      <c r="Y5295">
        <v>0.61419440000000003</v>
      </c>
      <c r="Z5295">
        <v>-9.9394949999999996E-3</v>
      </c>
      <c r="AA5295">
        <v>0.78909219999999902</v>
      </c>
      <c r="AB5295">
        <v>24</v>
      </c>
      <c r="AC5295">
        <v>4.2323999999999797</v>
      </c>
      <c r="AD5295">
        <v>-1.1080509999999999</v>
      </c>
      <c r="AE5295">
        <v>-5.8631719999999996</v>
      </c>
      <c r="AF5295">
        <v>4.4285842480890896</v>
      </c>
      <c r="AG5295">
        <v>-1.1080509999999999</v>
      </c>
      <c r="AH5295">
        <v>5.5050829296016701</v>
      </c>
      <c r="AI5295">
        <v>98.913110577173299</v>
      </c>
      <c r="AJ5295">
        <v>51.184933487874503</v>
      </c>
      <c r="AK5295">
        <v>7.1516483081046003</v>
      </c>
      <c r="AL5295">
        <v>85.819086161979499</v>
      </c>
      <c r="AM5295">
        <v>72.491973991645807</v>
      </c>
      <c r="AN5295">
        <v>0.99999998225434505</v>
      </c>
    </row>
    <row r="5296" spans="1:40" x14ac:dyDescent="0.25">
      <c r="A5296" t="str">
        <f>"20190312151639419"</f>
        <v>20190312151639419</v>
      </c>
      <c r="B5296" t="str">
        <f>"1552374999412945"</f>
        <v>1552374999412945</v>
      </c>
      <c r="C5296" t="s">
        <v>40</v>
      </c>
      <c r="D5296">
        <v>4.900417</v>
      </c>
      <c r="E5296">
        <v>0.63509579999999999</v>
      </c>
      <c r="F5296" t="s">
        <v>42</v>
      </c>
      <c r="G5296">
        <v>-308.79880000000003</v>
      </c>
      <c r="H5296">
        <v>-0.05</v>
      </c>
      <c r="I5296">
        <v>8.2958219999999994</v>
      </c>
      <c r="J5296">
        <v>-312.94470000000001</v>
      </c>
      <c r="K5296">
        <v>1.057688</v>
      </c>
      <c r="L5296">
        <v>14.10834</v>
      </c>
      <c r="M5296">
        <v>0.96308550000000004</v>
      </c>
      <c r="N5296">
        <v>0</v>
      </c>
      <c r="O5296">
        <v>-0.26887080000000002</v>
      </c>
      <c r="P5296">
        <v>0.83611209999999903</v>
      </c>
      <c r="Q5296">
        <v>6.2600329999999996E-2</v>
      </c>
      <c r="R5296">
        <v>-0.54497489999999904</v>
      </c>
      <c r="S5296">
        <v>1.9245000000000001</v>
      </c>
      <c r="T5296">
        <v>-0.495417</v>
      </c>
      <c r="U5296">
        <v>-2.6202999999999999</v>
      </c>
      <c r="V5296">
        <v>0.3008228</v>
      </c>
      <c r="W5296">
        <v>7.2145490000000007E-2</v>
      </c>
      <c r="X5296">
        <v>0.95094730000000005</v>
      </c>
      <c r="Y5296">
        <v>0.61337900000000001</v>
      </c>
      <c r="Z5296">
        <v>-9.2814860000000002E-3</v>
      </c>
      <c r="AA5296">
        <v>0.78973419999999905</v>
      </c>
      <c r="AB5296">
        <v>24</v>
      </c>
      <c r="AC5296">
        <v>4.1458999999999797</v>
      </c>
      <c r="AD5296">
        <v>-1.107688</v>
      </c>
      <c r="AE5296">
        <v>-5.8125179999999999</v>
      </c>
      <c r="AF5296">
        <v>4.3782451531277404</v>
      </c>
      <c r="AG5296">
        <v>-1.107688</v>
      </c>
      <c r="AH5296">
        <v>5.4255615231507202</v>
      </c>
      <c r="AI5296">
        <v>99.027786518903895</v>
      </c>
      <c r="AJ5296">
        <v>51.097640630053299</v>
      </c>
      <c r="AK5296">
        <v>7.05922950241201</v>
      </c>
      <c r="AL5296">
        <v>85.862773779729807</v>
      </c>
      <c r="AM5296">
        <v>72.445746453869702</v>
      </c>
      <c r="AN5296">
        <v>1.00000004805223</v>
      </c>
    </row>
    <row r="5297" spans="1:40" x14ac:dyDescent="0.25">
      <c r="A5297" t="str">
        <f>"20190312151639431"</f>
        <v>20190312151639431</v>
      </c>
      <c r="B5297" t="str">
        <f>"1552374999423681"</f>
        <v>1552374999423681</v>
      </c>
      <c r="C5297" t="s">
        <v>40</v>
      </c>
      <c r="D5297">
        <v>4.8753840000000004</v>
      </c>
      <c r="E5297">
        <v>0.63595429999999997</v>
      </c>
      <c r="F5297" t="s">
        <v>42</v>
      </c>
      <c r="G5297">
        <v>-308.95249999999999</v>
      </c>
      <c r="H5297">
        <v>-0.05</v>
      </c>
      <c r="I5297">
        <v>8.8146970000000007</v>
      </c>
      <c r="J5297">
        <v>-312.80309999999997</v>
      </c>
      <c r="K5297">
        <v>1.0573809999999999</v>
      </c>
      <c r="L5297">
        <v>14.064819999999999</v>
      </c>
      <c r="M5297">
        <v>0.96206000000000003</v>
      </c>
      <c r="N5297">
        <v>0</v>
      </c>
      <c r="O5297">
        <v>-0.2725223</v>
      </c>
      <c r="P5297">
        <v>0.83346929999999997</v>
      </c>
      <c r="Q5297">
        <v>6.227531E-2</v>
      </c>
      <c r="R5297">
        <v>-0.54904540000000002</v>
      </c>
      <c r="S5297">
        <v>1.9463200000000001</v>
      </c>
      <c r="T5297">
        <v>-0.54003780000000001</v>
      </c>
      <c r="U5297">
        <v>-2.5808409999999999</v>
      </c>
      <c r="V5297">
        <v>0.30185899999999999</v>
      </c>
      <c r="W5297">
        <v>7.1631849999999997E-2</v>
      </c>
      <c r="X5297">
        <v>0.95065770000000005</v>
      </c>
      <c r="Y5297">
        <v>0.5998097</v>
      </c>
      <c r="Z5297">
        <v>-7.97992199999999E-3</v>
      </c>
      <c r="AA5297">
        <v>0.80010289999999995</v>
      </c>
      <c r="AB5297">
        <v>24</v>
      </c>
      <c r="AC5297">
        <v>3.85059999999998</v>
      </c>
      <c r="AD5297">
        <v>-1.1073809999999999</v>
      </c>
      <c r="AE5297">
        <v>-5.2501230000000003</v>
      </c>
      <c r="AF5297">
        <v>3.8893903942391299</v>
      </c>
      <c r="AG5297">
        <v>-1.1073809999999999</v>
      </c>
      <c r="AH5297">
        <v>4.9913355718669399</v>
      </c>
      <c r="AI5297">
        <v>99.926418198081194</v>
      </c>
      <c r="AJ5297">
        <v>52.073266263258397</v>
      </c>
      <c r="AK5297">
        <v>6.4239459142294297</v>
      </c>
      <c r="AL5297">
        <v>85.892279409512398</v>
      </c>
      <c r="AM5297">
        <v>72.383978080879601</v>
      </c>
      <c r="AN5297">
        <v>1.00000002019235</v>
      </c>
    </row>
    <row r="5298" spans="1:40" x14ac:dyDescent="0.25">
      <c r="A5298" t="str">
        <f>"20190312151639446"</f>
        <v>20190312151639446</v>
      </c>
      <c r="B5298" t="str">
        <f>"1552374999443201"</f>
        <v>1552374999443201</v>
      </c>
      <c r="C5298" t="s">
        <v>40</v>
      </c>
      <c r="D5298">
        <v>4.8072889999999999</v>
      </c>
      <c r="E5298">
        <v>0.63543809999999901</v>
      </c>
      <c r="F5298" t="s">
        <v>42</v>
      </c>
      <c r="G5298">
        <v>-308.74259999999998</v>
      </c>
      <c r="H5298">
        <v>-0.05</v>
      </c>
      <c r="I5298">
        <v>8.6020509999999994</v>
      </c>
      <c r="J5298">
        <v>-312.65820000000002</v>
      </c>
      <c r="K5298">
        <v>1.0570919999999999</v>
      </c>
      <c r="L5298">
        <v>14.019259999999999</v>
      </c>
      <c r="M5298">
        <v>0.96095779999999997</v>
      </c>
      <c r="N5298">
        <v>0</v>
      </c>
      <c r="O5298">
        <v>-0.276389</v>
      </c>
      <c r="P5298">
        <v>0.83007399999999998</v>
      </c>
      <c r="Q5298">
        <v>6.1376189999999997E-2</v>
      </c>
      <c r="R5298">
        <v>-0.55426569999999997</v>
      </c>
      <c r="S5298">
        <v>1.9290769999999999</v>
      </c>
      <c r="T5298">
        <v>-0.52609969999999995</v>
      </c>
      <c r="U5298">
        <v>-2.5952760000000001</v>
      </c>
      <c r="V5298">
        <v>0.30399219999999999</v>
      </c>
      <c r="W5298">
        <v>7.0535039999999993E-2</v>
      </c>
      <c r="X5298">
        <v>0.95005980000000001</v>
      </c>
      <c r="Y5298">
        <v>0.60237680000000005</v>
      </c>
      <c r="Z5298">
        <v>-7.3657449999999999E-3</v>
      </c>
      <c r="AA5298">
        <v>0.79817799999999905</v>
      </c>
      <c r="AB5298">
        <v>24</v>
      </c>
      <c r="AC5298">
        <v>3.9156000000000399</v>
      </c>
      <c r="AD5298">
        <v>-1.107092</v>
      </c>
      <c r="AE5298">
        <v>-5.4172089999999997</v>
      </c>
      <c r="AF5298">
        <v>4.0137210987098504</v>
      </c>
      <c r="AG5298">
        <v>-1.107092</v>
      </c>
      <c r="AH5298">
        <v>5.1199723732698397</v>
      </c>
      <c r="AI5298">
        <v>99.657664045586998</v>
      </c>
      <c r="AJ5298">
        <v>51.9058913058659</v>
      </c>
      <c r="AK5298">
        <v>6.5992216857550003</v>
      </c>
      <c r="AL5298">
        <v>85.955281433149807</v>
      </c>
      <c r="AM5298">
        <v>72.256801939486905</v>
      </c>
      <c r="AN5298">
        <v>1.00000003655234</v>
      </c>
    </row>
    <row r="5299" spans="1:40" x14ac:dyDescent="0.25">
      <c r="A5299" t="str">
        <f>"20190312151639456"</f>
        <v>20190312151639456</v>
      </c>
      <c r="B5299" t="str">
        <f>"1552374999452960"</f>
        <v>1552374999452960</v>
      </c>
      <c r="C5299" t="s">
        <v>40</v>
      </c>
      <c r="D5299">
        <v>4.866511</v>
      </c>
      <c r="E5299">
        <v>0.63541429999999999</v>
      </c>
      <c r="F5299" t="s">
        <v>42</v>
      </c>
      <c r="G5299">
        <v>-308.60430000000002</v>
      </c>
      <c r="H5299">
        <v>-0.05</v>
      </c>
      <c r="I5299">
        <v>8.5071259999999995</v>
      </c>
      <c r="J5299">
        <v>-312.54180000000002</v>
      </c>
      <c r="K5299">
        <v>1.0568690000000001</v>
      </c>
      <c r="L5299">
        <v>13.98227</v>
      </c>
      <c r="M5299">
        <v>0.96004630000000002</v>
      </c>
      <c r="N5299">
        <v>0</v>
      </c>
      <c r="O5299">
        <v>-0.27954200000000001</v>
      </c>
      <c r="P5299">
        <v>0.82763799999999899</v>
      </c>
      <c r="Q5299">
        <v>6.0983299999999997E-2</v>
      </c>
      <c r="R5299">
        <v>-0.55793979999999999</v>
      </c>
      <c r="S5299">
        <v>1.9145509999999999</v>
      </c>
      <c r="T5299">
        <v>-0.522845</v>
      </c>
      <c r="U5299">
        <v>-2.6032099999999998</v>
      </c>
      <c r="V5299">
        <v>0.305087</v>
      </c>
      <c r="W5299">
        <v>6.9994219999999996E-2</v>
      </c>
      <c r="X5299">
        <v>0.94974879999999995</v>
      </c>
      <c r="Y5299">
        <v>0.60386629999999997</v>
      </c>
      <c r="Z5299">
        <v>-6.9295650000000004E-3</v>
      </c>
      <c r="AA5299">
        <v>0.79705550000000003</v>
      </c>
      <c r="AB5299">
        <v>24</v>
      </c>
      <c r="AC5299">
        <v>3.9375</v>
      </c>
      <c r="AD5299">
        <v>-1.1068690000000001</v>
      </c>
      <c r="AE5299">
        <v>-5.4751440000000002</v>
      </c>
      <c r="AF5299">
        <v>4.0470251561113599</v>
      </c>
      <c r="AG5299">
        <v>-1.1068690000000001</v>
      </c>
      <c r="AH5299">
        <v>5.1718416902971702</v>
      </c>
      <c r="AI5299">
        <v>99.567195709092204</v>
      </c>
      <c r="AJ5299">
        <v>51.956414305512602</v>
      </c>
      <c r="AK5299">
        <v>6.6596935415118796</v>
      </c>
      <c r="AL5299">
        <v>85.986344869370001</v>
      </c>
      <c r="AM5299">
        <v>72.191467729192993</v>
      </c>
      <c r="AN5299">
        <v>1.0000000257519199</v>
      </c>
    </row>
    <row r="5300" spans="1:40" x14ac:dyDescent="0.25">
      <c r="A5300" t="str">
        <f>"20190312151639468"</f>
        <v>20190312151639468</v>
      </c>
      <c r="B5300" t="str">
        <f>"1552374999462720"</f>
        <v>1552374999462720</v>
      </c>
      <c r="C5300" t="s">
        <v>40</v>
      </c>
      <c r="D5300">
        <v>4.9200229999999996</v>
      </c>
      <c r="E5300">
        <v>0.63552929999999996</v>
      </c>
      <c r="F5300" t="s">
        <v>42</v>
      </c>
      <c r="G5300">
        <v>-308.52010000000001</v>
      </c>
      <c r="H5300">
        <v>-0.05</v>
      </c>
      <c r="I5300">
        <v>8.4630130000000001</v>
      </c>
      <c r="J5300">
        <v>-312.41629999999998</v>
      </c>
      <c r="K5300">
        <v>1.0566409999999999</v>
      </c>
      <c r="L5300">
        <v>13.94177</v>
      </c>
      <c r="M5300">
        <v>0.95902659999999995</v>
      </c>
      <c r="N5300">
        <v>0</v>
      </c>
      <c r="O5300">
        <v>-0.28302369999999999</v>
      </c>
      <c r="P5300">
        <v>0.82498660000000001</v>
      </c>
      <c r="Q5300">
        <v>6.0410180000000001E-2</v>
      </c>
      <c r="R5300">
        <v>-0.56191440000000004</v>
      </c>
      <c r="S5300">
        <v>1.9028929999999999</v>
      </c>
      <c r="T5300">
        <v>-0.5237117</v>
      </c>
      <c r="U5300">
        <v>-2.6114199999999999</v>
      </c>
      <c r="V5300">
        <v>0.30620720000000001</v>
      </c>
      <c r="W5300">
        <v>6.9264519999999996E-2</v>
      </c>
      <c r="X5300">
        <v>0.94944170000000006</v>
      </c>
      <c r="Y5300">
        <v>0.60451160000000004</v>
      </c>
      <c r="Z5300">
        <v>-6.3944650000000002E-3</v>
      </c>
      <c r="AA5300">
        <v>0.79657080000000002</v>
      </c>
      <c r="AB5300">
        <v>24</v>
      </c>
      <c r="AC5300">
        <v>3.8961999999999599</v>
      </c>
      <c r="AD5300">
        <v>-1.106641</v>
      </c>
      <c r="AE5300">
        <v>-5.4787569999999999</v>
      </c>
      <c r="AF5300">
        <v>4.0423691371657204</v>
      </c>
      <c r="AG5300">
        <v>-1.106641</v>
      </c>
      <c r="AH5300">
        <v>5.14812261065501</v>
      </c>
      <c r="AI5300">
        <v>99.596154237222905</v>
      </c>
      <c r="AJ5300">
        <v>51.8605613898063</v>
      </c>
      <c r="AK5300">
        <v>6.6384161483239597</v>
      </c>
      <c r="AL5300">
        <v>86.028255146600799</v>
      </c>
      <c r="AM5300">
        <v>72.124818934309502</v>
      </c>
      <c r="AN5300">
        <v>0.99999998238078003</v>
      </c>
    </row>
    <row r="5301" spans="1:40" x14ac:dyDescent="0.25">
      <c r="A5301" t="str">
        <f>"20190312151639479"</f>
        <v>20190312151639479</v>
      </c>
      <c r="B5301" t="str">
        <f>"1552374999473457"</f>
        <v>1552374999473457</v>
      </c>
      <c r="C5301" t="s">
        <v>40</v>
      </c>
      <c r="D5301">
        <v>4.8322070000000004</v>
      </c>
      <c r="E5301">
        <v>0.63534109999999999</v>
      </c>
      <c r="F5301" t="s">
        <v>42</v>
      </c>
      <c r="G5301">
        <v>-308.42919999999998</v>
      </c>
      <c r="H5301">
        <v>-0.05</v>
      </c>
      <c r="I5301">
        <v>8.40898099999999</v>
      </c>
      <c r="J5301">
        <v>-312.30579999999998</v>
      </c>
      <c r="K5301">
        <v>1.056446</v>
      </c>
      <c r="L5301">
        <v>13.90564</v>
      </c>
      <c r="M5301">
        <v>0.95809759999999999</v>
      </c>
      <c r="N5301">
        <v>0</v>
      </c>
      <c r="O5301">
        <v>-0.28615550000000001</v>
      </c>
      <c r="P5301">
        <v>0.82280609999999998</v>
      </c>
      <c r="Q5301">
        <v>5.9788819999999999E-2</v>
      </c>
      <c r="R5301">
        <v>-0.56516860000000002</v>
      </c>
      <c r="S5301">
        <v>1.8891910000000001</v>
      </c>
      <c r="T5301">
        <v>-0.52435619999999905</v>
      </c>
      <c r="U5301">
        <v>-2.6215820000000001</v>
      </c>
      <c r="V5301">
        <v>0.3068497</v>
      </c>
      <c r="W5301">
        <v>6.8516720000000003E-2</v>
      </c>
      <c r="X5301">
        <v>0.94928849999999998</v>
      </c>
      <c r="Y5301">
        <v>0.60611959999999998</v>
      </c>
      <c r="Z5301">
        <v>-6.0198530000000004E-3</v>
      </c>
      <c r="AA5301">
        <v>0.79535080000000002</v>
      </c>
      <c r="AB5301">
        <v>24</v>
      </c>
      <c r="AC5301">
        <v>3.8765999999999901</v>
      </c>
      <c r="AD5301">
        <v>-1.10644599999999</v>
      </c>
      <c r="AE5301">
        <v>-5.4966590000000002</v>
      </c>
      <c r="AF5301">
        <v>4.0478325731762403</v>
      </c>
      <c r="AG5301">
        <v>-1.10644599999999</v>
      </c>
      <c r="AH5301">
        <v>5.1481848591333002</v>
      </c>
      <c r="AI5301">
        <v>99.5895709882749</v>
      </c>
      <c r="AJ5301">
        <v>51.8233035014363</v>
      </c>
      <c r="AK5301">
        <v>6.6417602060893399</v>
      </c>
      <c r="AL5301">
        <v>86.071202909419895</v>
      </c>
      <c r="AM5301">
        <v>72.0870002821203</v>
      </c>
      <c r="AN5301">
        <v>0.99999996777094802</v>
      </c>
    </row>
    <row r="5302" spans="1:40" x14ac:dyDescent="0.25">
      <c r="A5302" t="str">
        <f>"20190312151639491"</f>
        <v>20190312151639491</v>
      </c>
      <c r="B5302" t="str">
        <f>"1552374999483217"</f>
        <v>1552374999483217</v>
      </c>
      <c r="C5302" t="s">
        <v>40</v>
      </c>
      <c r="D5302">
        <v>4.8609179999999999</v>
      </c>
      <c r="E5302">
        <v>0.63593049999999995</v>
      </c>
      <c r="F5302" t="s">
        <v>42</v>
      </c>
      <c r="G5302">
        <v>-308.32380000000001</v>
      </c>
      <c r="H5302">
        <v>-0.05</v>
      </c>
      <c r="I5302">
        <v>8.3363040000000002</v>
      </c>
      <c r="J5302">
        <v>-312.18560000000002</v>
      </c>
      <c r="K5302">
        <v>1.056241</v>
      </c>
      <c r="L5302">
        <v>13.86591</v>
      </c>
      <c r="M5302">
        <v>0.9570611</v>
      </c>
      <c r="N5302">
        <v>0</v>
      </c>
      <c r="O5302">
        <v>-0.28960570000000002</v>
      </c>
      <c r="P5302">
        <v>0.82018719999999901</v>
      </c>
      <c r="Q5302">
        <v>5.928961E-2</v>
      </c>
      <c r="R5302">
        <v>-0.56901449999999998</v>
      </c>
      <c r="S5302">
        <v>1.878906</v>
      </c>
      <c r="T5302">
        <v>-0.52208480000000002</v>
      </c>
      <c r="U5302">
        <v>-2.6279300000000001</v>
      </c>
      <c r="V5302">
        <v>0.30787300000000001</v>
      </c>
      <c r="W5302">
        <v>6.7878289999999994E-2</v>
      </c>
      <c r="X5302">
        <v>0.94900300000000004</v>
      </c>
      <c r="Y5302">
        <v>0.60629460000000002</v>
      </c>
      <c r="Z5302">
        <v>-5.4034670000000003E-3</v>
      </c>
      <c r="AA5302">
        <v>0.79522169999999903</v>
      </c>
      <c r="AB5302">
        <v>24</v>
      </c>
      <c r="AC5302">
        <v>3.8618000000000099</v>
      </c>
      <c r="AD5302">
        <v>-1.106241</v>
      </c>
      <c r="AE5302">
        <v>-5.5296060000000002</v>
      </c>
      <c r="AF5302">
        <v>4.0647610081373404</v>
      </c>
      <c r="AG5302">
        <v>-1.106241</v>
      </c>
      <c r="AH5302">
        <v>5.1590269786366196</v>
      </c>
      <c r="AI5302">
        <v>99.560618689970994</v>
      </c>
      <c r="AJ5302">
        <v>51.765674019829902</v>
      </c>
      <c r="AK5302">
        <v>6.6604512286822803</v>
      </c>
      <c r="AL5302">
        <v>86.107867626509602</v>
      </c>
      <c r="AM5302">
        <v>72.026039792142399</v>
      </c>
      <c r="AN5302">
        <v>0.999999970195661</v>
      </c>
    </row>
    <row r="5303" spans="1:40" x14ac:dyDescent="0.25">
      <c r="A5303" t="str">
        <f>"20190312151639501"</f>
        <v>20190312151639501</v>
      </c>
      <c r="B5303" t="str">
        <f>"1552374999492977"</f>
        <v>1552374999492977</v>
      </c>
      <c r="C5303" t="s">
        <v>40</v>
      </c>
      <c r="D5303">
        <v>4.8383260000000003</v>
      </c>
      <c r="E5303">
        <v>0.63640790000000003</v>
      </c>
      <c r="F5303" t="s">
        <v>42</v>
      </c>
      <c r="G5303">
        <v>-308.22250000000003</v>
      </c>
      <c r="H5303">
        <v>-0.05</v>
      </c>
      <c r="I5303">
        <v>8.2510220000000007</v>
      </c>
      <c r="J5303">
        <v>-312.07389999999998</v>
      </c>
      <c r="K5303">
        <v>1.056065</v>
      </c>
      <c r="L5303">
        <v>13.82831</v>
      </c>
      <c r="M5303">
        <v>0.95605669999999998</v>
      </c>
      <c r="N5303">
        <v>0</v>
      </c>
      <c r="O5303">
        <v>-0.29290660000000002</v>
      </c>
      <c r="P5303">
        <v>0.81781610000000005</v>
      </c>
      <c r="Q5303">
        <v>5.8947720000000002E-2</v>
      </c>
      <c r="R5303">
        <v>-0.57245269999999904</v>
      </c>
      <c r="S5303">
        <v>1.863586</v>
      </c>
      <c r="T5303">
        <v>-0.52019459999999995</v>
      </c>
      <c r="U5303">
        <v>-2.64032</v>
      </c>
      <c r="V5303">
        <v>0.30858550000000001</v>
      </c>
      <c r="W5303">
        <v>6.7416340000000005E-2</v>
      </c>
      <c r="X5303">
        <v>0.9488046</v>
      </c>
      <c r="Y5303">
        <v>0.60842850000000004</v>
      </c>
      <c r="Z5303">
        <v>-5.0283890000000003E-3</v>
      </c>
      <c r="AA5303">
        <v>0.79359279999999999</v>
      </c>
      <c r="AB5303">
        <v>24</v>
      </c>
      <c r="AC5303">
        <v>3.8513999999999502</v>
      </c>
      <c r="AD5303">
        <v>-1.1060649999999901</v>
      </c>
      <c r="AE5303">
        <v>-5.5772879999999896</v>
      </c>
      <c r="AF5303">
        <v>4.0953810531385697</v>
      </c>
      <c r="AG5303">
        <v>-1.1060649999999901</v>
      </c>
      <c r="AH5303">
        <v>5.1783101775167504</v>
      </c>
      <c r="AI5303">
        <v>99.510645176687603</v>
      </c>
      <c r="AJ5303">
        <v>51.660511060372798</v>
      </c>
      <c r="AK5303">
        <v>6.6940587127097197</v>
      </c>
      <c r="AL5303">
        <v>86.134396573535</v>
      </c>
      <c r="AM5303">
        <v>71.983604476022805</v>
      </c>
      <c r="AN5303">
        <v>1.0000000713452</v>
      </c>
    </row>
    <row r="5304" spans="1:40" x14ac:dyDescent="0.25">
      <c r="A5304" t="str">
        <f>"20190312151639512"</f>
        <v>20190312151639512</v>
      </c>
      <c r="B5304" t="str">
        <f>"1552374999503713"</f>
        <v>1552374999503713</v>
      </c>
      <c r="C5304" t="s">
        <v>40</v>
      </c>
      <c r="D5304">
        <v>4.8623519999999996</v>
      </c>
      <c r="E5304">
        <v>0.63681189999999999</v>
      </c>
      <c r="F5304" t="s">
        <v>42</v>
      </c>
      <c r="G5304">
        <v>-308.10289999999998</v>
      </c>
      <c r="H5304">
        <v>-0.05</v>
      </c>
      <c r="I5304">
        <v>8.1369929999999897</v>
      </c>
      <c r="J5304">
        <v>-311.95639999999997</v>
      </c>
      <c r="K5304">
        <v>1.0558809999999901</v>
      </c>
      <c r="L5304">
        <v>13.78851</v>
      </c>
      <c r="M5304">
        <v>0.95497920000000003</v>
      </c>
      <c r="N5304">
        <v>0</v>
      </c>
      <c r="O5304">
        <v>-0.29640300000000003</v>
      </c>
      <c r="P5304">
        <v>0.81540760000000001</v>
      </c>
      <c r="Q5304">
        <v>5.870599E-2</v>
      </c>
      <c r="R5304">
        <v>-0.57590319999999995</v>
      </c>
      <c r="S5304">
        <v>1.8497619999999999</v>
      </c>
      <c r="T5304">
        <v>-0.51521459999999997</v>
      </c>
      <c r="U5304">
        <v>-2.651062</v>
      </c>
      <c r="V5304">
        <v>0.30912990000000001</v>
      </c>
      <c r="W5304">
        <v>6.7052390000000003E-2</v>
      </c>
      <c r="X5304">
        <v>0.94865310000000003</v>
      </c>
      <c r="Y5304">
        <v>0.60991249999999997</v>
      </c>
      <c r="Z5304">
        <v>-4.5251140000000002E-3</v>
      </c>
      <c r="AA5304">
        <v>0.79245589999999999</v>
      </c>
      <c r="AB5304">
        <v>24</v>
      </c>
      <c r="AC5304">
        <v>3.8534999999999902</v>
      </c>
      <c r="AD5304">
        <v>-1.1058809999999999</v>
      </c>
      <c r="AE5304">
        <v>-5.6515170000000001</v>
      </c>
      <c r="AF5304">
        <v>4.1468425400954096</v>
      </c>
      <c r="AG5304">
        <v>-1.1058809999999999</v>
      </c>
      <c r="AH5304">
        <v>5.2191493469652697</v>
      </c>
      <c r="AI5304">
        <v>99.4194792934112</v>
      </c>
      <c r="AJ5304">
        <v>51.531321447471399</v>
      </c>
      <c r="AK5304">
        <v>6.7571292531987304</v>
      </c>
      <c r="AL5304">
        <v>86.155296431688996</v>
      </c>
      <c r="AM5304">
        <v>71.951184359526394</v>
      </c>
      <c r="AN5304">
        <v>1.00000001110916</v>
      </c>
    </row>
    <row r="5305" spans="1:40" x14ac:dyDescent="0.25">
      <c r="A5305" t="str">
        <f>"20190312151639524"</f>
        <v>20190312151639524</v>
      </c>
      <c r="B5305" t="str">
        <f>"1552374999513473"</f>
        <v>1552374999513473</v>
      </c>
      <c r="C5305" t="s">
        <v>40</v>
      </c>
      <c r="D5305">
        <v>4.7900960000000001</v>
      </c>
      <c r="E5305">
        <v>0.63687199999999999</v>
      </c>
      <c r="F5305" t="s">
        <v>42</v>
      </c>
      <c r="G5305">
        <v>-307.99880000000002</v>
      </c>
      <c r="H5305">
        <v>-0.05</v>
      </c>
      <c r="I5305">
        <v>8.0515749999999997</v>
      </c>
      <c r="J5305">
        <v>-311.83629999999999</v>
      </c>
      <c r="K5305">
        <v>1.0557000000000001</v>
      </c>
      <c r="L5305">
        <v>13.746829999999999</v>
      </c>
      <c r="M5305">
        <v>0.95382219999999995</v>
      </c>
      <c r="N5305">
        <v>0</v>
      </c>
      <c r="O5305">
        <v>-0.3001066</v>
      </c>
      <c r="P5305">
        <v>0.81289480000000003</v>
      </c>
      <c r="Q5305">
        <v>5.864801E-2</v>
      </c>
      <c r="R5305">
        <v>-0.57945040000000003</v>
      </c>
      <c r="S5305">
        <v>1.836182</v>
      </c>
      <c r="T5305">
        <v>-0.51309119999999997</v>
      </c>
      <c r="U5305">
        <v>-2.661743</v>
      </c>
      <c r="V5305">
        <v>0.30959609999999999</v>
      </c>
      <c r="W5305">
        <v>6.6874929999999999E-2</v>
      </c>
      <c r="X5305">
        <v>0.94851359999999996</v>
      </c>
      <c r="Y5305">
        <v>0.61112390000000005</v>
      </c>
      <c r="Z5305">
        <v>-3.986921E-3</v>
      </c>
      <c r="AA5305">
        <v>0.79152489999999998</v>
      </c>
      <c r="AB5305">
        <v>24</v>
      </c>
      <c r="AC5305">
        <v>3.8374999999999702</v>
      </c>
      <c r="AD5305">
        <v>-1.1056999999999999</v>
      </c>
      <c r="AE5305">
        <v>-5.6952550000000004</v>
      </c>
      <c r="AF5305">
        <v>4.1727731206331597</v>
      </c>
      <c r="AG5305">
        <v>-1.1056999999999999</v>
      </c>
      <c r="AH5305">
        <v>5.2342190707917897</v>
      </c>
      <c r="AI5305">
        <v>99.379357060180098</v>
      </c>
      <c r="AJ5305">
        <v>51.437788252032099</v>
      </c>
      <c r="AK5305">
        <v>6.7846633879153604</v>
      </c>
      <c r="AL5305">
        <v>86.165487069096997</v>
      </c>
      <c r="AM5305">
        <v>71.923248539492107</v>
      </c>
      <c r="AN5305">
        <v>1.0000000253913299</v>
      </c>
    </row>
    <row r="5306" spans="1:40" x14ac:dyDescent="0.25">
      <c r="A5306" t="str">
        <f>"20190312151639535"</f>
        <v>20190312151639535</v>
      </c>
      <c r="B5306" t="str">
        <f>"1552374999532993"</f>
        <v>1552374999532993</v>
      </c>
      <c r="C5306" t="s">
        <v>40</v>
      </c>
      <c r="D5306">
        <v>4.8673859999999998</v>
      </c>
      <c r="E5306">
        <v>0.63698100000000002</v>
      </c>
      <c r="F5306" t="s">
        <v>42</v>
      </c>
      <c r="G5306">
        <v>-307.88740000000001</v>
      </c>
      <c r="H5306">
        <v>-0.05</v>
      </c>
      <c r="I5306">
        <v>7.9656369999999903</v>
      </c>
      <c r="J5306">
        <v>-311.71710000000002</v>
      </c>
      <c r="K5306">
        <v>1.0555209999999999</v>
      </c>
      <c r="L5306">
        <v>13.705229999999901</v>
      </c>
      <c r="M5306">
        <v>0.95264859999999896</v>
      </c>
      <c r="N5306">
        <v>0</v>
      </c>
      <c r="O5306">
        <v>-0.30381330000000001</v>
      </c>
      <c r="P5306">
        <v>0.81029629999999997</v>
      </c>
      <c r="Q5306">
        <v>5.8257679999999999E-2</v>
      </c>
      <c r="R5306">
        <v>-0.58311769999999996</v>
      </c>
      <c r="S5306">
        <v>1.823914</v>
      </c>
      <c r="T5306">
        <v>-0.51070379999999904</v>
      </c>
      <c r="U5306">
        <v>-2.6702270000000001</v>
      </c>
      <c r="V5306">
        <v>0.31019649999999999</v>
      </c>
      <c r="W5306">
        <v>6.6363939999999996E-2</v>
      </c>
      <c r="X5306">
        <v>0.94835329999999995</v>
      </c>
      <c r="Y5306">
        <v>0.61176580000000003</v>
      </c>
      <c r="Z5306">
        <v>-3.3909309999999998E-3</v>
      </c>
      <c r="AA5306">
        <v>0.79103169999999901</v>
      </c>
      <c r="AB5306">
        <v>24</v>
      </c>
      <c r="AC5306">
        <v>3.8296999999999999</v>
      </c>
      <c r="AD5306">
        <v>-1.105521</v>
      </c>
      <c r="AE5306">
        <v>-5.7395929999999904</v>
      </c>
      <c r="AF5306">
        <v>4.1969037379460001</v>
      </c>
      <c r="AG5306">
        <v>-1.105521</v>
      </c>
      <c r="AH5306">
        <v>5.2575828213976301</v>
      </c>
      <c r="AI5306">
        <v>99.332246841273204</v>
      </c>
      <c r="AJ5306">
        <v>51.401128139705101</v>
      </c>
      <c r="AK5306">
        <v>6.8175035600197296</v>
      </c>
      <c r="AL5306">
        <v>86.194829771834804</v>
      </c>
      <c r="AM5306">
        <v>71.887617677559604</v>
      </c>
      <c r="AN5306">
        <v>1.0000000113827301</v>
      </c>
    </row>
    <row r="5307" spans="1:40" x14ac:dyDescent="0.25">
      <c r="A5307" t="str">
        <f>"20190312151639545"</f>
        <v>20190312151639545</v>
      </c>
      <c r="B5307" t="str">
        <f>"1552374999542752"</f>
        <v>1552374999542752</v>
      </c>
      <c r="C5307" t="s">
        <v>40</v>
      </c>
      <c r="D5307">
        <v>4.8871880000000001</v>
      </c>
      <c r="E5307">
        <v>0.63711640000000003</v>
      </c>
      <c r="F5307" t="s">
        <v>42</v>
      </c>
      <c r="G5307">
        <v>-307.76389999999998</v>
      </c>
      <c r="H5307">
        <v>-0.05</v>
      </c>
      <c r="I5307">
        <v>7.8563999999999998</v>
      </c>
      <c r="J5307">
        <v>-311.60579999999999</v>
      </c>
      <c r="K5307">
        <v>1.055361</v>
      </c>
      <c r="L5307">
        <v>13.66559</v>
      </c>
      <c r="M5307">
        <v>0.95150690000000004</v>
      </c>
      <c r="N5307">
        <v>0</v>
      </c>
      <c r="O5307">
        <v>-0.30737170000000003</v>
      </c>
      <c r="P5307">
        <v>0.80780909999999995</v>
      </c>
      <c r="Q5307">
        <v>5.7963069999999998E-2</v>
      </c>
      <c r="R5307">
        <v>-0.58658789999999905</v>
      </c>
      <c r="S5307">
        <v>1.810791</v>
      </c>
      <c r="T5307">
        <v>-0.50639489999999998</v>
      </c>
      <c r="U5307">
        <v>-2.6791079999999998</v>
      </c>
      <c r="V5307">
        <v>0.31072499999999997</v>
      </c>
      <c r="W5307">
        <v>6.5960000000000005E-2</v>
      </c>
      <c r="X5307">
        <v>0.94820850000000001</v>
      </c>
      <c r="Y5307">
        <v>0.61277230000000005</v>
      </c>
      <c r="Z5307">
        <v>-2.8528199999999998E-3</v>
      </c>
      <c r="AA5307">
        <v>0.79025440000000002</v>
      </c>
      <c r="AB5307">
        <v>24</v>
      </c>
      <c r="AC5307">
        <v>3.8418999999999999</v>
      </c>
      <c r="AD5307">
        <v>-1.105361</v>
      </c>
      <c r="AE5307">
        <v>-5.8091900000000001</v>
      </c>
      <c r="AF5307">
        <v>4.2401316478766002</v>
      </c>
      <c r="AG5307">
        <v>-1.105361</v>
      </c>
      <c r="AH5307">
        <v>5.3079039121999498</v>
      </c>
      <c r="AI5307">
        <v>99.241440975390702</v>
      </c>
      <c r="AJ5307">
        <v>51.380967072873403</v>
      </c>
      <c r="AK5307">
        <v>6.8829051477405496</v>
      </c>
      <c r="AL5307">
        <v>86.218024810235605</v>
      </c>
      <c r="AM5307">
        <v>71.856189665280795</v>
      </c>
      <c r="AN5307">
        <v>1.00000005334862</v>
      </c>
    </row>
    <row r="5308" spans="1:40" x14ac:dyDescent="0.25">
      <c r="A5308" t="str">
        <f>"20190312151639557"</f>
        <v>20190312151639557</v>
      </c>
      <c r="B5308" t="str">
        <f>"1552374999553489"</f>
        <v>1552374999553489</v>
      </c>
      <c r="C5308" t="s">
        <v>40</v>
      </c>
      <c r="D5308">
        <v>4.822838</v>
      </c>
      <c r="E5308">
        <v>0.63710330000000004</v>
      </c>
      <c r="F5308" t="s">
        <v>42</v>
      </c>
      <c r="G5308">
        <v>-307.6687</v>
      </c>
      <c r="H5308">
        <v>-0.05</v>
      </c>
      <c r="I5308">
        <v>7.7814479999999904</v>
      </c>
      <c r="J5308">
        <v>-311.48910000000001</v>
      </c>
      <c r="K5308">
        <v>1.0551980000000001</v>
      </c>
      <c r="L5308">
        <v>13.6236</v>
      </c>
      <c r="M5308">
        <v>0.95027830000000002</v>
      </c>
      <c r="N5308">
        <v>0</v>
      </c>
      <c r="O5308">
        <v>-0.3111506</v>
      </c>
      <c r="P5308">
        <v>0.80518199999999995</v>
      </c>
      <c r="Q5308">
        <v>5.7369400000000001E-2</v>
      </c>
      <c r="R5308">
        <v>-0.59024670000000001</v>
      </c>
      <c r="S5308">
        <v>1.7983089999999999</v>
      </c>
      <c r="T5308">
        <v>-0.50488710000000003</v>
      </c>
      <c r="U5308">
        <v>-2.6876530000000001</v>
      </c>
      <c r="V5308">
        <v>0.31125380000000002</v>
      </c>
      <c r="W5308">
        <v>6.5255320000000006E-2</v>
      </c>
      <c r="X5308">
        <v>0.94808380000000003</v>
      </c>
      <c r="Y5308">
        <v>0.61338419999999905</v>
      </c>
      <c r="Z5308">
        <v>-2.2558230000000001E-3</v>
      </c>
      <c r="AA5308">
        <v>0.78978149999999903</v>
      </c>
      <c r="AB5308">
        <v>24</v>
      </c>
      <c r="AC5308">
        <v>3.8203999999999998</v>
      </c>
      <c r="AD5308">
        <v>-1.1051979999999999</v>
      </c>
      <c r="AE5308">
        <v>-5.8421519999999996</v>
      </c>
      <c r="AF5308">
        <v>4.2565882068577601</v>
      </c>
      <c r="AG5308">
        <v>-1.1051979999999999</v>
      </c>
      <c r="AH5308">
        <v>5.3154124327836803</v>
      </c>
      <c r="AI5308">
        <v>99.218574314305798</v>
      </c>
      <c r="AJ5308">
        <v>51.312214540125602</v>
      </c>
      <c r="AK5308">
        <v>6.89881258714541</v>
      </c>
      <c r="AL5308">
        <v>86.258487118797404</v>
      </c>
      <c r="AM5308">
        <v>71.825106979662806</v>
      </c>
      <c r="AN5308">
        <v>1.00000003831259</v>
      </c>
    </row>
    <row r="5309" spans="1:40" x14ac:dyDescent="0.25">
      <c r="A5309" t="str">
        <f>"20190312151639569"</f>
        <v>20190312151639569</v>
      </c>
      <c r="B5309" t="str">
        <f>"1552374999563249"</f>
        <v>1552374999563249</v>
      </c>
      <c r="C5309" t="s">
        <v>40</v>
      </c>
      <c r="D5309">
        <v>4.9105840000000001</v>
      </c>
      <c r="E5309">
        <v>0.63717469999999998</v>
      </c>
      <c r="F5309" t="s">
        <v>42</v>
      </c>
      <c r="G5309">
        <v>-307.57530000000003</v>
      </c>
      <c r="H5309">
        <v>-0.05</v>
      </c>
      <c r="I5309">
        <v>7.7164759999999903</v>
      </c>
      <c r="J5309">
        <v>-311.36939999999998</v>
      </c>
      <c r="K5309">
        <v>1.0550379999999999</v>
      </c>
      <c r="L5309">
        <v>13.5799</v>
      </c>
      <c r="M5309">
        <v>0.94897619999999905</v>
      </c>
      <c r="N5309">
        <v>0</v>
      </c>
      <c r="O5309">
        <v>-0.31510009999999999</v>
      </c>
      <c r="P5309">
        <v>0.80250759999999999</v>
      </c>
      <c r="Q5309">
        <v>5.6922920000000002E-2</v>
      </c>
      <c r="R5309">
        <v>-0.59392080000000003</v>
      </c>
      <c r="S5309">
        <v>1.7858889999999901</v>
      </c>
      <c r="T5309">
        <v>-0.50430549999999996</v>
      </c>
      <c r="U5309">
        <v>-2.6954349999999998</v>
      </c>
      <c r="V5309">
        <v>0.31164399999999998</v>
      </c>
      <c r="W5309">
        <v>6.4701460000000002E-2</v>
      </c>
      <c r="X5309">
        <v>0.94799359999999999</v>
      </c>
      <c r="Y5309">
        <v>0.61372550000000003</v>
      </c>
      <c r="Z5309">
        <v>-1.6069560000000001E-3</v>
      </c>
      <c r="AA5309">
        <v>0.78951780000000005</v>
      </c>
      <c r="AB5309">
        <v>24</v>
      </c>
      <c r="AC5309">
        <v>3.7940999999999501</v>
      </c>
      <c r="AD5309">
        <v>-1.105038</v>
      </c>
      <c r="AE5309">
        <v>-5.8634240000000002</v>
      </c>
      <c r="AF5309">
        <v>4.2623589109939504</v>
      </c>
      <c r="AG5309">
        <v>-1.105038</v>
      </c>
      <c r="AH5309">
        <v>5.3154265524209698</v>
      </c>
      <c r="AI5309">
        <v>99.212449885136905</v>
      </c>
      <c r="AJ5309">
        <v>51.274409594538703</v>
      </c>
      <c r="AK5309">
        <v>6.9023598791830203</v>
      </c>
      <c r="AL5309">
        <v>86.290288258623207</v>
      </c>
      <c r="AM5309">
        <v>71.802205568777794</v>
      </c>
      <c r="AN5309">
        <v>1.00000006365154</v>
      </c>
    </row>
    <row r="5310" spans="1:40" x14ac:dyDescent="0.25">
      <c r="A5310" t="str">
        <f>"20190312151639579"</f>
        <v>20190312151639579</v>
      </c>
      <c r="B5310" t="str">
        <f>"1552374999573008"</f>
        <v>1552374999573008</v>
      </c>
      <c r="C5310" t="s">
        <v>40</v>
      </c>
      <c r="D5310">
        <v>4.7987199999999897</v>
      </c>
      <c r="E5310">
        <v>0.63707499999999995</v>
      </c>
      <c r="F5310" t="s">
        <v>42</v>
      </c>
      <c r="G5310">
        <v>-307.49489999999997</v>
      </c>
      <c r="H5310">
        <v>-0.05</v>
      </c>
      <c r="I5310">
        <v>7.6706389999999898</v>
      </c>
      <c r="J5310">
        <v>-311.2552</v>
      </c>
      <c r="K5310">
        <v>1.0548930000000001</v>
      </c>
      <c r="L5310">
        <v>13.53754</v>
      </c>
      <c r="M5310">
        <v>0.94769210000000004</v>
      </c>
      <c r="N5310">
        <v>0</v>
      </c>
      <c r="O5310">
        <v>-0.31894220000000001</v>
      </c>
      <c r="P5310">
        <v>0.79988740000000003</v>
      </c>
      <c r="Q5310">
        <v>5.6151380000000001E-2</v>
      </c>
      <c r="R5310">
        <v>-0.59751769999999904</v>
      </c>
      <c r="S5310">
        <v>1.7729490000000001</v>
      </c>
      <c r="T5310">
        <v>-0.50565890000000002</v>
      </c>
      <c r="U5310">
        <v>-2.7040410000000001</v>
      </c>
      <c r="V5310">
        <v>0.31204670000000001</v>
      </c>
      <c r="W5310">
        <v>6.3832059999999996E-2</v>
      </c>
      <c r="X5310">
        <v>0.94791999999999998</v>
      </c>
      <c r="Y5310">
        <v>0.61433899999999997</v>
      </c>
      <c r="Z5310">
        <v>-1.008976E-3</v>
      </c>
      <c r="AA5310">
        <v>0.78904160000000001</v>
      </c>
      <c r="AB5310">
        <v>24</v>
      </c>
      <c r="AC5310">
        <v>3.76030000000002</v>
      </c>
      <c r="AD5310">
        <v>-1.1048929999999999</v>
      </c>
      <c r="AE5310">
        <v>-5.8669010000000004</v>
      </c>
      <c r="AF5310">
        <v>4.2540904559002497</v>
      </c>
      <c r="AG5310">
        <v>-1.1048929999999999</v>
      </c>
      <c r="AH5310">
        <v>5.3019429583042301</v>
      </c>
      <c r="AI5310">
        <v>99.232159265170296</v>
      </c>
      <c r="AJ5310">
        <v>51.257682068336699</v>
      </c>
      <c r="AK5310">
        <v>6.8868478480029198</v>
      </c>
      <c r="AL5310">
        <v>86.340204165676795</v>
      </c>
      <c r="AM5310">
        <v>71.7789221401963</v>
      </c>
      <c r="AN5310">
        <v>1.0000000006323599</v>
      </c>
    </row>
    <row r="5311" spans="1:40" x14ac:dyDescent="0.25">
      <c r="A5311" t="str">
        <f>"20190312151639590"</f>
        <v>20190312151639590</v>
      </c>
      <c r="B5311" t="str">
        <f>"1552374999582768"</f>
        <v>1552374999582768</v>
      </c>
      <c r="C5311" t="s">
        <v>40</v>
      </c>
      <c r="D5311">
        <v>4.9003430000000003</v>
      </c>
      <c r="E5311">
        <v>0.63708129999999996</v>
      </c>
      <c r="F5311" t="s">
        <v>42</v>
      </c>
      <c r="G5311">
        <v>-307.40890000000002</v>
      </c>
      <c r="H5311">
        <v>-0.05</v>
      </c>
      <c r="I5311">
        <v>7.6152649999999902</v>
      </c>
      <c r="J5311">
        <v>-311.13819999999998</v>
      </c>
      <c r="K5311">
        <v>1.054745</v>
      </c>
      <c r="L5311">
        <v>13.493679999999999</v>
      </c>
      <c r="M5311">
        <v>0.94634320000000005</v>
      </c>
      <c r="N5311">
        <v>0</v>
      </c>
      <c r="O5311">
        <v>-0.32292379999999998</v>
      </c>
      <c r="P5311">
        <v>0.79712380000000005</v>
      </c>
      <c r="Q5311">
        <v>5.5761329999999998E-2</v>
      </c>
      <c r="R5311">
        <v>-0.60123590000000005</v>
      </c>
      <c r="S5311">
        <v>1.7608029999999999</v>
      </c>
      <c r="T5311">
        <v>-0.50580839999999905</v>
      </c>
      <c r="U5311">
        <v>-2.7111510000000001</v>
      </c>
      <c r="V5311">
        <v>0.31247619999999998</v>
      </c>
      <c r="W5311">
        <v>6.3342410000000002E-2</v>
      </c>
      <c r="X5311">
        <v>0.94781139999999997</v>
      </c>
      <c r="Y5311">
        <v>0.6144925</v>
      </c>
      <c r="Z5311">
        <v>-3.336743E-4</v>
      </c>
      <c r="AA5311">
        <v>0.78892249999999997</v>
      </c>
      <c r="AB5311">
        <v>24</v>
      </c>
      <c r="AC5311">
        <v>3.7292999999999599</v>
      </c>
      <c r="AD5311">
        <v>-1.1047450000000001</v>
      </c>
      <c r="AE5311">
        <v>-5.8784150000000004</v>
      </c>
      <c r="AF5311">
        <v>4.2519775317792696</v>
      </c>
      <c r="AG5311">
        <v>-1.1047450000000001</v>
      </c>
      <c r="AH5311">
        <v>5.2945641152620402</v>
      </c>
      <c r="AI5311">
        <v>99.240398265232997</v>
      </c>
      <c r="AJ5311">
        <v>51.232624151195203</v>
      </c>
      <c r="AK5311">
        <v>6.8798389237249804</v>
      </c>
      <c r="AL5311">
        <v>86.368316089491401</v>
      </c>
      <c r="AM5311">
        <v>71.753550975176495</v>
      </c>
      <c r="AN5311">
        <v>1.0000000432205001</v>
      </c>
    </row>
    <row r="5312" spans="1:40" x14ac:dyDescent="0.25">
      <c r="A5312" t="str">
        <f>"20190312151639603"</f>
        <v>20190312151639603</v>
      </c>
      <c r="B5312" t="str">
        <f>"1552374999593505"</f>
        <v>1552374999593505</v>
      </c>
      <c r="C5312" t="s">
        <v>40</v>
      </c>
      <c r="D5312">
        <v>4.9352539999999996</v>
      </c>
      <c r="E5312">
        <v>0.63709959999999999</v>
      </c>
      <c r="F5312" t="s">
        <v>42</v>
      </c>
      <c r="G5312">
        <v>-307.3272</v>
      </c>
      <c r="H5312">
        <v>-0.05</v>
      </c>
      <c r="I5312">
        <v>7.5639949999999896</v>
      </c>
      <c r="J5312">
        <v>-311.01940000000002</v>
      </c>
      <c r="K5312">
        <v>1.054605</v>
      </c>
      <c r="L5312">
        <v>13.448180000000001</v>
      </c>
      <c r="M5312">
        <v>0.94491610000000004</v>
      </c>
      <c r="N5312">
        <v>0</v>
      </c>
      <c r="O5312">
        <v>-0.32707619999999998</v>
      </c>
      <c r="P5312">
        <v>0.79412749999999999</v>
      </c>
      <c r="Q5312">
        <v>5.5183660000000002E-2</v>
      </c>
      <c r="R5312">
        <v>-0.60524100000000003</v>
      </c>
      <c r="S5312">
        <v>1.747833</v>
      </c>
      <c r="T5312">
        <v>-0.50665470000000001</v>
      </c>
      <c r="U5312">
        <v>-2.719452</v>
      </c>
      <c r="V5312">
        <v>0.31307889999999999</v>
      </c>
      <c r="W5312">
        <v>6.266853E-2</v>
      </c>
      <c r="X5312">
        <v>0.94765719999999998</v>
      </c>
      <c r="Y5312">
        <v>0.61481770000000002</v>
      </c>
      <c r="Z5312">
        <v>3.556125E-4</v>
      </c>
      <c r="AA5312">
        <v>0.78866919999999996</v>
      </c>
      <c r="AB5312">
        <v>24</v>
      </c>
      <c r="AC5312">
        <v>3.6922000000000099</v>
      </c>
      <c r="AD5312">
        <v>-1.1046049999999901</v>
      </c>
      <c r="AE5312">
        <v>-5.8841850000000004</v>
      </c>
      <c r="AF5312">
        <v>4.2454216681462098</v>
      </c>
      <c r="AG5312">
        <v>-1.1046049999999901</v>
      </c>
      <c r="AH5312">
        <v>5.2803024941957402</v>
      </c>
      <c r="AI5312">
        <v>99.259648128122393</v>
      </c>
      <c r="AJ5312">
        <v>51.200333059130003</v>
      </c>
      <c r="AK5312">
        <v>6.8647907307215199</v>
      </c>
      <c r="AL5312">
        <v>86.407003117568493</v>
      </c>
      <c r="AM5312">
        <v>71.717918809139405</v>
      </c>
      <c r="AN5312">
        <v>0.999999955494704</v>
      </c>
    </row>
    <row r="5313" spans="1:40" x14ac:dyDescent="0.25">
      <c r="A5313" t="str">
        <f>"20190312151639615"</f>
        <v>20190312151639615</v>
      </c>
      <c r="B5313" t="str">
        <f>"1552374999613025"</f>
        <v>1552374999613025</v>
      </c>
      <c r="C5313" t="s">
        <v>40</v>
      </c>
      <c r="D5313">
        <v>4.8273419999999998</v>
      </c>
      <c r="E5313">
        <v>0.63677430000000002</v>
      </c>
      <c r="F5313" t="s">
        <v>42</v>
      </c>
      <c r="G5313">
        <v>-307.24799999999999</v>
      </c>
      <c r="H5313">
        <v>-0.05</v>
      </c>
      <c r="I5313">
        <v>7.5134429999999996</v>
      </c>
      <c r="J5313">
        <v>-310.88619999999997</v>
      </c>
      <c r="K5313">
        <v>1.0544519999999999</v>
      </c>
      <c r="L5313">
        <v>13.396699999999999</v>
      </c>
      <c r="M5313">
        <v>0.94327499999999997</v>
      </c>
      <c r="N5313">
        <v>0</v>
      </c>
      <c r="O5313">
        <v>-0.33178020000000003</v>
      </c>
      <c r="P5313">
        <v>0.79087559999999901</v>
      </c>
      <c r="Q5313">
        <v>5.4839029999999997E-2</v>
      </c>
      <c r="R5313">
        <v>-0.60951480000000002</v>
      </c>
      <c r="S5313">
        <v>1.7337039999999999</v>
      </c>
      <c r="T5313">
        <v>-0.50778840000000003</v>
      </c>
      <c r="U5313">
        <v>-2.7282099999999998</v>
      </c>
      <c r="V5313">
        <v>0.31347199999999997</v>
      </c>
      <c r="W5313">
        <v>6.2221659999999998E-2</v>
      </c>
      <c r="X5313">
        <v>0.94755670000000003</v>
      </c>
      <c r="Y5313">
        <v>0.61497999999999997</v>
      </c>
      <c r="Z5313">
        <v>1.1625850000000001E-3</v>
      </c>
      <c r="AA5313">
        <v>0.78854179999999996</v>
      </c>
      <c r="AB5313">
        <v>24</v>
      </c>
      <c r="AC5313">
        <v>3.6381999999999799</v>
      </c>
      <c r="AD5313">
        <v>-1.104452</v>
      </c>
      <c r="AE5313">
        <v>-5.8832570000000004</v>
      </c>
      <c r="AF5313">
        <v>4.2348234603433799</v>
      </c>
      <c r="AG5313">
        <v>-1.104452</v>
      </c>
      <c r="AH5313">
        <v>5.25034006505558</v>
      </c>
      <c r="AI5313">
        <v>99.298824684112603</v>
      </c>
      <c r="AJ5313">
        <v>51.111019049984101</v>
      </c>
      <c r="AK5313">
        <v>6.8351748155629899</v>
      </c>
      <c r="AL5313">
        <v>86.432656982931107</v>
      </c>
      <c r="AM5313">
        <v>71.694681359027797</v>
      </c>
      <c r="AN5313">
        <v>0.99999996473602204</v>
      </c>
    </row>
    <row r="5314" spans="1:40" x14ac:dyDescent="0.25">
      <c r="A5314" t="str">
        <f>"20190312151639633"</f>
        <v>20190312151639633</v>
      </c>
      <c r="B5314" t="str">
        <f>"1552374999622785"</f>
        <v>1552374999622785</v>
      </c>
      <c r="C5314" t="s">
        <v>40</v>
      </c>
      <c r="D5314">
        <v>4.8476939999999997</v>
      </c>
      <c r="E5314">
        <v>0.63666020000000001</v>
      </c>
      <c r="F5314" t="s">
        <v>42</v>
      </c>
      <c r="G5314">
        <v>-307.13470000000001</v>
      </c>
      <c r="H5314">
        <v>-0.05</v>
      </c>
      <c r="I5314">
        <v>7.4326319999999999</v>
      </c>
      <c r="J5314">
        <v>-310.7072</v>
      </c>
      <c r="K5314">
        <v>1.0542549999999999</v>
      </c>
      <c r="L5314">
        <v>13.32602</v>
      </c>
      <c r="M5314">
        <v>0.94097379999999997</v>
      </c>
      <c r="N5314">
        <v>0</v>
      </c>
      <c r="O5314">
        <v>-0.3382522</v>
      </c>
      <c r="P5314">
        <v>0.78630259999999996</v>
      </c>
      <c r="Q5314">
        <v>5.4498930000000001E-2</v>
      </c>
      <c r="R5314">
        <v>-0.61543329999999996</v>
      </c>
      <c r="S5314">
        <v>1.720459</v>
      </c>
      <c r="T5314">
        <v>-0.50650600000000001</v>
      </c>
      <c r="U5314">
        <v>-2.7351380000000001</v>
      </c>
      <c r="V5314">
        <v>0.31408320000000001</v>
      </c>
      <c r="W5314">
        <v>6.1750979999999997E-2</v>
      </c>
      <c r="X5314">
        <v>0.94738509999999998</v>
      </c>
      <c r="Y5314">
        <v>0.61330580000000001</v>
      </c>
      <c r="Z5314">
        <v>2.466373E-3</v>
      </c>
      <c r="AA5314">
        <v>0.78984169999999998</v>
      </c>
      <c r="AB5314">
        <v>24</v>
      </c>
      <c r="AC5314">
        <v>3.57249999999999</v>
      </c>
      <c r="AD5314">
        <v>-1.104255</v>
      </c>
      <c r="AE5314">
        <v>-5.8933879999999998</v>
      </c>
      <c r="AF5314">
        <v>4.2288791072655396</v>
      </c>
      <c r="AG5314">
        <v>-1.104255</v>
      </c>
      <c r="AH5314">
        <v>5.2214371198345599</v>
      </c>
      <c r="AI5314">
        <v>99.332831882913297</v>
      </c>
      <c r="AJ5314">
        <v>50.9957408974728</v>
      </c>
      <c r="AK5314">
        <v>6.8092733243187098</v>
      </c>
      <c r="AL5314">
        <v>86.459676988858803</v>
      </c>
      <c r="AM5314">
        <v>71.658276773314398</v>
      </c>
      <c r="AN5314">
        <v>0.99999998387760503</v>
      </c>
    </row>
    <row r="5315" spans="1:40" x14ac:dyDescent="0.25">
      <c r="A5315" t="str">
        <f>"20190312151639647"</f>
        <v>20190312151639647</v>
      </c>
      <c r="B5315" t="str">
        <f>"1552374999643281"</f>
        <v>1552374999643281</v>
      </c>
      <c r="C5315" t="s">
        <v>40</v>
      </c>
      <c r="D5315">
        <v>4.8431410000000001</v>
      </c>
      <c r="E5315">
        <v>0.63635629999999999</v>
      </c>
      <c r="F5315" t="s">
        <v>42</v>
      </c>
      <c r="G5315">
        <v>-306.99720000000002</v>
      </c>
      <c r="H5315">
        <v>-0.05</v>
      </c>
      <c r="I5315">
        <v>7.3298649999999999</v>
      </c>
      <c r="J5315">
        <v>-310.5616</v>
      </c>
      <c r="K5315">
        <v>1.0541020000000001</v>
      </c>
      <c r="L5315">
        <v>13.267060000000001</v>
      </c>
      <c r="M5315">
        <v>0.93901129999999999</v>
      </c>
      <c r="N5315">
        <v>0</v>
      </c>
      <c r="O5315">
        <v>-0.34366259999999998</v>
      </c>
      <c r="P5315">
        <v>0.78231390000000001</v>
      </c>
      <c r="Q5315">
        <v>5.383636E-2</v>
      </c>
      <c r="R5315">
        <v>-0.62055360000000004</v>
      </c>
      <c r="S5315">
        <v>1.69995099999999</v>
      </c>
      <c r="T5315">
        <v>-0.50598069999999995</v>
      </c>
      <c r="U5315">
        <v>-2.7474980000000002</v>
      </c>
      <c r="V5315">
        <v>0.314807</v>
      </c>
      <c r="W5315">
        <v>6.0984730000000001E-2</v>
      </c>
      <c r="X5315">
        <v>0.94719450000000005</v>
      </c>
      <c r="Y5315">
        <v>0.61465930000000002</v>
      </c>
      <c r="Z5315">
        <v>3.2713410000000001E-3</v>
      </c>
      <c r="AA5315">
        <v>0.78878599999999999</v>
      </c>
      <c r="AB5315">
        <v>24</v>
      </c>
      <c r="AC5315">
        <v>3.5643999999999698</v>
      </c>
      <c r="AD5315">
        <v>-1.1041019999999999</v>
      </c>
      <c r="AE5315">
        <v>-5.937195</v>
      </c>
      <c r="AF5315">
        <v>4.2426274870239897</v>
      </c>
      <c r="AG5315">
        <v>-1.1041019999999999</v>
      </c>
      <c r="AH5315">
        <v>5.2542528610017998</v>
      </c>
      <c r="AI5315">
        <v>99.285182238224294</v>
      </c>
      <c r="AJ5315">
        <v>51.080324645546803</v>
      </c>
      <c r="AK5315">
        <v>6.8429600574167502</v>
      </c>
      <c r="AL5315">
        <v>86.503662851236797</v>
      </c>
      <c r="AM5315">
        <v>71.615396596499707</v>
      </c>
      <c r="AN5315">
        <v>1.0000000026862099</v>
      </c>
    </row>
    <row r="5316" spans="1:40" x14ac:dyDescent="0.25">
      <c r="A5316" t="str">
        <f>"20190312151639658"</f>
        <v>20190312151639658</v>
      </c>
      <c r="B5316" t="str">
        <f>"1552374999653040"</f>
        <v>1552374999653040</v>
      </c>
      <c r="C5316" t="s">
        <v>40</v>
      </c>
      <c r="D5316">
        <v>4.8373980000000003</v>
      </c>
      <c r="E5316">
        <v>0.6361696</v>
      </c>
      <c r="F5316" t="s">
        <v>42</v>
      </c>
      <c r="G5316">
        <v>-306.88409999999999</v>
      </c>
      <c r="H5316">
        <v>-0.05</v>
      </c>
      <c r="I5316">
        <v>7.2457119999999904</v>
      </c>
      <c r="J5316">
        <v>-310.44099999999997</v>
      </c>
      <c r="K5316">
        <v>1.0539799999999999</v>
      </c>
      <c r="L5316">
        <v>13.217529999999901</v>
      </c>
      <c r="M5316">
        <v>0.93733869999999997</v>
      </c>
      <c r="N5316">
        <v>0</v>
      </c>
      <c r="O5316">
        <v>-0.34819909999999998</v>
      </c>
      <c r="P5316">
        <v>0.77889869999999894</v>
      </c>
      <c r="Q5316">
        <v>5.3493730000000003E-2</v>
      </c>
      <c r="R5316">
        <v>-0.62486469999999905</v>
      </c>
      <c r="S5316">
        <v>1.68331899999999</v>
      </c>
      <c r="T5316">
        <v>-0.50537659999999995</v>
      </c>
      <c r="U5316">
        <v>-2.7561339999999999</v>
      </c>
      <c r="V5316">
        <v>0.31545830000000002</v>
      </c>
      <c r="W5316">
        <v>6.0558269999999997E-2</v>
      </c>
      <c r="X5316">
        <v>0.94700519999999999</v>
      </c>
      <c r="Y5316">
        <v>0.61545369999999899</v>
      </c>
      <c r="Z5316">
        <v>3.9820339999999997E-3</v>
      </c>
      <c r="AA5316">
        <v>0.78816309999999901</v>
      </c>
      <c r="AB5316">
        <v>24</v>
      </c>
      <c r="AC5316">
        <v>3.5568999999999802</v>
      </c>
      <c r="AD5316">
        <v>-1.10398</v>
      </c>
      <c r="AE5316">
        <v>-5.9718179999999901</v>
      </c>
      <c r="AF5316">
        <v>4.2521761271788803</v>
      </c>
      <c r="AG5316">
        <v>-1.10398</v>
      </c>
      <c r="AH5316">
        <v>5.2806087879495003</v>
      </c>
      <c r="AI5316">
        <v>99.248499504903194</v>
      </c>
      <c r="AJ5316">
        <v>51.157468973318799</v>
      </c>
      <c r="AK5316">
        <v>6.8691049510339699</v>
      </c>
      <c r="AL5316">
        <v>86.528142605480795</v>
      </c>
      <c r="AM5316">
        <v>71.576492275750496</v>
      </c>
      <c r="AN5316">
        <v>1.0000000459656599</v>
      </c>
    </row>
    <row r="5317" spans="1:40" x14ac:dyDescent="0.25">
      <c r="A5317" t="str">
        <f>"20190312151639669"</f>
        <v>20190312151639669</v>
      </c>
      <c r="B5317" t="str">
        <f>"1552374999662801"</f>
        <v>1552374999662801</v>
      </c>
      <c r="C5317" t="s">
        <v>40</v>
      </c>
      <c r="D5317">
        <v>4.8055000000000003</v>
      </c>
      <c r="E5317">
        <v>0.63602619999999999</v>
      </c>
      <c r="F5317" t="s">
        <v>42</v>
      </c>
      <c r="G5317">
        <v>-306.79149999999998</v>
      </c>
      <c r="H5317">
        <v>-0.05</v>
      </c>
      <c r="I5317">
        <v>7.1722720000000004</v>
      </c>
      <c r="J5317">
        <v>-310.32900000000001</v>
      </c>
      <c r="K5317">
        <v>1.0538689999999999</v>
      </c>
      <c r="L5317">
        <v>13.17102</v>
      </c>
      <c r="M5317">
        <v>0.93574639999999998</v>
      </c>
      <c r="N5317">
        <v>0</v>
      </c>
      <c r="O5317">
        <v>-0.35245569999999998</v>
      </c>
      <c r="P5317">
        <v>0.77579909999999996</v>
      </c>
      <c r="Q5317">
        <v>5.2886929999999999E-2</v>
      </c>
      <c r="R5317">
        <v>-0.62875990000000004</v>
      </c>
      <c r="S5317">
        <v>1.66870099999999</v>
      </c>
      <c r="T5317">
        <v>-0.50479470000000004</v>
      </c>
      <c r="U5317">
        <v>-2.7641909999999998</v>
      </c>
      <c r="V5317">
        <v>0.315888</v>
      </c>
      <c r="W5317">
        <v>5.9880009999999997E-2</v>
      </c>
      <c r="X5317">
        <v>0.94690510000000006</v>
      </c>
      <c r="Y5317">
        <v>0.6159869</v>
      </c>
      <c r="Z5317">
        <v>4.6702139999999998E-3</v>
      </c>
      <c r="AA5317">
        <v>0.78774259999999996</v>
      </c>
      <c r="AB5317">
        <v>24</v>
      </c>
      <c r="AC5317">
        <v>3.5375000000000201</v>
      </c>
      <c r="AD5317">
        <v>-1.103869</v>
      </c>
      <c r="AE5317">
        <v>-5.998748</v>
      </c>
      <c r="AF5317">
        <v>4.2598034251390704</v>
      </c>
      <c r="AG5317">
        <v>-1.103869</v>
      </c>
      <c r="AH5317">
        <v>5.2919531287672097</v>
      </c>
      <c r="AI5317">
        <v>99.229365295553094</v>
      </c>
      <c r="AJ5317">
        <v>51.167372802631</v>
      </c>
      <c r="AK5317">
        <v>6.88253005130065</v>
      </c>
      <c r="AL5317">
        <v>86.567074729988406</v>
      </c>
      <c r="AM5317">
        <v>71.551276317806</v>
      </c>
      <c r="AN5317">
        <v>1.0000000562738001</v>
      </c>
    </row>
    <row r="5318" spans="1:40" x14ac:dyDescent="0.25">
      <c r="A5318" t="str">
        <f>"20190312151639681"</f>
        <v>20190312151639681</v>
      </c>
      <c r="B5318" t="str">
        <f>"1552374999673538"</f>
        <v>1552374999673538</v>
      </c>
      <c r="C5318" t="s">
        <v>40</v>
      </c>
      <c r="D5318">
        <v>4.7685279999999999</v>
      </c>
      <c r="E5318">
        <v>0.63582369999999899</v>
      </c>
      <c r="F5318" t="s">
        <v>42</v>
      </c>
      <c r="G5318">
        <v>-306.71109999999999</v>
      </c>
      <c r="H5318">
        <v>-0.05</v>
      </c>
      <c r="I5318">
        <v>7.1133419999999896</v>
      </c>
      <c r="J5318">
        <v>-310.2122</v>
      </c>
      <c r="K5318">
        <v>1.0537609999999999</v>
      </c>
      <c r="L5318">
        <v>13.121549999999999</v>
      </c>
      <c r="M5318">
        <v>0.93402949999999996</v>
      </c>
      <c r="N5318">
        <v>0</v>
      </c>
      <c r="O5318">
        <v>-0.35698029999999997</v>
      </c>
      <c r="P5318">
        <v>0.77244939999999995</v>
      </c>
      <c r="Q5318">
        <v>5.235033E-2</v>
      </c>
      <c r="R5318">
        <v>-0.63291529999999996</v>
      </c>
      <c r="S5318">
        <v>1.655243</v>
      </c>
      <c r="T5318">
        <v>-0.50502780000000003</v>
      </c>
      <c r="U5318">
        <v>-2.771423</v>
      </c>
      <c r="V5318">
        <v>0.31637929999999997</v>
      </c>
      <c r="W5318">
        <v>5.9271690000000002E-2</v>
      </c>
      <c r="X5318">
        <v>0.94677929999999999</v>
      </c>
      <c r="Y5318">
        <v>0.61594399999999905</v>
      </c>
      <c r="Z5318">
        <v>5.4736400000000001E-3</v>
      </c>
      <c r="AA5318">
        <v>0.787771</v>
      </c>
      <c r="AB5318">
        <v>24</v>
      </c>
      <c r="AC5318">
        <v>3.5011000000000001</v>
      </c>
      <c r="AD5318">
        <v>-1.103761</v>
      </c>
      <c r="AE5318">
        <v>-6.0082079999999998</v>
      </c>
      <c r="AF5318">
        <v>4.2551512743400499</v>
      </c>
      <c r="AG5318">
        <v>-1.103761</v>
      </c>
      <c r="AH5318">
        <v>5.2822776918442402</v>
      </c>
      <c r="AI5318">
        <v>99.242455163994904</v>
      </c>
      <c r="AJ5318">
        <v>51.146736608469098</v>
      </c>
      <c r="AK5318">
        <v>6.8721945786185401</v>
      </c>
      <c r="AL5318">
        <v>86.601990788466793</v>
      </c>
      <c r="AM5318">
        <v>71.522241577151703</v>
      </c>
      <c r="AN5318">
        <v>1.0000000188062099</v>
      </c>
    </row>
    <row r="5319" spans="1:40" x14ac:dyDescent="0.25">
      <c r="A5319" t="str">
        <f>"20190312151639694"</f>
        <v>20190312151639694</v>
      </c>
      <c r="B5319" t="str">
        <f>"1552374999683297"</f>
        <v>1552374999683297</v>
      </c>
      <c r="C5319" t="s">
        <v>40</v>
      </c>
      <c r="D5319">
        <v>4.7892099999999997</v>
      </c>
      <c r="E5319">
        <v>0.63565019999999905</v>
      </c>
      <c r="F5319" t="s">
        <v>42</v>
      </c>
      <c r="G5319">
        <v>-306.62090000000001</v>
      </c>
      <c r="H5319">
        <v>-0.05</v>
      </c>
      <c r="I5319">
        <v>7.0402529999999999</v>
      </c>
      <c r="J5319">
        <v>-310.07819999999998</v>
      </c>
      <c r="K5319">
        <v>1.0536369999999999</v>
      </c>
      <c r="L5319">
        <v>13.064209999999999</v>
      </c>
      <c r="M5319">
        <v>0.93201259999999997</v>
      </c>
      <c r="N5319">
        <v>0</v>
      </c>
      <c r="O5319">
        <v>-0.36221340000000002</v>
      </c>
      <c r="P5319">
        <v>0.76852880000000001</v>
      </c>
      <c r="Q5319">
        <v>5.18746E-2</v>
      </c>
      <c r="R5319">
        <v>-0.63770899999999997</v>
      </c>
      <c r="S5319">
        <v>1.641052</v>
      </c>
      <c r="T5319">
        <v>-0.50436619999999999</v>
      </c>
      <c r="U5319">
        <v>-2.77887</v>
      </c>
      <c r="V5319">
        <v>0.31695489999999998</v>
      </c>
      <c r="W5319">
        <v>5.8715240000000002E-2</v>
      </c>
      <c r="X5319">
        <v>0.94662139999999995</v>
      </c>
      <c r="Y5319">
        <v>0.61549980000000004</v>
      </c>
      <c r="Z5319">
        <v>6.4346789999999996E-3</v>
      </c>
      <c r="AA5319">
        <v>0.7881108</v>
      </c>
      <c r="AB5319">
        <v>24</v>
      </c>
      <c r="AC5319">
        <v>3.4572999999999698</v>
      </c>
      <c r="AD5319">
        <v>-1.103637</v>
      </c>
      <c r="AE5319">
        <v>-6.0239570000000002</v>
      </c>
      <c r="AF5319">
        <v>4.25502606598491</v>
      </c>
      <c r="AG5319">
        <v>-1.103637</v>
      </c>
      <c r="AH5319">
        <v>5.2715229013621201</v>
      </c>
      <c r="AI5319">
        <v>99.252763376002704</v>
      </c>
      <c r="AJ5319">
        <v>51.090500134250298</v>
      </c>
      <c r="AK5319">
        <v>6.8638338521241398</v>
      </c>
      <c r="AL5319">
        <v>86.633928523009502</v>
      </c>
      <c r="AM5319">
        <v>71.488035983276106</v>
      </c>
      <c r="AN5319">
        <v>0.99999998149011304</v>
      </c>
    </row>
    <row r="5320" spans="1:40" x14ac:dyDescent="0.25">
      <c r="A5320" t="str">
        <f>"20190312151639704"</f>
        <v>20190312151639704</v>
      </c>
      <c r="B5320" t="str">
        <f>"1552374999693057"</f>
        <v>1552374999693057</v>
      </c>
      <c r="C5320" t="s">
        <v>40</v>
      </c>
      <c r="D5320">
        <v>4.8090270000000004</v>
      </c>
      <c r="E5320">
        <v>0.63550580000000001</v>
      </c>
      <c r="F5320" t="s">
        <v>42</v>
      </c>
      <c r="G5320">
        <v>-306.52280000000002</v>
      </c>
      <c r="H5320">
        <v>-0.05</v>
      </c>
      <c r="I5320">
        <v>6.9614560000000001</v>
      </c>
      <c r="J5320">
        <v>-309.96940000000001</v>
      </c>
      <c r="K5320">
        <v>1.0535350000000001</v>
      </c>
      <c r="L5320">
        <v>13.016540000000001</v>
      </c>
      <c r="M5320">
        <v>0.93030919999999895</v>
      </c>
      <c r="N5320">
        <v>0</v>
      </c>
      <c r="O5320">
        <v>-0.36656559999999999</v>
      </c>
      <c r="P5320">
        <v>0.76520480000000002</v>
      </c>
      <c r="Q5320">
        <v>5.1197470000000002E-2</v>
      </c>
      <c r="R5320">
        <v>-0.64174790000000004</v>
      </c>
      <c r="S5320">
        <v>1.6242369999999999</v>
      </c>
      <c r="T5320">
        <v>-0.50417639999999997</v>
      </c>
      <c r="U5320">
        <v>-2.7879330000000002</v>
      </c>
      <c r="V5320">
        <v>0.31750089999999997</v>
      </c>
      <c r="W5320">
        <v>5.7975970000000002E-2</v>
      </c>
      <c r="X5320">
        <v>0.94648399999999999</v>
      </c>
      <c r="Y5320">
        <v>0.61651250000000002</v>
      </c>
      <c r="Z5320">
        <v>7.0968489999999997E-3</v>
      </c>
      <c r="AA5320">
        <v>0.78731309999999999</v>
      </c>
      <c r="AB5320">
        <v>24</v>
      </c>
      <c r="AC5320">
        <v>3.4465999999999801</v>
      </c>
      <c r="AD5320">
        <v>-1.1035349999999999</v>
      </c>
      <c r="AE5320">
        <v>-6.0550839999999901</v>
      </c>
      <c r="AF5320">
        <v>4.2630857923947403</v>
      </c>
      <c r="AG5320">
        <v>-1.1035349999999999</v>
      </c>
      <c r="AH5320">
        <v>5.2936087161080003</v>
      </c>
      <c r="AI5320">
        <v>99.222153930206403</v>
      </c>
      <c r="AJ5320">
        <v>51.1545698094844</v>
      </c>
      <c r="AK5320">
        <v>6.8857812344568101</v>
      </c>
      <c r="AL5320">
        <v>86.676357912790095</v>
      </c>
      <c r="AM5320">
        <v>71.455817463026804</v>
      </c>
      <c r="AN5320">
        <v>0.99999999842712495</v>
      </c>
    </row>
    <row r="5321" spans="1:40" x14ac:dyDescent="0.25">
      <c r="A5321" t="str">
        <f>"20190312151639719"</f>
        <v>20190312151639719</v>
      </c>
      <c r="B5321" t="str">
        <f>"1552374999712577"</f>
        <v>1552374999712577</v>
      </c>
      <c r="C5321" t="s">
        <v>40</v>
      </c>
      <c r="D5321">
        <v>4.9849990000000002</v>
      </c>
      <c r="E5321">
        <v>0.63531769999999999</v>
      </c>
      <c r="F5321" t="s">
        <v>42</v>
      </c>
      <c r="G5321">
        <v>-306.44920000000002</v>
      </c>
      <c r="H5321">
        <v>-0.05</v>
      </c>
      <c r="I5321">
        <v>6.9042510000000004</v>
      </c>
      <c r="J5321">
        <v>-309.82049999999998</v>
      </c>
      <c r="K5321">
        <v>1.0534049999999999</v>
      </c>
      <c r="L5321">
        <v>12.950559999999999</v>
      </c>
      <c r="M5321">
        <v>0.92791800000000002</v>
      </c>
      <c r="N5321">
        <v>0</v>
      </c>
      <c r="O5321">
        <v>-0.3725772</v>
      </c>
      <c r="P5321">
        <v>0.76080639999999999</v>
      </c>
      <c r="Q5321">
        <v>5.0591820000000003E-2</v>
      </c>
      <c r="R5321">
        <v>-0.64700409999999997</v>
      </c>
      <c r="S5321">
        <v>1.6098939999999999</v>
      </c>
      <c r="T5321">
        <v>-0.50468930000000001</v>
      </c>
      <c r="U5321">
        <v>-2.7953800000000002</v>
      </c>
      <c r="V5321">
        <v>0.31788810000000001</v>
      </c>
      <c r="W5321">
        <v>5.7294280000000003E-2</v>
      </c>
      <c r="X5321">
        <v>0.94639549999999995</v>
      </c>
      <c r="Y5321">
        <v>0.61542839999999999</v>
      </c>
      <c r="Z5321">
        <v>8.2798560000000004E-3</v>
      </c>
      <c r="AA5321">
        <v>0.78814930000000005</v>
      </c>
      <c r="AB5321">
        <v>24</v>
      </c>
      <c r="AC5321">
        <v>3.3712999999999602</v>
      </c>
      <c r="AD5321">
        <v>-1.103405</v>
      </c>
      <c r="AE5321">
        <v>-6.0463089999999999</v>
      </c>
      <c r="AF5321">
        <v>4.2468538489803702</v>
      </c>
      <c r="AG5321">
        <v>-1.103405</v>
      </c>
      <c r="AH5321">
        <v>5.2480938884435497</v>
      </c>
      <c r="AI5321">
        <v>99.282303331145897</v>
      </c>
      <c r="AJ5321">
        <v>51.019580571258501</v>
      </c>
      <c r="AK5321">
        <v>6.8407426256615604</v>
      </c>
      <c r="AL5321">
        <v>86.715480782531003</v>
      </c>
      <c r="AM5321">
        <v>71.433134488690101</v>
      </c>
      <c r="AN5321">
        <v>0.99999996053128803</v>
      </c>
    </row>
    <row r="5322" spans="1:40" x14ac:dyDescent="0.25">
      <c r="A5322" t="str">
        <f>"20190312151639731"</f>
        <v>20190312151639731</v>
      </c>
      <c r="B5322" t="str">
        <f>"1552374999723313"</f>
        <v>1552374999723313</v>
      </c>
      <c r="C5322" t="s">
        <v>40</v>
      </c>
      <c r="D5322">
        <v>4.7897220000000003</v>
      </c>
      <c r="E5322">
        <v>0.63531769999999999</v>
      </c>
      <c r="F5322" t="s">
        <v>42</v>
      </c>
      <c r="G5322">
        <v>-306.34660000000002</v>
      </c>
      <c r="H5322">
        <v>-0.05</v>
      </c>
      <c r="I5322">
        <v>6.8265840000000004</v>
      </c>
      <c r="J5322">
        <v>-309.7063</v>
      </c>
      <c r="K5322">
        <v>1.053307</v>
      </c>
      <c r="L5322">
        <v>12.899229999999999</v>
      </c>
      <c r="M5322">
        <v>0.92602910000000005</v>
      </c>
      <c r="N5322">
        <v>0</v>
      </c>
      <c r="O5322">
        <v>-0.37724679999999999</v>
      </c>
      <c r="P5322">
        <v>0.75729969999999902</v>
      </c>
      <c r="Q5322">
        <v>5.0068229999999998E-2</v>
      </c>
      <c r="R5322">
        <v>-0.65114539999999999</v>
      </c>
      <c r="S5322">
        <v>1.591248</v>
      </c>
      <c r="T5322">
        <v>-0.50542489999999995</v>
      </c>
      <c r="U5322">
        <v>-2.805145</v>
      </c>
      <c r="V5322">
        <v>0.31827460000000002</v>
      </c>
      <c r="W5322">
        <v>5.6712529999999997E-2</v>
      </c>
      <c r="X5322">
        <v>0.94630069999999999</v>
      </c>
      <c r="Y5322">
        <v>0.61662209999999995</v>
      </c>
      <c r="Z5322">
        <v>9.0001189999999991E-3</v>
      </c>
      <c r="AA5322">
        <v>0.78720780000000001</v>
      </c>
      <c r="AB5322">
        <v>24</v>
      </c>
      <c r="AC5322">
        <v>3.3596999999999699</v>
      </c>
      <c r="AD5322">
        <v>-1.103307</v>
      </c>
      <c r="AE5322">
        <v>-6.0726459999999998</v>
      </c>
      <c r="AF5322">
        <v>4.24896240157035</v>
      </c>
      <c r="AG5322">
        <v>-1.103307</v>
      </c>
      <c r="AH5322">
        <v>5.2693111200372602</v>
      </c>
      <c r="AI5322">
        <v>99.257469039739803</v>
      </c>
      <c r="AJ5322">
        <v>51.1186797130499</v>
      </c>
      <c r="AK5322">
        <v>6.85832395749543</v>
      </c>
      <c r="AL5322">
        <v>86.748867095158104</v>
      </c>
      <c r="AM5322">
        <v>71.410376124500701</v>
      </c>
      <c r="AN5322">
        <v>1.0000000234423201</v>
      </c>
    </row>
    <row r="5323" spans="1:40" x14ac:dyDescent="0.25">
      <c r="A5323" t="str">
        <f>"20190312151639741"</f>
        <v>20190312151639741</v>
      </c>
      <c r="B5323" t="str">
        <f>"1552374999733074"</f>
        <v>1552374999733074</v>
      </c>
      <c r="C5323" t="s">
        <v>40</v>
      </c>
      <c r="D5323">
        <v>4.8188789999999999</v>
      </c>
      <c r="E5323">
        <v>0.62873080000000003</v>
      </c>
      <c r="F5323" t="s">
        <v>42</v>
      </c>
      <c r="G5323">
        <v>-306.27420000000001</v>
      </c>
      <c r="H5323">
        <v>-0.05</v>
      </c>
      <c r="I5323">
        <v>6.7689059999999897</v>
      </c>
      <c r="J5323">
        <v>-309.59589999999997</v>
      </c>
      <c r="K5323">
        <v>1.0532159999999999</v>
      </c>
      <c r="L5323">
        <v>12.84848</v>
      </c>
      <c r="M5323">
        <v>0.92414050000000003</v>
      </c>
      <c r="N5323">
        <v>0</v>
      </c>
      <c r="O5323">
        <v>-0.38184970000000001</v>
      </c>
      <c r="P5323">
        <v>0.75376330000000002</v>
      </c>
      <c r="Q5323">
        <v>4.956195E-2</v>
      </c>
      <c r="R5323">
        <v>-0.65527500000000005</v>
      </c>
      <c r="S5323">
        <v>1.5754090000000001</v>
      </c>
      <c r="T5323">
        <v>-0.50643939999999998</v>
      </c>
      <c r="U5323">
        <v>-2.8139340000000002</v>
      </c>
      <c r="V5323">
        <v>0.31872869999999998</v>
      </c>
      <c r="W5323">
        <v>5.6150760000000001E-2</v>
      </c>
      <c r="X5323">
        <v>0.9461813</v>
      </c>
      <c r="Y5323">
        <v>0.61715690000000001</v>
      </c>
      <c r="Z5323">
        <v>9.7835439999999999E-3</v>
      </c>
      <c r="AA5323">
        <v>0.78677929999999996</v>
      </c>
      <c r="AB5323">
        <v>24</v>
      </c>
      <c r="AC5323">
        <v>3.3216999999999599</v>
      </c>
      <c r="AD5323">
        <v>-1.103216</v>
      </c>
      <c r="AE5323">
        <v>-6.079574</v>
      </c>
      <c r="AF5323">
        <v>4.24273783168268</v>
      </c>
      <c r="AG5323">
        <v>-1.103216</v>
      </c>
      <c r="AH5323">
        <v>5.2582765308685104</v>
      </c>
      <c r="AI5323">
        <v>99.273542656401105</v>
      </c>
      <c r="AJ5323">
        <v>51.101032534864103</v>
      </c>
      <c r="AK5323">
        <v>6.8459756007547998</v>
      </c>
      <c r="AL5323">
        <v>86.781105353019598</v>
      </c>
      <c r="AM5323">
        <v>71.383492291030393</v>
      </c>
      <c r="AN5323">
        <v>0.99999997226097803</v>
      </c>
    </row>
    <row r="5324" spans="1:40" x14ac:dyDescent="0.25">
      <c r="A5324" t="str">
        <f>"20190312151639752"</f>
        <v>20190312151639752</v>
      </c>
      <c r="B5324" t="str">
        <f>"1552374999742832"</f>
        <v>1552374999742832</v>
      </c>
      <c r="C5324" t="s">
        <v>40</v>
      </c>
      <c r="D5324">
        <v>4.8728939999999996</v>
      </c>
      <c r="E5324">
        <v>0.62890610000000002</v>
      </c>
      <c r="F5324" t="s">
        <v>42</v>
      </c>
      <c r="G5324">
        <v>-305.60300000000001</v>
      </c>
      <c r="H5324">
        <v>-0.05</v>
      </c>
      <c r="I5324">
        <v>5.8862759999999996</v>
      </c>
      <c r="J5324">
        <v>-309.48430000000002</v>
      </c>
      <c r="K5324">
        <v>1.053121</v>
      </c>
      <c r="L5324">
        <v>12.797029999999999</v>
      </c>
      <c r="M5324">
        <v>0.92220000000000002</v>
      </c>
      <c r="N5324">
        <v>0</v>
      </c>
      <c r="O5324">
        <v>-0.38651190000000002</v>
      </c>
      <c r="P5324">
        <v>0.75024429999999998</v>
      </c>
      <c r="Q5324">
        <v>4.9263790000000002E-2</v>
      </c>
      <c r="R5324">
        <v>-0.6593232</v>
      </c>
      <c r="S5324">
        <v>1.5935060000000001</v>
      </c>
      <c r="T5324">
        <v>-0.44028060000000002</v>
      </c>
      <c r="U5324">
        <v>-2.7785340000000001</v>
      </c>
      <c r="V5324">
        <v>0.31904320000000003</v>
      </c>
      <c r="W5324">
        <v>5.5798929999999997E-2</v>
      </c>
      <c r="X5324">
        <v>0.9460961</v>
      </c>
      <c r="Y5324">
        <v>0.60577460000000005</v>
      </c>
      <c r="Z5324">
        <v>1.031753E-2</v>
      </c>
      <c r="AA5324">
        <v>0.79556949999999904</v>
      </c>
      <c r="AB5324">
        <v>24</v>
      </c>
      <c r="AC5324">
        <v>3.8813</v>
      </c>
      <c r="AD5324">
        <v>-1.103121</v>
      </c>
      <c r="AE5324">
        <v>-6.9107539999999901</v>
      </c>
      <c r="AF5324">
        <v>4.7807062888638097</v>
      </c>
      <c r="AG5324">
        <v>-1.103121</v>
      </c>
      <c r="AH5324">
        <v>6.1321313847787096</v>
      </c>
      <c r="AI5324">
        <v>98.074758884850098</v>
      </c>
      <c r="AJ5324">
        <v>52.059459286716702</v>
      </c>
      <c r="AK5324">
        <v>7.8533473042525701</v>
      </c>
      <c r="AL5324">
        <v>86.801295334056107</v>
      </c>
      <c r="AM5324">
        <v>71.364828169163104</v>
      </c>
      <c r="AN5324">
        <v>0.999999957245296</v>
      </c>
    </row>
    <row r="5325" spans="1:40" x14ac:dyDescent="0.25">
      <c r="A5325" t="str">
        <f>"20190312151639763"</f>
        <v>20190312151639763</v>
      </c>
      <c r="B5325" t="str">
        <f>"1552374999752593"</f>
        <v>1552374999752593</v>
      </c>
      <c r="C5325" t="s">
        <v>40</v>
      </c>
      <c r="D5325">
        <v>4.8202299999999996</v>
      </c>
      <c r="E5325">
        <v>0.62845280000000003</v>
      </c>
      <c r="F5325" t="s">
        <v>42</v>
      </c>
      <c r="G5325">
        <v>-305.64940000000001</v>
      </c>
      <c r="H5325">
        <v>-0.05</v>
      </c>
      <c r="I5325">
        <v>6.0158389999999997</v>
      </c>
      <c r="J5325">
        <v>-309.37830000000002</v>
      </c>
      <c r="K5325">
        <v>1.0530330000000001</v>
      </c>
      <c r="L5325">
        <v>12.74677</v>
      </c>
      <c r="M5325">
        <v>0.92028339999999997</v>
      </c>
      <c r="N5325">
        <v>0</v>
      </c>
      <c r="O5325">
        <v>-0.39105220000000002</v>
      </c>
      <c r="P5325">
        <v>0.7467163</v>
      </c>
      <c r="Q5325">
        <v>4.92048E-2</v>
      </c>
      <c r="R5325">
        <v>-0.66332049999999998</v>
      </c>
      <c r="S5325">
        <v>1.5773619999999999</v>
      </c>
      <c r="T5325">
        <v>-0.45372180000000001</v>
      </c>
      <c r="U5325">
        <v>-2.7891539999999999</v>
      </c>
      <c r="V5325">
        <v>0.319441799999999</v>
      </c>
      <c r="W5325">
        <v>5.569085E-2</v>
      </c>
      <c r="X5325">
        <v>0.94596800000000003</v>
      </c>
      <c r="Y5325">
        <v>0.6065526</v>
      </c>
      <c r="Z5325">
        <v>1.1285409999999999E-2</v>
      </c>
      <c r="AA5325">
        <v>0.79496319999999998</v>
      </c>
      <c r="AB5325">
        <v>24</v>
      </c>
      <c r="AC5325">
        <v>3.7288999999999999</v>
      </c>
      <c r="AD5325">
        <v>-1.1030329999999999</v>
      </c>
      <c r="AE5325">
        <v>-6.730931</v>
      </c>
      <c r="AF5325">
        <v>4.6411711968653604</v>
      </c>
      <c r="AG5325">
        <v>-1.1030329999999999</v>
      </c>
      <c r="AH5325">
        <v>5.94216234579428</v>
      </c>
      <c r="AI5325">
        <v>98.322943663484907</v>
      </c>
      <c r="AJ5325">
        <v>52.008112909315798</v>
      </c>
      <c r="AK5325">
        <v>7.6201341997025898</v>
      </c>
      <c r="AL5325">
        <v>86.807497629145203</v>
      </c>
      <c r="AM5325">
        <v>71.3408048336658</v>
      </c>
      <c r="AN5325">
        <v>0.99999999569248099</v>
      </c>
    </row>
    <row r="5326" spans="1:40" x14ac:dyDescent="0.25">
      <c r="A5326" t="str">
        <f>"20190312151639775"</f>
        <v>20190312151639775</v>
      </c>
      <c r="B5326" t="str">
        <f>"1552374999763329"</f>
        <v>1552374999763329</v>
      </c>
      <c r="C5326" t="s">
        <v>40</v>
      </c>
      <c r="D5326">
        <v>4.8335160000000004</v>
      </c>
      <c r="E5326">
        <v>0.62845280000000003</v>
      </c>
      <c r="F5326" t="s">
        <v>42</v>
      </c>
      <c r="G5326">
        <v>-305.54169999999999</v>
      </c>
      <c r="H5326">
        <v>-0.05</v>
      </c>
      <c r="I5326">
        <v>5.8943940000000001</v>
      </c>
      <c r="J5326">
        <v>-309.2602</v>
      </c>
      <c r="K5326">
        <v>1.0529309999999901</v>
      </c>
      <c r="L5326">
        <v>12.69049</v>
      </c>
      <c r="M5326">
        <v>0.91811010000000004</v>
      </c>
      <c r="N5326">
        <v>0</v>
      </c>
      <c r="O5326">
        <v>-0.39612730000000002</v>
      </c>
      <c r="P5326">
        <v>0.74269879999999999</v>
      </c>
      <c r="Q5326">
        <v>4.8767669999999999E-2</v>
      </c>
      <c r="R5326">
        <v>-0.66784759999999999</v>
      </c>
      <c r="S5326">
        <v>1.564697</v>
      </c>
      <c r="T5326">
        <v>-0.44985340000000001</v>
      </c>
      <c r="U5326">
        <v>-2.7946170000000001</v>
      </c>
      <c r="V5326">
        <v>0.31996350000000001</v>
      </c>
      <c r="W5326">
        <v>5.5198079999999997E-2</v>
      </c>
      <c r="X5326">
        <v>0.94582060000000001</v>
      </c>
      <c r="Y5326">
        <v>0.60565029999999997</v>
      </c>
      <c r="Z5326">
        <v>1.2087860000000001E-2</v>
      </c>
      <c r="AA5326">
        <v>0.79563919999999999</v>
      </c>
      <c r="AB5326">
        <v>24</v>
      </c>
      <c r="AC5326">
        <v>3.7185000000000001</v>
      </c>
      <c r="AD5326">
        <v>-1.1029310000000001</v>
      </c>
      <c r="AE5326">
        <v>-6.7960959999999897</v>
      </c>
      <c r="AF5326">
        <v>4.6722353950506799</v>
      </c>
      <c r="AG5326">
        <v>-1.1029310000000001</v>
      </c>
      <c r="AH5326">
        <v>5.9852725192388103</v>
      </c>
      <c r="AI5326">
        <v>98.264795325671102</v>
      </c>
      <c r="AJ5326">
        <v>52.023618455937303</v>
      </c>
      <c r="AK5326">
        <v>7.6726610447145802</v>
      </c>
      <c r="AL5326">
        <v>86.835774902694894</v>
      </c>
      <c r="AM5326">
        <v>71.309735381537905</v>
      </c>
      <c r="AN5326">
        <v>1.00000003837614</v>
      </c>
    </row>
    <row r="5327" spans="1:40" x14ac:dyDescent="0.25">
      <c r="A5327" t="str">
        <f>"20190312151639786"</f>
        <v>20190312151639786</v>
      </c>
      <c r="B5327" t="str">
        <f>"1552374999782849"</f>
        <v>1552374999782849</v>
      </c>
      <c r="C5327" t="s">
        <v>40</v>
      </c>
      <c r="D5327">
        <v>4.7685969999999998</v>
      </c>
      <c r="E5327">
        <v>0.63554869999999997</v>
      </c>
      <c r="F5327" t="s">
        <v>42</v>
      </c>
      <c r="G5327">
        <v>-305.4751</v>
      </c>
      <c r="H5327">
        <v>-0.05</v>
      </c>
      <c r="I5327">
        <v>5.8314510000000004</v>
      </c>
      <c r="J5327">
        <v>-309.14159999999998</v>
      </c>
      <c r="K5327">
        <v>1.0528329999999999</v>
      </c>
      <c r="L5327">
        <v>12.63275</v>
      </c>
      <c r="M5327">
        <v>0.91585179999999999</v>
      </c>
      <c r="N5327">
        <v>0</v>
      </c>
      <c r="O5327">
        <v>-0.40132000000000001</v>
      </c>
      <c r="P5327">
        <v>0.73869099999999999</v>
      </c>
      <c r="Q5327">
        <v>4.8747110000000003E-2</v>
      </c>
      <c r="R5327">
        <v>-0.67227959999999998</v>
      </c>
      <c r="S5327">
        <v>1.5474239999999999</v>
      </c>
      <c r="T5327">
        <v>-0.45089899999999999</v>
      </c>
      <c r="U5327">
        <v>-2.8041079999999998</v>
      </c>
      <c r="V5327">
        <v>0.32027850000000002</v>
      </c>
      <c r="W5327">
        <v>5.5129999999999998E-2</v>
      </c>
      <c r="X5327">
        <v>0.9457179</v>
      </c>
      <c r="Y5327">
        <v>0.60606959999999999</v>
      </c>
      <c r="Z5327">
        <v>1.2912180000000001E-2</v>
      </c>
      <c r="AA5327">
        <v>0.79530679999999998</v>
      </c>
      <c r="AB5327">
        <v>24</v>
      </c>
      <c r="AC5327">
        <v>3.6664999999999801</v>
      </c>
      <c r="AD5327">
        <v>-1.102833</v>
      </c>
      <c r="AE5327">
        <v>-6.8012989999999904</v>
      </c>
      <c r="AF5327">
        <v>4.6629232458641399</v>
      </c>
      <c r="AG5327">
        <v>-1.102833</v>
      </c>
      <c r="AH5327">
        <v>5.9663992160549499</v>
      </c>
      <c r="AI5327">
        <v>98.286247585486294</v>
      </c>
      <c r="AJ5327">
        <v>51.991287128486299</v>
      </c>
      <c r="AK5327">
        <v>7.6522554471247402</v>
      </c>
      <c r="AL5327">
        <v>86.839681396137195</v>
      </c>
      <c r="AM5327">
        <v>71.290724444862306</v>
      </c>
      <c r="AN5327">
        <v>0.99999999042132903</v>
      </c>
    </row>
    <row r="5328" spans="1:40" x14ac:dyDescent="0.25">
      <c r="A5328" t="str">
        <f>"20190312151639798"</f>
        <v>20190312151639798</v>
      </c>
      <c r="B5328" t="str">
        <f>"1552374999792609"</f>
        <v>1552374999792609</v>
      </c>
      <c r="C5328" t="s">
        <v>40</v>
      </c>
      <c r="D5328">
        <v>4.8213210000000002</v>
      </c>
      <c r="E5328">
        <v>0.63929150000000001</v>
      </c>
      <c r="F5328" t="s">
        <v>42</v>
      </c>
      <c r="G5328">
        <v>-305.09730000000002</v>
      </c>
      <c r="H5328">
        <v>-0.05</v>
      </c>
      <c r="I5328">
        <v>4.9021299999999997</v>
      </c>
      <c r="J5328">
        <v>-309.02289999999999</v>
      </c>
      <c r="K5328">
        <v>1.0527390000000001</v>
      </c>
      <c r="L5328">
        <v>12.57419</v>
      </c>
      <c r="M5328">
        <v>0.91353209999999996</v>
      </c>
      <c r="N5328">
        <v>0</v>
      </c>
      <c r="O5328">
        <v>-0.40657140000000003</v>
      </c>
      <c r="P5328">
        <v>0.73466180000000003</v>
      </c>
      <c r="Q5328">
        <v>4.8398299999999998E-2</v>
      </c>
      <c r="R5328">
        <v>-0.67670520000000001</v>
      </c>
      <c r="S5328">
        <v>1.492218</v>
      </c>
      <c r="T5328">
        <v>-0.40690569999999998</v>
      </c>
      <c r="U5328">
        <v>-2.852325</v>
      </c>
      <c r="V5328">
        <v>0.32052760000000002</v>
      </c>
      <c r="W5328">
        <v>5.4737199999999903E-2</v>
      </c>
      <c r="X5328">
        <v>0.94565639999999995</v>
      </c>
      <c r="Y5328">
        <v>0.61941729999999995</v>
      </c>
      <c r="Z5328">
        <v>1.127907E-2</v>
      </c>
      <c r="AA5328">
        <v>0.78498089999999998</v>
      </c>
      <c r="AB5328">
        <v>24</v>
      </c>
      <c r="AC5328">
        <v>3.92559999999997</v>
      </c>
      <c r="AD5328">
        <v>-1.1027389999999999</v>
      </c>
      <c r="AE5328">
        <v>-7.6720599999999903</v>
      </c>
      <c r="AF5328">
        <v>5.3258660292169697</v>
      </c>
      <c r="AG5328">
        <v>-1.1027389999999999</v>
      </c>
      <c r="AH5328">
        <v>6.5979070051528996</v>
      </c>
      <c r="AI5328">
        <v>97.409835771426899</v>
      </c>
      <c r="AJ5328">
        <v>51.089344642817203</v>
      </c>
      <c r="AK5328">
        <v>8.5506291646833894</v>
      </c>
      <c r="AL5328">
        <v>86.862221448292601</v>
      </c>
      <c r="AM5328">
        <v>71.276053967564295</v>
      </c>
      <c r="AN5328">
        <v>1.0000000651432699</v>
      </c>
    </row>
    <row r="5329" spans="1:40" x14ac:dyDescent="0.25">
      <c r="A5329" t="str">
        <f>"20190312151639812"</f>
        <v>20190312151639812</v>
      </c>
      <c r="B5329" t="str">
        <f>"1552374999803345"</f>
        <v>1552374999803345</v>
      </c>
      <c r="C5329" t="s">
        <v>40</v>
      </c>
      <c r="D5329">
        <v>4.8122870000000004</v>
      </c>
      <c r="E5329">
        <v>0.64199450000000002</v>
      </c>
      <c r="F5329" t="s">
        <v>42</v>
      </c>
      <c r="G5329">
        <v>-305.16309999999999</v>
      </c>
      <c r="H5329">
        <v>-0.05</v>
      </c>
      <c r="I5329">
        <v>4.9208069999999999</v>
      </c>
      <c r="J5329">
        <v>-308.89089999999999</v>
      </c>
      <c r="K5329">
        <v>1.052635</v>
      </c>
      <c r="L5329">
        <v>12.50821</v>
      </c>
      <c r="M5329">
        <v>0.91088420000000003</v>
      </c>
      <c r="N5329">
        <v>0</v>
      </c>
      <c r="O5329">
        <v>-0.41246899999999997</v>
      </c>
      <c r="P5329">
        <v>0.73001329999999998</v>
      </c>
      <c r="Q5329">
        <v>4.8211370000000003E-2</v>
      </c>
      <c r="R5329">
        <v>-0.68173070000000002</v>
      </c>
      <c r="S5329">
        <v>1.454437</v>
      </c>
      <c r="T5329">
        <v>-0.41553329999999999</v>
      </c>
      <c r="U5329">
        <v>-2.8839419999999998</v>
      </c>
      <c r="V5329">
        <v>0.32090809999999997</v>
      </c>
      <c r="W5329">
        <v>5.4501050000000002E-2</v>
      </c>
      <c r="X5329">
        <v>0.94554090000000002</v>
      </c>
      <c r="Y5329">
        <v>0.62594629999999996</v>
      </c>
      <c r="Z5329">
        <v>1.180485E-2</v>
      </c>
      <c r="AA5329">
        <v>0.77977680000000005</v>
      </c>
      <c r="AB5329">
        <v>24</v>
      </c>
      <c r="AC5329">
        <v>3.7277999999999998</v>
      </c>
      <c r="AD5329">
        <v>-1.102635</v>
      </c>
      <c r="AE5329">
        <v>-7.5874030000000001</v>
      </c>
      <c r="AF5329">
        <v>5.2841744197798599</v>
      </c>
      <c r="AG5329">
        <v>-1.102635</v>
      </c>
      <c r="AH5329">
        <v>6.4165211335091596</v>
      </c>
      <c r="AI5329">
        <v>97.556233412289401</v>
      </c>
      <c r="AJ5329">
        <v>50.527643667825501</v>
      </c>
      <c r="AK5329">
        <v>8.3851086277191698</v>
      </c>
      <c r="AL5329">
        <v>86.875771817470493</v>
      </c>
      <c r="AM5329">
        <v>71.253248492970698</v>
      </c>
      <c r="AN5329">
        <v>0.99999998333476103</v>
      </c>
    </row>
    <row r="5330" spans="1:40" x14ac:dyDescent="0.25">
      <c r="A5330" t="str">
        <f>"20190312151639826"</f>
        <v>20190312151639826</v>
      </c>
      <c r="B5330" t="str">
        <f>"1552374999822865"</f>
        <v>1552374999822865</v>
      </c>
      <c r="C5330" t="s">
        <v>40</v>
      </c>
      <c r="D5330">
        <v>4.8028810000000002</v>
      </c>
      <c r="E5330">
        <v>0.64573150000000001</v>
      </c>
      <c r="F5330" t="s">
        <v>42</v>
      </c>
      <c r="G5330">
        <v>-305.15730000000002</v>
      </c>
      <c r="H5330">
        <v>-0.05</v>
      </c>
      <c r="I5330">
        <v>4.8549959999999999</v>
      </c>
      <c r="J5330">
        <v>-308.74619999999999</v>
      </c>
      <c r="K5330">
        <v>1.052524</v>
      </c>
      <c r="L5330">
        <v>12.43408</v>
      </c>
      <c r="M5330">
        <v>0.90786900000000004</v>
      </c>
      <c r="N5330">
        <v>0</v>
      </c>
      <c r="O5330">
        <v>-0.4190625</v>
      </c>
      <c r="P5330">
        <v>0.72477720000000001</v>
      </c>
      <c r="Q5330">
        <v>4.7942810000000002E-2</v>
      </c>
      <c r="R5330">
        <v>-0.68731350000000002</v>
      </c>
      <c r="S5330">
        <v>1.4196470000000001</v>
      </c>
      <c r="T5330">
        <v>-0.41926160000000001</v>
      </c>
      <c r="U5330">
        <v>-2.910034</v>
      </c>
      <c r="V5330">
        <v>0.32131150000000003</v>
      </c>
      <c r="W5330">
        <v>5.4182029999999999E-2</v>
      </c>
      <c r="X5330">
        <v>0.94542219999999999</v>
      </c>
      <c r="Y5330">
        <v>0.63057600000000003</v>
      </c>
      <c r="Z5330">
        <v>1.2475959999999999E-2</v>
      </c>
      <c r="AA5330">
        <v>0.77602720000000003</v>
      </c>
      <c r="AB5330">
        <v>24</v>
      </c>
      <c r="AC5330">
        <v>3.5888999999999598</v>
      </c>
      <c r="AD5330">
        <v>-1.1025240000000001</v>
      </c>
      <c r="AE5330">
        <v>-7.5790839999999999</v>
      </c>
      <c r="AF5330">
        <v>5.2859043621186403</v>
      </c>
      <c r="AG5330">
        <v>-1.1025240000000001</v>
      </c>
      <c r="AH5330">
        <v>6.3255376555438803</v>
      </c>
      <c r="AI5330">
        <v>97.617912287130594</v>
      </c>
      <c r="AJ5330">
        <v>50.116348860661503</v>
      </c>
      <c r="AK5330">
        <v>8.31677646253309</v>
      </c>
      <c r="AL5330">
        <v>86.894077275411902</v>
      </c>
      <c r="AM5330">
        <v>71.229140402111597</v>
      </c>
      <c r="AN5330">
        <v>0.99999995433000399</v>
      </c>
    </row>
    <row r="5331" spans="1:40" x14ac:dyDescent="0.25">
      <c r="A5331" t="str">
        <f>"20190312151639840"</f>
        <v>20190312151639840</v>
      </c>
      <c r="B5331" t="str">
        <f>"1552374999832625"</f>
        <v>1552374999832625</v>
      </c>
      <c r="C5331" t="s">
        <v>40</v>
      </c>
      <c r="D5331">
        <v>4.7936189999999996</v>
      </c>
      <c r="E5331">
        <v>0.64676250000000002</v>
      </c>
      <c r="F5331" t="s">
        <v>42</v>
      </c>
      <c r="G5331">
        <v>-305.2011</v>
      </c>
      <c r="H5331">
        <v>-0.05</v>
      </c>
      <c r="I5331">
        <v>4.8538509999999997</v>
      </c>
      <c r="J5331">
        <v>-308.61500000000001</v>
      </c>
      <c r="K5331">
        <v>1.052427</v>
      </c>
      <c r="L5331">
        <v>12.36572</v>
      </c>
      <c r="M5331">
        <v>0.90505069999999999</v>
      </c>
      <c r="N5331">
        <v>0</v>
      </c>
      <c r="O5331">
        <v>-0.42511389999999999</v>
      </c>
      <c r="P5331">
        <v>0.72017330000000002</v>
      </c>
      <c r="Q5331">
        <v>4.7804800000000001E-2</v>
      </c>
      <c r="R5331">
        <v>-0.69214549999999997</v>
      </c>
      <c r="S5331">
        <v>1.376465</v>
      </c>
      <c r="T5331">
        <v>-0.42807699999999999</v>
      </c>
      <c r="U5331">
        <v>-2.9431759999999998</v>
      </c>
      <c r="V5331">
        <v>0.32132919999999998</v>
      </c>
      <c r="W5331">
        <v>5.4007289999999999E-2</v>
      </c>
      <c r="X5331">
        <v>0.94542619999999999</v>
      </c>
      <c r="Y5331">
        <v>0.638024699999999</v>
      </c>
      <c r="Z5331">
        <v>1.2972040000000001E-2</v>
      </c>
      <c r="AA5331">
        <v>0.7699066</v>
      </c>
      <c r="AB5331">
        <v>24</v>
      </c>
      <c r="AC5331">
        <v>3.4139000000000101</v>
      </c>
      <c r="AD5331">
        <v>-1.102427</v>
      </c>
      <c r="AE5331">
        <v>-7.5118689999999901</v>
      </c>
      <c r="AF5331">
        <v>5.2539691211138502</v>
      </c>
      <c r="AG5331">
        <v>-1.102427</v>
      </c>
      <c r="AH5331">
        <v>6.1734574563082303</v>
      </c>
      <c r="AI5331">
        <v>97.744290182418695</v>
      </c>
      <c r="AJ5331">
        <v>49.600296026338498</v>
      </c>
      <c r="AK5331">
        <v>8.1811437941643899</v>
      </c>
      <c r="AL5331">
        <v>86.904103872480803</v>
      </c>
      <c r="AM5331">
        <v>71.228252657438802</v>
      </c>
      <c r="AN5331">
        <v>0.99999997089611103</v>
      </c>
    </row>
    <row r="5332" spans="1:40" x14ac:dyDescent="0.25">
      <c r="A5332" t="str">
        <f>"20190312151639859"</f>
        <v>20190312151639859</v>
      </c>
      <c r="B5332" t="str">
        <f>"1552374999853121"</f>
        <v>1552374999853121</v>
      </c>
      <c r="C5332" t="s">
        <v>40</v>
      </c>
      <c r="D5332">
        <v>4.8243229999999997</v>
      </c>
      <c r="E5332">
        <v>0.64798959999999906</v>
      </c>
      <c r="F5332" t="s">
        <v>42</v>
      </c>
      <c r="G5332">
        <v>-305.17469999999997</v>
      </c>
      <c r="H5332">
        <v>-0.05</v>
      </c>
      <c r="I5332">
        <v>4.8324740000000004</v>
      </c>
      <c r="J5332">
        <v>-308.42129999999997</v>
      </c>
      <c r="K5332">
        <v>1.0522899999999999</v>
      </c>
      <c r="L5332">
        <v>12.262700000000001</v>
      </c>
      <c r="M5332">
        <v>0.9007347</v>
      </c>
      <c r="N5332">
        <v>0</v>
      </c>
      <c r="O5332">
        <v>-0.43418220000000002</v>
      </c>
      <c r="P5332">
        <v>0.71318709999999996</v>
      </c>
      <c r="Q5332">
        <v>4.768294E-2</v>
      </c>
      <c r="R5332">
        <v>-0.69935029999999998</v>
      </c>
      <c r="S5332">
        <v>1.3510740000000001</v>
      </c>
      <c r="T5332">
        <v>-0.4329462</v>
      </c>
      <c r="U5332">
        <v>-2.958466</v>
      </c>
      <c r="V5332">
        <v>0.32135049999999998</v>
      </c>
      <c r="W5332">
        <v>5.3837309999999999E-2</v>
      </c>
      <c r="X5332">
        <v>0.94542870000000001</v>
      </c>
      <c r="Y5332">
        <v>0.63730249999999999</v>
      </c>
      <c r="Z5332">
        <v>1.457579E-2</v>
      </c>
      <c r="AA5332">
        <v>0.77047589999999999</v>
      </c>
      <c r="AB5332">
        <v>24</v>
      </c>
      <c r="AC5332">
        <v>3.2465999999999999</v>
      </c>
      <c r="AD5332">
        <v>-1.10229</v>
      </c>
      <c r="AE5332">
        <v>-7.4302260000000002</v>
      </c>
      <c r="AF5332">
        <v>5.1876089641434602</v>
      </c>
      <c r="AG5332">
        <v>-1.10229</v>
      </c>
      <c r="AH5332">
        <v>6.0392910873688601</v>
      </c>
      <c r="AI5332">
        <v>97.882705306635998</v>
      </c>
      <c r="AJ5332">
        <v>49.338197057475398</v>
      </c>
      <c r="AK5332">
        <v>8.0373731310008605</v>
      </c>
      <c r="AL5332">
        <v>86.913857330120706</v>
      </c>
      <c r="AM5332">
        <v>71.227141655833805</v>
      </c>
      <c r="AN5332">
        <v>1.0000000132909801</v>
      </c>
    </row>
    <row r="5333" spans="1:40" x14ac:dyDescent="0.25">
      <c r="A5333" t="str">
        <f>"20190312151639870"</f>
        <v>20190312151639870</v>
      </c>
      <c r="B5333" t="str">
        <f>"1552374999862881"</f>
        <v>1552374999862881</v>
      </c>
      <c r="C5333" t="s">
        <v>40</v>
      </c>
      <c r="D5333">
        <v>4.798705</v>
      </c>
      <c r="E5333">
        <v>0.64839480000000005</v>
      </c>
      <c r="F5333" t="s">
        <v>42</v>
      </c>
      <c r="G5333">
        <v>-305.14940000000001</v>
      </c>
      <c r="H5333">
        <v>-0.05</v>
      </c>
      <c r="I5333">
        <v>4.8442990000000004</v>
      </c>
      <c r="J5333">
        <v>-308.30759999999998</v>
      </c>
      <c r="K5333">
        <v>1.0522180000000001</v>
      </c>
      <c r="L5333">
        <v>12.201140000000001</v>
      </c>
      <c r="M5333">
        <v>0.8981171</v>
      </c>
      <c r="N5333">
        <v>0</v>
      </c>
      <c r="O5333">
        <v>-0.43957020000000002</v>
      </c>
      <c r="P5333">
        <v>0.70933409999999997</v>
      </c>
      <c r="Q5333">
        <v>4.7599490000000001E-2</v>
      </c>
      <c r="R5333">
        <v>-0.70326350000000004</v>
      </c>
      <c r="S5333">
        <v>1.314209</v>
      </c>
      <c r="T5333">
        <v>-0.44274619999999998</v>
      </c>
      <c r="U5333">
        <v>-2.9796749999999999</v>
      </c>
      <c r="V5333">
        <v>0.32089450000000003</v>
      </c>
      <c r="W5333">
        <v>5.3739700000000001E-2</v>
      </c>
      <c r="X5333">
        <v>0.94558909999999996</v>
      </c>
      <c r="Y5333">
        <v>0.64260660000000003</v>
      </c>
      <c r="Z5333">
        <v>1.526543E-2</v>
      </c>
      <c r="AA5333">
        <v>0.76604430000000001</v>
      </c>
      <c r="AB5333">
        <v>24</v>
      </c>
      <c r="AC5333">
        <v>3.1581999999999599</v>
      </c>
      <c r="AD5333">
        <v>-1.1022179999999999</v>
      </c>
      <c r="AE5333">
        <v>-7.3568409999999904</v>
      </c>
      <c r="AF5333">
        <v>5.1223928436537198</v>
      </c>
      <c r="AG5333">
        <v>-1.1022179999999999</v>
      </c>
      <c r="AH5333">
        <v>5.9578547955701202</v>
      </c>
      <c r="AI5333">
        <v>97.985457084980894</v>
      </c>
      <c r="AJ5333">
        <v>49.312000763694201</v>
      </c>
      <c r="AK5333">
        <v>7.9340926846953801</v>
      </c>
      <c r="AL5333">
        <v>86.919458009541202</v>
      </c>
      <c r="AM5333">
        <v>71.254876285883498</v>
      </c>
      <c r="AN5333">
        <v>0.99999999076257495</v>
      </c>
    </row>
    <row r="5334" spans="1:40" x14ac:dyDescent="0.25">
      <c r="A5334" t="str">
        <f>"20190312151639882"</f>
        <v>20190312151639882</v>
      </c>
      <c r="B5334" t="str">
        <f>"1552374999872642"</f>
        <v>1552374999872642</v>
      </c>
      <c r="C5334" t="s">
        <v>40</v>
      </c>
      <c r="D5334">
        <v>4.7056959999999997</v>
      </c>
      <c r="E5334">
        <v>0.64851049999999999</v>
      </c>
      <c r="F5334" t="s">
        <v>42</v>
      </c>
      <c r="G5334">
        <v>-305.1191</v>
      </c>
      <c r="H5334">
        <v>-0.05</v>
      </c>
      <c r="I5334">
        <v>4.8419339999999904</v>
      </c>
      <c r="J5334">
        <v>-308.19819999999999</v>
      </c>
      <c r="K5334">
        <v>1.052149</v>
      </c>
      <c r="L5334">
        <v>12.14059</v>
      </c>
      <c r="M5334">
        <v>0.89552109999999996</v>
      </c>
      <c r="N5334">
        <v>0</v>
      </c>
      <c r="O5334">
        <v>-0.4448339</v>
      </c>
      <c r="P5334">
        <v>0.70542260000000001</v>
      </c>
      <c r="Q5334">
        <v>4.761671E-2</v>
      </c>
      <c r="R5334">
        <v>-0.70718570000000003</v>
      </c>
      <c r="S5334">
        <v>1.2953190000000001</v>
      </c>
      <c r="T5334">
        <v>-0.44776280000000002</v>
      </c>
      <c r="U5334">
        <v>-2.9895939999999999</v>
      </c>
      <c r="V5334">
        <v>0.32059759999999998</v>
      </c>
      <c r="W5334">
        <v>5.3745420000000002E-2</v>
      </c>
      <c r="X5334">
        <v>0.94568949999999996</v>
      </c>
      <c r="Y5334">
        <v>0.64310919999999905</v>
      </c>
      <c r="Z5334">
        <v>1.6232690000000001E-2</v>
      </c>
      <c r="AA5334">
        <v>0.76560240000000002</v>
      </c>
      <c r="AB5334">
        <v>24</v>
      </c>
      <c r="AC5334">
        <v>3.07909999999998</v>
      </c>
      <c r="AD5334">
        <v>-1.102149</v>
      </c>
      <c r="AE5334">
        <v>-7.2986559999999896</v>
      </c>
      <c r="AF5334">
        <v>5.0687182890572497</v>
      </c>
      <c r="AG5334">
        <v>-1.102149</v>
      </c>
      <c r="AH5334">
        <v>5.8905545227461404</v>
      </c>
      <c r="AI5334">
        <v>98.072195636973305</v>
      </c>
      <c r="AJ5334">
        <v>49.288585475795998</v>
      </c>
      <c r="AK5334">
        <v>7.8489024772556197</v>
      </c>
      <c r="AL5334">
        <v>86.919129865320997</v>
      </c>
      <c r="AM5334">
        <v>71.272859698135804</v>
      </c>
      <c r="AN5334">
        <v>1.0000000108534901</v>
      </c>
    </row>
    <row r="5335" spans="1:40" x14ac:dyDescent="0.25">
      <c r="A5335" t="str">
        <f>"20190312151639894"</f>
        <v>20190312151639894</v>
      </c>
      <c r="B5335" t="str">
        <f>"1552374999883378"</f>
        <v>1552374999883378</v>
      </c>
      <c r="C5335" t="s">
        <v>40</v>
      </c>
      <c r="D5335">
        <v>4.8413639999999996</v>
      </c>
      <c r="E5335">
        <v>0.64884129999999995</v>
      </c>
      <c r="F5335" t="s">
        <v>42</v>
      </c>
      <c r="G5335">
        <v>-305.05119999999999</v>
      </c>
      <c r="H5335">
        <v>-0.05</v>
      </c>
      <c r="I5335">
        <v>4.7600559999999996</v>
      </c>
      <c r="J5335">
        <v>-308.08690000000001</v>
      </c>
      <c r="K5335">
        <v>1.052081</v>
      </c>
      <c r="L5335">
        <v>12.07855</v>
      </c>
      <c r="M5335">
        <v>0.89283349999999995</v>
      </c>
      <c r="N5335">
        <v>0</v>
      </c>
      <c r="O5335">
        <v>-0.45020290000000002</v>
      </c>
      <c r="P5335">
        <v>0.70158860000000001</v>
      </c>
      <c r="Q5335">
        <v>4.770079E-2</v>
      </c>
      <c r="R5335">
        <v>-0.71098430000000001</v>
      </c>
      <c r="S5335">
        <v>1.278076</v>
      </c>
      <c r="T5335">
        <v>-0.44760800000000001</v>
      </c>
      <c r="U5335">
        <v>-2.9974059999999998</v>
      </c>
      <c r="V5335">
        <v>0.3200384</v>
      </c>
      <c r="W5335">
        <v>5.3824919999999998E-2</v>
      </c>
      <c r="X5335">
        <v>0.94587429999999995</v>
      </c>
      <c r="Y5335">
        <v>0.64300009999999996</v>
      </c>
      <c r="Z5335">
        <v>1.7102289999999999E-2</v>
      </c>
      <c r="AA5335">
        <v>0.7656752</v>
      </c>
      <c r="AB5335">
        <v>24</v>
      </c>
      <c r="AC5335">
        <v>3.0357000000000198</v>
      </c>
      <c r="AD5335">
        <v>-1.1020809999999901</v>
      </c>
      <c r="AE5335">
        <v>-7.3184940000000003</v>
      </c>
      <c r="AF5335">
        <v>5.0698526561430803</v>
      </c>
      <c r="AG5335">
        <v>-1.1020809999999901</v>
      </c>
      <c r="AH5335">
        <v>5.8916874656215299</v>
      </c>
      <c r="AI5335">
        <v>98.070065878987293</v>
      </c>
      <c r="AJ5335">
        <v>49.287694320730203</v>
      </c>
      <c r="AK5335">
        <v>7.8504757612595597</v>
      </c>
      <c r="AL5335">
        <v>86.914568046083005</v>
      </c>
      <c r="AM5335">
        <v>71.306651729825703</v>
      </c>
      <c r="AN5335">
        <v>0.99999994544402604</v>
      </c>
    </row>
    <row r="5336" spans="1:40" x14ac:dyDescent="0.25">
      <c r="A5336" t="str">
        <f>"20190312151639904"</f>
        <v>20190312151639904</v>
      </c>
      <c r="B5336" t="str">
        <f>"1552374999893137"</f>
        <v>1552374999893137</v>
      </c>
      <c r="C5336" t="s">
        <v>40</v>
      </c>
      <c r="D5336">
        <v>4.8220799999999997</v>
      </c>
      <c r="E5336">
        <v>0.64891259999999995</v>
      </c>
      <c r="F5336" t="s">
        <v>42</v>
      </c>
      <c r="G5336">
        <v>-304.99669999999998</v>
      </c>
      <c r="H5336">
        <v>-0.05</v>
      </c>
      <c r="I5336">
        <v>4.7050320000000001</v>
      </c>
      <c r="J5336">
        <v>-307.97539999999998</v>
      </c>
      <c r="K5336">
        <v>1.0520130000000001</v>
      </c>
      <c r="L5336">
        <v>12.014860000000001</v>
      </c>
      <c r="M5336">
        <v>0.89005119999999904</v>
      </c>
      <c r="N5336">
        <v>0</v>
      </c>
      <c r="O5336">
        <v>-0.45567750000000001</v>
      </c>
      <c r="P5336">
        <v>0.69758549999999997</v>
      </c>
      <c r="Q5336">
        <v>4.7787759999999999E-2</v>
      </c>
      <c r="R5336">
        <v>-0.71490619999999905</v>
      </c>
      <c r="S5336">
        <v>1.2599180000000001</v>
      </c>
      <c r="T5336">
        <v>-0.4493432</v>
      </c>
      <c r="U5336">
        <v>-3.006348</v>
      </c>
      <c r="V5336">
        <v>0.31954559999999999</v>
      </c>
      <c r="W5336">
        <v>5.3909209999999999E-2</v>
      </c>
      <c r="X5336">
        <v>0.94603619999999999</v>
      </c>
      <c r="Y5336">
        <v>0.64307049999999999</v>
      </c>
      <c r="Z5336">
        <v>1.8044770000000002E-2</v>
      </c>
      <c r="AA5336">
        <v>0.76559440000000001</v>
      </c>
      <c r="AB5336">
        <v>24</v>
      </c>
      <c r="AC5336">
        <v>2.9786999999999999</v>
      </c>
      <c r="AD5336">
        <v>-1.1020129999999999</v>
      </c>
      <c r="AE5336">
        <v>-7.3098279999999898</v>
      </c>
      <c r="AF5336">
        <v>5.05077780337803</v>
      </c>
      <c r="AG5336">
        <v>-1.1020129999999999</v>
      </c>
      <c r="AH5336">
        <v>5.8682389667474499</v>
      </c>
      <c r="AI5336">
        <v>98.100649232115899</v>
      </c>
      <c r="AJ5336">
        <v>49.281508408084903</v>
      </c>
      <c r="AK5336">
        <v>7.8205509807249802</v>
      </c>
      <c r="AL5336">
        <v>86.909731862941797</v>
      </c>
      <c r="AM5336">
        <v>71.336413928835597</v>
      </c>
      <c r="AN5336">
        <v>1.00000004255631</v>
      </c>
    </row>
    <row r="5337" spans="1:40" x14ac:dyDescent="0.25">
      <c r="A5337" t="str">
        <f>"20190312151639916"</f>
        <v>20190312151639916</v>
      </c>
      <c r="B5337" t="str">
        <f>"1552374999913633"</f>
        <v>1552374999913633</v>
      </c>
      <c r="C5337" t="s">
        <v>40</v>
      </c>
      <c r="D5337">
        <v>4.8462990000000001</v>
      </c>
      <c r="E5337">
        <v>0.64903310000000003</v>
      </c>
      <c r="F5337" t="s">
        <v>42</v>
      </c>
      <c r="G5337">
        <v>-304.94279999999998</v>
      </c>
      <c r="H5337">
        <v>-0.05</v>
      </c>
      <c r="I5337">
        <v>4.6595760000000004</v>
      </c>
      <c r="J5337">
        <v>-307.8664</v>
      </c>
      <c r="K5337">
        <v>1.0519499999999999</v>
      </c>
      <c r="L5337">
        <v>11.952120000000001</v>
      </c>
      <c r="M5337">
        <v>0.88728039999999997</v>
      </c>
      <c r="N5337">
        <v>0</v>
      </c>
      <c r="O5337">
        <v>-0.46104840000000002</v>
      </c>
      <c r="P5337">
        <v>0.69361719999999905</v>
      </c>
      <c r="Q5337">
        <v>4.7529380000000003E-2</v>
      </c>
      <c r="R5337">
        <v>-0.71877429999999998</v>
      </c>
      <c r="S5337">
        <v>1.242645</v>
      </c>
      <c r="T5337">
        <v>-0.45156740000000001</v>
      </c>
      <c r="U5337">
        <v>-3.0139469999999999</v>
      </c>
      <c r="V5337">
        <v>0.31908409999999998</v>
      </c>
      <c r="W5337">
        <v>5.3648759999999997E-2</v>
      </c>
      <c r="X5337">
        <v>0.94620669999999996</v>
      </c>
      <c r="Y5337">
        <v>0.6428971</v>
      </c>
      <c r="Z5337">
        <v>1.9025340000000002E-2</v>
      </c>
      <c r="AA5337">
        <v>0.76571630000000002</v>
      </c>
      <c r="AB5337">
        <v>24</v>
      </c>
      <c r="AC5337">
        <v>2.92360000000002</v>
      </c>
      <c r="AD5337">
        <v>-1.10195</v>
      </c>
      <c r="AE5337">
        <v>-7.2925439999999897</v>
      </c>
      <c r="AF5337">
        <v>5.02420666501465</v>
      </c>
      <c r="AG5337">
        <v>-1.10195</v>
      </c>
      <c r="AH5337">
        <v>5.8418508366364197</v>
      </c>
      <c r="AI5337">
        <v>98.138914707983005</v>
      </c>
      <c r="AJ5337">
        <v>49.303257126203803</v>
      </c>
      <c r="AK5337">
        <v>7.7835832116569099</v>
      </c>
      <c r="AL5337">
        <v>86.924675999636904</v>
      </c>
      <c r="AM5337">
        <v>71.364632252157605</v>
      </c>
      <c r="AN5337">
        <v>0.99999998572361803</v>
      </c>
    </row>
    <row r="5338" spans="1:40" x14ac:dyDescent="0.25">
      <c r="A5338" t="str">
        <f>"20190312151639928"</f>
        <v>20190312151639928</v>
      </c>
      <c r="B5338" t="str">
        <f>"1552374999923393"</f>
        <v>1552374999923393</v>
      </c>
      <c r="C5338" t="s">
        <v>40</v>
      </c>
      <c r="D5338">
        <v>4.8257989999999999</v>
      </c>
      <c r="E5338">
        <v>0.64906370000000002</v>
      </c>
      <c r="F5338" t="s">
        <v>42</v>
      </c>
      <c r="G5338">
        <v>-304.92059999999998</v>
      </c>
      <c r="H5338">
        <v>-0.05</v>
      </c>
      <c r="I5338">
        <v>4.6845249999999998</v>
      </c>
      <c r="J5338">
        <v>-307.75150000000002</v>
      </c>
      <c r="K5338">
        <v>1.0518829999999999</v>
      </c>
      <c r="L5338">
        <v>11.8848</v>
      </c>
      <c r="M5338">
        <v>0.88428079999999998</v>
      </c>
      <c r="N5338">
        <v>0</v>
      </c>
      <c r="O5338">
        <v>-0.46677469999999999</v>
      </c>
      <c r="P5338">
        <v>0.68933990000000001</v>
      </c>
      <c r="Q5338">
        <v>4.741459E-2</v>
      </c>
      <c r="R5338">
        <v>-0.72288509999999995</v>
      </c>
      <c r="S5338">
        <v>1.224915</v>
      </c>
      <c r="T5338">
        <v>-0.45821260000000003</v>
      </c>
      <c r="U5338">
        <v>-3.0220030000000002</v>
      </c>
      <c r="V5338">
        <v>0.31859539999999997</v>
      </c>
      <c r="W5338">
        <v>5.3533049999999999E-2</v>
      </c>
      <c r="X5338">
        <v>0.94637789999999999</v>
      </c>
      <c r="Y5338">
        <v>0.64251159999999996</v>
      </c>
      <c r="Z5338">
        <v>2.028553E-2</v>
      </c>
      <c r="AA5338">
        <v>0.7660074</v>
      </c>
      <c r="AB5338">
        <v>24</v>
      </c>
      <c r="AC5338">
        <v>2.8309000000000402</v>
      </c>
      <c r="AD5338">
        <v>-1.1018829999999999</v>
      </c>
      <c r="AE5338">
        <v>-7.2002750000000004</v>
      </c>
      <c r="AF5338">
        <v>4.9457793185346297</v>
      </c>
      <c r="AG5338">
        <v>-1.1018829999999999</v>
      </c>
      <c r="AH5338">
        <v>5.7481182384903802</v>
      </c>
      <c r="AI5338">
        <v>98.267782951791503</v>
      </c>
      <c r="AJ5338">
        <v>49.290733577565</v>
      </c>
      <c r="AK5338">
        <v>7.6626198194220496</v>
      </c>
      <c r="AL5338">
        <v>86.931315195974804</v>
      </c>
      <c r="AM5338">
        <v>71.394341698765899</v>
      </c>
      <c r="AN5338">
        <v>0.99999997297593501</v>
      </c>
    </row>
    <row r="5339" spans="1:40" x14ac:dyDescent="0.25">
      <c r="A5339" t="str">
        <f>"20190312151639939"</f>
        <v>20190312151639939</v>
      </c>
      <c r="B5339" t="str">
        <f>"1552374999933153"</f>
        <v>1552374999933153</v>
      </c>
      <c r="C5339" t="s">
        <v>40</v>
      </c>
      <c r="D5339">
        <v>4.8502090000000004</v>
      </c>
      <c r="E5339">
        <v>0.64892109999999903</v>
      </c>
      <c r="F5339" t="s">
        <v>42</v>
      </c>
      <c r="G5339">
        <v>-304.85939999999999</v>
      </c>
      <c r="H5339">
        <v>-0.05</v>
      </c>
      <c r="I5339">
        <v>4.6254580000000001</v>
      </c>
      <c r="J5339">
        <v>-307.64210000000003</v>
      </c>
      <c r="K5339">
        <v>1.051822</v>
      </c>
      <c r="L5339">
        <v>11.81958</v>
      </c>
      <c r="M5339">
        <v>0.88134869999999899</v>
      </c>
      <c r="N5339">
        <v>0</v>
      </c>
      <c r="O5339">
        <v>-0.4722866</v>
      </c>
      <c r="P5339">
        <v>0.685025</v>
      </c>
      <c r="Q5339">
        <v>4.7356250000000003E-2</v>
      </c>
      <c r="R5339">
        <v>-0.72697900000000004</v>
      </c>
      <c r="S5339">
        <v>1.206879</v>
      </c>
      <c r="T5339">
        <v>-0.45981569999999999</v>
      </c>
      <c r="U5339">
        <v>-3.0293269999999999</v>
      </c>
      <c r="V5339">
        <v>0.31833070000000002</v>
      </c>
      <c r="W5339">
        <v>5.3468769999999999E-2</v>
      </c>
      <c r="X5339">
        <v>0.94647060000000005</v>
      </c>
      <c r="Y5339">
        <v>0.64233050000000003</v>
      </c>
      <c r="Z5339">
        <v>2.129371E-2</v>
      </c>
      <c r="AA5339">
        <v>0.76613189999999998</v>
      </c>
      <c r="AB5339">
        <v>24</v>
      </c>
      <c r="AC5339">
        <v>2.7827000000000299</v>
      </c>
      <c r="AD5339">
        <v>-1.1018219999999901</v>
      </c>
      <c r="AE5339">
        <v>-7.1941220000000001</v>
      </c>
      <c r="AF5339">
        <v>4.9262107909194404</v>
      </c>
      <c r="AG5339">
        <v>-1.1018219999999901</v>
      </c>
      <c r="AH5339">
        <v>5.7337226178521004</v>
      </c>
      <c r="AI5339">
        <v>98.292862694643702</v>
      </c>
      <c r="AJ5339">
        <v>49.331999285241103</v>
      </c>
      <c r="AK5339">
        <v>7.6391844809982103</v>
      </c>
      <c r="AL5339">
        <v>86.935003442877104</v>
      </c>
      <c r="AM5339">
        <v>71.410432869881006</v>
      </c>
      <c r="AN5339">
        <v>0.99999997029608101</v>
      </c>
    </row>
    <row r="5340" spans="1:40" x14ac:dyDescent="0.25">
      <c r="A5340" t="str">
        <f>"20190312151639951"</f>
        <v>20190312151639951</v>
      </c>
      <c r="B5340" t="str">
        <f>"1552374999942913"</f>
        <v>1552374999942913</v>
      </c>
      <c r="C5340" t="s">
        <v>40</v>
      </c>
      <c r="D5340">
        <v>4.8556339999999896</v>
      </c>
      <c r="E5340">
        <v>0.64882109999999904</v>
      </c>
      <c r="F5340" t="s">
        <v>42</v>
      </c>
      <c r="G5340">
        <v>-304.80520000000001</v>
      </c>
      <c r="H5340">
        <v>-0.05</v>
      </c>
      <c r="I5340">
        <v>4.5790860000000002</v>
      </c>
      <c r="J5340">
        <v>-307.52800000000002</v>
      </c>
      <c r="K5340">
        <v>1.0517570000000001</v>
      </c>
      <c r="L5340">
        <v>11.75085</v>
      </c>
      <c r="M5340">
        <v>0.87822809999999996</v>
      </c>
      <c r="N5340">
        <v>0</v>
      </c>
      <c r="O5340">
        <v>-0.47806359999999998</v>
      </c>
      <c r="P5340">
        <v>0.68062159999999905</v>
      </c>
      <c r="Q5340">
        <v>4.735967E-2</v>
      </c>
      <c r="R5340">
        <v>-0.73110319999999995</v>
      </c>
      <c r="S5340">
        <v>1.189514</v>
      </c>
      <c r="T5340">
        <v>-0.4619955</v>
      </c>
      <c r="U5340">
        <v>-3.0359500000000001</v>
      </c>
      <c r="V5340">
        <v>0.3178415</v>
      </c>
      <c r="W5340">
        <v>5.3470669999999998E-2</v>
      </c>
      <c r="X5340">
        <v>0.94663489999999995</v>
      </c>
      <c r="Y5340">
        <v>0.64169589999999999</v>
      </c>
      <c r="Z5340">
        <v>2.2425980000000002E-2</v>
      </c>
      <c r="AA5340">
        <v>0.76663119999999996</v>
      </c>
      <c r="AB5340">
        <v>24</v>
      </c>
      <c r="AC5340">
        <v>2.7227999999999999</v>
      </c>
      <c r="AD5340">
        <v>-1.1017569999999901</v>
      </c>
      <c r="AE5340">
        <v>-7.1717639999999996</v>
      </c>
      <c r="AF5340">
        <v>4.8962041987560196</v>
      </c>
      <c r="AG5340">
        <v>-1.1017569999999901</v>
      </c>
      <c r="AH5340">
        <v>5.7026650357293098</v>
      </c>
      <c r="AI5340">
        <v>98.339276523148797</v>
      </c>
      <c r="AJ5340">
        <v>49.3512130417257</v>
      </c>
      <c r="AK5340">
        <v>7.59651713304818</v>
      </c>
      <c r="AL5340">
        <v>86.934894463256697</v>
      </c>
      <c r="AM5340">
        <v>71.440042911319296</v>
      </c>
      <c r="AN5340">
        <v>0.99999998278525404</v>
      </c>
    </row>
    <row r="5341" spans="1:40" x14ac:dyDescent="0.25">
      <c r="A5341" t="str">
        <f>"20190312151639964"</f>
        <v>20190312151639964</v>
      </c>
      <c r="B5341" t="str">
        <f>"1552374999953649"</f>
        <v>1552374999953649</v>
      </c>
      <c r="C5341" t="s">
        <v>40</v>
      </c>
      <c r="D5341">
        <v>4.8806609999999999</v>
      </c>
      <c r="E5341">
        <v>0.64865260000000002</v>
      </c>
      <c r="F5341" t="s">
        <v>42</v>
      </c>
      <c r="G5341">
        <v>-304.74950000000001</v>
      </c>
      <c r="H5341">
        <v>-0.05</v>
      </c>
      <c r="I5341">
        <v>4.5374299999999996</v>
      </c>
      <c r="J5341">
        <v>-307.416</v>
      </c>
      <c r="K5341">
        <v>1.0516890000000001</v>
      </c>
      <c r="L5341">
        <v>11.681850000000001</v>
      </c>
      <c r="M5341">
        <v>0.87507060000000003</v>
      </c>
      <c r="N5341">
        <v>0</v>
      </c>
      <c r="O5341">
        <v>-0.48381750000000001</v>
      </c>
      <c r="P5341">
        <v>0.67572219999999905</v>
      </c>
      <c r="Q5341">
        <v>4.7548159999999999E-2</v>
      </c>
      <c r="R5341">
        <v>-0.73562190000000005</v>
      </c>
      <c r="S5341">
        <v>1.1719360000000001</v>
      </c>
      <c r="T5341">
        <v>-0.4647038</v>
      </c>
      <c r="U5341">
        <v>-3.0425110000000002</v>
      </c>
      <c r="V5341">
        <v>0.31795449999999997</v>
      </c>
      <c r="W5341">
        <v>5.3644949999999997E-2</v>
      </c>
      <c r="X5341">
        <v>0.94658710000000001</v>
      </c>
      <c r="Y5341">
        <v>0.64110069999999997</v>
      </c>
      <c r="Z5341">
        <v>2.3589189999999999E-2</v>
      </c>
      <c r="AA5341">
        <v>0.7670941</v>
      </c>
      <c r="AB5341">
        <v>24</v>
      </c>
      <c r="AC5341">
        <v>2.6664999999999801</v>
      </c>
      <c r="AD5341">
        <v>-1.1016889999999999</v>
      </c>
      <c r="AE5341">
        <v>-7.1444199999999896</v>
      </c>
      <c r="AF5341">
        <v>4.8607500744139296</v>
      </c>
      <c r="AG5341">
        <v>-1.1016889999999999</v>
      </c>
      <c r="AH5341">
        <v>5.6720864675503302</v>
      </c>
      <c r="AI5341">
        <v>98.389713081616904</v>
      </c>
      <c r="AJ5341">
        <v>49.404752217587699</v>
      </c>
      <c r="AK5341">
        <v>7.5507069095551298</v>
      </c>
      <c r="AL5341">
        <v>86.924894628558107</v>
      </c>
      <c r="AM5341">
        <v>71.433023376432104</v>
      </c>
      <c r="AN5341">
        <v>0.99999999130858097</v>
      </c>
    </row>
    <row r="5342" spans="1:40" x14ac:dyDescent="0.25">
      <c r="A5342" t="str">
        <f>"20190312151639977"</f>
        <v>20190312151639977</v>
      </c>
      <c r="B5342" t="str">
        <f>"1552374999973170"</f>
        <v>1552374999973170</v>
      </c>
      <c r="C5342" t="s">
        <v>40</v>
      </c>
      <c r="D5342">
        <v>4.9089729999999996</v>
      </c>
      <c r="E5342">
        <v>0.64837</v>
      </c>
      <c r="F5342" t="s">
        <v>42</v>
      </c>
      <c r="G5342">
        <v>-304.69290000000001</v>
      </c>
      <c r="H5342">
        <v>-0.05</v>
      </c>
      <c r="I5342">
        <v>4.4755710000000004</v>
      </c>
      <c r="J5342">
        <v>-307.29590000000002</v>
      </c>
      <c r="K5342">
        <v>1.05162</v>
      </c>
      <c r="L5342">
        <v>11.60699</v>
      </c>
      <c r="M5342">
        <v>0.87161149999999998</v>
      </c>
      <c r="N5342">
        <v>0</v>
      </c>
      <c r="O5342">
        <v>-0.49002050000000003</v>
      </c>
      <c r="P5342">
        <v>0.67063629999999996</v>
      </c>
      <c r="Q5342">
        <v>4.7369460000000002E-2</v>
      </c>
      <c r="R5342">
        <v>-0.74027229999999999</v>
      </c>
      <c r="S5342">
        <v>1.1524350000000001</v>
      </c>
      <c r="T5342">
        <v>-0.4662364</v>
      </c>
      <c r="U5342">
        <v>-3.0497130000000001</v>
      </c>
      <c r="V5342">
        <v>0.31777090000000002</v>
      </c>
      <c r="W5342">
        <v>5.3459720000000002E-2</v>
      </c>
      <c r="X5342">
        <v>0.94665920000000003</v>
      </c>
      <c r="Y5342">
        <v>0.64057969999999997</v>
      </c>
      <c r="Z5342">
        <v>2.4774609999999999E-2</v>
      </c>
      <c r="AA5342">
        <v>0.7674919</v>
      </c>
      <c r="AB5342">
        <v>24</v>
      </c>
      <c r="AC5342">
        <v>2.6030000000000002</v>
      </c>
      <c r="AD5342">
        <v>-1.10162</v>
      </c>
      <c r="AE5342">
        <v>-7.1314190000000002</v>
      </c>
      <c r="AF5342">
        <v>4.8388406352011497</v>
      </c>
      <c r="AG5342">
        <v>-1.10162</v>
      </c>
      <c r="AH5342">
        <v>5.6449799602466202</v>
      </c>
      <c r="AI5342">
        <v>98.427941985917499</v>
      </c>
      <c r="AJ5342">
        <v>49.397029738679102</v>
      </c>
      <c r="AK5342">
        <v>7.5162320393173001</v>
      </c>
      <c r="AL5342">
        <v>86.935522692286099</v>
      </c>
      <c r="AM5342">
        <v>71.444326900005507</v>
      </c>
      <c r="AN5342">
        <v>0.99999996374696298</v>
      </c>
    </row>
    <row r="5343" spans="1:40" x14ac:dyDescent="0.25">
      <c r="A5343" t="str">
        <f>"20190312151639991"</f>
        <v>20190312151639991</v>
      </c>
      <c r="B5343" t="str">
        <f>"1552374999983906"</f>
        <v>1552374999983906</v>
      </c>
      <c r="C5343" t="s">
        <v>40</v>
      </c>
      <c r="D5343">
        <v>4.886247</v>
      </c>
      <c r="E5343">
        <v>0.64819649999999995</v>
      </c>
      <c r="F5343" t="s">
        <v>42</v>
      </c>
      <c r="G5343">
        <v>-304.64359999999999</v>
      </c>
      <c r="H5343">
        <v>-0.05</v>
      </c>
      <c r="I5343">
        <v>4.4503779999999997</v>
      </c>
      <c r="J5343">
        <v>-307.15199999999999</v>
      </c>
      <c r="K5343">
        <v>1.0515369999999999</v>
      </c>
      <c r="L5343">
        <v>11.515689999999999</v>
      </c>
      <c r="M5343">
        <v>0.86734669999999903</v>
      </c>
      <c r="N5343">
        <v>0</v>
      </c>
      <c r="O5343">
        <v>-0.49752869999999999</v>
      </c>
      <c r="P5343">
        <v>0.66443219999999903</v>
      </c>
      <c r="Q5343">
        <v>4.7576319999999998E-2</v>
      </c>
      <c r="R5343">
        <v>-0.74583279999999996</v>
      </c>
      <c r="S5343">
        <v>1.1327510000000001</v>
      </c>
      <c r="T5343">
        <v>-0.47048200000000001</v>
      </c>
      <c r="U5343">
        <v>-3.0564580000000001</v>
      </c>
      <c r="V5343">
        <v>0.31750479999999998</v>
      </c>
      <c r="W5343">
        <v>5.3666859999999997E-2</v>
      </c>
      <c r="X5343">
        <v>0.94673680000000004</v>
      </c>
      <c r="Y5343">
        <v>0.63888459999999903</v>
      </c>
      <c r="Z5343">
        <v>2.6454709999999999E-2</v>
      </c>
      <c r="AA5343">
        <v>0.76884750000000002</v>
      </c>
      <c r="AB5343">
        <v>24</v>
      </c>
      <c r="AC5343">
        <v>2.5083999999999902</v>
      </c>
      <c r="AD5343">
        <v>-1.101537</v>
      </c>
      <c r="AE5343">
        <v>-7.0653119999999996</v>
      </c>
      <c r="AF5343">
        <v>4.7773747923807504</v>
      </c>
      <c r="AG5343">
        <v>-1.101537</v>
      </c>
      <c r="AH5343">
        <v>5.5710862705164699</v>
      </c>
      <c r="AI5343">
        <v>98.536058481016696</v>
      </c>
      <c r="AJ5343">
        <v>49.385913721042897</v>
      </c>
      <c r="AK5343">
        <v>7.4211654005810397</v>
      </c>
      <c r="AL5343">
        <v>86.923637491295196</v>
      </c>
      <c r="AM5343">
        <v>71.460218503657998</v>
      </c>
      <c r="AN5343">
        <v>0.99999999917976901</v>
      </c>
    </row>
    <row r="5344" spans="1:40" x14ac:dyDescent="0.25">
      <c r="A5344" t="str">
        <f>"20190312151640007"</f>
        <v>20190312151640007</v>
      </c>
      <c r="B5344" t="str">
        <f>"1552375000003425"</f>
        <v>1552375000003425</v>
      </c>
      <c r="C5344" t="s">
        <v>40</v>
      </c>
      <c r="D5344">
        <v>4.9046760000000003</v>
      </c>
      <c r="E5344">
        <v>0.64788349999999995</v>
      </c>
      <c r="F5344" t="s">
        <v>42</v>
      </c>
      <c r="G5344">
        <v>-304.5609</v>
      </c>
      <c r="H5344">
        <v>-0.05</v>
      </c>
      <c r="I5344">
        <v>4.3494419999999998</v>
      </c>
      <c r="J5344">
        <v>-307.01929999999999</v>
      </c>
      <c r="K5344">
        <v>1.0514669999999999</v>
      </c>
      <c r="L5344">
        <v>11.429349999999999</v>
      </c>
      <c r="M5344">
        <v>0.86327489999999996</v>
      </c>
      <c r="N5344">
        <v>0</v>
      </c>
      <c r="O5344">
        <v>-0.50455899999999998</v>
      </c>
      <c r="P5344">
        <v>0.65859190000000001</v>
      </c>
      <c r="Q5344">
        <v>4.7301919999999997E-2</v>
      </c>
      <c r="R5344">
        <v>-0.75101229999999997</v>
      </c>
      <c r="S5344">
        <v>1.108276</v>
      </c>
      <c r="T5344">
        <v>-0.47114539999999999</v>
      </c>
      <c r="U5344">
        <v>-3.0651250000000001</v>
      </c>
      <c r="V5344">
        <v>0.31722060000000002</v>
      </c>
      <c r="W5344">
        <v>5.3402100000000001E-2</v>
      </c>
      <c r="X5344">
        <v>0.94684699999999999</v>
      </c>
      <c r="Y5344">
        <v>0.63880550000000003</v>
      </c>
      <c r="Z5344">
        <v>2.7720999999999999E-2</v>
      </c>
      <c r="AA5344">
        <v>0.76886869999999996</v>
      </c>
      <c r="AB5344">
        <v>24</v>
      </c>
      <c r="AC5344">
        <v>2.4583999999999802</v>
      </c>
      <c r="AD5344">
        <v>-1.101467</v>
      </c>
      <c r="AE5344">
        <v>-7.0799079999999996</v>
      </c>
      <c r="AF5344">
        <v>4.7689221243110502</v>
      </c>
      <c r="AG5344">
        <v>-1.101467</v>
      </c>
      <c r="AH5344">
        <v>5.5745997302638397</v>
      </c>
      <c r="AI5344">
        <v>98.538768277619297</v>
      </c>
      <c r="AJ5344">
        <v>49.453889901162498</v>
      </c>
      <c r="AK5344">
        <v>7.4183562823909996</v>
      </c>
      <c r="AL5344">
        <v>86.938828808961404</v>
      </c>
      <c r="AM5344">
        <v>71.477689450526199</v>
      </c>
      <c r="AN5344">
        <v>0.99999996737888397</v>
      </c>
    </row>
    <row r="5345" spans="1:40" x14ac:dyDescent="0.25">
      <c r="A5345" t="str">
        <f>"20190312151640028"</f>
        <v>20190312151640028</v>
      </c>
      <c r="B5345" t="str">
        <f>"1552375000022945"</f>
        <v>1552375000022945</v>
      </c>
      <c r="C5345" t="s">
        <v>40</v>
      </c>
      <c r="D5345">
        <v>4.9228639999999997</v>
      </c>
      <c r="E5345">
        <v>0.64750830000000004</v>
      </c>
      <c r="F5345" t="s">
        <v>42</v>
      </c>
      <c r="G5345">
        <v>-304.50599999999997</v>
      </c>
      <c r="H5345">
        <v>-0.05</v>
      </c>
      <c r="I5345">
        <v>4.3160249999999998</v>
      </c>
      <c r="J5345">
        <v>-306.81599999999997</v>
      </c>
      <c r="K5345">
        <v>1.051361</v>
      </c>
      <c r="L5345">
        <v>11.29443</v>
      </c>
      <c r="M5345">
        <v>0.85682689999999995</v>
      </c>
      <c r="N5345">
        <v>0</v>
      </c>
      <c r="O5345">
        <v>-0.51543030000000001</v>
      </c>
      <c r="P5345">
        <v>0.64906260000000005</v>
      </c>
      <c r="Q5345">
        <v>4.7749630000000001E-2</v>
      </c>
      <c r="R5345">
        <v>-0.75923509999999905</v>
      </c>
      <c r="S5345">
        <v>1.085602</v>
      </c>
      <c r="T5345">
        <v>-0.47577760000000002</v>
      </c>
      <c r="U5345">
        <v>-3.0726010000000001</v>
      </c>
      <c r="V5345">
        <v>0.31720179999999998</v>
      </c>
      <c r="W5345">
        <v>5.3857780000000001E-2</v>
      </c>
      <c r="X5345">
        <v>0.94682750000000004</v>
      </c>
      <c r="Y5345">
        <v>0.63478699999999999</v>
      </c>
      <c r="Z5345">
        <v>3.027345E-2</v>
      </c>
      <c r="AA5345">
        <v>0.77209399999999995</v>
      </c>
      <c r="AB5345">
        <v>24</v>
      </c>
      <c r="AC5345">
        <v>2.31</v>
      </c>
      <c r="AD5345">
        <v>-1.101361</v>
      </c>
      <c r="AE5345">
        <v>-6.9784050000000004</v>
      </c>
      <c r="AF5345">
        <v>4.6839226418849202</v>
      </c>
      <c r="AG5345">
        <v>-1.101361</v>
      </c>
      <c r="AH5345">
        <v>5.4542116766271</v>
      </c>
      <c r="AI5345">
        <v>98.709557004786305</v>
      </c>
      <c r="AJ5345">
        <v>49.344948995457997</v>
      </c>
      <c r="AK5345">
        <v>7.2732765918077504</v>
      </c>
      <c r="AL5345">
        <v>86.912682674168195</v>
      </c>
      <c r="AM5345">
        <v>71.478356856173804</v>
      </c>
      <c r="AN5345">
        <v>0.99999997857300804</v>
      </c>
    </row>
    <row r="5346" spans="1:40" x14ac:dyDescent="0.25">
      <c r="A5346" t="str">
        <f>"20190312151640051"</f>
        <v>20190312151640051</v>
      </c>
      <c r="B5346" t="str">
        <f>"1552375000043441"</f>
        <v>1552375000043441</v>
      </c>
      <c r="C5346" t="s">
        <v>40</v>
      </c>
      <c r="D5346">
        <v>4.9256379999999904</v>
      </c>
      <c r="E5346">
        <v>0.64718339999999996</v>
      </c>
      <c r="F5346" t="s">
        <v>42</v>
      </c>
      <c r="G5346">
        <v>-304.39240000000001</v>
      </c>
      <c r="H5346">
        <v>-0.05</v>
      </c>
      <c r="I5346">
        <v>4.1719059999999999</v>
      </c>
      <c r="J5346">
        <v>-306.60660000000001</v>
      </c>
      <c r="K5346">
        <v>1.051258</v>
      </c>
      <c r="L5346">
        <v>11.15128</v>
      </c>
      <c r="M5346">
        <v>0.84987939999999995</v>
      </c>
      <c r="N5346">
        <v>0</v>
      </c>
      <c r="O5346">
        <v>-0.52680469999999902</v>
      </c>
      <c r="P5346">
        <v>0.63873419999999903</v>
      </c>
      <c r="Q5346">
        <v>4.7075659999999998E-2</v>
      </c>
      <c r="R5346">
        <v>-0.76798650000000002</v>
      </c>
      <c r="S5346">
        <v>1.049469</v>
      </c>
      <c r="T5346">
        <v>-0.47690690000000002</v>
      </c>
      <c r="U5346">
        <v>-3.0841669999999999</v>
      </c>
      <c r="V5346">
        <v>0.31742540000000002</v>
      </c>
      <c r="W5346">
        <v>5.3189260000000002E-2</v>
      </c>
      <c r="X5346">
        <v>0.94679040000000003</v>
      </c>
      <c r="Y5346">
        <v>0.63355819999999996</v>
      </c>
      <c r="Z5346">
        <v>3.2476980000000003E-2</v>
      </c>
      <c r="AA5346">
        <v>0.77301309999999901</v>
      </c>
      <c r="AB5346">
        <v>24</v>
      </c>
      <c r="AC5346">
        <v>2.2141999999999999</v>
      </c>
      <c r="AD5346">
        <v>-1.1012580000000001</v>
      </c>
      <c r="AE5346">
        <v>-6.979374</v>
      </c>
      <c r="AF5346">
        <v>4.66019377568555</v>
      </c>
      <c r="AG5346">
        <v>-1.1012580000000001</v>
      </c>
      <c r="AH5346">
        <v>5.43610929010537</v>
      </c>
      <c r="AI5346">
        <v>98.743710376223703</v>
      </c>
      <c r="AJ5346">
        <v>49.394625463690097</v>
      </c>
      <c r="AK5346">
        <v>7.2444088387854197</v>
      </c>
      <c r="AL5346">
        <v>86.951041165258104</v>
      </c>
      <c r="AM5346">
        <v>71.465515674677306</v>
      </c>
      <c r="AN5346">
        <v>1.00000002173833</v>
      </c>
    </row>
    <row r="5347" spans="1:40" x14ac:dyDescent="0.25">
      <c r="A5347" t="str">
        <f>"20190312151640071"</f>
        <v>20190312151640071</v>
      </c>
      <c r="B5347" t="str">
        <f>"1552375000062961"</f>
        <v>1552375000062961</v>
      </c>
      <c r="C5347" t="s">
        <v>40</v>
      </c>
      <c r="D5347">
        <v>4.9363489999999999</v>
      </c>
      <c r="E5347">
        <v>0.64676630000000002</v>
      </c>
      <c r="F5347" t="s">
        <v>42</v>
      </c>
      <c r="G5347">
        <v>-304.28989999999999</v>
      </c>
      <c r="H5347">
        <v>-0.05</v>
      </c>
      <c r="I5347">
        <v>4.0457460000000003</v>
      </c>
      <c r="J5347">
        <v>-306.42259999999999</v>
      </c>
      <c r="K5347">
        <v>1.051166</v>
      </c>
      <c r="L5347">
        <v>11.02182</v>
      </c>
      <c r="M5347">
        <v>0.8435127</v>
      </c>
      <c r="N5347">
        <v>0</v>
      </c>
      <c r="O5347">
        <v>-0.53693769999999996</v>
      </c>
      <c r="P5347">
        <v>0.62940069999999904</v>
      </c>
      <c r="Q5347">
        <v>4.6900999999999998E-2</v>
      </c>
      <c r="R5347">
        <v>-0.77566449999999998</v>
      </c>
      <c r="S5347">
        <v>1.0094909999999999</v>
      </c>
      <c r="T5347">
        <v>-0.4798615</v>
      </c>
      <c r="U5347">
        <v>-3.0961609999999999</v>
      </c>
      <c r="V5347">
        <v>0.31756190000000001</v>
      </c>
      <c r="W5347">
        <v>5.3025940000000001E-2</v>
      </c>
      <c r="X5347">
        <v>0.94675379999999998</v>
      </c>
      <c r="Y5347">
        <v>0.63424630000000004</v>
      </c>
      <c r="Z5347">
        <v>3.4439699999999997E-2</v>
      </c>
      <c r="AA5347">
        <v>0.77236359999999904</v>
      </c>
      <c r="AB5347">
        <v>24</v>
      </c>
      <c r="AC5347">
        <v>2.1326999999999998</v>
      </c>
      <c r="AD5347">
        <v>-1.1011660000000001</v>
      </c>
      <c r="AE5347">
        <v>-6.9760739999999997</v>
      </c>
      <c r="AF5347">
        <v>4.6341207466408703</v>
      </c>
      <c r="AG5347">
        <v>-1.1011660000000001</v>
      </c>
      <c r="AH5347">
        <v>5.4216465912952998</v>
      </c>
      <c r="AI5347">
        <v>98.776711420286006</v>
      </c>
      <c r="AJ5347">
        <v>49.478026773402597</v>
      </c>
      <c r="AK5347">
        <v>7.2167786037059098</v>
      </c>
      <c r="AL5347">
        <v>86.960411973850398</v>
      </c>
      <c r="AM5347">
        <v>71.457422471340294</v>
      </c>
      <c r="AN5347">
        <v>1.0000000342294599</v>
      </c>
    </row>
    <row r="5348" spans="1:40" x14ac:dyDescent="0.25">
      <c r="A5348" t="str">
        <f>"20190312151640083"</f>
        <v>20190312151640083</v>
      </c>
      <c r="B5348" t="str">
        <f>"1552375000073697"</f>
        <v>1552375000073697</v>
      </c>
      <c r="C5348" t="s">
        <v>40</v>
      </c>
      <c r="D5348">
        <v>4.9320089999999999</v>
      </c>
      <c r="E5348">
        <v>0.64652279999999995</v>
      </c>
      <c r="F5348" t="s">
        <v>42</v>
      </c>
      <c r="G5348">
        <v>-304.1918</v>
      </c>
      <c r="H5348">
        <v>-0.05</v>
      </c>
      <c r="I5348">
        <v>3.9092560000000001</v>
      </c>
      <c r="J5348">
        <v>-306.31130000000002</v>
      </c>
      <c r="K5348">
        <v>1.0511189999999999</v>
      </c>
      <c r="L5348">
        <v>10.9415</v>
      </c>
      <c r="M5348">
        <v>0.83952979999999999</v>
      </c>
      <c r="N5348">
        <v>0</v>
      </c>
      <c r="O5348">
        <v>-0.54314280000000004</v>
      </c>
      <c r="P5348">
        <v>0.62369129999999995</v>
      </c>
      <c r="Q5348">
        <v>4.7005760000000001E-2</v>
      </c>
      <c r="R5348">
        <v>-0.78025630000000001</v>
      </c>
      <c r="S5348">
        <v>0.97424319999999998</v>
      </c>
      <c r="T5348">
        <v>-0.48090119999999997</v>
      </c>
      <c r="U5348">
        <v>-3.106201</v>
      </c>
      <c r="V5348">
        <v>0.31753300000000001</v>
      </c>
      <c r="W5348">
        <v>5.3145459999999999E-2</v>
      </c>
      <c r="X5348">
        <v>0.94675670000000001</v>
      </c>
      <c r="Y5348">
        <v>0.63724049999999999</v>
      </c>
      <c r="Z5348">
        <v>3.5374089999999997E-2</v>
      </c>
      <c r="AA5348">
        <v>0.7698528</v>
      </c>
      <c r="AB5348">
        <v>24</v>
      </c>
      <c r="AC5348">
        <v>2.1195000000000102</v>
      </c>
      <c r="AD5348">
        <v>-1.101119</v>
      </c>
      <c r="AE5348">
        <v>-7.0322440000000004</v>
      </c>
      <c r="AF5348">
        <v>4.6485475138533801</v>
      </c>
      <c r="AG5348">
        <v>-1.101119</v>
      </c>
      <c r="AH5348">
        <v>5.4763296911970496</v>
      </c>
      <c r="AI5348">
        <v>98.715011971343202</v>
      </c>
      <c r="AJ5348">
        <v>49.6739502606288</v>
      </c>
      <c r="AK5348">
        <v>7.26716202705017</v>
      </c>
      <c r="AL5348">
        <v>86.953554048476505</v>
      </c>
      <c r="AM5348">
        <v>71.459047496632905</v>
      </c>
      <c r="AN5348">
        <v>0.99999994750124899</v>
      </c>
    </row>
    <row r="5349" spans="1:40" x14ac:dyDescent="0.25">
      <c r="A5349" t="str">
        <f>"20190312151640096"</f>
        <v>20190312151640096</v>
      </c>
      <c r="B5349" t="str">
        <f>"1552375000093217"</f>
        <v>1552375000093217</v>
      </c>
      <c r="C5349" t="s">
        <v>40</v>
      </c>
      <c r="D5349">
        <v>4.9171360000000002</v>
      </c>
      <c r="E5349">
        <v>0.64629689999999995</v>
      </c>
      <c r="F5349" t="s">
        <v>42</v>
      </c>
      <c r="G5349">
        <v>-304.1309</v>
      </c>
      <c r="H5349">
        <v>-0.05</v>
      </c>
      <c r="I5349">
        <v>3.819321</v>
      </c>
      <c r="J5349">
        <v>-306.19959999999998</v>
      </c>
      <c r="K5349">
        <v>1.0510729999999999</v>
      </c>
      <c r="L5349">
        <v>10.86008</v>
      </c>
      <c r="M5349">
        <v>0.83545599999999998</v>
      </c>
      <c r="N5349">
        <v>0</v>
      </c>
      <c r="O5349">
        <v>-0.54938690000000001</v>
      </c>
      <c r="P5349">
        <v>0.6178186</v>
      </c>
      <c r="Q5349">
        <v>4.7075949999999998E-2</v>
      </c>
      <c r="R5349">
        <v>-0.78491060000000001</v>
      </c>
      <c r="S5349">
        <v>0.95281979999999999</v>
      </c>
      <c r="T5349">
        <v>-0.4811665</v>
      </c>
      <c r="U5349">
        <v>-3.112244</v>
      </c>
      <c r="V5349">
        <v>0.31758419999999998</v>
      </c>
      <c r="W5349">
        <v>5.3229739999999998E-2</v>
      </c>
      <c r="X5349">
        <v>0.94673479999999999</v>
      </c>
      <c r="Y5349">
        <v>0.63680150000000002</v>
      </c>
      <c r="Z5349">
        <v>3.65691E-2</v>
      </c>
      <c r="AA5349">
        <v>0.77016010000000001</v>
      </c>
      <c r="AB5349">
        <v>24</v>
      </c>
      <c r="AC5349">
        <v>2.06869999999997</v>
      </c>
      <c r="AD5349">
        <v>-1.101073</v>
      </c>
      <c r="AE5349">
        <v>-7.0407590000000004</v>
      </c>
      <c r="AF5349">
        <v>4.6416745103062196</v>
      </c>
      <c r="AG5349">
        <v>-1.101073</v>
      </c>
      <c r="AH5349">
        <v>5.4737036956097098</v>
      </c>
      <c r="AI5349">
        <v>98.7223638673712</v>
      </c>
      <c r="AJ5349">
        <v>49.702215096524597</v>
      </c>
      <c r="AK5349">
        <v>7.2607806851802703</v>
      </c>
      <c r="AL5349">
        <v>86.948718339312805</v>
      </c>
      <c r="AM5349">
        <v>71.455862701143104</v>
      </c>
      <c r="AN5349">
        <v>0.99999995542057196</v>
      </c>
    </row>
    <row r="5350" spans="1:40" x14ac:dyDescent="0.25">
      <c r="A5350" t="str">
        <f>"20190312151640109"</f>
        <v>20190312151640109</v>
      </c>
      <c r="B5350" t="str">
        <f>"1552375000102978"</f>
        <v>1552375000102978</v>
      </c>
      <c r="C5350" t="s">
        <v>40</v>
      </c>
      <c r="D5350">
        <v>4.9469409999999998</v>
      </c>
      <c r="E5350">
        <v>0.64612510000000001</v>
      </c>
      <c r="F5350" t="s">
        <v>42</v>
      </c>
      <c r="G5350">
        <v>-304.05549999999999</v>
      </c>
      <c r="H5350">
        <v>-0.05</v>
      </c>
      <c r="I5350">
        <v>3.677826</v>
      </c>
      <c r="J5350">
        <v>-306.07249999999999</v>
      </c>
      <c r="K5350">
        <v>1.051023</v>
      </c>
      <c r="L5350">
        <v>10.76553</v>
      </c>
      <c r="M5350">
        <v>0.8306943</v>
      </c>
      <c r="N5350">
        <v>0</v>
      </c>
      <c r="O5350">
        <v>-0.55655889999999997</v>
      </c>
      <c r="P5350">
        <v>0.61127759999999998</v>
      </c>
      <c r="Q5350">
        <v>4.6913969999999999E-2</v>
      </c>
      <c r="R5350">
        <v>-0.79002459999999997</v>
      </c>
      <c r="S5350">
        <v>0.93084719999999999</v>
      </c>
      <c r="T5350">
        <v>-0.47801549999999998</v>
      </c>
      <c r="U5350">
        <v>-3.1180729999999999</v>
      </c>
      <c r="V5350">
        <v>0.31730950000000002</v>
      </c>
      <c r="W5350">
        <v>5.3094990000000002E-2</v>
      </c>
      <c r="X5350">
        <v>0.94683450000000002</v>
      </c>
      <c r="Y5350">
        <v>0.63561290000000004</v>
      </c>
      <c r="Z5350">
        <v>3.7740660000000002E-2</v>
      </c>
      <c r="AA5350">
        <v>0.77108489999999996</v>
      </c>
      <c r="AB5350">
        <v>24</v>
      </c>
      <c r="AC5350">
        <v>2.0169999999999901</v>
      </c>
      <c r="AD5350">
        <v>-1.1010229999999901</v>
      </c>
      <c r="AE5350">
        <v>-7.0877039999999996</v>
      </c>
      <c r="AF5350">
        <v>4.6615252342470699</v>
      </c>
      <c r="AG5350">
        <v>-1.1010229999999901</v>
      </c>
      <c r="AH5350">
        <v>5.4980315118994296</v>
      </c>
      <c r="AI5350">
        <v>98.684568088126198</v>
      </c>
      <c r="AJ5350">
        <v>49.706938613433501</v>
      </c>
      <c r="AK5350">
        <v>7.2918049659799902</v>
      </c>
      <c r="AL5350">
        <v>86.956449965026394</v>
      </c>
      <c r="AM5350">
        <v>71.472625043018098</v>
      </c>
      <c r="AN5350">
        <v>0.99999998357179898</v>
      </c>
    </row>
    <row r="5351" spans="1:40" x14ac:dyDescent="0.25">
      <c r="A5351" t="str">
        <f>"20190312151640123"</f>
        <v>20190312151640123</v>
      </c>
      <c r="B5351" t="str">
        <f>"1552375000112738"</f>
        <v>1552375000112738</v>
      </c>
      <c r="C5351" t="s">
        <v>40</v>
      </c>
      <c r="D5351">
        <v>4.9553440000000002</v>
      </c>
      <c r="E5351">
        <v>0.64590539999999996</v>
      </c>
      <c r="F5351" t="s">
        <v>42</v>
      </c>
      <c r="G5351">
        <v>-303.98239999999998</v>
      </c>
      <c r="H5351">
        <v>-0.05</v>
      </c>
      <c r="I5351">
        <v>3.5530699999999902</v>
      </c>
      <c r="J5351">
        <v>-305.96109999999999</v>
      </c>
      <c r="K5351">
        <v>1.050986</v>
      </c>
      <c r="L5351">
        <v>10.68094</v>
      </c>
      <c r="M5351">
        <v>0.82640639999999999</v>
      </c>
      <c r="N5351">
        <v>0</v>
      </c>
      <c r="O5351">
        <v>-0.56290479999999998</v>
      </c>
      <c r="P5351">
        <v>0.60545719999999903</v>
      </c>
      <c r="Q5351">
        <v>4.6991819999999997E-2</v>
      </c>
      <c r="R5351">
        <v>-0.79448909999999995</v>
      </c>
      <c r="S5351">
        <v>0.90560909999999994</v>
      </c>
      <c r="T5351">
        <v>-0.47704419999999997</v>
      </c>
      <c r="U5351">
        <v>-3.1249690000000001</v>
      </c>
      <c r="V5351">
        <v>0.3170171</v>
      </c>
      <c r="W5351">
        <v>5.3198309999999999E-2</v>
      </c>
      <c r="X5351">
        <v>0.94692670000000001</v>
      </c>
      <c r="Y5351">
        <v>0.63594200000000001</v>
      </c>
      <c r="Z5351">
        <v>3.8787910000000002E-2</v>
      </c>
      <c r="AA5351">
        <v>0.77076149999999999</v>
      </c>
      <c r="AB5351">
        <v>24</v>
      </c>
      <c r="AC5351">
        <v>1.9786999999999999</v>
      </c>
      <c r="AD5351">
        <v>-1.100986</v>
      </c>
      <c r="AE5351">
        <v>-7.1278699999999997</v>
      </c>
      <c r="AF5351">
        <v>4.6736252012188402</v>
      </c>
      <c r="AG5351">
        <v>-1.100986</v>
      </c>
      <c r="AH5351">
        <v>5.52565930332785</v>
      </c>
      <c r="AI5351">
        <v>98.650123500432997</v>
      </c>
      <c r="AJ5351">
        <v>49.775322152954899</v>
      </c>
      <c r="AK5351">
        <v>7.3203724925796996</v>
      </c>
      <c r="AL5351">
        <v>86.950521954540307</v>
      </c>
      <c r="AM5351">
        <v>71.490213553627598</v>
      </c>
      <c r="AN5351">
        <v>1.0000000385260699</v>
      </c>
    </row>
    <row r="5352" spans="1:40" x14ac:dyDescent="0.25">
      <c r="A5352" t="str">
        <f>"20190312151640137"</f>
        <v>20190312151640137</v>
      </c>
      <c r="B5352" t="str">
        <f>"1552375000133234"</f>
        <v>1552375000133234</v>
      </c>
      <c r="C5352" t="s">
        <v>40</v>
      </c>
      <c r="D5352">
        <v>4.918863</v>
      </c>
      <c r="E5352">
        <v>0.64555200000000001</v>
      </c>
      <c r="F5352" t="s">
        <v>42</v>
      </c>
      <c r="G5352">
        <v>-303.9171</v>
      </c>
      <c r="H5352">
        <v>-0.05</v>
      </c>
      <c r="I5352">
        <v>3.442596</v>
      </c>
      <c r="J5352">
        <v>-305.84210000000002</v>
      </c>
      <c r="K5352">
        <v>1.0509459999999999</v>
      </c>
      <c r="L5352">
        <v>10.58942</v>
      </c>
      <c r="M5352">
        <v>0.82173430000000003</v>
      </c>
      <c r="N5352">
        <v>0</v>
      </c>
      <c r="O5352">
        <v>-0.56970240000000005</v>
      </c>
      <c r="P5352">
        <v>0.59919119999999904</v>
      </c>
      <c r="Q5352">
        <v>4.7241859999999997E-2</v>
      </c>
      <c r="R5352">
        <v>-0.79921109999999995</v>
      </c>
      <c r="S5352">
        <v>0.88400270000000003</v>
      </c>
      <c r="T5352">
        <v>-0.47616819999999999</v>
      </c>
      <c r="U5352">
        <v>-3.1305239999999999</v>
      </c>
      <c r="V5352">
        <v>0.31665179999999998</v>
      </c>
      <c r="W5352">
        <v>5.3476389999999999E-2</v>
      </c>
      <c r="X5352">
        <v>0.94703320000000002</v>
      </c>
      <c r="Y5352">
        <v>0.63491439999999999</v>
      </c>
      <c r="Z5352">
        <v>4.0044049999999998E-2</v>
      </c>
      <c r="AA5352">
        <v>0.77154400000000001</v>
      </c>
      <c r="AB5352">
        <v>24</v>
      </c>
      <c r="AC5352">
        <v>1.92500000000001</v>
      </c>
      <c r="AD5352">
        <v>-1.100946</v>
      </c>
      <c r="AE5352">
        <v>-7.1468239999999996</v>
      </c>
      <c r="AF5352">
        <v>4.6731764073617104</v>
      </c>
      <c r="AG5352">
        <v>-1.100946</v>
      </c>
      <c r="AH5352">
        <v>5.5315567269110097</v>
      </c>
      <c r="AI5352">
        <v>98.644856216910398</v>
      </c>
      <c r="AJ5352">
        <v>49.808167382233698</v>
      </c>
      <c r="AK5352">
        <v>7.3245327258653496</v>
      </c>
      <c r="AL5352">
        <v>86.934566266521998</v>
      </c>
      <c r="AM5352">
        <v>71.512029372036906</v>
      </c>
      <c r="AN5352">
        <v>0.99999998431645598</v>
      </c>
    </row>
    <row r="5353" spans="1:40" x14ac:dyDescent="0.25">
      <c r="A5353" t="str">
        <f>"20190312151640148"</f>
        <v>20190312151640148</v>
      </c>
      <c r="B5353" t="str">
        <f>"1552375000142994"</f>
        <v>1552375000142994</v>
      </c>
      <c r="C5353" t="s">
        <v>40</v>
      </c>
      <c r="D5353">
        <v>4.940442</v>
      </c>
      <c r="E5353">
        <v>0.64537619999999996</v>
      </c>
      <c r="F5353" t="s">
        <v>42</v>
      </c>
      <c r="G5353">
        <v>-303.84320000000002</v>
      </c>
      <c r="H5353">
        <v>-0.05</v>
      </c>
      <c r="I5353">
        <v>3.318848</v>
      </c>
      <c r="J5353">
        <v>-305.72609999999997</v>
      </c>
      <c r="K5353">
        <v>1.0509120000000001</v>
      </c>
      <c r="L5353">
        <v>10.498469999999999</v>
      </c>
      <c r="M5353">
        <v>0.81706210000000001</v>
      </c>
      <c r="N5353">
        <v>0</v>
      </c>
      <c r="O5353">
        <v>-0.57638159999999905</v>
      </c>
      <c r="P5353">
        <v>0.59327259999999904</v>
      </c>
      <c r="Q5353">
        <v>4.7207619999999999E-2</v>
      </c>
      <c r="R5353">
        <v>-0.80361629999999995</v>
      </c>
      <c r="S5353">
        <v>0.86206050000000001</v>
      </c>
      <c r="T5353">
        <v>-0.47478799999999999</v>
      </c>
      <c r="U5353">
        <v>-3.1354679999999999</v>
      </c>
      <c r="V5353">
        <v>0.31593209999999999</v>
      </c>
      <c r="W5353">
        <v>5.3478299999999999E-2</v>
      </c>
      <c r="X5353">
        <v>0.94727340000000004</v>
      </c>
      <c r="Y5353">
        <v>0.6339996</v>
      </c>
      <c r="Z5353">
        <v>4.1231049999999998E-2</v>
      </c>
      <c r="AA5353">
        <v>0.77223350000000002</v>
      </c>
      <c r="AB5353">
        <v>24</v>
      </c>
      <c r="AC5353">
        <v>1.8828999999999401</v>
      </c>
      <c r="AD5353">
        <v>-1.1009119999999999</v>
      </c>
      <c r="AE5353">
        <v>-7.1796219999999904</v>
      </c>
      <c r="AF5353">
        <v>4.6784670753790598</v>
      </c>
      <c r="AG5353">
        <v>-1.1009119999999999</v>
      </c>
      <c r="AH5353">
        <v>5.5549908458569099</v>
      </c>
      <c r="AI5353">
        <v>98.619593686908203</v>
      </c>
      <c r="AJ5353">
        <v>49.895592177060003</v>
      </c>
      <c r="AK5353">
        <v>7.3456098933106997</v>
      </c>
      <c r="AL5353">
        <v>86.934456592060997</v>
      </c>
      <c r="AM5353">
        <v>71.555563427569098</v>
      </c>
      <c r="AN5353">
        <v>0.99999995736442904</v>
      </c>
    </row>
    <row r="5354" spans="1:40" x14ac:dyDescent="0.25">
      <c r="A5354" t="str">
        <f>"20190312151640161"</f>
        <v>20190312151640161</v>
      </c>
      <c r="B5354" t="str">
        <f>"1552375000152754"</f>
        <v>1552375000152754</v>
      </c>
      <c r="C5354" t="s">
        <v>40</v>
      </c>
      <c r="D5354">
        <v>4.9517740000000003</v>
      </c>
      <c r="E5354">
        <v>0.64520100000000002</v>
      </c>
      <c r="F5354" t="s">
        <v>42</v>
      </c>
      <c r="G5354">
        <v>-303.78030000000001</v>
      </c>
      <c r="H5354">
        <v>-0.05</v>
      </c>
      <c r="I5354">
        <v>3.2216339999999999</v>
      </c>
      <c r="J5354">
        <v>-305.62240000000003</v>
      </c>
      <c r="K5354">
        <v>1.0508839999999999</v>
      </c>
      <c r="L5354">
        <v>10.415620000000001</v>
      </c>
      <c r="M5354">
        <v>0.81278689999999998</v>
      </c>
      <c r="N5354">
        <v>0</v>
      </c>
      <c r="O5354">
        <v>-0.58239419999999897</v>
      </c>
      <c r="P5354">
        <v>0.58806219999999998</v>
      </c>
      <c r="Q5354">
        <v>4.7089909999999999E-2</v>
      </c>
      <c r="R5354">
        <v>-0.80744399999999905</v>
      </c>
      <c r="S5354">
        <v>0.83990480000000001</v>
      </c>
      <c r="T5354">
        <v>-0.4751997</v>
      </c>
      <c r="U5354">
        <v>-3.1409910000000001</v>
      </c>
      <c r="V5354">
        <v>0.31507800000000002</v>
      </c>
      <c r="W5354">
        <v>5.3399729999999999E-2</v>
      </c>
      <c r="X5354">
        <v>0.94756229999999997</v>
      </c>
      <c r="Y5354">
        <v>0.63375219999999999</v>
      </c>
      <c r="Z5354">
        <v>4.2385779999999998E-2</v>
      </c>
      <c r="AA5354">
        <v>0.772374</v>
      </c>
      <c r="AB5354">
        <v>24</v>
      </c>
      <c r="AC5354">
        <v>1.8421000000000101</v>
      </c>
      <c r="AD5354">
        <v>-1.100884</v>
      </c>
      <c r="AE5354">
        <v>-7.1939859999999998</v>
      </c>
      <c r="AF5354">
        <v>4.6721352277942598</v>
      </c>
      <c r="AG5354">
        <v>-1.100884</v>
      </c>
      <c r="AH5354">
        <v>5.5652181744467502</v>
      </c>
      <c r="AI5354">
        <v>98.614993091983393</v>
      </c>
      <c r="AJ5354">
        <v>49.985728552068601</v>
      </c>
      <c r="AK5354">
        <v>7.3493160564398501</v>
      </c>
      <c r="AL5354">
        <v>86.938964878055003</v>
      </c>
      <c r="AM5354">
        <v>71.607296798107498</v>
      </c>
      <c r="AN5354">
        <v>0.99999999481468105</v>
      </c>
    </row>
    <row r="5355" spans="1:40" x14ac:dyDescent="0.25">
      <c r="A5355" t="str">
        <f>"20190312151640174"</f>
        <v>20190312151640174</v>
      </c>
      <c r="B5355" t="str">
        <f>"1552375000163489"</f>
        <v>1552375000163489</v>
      </c>
      <c r="C5355" t="s">
        <v>40</v>
      </c>
      <c r="D5355">
        <v>4.9497790000000004</v>
      </c>
      <c r="E5355">
        <v>0.64504110000000003</v>
      </c>
      <c r="F5355" t="s">
        <v>42</v>
      </c>
      <c r="G5355">
        <v>-303.72329999999999</v>
      </c>
      <c r="H5355">
        <v>-0.05</v>
      </c>
      <c r="I5355">
        <v>3.139618</v>
      </c>
      <c r="J5355">
        <v>-305.51659999999998</v>
      </c>
      <c r="K5355">
        <v>1.0508550000000001</v>
      </c>
      <c r="L5355">
        <v>10.330260000000001</v>
      </c>
      <c r="M5355">
        <v>0.80834790000000001</v>
      </c>
      <c r="N5355">
        <v>0</v>
      </c>
      <c r="O5355">
        <v>-0.58853859999999902</v>
      </c>
      <c r="P5355">
        <v>0.58245839999999904</v>
      </c>
      <c r="Q5355">
        <v>4.659054E-2</v>
      </c>
      <c r="R5355">
        <v>-0.81152419999999903</v>
      </c>
      <c r="S5355">
        <v>0.82095339999999895</v>
      </c>
      <c r="T5355">
        <v>-0.475885</v>
      </c>
      <c r="U5355">
        <v>-3.1452330000000002</v>
      </c>
      <c r="V5355">
        <v>0.31447120000000001</v>
      </c>
      <c r="W5355">
        <v>5.2932609999999998E-2</v>
      </c>
      <c r="X5355">
        <v>0.94779009999999997</v>
      </c>
      <c r="Y5355">
        <v>0.63254100000000002</v>
      </c>
      <c r="Z5355">
        <v>4.3680650000000001E-2</v>
      </c>
      <c r="AA5355">
        <v>0.77329419999999904</v>
      </c>
      <c r="AB5355">
        <v>24</v>
      </c>
      <c r="AC5355">
        <v>1.7932999999999799</v>
      </c>
      <c r="AD5355">
        <v>-1.1008549999999999</v>
      </c>
      <c r="AE5355">
        <v>-7.1906419999999898</v>
      </c>
      <c r="AF5355">
        <v>4.6548669438149304</v>
      </c>
      <c r="AG5355">
        <v>-1.1008549999999999</v>
      </c>
      <c r="AH5355">
        <v>5.5594634752915999</v>
      </c>
      <c r="AI5355">
        <v>98.632912956668804</v>
      </c>
      <c r="AJ5355">
        <v>50.060996972660099</v>
      </c>
      <c r="AK5355">
        <v>7.3339826921494202</v>
      </c>
      <c r="AL5355">
        <v>86.965766912259895</v>
      </c>
      <c r="AM5355">
        <v>71.644458208270805</v>
      </c>
      <c r="AN5355">
        <v>1.00000003524443</v>
      </c>
    </row>
    <row r="5356" spans="1:40" x14ac:dyDescent="0.25">
      <c r="A5356" t="str">
        <f>"20190312151640194"</f>
        <v>20190312151640194</v>
      </c>
      <c r="B5356" t="str">
        <f>"1552375000183010"</f>
        <v>1552375000183010</v>
      </c>
      <c r="C5356" t="s">
        <v>40</v>
      </c>
      <c r="D5356">
        <v>4.9303359999999996</v>
      </c>
      <c r="E5356">
        <v>0.64473380000000002</v>
      </c>
      <c r="F5356" t="s">
        <v>42</v>
      </c>
      <c r="G5356">
        <v>-303.67090000000002</v>
      </c>
      <c r="H5356">
        <v>-0.05</v>
      </c>
      <c r="I5356">
        <v>3.0609280000000001</v>
      </c>
      <c r="J5356">
        <v>-305.34280000000001</v>
      </c>
      <c r="K5356">
        <v>1.0508059999999999</v>
      </c>
      <c r="L5356">
        <v>10.186400000000001</v>
      </c>
      <c r="M5356">
        <v>0.80082629999999999</v>
      </c>
      <c r="N5356">
        <v>0</v>
      </c>
      <c r="O5356">
        <v>-0.59873140000000002</v>
      </c>
      <c r="P5356">
        <v>0.57362619999999997</v>
      </c>
      <c r="Q5356">
        <v>4.6763260000000001E-2</v>
      </c>
      <c r="R5356">
        <v>-0.81778139999999999</v>
      </c>
      <c r="S5356">
        <v>0.79980469999999904</v>
      </c>
      <c r="T5356">
        <v>-0.47704239999999998</v>
      </c>
      <c r="U5356">
        <v>-3.1500849999999998</v>
      </c>
      <c r="V5356">
        <v>0.31274170000000001</v>
      </c>
      <c r="W5356">
        <v>5.3177839999999997E-2</v>
      </c>
      <c r="X5356">
        <v>0.94834839999999998</v>
      </c>
      <c r="Y5356">
        <v>0.62796750000000001</v>
      </c>
      <c r="Z5356">
        <v>4.6051670000000003E-2</v>
      </c>
      <c r="AA5356">
        <v>0.77687580000000001</v>
      </c>
      <c r="AB5356">
        <v>24</v>
      </c>
      <c r="AC5356">
        <v>1.6718999999999899</v>
      </c>
      <c r="AD5356">
        <v>-1.100806</v>
      </c>
      <c r="AE5356">
        <v>-7.1254720000000002</v>
      </c>
      <c r="AF5356">
        <v>4.6016171180007897</v>
      </c>
      <c r="AG5356">
        <v>-1.100806</v>
      </c>
      <c r="AH5356">
        <v>5.4816965409833696</v>
      </c>
      <c r="AI5356">
        <v>98.743940309960806</v>
      </c>
      <c r="AJ5356">
        <v>49.988179086455702</v>
      </c>
      <c r="AK5356">
        <v>7.2412465030368196</v>
      </c>
      <c r="AL5356">
        <v>86.951696254603903</v>
      </c>
      <c r="AM5356">
        <v>71.748730569040006</v>
      </c>
      <c r="AN5356">
        <v>0.99999997068425694</v>
      </c>
    </row>
    <row r="5357" spans="1:40" x14ac:dyDescent="0.25">
      <c r="A5357" t="str">
        <f>"20190312151640207"</f>
        <v>20190312151640207</v>
      </c>
      <c r="B5357" t="str">
        <f>"1552375000203505"</f>
        <v>1552375000203505</v>
      </c>
      <c r="C5357" t="s">
        <v>40</v>
      </c>
      <c r="D5357">
        <v>4.9415659999999999</v>
      </c>
      <c r="E5357">
        <v>0.64439519999999995</v>
      </c>
      <c r="F5357" t="s">
        <v>42</v>
      </c>
      <c r="G5357">
        <v>-303.5668</v>
      </c>
      <c r="H5357">
        <v>-0.05</v>
      </c>
      <c r="I5357">
        <v>2.8882750000000001</v>
      </c>
      <c r="J5357">
        <v>-305.23230000000001</v>
      </c>
      <c r="K5357">
        <v>1.0507709999999999</v>
      </c>
      <c r="L5357">
        <v>10.092650000000001</v>
      </c>
      <c r="M5357">
        <v>0.79589580000000004</v>
      </c>
      <c r="N5357">
        <v>0</v>
      </c>
      <c r="O5357">
        <v>-0.60526930000000001</v>
      </c>
      <c r="P5357">
        <v>0.56751879999999999</v>
      </c>
      <c r="Q5357">
        <v>4.6674739999999999E-2</v>
      </c>
      <c r="R5357">
        <v>-0.82203669999999995</v>
      </c>
      <c r="S5357">
        <v>0.76821899999999999</v>
      </c>
      <c r="T5357">
        <v>-0.47616199999999997</v>
      </c>
      <c r="U5357">
        <v>-3.15686</v>
      </c>
      <c r="V5357">
        <v>0.31204579999999998</v>
      </c>
      <c r="W5357">
        <v>5.3124039999999997E-2</v>
      </c>
      <c r="X5357">
        <v>0.9485806</v>
      </c>
      <c r="Y5357">
        <v>0.62934330000000005</v>
      </c>
      <c r="Z5357">
        <v>4.7069229999999997E-2</v>
      </c>
      <c r="AA5357">
        <v>0.77570069999999902</v>
      </c>
      <c r="AB5357">
        <v>24</v>
      </c>
      <c r="AC5357">
        <v>1.6655</v>
      </c>
      <c r="AD5357">
        <v>-1.1007709999999999</v>
      </c>
      <c r="AE5357">
        <v>-7.2043749999999998</v>
      </c>
      <c r="AF5357">
        <v>4.62385652260574</v>
      </c>
      <c r="AG5357">
        <v>-1.1007709999999999</v>
      </c>
      <c r="AH5357">
        <v>5.5634259170225002</v>
      </c>
      <c r="AI5357">
        <v>98.652033854746904</v>
      </c>
      <c r="AJ5357">
        <v>50.269461654683198</v>
      </c>
      <c r="AK5357">
        <v>7.31733926166351</v>
      </c>
      <c r="AL5357">
        <v>86.954783067337303</v>
      </c>
      <c r="AM5357">
        <v>71.790822902074694</v>
      </c>
      <c r="AN5357">
        <v>0.99999994980995899</v>
      </c>
    </row>
    <row r="5358" spans="1:40" x14ac:dyDescent="0.25">
      <c r="A5358" t="str">
        <f>"20190312151640221"</f>
        <v>20190312151640221</v>
      </c>
      <c r="B5358" t="str">
        <f>"1552375000213265"</f>
        <v>1552375000213265</v>
      </c>
      <c r="C5358" t="s">
        <v>40</v>
      </c>
      <c r="D5358">
        <v>4.9583750000000002</v>
      </c>
      <c r="E5358">
        <v>0.64422939999999995</v>
      </c>
      <c r="F5358" t="s">
        <v>42</v>
      </c>
      <c r="G5358">
        <v>-303.50560000000002</v>
      </c>
      <c r="H5358">
        <v>-0.05</v>
      </c>
      <c r="I5358">
        <v>2.784592</v>
      </c>
      <c r="J5358">
        <v>-305.12610000000001</v>
      </c>
      <c r="K5358">
        <v>1.050745</v>
      </c>
      <c r="L5358">
        <v>10.00128</v>
      </c>
      <c r="M5358">
        <v>0.79106330000000002</v>
      </c>
      <c r="N5358">
        <v>0</v>
      </c>
      <c r="O5358">
        <v>-0.61157079999999997</v>
      </c>
      <c r="P5358">
        <v>0.56168409999999902</v>
      </c>
      <c r="Q5358">
        <v>4.657683E-2</v>
      </c>
      <c r="R5358">
        <v>-0.82604</v>
      </c>
      <c r="S5358">
        <v>0.7468262</v>
      </c>
      <c r="T5358">
        <v>-0.47611059999999999</v>
      </c>
      <c r="U5358">
        <v>-3.1609189999999998</v>
      </c>
      <c r="V5358">
        <v>0.31123469999999998</v>
      </c>
      <c r="W5358">
        <v>5.306309E-2</v>
      </c>
      <c r="X5358">
        <v>0.94885050000000004</v>
      </c>
      <c r="Y5358">
        <v>0.62840680000000004</v>
      </c>
      <c r="Z5358">
        <v>4.832036E-2</v>
      </c>
      <c r="AA5358">
        <v>0.77638269999999998</v>
      </c>
      <c r="AB5358">
        <v>24</v>
      </c>
      <c r="AC5358">
        <v>1.6204999999999901</v>
      </c>
      <c r="AD5358">
        <v>-1.1007450000000001</v>
      </c>
      <c r="AE5358">
        <v>-7.2166879999999898</v>
      </c>
      <c r="AF5358">
        <v>4.6160425116730703</v>
      </c>
      <c r="AG5358">
        <v>-1.1007450000000001</v>
      </c>
      <c r="AH5358">
        <v>5.5725820857867996</v>
      </c>
      <c r="AI5358">
        <v>98.649410567729802</v>
      </c>
      <c r="AJ5358">
        <v>50.363384085921503</v>
      </c>
      <c r="AK5358">
        <v>7.31936876564024</v>
      </c>
      <c r="AL5358">
        <v>86.958280332672302</v>
      </c>
      <c r="AM5358">
        <v>71.839869700150103</v>
      </c>
      <c r="AN5358">
        <v>1.00000000067734</v>
      </c>
    </row>
    <row r="5359" spans="1:40" x14ac:dyDescent="0.25">
      <c r="A5359" t="str">
        <f>"20190312151640240"</f>
        <v>20190312151640240</v>
      </c>
      <c r="B5359" t="str">
        <f>"1552375000232785"</f>
        <v>1552375000232785</v>
      </c>
      <c r="C5359" t="s">
        <v>40</v>
      </c>
      <c r="D5359">
        <v>4.9571709999999998</v>
      </c>
      <c r="E5359">
        <v>0.64385879999999995</v>
      </c>
      <c r="F5359" t="s">
        <v>42</v>
      </c>
      <c r="G5359">
        <v>-303.44970000000001</v>
      </c>
      <c r="H5359">
        <v>-0.05</v>
      </c>
      <c r="I5359">
        <v>2.6862789999999999</v>
      </c>
      <c r="J5359">
        <v>-304.9631</v>
      </c>
      <c r="K5359">
        <v>1.0507059999999999</v>
      </c>
      <c r="L5359">
        <v>9.8581240000000001</v>
      </c>
      <c r="M5359">
        <v>0.78344360000000002</v>
      </c>
      <c r="N5359">
        <v>0</v>
      </c>
      <c r="O5359">
        <v>-0.62130069999999904</v>
      </c>
      <c r="P5359">
        <v>0.55264990000000003</v>
      </c>
      <c r="Q5359">
        <v>4.6289480000000001E-2</v>
      </c>
      <c r="R5359">
        <v>-0.83212699999999995</v>
      </c>
      <c r="S5359">
        <v>0.72540280000000001</v>
      </c>
      <c r="T5359">
        <v>-0.47632409999999997</v>
      </c>
      <c r="U5359">
        <v>-3.1654049999999998</v>
      </c>
      <c r="V5359">
        <v>0.30985770000000001</v>
      </c>
      <c r="W5359">
        <v>5.2834039999999999E-2</v>
      </c>
      <c r="X5359">
        <v>0.94931379999999999</v>
      </c>
      <c r="Y5359">
        <v>0.62409689999999995</v>
      </c>
      <c r="Z5359">
        <v>5.0507150000000001E-2</v>
      </c>
      <c r="AA5359">
        <v>0.77971279999999998</v>
      </c>
      <c r="AB5359">
        <v>24</v>
      </c>
      <c r="AC5359">
        <v>1.5133999999999801</v>
      </c>
      <c r="AD5359">
        <v>-1.100706</v>
      </c>
      <c r="AE5359">
        <v>-7.1718449999999896</v>
      </c>
      <c r="AF5359">
        <v>4.5757448612881797</v>
      </c>
      <c r="AG5359">
        <v>-1.100706</v>
      </c>
      <c r="AH5359">
        <v>5.5176769746915602</v>
      </c>
      <c r="AI5359">
        <v>98.729885616367199</v>
      </c>
      <c r="AJ5359">
        <v>50.331480250467003</v>
      </c>
      <c r="AK5359">
        <v>7.2521551232087296</v>
      </c>
      <c r="AL5359">
        <v>86.971422244155704</v>
      </c>
      <c r="AM5359">
        <v>71.923225977052098</v>
      </c>
      <c r="AN5359">
        <v>0.99999996045122397</v>
      </c>
    </row>
    <row r="5360" spans="1:40" x14ac:dyDescent="0.25">
      <c r="A5360" t="str">
        <f>"20190312151640262"</f>
        <v>20190312151640262</v>
      </c>
      <c r="B5360" t="str">
        <f>"1552375000253281"</f>
        <v>1552375000253281</v>
      </c>
      <c r="C5360" t="s">
        <v>40</v>
      </c>
      <c r="D5360">
        <v>4.9849550000000002</v>
      </c>
      <c r="E5360">
        <v>0.64346959999999997</v>
      </c>
      <c r="F5360" t="s">
        <v>42</v>
      </c>
      <c r="G5360">
        <v>-303.36149999999998</v>
      </c>
      <c r="H5360">
        <v>-0.05</v>
      </c>
      <c r="I5360">
        <v>2.5347140000000001</v>
      </c>
      <c r="J5360">
        <v>-304.78410000000002</v>
      </c>
      <c r="K5360">
        <v>1.0506629999999999</v>
      </c>
      <c r="L5360">
        <v>9.6965640000000004</v>
      </c>
      <c r="M5360">
        <v>0.77477229999999997</v>
      </c>
      <c r="N5360">
        <v>0</v>
      </c>
      <c r="O5360">
        <v>-0.63207979999999997</v>
      </c>
      <c r="P5360">
        <v>0.54273159999999998</v>
      </c>
      <c r="Q5360">
        <v>4.5926689999999999E-2</v>
      </c>
      <c r="R5360">
        <v>-0.83864989999999995</v>
      </c>
      <c r="S5360">
        <v>0.69351200000000002</v>
      </c>
      <c r="T5360">
        <v>-0.4766262</v>
      </c>
      <c r="U5360">
        <v>-3.171173</v>
      </c>
      <c r="V5360">
        <v>0.30800739999999999</v>
      </c>
      <c r="W5360">
        <v>5.253977E-2</v>
      </c>
      <c r="X5360">
        <v>0.94993209999999995</v>
      </c>
      <c r="Y5360">
        <v>0.62113459999999998</v>
      </c>
      <c r="Z5360">
        <v>5.2807220000000002E-2</v>
      </c>
      <c r="AA5360">
        <v>0.78192269999999997</v>
      </c>
      <c r="AB5360">
        <v>24</v>
      </c>
      <c r="AC5360">
        <v>1.4226000000000401</v>
      </c>
      <c r="AD5360">
        <v>-1.1006629999999999</v>
      </c>
      <c r="AE5360">
        <v>-7.1618500000000003</v>
      </c>
      <c r="AF5360">
        <v>4.5467653799071499</v>
      </c>
      <c r="AG5360">
        <v>-1.1006629999999999</v>
      </c>
      <c r="AH5360">
        <v>5.5045473303433203</v>
      </c>
      <c r="AI5360">
        <v>98.763967532523694</v>
      </c>
      <c r="AJ5360">
        <v>50.443236062697999</v>
      </c>
      <c r="AK5360">
        <v>7.2238892413630698</v>
      </c>
      <c r="AL5360">
        <v>86.988306214096795</v>
      </c>
      <c r="AM5360">
        <v>72.035154687575698</v>
      </c>
      <c r="AN5360">
        <v>0.99999999024841102</v>
      </c>
    </row>
    <row r="5361" spans="1:40" x14ac:dyDescent="0.25">
      <c r="A5361" t="str">
        <f>"20190312151640275"</f>
        <v>20190312151640275</v>
      </c>
      <c r="B5361" t="str">
        <f>"1552375000272801"</f>
        <v>1552375000272801</v>
      </c>
      <c r="C5361" t="s">
        <v>40</v>
      </c>
      <c r="D5361">
        <v>4.8723660000000004</v>
      </c>
      <c r="E5361">
        <v>0.64340129999999995</v>
      </c>
      <c r="F5361" t="s">
        <v>42</v>
      </c>
      <c r="G5361">
        <v>-303.2638</v>
      </c>
      <c r="H5361">
        <v>-0.05</v>
      </c>
      <c r="I5361">
        <v>2.3513790000000001</v>
      </c>
      <c r="J5361">
        <v>-304.6694</v>
      </c>
      <c r="K5361">
        <v>1.050632</v>
      </c>
      <c r="L5361">
        <v>9.5906680000000009</v>
      </c>
      <c r="M5361">
        <v>0.76904629999999996</v>
      </c>
      <c r="N5361">
        <v>0</v>
      </c>
      <c r="O5361">
        <v>-0.63903330000000003</v>
      </c>
      <c r="P5361">
        <v>0.53590799999999905</v>
      </c>
      <c r="Q5361">
        <v>4.5906339999999997E-2</v>
      </c>
      <c r="R5361">
        <v>-0.84302739999999998</v>
      </c>
      <c r="S5361">
        <v>0.65771480000000004</v>
      </c>
      <c r="T5361">
        <v>-0.47615980000000002</v>
      </c>
      <c r="U5361">
        <v>-3.1776119999999999</v>
      </c>
      <c r="V5361">
        <v>0.30716310000000002</v>
      </c>
      <c r="W5361">
        <v>5.2551199999999902E-2</v>
      </c>
      <c r="X5361">
        <v>0.95020479999999996</v>
      </c>
      <c r="Y5361">
        <v>0.62285789999999996</v>
      </c>
      <c r="Z5361">
        <v>5.39363E-2</v>
      </c>
      <c r="AA5361">
        <v>0.78047359999999999</v>
      </c>
      <c r="AB5361">
        <v>24</v>
      </c>
      <c r="AC5361">
        <v>1.40559999999999</v>
      </c>
      <c r="AD5361">
        <v>-1.1006320000000001</v>
      </c>
      <c r="AE5361">
        <v>-7.2392889999999896</v>
      </c>
      <c r="AF5361">
        <v>4.56785044070691</v>
      </c>
      <c r="AG5361">
        <v>-1.1006320000000001</v>
      </c>
      <c r="AH5361">
        <v>5.5833314473428501</v>
      </c>
      <c r="AI5361">
        <v>98.674901018461895</v>
      </c>
      <c r="AJ5361">
        <v>50.712620688255399</v>
      </c>
      <c r="AK5361">
        <v>7.2972761013256102</v>
      </c>
      <c r="AL5361">
        <v>86.987650387321295</v>
      </c>
      <c r="AM5361">
        <v>72.086060528685096</v>
      </c>
      <c r="AN5361">
        <v>0.99999998028304404</v>
      </c>
    </row>
    <row r="5362" spans="1:40" x14ac:dyDescent="0.25">
      <c r="A5362" t="str">
        <f>"20190312151640295"</f>
        <v>20190312151640295</v>
      </c>
      <c r="B5362" t="str">
        <f>"1552375000283537"</f>
        <v>1552375000283537</v>
      </c>
      <c r="C5362" t="s">
        <v>40</v>
      </c>
      <c r="D5362">
        <v>4.9213239999999896</v>
      </c>
      <c r="E5362">
        <v>0.65128129999999995</v>
      </c>
      <c r="F5362" t="s">
        <v>42</v>
      </c>
      <c r="G5362">
        <v>-303.20150000000001</v>
      </c>
      <c r="H5362">
        <v>-0.05</v>
      </c>
      <c r="I5362">
        <v>2.2011259999999999</v>
      </c>
      <c r="J5362">
        <v>-304.51560000000001</v>
      </c>
      <c r="K5362">
        <v>1.050589</v>
      </c>
      <c r="L5362">
        <v>9.4454039999999999</v>
      </c>
      <c r="M5362">
        <v>0.76113889999999995</v>
      </c>
      <c r="N5362">
        <v>0</v>
      </c>
      <c r="O5362">
        <v>-0.64843050000000002</v>
      </c>
      <c r="P5362">
        <v>0.52697620000000001</v>
      </c>
      <c r="Q5362">
        <v>4.6262930000000001E-2</v>
      </c>
      <c r="R5362">
        <v>-0.84862019999999905</v>
      </c>
      <c r="S5362">
        <v>0.63220209999999999</v>
      </c>
      <c r="T5362">
        <v>-0.47401949999999998</v>
      </c>
      <c r="U5362">
        <v>-3.1825260000000002</v>
      </c>
      <c r="V5362">
        <v>0.30552469999999998</v>
      </c>
      <c r="W5362">
        <v>5.2962620000000002E-2</v>
      </c>
      <c r="X5362">
        <v>0.9507101</v>
      </c>
      <c r="Y5362">
        <v>0.61956750000000005</v>
      </c>
      <c r="Z5362">
        <v>5.5719379999999999E-2</v>
      </c>
      <c r="AA5362">
        <v>0.78296330000000003</v>
      </c>
      <c r="AB5362">
        <v>24</v>
      </c>
      <c r="AC5362">
        <v>1.3140999999999901</v>
      </c>
      <c r="AD5362">
        <v>-1.100589</v>
      </c>
      <c r="AE5362">
        <v>-7.2442779999999898</v>
      </c>
      <c r="AF5362">
        <v>4.5603722226733696</v>
      </c>
      <c r="AG5362">
        <v>-1.100589</v>
      </c>
      <c r="AH5362">
        <v>5.5736599003477298</v>
      </c>
      <c r="AI5362">
        <v>98.689063263702806</v>
      </c>
      <c r="AJ5362">
        <v>50.7099463946413</v>
      </c>
      <c r="AK5362">
        <v>7.2851887855426298</v>
      </c>
      <c r="AL5362">
        <v>86.964045058578293</v>
      </c>
      <c r="AM5362">
        <v>72.184426169819901</v>
      </c>
      <c r="AN5362">
        <v>1.0000000378346801</v>
      </c>
    </row>
    <row r="5363" spans="1:40" x14ac:dyDescent="0.25">
      <c r="A5363" t="str">
        <f>"20190312151640317"</f>
        <v>20190312151640317</v>
      </c>
      <c r="B5363" t="str">
        <f>"1552375000312818"</f>
        <v>1552375000312818</v>
      </c>
      <c r="C5363" t="s">
        <v>40</v>
      </c>
      <c r="D5363">
        <v>4.7940440000000004</v>
      </c>
      <c r="E5363">
        <v>0.65129919999999997</v>
      </c>
      <c r="F5363" t="s">
        <v>42</v>
      </c>
      <c r="G5363">
        <v>-302.78719999999998</v>
      </c>
      <c r="H5363">
        <v>-0.05</v>
      </c>
      <c r="I5363">
        <v>-0.71191409999999999</v>
      </c>
      <c r="J5363">
        <v>-304.33909999999997</v>
      </c>
      <c r="K5363">
        <v>1.0505389999999999</v>
      </c>
      <c r="L5363">
        <v>9.2738040000000002</v>
      </c>
      <c r="M5363">
        <v>0.75172309999999998</v>
      </c>
      <c r="N5363">
        <v>0</v>
      </c>
      <c r="O5363">
        <v>-0.65932219999999997</v>
      </c>
      <c r="P5363">
        <v>0.51588389999999995</v>
      </c>
      <c r="Q5363">
        <v>4.651516E-2</v>
      </c>
      <c r="R5363">
        <v>-0.85539469999999995</v>
      </c>
      <c r="S5363">
        <v>0.54696659999999997</v>
      </c>
      <c r="T5363">
        <v>-0.34830549999999999</v>
      </c>
      <c r="U5363">
        <v>-3.2145079999999999</v>
      </c>
      <c r="V5363">
        <v>0.30421500000000001</v>
      </c>
      <c r="W5363">
        <v>5.3256879999999999E-2</v>
      </c>
      <c r="X5363">
        <v>0.95111349999999995</v>
      </c>
      <c r="Y5363">
        <v>0.63012860000000004</v>
      </c>
      <c r="Z5363">
        <v>4.1779719999999999E-2</v>
      </c>
      <c r="AA5363">
        <v>0.77536590000000005</v>
      </c>
      <c r="AB5363">
        <v>24</v>
      </c>
      <c r="AC5363">
        <v>1.5518999999999801</v>
      </c>
      <c r="AD5363">
        <v>-1.1005389999999999</v>
      </c>
      <c r="AE5363">
        <v>-9.9857180999999997</v>
      </c>
      <c r="AF5363">
        <v>6.4079637890772103</v>
      </c>
      <c r="AG5363">
        <v>-1.1005389999999999</v>
      </c>
      <c r="AH5363">
        <v>7.6603531413513704</v>
      </c>
      <c r="AI5363">
        <v>96.288370577895094</v>
      </c>
      <c r="AJ5363">
        <v>50.087173243466601</v>
      </c>
      <c r="AK5363">
        <v>10.0475965416042</v>
      </c>
      <c r="AL5363">
        <v>86.947161184913</v>
      </c>
      <c r="AM5363">
        <v>72.263051150966305</v>
      </c>
      <c r="AN5363">
        <v>0.99999997568729104</v>
      </c>
    </row>
    <row r="5364" spans="1:40" x14ac:dyDescent="0.25">
      <c r="A5364" t="str">
        <f>"20190312151640340"</f>
        <v>20190312151640340</v>
      </c>
      <c r="B5364" t="str">
        <f>"1552375000333313"</f>
        <v>1552375000333313</v>
      </c>
      <c r="C5364" t="s">
        <v>40</v>
      </c>
      <c r="D5364">
        <v>4.9204809999999997</v>
      </c>
      <c r="E5364">
        <v>0.65068479999999995</v>
      </c>
      <c r="F5364" t="s">
        <v>43</v>
      </c>
      <c r="G5364">
        <v>-302.75659999999999</v>
      </c>
      <c r="H5364" s="1">
        <v>-4.6095340000000002E-6</v>
      </c>
      <c r="I5364">
        <v>-0.81959919999999997</v>
      </c>
      <c r="J5364">
        <v>-304.16640000000001</v>
      </c>
      <c r="K5364">
        <v>1.0504830000000001</v>
      </c>
      <c r="L5364">
        <v>9.1008910000000007</v>
      </c>
      <c r="M5364">
        <v>0.74214959999999996</v>
      </c>
      <c r="N5364">
        <v>0</v>
      </c>
      <c r="O5364">
        <v>-0.67007919999999999</v>
      </c>
      <c r="P5364">
        <v>0.50469529999999996</v>
      </c>
      <c r="Q5364">
        <v>4.6188269999999997E-2</v>
      </c>
      <c r="R5364">
        <v>-0.86206139999999998</v>
      </c>
      <c r="S5364">
        <v>0.50497440000000005</v>
      </c>
      <c r="T5364">
        <v>-0.33523049999999999</v>
      </c>
      <c r="U5364">
        <v>-3.220825</v>
      </c>
      <c r="V5364">
        <v>0.30292239999999998</v>
      </c>
      <c r="W5364">
        <v>5.2967859999999999E-2</v>
      </c>
      <c r="X5364">
        <v>0.95154209999999995</v>
      </c>
      <c r="Y5364">
        <v>0.6291021</v>
      </c>
      <c r="Z5364">
        <v>4.1734090000000001E-2</v>
      </c>
      <c r="AA5364">
        <v>0.77620149999999999</v>
      </c>
      <c r="AB5364">
        <v>24</v>
      </c>
      <c r="AC5364">
        <v>1.4098000000000099</v>
      </c>
      <c r="AD5364">
        <v>-1.0504876095340001</v>
      </c>
      <c r="AE5364">
        <v>-9.9204901999999908</v>
      </c>
      <c r="AF5364">
        <v>6.3486994409777697</v>
      </c>
      <c r="AG5364">
        <v>-1.0504876095340001</v>
      </c>
      <c r="AH5364">
        <v>7.6109453371625202</v>
      </c>
      <c r="AI5364">
        <v>96.050170724516704</v>
      </c>
      <c r="AJ5364">
        <v>50.166694849568799</v>
      </c>
      <c r="AK5364">
        <v>9.96674459063399</v>
      </c>
      <c r="AL5364">
        <v>86.963744204623794</v>
      </c>
      <c r="AM5364">
        <v>72.341182146205199</v>
      </c>
      <c r="AN5364">
        <v>0.99999997134357399</v>
      </c>
    </row>
    <row r="5365" spans="1:40" x14ac:dyDescent="0.25">
      <c r="A5365" t="str">
        <f>"20190312151640362"</f>
        <v>20190312151640362</v>
      </c>
      <c r="B5365" t="str">
        <f>"1552375000352834"</f>
        <v>1552375000352834</v>
      </c>
      <c r="C5365" t="s">
        <v>40</v>
      </c>
      <c r="D5365">
        <v>4.9462549999999998</v>
      </c>
      <c r="E5365">
        <v>0.65006459999999999</v>
      </c>
      <c r="F5365" t="s">
        <v>43</v>
      </c>
      <c r="G5365">
        <v>-302.6936</v>
      </c>
      <c r="H5365" s="1">
        <v>-4.5018139999999998E-6</v>
      </c>
      <c r="I5365">
        <v>-1.0709919999999999</v>
      </c>
      <c r="J5365">
        <v>-303.99579999999997</v>
      </c>
      <c r="K5365">
        <v>1.0504279999999999</v>
      </c>
      <c r="L5365">
        <v>8.9249880000000008</v>
      </c>
      <c r="M5365">
        <v>0.73231869999999999</v>
      </c>
      <c r="N5365">
        <v>0</v>
      </c>
      <c r="O5365">
        <v>-0.68080839999999998</v>
      </c>
      <c r="P5365">
        <v>0.49364649999999999</v>
      </c>
      <c r="Q5365">
        <v>4.663548E-2</v>
      </c>
      <c r="R5365">
        <v>-0.86841139999999895</v>
      </c>
      <c r="S5365">
        <v>0.46688839999999998</v>
      </c>
      <c r="T5365">
        <v>-0.33301399999999998</v>
      </c>
      <c r="U5365">
        <v>-3.2245789999999999</v>
      </c>
      <c r="V5365">
        <v>0.3012244</v>
      </c>
      <c r="W5365">
        <v>5.3461149999999999E-2</v>
      </c>
      <c r="X5365">
        <v>0.95205340000000005</v>
      </c>
      <c r="Y5365">
        <v>0.62692329999999996</v>
      </c>
      <c r="Z5365">
        <v>4.3046969999999997E-2</v>
      </c>
      <c r="AA5365">
        <v>0.77789079999999999</v>
      </c>
      <c r="AB5365">
        <v>24</v>
      </c>
      <c r="AC5365">
        <v>1.30219999999997</v>
      </c>
      <c r="AD5365">
        <v>-1.0504325018139999</v>
      </c>
      <c r="AE5365">
        <v>-9.9959799999999994</v>
      </c>
      <c r="AF5365">
        <v>6.3652493880194996</v>
      </c>
      <c r="AG5365">
        <v>-1.0504325018139999</v>
      </c>
      <c r="AH5365">
        <v>7.6764285693777303</v>
      </c>
      <c r="AI5365">
        <v>96.013163056681904</v>
      </c>
      <c r="AJ5365">
        <v>50.334677281149602</v>
      </c>
      <c r="AK5365">
        <v>10.027330840922099</v>
      </c>
      <c r="AL5365">
        <v>86.9354406154076</v>
      </c>
      <c r="AM5365">
        <v>72.442918370604701</v>
      </c>
      <c r="AN5365">
        <v>0.99999995508312001</v>
      </c>
    </row>
    <row r="5366" spans="1:40" x14ac:dyDescent="0.25">
      <c r="A5366" t="str">
        <f>"20190312151640377"</f>
        <v>20190312151640377</v>
      </c>
      <c r="B5366" t="str">
        <f>"1552375000373329"</f>
        <v>1552375000373329</v>
      </c>
      <c r="C5366" t="s">
        <v>40</v>
      </c>
      <c r="D5366">
        <v>4.9451470000000004</v>
      </c>
      <c r="E5366">
        <v>0.64910449999999997</v>
      </c>
      <c r="F5366" t="s">
        <v>43</v>
      </c>
      <c r="G5366">
        <v>-302.64299999999997</v>
      </c>
      <c r="H5366" s="1">
        <v>-4.42207E-6</v>
      </c>
      <c r="I5366">
        <v>-1.255307</v>
      </c>
      <c r="J5366">
        <v>-303.8843</v>
      </c>
      <c r="K5366">
        <v>1.0503899999999999</v>
      </c>
      <c r="L5366">
        <v>8.8073119999999996</v>
      </c>
      <c r="M5366">
        <v>0.7256861</v>
      </c>
      <c r="N5366">
        <v>0</v>
      </c>
      <c r="O5366">
        <v>-0.68787349999999903</v>
      </c>
      <c r="P5366">
        <v>0.48598409999999898</v>
      </c>
      <c r="Q5366">
        <v>4.6616240000000003E-2</v>
      </c>
      <c r="R5366">
        <v>-0.8727239</v>
      </c>
      <c r="S5366">
        <v>0.42901610000000001</v>
      </c>
      <c r="T5366">
        <v>-0.33313379999999998</v>
      </c>
      <c r="U5366">
        <v>-3.228577</v>
      </c>
      <c r="V5366">
        <v>0.3003827</v>
      </c>
      <c r="W5366">
        <v>5.3462580000000003E-2</v>
      </c>
      <c r="X5366">
        <v>0.95231929999999998</v>
      </c>
      <c r="Y5366">
        <v>0.628471</v>
      </c>
      <c r="Z5366">
        <v>4.3952579999999998E-2</v>
      </c>
      <c r="AA5366">
        <v>0.77659019999999901</v>
      </c>
      <c r="AB5366">
        <v>24</v>
      </c>
      <c r="AC5366">
        <v>1.2413000000000201</v>
      </c>
      <c r="AD5366">
        <v>-1.0503944220699999</v>
      </c>
      <c r="AE5366">
        <v>-10.062619</v>
      </c>
      <c r="AF5366">
        <v>6.3806378788823999</v>
      </c>
      <c r="AG5366">
        <v>-1.0503944220699999</v>
      </c>
      <c r="AH5366">
        <v>7.7403459111339004</v>
      </c>
      <c r="AI5366">
        <v>95.977797703419199</v>
      </c>
      <c r="AJ5366">
        <v>50.500048015464799</v>
      </c>
      <c r="AK5366">
        <v>10.0860707417384</v>
      </c>
      <c r="AL5366">
        <v>86.935358799622804</v>
      </c>
      <c r="AM5366">
        <v>72.493565866777999</v>
      </c>
      <c r="AN5366">
        <v>1.00000003153601</v>
      </c>
    </row>
    <row r="5367" spans="1:40" x14ac:dyDescent="0.25">
      <c r="A5367" t="str">
        <f>"20190312151640395"</f>
        <v>20190312151640395</v>
      </c>
      <c r="B5367" t="str">
        <f>"1552375000392849"</f>
        <v>1552375000392849</v>
      </c>
      <c r="C5367" t="s">
        <v>40</v>
      </c>
      <c r="D5367">
        <v>4.9179050000000002</v>
      </c>
      <c r="E5367">
        <v>0.64804899999999999</v>
      </c>
      <c r="F5367" t="s">
        <v>43</v>
      </c>
      <c r="G5367">
        <v>-302.59539999999998</v>
      </c>
      <c r="H5367" s="1">
        <v>-4.351692E-6</v>
      </c>
      <c r="I5367">
        <v>-1.416588</v>
      </c>
      <c r="J5367">
        <v>-303.745</v>
      </c>
      <c r="K5367">
        <v>1.050341</v>
      </c>
      <c r="L5367">
        <v>8.6566770000000002</v>
      </c>
      <c r="M5367">
        <v>0.71713570000000004</v>
      </c>
      <c r="N5367">
        <v>0</v>
      </c>
      <c r="O5367">
        <v>-0.69678209999999996</v>
      </c>
      <c r="P5367">
        <v>0.47702939999999999</v>
      </c>
      <c r="Q5367">
        <v>4.7021809999999997E-2</v>
      </c>
      <c r="R5367">
        <v>-0.87762890000000005</v>
      </c>
      <c r="S5367">
        <v>0.40701290000000001</v>
      </c>
      <c r="T5367">
        <v>-0.33170119999999997</v>
      </c>
      <c r="U5367">
        <v>-3.228577</v>
      </c>
      <c r="V5367">
        <v>0.29836580000000001</v>
      </c>
      <c r="W5367">
        <v>5.3920170000000003E-2</v>
      </c>
      <c r="X5367">
        <v>0.95292739999999998</v>
      </c>
      <c r="Y5367">
        <v>0.6240928</v>
      </c>
      <c r="Z5367">
        <v>4.5241969999999999E-2</v>
      </c>
      <c r="AA5367">
        <v>0.78003929999999999</v>
      </c>
      <c r="AB5367">
        <v>24</v>
      </c>
      <c r="AC5367">
        <v>1.1496000000000199</v>
      </c>
      <c r="AD5367">
        <v>-1.0503453516920001</v>
      </c>
      <c r="AE5367">
        <v>-10.073264999999999</v>
      </c>
      <c r="AF5367">
        <v>6.3553460454928503</v>
      </c>
      <c r="AG5367">
        <v>-1.0503453516920001</v>
      </c>
      <c r="AH5367">
        <v>7.7608242865799797</v>
      </c>
      <c r="AI5367">
        <v>95.977658397828193</v>
      </c>
      <c r="AJ5367">
        <v>50.685922182080397</v>
      </c>
      <c r="AK5367">
        <v>10.085833744562301</v>
      </c>
      <c r="AL5367">
        <v>86.909103110155201</v>
      </c>
      <c r="AM5367">
        <v>72.614430057361105</v>
      </c>
      <c r="AN5367">
        <v>1.00000008250661</v>
      </c>
    </row>
    <row r="5368" spans="1:40" x14ac:dyDescent="0.25">
      <c r="A5368" t="str">
        <f>"20190312151640418"</f>
        <v>20190312151640418</v>
      </c>
      <c r="B5368" t="str">
        <f>"1552375000413345"</f>
        <v>1552375000413345</v>
      </c>
      <c r="C5368" t="s">
        <v>40</v>
      </c>
      <c r="D5368">
        <v>4.9509980000000002</v>
      </c>
      <c r="E5368">
        <v>0.64697269999999996</v>
      </c>
      <c r="F5368" t="s">
        <v>43</v>
      </c>
      <c r="G5368">
        <v>-302.53809999999999</v>
      </c>
      <c r="H5368" s="1">
        <v>-4.2824900000000002E-6</v>
      </c>
      <c r="I5368">
        <v>-1.570317</v>
      </c>
      <c r="J5368">
        <v>-303.57889999999998</v>
      </c>
      <c r="K5368">
        <v>1.0502849999999999</v>
      </c>
      <c r="L5368">
        <v>8.4716489999999993</v>
      </c>
      <c r="M5368">
        <v>0.70654340000000004</v>
      </c>
      <c r="N5368">
        <v>0</v>
      </c>
      <c r="O5368">
        <v>-0.70751980000000003</v>
      </c>
      <c r="P5368">
        <v>0.4657577</v>
      </c>
      <c r="Q5368">
        <v>4.7219129999999998E-2</v>
      </c>
      <c r="R5368">
        <v>-0.88365190000000005</v>
      </c>
      <c r="S5368">
        <v>0.38104250000000001</v>
      </c>
      <c r="T5368">
        <v>-0.33162609999999998</v>
      </c>
      <c r="U5368">
        <v>-3.2289729999999999</v>
      </c>
      <c r="V5368">
        <v>0.29619259999999997</v>
      </c>
      <c r="W5368">
        <v>5.4171570000000002E-2</v>
      </c>
      <c r="X5368">
        <v>0.95359079999999996</v>
      </c>
      <c r="Y5368">
        <v>0.61851889999999998</v>
      </c>
      <c r="Z5368">
        <v>4.7021489999999999E-2</v>
      </c>
      <c r="AA5368">
        <v>0.78436169999999905</v>
      </c>
      <c r="AB5368">
        <v>24</v>
      </c>
      <c r="AC5368">
        <v>1.04079999999999</v>
      </c>
      <c r="AD5368">
        <v>-1.0502892824900001</v>
      </c>
      <c r="AE5368">
        <v>-10.041966</v>
      </c>
      <c r="AF5368">
        <v>6.2912834693881203</v>
      </c>
      <c r="AG5368">
        <v>-1.0502892824900001</v>
      </c>
      <c r="AH5368">
        <v>7.7571379491797403</v>
      </c>
      <c r="AI5368">
        <v>96.003083623642496</v>
      </c>
      <c r="AJ5368">
        <v>50.956857754911397</v>
      </c>
      <c r="AK5368">
        <v>10.0427359037124</v>
      </c>
      <c r="AL5368">
        <v>86.894677658006003</v>
      </c>
      <c r="AM5368">
        <v>72.7448058052519</v>
      </c>
      <c r="AN5368">
        <v>1.0000000145678301</v>
      </c>
    </row>
    <row r="5369" spans="1:40" x14ac:dyDescent="0.25">
      <c r="A5369" t="str">
        <f>"20190312151640440"</f>
        <v>20190312151640440</v>
      </c>
      <c r="B5369" t="str">
        <f>"1552375000432865"</f>
        <v>1552375000432865</v>
      </c>
      <c r="C5369" t="s">
        <v>40</v>
      </c>
      <c r="D5369">
        <v>4.8831790000000002</v>
      </c>
      <c r="E5369">
        <v>0.64595309999999995</v>
      </c>
      <c r="F5369" t="s">
        <v>43</v>
      </c>
      <c r="G5369">
        <v>-302.47989999999999</v>
      </c>
      <c r="H5369" s="1">
        <v>-4.2042390000000004E-6</v>
      </c>
      <c r="I5369">
        <v>-1.7472240000000001</v>
      </c>
      <c r="J5369">
        <v>-303.41919999999999</v>
      </c>
      <c r="K5369">
        <v>1.0502359999999999</v>
      </c>
      <c r="L5369">
        <v>8.2881470000000004</v>
      </c>
      <c r="M5369">
        <v>0.69594040000000001</v>
      </c>
      <c r="N5369">
        <v>0</v>
      </c>
      <c r="O5369">
        <v>-0.71795059999999999</v>
      </c>
      <c r="P5369">
        <v>0.454845</v>
      </c>
      <c r="Q5369">
        <v>4.7135969999999999E-2</v>
      </c>
      <c r="R5369">
        <v>-0.88932219999999995</v>
      </c>
      <c r="S5369">
        <v>0.34732059999999998</v>
      </c>
      <c r="T5369">
        <v>-0.33194400000000002</v>
      </c>
      <c r="U5369">
        <v>-3.2296749999999999</v>
      </c>
      <c r="V5369">
        <v>0.293753599999999</v>
      </c>
      <c r="W5369">
        <v>5.4150619999999997E-2</v>
      </c>
      <c r="X5369">
        <v>0.95434609999999997</v>
      </c>
      <c r="Y5369">
        <v>0.61495769999999905</v>
      </c>
      <c r="Z5369">
        <v>4.872278E-2</v>
      </c>
      <c r="AA5369">
        <v>0.78705349999999996</v>
      </c>
      <c r="AB5369">
        <v>24</v>
      </c>
      <c r="AC5369">
        <v>0.93930000000000202</v>
      </c>
      <c r="AD5369">
        <v>-1.050240204239</v>
      </c>
      <c r="AE5369">
        <v>-10.035371</v>
      </c>
      <c r="AF5369">
        <v>6.24254675608295</v>
      </c>
      <c r="AG5369">
        <v>-1.050240204239</v>
      </c>
      <c r="AH5369">
        <v>7.7750222173927197</v>
      </c>
      <c r="AI5369">
        <v>96.012778456512194</v>
      </c>
      <c r="AJ5369">
        <v>51.239102527612602</v>
      </c>
      <c r="AK5369">
        <v>10.0261340989153</v>
      </c>
      <c r="AL5369">
        <v>86.895879639460205</v>
      </c>
      <c r="AM5369">
        <v>72.891312596528607</v>
      </c>
      <c r="AN5369">
        <v>0.99999997287227604</v>
      </c>
    </row>
    <row r="5370" spans="1:40" x14ac:dyDescent="0.25">
      <c r="A5370" t="str">
        <f>"20190312151640462"</f>
        <v>20190312151640462</v>
      </c>
      <c r="B5370" t="str">
        <f>"1552375000452893"</f>
        <v>1552375000452893</v>
      </c>
      <c r="C5370" t="s">
        <v>40</v>
      </c>
      <c r="D5370">
        <v>5.0039980000000002</v>
      </c>
      <c r="E5370">
        <v>0.64530319999999997</v>
      </c>
      <c r="F5370" t="s">
        <v>43</v>
      </c>
      <c r="G5370">
        <v>-302.42020000000002</v>
      </c>
      <c r="H5370" s="1">
        <v>-4.1076259999999997E-6</v>
      </c>
      <c r="I5370">
        <v>-1.971206</v>
      </c>
      <c r="J5370">
        <v>-303.26060000000001</v>
      </c>
      <c r="K5370">
        <v>1.050184</v>
      </c>
      <c r="L5370">
        <v>8.1002200000000002</v>
      </c>
      <c r="M5370">
        <v>0.68498740000000002</v>
      </c>
      <c r="N5370">
        <v>0</v>
      </c>
      <c r="O5370">
        <v>-0.7284079</v>
      </c>
      <c r="P5370">
        <v>0.44370799999999999</v>
      </c>
      <c r="Q5370">
        <v>4.7481540000000003E-2</v>
      </c>
      <c r="R5370">
        <v>-0.89491290000000001</v>
      </c>
      <c r="S5370">
        <v>0.31451420000000002</v>
      </c>
      <c r="T5370">
        <v>-0.33065309999999998</v>
      </c>
      <c r="U5370">
        <v>-3.2300110000000002</v>
      </c>
      <c r="V5370">
        <v>0.291215</v>
      </c>
      <c r="W5370">
        <v>5.4562949999999999E-2</v>
      </c>
      <c r="X5370">
        <v>0.95510039999999996</v>
      </c>
      <c r="Y5370">
        <v>0.61095600000000005</v>
      </c>
      <c r="Z5370">
        <v>5.021689E-2</v>
      </c>
      <c r="AA5370">
        <v>0.79007019999999994</v>
      </c>
      <c r="AB5370">
        <v>24</v>
      </c>
      <c r="AC5370">
        <v>0.84039999999998805</v>
      </c>
      <c r="AD5370">
        <v>-1.050188107626</v>
      </c>
      <c r="AE5370">
        <v>-10.071425999999899</v>
      </c>
      <c r="AF5370">
        <v>6.2201547669112296</v>
      </c>
      <c r="AG5370">
        <v>-1.050188107626</v>
      </c>
      <c r="AH5370">
        <v>7.82809029612985</v>
      </c>
      <c r="AI5370">
        <v>95.996072049905294</v>
      </c>
      <c r="AJ5370">
        <v>51.529551559928898</v>
      </c>
      <c r="AK5370">
        <v>10.0534679623545</v>
      </c>
      <c r="AL5370">
        <v>86.872220078735197</v>
      </c>
      <c r="AM5370">
        <v>73.043267917272402</v>
      </c>
      <c r="AN5370">
        <v>1.00000003290893</v>
      </c>
    </row>
    <row r="5371" spans="1:40" x14ac:dyDescent="0.25">
      <c r="A5371" t="str">
        <f>"20190312151640485"</f>
        <v>20190312151640485</v>
      </c>
      <c r="B5371" t="str">
        <f>"1552375000473389"</f>
        <v>1552375000473389</v>
      </c>
      <c r="C5371" t="s">
        <v>40</v>
      </c>
      <c r="D5371">
        <v>4.9559309999999996</v>
      </c>
      <c r="E5371">
        <v>0.64456959999999996</v>
      </c>
      <c r="F5371" t="s">
        <v>43</v>
      </c>
      <c r="G5371">
        <v>-302.36520000000002</v>
      </c>
      <c r="H5371" s="1">
        <v>-3.9876160000000002E-6</v>
      </c>
      <c r="I5371">
        <v>-2.2583129999999998</v>
      </c>
      <c r="J5371">
        <v>-303.10509999999999</v>
      </c>
      <c r="K5371">
        <v>1.0501339999999999</v>
      </c>
      <c r="L5371">
        <v>7.9100950000000001</v>
      </c>
      <c r="M5371">
        <v>0.6738111</v>
      </c>
      <c r="N5371">
        <v>0</v>
      </c>
      <c r="O5371">
        <v>-0.73875800000000003</v>
      </c>
      <c r="P5371">
        <v>0.43170639999999999</v>
      </c>
      <c r="Q5371">
        <v>4.8145319999999998E-2</v>
      </c>
      <c r="R5371">
        <v>-0.90072850000000004</v>
      </c>
      <c r="S5371">
        <v>0.27929690000000001</v>
      </c>
      <c r="T5371">
        <v>-0.32758870000000001</v>
      </c>
      <c r="U5371">
        <v>-3.2311709999999998</v>
      </c>
      <c r="V5371">
        <v>0.28942960000000001</v>
      </c>
      <c r="W5371">
        <v>5.5273780000000002E-2</v>
      </c>
      <c r="X5371">
        <v>0.95560199999999995</v>
      </c>
      <c r="Y5371">
        <v>0.60748590000000002</v>
      </c>
      <c r="Z5371">
        <v>5.1374250000000003E-2</v>
      </c>
      <c r="AA5371">
        <v>0.79266740000000002</v>
      </c>
      <c r="AB5371">
        <v>24</v>
      </c>
      <c r="AC5371">
        <v>0.73989999999997702</v>
      </c>
      <c r="AD5371">
        <v>-1.050137987616</v>
      </c>
      <c r="AE5371">
        <v>-10.168407999999999</v>
      </c>
      <c r="AF5371">
        <v>6.2394603931086596</v>
      </c>
      <c r="AG5371">
        <v>-1.050137987616</v>
      </c>
      <c r="AH5371">
        <v>7.92730330467064</v>
      </c>
      <c r="AI5371">
        <v>95.942803664475804</v>
      </c>
      <c r="AJ5371">
        <v>51.794252148993102</v>
      </c>
      <c r="AK5371">
        <v>10.1427705028975</v>
      </c>
      <c r="AL5371">
        <v>86.8314306472043</v>
      </c>
      <c r="AM5371">
        <v>73.149661112357194</v>
      </c>
      <c r="AN5371">
        <v>0.99999993325782099</v>
      </c>
    </row>
    <row r="5372" spans="1:40" x14ac:dyDescent="0.25">
      <c r="A5372" t="str">
        <f>"20190312151640507"</f>
        <v>20190312151640507</v>
      </c>
      <c r="B5372" t="str">
        <f>"1552375000503645"</f>
        <v>1552375000503645</v>
      </c>
      <c r="C5372" t="s">
        <v>40</v>
      </c>
      <c r="D5372">
        <v>4.9435799999999999</v>
      </c>
      <c r="E5372">
        <v>0.64350839999999998</v>
      </c>
      <c r="F5372" t="s">
        <v>43</v>
      </c>
      <c r="G5372">
        <v>-302.32330000000002</v>
      </c>
      <c r="H5372" s="1">
        <v>-3.8734679999999901E-6</v>
      </c>
      <c r="I5372">
        <v>-2.536222</v>
      </c>
      <c r="J5372">
        <v>-302.95679999999999</v>
      </c>
      <c r="K5372">
        <v>1.0500959999999999</v>
      </c>
      <c r="L5372">
        <v>7.7229000000000001</v>
      </c>
      <c r="M5372">
        <v>0.66272259999999905</v>
      </c>
      <c r="N5372">
        <v>0</v>
      </c>
      <c r="O5372">
        <v>-0.74872059999999996</v>
      </c>
      <c r="P5372">
        <v>0.4197398</v>
      </c>
      <c r="Q5372">
        <v>4.8495089999999998E-2</v>
      </c>
      <c r="R5372">
        <v>-0.90634840000000005</v>
      </c>
      <c r="S5372">
        <v>0.24188229999999999</v>
      </c>
      <c r="T5372">
        <v>-0.32490920000000001</v>
      </c>
      <c r="U5372">
        <v>-3.232056</v>
      </c>
      <c r="V5372">
        <v>0.2878405</v>
      </c>
      <c r="W5372">
        <v>5.5668009999999997E-2</v>
      </c>
      <c r="X5372">
        <v>0.95605910000000005</v>
      </c>
      <c r="Y5372">
        <v>0.60480069999999997</v>
      </c>
      <c r="Z5372">
        <v>5.2482090000000002E-2</v>
      </c>
      <c r="AA5372">
        <v>0.79464569999999901</v>
      </c>
      <c r="AB5372">
        <v>24</v>
      </c>
      <c r="AC5372">
        <v>0.63349999999996898</v>
      </c>
      <c r="AD5372">
        <v>-1.0500998734679901</v>
      </c>
      <c r="AE5372">
        <v>-10.259122</v>
      </c>
      <c r="AF5372">
        <v>6.2599840641294699</v>
      </c>
      <c r="AG5372">
        <v>-1.0500998734679901</v>
      </c>
      <c r="AH5372">
        <v>8.0182379672342297</v>
      </c>
      <c r="AI5372">
        <v>95.893732378168806</v>
      </c>
      <c r="AJ5372">
        <v>52.020194813683702</v>
      </c>
      <c r="AK5372">
        <v>10.2265463538092</v>
      </c>
      <c r="AL5372">
        <v>86.808808445082406</v>
      </c>
      <c r="AM5372">
        <v>73.244539579152701</v>
      </c>
      <c r="AN5372">
        <v>1.0000000417352</v>
      </c>
    </row>
    <row r="5373" spans="1:40" x14ac:dyDescent="0.25">
      <c r="A5373" t="str">
        <f>"20190312151640529"</f>
        <v>20190312151640529</v>
      </c>
      <c r="B5373" t="str">
        <f>"1552375000523164"</f>
        <v>1552375000523164</v>
      </c>
      <c r="C5373" t="s">
        <v>40</v>
      </c>
      <c r="D5373">
        <v>4.988836</v>
      </c>
      <c r="E5373">
        <v>0.64323869999999905</v>
      </c>
      <c r="F5373" t="s">
        <v>43</v>
      </c>
      <c r="G5373">
        <v>-302.28870000000001</v>
      </c>
      <c r="H5373" s="1">
        <v>-3.802063E-6</v>
      </c>
      <c r="I5373">
        <v>-2.7061920000000002</v>
      </c>
      <c r="J5373">
        <v>-302.80579999999998</v>
      </c>
      <c r="K5373">
        <v>1.0500579999999999</v>
      </c>
      <c r="L5373">
        <v>7.5261229999999903</v>
      </c>
      <c r="M5373">
        <v>0.65098429999999996</v>
      </c>
      <c r="N5373">
        <v>0</v>
      </c>
      <c r="O5373">
        <v>-0.75894819999999996</v>
      </c>
      <c r="P5373">
        <v>0.40668759999999998</v>
      </c>
      <c r="Q5373">
        <v>4.900446E-2</v>
      </c>
      <c r="R5373">
        <v>-0.9122519</v>
      </c>
      <c r="S5373">
        <v>0.20700070000000001</v>
      </c>
      <c r="T5373">
        <v>-0.32538159999999999</v>
      </c>
      <c r="U5373">
        <v>-3.2315369999999999</v>
      </c>
      <c r="V5373">
        <v>0.2866763</v>
      </c>
      <c r="W5373">
        <v>5.6212640000000001E-2</v>
      </c>
      <c r="X5373">
        <v>0.95637689999999997</v>
      </c>
      <c r="Y5373">
        <v>0.60094139999999996</v>
      </c>
      <c r="Z5373">
        <v>5.4196729999999999E-2</v>
      </c>
      <c r="AA5373">
        <v>0.79745350000000004</v>
      </c>
      <c r="AB5373">
        <v>24</v>
      </c>
      <c r="AC5373">
        <v>0.51709999999997003</v>
      </c>
      <c r="AD5373">
        <v>-1.0500618020629999</v>
      </c>
      <c r="AE5373">
        <v>-10.232315</v>
      </c>
      <c r="AF5373">
        <v>6.2041336390310597</v>
      </c>
      <c r="AG5373">
        <v>-1.0500618020629999</v>
      </c>
      <c r="AH5373">
        <v>8.0190645431542809</v>
      </c>
      <c r="AI5373">
        <v>95.912924664936995</v>
      </c>
      <c r="AJ5373">
        <v>52.271847727099399</v>
      </c>
      <c r="AK5373">
        <v>10.1931006149445</v>
      </c>
      <c r="AL5373">
        <v>86.7775542688169</v>
      </c>
      <c r="AM5373">
        <v>73.313770141008803</v>
      </c>
      <c r="AN5373">
        <v>0.99999996836553395</v>
      </c>
    </row>
    <row r="5374" spans="1:40" x14ac:dyDescent="0.25">
      <c r="A5374" t="str">
        <f>"20190312151640551"</f>
        <v>20190312151640551</v>
      </c>
      <c r="B5374" t="str">
        <f>"1552375000543661"</f>
        <v>1552375000543661</v>
      </c>
      <c r="C5374" t="s">
        <v>40</v>
      </c>
      <c r="D5374">
        <v>4.8890880000000001</v>
      </c>
      <c r="E5374">
        <v>0.63120830000000006</v>
      </c>
      <c r="F5374" t="s">
        <v>43</v>
      </c>
      <c r="G5374">
        <v>-302.28089999999997</v>
      </c>
      <c r="H5374" s="1">
        <v>-3.712682E-6</v>
      </c>
      <c r="I5374">
        <v>-2.892449</v>
      </c>
      <c r="J5374">
        <v>-302.66430000000003</v>
      </c>
      <c r="K5374">
        <v>1.0500339999999999</v>
      </c>
      <c r="L5374">
        <v>7.3357239999999999</v>
      </c>
      <c r="M5374">
        <v>0.63955280000000003</v>
      </c>
      <c r="N5374">
        <v>0</v>
      </c>
      <c r="O5374">
        <v>-0.7686056</v>
      </c>
      <c r="P5374">
        <v>0.39356239999999998</v>
      </c>
      <c r="Q5374">
        <v>4.9312479999999999E-2</v>
      </c>
      <c r="R5374">
        <v>-0.91797470000000003</v>
      </c>
      <c r="S5374">
        <v>0.16290279999999999</v>
      </c>
      <c r="T5374">
        <v>-0.32589220000000002</v>
      </c>
      <c r="U5374">
        <v>-3.2334589999999999</v>
      </c>
      <c r="V5374">
        <v>0.28608060000000002</v>
      </c>
      <c r="W5374">
        <v>5.6541609999999999E-2</v>
      </c>
      <c r="X5374">
        <v>0.95653589999999999</v>
      </c>
      <c r="Y5374">
        <v>0.59986319999999904</v>
      </c>
      <c r="Z5374">
        <v>5.568737E-2</v>
      </c>
      <c r="AA5374">
        <v>0.79816229999999999</v>
      </c>
      <c r="AB5374">
        <v>24</v>
      </c>
      <c r="AC5374">
        <v>0.38340000000005098</v>
      </c>
      <c r="AD5374">
        <v>-1.050037712682</v>
      </c>
      <c r="AE5374">
        <v>-10.228173</v>
      </c>
      <c r="AF5374">
        <v>6.1823863196098596</v>
      </c>
      <c r="AG5374">
        <v>-1.050037712682</v>
      </c>
      <c r="AH5374">
        <v>8.0230785727775498</v>
      </c>
      <c r="AI5374">
        <v>95.918652068445496</v>
      </c>
      <c r="AJ5374">
        <v>52.383040732960303</v>
      </c>
      <c r="AK5374">
        <v>10.183038327921301</v>
      </c>
      <c r="AL5374">
        <v>86.758675738562502</v>
      </c>
      <c r="AM5374">
        <v>73.3491363738557</v>
      </c>
      <c r="AN5374">
        <v>0.99999999567328002</v>
      </c>
    </row>
    <row r="5375" spans="1:40" x14ac:dyDescent="0.25">
      <c r="A5375" t="str">
        <f>"20190312151640574"</f>
        <v>20190312151640574</v>
      </c>
      <c r="B5375" t="str">
        <f>"1552375000563180"</f>
        <v>1552375000563180</v>
      </c>
      <c r="C5375" t="s">
        <v>40</v>
      </c>
      <c r="D5375">
        <v>4.9924730000000004</v>
      </c>
      <c r="E5375">
        <v>0.63101850000000004</v>
      </c>
      <c r="F5375" t="s">
        <v>43</v>
      </c>
      <c r="G5375">
        <v>-301.98630000000003</v>
      </c>
      <c r="H5375" s="1">
        <v>-3.4902090000000001E-6</v>
      </c>
      <c r="I5375">
        <v>-3.1972649999999998</v>
      </c>
      <c r="J5375">
        <v>-302.51839999999999</v>
      </c>
      <c r="K5375">
        <v>1.0500130000000001</v>
      </c>
      <c r="L5375">
        <v>7.1325989999999999</v>
      </c>
      <c r="M5375">
        <v>0.62729559999999995</v>
      </c>
      <c r="N5375">
        <v>0</v>
      </c>
      <c r="O5375">
        <v>-0.77864089999999997</v>
      </c>
      <c r="P5375">
        <v>0.37962499999999999</v>
      </c>
      <c r="Q5375">
        <v>4.8934369999999998E-2</v>
      </c>
      <c r="R5375">
        <v>-0.92384540000000004</v>
      </c>
      <c r="S5375">
        <v>0.20577999999999999</v>
      </c>
      <c r="T5375">
        <v>-0.31870910000000002</v>
      </c>
      <c r="U5375">
        <v>-3.1969910000000001</v>
      </c>
      <c r="V5375">
        <v>0.28540910000000003</v>
      </c>
      <c r="W5375">
        <v>5.6190749999999998E-2</v>
      </c>
      <c r="X5375">
        <v>0.95675719999999997</v>
      </c>
      <c r="Y5375">
        <v>0.57585869999999995</v>
      </c>
      <c r="Z5375">
        <v>5.745869E-2</v>
      </c>
      <c r="AA5375">
        <v>0.81552760000000002</v>
      </c>
      <c r="AB5375">
        <v>24</v>
      </c>
      <c r="AC5375">
        <v>0.53209999999995705</v>
      </c>
      <c r="AD5375">
        <v>-1.0500164902089999</v>
      </c>
      <c r="AE5375">
        <v>-10.329864000000001</v>
      </c>
      <c r="AF5375">
        <v>6.0043509861890296</v>
      </c>
      <c r="AG5375">
        <v>-1.0500164902089999</v>
      </c>
      <c r="AH5375">
        <v>8.2924992286380093</v>
      </c>
      <c r="AI5375">
        <v>95.855789552167906</v>
      </c>
      <c r="AJ5375">
        <v>54.092825436646699</v>
      </c>
      <c r="AK5375">
        <v>10.291759269047301</v>
      </c>
      <c r="AL5375">
        <v>86.778810713329804</v>
      </c>
      <c r="AM5375">
        <v>73.389694483904805</v>
      </c>
      <c r="AN5375">
        <v>1.0000000472501001</v>
      </c>
    </row>
    <row r="5376" spans="1:40" x14ac:dyDescent="0.25">
      <c r="A5376" t="str">
        <f>"20190312151640596"</f>
        <v>20190312151640596</v>
      </c>
      <c r="B5376" t="str">
        <f>"1552375000593436"</f>
        <v>1552375000593436</v>
      </c>
      <c r="C5376" t="s">
        <v>40</v>
      </c>
      <c r="D5376">
        <v>4.9170119999999997</v>
      </c>
      <c r="E5376">
        <v>0.62917319999999999</v>
      </c>
      <c r="F5376" t="s">
        <v>43</v>
      </c>
      <c r="G5376">
        <v>-302.01179999999999</v>
      </c>
      <c r="H5376" s="1">
        <v>-3.572181E-6</v>
      </c>
      <c r="I5376">
        <v>-3.0382120000000001</v>
      </c>
      <c r="J5376">
        <v>-302.38330000000002</v>
      </c>
      <c r="K5376">
        <v>1.0500020000000001</v>
      </c>
      <c r="L5376">
        <v>6.9379580000000001</v>
      </c>
      <c r="M5376">
        <v>0.61549949999999998</v>
      </c>
      <c r="N5376">
        <v>0</v>
      </c>
      <c r="O5376">
        <v>-0.78799839999999999</v>
      </c>
      <c r="P5376">
        <v>0.3662125</v>
      </c>
      <c r="Q5376">
        <v>4.8632590000000003E-2</v>
      </c>
      <c r="R5376">
        <v>-0.92925979999999997</v>
      </c>
      <c r="S5376">
        <v>0.1593628</v>
      </c>
      <c r="T5376">
        <v>-0.33029130000000001</v>
      </c>
      <c r="U5376">
        <v>-3.1993100000000001</v>
      </c>
      <c r="V5376">
        <v>0.28485549999999998</v>
      </c>
      <c r="W5376">
        <v>5.591604E-2</v>
      </c>
      <c r="X5376">
        <v>0.95693819999999996</v>
      </c>
      <c r="Y5376">
        <v>0.575376</v>
      </c>
      <c r="Z5376">
        <v>6.0896690000000003E-2</v>
      </c>
      <c r="AA5376">
        <v>0.81561879999999998</v>
      </c>
      <c r="AB5376">
        <v>24</v>
      </c>
      <c r="AC5376">
        <v>0.37150000000002498</v>
      </c>
      <c r="AD5376">
        <v>-1.050005572181</v>
      </c>
      <c r="AE5376">
        <v>-9.9761699999999998</v>
      </c>
      <c r="AF5376">
        <v>5.7842381319114402</v>
      </c>
      <c r="AG5376">
        <v>-1.050005572181</v>
      </c>
      <c r="AH5376">
        <v>8.0022248942606709</v>
      </c>
      <c r="AI5376">
        <v>96.070135199442504</v>
      </c>
      <c r="AJ5376">
        <v>54.139515320600502</v>
      </c>
      <c r="AK5376">
        <v>9.9295279709860704</v>
      </c>
      <c r="AL5376">
        <v>86.7945750347521</v>
      </c>
      <c r="AM5376">
        <v>73.4231066386197</v>
      </c>
      <c r="AN5376">
        <v>0.99999998901438503</v>
      </c>
    </row>
    <row r="5377" spans="1:40" x14ac:dyDescent="0.25">
      <c r="A5377" t="str">
        <f>"20190312151640618"</f>
        <v>20190312151640618</v>
      </c>
      <c r="B5377" t="str">
        <f>"1552375000612956"</f>
        <v>1552375000612956</v>
      </c>
      <c r="C5377" t="s">
        <v>40</v>
      </c>
      <c r="D5377">
        <v>4.9634780000000003</v>
      </c>
      <c r="E5377">
        <v>0.62802819999999904</v>
      </c>
      <c r="F5377" t="s">
        <v>43</v>
      </c>
      <c r="G5377">
        <v>-301.98840000000001</v>
      </c>
      <c r="H5377" s="1">
        <v>-3.5611819999999998E-6</v>
      </c>
      <c r="I5377">
        <v>-3.048295</v>
      </c>
      <c r="J5377">
        <v>-302.245</v>
      </c>
      <c r="K5377">
        <v>1.0499959999999999</v>
      </c>
      <c r="L5377">
        <v>6.7319339999999999</v>
      </c>
      <c r="M5377">
        <v>0.60296879999999997</v>
      </c>
      <c r="N5377">
        <v>0</v>
      </c>
      <c r="O5377">
        <v>-0.79762719999999998</v>
      </c>
      <c r="P5377">
        <v>0.35162259999999901</v>
      </c>
      <c r="Q5377">
        <v>4.8844039999999998E-2</v>
      </c>
      <c r="R5377">
        <v>-0.9348668</v>
      </c>
      <c r="S5377">
        <v>0.12640380000000001</v>
      </c>
      <c r="T5377">
        <v>-0.33605810000000003</v>
      </c>
      <c r="U5377">
        <v>-3.1961360000000001</v>
      </c>
      <c r="V5377">
        <v>0.2847094</v>
      </c>
      <c r="W5377">
        <v>5.6146469999999997E-2</v>
      </c>
      <c r="X5377">
        <v>0.95696820000000005</v>
      </c>
      <c r="Y5377">
        <v>0.57080549999999997</v>
      </c>
      <c r="Z5377">
        <v>6.3651250000000006E-2</v>
      </c>
      <c r="AA5377">
        <v>0.81861450000000002</v>
      </c>
      <c r="AB5377">
        <v>24</v>
      </c>
      <c r="AC5377">
        <v>0.256599999999991</v>
      </c>
      <c r="AD5377">
        <v>-1.0499995611820001</v>
      </c>
      <c r="AE5377">
        <v>-9.7802289999999896</v>
      </c>
      <c r="AF5377">
        <v>5.6282992041143602</v>
      </c>
      <c r="AG5377">
        <v>-1.0499995611820001</v>
      </c>
      <c r="AH5377">
        <v>7.8659705148007699</v>
      </c>
      <c r="AI5377">
        <v>96.195688384421501</v>
      </c>
      <c r="AJ5377">
        <v>54.415329241678798</v>
      </c>
      <c r="AK5377">
        <v>9.7290155282655295</v>
      </c>
      <c r="AL5377">
        <v>86.781351636689294</v>
      </c>
      <c r="AM5377">
        <v>73.431633486217606</v>
      </c>
      <c r="AN5377">
        <v>1.0000000021765301</v>
      </c>
    </row>
    <row r="5378" spans="1:40" x14ac:dyDescent="0.25">
      <c r="A5378" t="str">
        <f>"20190312151640642"</f>
        <v>20190312151640642</v>
      </c>
      <c r="B5378" t="str">
        <f>"1552375000633453"</f>
        <v>1552375000633453</v>
      </c>
      <c r="C5378" t="s">
        <v>40</v>
      </c>
      <c r="D5378">
        <v>4.93973</v>
      </c>
      <c r="E5378">
        <v>0.62738649999999996</v>
      </c>
      <c r="F5378" t="s">
        <v>43</v>
      </c>
      <c r="G5378">
        <v>-301.98230000000001</v>
      </c>
      <c r="H5378" s="1">
        <v>-3.5194079999999999E-6</v>
      </c>
      <c r="I5378">
        <v>-3.133222</v>
      </c>
      <c r="J5378">
        <v>-302.11070000000001</v>
      </c>
      <c r="K5378">
        <v>1.050006</v>
      </c>
      <c r="L5378">
        <v>6.5249329999999999</v>
      </c>
      <c r="M5378">
        <v>0.59034140000000002</v>
      </c>
      <c r="N5378">
        <v>0</v>
      </c>
      <c r="O5378">
        <v>-0.8070174</v>
      </c>
      <c r="P5378">
        <v>0.33722990000000003</v>
      </c>
      <c r="Q5378">
        <v>4.928432E-2</v>
      </c>
      <c r="R5378">
        <v>-0.94013170000000001</v>
      </c>
      <c r="S5378">
        <v>8.5083010000000001E-2</v>
      </c>
      <c r="T5378">
        <v>-0.34003529999999998</v>
      </c>
      <c r="U5378">
        <v>-3.194763</v>
      </c>
      <c r="V5378">
        <v>0.28433619999999998</v>
      </c>
      <c r="W5378">
        <v>5.6617309999999997E-2</v>
      </c>
      <c r="X5378">
        <v>0.9570514</v>
      </c>
      <c r="Y5378">
        <v>0.56845210000000002</v>
      </c>
      <c r="Z5378">
        <v>6.5960469999999993E-2</v>
      </c>
      <c r="AA5378">
        <v>0.82006789999999996</v>
      </c>
      <c r="AB5378">
        <v>24</v>
      </c>
      <c r="AC5378">
        <v>0.12839999999999899</v>
      </c>
      <c r="AD5378">
        <v>-1.0500095194079999</v>
      </c>
      <c r="AE5378">
        <v>-9.6581550000000007</v>
      </c>
      <c r="AF5378">
        <v>5.5332153085757003</v>
      </c>
      <c r="AG5378">
        <v>-1.0500095194079999</v>
      </c>
      <c r="AH5378">
        <v>7.7790367488759804</v>
      </c>
      <c r="AI5378">
        <v>96.276870375362904</v>
      </c>
      <c r="AJ5378">
        <v>54.575823731807901</v>
      </c>
      <c r="AK5378">
        <v>9.60377032119505</v>
      </c>
      <c r="AL5378">
        <v>86.754331465124196</v>
      </c>
      <c r="AM5378">
        <v>73.453522930335893</v>
      </c>
      <c r="AN5378">
        <v>0.99999998833201797</v>
      </c>
    </row>
    <row r="5379" spans="1:40" x14ac:dyDescent="0.25">
      <c r="A5379" t="str">
        <f>"20190312151640668"</f>
        <v>20190312151640668</v>
      </c>
      <c r="B5379" t="str">
        <f>"1552375000662733"</f>
        <v>1552375000662733</v>
      </c>
      <c r="C5379" t="s">
        <v>40</v>
      </c>
      <c r="D5379">
        <v>4.9743639999999996</v>
      </c>
      <c r="E5379">
        <v>0.61725350000000001</v>
      </c>
      <c r="F5379" t="s">
        <v>43</v>
      </c>
      <c r="G5379">
        <v>-301.9846</v>
      </c>
      <c r="H5379" s="1">
        <v>-3.4331210000000002E-6</v>
      </c>
      <c r="I5379">
        <v>-3.3171040000000001</v>
      </c>
      <c r="J5379">
        <v>-301.95819999999998</v>
      </c>
      <c r="K5379">
        <v>1.050027</v>
      </c>
      <c r="L5379">
        <v>6.280945</v>
      </c>
      <c r="M5379">
        <v>0.57541819999999999</v>
      </c>
      <c r="N5379">
        <v>0</v>
      </c>
      <c r="O5379">
        <v>-0.81772419999999901</v>
      </c>
      <c r="P5379">
        <v>0.32085979999999997</v>
      </c>
      <c r="Q5379">
        <v>4.9842490000000003E-2</v>
      </c>
      <c r="R5379">
        <v>-0.9458143</v>
      </c>
      <c r="S5379">
        <v>4.092407E-2</v>
      </c>
      <c r="T5379">
        <v>-0.34077849999999998</v>
      </c>
      <c r="U5379">
        <v>-3.1942140000000001</v>
      </c>
      <c r="V5379">
        <v>0.28336409999999901</v>
      </c>
      <c r="W5379">
        <v>5.7234779999999999E-2</v>
      </c>
      <c r="X5379">
        <v>0.95730300000000002</v>
      </c>
      <c r="Y5379">
        <v>0.56467909999999999</v>
      </c>
      <c r="Z5379">
        <v>6.7912639999999996E-2</v>
      </c>
      <c r="AA5379">
        <v>0.82251160000000001</v>
      </c>
      <c r="AB5379">
        <v>24</v>
      </c>
      <c r="AC5379">
        <v>-2.64000000000237E-2</v>
      </c>
      <c r="AD5379">
        <v>-1.050030433121</v>
      </c>
      <c r="AE5379">
        <v>-9.5980489999999996</v>
      </c>
      <c r="AF5379">
        <v>5.4795120810116398</v>
      </c>
      <c r="AG5379">
        <v>-1.050030433121</v>
      </c>
      <c r="AH5379">
        <v>7.7415777669999404</v>
      </c>
      <c r="AI5379">
        <v>96.317450996494102</v>
      </c>
      <c r="AJ5379">
        <v>54.709024888402503</v>
      </c>
      <c r="AK5379">
        <v>9.5425176383877108</v>
      </c>
      <c r="AL5379">
        <v>86.718895724648107</v>
      </c>
      <c r="AM5379">
        <v>73.511113562416796</v>
      </c>
      <c r="AN5379">
        <v>1.0000000335097201</v>
      </c>
    </row>
    <row r="5380" spans="1:40" x14ac:dyDescent="0.25">
      <c r="A5380" t="str">
        <f>"20190312151640686"</f>
        <v>20190312151640686</v>
      </c>
      <c r="B5380" t="str">
        <f>"1552375000683229"</f>
        <v>1552375000683229</v>
      </c>
      <c r="C5380" t="s">
        <v>40</v>
      </c>
      <c r="D5380">
        <v>5.1446449999999997</v>
      </c>
      <c r="E5380">
        <v>0.61680559999999995</v>
      </c>
      <c r="F5380" t="s">
        <v>43</v>
      </c>
      <c r="G5380">
        <v>-301.78300000000002</v>
      </c>
      <c r="H5380" s="1">
        <v>-3.6391180000000001E-6</v>
      </c>
      <c r="I5380">
        <v>-2.7677870000000002</v>
      </c>
      <c r="J5380">
        <v>-301.85700000000003</v>
      </c>
      <c r="K5380">
        <v>1.0500400000000001</v>
      </c>
      <c r="L5380">
        <v>6.1130680000000002</v>
      </c>
      <c r="M5380">
        <v>0.56513089999999999</v>
      </c>
      <c r="N5380">
        <v>0</v>
      </c>
      <c r="O5380">
        <v>-0.82486709999999996</v>
      </c>
      <c r="P5380">
        <v>0.30983749999999999</v>
      </c>
      <c r="Q5380">
        <v>5.0420949999999999E-2</v>
      </c>
      <c r="R5380">
        <v>-0.94945179999999996</v>
      </c>
      <c r="S5380">
        <v>6.1401369999999997E-2</v>
      </c>
      <c r="T5380">
        <v>-0.36790349999999999</v>
      </c>
      <c r="U5380">
        <v>-3.1704409999999998</v>
      </c>
      <c r="V5380">
        <v>0.28250239999999999</v>
      </c>
      <c r="W5380">
        <v>5.7859819999999999E-2</v>
      </c>
      <c r="X5380">
        <v>0.95752000000000004</v>
      </c>
      <c r="Y5380">
        <v>0.54883859999999995</v>
      </c>
      <c r="Z5380">
        <v>7.5660959999999999E-2</v>
      </c>
      <c r="AA5380">
        <v>0.83249719999999905</v>
      </c>
      <c r="AB5380">
        <v>24</v>
      </c>
      <c r="AC5380">
        <v>7.4000000000012195E-2</v>
      </c>
      <c r="AD5380">
        <v>-1.0500436391179999</v>
      </c>
      <c r="AE5380">
        <v>-8.8808550000000004</v>
      </c>
      <c r="AF5380">
        <v>4.88999707511514</v>
      </c>
      <c r="AG5380">
        <v>-1.0500436391179999</v>
      </c>
      <c r="AH5380">
        <v>7.2665809766192204</v>
      </c>
      <c r="AI5380">
        <v>96.836302644066706</v>
      </c>
      <c r="AJ5380">
        <v>56.061681808508297</v>
      </c>
      <c r="AK5380">
        <v>8.8214433132255206</v>
      </c>
      <c r="AL5380">
        <v>86.683023872022702</v>
      </c>
      <c r="AM5380">
        <v>73.562069188545095</v>
      </c>
      <c r="AN5380">
        <v>0.99999995758809501</v>
      </c>
    </row>
    <row r="5381" spans="1:40" x14ac:dyDescent="0.25">
      <c r="A5381" t="str">
        <f>"20190312151640708"</f>
        <v>20190312151640708</v>
      </c>
      <c r="B5381" t="str">
        <f>"1552375000702749"</f>
        <v>1552375000702749</v>
      </c>
      <c r="C5381" t="s">
        <v>40</v>
      </c>
      <c r="D5381">
        <v>5.0027869999999997</v>
      </c>
      <c r="E5381">
        <v>0.61437679999999995</v>
      </c>
      <c r="F5381" t="s">
        <v>43</v>
      </c>
      <c r="G5381">
        <v>-301.77530000000002</v>
      </c>
      <c r="H5381" s="1">
        <v>-3.535918E-6</v>
      </c>
      <c r="I5381">
        <v>-2.9817999999999998</v>
      </c>
      <c r="J5381">
        <v>-301.73610000000002</v>
      </c>
      <c r="K5381">
        <v>1.050063</v>
      </c>
      <c r="L5381">
        <v>5.9064030000000001</v>
      </c>
      <c r="M5381">
        <v>0.55244539999999998</v>
      </c>
      <c r="N5381">
        <v>0</v>
      </c>
      <c r="O5381">
        <v>-0.83341609999999999</v>
      </c>
      <c r="P5381">
        <v>0.29626809999999998</v>
      </c>
      <c r="Q5381">
        <v>5.0590030000000001E-2</v>
      </c>
      <c r="R5381">
        <v>-0.95376399999999995</v>
      </c>
      <c r="S5381">
        <v>2.8472899999999999E-2</v>
      </c>
      <c r="T5381">
        <v>-0.36597469999999999</v>
      </c>
      <c r="U5381">
        <v>-3.169861</v>
      </c>
      <c r="V5381">
        <v>0.28150269999999999</v>
      </c>
      <c r="W5381">
        <v>5.8083089999999997E-2</v>
      </c>
      <c r="X5381">
        <v>0.95780089999999996</v>
      </c>
      <c r="Y5381">
        <v>0.54470649999999998</v>
      </c>
      <c r="Z5381">
        <v>7.6876490000000006E-2</v>
      </c>
      <c r="AA5381">
        <v>0.8350957</v>
      </c>
      <c r="AB5381">
        <v>24</v>
      </c>
      <c r="AC5381">
        <v>-3.9199999999993899E-2</v>
      </c>
      <c r="AD5381">
        <v>-1.0500665359179999</v>
      </c>
      <c r="AE5381">
        <v>-8.8882030000000007</v>
      </c>
      <c r="AF5381">
        <v>4.87541773031242</v>
      </c>
      <c r="AG5381">
        <v>-1.0500665359179999</v>
      </c>
      <c r="AH5381">
        <v>7.2850556921828096</v>
      </c>
      <c r="AI5381">
        <v>96.830875565313505</v>
      </c>
      <c r="AJ5381">
        <v>56.208157971412099</v>
      </c>
      <c r="AK5381">
        <v>8.8286111146150699</v>
      </c>
      <c r="AL5381">
        <v>86.670209999934997</v>
      </c>
      <c r="AM5381">
        <v>73.621661573127099</v>
      </c>
      <c r="AN5381">
        <v>0.999999989746024</v>
      </c>
    </row>
    <row r="5382" spans="1:40" x14ac:dyDescent="0.25">
      <c r="A5382" t="str">
        <f>"20190312151640730"</f>
        <v>20190312151640730</v>
      </c>
      <c r="B5382" t="str">
        <f>"1552375000723245"</f>
        <v>1552375000723245</v>
      </c>
      <c r="C5382" t="s">
        <v>40</v>
      </c>
      <c r="D5382">
        <v>5.0845580000000004</v>
      </c>
      <c r="E5382">
        <v>0.61290459999999902</v>
      </c>
      <c r="F5382" t="s">
        <v>43</v>
      </c>
      <c r="G5382">
        <v>-301.72969999999998</v>
      </c>
      <c r="H5382" s="1">
        <v>-3.2924550000000001E-6</v>
      </c>
      <c r="I5382">
        <v>-3.4712010000000002</v>
      </c>
      <c r="J5382">
        <v>-301.61950000000002</v>
      </c>
      <c r="K5382">
        <v>1.050084</v>
      </c>
      <c r="L5382">
        <v>5.6998899999999999</v>
      </c>
      <c r="M5382">
        <v>0.53975550000000005</v>
      </c>
      <c r="N5382">
        <v>0</v>
      </c>
      <c r="O5382">
        <v>-0.84168999999999905</v>
      </c>
      <c r="P5382">
        <v>0.28339950000000003</v>
      </c>
      <c r="Q5382">
        <v>5.0886260000000003E-2</v>
      </c>
      <c r="R5382">
        <v>-0.95765100000000003</v>
      </c>
      <c r="S5382">
        <v>2.1362299999999998E-3</v>
      </c>
      <c r="T5382">
        <v>-0.35424099999999997</v>
      </c>
      <c r="U5382">
        <v>-3.1635439999999999</v>
      </c>
      <c r="V5382">
        <v>0.27988289999999999</v>
      </c>
      <c r="W5382">
        <v>5.8453430000000001E-2</v>
      </c>
      <c r="X5382">
        <v>0.95825300000000002</v>
      </c>
      <c r="Y5382">
        <v>0.53896089999999997</v>
      </c>
      <c r="Z5382">
        <v>7.6149149999999999E-2</v>
      </c>
      <c r="AA5382">
        <v>0.83888169999999995</v>
      </c>
      <c r="AB5382">
        <v>24</v>
      </c>
      <c r="AC5382">
        <v>-0.11019999999996299</v>
      </c>
      <c r="AD5382">
        <v>-1.050087292455</v>
      </c>
      <c r="AE5382">
        <v>-9.1710910000000005</v>
      </c>
      <c r="AF5382">
        <v>4.9782049969640099</v>
      </c>
      <c r="AG5382">
        <v>-1.050087292455</v>
      </c>
      <c r="AH5382">
        <v>7.5614667730821603</v>
      </c>
      <c r="AI5382">
        <v>96.616298945528399</v>
      </c>
      <c r="AJ5382">
        <v>56.640492242669801</v>
      </c>
      <c r="AK5382">
        <v>9.1137801199062594</v>
      </c>
      <c r="AL5382">
        <v>86.648955091132606</v>
      </c>
      <c r="AM5382">
        <v>73.718172478534697</v>
      </c>
      <c r="AN5382">
        <v>1.0000000266000799</v>
      </c>
    </row>
    <row r="5383" spans="1:40" x14ac:dyDescent="0.25">
      <c r="A5383" t="str">
        <f>"20190312151640752"</f>
        <v>20190312151640752</v>
      </c>
      <c r="B5383" t="str">
        <f>"1552375000742764"</f>
        <v>1552375000742764</v>
      </c>
      <c r="C5383" t="s">
        <v>40</v>
      </c>
      <c r="D5383">
        <v>5.0383659999999999</v>
      </c>
      <c r="E5383">
        <v>0.61203589999999997</v>
      </c>
      <c r="F5383" t="s">
        <v>43</v>
      </c>
      <c r="G5383">
        <v>-301.70749999999998</v>
      </c>
      <c r="H5383" s="1">
        <v>-3.1795869999999999E-6</v>
      </c>
      <c r="I5383">
        <v>-3.6974130000000001</v>
      </c>
      <c r="J5383">
        <v>-301.50319999999999</v>
      </c>
      <c r="K5383">
        <v>1.0501100000000001</v>
      </c>
      <c r="L5383">
        <v>5.4864499999999996</v>
      </c>
      <c r="M5383">
        <v>0.52662359999999997</v>
      </c>
      <c r="N5383">
        <v>0</v>
      </c>
      <c r="O5383">
        <v>-0.84996779999999905</v>
      </c>
      <c r="P5383">
        <v>0.26993329999999999</v>
      </c>
      <c r="Q5383">
        <v>5.1019019999999998E-2</v>
      </c>
      <c r="R5383">
        <v>-0.96152689999999996</v>
      </c>
      <c r="S5383">
        <v>-2.9571529999999999E-2</v>
      </c>
      <c r="T5383">
        <v>-0.3531301</v>
      </c>
      <c r="U5383">
        <v>-3.1601870000000001</v>
      </c>
      <c r="V5383">
        <v>0.2784488</v>
      </c>
      <c r="W5383">
        <v>5.8658589999999997E-2</v>
      </c>
      <c r="X5383">
        <v>0.95865820000000002</v>
      </c>
      <c r="Y5383">
        <v>0.53430739999999999</v>
      </c>
      <c r="Z5383">
        <v>7.7507809999999996E-2</v>
      </c>
      <c r="AA5383">
        <v>0.84172919999999996</v>
      </c>
      <c r="AB5383">
        <v>24</v>
      </c>
      <c r="AC5383">
        <v>-0.20429999999998899</v>
      </c>
      <c r="AD5383">
        <v>-1.050113179587</v>
      </c>
      <c r="AE5383">
        <v>-9.1838630000000006</v>
      </c>
      <c r="AF5383">
        <v>4.9460103562001603</v>
      </c>
      <c r="AG5383">
        <v>-1.050113179587</v>
      </c>
      <c r="AH5383">
        <v>7.5999391179172804</v>
      </c>
      <c r="AI5383">
        <v>96.605932438061899</v>
      </c>
      <c r="AJ5383">
        <v>56.944080633344498</v>
      </c>
      <c r="AK5383">
        <v>9.1282435730884597</v>
      </c>
      <c r="AL5383">
        <v>86.637180178501694</v>
      </c>
      <c r="AM5383">
        <v>73.803701211987303</v>
      </c>
      <c r="AN5383">
        <v>1.0000000544147301</v>
      </c>
    </row>
    <row r="5384" spans="1:40" x14ac:dyDescent="0.25">
      <c r="A5384" t="str">
        <f>"20190312151640775"</f>
        <v>20190312151640775</v>
      </c>
      <c r="B5384" t="str">
        <f>"1552375000763260"</f>
        <v>1552375000763260</v>
      </c>
      <c r="C5384" t="s">
        <v>40</v>
      </c>
      <c r="D5384">
        <v>5.0279319999999998</v>
      </c>
      <c r="E5384">
        <v>0.5997074</v>
      </c>
      <c r="F5384" t="s">
        <v>43</v>
      </c>
      <c r="G5384">
        <v>-301.70400000000001</v>
      </c>
      <c r="H5384" s="1">
        <v>-3.0477449999999998E-6</v>
      </c>
      <c r="I5384">
        <v>-3.9743740000000001</v>
      </c>
      <c r="J5384">
        <v>-301.38990000000001</v>
      </c>
      <c r="K5384">
        <v>1.0501339999999999</v>
      </c>
      <c r="L5384">
        <v>5.2698970000000003</v>
      </c>
      <c r="M5384">
        <v>0.51329079999999905</v>
      </c>
      <c r="N5384">
        <v>0</v>
      </c>
      <c r="O5384">
        <v>-0.85808490000000004</v>
      </c>
      <c r="P5384">
        <v>0.25661689999999998</v>
      </c>
      <c r="Q5384">
        <v>5.1024819999999999E-2</v>
      </c>
      <c r="R5384">
        <v>-0.96516579999999996</v>
      </c>
      <c r="S5384">
        <v>-6.7016599999999996E-2</v>
      </c>
      <c r="T5384">
        <v>-0.35046300000000002</v>
      </c>
      <c r="U5384">
        <v>-3.1574399999999998</v>
      </c>
      <c r="V5384">
        <v>0.27673019999999998</v>
      </c>
      <c r="W5384">
        <v>5.8743799999999999E-2</v>
      </c>
      <c r="X5384">
        <v>0.95915039999999996</v>
      </c>
      <c r="Y5384">
        <v>0.53111039999999998</v>
      </c>
      <c r="Z5384">
        <v>7.8415670000000007E-2</v>
      </c>
      <c r="AA5384">
        <v>0.84366629999999998</v>
      </c>
      <c r="AB5384">
        <v>24</v>
      </c>
      <c r="AC5384">
        <v>-0.31409999999999599</v>
      </c>
      <c r="AD5384">
        <v>-1.0501370477450001</v>
      </c>
      <c r="AE5384">
        <v>-9.2442709999999995</v>
      </c>
      <c r="AF5384">
        <v>4.9512619040601002</v>
      </c>
      <c r="AG5384">
        <v>-1.0501370477450001</v>
      </c>
      <c r="AH5384">
        <v>7.6731061416650697</v>
      </c>
      <c r="AI5384">
        <v>96.560003403554703</v>
      </c>
      <c r="AJ5384">
        <v>57.166866915062101</v>
      </c>
      <c r="AK5384">
        <v>9.1920802935408297</v>
      </c>
      <c r="AL5384">
        <v>86.632289266255299</v>
      </c>
      <c r="AM5384">
        <v>73.906305010561994</v>
      </c>
      <c r="AN5384">
        <v>0.99999996372531896</v>
      </c>
    </row>
    <row r="5385" spans="1:40" x14ac:dyDescent="0.25">
      <c r="A5385" t="str">
        <f>"20190312151640797"</f>
        <v>20190312151640797</v>
      </c>
      <c r="B5385" t="str">
        <f>"1552375000793516"</f>
        <v>1552375000793516</v>
      </c>
      <c r="C5385" t="s">
        <v>40</v>
      </c>
      <c r="D5385">
        <v>5.0143040000000001</v>
      </c>
      <c r="E5385">
        <v>0.59762419999999905</v>
      </c>
      <c r="F5385" t="s">
        <v>43</v>
      </c>
      <c r="G5385">
        <v>-301.4359</v>
      </c>
      <c r="H5385" s="1">
        <v>-2.3510099999999999E-6</v>
      </c>
      <c r="I5385">
        <v>-5.2973869999999996</v>
      </c>
      <c r="J5385">
        <v>-301.28289999999998</v>
      </c>
      <c r="K5385">
        <v>1.050162</v>
      </c>
      <c r="L5385">
        <v>5.0575260000000002</v>
      </c>
      <c r="M5385">
        <v>0.50019849999999999</v>
      </c>
      <c r="N5385">
        <v>0</v>
      </c>
      <c r="O5385">
        <v>-0.86578149999999998</v>
      </c>
      <c r="P5385">
        <v>0.24388979999999999</v>
      </c>
      <c r="Q5385">
        <v>5.1040629999999997E-2</v>
      </c>
      <c r="R5385">
        <v>-0.96845910000000002</v>
      </c>
      <c r="S5385">
        <v>-1.3610840000000001E-2</v>
      </c>
      <c r="T5385">
        <v>-0.31088110000000002</v>
      </c>
      <c r="U5385">
        <v>-3.1283259999999999</v>
      </c>
      <c r="V5385">
        <v>0.27478340000000001</v>
      </c>
      <c r="W5385">
        <v>5.8847099999999999E-2</v>
      </c>
      <c r="X5385">
        <v>0.95970370000000005</v>
      </c>
      <c r="Y5385">
        <v>0.50382459999999996</v>
      </c>
      <c r="Z5385">
        <v>7.2281929999999994E-2</v>
      </c>
      <c r="AA5385">
        <v>0.8607764</v>
      </c>
      <c r="AB5385">
        <v>23</v>
      </c>
      <c r="AC5385">
        <v>-0.15300000000001901</v>
      </c>
      <c r="AD5385">
        <v>-1.0501643510100001</v>
      </c>
      <c r="AE5385">
        <v>-10.354913</v>
      </c>
      <c r="AF5385">
        <v>5.2584971780690104</v>
      </c>
      <c r="AG5385">
        <v>-1.0501643510100001</v>
      </c>
      <c r="AH5385">
        <v>8.7990744401943992</v>
      </c>
      <c r="AI5385">
        <v>95.849471325775497</v>
      </c>
      <c r="AJ5385">
        <v>59.136643666157397</v>
      </c>
      <c r="AK5385">
        <v>10.3042878812645</v>
      </c>
      <c r="AL5385">
        <v>86.626360629619995</v>
      </c>
      <c r="AM5385">
        <v>74.0224664003199</v>
      </c>
      <c r="AN5385">
        <v>1.00000004494382</v>
      </c>
    </row>
    <row r="5386" spans="1:40" x14ac:dyDescent="0.25">
      <c r="A5386" t="str">
        <f>"20190312151640819"</f>
        <v>20190312151640819</v>
      </c>
      <c r="B5386" t="str">
        <f>"1552375000813037"</f>
        <v>1552375000813037</v>
      </c>
      <c r="C5386" t="s">
        <v>40</v>
      </c>
      <c r="D5386">
        <v>5.0145439999999999</v>
      </c>
      <c r="E5386">
        <v>0.59643979999999996</v>
      </c>
      <c r="F5386" t="s">
        <v>43</v>
      </c>
      <c r="G5386">
        <v>-301.40960000000001</v>
      </c>
      <c r="H5386" s="1">
        <v>-2.4620069999999999E-6</v>
      </c>
      <c r="I5386">
        <v>-5.0478009999999998</v>
      </c>
      <c r="J5386">
        <v>-301.17790000000002</v>
      </c>
      <c r="K5386">
        <v>1.0501929999999999</v>
      </c>
      <c r="L5386">
        <v>4.8410029999999997</v>
      </c>
      <c r="M5386">
        <v>0.48683539999999997</v>
      </c>
      <c r="N5386">
        <v>0</v>
      </c>
      <c r="O5386">
        <v>-0.87336539999999996</v>
      </c>
      <c r="P5386">
        <v>0.23164029999999999</v>
      </c>
      <c r="Q5386">
        <v>5.1126640000000001E-2</v>
      </c>
      <c r="R5386">
        <v>-0.97145720000000002</v>
      </c>
      <c r="S5386">
        <v>-3.9184570000000002E-2</v>
      </c>
      <c r="T5386">
        <v>-0.32472410000000002</v>
      </c>
      <c r="U5386">
        <v>-3.124695</v>
      </c>
      <c r="V5386">
        <v>0.27215</v>
      </c>
      <c r="W5386">
        <v>5.9040830000000002E-2</v>
      </c>
      <c r="X5386">
        <v>0.96044189999999996</v>
      </c>
      <c r="Y5386">
        <v>0.4975774</v>
      </c>
      <c r="Z5386">
        <v>7.6901410000000003E-2</v>
      </c>
      <c r="AA5386">
        <v>0.86400399999999999</v>
      </c>
      <c r="AB5386">
        <v>23</v>
      </c>
      <c r="AC5386">
        <v>-0.231699999999989</v>
      </c>
      <c r="AD5386">
        <v>-1.050195462007</v>
      </c>
      <c r="AE5386">
        <v>-9.8888039999999897</v>
      </c>
      <c r="AF5386">
        <v>4.9612164383009203</v>
      </c>
      <c r="AG5386">
        <v>-1.050195462007</v>
      </c>
      <c r="AH5386">
        <v>8.4296728449312806</v>
      </c>
      <c r="AI5386">
        <v>96.128263007355102</v>
      </c>
      <c r="AJ5386">
        <v>59.521401736093502</v>
      </c>
      <c r="AK5386">
        <v>9.8374774880890694</v>
      </c>
      <c r="AL5386">
        <v>86.615241377996995</v>
      </c>
      <c r="AM5386">
        <v>74.179436819795598</v>
      </c>
      <c r="AN5386">
        <v>1.00000004269134</v>
      </c>
    </row>
    <row r="5387" spans="1:40" x14ac:dyDescent="0.25">
      <c r="A5387" t="str">
        <f>"20190312151640843"</f>
        <v>20190312151640843</v>
      </c>
      <c r="B5387" t="str">
        <f>"1552375000833533"</f>
        <v>1552375000833533</v>
      </c>
      <c r="C5387" t="s">
        <v>40</v>
      </c>
      <c r="D5387">
        <v>4.9745379999999999</v>
      </c>
      <c r="E5387">
        <v>0.59482270000000004</v>
      </c>
      <c r="F5387" t="s">
        <v>43</v>
      </c>
      <c r="G5387">
        <v>-301.41079999999999</v>
      </c>
      <c r="H5387" s="1">
        <v>-2.1473300000000002E-6</v>
      </c>
      <c r="I5387">
        <v>-5.7141769999999896</v>
      </c>
      <c r="J5387">
        <v>-301.07209999999998</v>
      </c>
      <c r="K5387">
        <v>1.050225</v>
      </c>
      <c r="L5387">
        <v>4.613861</v>
      </c>
      <c r="M5387">
        <v>0.47279670000000001</v>
      </c>
      <c r="N5387">
        <v>0</v>
      </c>
      <c r="O5387">
        <v>-0.881044099999999</v>
      </c>
      <c r="P5387">
        <v>0.21786430000000001</v>
      </c>
      <c r="Q5387">
        <v>5.1390230000000002E-2</v>
      </c>
      <c r="R5387">
        <v>-0.97462550000000003</v>
      </c>
      <c r="S5387">
        <v>-6.8878170000000002E-2</v>
      </c>
      <c r="T5387">
        <v>-0.31051709999999999</v>
      </c>
      <c r="U5387">
        <v>-3.120911</v>
      </c>
      <c r="V5387">
        <v>0.27037220000000001</v>
      </c>
      <c r="W5387">
        <v>5.9389259999999999E-2</v>
      </c>
      <c r="X5387">
        <v>0.96092239999999995</v>
      </c>
      <c r="Y5387">
        <v>0.49194700000000002</v>
      </c>
      <c r="Z5387">
        <v>7.4935160000000001E-2</v>
      </c>
      <c r="AA5387">
        <v>0.86739429999999995</v>
      </c>
      <c r="AB5387">
        <v>23</v>
      </c>
      <c r="AC5387">
        <v>-0.33870000000001699</v>
      </c>
      <c r="AD5387">
        <v>-1.05022714733</v>
      </c>
      <c r="AE5387">
        <v>-10.328037999999999</v>
      </c>
      <c r="AF5387">
        <v>5.1290749171944903</v>
      </c>
      <c r="AG5387">
        <v>-1.05022714733</v>
      </c>
      <c r="AH5387">
        <v>8.8489229109861292</v>
      </c>
      <c r="AI5387">
        <v>95.862705766163998</v>
      </c>
      <c r="AJ5387">
        <v>59.9022598083437</v>
      </c>
      <c r="AK5387">
        <v>10.2817227764493</v>
      </c>
      <c r="AL5387">
        <v>86.595242690666296</v>
      </c>
      <c r="AM5387">
        <v>74.285130973095704</v>
      </c>
      <c r="AN5387">
        <v>1.0000000347789699</v>
      </c>
    </row>
    <row r="5388" spans="1:40" x14ac:dyDescent="0.25">
      <c r="A5388" t="str">
        <f>"20190312151640866"</f>
        <v>20190312151640866</v>
      </c>
      <c r="B5388" t="str">
        <f>"1552375000862813"</f>
        <v>1552375000862813</v>
      </c>
      <c r="C5388" t="s">
        <v>40</v>
      </c>
      <c r="D5388">
        <v>5.0979390000000002</v>
      </c>
      <c r="E5388">
        <v>0.59347910000000004</v>
      </c>
      <c r="F5388" t="s">
        <v>43</v>
      </c>
      <c r="G5388">
        <v>-301.41329999999999</v>
      </c>
      <c r="H5388" s="1">
        <v>-2.0272269999999999E-6</v>
      </c>
      <c r="I5388">
        <v>-5.9696449999999999</v>
      </c>
      <c r="J5388">
        <v>-300.96780000000001</v>
      </c>
      <c r="K5388">
        <v>1.0502579999999999</v>
      </c>
      <c r="L5388">
        <v>4.3804629999999998</v>
      </c>
      <c r="M5388">
        <v>0.45835300000000001</v>
      </c>
      <c r="N5388">
        <v>0</v>
      </c>
      <c r="O5388">
        <v>-0.88864339999999997</v>
      </c>
      <c r="P5388">
        <v>0.2037081</v>
      </c>
      <c r="Q5388">
        <v>5.2601130000000003E-2</v>
      </c>
      <c r="R5388">
        <v>-0.97761790000000004</v>
      </c>
      <c r="S5388">
        <v>-0.1004944</v>
      </c>
      <c r="T5388">
        <v>-0.30929570000000001</v>
      </c>
      <c r="U5388">
        <v>-3.1168819999999999</v>
      </c>
      <c r="V5388">
        <v>0.26861689999999999</v>
      </c>
      <c r="W5388">
        <v>6.0686759999999999E-2</v>
      </c>
      <c r="X5388">
        <v>0.96133349999999995</v>
      </c>
      <c r="Y5388">
        <v>0.48655280000000001</v>
      </c>
      <c r="Z5388">
        <v>7.59909E-2</v>
      </c>
      <c r="AA5388">
        <v>0.87034</v>
      </c>
      <c r="AB5388">
        <v>23</v>
      </c>
      <c r="AC5388">
        <v>-0.44549999999998102</v>
      </c>
      <c r="AD5388">
        <v>-1.050260027227</v>
      </c>
      <c r="AE5388">
        <v>-10.350108000000001</v>
      </c>
      <c r="AF5388">
        <v>5.0881778813962804</v>
      </c>
      <c r="AG5388">
        <v>-1.050260027227</v>
      </c>
      <c r="AH5388">
        <v>8.9028708826904399</v>
      </c>
      <c r="AI5388">
        <v>95.847923915052306</v>
      </c>
      <c r="AJ5388">
        <v>60.251125641649601</v>
      </c>
      <c r="AK5388">
        <v>10.3079440351303</v>
      </c>
      <c r="AL5388">
        <v>86.520766980581101</v>
      </c>
      <c r="AM5388">
        <v>74.388513340411393</v>
      </c>
      <c r="AN5388">
        <v>1.00000001001357</v>
      </c>
    </row>
    <row r="5389" spans="1:40" x14ac:dyDescent="0.25">
      <c r="A5389" t="str">
        <f>"20190312151640888"</f>
        <v>20190312151640888</v>
      </c>
      <c r="B5389" t="str">
        <f>"1552375000883309"</f>
        <v>1552375000883309</v>
      </c>
      <c r="C5389" t="s">
        <v>40</v>
      </c>
      <c r="D5389">
        <v>5.2306549999999996</v>
      </c>
      <c r="E5389">
        <v>0.59403309999999998</v>
      </c>
      <c r="F5389" t="s">
        <v>43</v>
      </c>
      <c r="G5389">
        <v>-301.42579999999998</v>
      </c>
      <c r="H5389" s="1">
        <v>-1.9359739999999999E-6</v>
      </c>
      <c r="I5389">
        <v>-6.1697160000000002</v>
      </c>
      <c r="J5389">
        <v>-300.87990000000002</v>
      </c>
      <c r="K5389">
        <v>1.0503009999999999</v>
      </c>
      <c r="L5389">
        <v>4.175262</v>
      </c>
      <c r="M5389">
        <v>0.44564029999999999</v>
      </c>
      <c r="N5389">
        <v>0</v>
      </c>
      <c r="O5389">
        <v>-0.89508569999999998</v>
      </c>
      <c r="P5389">
        <v>0.1923552</v>
      </c>
      <c r="Q5389">
        <v>5.3379070000000001E-2</v>
      </c>
      <c r="R5389">
        <v>-0.97987279999999999</v>
      </c>
      <c r="S5389">
        <v>-0.13516239999999999</v>
      </c>
      <c r="T5389">
        <v>-0.30994820000000001</v>
      </c>
      <c r="U5389">
        <v>-3.1135250000000001</v>
      </c>
      <c r="V5389">
        <v>0.2660594</v>
      </c>
      <c r="W5389">
        <v>6.1573460000000003E-2</v>
      </c>
      <c r="X5389">
        <v>0.96198810000000001</v>
      </c>
      <c r="Y5389">
        <v>0.48380849999999997</v>
      </c>
      <c r="Z5389">
        <v>7.7235789999999999E-2</v>
      </c>
      <c r="AA5389">
        <v>0.87175919999999896</v>
      </c>
      <c r="AB5389">
        <v>23</v>
      </c>
      <c r="AC5389">
        <v>-0.54589999999995997</v>
      </c>
      <c r="AD5389">
        <v>-1.0503029359739999</v>
      </c>
      <c r="AE5389">
        <v>-10.344977999999999</v>
      </c>
      <c r="AF5389">
        <v>5.0474592334700299</v>
      </c>
      <c r="AG5389">
        <v>-1.0503029359739999</v>
      </c>
      <c r="AH5389">
        <v>8.9256382061822297</v>
      </c>
      <c r="AI5389">
        <v>95.848349029629006</v>
      </c>
      <c r="AJ5389">
        <v>60.511788013693398</v>
      </c>
      <c r="AK5389">
        <v>10.3076184620171</v>
      </c>
      <c r="AL5389">
        <v>86.469867584364493</v>
      </c>
      <c r="AM5389">
        <v>74.540022414876901</v>
      </c>
      <c r="AN5389">
        <v>0.99999999992317001</v>
      </c>
    </row>
    <row r="5390" spans="1:40" x14ac:dyDescent="0.25">
      <c r="A5390" t="str">
        <f>"20190312151640909"</f>
        <v>20190312151640909</v>
      </c>
      <c r="B5390" t="str">
        <f>"1552375000902829"</f>
        <v>1552375000902829</v>
      </c>
      <c r="C5390" t="s">
        <v>40</v>
      </c>
      <c r="D5390">
        <v>5.1224540000000003</v>
      </c>
      <c r="E5390">
        <v>0.61789879999999997</v>
      </c>
      <c r="F5390" t="s">
        <v>43</v>
      </c>
      <c r="G5390">
        <v>-301.49509999999998</v>
      </c>
      <c r="H5390" s="1">
        <v>-1.6775419999999999E-6</v>
      </c>
      <c r="I5390">
        <v>-6.7554020000000001</v>
      </c>
      <c r="J5390">
        <v>-300.7903</v>
      </c>
      <c r="K5390">
        <v>1.0503359999999999</v>
      </c>
      <c r="L5390">
        <v>3.9573360000000002</v>
      </c>
      <c r="M5390">
        <v>0.4321238</v>
      </c>
      <c r="N5390">
        <v>0</v>
      </c>
      <c r="O5390">
        <v>-0.90168859999999995</v>
      </c>
      <c r="P5390">
        <v>0.1804431</v>
      </c>
      <c r="Q5390">
        <v>5.3823719999999999E-2</v>
      </c>
      <c r="R5390">
        <v>-0.98211219999999999</v>
      </c>
      <c r="S5390">
        <v>-0.1751404</v>
      </c>
      <c r="T5390">
        <v>-0.299054299999999</v>
      </c>
      <c r="U5390">
        <v>-3.1123050000000001</v>
      </c>
      <c r="V5390">
        <v>0.26326169999999999</v>
      </c>
      <c r="W5390">
        <v>6.2138390000000002E-2</v>
      </c>
      <c r="X5390">
        <v>0.96272120000000005</v>
      </c>
      <c r="Y5390">
        <v>0.481852</v>
      </c>
      <c r="Z5390">
        <v>7.553783E-2</v>
      </c>
      <c r="AA5390">
        <v>0.87299069999999901</v>
      </c>
      <c r="AB5390">
        <v>23</v>
      </c>
      <c r="AC5390">
        <v>-0.704799999999977</v>
      </c>
      <c r="AD5390">
        <v>-1.0503376775419999</v>
      </c>
      <c r="AE5390">
        <v>-10.712738</v>
      </c>
      <c r="AF5390">
        <v>5.2154165192890103</v>
      </c>
      <c r="AG5390">
        <v>-1.0503376775419999</v>
      </c>
      <c r="AH5390">
        <v>9.2673507133057402</v>
      </c>
      <c r="AI5390">
        <v>95.640842450538997</v>
      </c>
      <c r="AJ5390">
        <v>60.630357438096503</v>
      </c>
      <c r="AK5390">
        <v>10.685858316014899</v>
      </c>
      <c r="AL5390">
        <v>86.437437398362604</v>
      </c>
      <c r="AM5390">
        <v>74.7060365216023</v>
      </c>
      <c r="AN5390">
        <v>1.0000000055640601</v>
      </c>
    </row>
    <row r="5391" spans="1:40" x14ac:dyDescent="0.25">
      <c r="A5391" t="str">
        <f>"20190312151640932"</f>
        <v>20190312151640932</v>
      </c>
      <c r="B5391" t="str">
        <f>"1552375000923324"</f>
        <v>1552375000923324</v>
      </c>
      <c r="C5391" t="s">
        <v>40</v>
      </c>
      <c r="D5391">
        <v>5.1328060000000004</v>
      </c>
      <c r="E5391">
        <v>0.61850229999999995</v>
      </c>
      <c r="F5391" t="s">
        <v>43</v>
      </c>
      <c r="G5391">
        <v>-302.39659999999998</v>
      </c>
      <c r="H5391" s="1">
        <v>-9.9790550000000005E-7</v>
      </c>
      <c r="I5391">
        <v>-8.7006099999999993</v>
      </c>
      <c r="J5391">
        <v>-300.70440000000002</v>
      </c>
      <c r="K5391">
        <v>1.050368</v>
      </c>
      <c r="L5391">
        <v>3.7393190000000001</v>
      </c>
      <c r="M5391">
        <v>0.4185817</v>
      </c>
      <c r="N5391">
        <v>0</v>
      </c>
      <c r="O5391">
        <v>-0.90805369999999996</v>
      </c>
      <c r="P5391">
        <v>0.16856740000000001</v>
      </c>
      <c r="Q5391">
        <v>5.3875909999999999E-2</v>
      </c>
      <c r="R5391">
        <v>-0.98421670000000006</v>
      </c>
      <c r="S5391">
        <v>-0.39874270000000001</v>
      </c>
      <c r="T5391">
        <v>-0.26073590000000002</v>
      </c>
      <c r="U5391">
        <v>-3.1422119999999998</v>
      </c>
      <c r="V5391">
        <v>0.26047690000000001</v>
      </c>
      <c r="W5391">
        <v>6.2307330000000001E-2</v>
      </c>
      <c r="X5391">
        <v>0.96346750000000003</v>
      </c>
      <c r="Y5391">
        <v>0.52922740000000001</v>
      </c>
      <c r="Z5391">
        <v>6.4682169999999997E-2</v>
      </c>
      <c r="AA5391">
        <v>0.84601099999999996</v>
      </c>
      <c r="AB5391">
        <v>23</v>
      </c>
      <c r="AC5391">
        <v>-1.69219999999995</v>
      </c>
      <c r="AD5391">
        <v>-1.0503689979055</v>
      </c>
      <c r="AE5391">
        <v>-12.439928999999999</v>
      </c>
      <c r="AF5391">
        <v>6.6976215061178399</v>
      </c>
      <c r="AG5391">
        <v>-1.0503689979055</v>
      </c>
      <c r="AH5391">
        <v>10.515400334779599</v>
      </c>
      <c r="AI5391">
        <v>94.815819568170596</v>
      </c>
      <c r="AJ5391">
        <v>57.505532298412902</v>
      </c>
      <c r="AK5391">
        <v>12.5113969272682</v>
      </c>
      <c r="AL5391">
        <v>86.427739112607497</v>
      </c>
      <c r="AM5391">
        <v>74.871543750228795</v>
      </c>
      <c r="AN5391">
        <v>1.00000002118079</v>
      </c>
    </row>
    <row r="5392" spans="1:40" x14ac:dyDescent="0.25">
      <c r="A5392" t="str">
        <f>"20190312151640954"</f>
        <v>20190312151640954</v>
      </c>
      <c r="B5392" t="str">
        <f>"1552375000942845"</f>
        <v>1552375000942845</v>
      </c>
      <c r="C5392" t="s">
        <v>40</v>
      </c>
      <c r="D5392">
        <v>5.167605</v>
      </c>
      <c r="E5392">
        <v>0.61762430000000001</v>
      </c>
      <c r="F5392" t="s">
        <v>43</v>
      </c>
      <c r="G5392">
        <v>-302.31369999999998</v>
      </c>
      <c r="H5392" s="1">
        <v>-1.454992E-6</v>
      </c>
      <c r="I5392">
        <v>-7.6869670000000001</v>
      </c>
      <c r="J5392">
        <v>-300.6207</v>
      </c>
      <c r="K5392">
        <v>1.0504039999999999</v>
      </c>
      <c r="L5392">
        <v>3.5167540000000002</v>
      </c>
      <c r="M5392">
        <v>0.4047463</v>
      </c>
      <c r="N5392">
        <v>0</v>
      </c>
      <c r="O5392">
        <v>-0.91430429999999996</v>
      </c>
      <c r="P5392">
        <v>0.15646479999999999</v>
      </c>
      <c r="Q5392">
        <v>5.404084E-2</v>
      </c>
      <c r="R5392">
        <v>-0.98620439999999998</v>
      </c>
      <c r="S5392">
        <v>-0.44216919999999998</v>
      </c>
      <c r="T5392">
        <v>-0.28861429999999999</v>
      </c>
      <c r="U5392">
        <v>-3.1396480000000002</v>
      </c>
      <c r="V5392">
        <v>0.257677299999999</v>
      </c>
      <c r="W5392">
        <v>6.258669E-2</v>
      </c>
      <c r="X5392">
        <v>0.96420189999999995</v>
      </c>
      <c r="Y5392">
        <v>0.5278311</v>
      </c>
      <c r="Z5392">
        <v>7.243115E-2</v>
      </c>
      <c r="AA5392">
        <v>0.84625530000000004</v>
      </c>
      <c r="AB5392">
        <v>23</v>
      </c>
      <c r="AC5392">
        <v>-1.6929999999999801</v>
      </c>
      <c r="AD5392">
        <v>-1.0504054549920001</v>
      </c>
      <c r="AE5392">
        <v>-11.203721</v>
      </c>
      <c r="AF5392">
        <v>6.0314427064960796</v>
      </c>
      <c r="AG5392">
        <v>-1.0504054549920001</v>
      </c>
      <c r="AH5392">
        <v>9.4780130975744701</v>
      </c>
      <c r="AI5392">
        <v>95.341585166188395</v>
      </c>
      <c r="AJ5392">
        <v>57.528894511094201</v>
      </c>
      <c r="AK5392">
        <v>11.283367627593</v>
      </c>
      <c r="AL5392">
        <v>86.411701566866</v>
      </c>
      <c r="AM5392">
        <v>75.037697532345305</v>
      </c>
      <c r="AN5392">
        <v>0.99999999433202802</v>
      </c>
    </row>
    <row r="5393" spans="1:40" x14ac:dyDescent="0.25">
      <c r="A5393" t="str">
        <f>"20190312151640976"</f>
        <v>20190312151640976</v>
      </c>
      <c r="B5393" t="str">
        <f>"1552375000973102"</f>
        <v>1552375000973102</v>
      </c>
      <c r="C5393" t="s">
        <v>40</v>
      </c>
      <c r="D5393">
        <v>5.178712</v>
      </c>
      <c r="E5393">
        <v>0.61563239999999997</v>
      </c>
      <c r="F5393" t="s">
        <v>43</v>
      </c>
      <c r="G5393">
        <v>-302.29500000000002</v>
      </c>
      <c r="H5393" s="1">
        <v>-1.505973E-6</v>
      </c>
      <c r="I5393">
        <v>-7.568613</v>
      </c>
      <c r="J5393">
        <v>-300.53930000000003</v>
      </c>
      <c r="K5393">
        <v>1.0504450000000001</v>
      </c>
      <c r="L5393">
        <v>3.2894290000000002</v>
      </c>
      <c r="M5393">
        <v>0.39061309999999999</v>
      </c>
      <c r="N5393">
        <v>0</v>
      </c>
      <c r="O5393">
        <v>-0.92043050000000004</v>
      </c>
      <c r="P5393">
        <v>0.1442621</v>
      </c>
      <c r="Q5393">
        <v>5.5009299999999997E-2</v>
      </c>
      <c r="R5393">
        <v>-0.98800929999999998</v>
      </c>
      <c r="S5393">
        <v>-0.47323609999999999</v>
      </c>
      <c r="T5393">
        <v>-0.296902099999999</v>
      </c>
      <c r="U5393">
        <v>-3.1333310000000001</v>
      </c>
      <c r="V5393">
        <v>0.25473679999999999</v>
      </c>
      <c r="W5393">
        <v>6.3672179999999995E-2</v>
      </c>
      <c r="X5393">
        <v>0.96491190000000004</v>
      </c>
      <c r="Y5393">
        <v>0.52315859999999903</v>
      </c>
      <c r="Z5393">
        <v>7.5589690000000001E-2</v>
      </c>
      <c r="AA5393">
        <v>0.84887649999999903</v>
      </c>
      <c r="AB5393">
        <v>23</v>
      </c>
      <c r="AC5393">
        <v>-1.75569999999999</v>
      </c>
      <c r="AD5393">
        <v>-1.0504465059729999</v>
      </c>
      <c r="AE5393">
        <v>-10.858041999999999</v>
      </c>
      <c r="AF5393">
        <v>5.8050175805089799</v>
      </c>
      <c r="AG5393">
        <v>-1.0504465059729999</v>
      </c>
      <c r="AH5393">
        <v>9.2251982961775099</v>
      </c>
      <c r="AI5393">
        <v>95.504838285519995</v>
      </c>
      <c r="AJ5393">
        <v>57.819571111264501</v>
      </c>
      <c r="AK5393">
        <v>10.9501575594018</v>
      </c>
      <c r="AL5393">
        <v>86.349383209316102</v>
      </c>
      <c r="AM5393">
        <v>75.211319144025694</v>
      </c>
      <c r="AN5393">
        <v>0.99999997927090101</v>
      </c>
    </row>
    <row r="5394" spans="1:40" x14ac:dyDescent="0.25">
      <c r="A5394" t="str">
        <f>"20190312151641004"</f>
        <v>20190312151641004</v>
      </c>
      <c r="B5394" t="str">
        <f>"1552375000993597"</f>
        <v>1552375000993597</v>
      </c>
      <c r="C5394" t="s">
        <v>40</v>
      </c>
      <c r="D5394">
        <v>5.2719509999999996</v>
      </c>
      <c r="E5394">
        <v>0.61453119999999894</v>
      </c>
      <c r="F5394" t="s">
        <v>43</v>
      </c>
      <c r="G5394">
        <v>-302.24279999999999</v>
      </c>
      <c r="H5394" s="1">
        <v>-1.5518820000000001E-6</v>
      </c>
      <c r="I5394">
        <v>-7.4421220000000003</v>
      </c>
      <c r="J5394">
        <v>-300.44319999999999</v>
      </c>
      <c r="K5394">
        <v>1.050495</v>
      </c>
      <c r="L5394">
        <v>3.005493</v>
      </c>
      <c r="M5394">
        <v>0.37295650000000002</v>
      </c>
      <c r="N5394">
        <v>0</v>
      </c>
      <c r="O5394">
        <v>-0.92772500000000002</v>
      </c>
      <c r="P5394">
        <v>0.12874050000000001</v>
      </c>
      <c r="Q5394">
        <v>5.5603569999999998E-2</v>
      </c>
      <c r="R5394">
        <v>-0.99011800000000005</v>
      </c>
      <c r="S5394">
        <v>-0.4961853</v>
      </c>
      <c r="T5394">
        <v>-0.30597400000000002</v>
      </c>
      <c r="U5394">
        <v>-3.1258849999999998</v>
      </c>
      <c r="V5394">
        <v>0.25143470000000001</v>
      </c>
      <c r="W5394">
        <v>6.4400730000000003E-2</v>
      </c>
      <c r="X5394">
        <v>0.96572939999999996</v>
      </c>
      <c r="Y5394">
        <v>0.51318900000000001</v>
      </c>
      <c r="Z5394">
        <v>7.9378660000000004E-2</v>
      </c>
      <c r="AA5394">
        <v>0.8545971</v>
      </c>
      <c r="AB5394">
        <v>23</v>
      </c>
      <c r="AC5394">
        <v>-1.7995999999999901</v>
      </c>
      <c r="AD5394">
        <v>-1.050496551882</v>
      </c>
      <c r="AE5394">
        <v>-10.4476149999999</v>
      </c>
      <c r="AF5394">
        <v>5.5125529445333603</v>
      </c>
      <c r="AG5394">
        <v>-1.050496551882</v>
      </c>
      <c r="AH5394">
        <v>8.9346504833906604</v>
      </c>
      <c r="AI5394">
        <v>95.714145539014396</v>
      </c>
      <c r="AJ5394">
        <v>58.326001288470898</v>
      </c>
      <c r="AK5394">
        <v>10.5508180835493</v>
      </c>
      <c r="AL5394">
        <v>86.307554845305702</v>
      </c>
      <c r="AM5394">
        <v>75.406609904843094</v>
      </c>
      <c r="AN5394">
        <v>1.00000006820648</v>
      </c>
    </row>
    <row r="5395" spans="1:40" x14ac:dyDescent="0.25">
      <c r="A5395" t="str">
        <f>"20190312151641026"</f>
        <v>20190312151641026</v>
      </c>
      <c r="B5395" t="str">
        <f>"1552375001022877"</f>
        <v>1552375001022877</v>
      </c>
      <c r="C5395" t="s">
        <v>40</v>
      </c>
      <c r="D5395">
        <v>5.3105200000000004</v>
      </c>
      <c r="E5395">
        <v>0.6132261</v>
      </c>
      <c r="F5395" t="s">
        <v>43</v>
      </c>
      <c r="G5395">
        <v>-302.26459999999997</v>
      </c>
      <c r="H5395" s="1">
        <v>-1.4923830000000001E-6</v>
      </c>
      <c r="I5395">
        <v>-7.5802350000000001</v>
      </c>
      <c r="J5395">
        <v>-300.37150000000003</v>
      </c>
      <c r="K5395">
        <v>1.0505329999999999</v>
      </c>
      <c r="L5395">
        <v>2.781952</v>
      </c>
      <c r="M5395">
        <v>0.35905700000000002</v>
      </c>
      <c r="N5395">
        <v>0</v>
      </c>
      <c r="O5395">
        <v>-0.93319249999999998</v>
      </c>
      <c r="P5395">
        <v>0.1177127</v>
      </c>
      <c r="Q5395">
        <v>5.54312E-2</v>
      </c>
      <c r="R5395">
        <v>-0.99149980000000004</v>
      </c>
      <c r="S5395">
        <v>-0.53631589999999996</v>
      </c>
      <c r="T5395">
        <v>-0.30932549999999998</v>
      </c>
      <c r="U5395">
        <v>-3.117035</v>
      </c>
      <c r="V5395">
        <v>0.24774660000000001</v>
      </c>
      <c r="W5395">
        <v>6.4363610000000002E-2</v>
      </c>
      <c r="X5395">
        <v>0.96668449999999995</v>
      </c>
      <c r="Y5395">
        <v>0.5114358</v>
      </c>
      <c r="Z5395">
        <v>8.1237799999999999E-2</v>
      </c>
      <c r="AA5395">
        <v>0.85547289999999998</v>
      </c>
      <c r="AB5395">
        <v>23</v>
      </c>
      <c r="AC5395">
        <v>-1.8930999999999401</v>
      </c>
      <c r="AD5395">
        <v>-1.050534492383</v>
      </c>
      <c r="AE5395">
        <v>-10.362186999999899</v>
      </c>
      <c r="AF5395">
        <v>5.4338270043308601</v>
      </c>
      <c r="AG5395">
        <v>-1.050534492383</v>
      </c>
      <c r="AH5395">
        <v>8.9026695452233504</v>
      </c>
      <c r="AI5395">
        <v>95.751593712601704</v>
      </c>
      <c r="AJ5395">
        <v>58.601808479550101</v>
      </c>
      <c r="AK5395">
        <v>10.4827297811271</v>
      </c>
      <c r="AL5395">
        <v>86.309685787244604</v>
      </c>
      <c r="AM5395">
        <v>75.625347169006503</v>
      </c>
      <c r="AN5395">
        <v>0.999999987322021</v>
      </c>
    </row>
    <row r="5396" spans="1:40" x14ac:dyDescent="0.25">
      <c r="A5396" t="str">
        <f>"20190312151641051"</f>
        <v>20190312151641051</v>
      </c>
      <c r="B5396" t="str">
        <f>"1552375001043373"</f>
        <v>1552375001043373</v>
      </c>
      <c r="C5396" t="s">
        <v>40</v>
      </c>
      <c r="D5396">
        <v>5.2630319999999999</v>
      </c>
      <c r="E5396">
        <v>0.61158639999999997</v>
      </c>
      <c r="F5396" t="s">
        <v>43</v>
      </c>
      <c r="G5396">
        <v>-302.24560000000002</v>
      </c>
      <c r="H5396" s="1">
        <v>-1.4759609999999999E-6</v>
      </c>
      <c r="I5396">
        <v>-7.6043229999999999</v>
      </c>
      <c r="J5396">
        <v>-300.29649999999998</v>
      </c>
      <c r="K5396">
        <v>1.0505869999999999</v>
      </c>
      <c r="L5396">
        <v>2.5350649999999999</v>
      </c>
      <c r="M5396">
        <v>0.34372760000000002</v>
      </c>
      <c r="N5396">
        <v>0</v>
      </c>
      <c r="O5396">
        <v>-0.93894679999999997</v>
      </c>
      <c r="P5396">
        <v>0.1052896</v>
      </c>
      <c r="Q5396">
        <v>5.5240650000000002E-2</v>
      </c>
      <c r="R5396">
        <v>-0.99290619999999996</v>
      </c>
      <c r="S5396">
        <v>-0.56115719999999902</v>
      </c>
      <c r="T5396">
        <v>-0.3145577</v>
      </c>
      <c r="U5396">
        <v>-3.1099239999999999</v>
      </c>
      <c r="V5396">
        <v>0.2440061</v>
      </c>
      <c r="W5396">
        <v>6.43146E-2</v>
      </c>
      <c r="X5396">
        <v>0.96763869999999996</v>
      </c>
      <c r="Y5396">
        <v>0.50427509999999998</v>
      </c>
      <c r="Z5396">
        <v>8.3806889999999995E-2</v>
      </c>
      <c r="AA5396">
        <v>0.85946669999999903</v>
      </c>
      <c r="AB5396">
        <v>23</v>
      </c>
      <c r="AC5396">
        <v>-1.94910000000004</v>
      </c>
      <c r="AD5396">
        <v>-1.050588475961</v>
      </c>
      <c r="AE5396">
        <v>-10.139388</v>
      </c>
      <c r="AF5396">
        <v>5.2614270768675997</v>
      </c>
      <c r="AG5396">
        <v>-1.050588475961</v>
      </c>
      <c r="AH5396">
        <v>8.7607024663333792</v>
      </c>
      <c r="AI5396">
        <v>95.869678833459702</v>
      </c>
      <c r="AJ5396">
        <v>59.012178172678503</v>
      </c>
      <c r="AK5396">
        <v>10.2730841880438</v>
      </c>
      <c r="AL5396">
        <v>86.312499727329694</v>
      </c>
      <c r="AM5396">
        <v>75.846984763539496</v>
      </c>
      <c r="AN5396">
        <v>0.99999999917402904</v>
      </c>
    </row>
    <row r="5397" spans="1:40" x14ac:dyDescent="0.25">
      <c r="A5397" t="str">
        <f>"20190312151641089"</f>
        <v>20190312151641089</v>
      </c>
      <c r="B5397" t="str">
        <f>"1552375001083389"</f>
        <v>1552375001083389</v>
      </c>
      <c r="C5397" t="s">
        <v>40</v>
      </c>
      <c r="D5397">
        <v>5.1298620000000001</v>
      </c>
      <c r="E5397">
        <v>0.60828800000000005</v>
      </c>
      <c r="F5397" t="s">
        <v>43</v>
      </c>
      <c r="G5397">
        <v>-302.24639999999999</v>
      </c>
      <c r="H5397" s="1">
        <v>-1.400423E-6</v>
      </c>
      <c r="I5397">
        <v>-7.7645399999999896</v>
      </c>
      <c r="J5397">
        <v>-300.18849999999998</v>
      </c>
      <c r="K5397">
        <v>1.0507169999999999</v>
      </c>
      <c r="L5397">
        <v>2.1503909999999999</v>
      </c>
      <c r="M5397">
        <v>0.31997569999999997</v>
      </c>
      <c r="N5397">
        <v>0</v>
      </c>
      <c r="O5397">
        <v>-0.94730429999999999</v>
      </c>
      <c r="P5397">
        <v>8.9363559999999995E-2</v>
      </c>
      <c r="Q5397">
        <v>5.583751E-2</v>
      </c>
      <c r="R5397">
        <v>-0.99443289999999995</v>
      </c>
      <c r="S5397">
        <v>-0.58712769999999903</v>
      </c>
      <c r="T5397">
        <v>-0.31634000000000001</v>
      </c>
      <c r="U5397">
        <v>-3.1012879999999998</v>
      </c>
      <c r="V5397">
        <v>0.23511389999999999</v>
      </c>
      <c r="W5397">
        <v>6.5216769999999993E-2</v>
      </c>
      <c r="X5397">
        <v>0.96977740000000001</v>
      </c>
      <c r="Y5397">
        <v>0.48982789999999998</v>
      </c>
      <c r="Z5397">
        <v>8.6133879999999996E-2</v>
      </c>
      <c r="AA5397">
        <v>0.86755380000000004</v>
      </c>
      <c r="AB5397">
        <v>23</v>
      </c>
      <c r="AC5397">
        <v>-2.0579000000000098</v>
      </c>
      <c r="AD5397">
        <v>-1.0507184004229999</v>
      </c>
      <c r="AE5397">
        <v>-9.9149309999999993</v>
      </c>
      <c r="AF5397">
        <v>5.0680189302179803</v>
      </c>
      <c r="AG5397">
        <v>-1.0507184004229999</v>
      </c>
      <c r="AH5397">
        <v>8.64194011282855</v>
      </c>
      <c r="AI5397">
        <v>95.987239565716706</v>
      </c>
      <c r="AJ5397">
        <v>59.610739728449801</v>
      </c>
      <c r="AK5397">
        <v>10.0733288414381</v>
      </c>
      <c r="AL5397">
        <v>86.260700402498102</v>
      </c>
      <c r="AM5397">
        <v>76.372092866778303</v>
      </c>
      <c r="AN5397">
        <v>0.99999998930660094</v>
      </c>
    </row>
    <row r="5398" spans="1:40" x14ac:dyDescent="0.25">
      <c r="A5398" t="str">
        <f>"20190312151641111"</f>
        <v>20190312151641111</v>
      </c>
      <c r="B5398" t="str">
        <f>"1552375001102909"</f>
        <v>1552375001102909</v>
      </c>
      <c r="C5398" t="s">
        <v>40</v>
      </c>
      <c r="D5398">
        <v>5.185562</v>
      </c>
      <c r="E5398">
        <v>0.60670040000000003</v>
      </c>
      <c r="F5398" t="s">
        <v>43</v>
      </c>
      <c r="G5398">
        <v>-302.25850000000003</v>
      </c>
      <c r="H5398" s="1">
        <v>-1.13438E-6</v>
      </c>
      <c r="I5398">
        <v>-8.3341659999999997</v>
      </c>
      <c r="J5398">
        <v>-300.12599999999998</v>
      </c>
      <c r="K5398">
        <v>1.050821</v>
      </c>
      <c r="L5398">
        <v>1.910156</v>
      </c>
      <c r="M5398">
        <v>0.30522899999999997</v>
      </c>
      <c r="N5398">
        <v>0</v>
      </c>
      <c r="O5398">
        <v>-0.95215830000000001</v>
      </c>
      <c r="P5398">
        <v>7.7803199999999906E-2</v>
      </c>
      <c r="Q5398">
        <v>5.6661139999999999E-2</v>
      </c>
      <c r="R5398">
        <v>-0.99535770000000001</v>
      </c>
      <c r="S5398">
        <v>-0.6098633</v>
      </c>
      <c r="T5398">
        <v>-0.30956549999999999</v>
      </c>
      <c r="U5398">
        <v>-3.0889890000000002</v>
      </c>
      <c r="V5398">
        <v>0.2313094</v>
      </c>
      <c r="W5398">
        <v>6.6183619999999999E-2</v>
      </c>
      <c r="X5398">
        <v>0.97062649999999995</v>
      </c>
      <c r="Y5398">
        <v>0.48309560000000001</v>
      </c>
      <c r="Z5398">
        <v>8.5486909999999999E-2</v>
      </c>
      <c r="AA5398">
        <v>0.8713843</v>
      </c>
      <c r="AB5398">
        <v>23</v>
      </c>
      <c r="AC5398">
        <v>-2.13250000000005</v>
      </c>
      <c r="AD5398">
        <v>-1.0508221343799999</v>
      </c>
      <c r="AE5398">
        <v>-10.244322</v>
      </c>
      <c r="AF5398">
        <v>5.1064368539664304</v>
      </c>
      <c r="AG5398">
        <v>-1.0508221343799999</v>
      </c>
      <c r="AH5398">
        <v>9.0134622701012699</v>
      </c>
      <c r="AI5398">
        <v>95.792049029065893</v>
      </c>
      <c r="AJ5398">
        <v>60.4669523938447</v>
      </c>
      <c r="AK5398">
        <v>10.412609019654401</v>
      </c>
      <c r="AL5398">
        <v>86.205184281630295</v>
      </c>
      <c r="AM5398">
        <v>76.595891578322394</v>
      </c>
      <c r="AN5398">
        <v>1.0000000562934499</v>
      </c>
    </row>
    <row r="5399" spans="1:40" x14ac:dyDescent="0.25">
      <c r="A5399" t="str">
        <f>"20190312151641135"</f>
        <v>20190312151641135</v>
      </c>
      <c r="B5399" t="str">
        <f>"1552375001123405"</f>
        <v>1552375001123405</v>
      </c>
      <c r="C5399" t="s">
        <v>40</v>
      </c>
      <c r="D5399">
        <v>5.1297220000000001</v>
      </c>
      <c r="E5399">
        <v>0.58788469999999904</v>
      </c>
      <c r="F5399" t="s">
        <v>43</v>
      </c>
      <c r="G5399">
        <v>-302.2808</v>
      </c>
      <c r="H5399" s="1">
        <v>-1.017515E-6</v>
      </c>
      <c r="I5399">
        <v>-8.5939359999999994</v>
      </c>
      <c r="J5399">
        <v>-300.0684</v>
      </c>
      <c r="K5399">
        <v>1.050934</v>
      </c>
      <c r="L5399">
        <v>1.6741029999999999</v>
      </c>
      <c r="M5399">
        <v>0.29085709999999998</v>
      </c>
      <c r="N5399">
        <v>0</v>
      </c>
      <c r="O5399">
        <v>-0.95664689999999997</v>
      </c>
      <c r="P5399">
        <v>6.6825809999999999E-2</v>
      </c>
      <c r="Q5399">
        <v>5.7198119999999998E-2</v>
      </c>
      <c r="R5399">
        <v>-0.99612420000000002</v>
      </c>
      <c r="S5399">
        <v>-0.632019</v>
      </c>
      <c r="T5399">
        <v>-0.3082143</v>
      </c>
      <c r="U5399">
        <v>-3.0809329999999999</v>
      </c>
      <c r="V5399">
        <v>0.22737450000000001</v>
      </c>
      <c r="W5399">
        <v>6.6867309999999999E-2</v>
      </c>
      <c r="X5399">
        <v>0.97150890000000001</v>
      </c>
      <c r="Y5399">
        <v>0.4763577</v>
      </c>
      <c r="Z5399">
        <v>8.6125690000000005E-2</v>
      </c>
      <c r="AA5399">
        <v>0.8750232</v>
      </c>
      <c r="AB5399">
        <v>23</v>
      </c>
      <c r="AC5399">
        <v>-2.2124000000000001</v>
      </c>
      <c r="AD5399">
        <v>-1.0509350175149901</v>
      </c>
      <c r="AE5399">
        <v>-10.268039</v>
      </c>
      <c r="AF5399">
        <v>5.05301695762987</v>
      </c>
      <c r="AG5399">
        <v>-1.0509350175149901</v>
      </c>
      <c r="AH5399">
        <v>9.0894533336881906</v>
      </c>
      <c r="AI5399">
        <v>95.770468437409605</v>
      </c>
      <c r="AJ5399">
        <v>60.929403221975598</v>
      </c>
      <c r="AK5399">
        <v>10.4525406811181</v>
      </c>
      <c r="AL5399">
        <v>86.165924435785996</v>
      </c>
      <c r="AM5399">
        <v>76.8274422939472</v>
      </c>
      <c r="AN5399">
        <v>0.99999997158804699</v>
      </c>
    </row>
    <row r="5400" spans="1:40" x14ac:dyDescent="0.25">
      <c r="A5400" t="str">
        <f>"20190312151641159"</f>
        <v>20190312151641159</v>
      </c>
      <c r="B5400" t="str">
        <f>"1552375001153661"</f>
        <v>1552375001153661</v>
      </c>
      <c r="C5400" t="s">
        <v>40</v>
      </c>
      <c r="D5400">
        <v>5.123577</v>
      </c>
      <c r="E5400">
        <v>0.58676200000000001</v>
      </c>
      <c r="F5400" t="s">
        <v>43</v>
      </c>
      <c r="G5400">
        <v>-301.78579999999999</v>
      </c>
      <c r="H5400" s="1">
        <v>-9.1127710000000001E-7</v>
      </c>
      <c r="I5400">
        <v>-8.5400740000000006</v>
      </c>
      <c r="J5400">
        <v>-300.01069999999999</v>
      </c>
      <c r="K5400">
        <v>1.0510630000000001</v>
      </c>
      <c r="L5400">
        <v>1.4206240000000001</v>
      </c>
      <c r="M5400">
        <v>0.27558650000000001</v>
      </c>
      <c r="N5400">
        <v>0</v>
      </c>
      <c r="O5400">
        <v>-0.96115740000000005</v>
      </c>
      <c r="P5400">
        <v>5.580657E-2</v>
      </c>
      <c r="Q5400">
        <v>5.7847500000000003E-2</v>
      </c>
      <c r="R5400">
        <v>-0.99676450000000005</v>
      </c>
      <c r="S5400">
        <v>-0.51522829999999997</v>
      </c>
      <c r="T5400">
        <v>-0.31528850000000003</v>
      </c>
      <c r="U5400">
        <v>-3.0643310000000001</v>
      </c>
      <c r="V5400">
        <v>0.22262199999999999</v>
      </c>
      <c r="W5400">
        <v>6.7688949999999998E-2</v>
      </c>
      <c r="X5400">
        <v>0.97255210000000003</v>
      </c>
      <c r="Y5400">
        <v>0.43041049999999997</v>
      </c>
      <c r="Z5400">
        <v>9.0747640000000004E-2</v>
      </c>
      <c r="AA5400">
        <v>0.89805999999999997</v>
      </c>
      <c r="AB5400">
        <v>23</v>
      </c>
      <c r="AC5400">
        <v>-1.7750999999999999</v>
      </c>
      <c r="AD5400">
        <v>-1.0510639112771001</v>
      </c>
      <c r="AE5400">
        <v>-9.9606979999999901</v>
      </c>
      <c r="AF5400">
        <v>4.4041635382864897</v>
      </c>
      <c r="AG5400">
        <v>-1.0510639112771001</v>
      </c>
      <c r="AH5400">
        <v>8.9886381882566901</v>
      </c>
      <c r="AI5400">
        <v>95.994404130821493</v>
      </c>
      <c r="AJ5400">
        <v>63.896529589796501</v>
      </c>
      <c r="AK5400">
        <v>10.064641488744</v>
      </c>
      <c r="AL5400">
        <v>86.118741009612606</v>
      </c>
      <c r="AM5400">
        <v>77.106838613940894</v>
      </c>
      <c r="AN5400">
        <v>0.99999996802525504</v>
      </c>
    </row>
    <row r="5401" spans="1:40" x14ac:dyDescent="0.25">
      <c r="A5401" t="str">
        <f>"20190312151641179"</f>
        <v>20190312151641179</v>
      </c>
      <c r="B5401" t="str">
        <f>"1552375001173181"</f>
        <v>1552375001173181</v>
      </c>
      <c r="C5401" t="s">
        <v>40</v>
      </c>
      <c r="D5401">
        <v>5.024572</v>
      </c>
      <c r="E5401">
        <v>0.58572239999999998</v>
      </c>
      <c r="F5401" t="s">
        <v>43</v>
      </c>
      <c r="G5401">
        <v>-301.8526</v>
      </c>
      <c r="H5401" s="1">
        <v>-7.0048900000000002E-7</v>
      </c>
      <c r="I5401">
        <v>-9.0235909999999997</v>
      </c>
      <c r="J5401">
        <v>-299.96769999999998</v>
      </c>
      <c r="K5401">
        <v>1.0512709999999901</v>
      </c>
      <c r="L5401">
        <v>1.219543</v>
      </c>
      <c r="M5401">
        <v>0.26339689999999999</v>
      </c>
      <c r="N5401">
        <v>0</v>
      </c>
      <c r="O5401">
        <v>-0.96456750000000002</v>
      </c>
      <c r="P5401">
        <v>4.8449150000000003E-2</v>
      </c>
      <c r="Q5401">
        <v>5.7764299999999998E-2</v>
      </c>
      <c r="R5401">
        <v>-0.99715379999999998</v>
      </c>
      <c r="S5401">
        <v>-0.53924559999999999</v>
      </c>
      <c r="T5401">
        <v>-0.30772159999999998</v>
      </c>
      <c r="U5401">
        <v>-3.0577700000000001</v>
      </c>
      <c r="V5401">
        <v>0.2174529</v>
      </c>
      <c r="W5401">
        <v>6.7918729999999997E-2</v>
      </c>
      <c r="X5401">
        <v>0.97370489999999998</v>
      </c>
      <c r="Y5401">
        <v>0.42618210000000001</v>
      </c>
      <c r="Z5401">
        <v>8.9329889999999995E-2</v>
      </c>
      <c r="AA5401">
        <v>0.90021609999999996</v>
      </c>
      <c r="AB5401">
        <v>23</v>
      </c>
      <c r="AC5401">
        <v>-1.88490000000001</v>
      </c>
      <c r="AD5401">
        <v>-1.05127170048899</v>
      </c>
      <c r="AE5401">
        <v>-10.243134</v>
      </c>
      <c r="AF5401">
        <v>4.4710932662380998</v>
      </c>
      <c r="AG5401">
        <v>-1.05127170048899</v>
      </c>
      <c r="AH5401">
        <v>9.2901533440851001</v>
      </c>
      <c r="AI5401">
        <v>95.822070381175195</v>
      </c>
      <c r="AJ5401">
        <v>64.299777667732101</v>
      </c>
      <c r="AK5401">
        <v>10.363532039814601</v>
      </c>
      <c r="AL5401">
        <v>86.105545244076197</v>
      </c>
      <c r="AM5401">
        <v>77.410981055488506</v>
      </c>
      <c r="AN5401">
        <v>0.99999997494361603</v>
      </c>
    </row>
    <row r="5402" spans="1:40" x14ac:dyDescent="0.25">
      <c r="A5402" t="str">
        <f>"20190312151641203"</f>
        <v>20190312151641203</v>
      </c>
      <c r="B5402" t="str">
        <f>"1552375001193677"</f>
        <v>1552375001193677</v>
      </c>
      <c r="C5402" t="s">
        <v>40</v>
      </c>
      <c r="D5402">
        <v>5.0270809999999999</v>
      </c>
      <c r="E5402">
        <v>0.58406210000000003</v>
      </c>
      <c r="F5402" t="s">
        <v>43</v>
      </c>
      <c r="G5402">
        <v>-302.0564</v>
      </c>
      <c r="H5402" s="1">
        <v>-1.3627129999999999E-7</v>
      </c>
      <c r="I5402">
        <v>-10.331860000000001</v>
      </c>
      <c r="J5402">
        <v>-299.91719999999998</v>
      </c>
      <c r="K5402">
        <v>1.0518080000000001</v>
      </c>
      <c r="L5402">
        <v>0.97055049999999998</v>
      </c>
      <c r="M5402">
        <v>0.24736859999999999</v>
      </c>
      <c r="N5402">
        <v>0</v>
      </c>
      <c r="O5402">
        <v>-0.96879559999999998</v>
      </c>
      <c r="P5402">
        <v>3.6962589999999997E-2</v>
      </c>
      <c r="Q5402">
        <v>5.7373710000000001E-2</v>
      </c>
      <c r="R5402">
        <v>-0.99766829999999995</v>
      </c>
      <c r="S5402">
        <v>-0.55175779999999996</v>
      </c>
      <c r="T5402">
        <v>-0.27770669999999997</v>
      </c>
      <c r="U5402">
        <v>-3.051453</v>
      </c>
      <c r="V5402">
        <v>0.21246599999999999</v>
      </c>
      <c r="W5402">
        <v>6.8223199999999998E-2</v>
      </c>
      <c r="X5402">
        <v>0.97478399999999998</v>
      </c>
      <c r="Y5402">
        <v>0.4151955</v>
      </c>
      <c r="Z5402">
        <v>8.1629930000000003E-2</v>
      </c>
      <c r="AA5402">
        <v>0.90606249999999999</v>
      </c>
      <c r="AB5402">
        <v>23</v>
      </c>
      <c r="AC5402">
        <v>-2.13920000000001</v>
      </c>
      <c r="AD5402">
        <v>-1.0518081362713001</v>
      </c>
      <c r="AE5402">
        <v>-11.302410499999899</v>
      </c>
      <c r="AF5402">
        <v>4.8285325457857597</v>
      </c>
      <c r="AG5402">
        <v>-1.0518081362713001</v>
      </c>
      <c r="AH5402">
        <v>10.335413628649</v>
      </c>
      <c r="AI5402">
        <v>95.267870707226606</v>
      </c>
      <c r="AJ5402">
        <v>64.958804474077098</v>
      </c>
      <c r="AK5402">
        <v>11.4560814319951</v>
      </c>
      <c r="AL5402">
        <v>86.088060041533296</v>
      </c>
      <c r="AM5402">
        <v>77.703999800357906</v>
      </c>
      <c r="AN5402">
        <v>1.0000000264151101</v>
      </c>
    </row>
    <row r="5403" spans="1:40" x14ac:dyDescent="0.25">
      <c r="A5403" t="str">
        <f>"20190312151641224"</f>
        <v>20190312151641224</v>
      </c>
      <c r="B5403" t="str">
        <f>"1552375001213197"</f>
        <v>1552375001213197</v>
      </c>
      <c r="C5403" t="s">
        <v>40</v>
      </c>
      <c r="D5403">
        <v>4.9624489999999897</v>
      </c>
      <c r="E5403">
        <v>0.57405499999999998</v>
      </c>
      <c r="F5403" t="s">
        <v>43</v>
      </c>
      <c r="G5403">
        <v>-302.21039999999999</v>
      </c>
      <c r="H5403" s="1">
        <v>-4.4024149999999998E-6</v>
      </c>
      <c r="I5403">
        <v>-11.228669999999999</v>
      </c>
      <c r="J5403">
        <v>-299.87509999999997</v>
      </c>
      <c r="K5403">
        <v>1.0520179999999999</v>
      </c>
      <c r="L5403">
        <v>0.75039669999999903</v>
      </c>
      <c r="M5403">
        <v>0.23385800000000001</v>
      </c>
      <c r="N5403">
        <v>0</v>
      </c>
      <c r="O5403">
        <v>-0.97214089999999997</v>
      </c>
      <c r="P5403">
        <v>2.9112780000000001E-2</v>
      </c>
      <c r="Q5403">
        <v>5.6251080000000002E-2</v>
      </c>
      <c r="R5403">
        <v>-0.99799230000000005</v>
      </c>
      <c r="S5403">
        <v>-0.57208249999999905</v>
      </c>
      <c r="T5403">
        <v>-0.26239249999999997</v>
      </c>
      <c r="U5403">
        <v>-3.043304</v>
      </c>
      <c r="V5403">
        <v>0.2065755</v>
      </c>
      <c r="W5403">
        <v>6.7460590000000001E-2</v>
      </c>
      <c r="X5403">
        <v>0.97610229999999998</v>
      </c>
      <c r="Y5403">
        <v>0.40886919999999999</v>
      </c>
      <c r="Z5403">
        <v>7.7870369999999994E-2</v>
      </c>
      <c r="AA5403">
        <v>0.90926459999999998</v>
      </c>
      <c r="AB5403">
        <v>23</v>
      </c>
      <c r="AC5403">
        <v>-2.3353000000000099</v>
      </c>
      <c r="AD5403">
        <v>-1.052022402415</v>
      </c>
      <c r="AE5403">
        <v>-11.979066700000001</v>
      </c>
      <c r="AF5403">
        <v>5.0348712022543598</v>
      </c>
      <c r="AG5403">
        <v>-1.052022402415</v>
      </c>
      <c r="AH5403">
        <v>11.018741444446</v>
      </c>
      <c r="AI5403">
        <v>94.963085997204303</v>
      </c>
      <c r="AJ5403">
        <v>65.442583054414499</v>
      </c>
      <c r="AK5403">
        <v>12.1601538714781</v>
      </c>
      <c r="AL5403">
        <v>86.131855306673401</v>
      </c>
      <c r="AM5403">
        <v>78.050635904843205</v>
      </c>
      <c r="AN5403">
        <v>1.00000003423434</v>
      </c>
    </row>
    <row r="5404" spans="1:40" x14ac:dyDescent="0.25">
      <c r="A5404" t="str">
        <f>"20190312151641246"</f>
        <v>20190312151641246</v>
      </c>
      <c r="B5404" t="str">
        <f>"1552375001232718"</f>
        <v>1552375001232718</v>
      </c>
      <c r="C5404" t="s">
        <v>40</v>
      </c>
      <c r="D5404">
        <v>4.8912930000000001</v>
      </c>
      <c r="E5404">
        <v>0.57254139999999998</v>
      </c>
      <c r="F5404" t="s">
        <v>43</v>
      </c>
      <c r="G5404">
        <v>-301.4194</v>
      </c>
      <c r="H5404" s="1">
        <v>-9.2429009999999997E-7</v>
      </c>
      <c r="I5404">
        <v>-8.3062930000000001</v>
      </c>
      <c r="J5404">
        <v>-299.83679999999998</v>
      </c>
      <c r="K5404">
        <v>1.0519590000000001</v>
      </c>
      <c r="L5404">
        <v>0.53417969999999904</v>
      </c>
      <c r="M5404">
        <v>0.22331980000000001</v>
      </c>
      <c r="N5404">
        <v>0</v>
      </c>
      <c r="O5404">
        <v>-0.97461869999999995</v>
      </c>
      <c r="P5404">
        <v>2.56557E-2</v>
      </c>
      <c r="Q5404">
        <v>5.4970669999999999E-2</v>
      </c>
      <c r="R5404">
        <v>-0.99815880000000001</v>
      </c>
      <c r="S5404">
        <v>-0.51855470000000004</v>
      </c>
      <c r="T5404">
        <v>-0.35324919999999999</v>
      </c>
      <c r="U5404">
        <v>-3.041077</v>
      </c>
      <c r="V5404">
        <v>0.1994551</v>
      </c>
      <c r="W5404">
        <v>6.5887199999999896E-2</v>
      </c>
      <c r="X5404">
        <v>0.97768940000000004</v>
      </c>
      <c r="Y5404">
        <v>0.38299040000000001</v>
      </c>
      <c r="Z5404">
        <v>0.10583339999999899</v>
      </c>
      <c r="AA5404">
        <v>0.91766970000000003</v>
      </c>
      <c r="AB5404">
        <v>23</v>
      </c>
      <c r="AC5404">
        <v>-1.58260000000001</v>
      </c>
      <c r="AD5404">
        <v>-1.0519599242901001</v>
      </c>
      <c r="AE5404">
        <v>-8.8404726999999994</v>
      </c>
      <c r="AF5404">
        <v>3.4695168553957001</v>
      </c>
      <c r="AG5404">
        <v>-1.0519599242901001</v>
      </c>
      <c r="AH5404">
        <v>8.1518416569231196</v>
      </c>
      <c r="AI5404">
        <v>96.771514547631497</v>
      </c>
      <c r="AJ5404">
        <v>66.944842570473497</v>
      </c>
      <c r="AK5404">
        <v>8.9216976687026506</v>
      </c>
      <c r="AL5404">
        <v>86.222204877626893</v>
      </c>
      <c r="AM5404">
        <v>78.469506025026703</v>
      </c>
      <c r="AN5404">
        <v>1.0000000114561001</v>
      </c>
    </row>
    <row r="5405" spans="1:40" x14ac:dyDescent="0.25">
      <c r="A5405" t="str">
        <f>"20190312151641273"</f>
        <v>20190312151641273</v>
      </c>
      <c r="B5405" t="str">
        <f>"1552375001262973"</f>
        <v>1552375001262973</v>
      </c>
      <c r="C5405" t="s">
        <v>40</v>
      </c>
      <c r="D5405">
        <v>5.0033609999999999</v>
      </c>
      <c r="E5405">
        <v>0.48466979999999998</v>
      </c>
      <c r="F5405" t="s">
        <v>43</v>
      </c>
      <c r="G5405">
        <v>-301.29480000000001</v>
      </c>
      <c r="H5405" s="1">
        <v>-1.03041E-6</v>
      </c>
      <c r="I5405">
        <v>-8.0116999999999994</v>
      </c>
      <c r="J5405">
        <v>-299.79289999999997</v>
      </c>
      <c r="K5405">
        <v>1.0520959999999999</v>
      </c>
      <c r="L5405">
        <v>0.2609863</v>
      </c>
      <c r="M5405">
        <v>0.2114974</v>
      </c>
      <c r="N5405">
        <v>0</v>
      </c>
      <c r="O5405">
        <v>-0.97727759999999997</v>
      </c>
      <c r="P5405">
        <v>2.2787390000000001E-2</v>
      </c>
      <c r="Q5405">
        <v>5.3771979999999997E-2</v>
      </c>
      <c r="R5405">
        <v>-0.99829330000000005</v>
      </c>
      <c r="S5405">
        <v>-0.51858519999999997</v>
      </c>
      <c r="T5405">
        <v>-0.37414380000000003</v>
      </c>
      <c r="U5405">
        <v>-3.0394589999999999</v>
      </c>
      <c r="V5405">
        <v>0.19045329999999999</v>
      </c>
      <c r="W5405">
        <v>6.2991679999999994E-2</v>
      </c>
      <c r="X5405">
        <v>0.97967320000000002</v>
      </c>
      <c r="Y5405">
        <v>0.37173319999999999</v>
      </c>
      <c r="Z5405">
        <v>0.11282349999999999</v>
      </c>
      <c r="AA5405">
        <v>0.92145820000000001</v>
      </c>
      <c r="AB5405">
        <v>22</v>
      </c>
      <c r="AC5405">
        <v>-1.50190000000003</v>
      </c>
      <c r="AD5405">
        <v>-1.0520970304099999</v>
      </c>
      <c r="AE5405">
        <v>-8.2726863000000002</v>
      </c>
      <c r="AF5405">
        <v>3.1681358700860498</v>
      </c>
      <c r="AG5405">
        <v>-1.0520970304099999</v>
      </c>
      <c r="AH5405">
        <v>7.6480763646408398</v>
      </c>
      <c r="AI5405">
        <v>97.242950366705699</v>
      </c>
      <c r="AJ5405">
        <v>67.498728073545607</v>
      </c>
      <c r="AK5405">
        <v>8.3448825714986192</v>
      </c>
      <c r="AL5405">
        <v>86.388451474495696</v>
      </c>
      <c r="AM5405">
        <v>78.998640687212998</v>
      </c>
      <c r="AN5405">
        <v>0.99999999501417602</v>
      </c>
    </row>
    <row r="5406" spans="1:40" x14ac:dyDescent="0.25">
      <c r="A5406" t="str">
        <f>"20190312151641298"</f>
        <v>20190312151641298</v>
      </c>
      <c r="B5406" t="str">
        <f>"1552375001293230"</f>
        <v>1552375001293230</v>
      </c>
      <c r="C5406" t="s">
        <v>40</v>
      </c>
      <c r="D5406">
        <v>4.9027269999999996</v>
      </c>
      <c r="E5406">
        <v>0.4717616</v>
      </c>
      <c r="F5406" t="s">
        <v>43</v>
      </c>
      <c r="G5406">
        <v>-298.84730000000002</v>
      </c>
      <c r="H5406" s="1">
        <v>-2.224192E-6</v>
      </c>
      <c r="I5406">
        <v>-15.659190000000001</v>
      </c>
      <c r="J5406">
        <v>-299.75670000000002</v>
      </c>
      <c r="K5406">
        <v>1.053623</v>
      </c>
      <c r="L5406">
        <v>7.1716310000000004E-3</v>
      </c>
      <c r="M5406">
        <v>0.19901360000000001</v>
      </c>
      <c r="N5406">
        <v>0</v>
      </c>
      <c r="O5406">
        <v>-0.97992409999999996</v>
      </c>
      <c r="P5406">
        <v>1.9405970000000002E-2</v>
      </c>
      <c r="Q5406">
        <v>5.3583730000000003E-2</v>
      </c>
      <c r="R5406">
        <v>-0.99837509999999996</v>
      </c>
      <c r="S5406">
        <v>0.178894</v>
      </c>
      <c r="T5406">
        <v>-0.19903609999999999</v>
      </c>
      <c r="U5406">
        <v>-3.0117799999999999</v>
      </c>
      <c r="V5406">
        <v>0.18114930000000001</v>
      </c>
      <c r="W5406">
        <v>6.1119409999999999E-2</v>
      </c>
      <c r="X5406">
        <v>0.98155460000000005</v>
      </c>
      <c r="Y5406">
        <v>0.1406905</v>
      </c>
      <c r="Z5406">
        <v>6.3585199999999995E-2</v>
      </c>
      <c r="AA5406">
        <v>0.98800969999999999</v>
      </c>
      <c r="AB5406">
        <v>23</v>
      </c>
      <c r="AC5406">
        <v>0.90940000000000498</v>
      </c>
      <c r="AD5406">
        <v>-1.0536252241920001</v>
      </c>
      <c r="AE5406">
        <v>-15.666361630999999</v>
      </c>
      <c r="AF5406">
        <v>2.2168412282308601</v>
      </c>
      <c r="AG5406">
        <v>-1.0536252241920001</v>
      </c>
      <c r="AH5406">
        <v>15.464222617587</v>
      </c>
      <c r="AI5406">
        <v>93.858392051237303</v>
      </c>
      <c r="AJ5406">
        <v>81.842062630584294</v>
      </c>
      <c r="AK5406">
        <v>15.6577997276286</v>
      </c>
      <c r="AL5406">
        <v>86.495931971935207</v>
      </c>
      <c r="AM5406">
        <v>79.543521888241699</v>
      </c>
      <c r="AN5406">
        <v>1.00000004197519</v>
      </c>
    </row>
    <row r="5407" spans="1:40" x14ac:dyDescent="0.25">
      <c r="A5407" t="str">
        <f>"20190312151641334"</f>
        <v>20190312151641334</v>
      </c>
      <c r="B5407" t="str">
        <f>"1552375001323485"</f>
        <v>1552375001323485</v>
      </c>
      <c r="C5407" t="s">
        <v>40</v>
      </c>
      <c r="D5407">
        <v>4.8769679999999997</v>
      </c>
      <c r="E5407">
        <v>0.46894429999999998</v>
      </c>
      <c r="F5407" t="s">
        <v>41</v>
      </c>
      <c r="G5407">
        <v>-299.67599999999999</v>
      </c>
      <c r="H5407">
        <v>0.99469459999999998</v>
      </c>
      <c r="I5407">
        <v>-0.88564299999999996</v>
      </c>
      <c r="J5407">
        <v>-299.7072</v>
      </c>
      <c r="K5407">
        <v>1.0576139999999901</v>
      </c>
      <c r="L5407">
        <v>-0.36886600000000003</v>
      </c>
      <c r="M5407">
        <v>0.17798129999999901</v>
      </c>
      <c r="N5407">
        <v>0</v>
      </c>
      <c r="O5407">
        <v>-0.98398750000000001</v>
      </c>
      <c r="P5407">
        <v>1.6149839999999999E-2</v>
      </c>
      <c r="Q5407">
        <v>5.1071640000000001E-2</v>
      </c>
      <c r="R5407">
        <v>-0.99856440000000002</v>
      </c>
      <c r="S5407">
        <v>0.27233889999999999</v>
      </c>
      <c r="T5407">
        <v>-0.1978239</v>
      </c>
      <c r="U5407">
        <v>-3.0101930000000001</v>
      </c>
      <c r="V5407">
        <v>0.16299129999999901</v>
      </c>
      <c r="W5407">
        <v>5.7304750000000002E-2</v>
      </c>
      <c r="X5407">
        <v>0.98496189999999995</v>
      </c>
      <c r="Y5407">
        <v>8.8785509999999998E-2</v>
      </c>
      <c r="Z5407">
        <v>6.3752649999999994E-2</v>
      </c>
      <c r="AA5407">
        <v>0.99400840000000001</v>
      </c>
      <c r="AB5407">
        <v>23</v>
      </c>
      <c r="AC5407">
        <v>3.1200000000012499E-2</v>
      </c>
      <c r="AD5407">
        <v>-6.2919399999999806E-2</v>
      </c>
      <c r="AE5407">
        <v>-0.51677700000000004</v>
      </c>
      <c r="AF5407">
        <v>6.0387106412765998E-2</v>
      </c>
      <c r="AG5407">
        <v>-6.2919399999999806E-2</v>
      </c>
      <c r="AH5407">
        <v>0.506596120162357</v>
      </c>
      <c r="AI5407">
        <v>97.030628803976001</v>
      </c>
      <c r="AJ5407">
        <v>83.202322136740804</v>
      </c>
      <c r="AK5407">
        <v>0.514047743386565</v>
      </c>
      <c r="AL5407">
        <v>86.714879944059106</v>
      </c>
      <c r="AM5407">
        <v>80.6038549453109</v>
      </c>
      <c r="AN5407">
        <v>0.99999997134993002</v>
      </c>
    </row>
    <row r="5408" spans="1:40" x14ac:dyDescent="0.25">
      <c r="A5408" t="str">
        <f>"20190312151641358"</f>
        <v>20190312151641358</v>
      </c>
      <c r="B5408" t="str">
        <f>"1552375001352765"</f>
        <v>1552375001352765</v>
      </c>
      <c r="C5408" t="s">
        <v>40</v>
      </c>
      <c r="D5408">
        <v>4.8577579999999996</v>
      </c>
      <c r="E5408">
        <v>0.46686729999999999</v>
      </c>
      <c r="F5408" t="s">
        <v>41</v>
      </c>
      <c r="G5408">
        <v>-299.6189</v>
      </c>
      <c r="H5408">
        <v>0.99507489999999998</v>
      </c>
      <c r="I5408">
        <v>-1.291868</v>
      </c>
      <c r="J5408">
        <v>-299.67680000000001</v>
      </c>
      <c r="K5408">
        <v>1.060125</v>
      </c>
      <c r="L5408">
        <v>-0.62707519999999894</v>
      </c>
      <c r="M5408">
        <v>0.16336679999999901</v>
      </c>
      <c r="N5408">
        <v>0</v>
      </c>
      <c r="O5408">
        <v>-0.9865353</v>
      </c>
      <c r="P5408">
        <v>1.1330379999999999E-2</v>
      </c>
      <c r="Q5408">
        <v>5.1027549999999998E-2</v>
      </c>
      <c r="R5408">
        <v>-0.99863329999999995</v>
      </c>
      <c r="S5408">
        <v>0.28799439999999998</v>
      </c>
      <c r="T5408">
        <v>-0.20390359999999999</v>
      </c>
      <c r="U5408">
        <v>-3.0100709999999999</v>
      </c>
      <c r="V5408">
        <v>0.15299079999999901</v>
      </c>
      <c r="W5408">
        <v>5.594271E-2</v>
      </c>
      <c r="X5408">
        <v>0.98664289999999999</v>
      </c>
      <c r="Y5408">
        <v>6.8876640000000003E-2</v>
      </c>
      <c r="Z5408">
        <v>6.5998409999999993E-2</v>
      </c>
      <c r="AA5408">
        <v>0.99543970000000004</v>
      </c>
      <c r="AB5408">
        <v>23</v>
      </c>
      <c r="AC5408">
        <v>5.7900000000017798E-2</v>
      </c>
      <c r="AD5408">
        <v>-6.50501E-2</v>
      </c>
      <c r="AE5408">
        <v>-0.66479279999999996</v>
      </c>
      <c r="AF5408">
        <v>5.1001561170085002E-2</v>
      </c>
      <c r="AG5408">
        <v>-6.50501E-2</v>
      </c>
      <c r="AH5408">
        <v>0.65905751427605797</v>
      </c>
      <c r="AI5408">
        <v>95.6202380522368</v>
      </c>
      <c r="AJ5408">
        <v>85.574950844968896</v>
      </c>
      <c r="AK5408">
        <v>0.66422095862411001</v>
      </c>
      <c r="AL5408">
        <v>86.793044569961793</v>
      </c>
      <c r="AM5408">
        <v>81.185799262136399</v>
      </c>
      <c r="AN5408">
        <v>0.99999999190359701</v>
      </c>
    </row>
    <row r="5409" spans="1:40" x14ac:dyDescent="0.25">
      <c r="A5409" t="str">
        <f>"20190312151641380"</f>
        <v>20190312151641380</v>
      </c>
      <c r="B5409" t="str">
        <f>"1552375001373261"</f>
        <v>1552375001373261</v>
      </c>
      <c r="C5409" t="s">
        <v>40</v>
      </c>
      <c r="D5409">
        <v>4.9111039999999999</v>
      </c>
      <c r="E5409">
        <v>0.4651401</v>
      </c>
      <c r="F5409" t="s">
        <v>41</v>
      </c>
      <c r="G5409">
        <v>-299.59280000000001</v>
      </c>
      <c r="H5409">
        <v>1.0009349999999999</v>
      </c>
      <c r="I5409">
        <v>-1.4985250000000001</v>
      </c>
      <c r="J5409">
        <v>-299.65370000000001</v>
      </c>
      <c r="K5409">
        <v>1.0618860000000001</v>
      </c>
      <c r="L5409">
        <v>-0.84127809999999903</v>
      </c>
      <c r="M5409">
        <v>0.152078399999999</v>
      </c>
      <c r="N5409">
        <v>0</v>
      </c>
      <c r="O5409">
        <v>-0.98834920000000004</v>
      </c>
      <c r="P5409">
        <v>9.4901810000000003E-3</v>
      </c>
      <c r="Q5409">
        <v>5.1920399999999998E-2</v>
      </c>
      <c r="R5409">
        <v>-0.99860629999999995</v>
      </c>
      <c r="S5409">
        <v>0.29052729999999999</v>
      </c>
      <c r="T5409">
        <v>-0.2036723</v>
      </c>
      <c r="U5409">
        <v>-3.0112299999999999</v>
      </c>
      <c r="V5409">
        <v>0.14346159999999999</v>
      </c>
      <c r="W5409">
        <v>5.5600860000000002E-2</v>
      </c>
      <c r="X5409">
        <v>0.98809279999999999</v>
      </c>
      <c r="Y5409">
        <v>5.667233E-2</v>
      </c>
      <c r="Z5409">
        <v>6.6103229999999999E-2</v>
      </c>
      <c r="AA5409">
        <v>0.99620209999999998</v>
      </c>
      <c r="AB5409">
        <v>23</v>
      </c>
      <c r="AC5409">
        <v>6.0900000000003701E-2</v>
      </c>
      <c r="AD5409">
        <v>-6.0950999999999901E-2</v>
      </c>
      <c r="AE5409">
        <v>-0.65724689999999997</v>
      </c>
      <c r="AF5409">
        <v>3.94271547081399E-2</v>
      </c>
      <c r="AG5409">
        <v>-6.0950999999999901E-2</v>
      </c>
      <c r="AH5409">
        <v>0.65329297580067802</v>
      </c>
      <c r="AI5409">
        <v>95.320533205041997</v>
      </c>
      <c r="AJ5409">
        <v>86.546307757157805</v>
      </c>
      <c r="AK5409">
        <v>0.65731365204131098</v>
      </c>
      <c r="AL5409">
        <v>86.812661799481404</v>
      </c>
      <c r="AM5409">
        <v>81.738927952674999</v>
      </c>
      <c r="AN5409">
        <v>1.00000003385956</v>
      </c>
    </row>
    <row r="5410" spans="1:40" x14ac:dyDescent="0.25">
      <c r="A5410" t="str">
        <f>"20190312151641402"</f>
        <v>20190312151641402</v>
      </c>
      <c r="B5410" t="str">
        <f>"1552375001392781"</f>
        <v>1552375001392781</v>
      </c>
      <c r="C5410" t="s">
        <v>40</v>
      </c>
      <c r="D5410">
        <v>4.8949740000000004</v>
      </c>
      <c r="E5410">
        <v>0.46368039999999999</v>
      </c>
      <c r="F5410" t="s">
        <v>41</v>
      </c>
      <c r="G5410">
        <v>-299.56790000000001</v>
      </c>
      <c r="H5410">
        <v>1.0062580000000001</v>
      </c>
      <c r="I5410">
        <v>-1.705443</v>
      </c>
      <c r="J5410">
        <v>-299.63139999999999</v>
      </c>
      <c r="K5410">
        <v>1.0636429999999999</v>
      </c>
      <c r="L5410">
        <v>-1.070587</v>
      </c>
      <c r="M5410">
        <v>0.14084769999999999</v>
      </c>
      <c r="N5410">
        <v>0</v>
      </c>
      <c r="O5410">
        <v>-0.99002040000000002</v>
      </c>
      <c r="P5410">
        <v>7.8226370000000003E-3</v>
      </c>
      <c r="Q5410">
        <v>5.2432859999999998E-2</v>
      </c>
      <c r="R5410">
        <v>-0.99859410000000004</v>
      </c>
      <c r="S5410">
        <v>0.29919430000000002</v>
      </c>
      <c r="T5410">
        <v>-0.1937188</v>
      </c>
      <c r="U5410">
        <v>-3.0114139999999998</v>
      </c>
      <c r="V5410">
        <v>0.1338357</v>
      </c>
      <c r="W5410">
        <v>5.4857660000000003E-2</v>
      </c>
      <c r="X5410">
        <v>0.98948400000000003</v>
      </c>
      <c r="Y5410">
        <v>4.247662E-2</v>
      </c>
      <c r="Z5410">
        <v>6.3055349999999996E-2</v>
      </c>
      <c r="AA5410">
        <v>0.99710569999999998</v>
      </c>
      <c r="AB5410">
        <v>23</v>
      </c>
      <c r="AC5410">
        <v>6.3499999999976298E-2</v>
      </c>
      <c r="AD5410">
        <v>-5.7384999999999999E-2</v>
      </c>
      <c r="AE5410">
        <v>-0.63485599999999898</v>
      </c>
      <c r="AF5410">
        <v>2.6338928499378501E-2</v>
      </c>
      <c r="AG5410">
        <v>-5.7384999999999999E-2</v>
      </c>
      <c r="AH5410">
        <v>0.632355627090046</v>
      </c>
      <c r="AI5410">
        <v>95.180806185726297</v>
      </c>
      <c r="AJ5410">
        <v>87.614890155683796</v>
      </c>
      <c r="AK5410">
        <v>0.63550013099285896</v>
      </c>
      <c r="AL5410">
        <v>86.855308919795604</v>
      </c>
      <c r="AM5410">
        <v>82.297030843047807</v>
      </c>
      <c r="AN5410">
        <v>0.99999997185558198</v>
      </c>
    </row>
    <row r="5411" spans="1:40" x14ac:dyDescent="0.25">
      <c r="A5411" t="str">
        <f>"20190312151641424"</f>
        <v>20190312151641424</v>
      </c>
      <c r="B5411" t="str">
        <f>"1552375001413277"</f>
        <v>1552375001413277</v>
      </c>
      <c r="C5411" t="s">
        <v>40</v>
      </c>
      <c r="D5411">
        <v>4.8836849999999998</v>
      </c>
      <c r="E5411">
        <v>0.46303450000000002</v>
      </c>
      <c r="F5411" t="s">
        <v>41</v>
      </c>
      <c r="G5411">
        <v>-299.54570000000001</v>
      </c>
      <c r="H5411">
        <v>1.010864</v>
      </c>
      <c r="I5411">
        <v>-1.9132469999999999</v>
      </c>
      <c r="J5411">
        <v>-299.61110000000002</v>
      </c>
      <c r="K5411">
        <v>1.065385</v>
      </c>
      <c r="L5411">
        <v>-1.3034669999999999</v>
      </c>
      <c r="M5411">
        <v>0.1299738</v>
      </c>
      <c r="N5411">
        <v>0</v>
      </c>
      <c r="O5411">
        <v>-0.99151210000000001</v>
      </c>
      <c r="P5411">
        <v>7.165551E-3</v>
      </c>
      <c r="Q5411">
        <v>5.2040709999999997E-2</v>
      </c>
      <c r="R5411">
        <v>-0.99861940000000005</v>
      </c>
      <c r="S5411">
        <v>0.30651859999999997</v>
      </c>
      <c r="T5411">
        <v>-0.1882557</v>
      </c>
      <c r="U5411">
        <v>-3.0117189999999998</v>
      </c>
      <c r="V5411">
        <v>0.1235617</v>
      </c>
      <c r="W5411">
        <v>5.3321639999999997E-2</v>
      </c>
      <c r="X5411">
        <v>0.99090330000000004</v>
      </c>
      <c r="Y5411">
        <v>2.910594E-2</v>
      </c>
      <c r="Z5411">
        <v>6.1423560000000002E-2</v>
      </c>
      <c r="AA5411">
        <v>0.99768730000000005</v>
      </c>
      <c r="AB5411">
        <v>23</v>
      </c>
      <c r="AC5411">
        <v>6.5400000000010894E-2</v>
      </c>
      <c r="AD5411">
        <v>-5.4521E-2</v>
      </c>
      <c r="AE5411">
        <v>-0.60977999999999999</v>
      </c>
      <c r="AF5411">
        <v>1.42976087990667E-2</v>
      </c>
      <c r="AG5411">
        <v>-5.4521E-2</v>
      </c>
      <c r="AH5411">
        <v>0.60830013315406095</v>
      </c>
      <c r="AI5411">
        <v>95.120240224584094</v>
      </c>
      <c r="AJ5411">
        <v>88.653556372878697</v>
      </c>
      <c r="AK5411">
        <v>0.61090589541566798</v>
      </c>
      <c r="AL5411">
        <v>86.943445567517898</v>
      </c>
      <c r="AM5411">
        <v>82.892132982822602</v>
      </c>
      <c r="AN5411">
        <v>1.0000000204750299</v>
      </c>
    </row>
    <row r="5412" spans="1:40" x14ac:dyDescent="0.25">
      <c r="A5412" t="str">
        <f>"20190312151641448"</f>
        <v>20190312151641448</v>
      </c>
      <c r="B5412" t="str">
        <f>"1552375001443533"</f>
        <v>1552375001443533</v>
      </c>
      <c r="C5412" t="s">
        <v>40</v>
      </c>
      <c r="D5412">
        <v>4.922949</v>
      </c>
      <c r="E5412">
        <v>0.46172449999999998</v>
      </c>
      <c r="F5412" t="s">
        <v>41</v>
      </c>
      <c r="G5412">
        <v>-299.5274</v>
      </c>
      <c r="H5412">
        <v>1.0129709999999901</v>
      </c>
      <c r="I5412">
        <v>-2.1192570000000002</v>
      </c>
      <c r="J5412">
        <v>-299.59280000000001</v>
      </c>
      <c r="K5412">
        <v>1.0672200000000001</v>
      </c>
      <c r="L5412">
        <v>-1.5355219999999901</v>
      </c>
      <c r="M5412">
        <v>0.1188535</v>
      </c>
      <c r="N5412">
        <v>0</v>
      </c>
      <c r="O5412">
        <v>-0.99290959999999995</v>
      </c>
      <c r="P5412">
        <v>5.4221540000000002E-3</v>
      </c>
      <c r="Q5412">
        <v>5.1875299999999999E-2</v>
      </c>
      <c r="R5412">
        <v>-0.9986391</v>
      </c>
      <c r="S5412">
        <v>0.3094788</v>
      </c>
      <c r="T5412">
        <v>-0.19283939999999999</v>
      </c>
      <c r="U5412">
        <v>-3.0119630000000002</v>
      </c>
      <c r="V5412">
        <v>0.1141118</v>
      </c>
      <c r="W5412">
        <v>5.2335489999999998E-2</v>
      </c>
      <c r="X5412">
        <v>0.99208839999999998</v>
      </c>
      <c r="Y5412">
        <v>1.694888E-2</v>
      </c>
      <c r="Z5412">
        <v>6.3046660000000004E-2</v>
      </c>
      <c r="AA5412">
        <v>0.99786660000000005</v>
      </c>
      <c r="AB5412">
        <v>23</v>
      </c>
      <c r="AC5412">
        <v>6.5400000000010894E-2</v>
      </c>
      <c r="AD5412">
        <v>-5.42490000000002E-2</v>
      </c>
      <c r="AE5412">
        <v>-0.583735</v>
      </c>
      <c r="AF5412">
        <v>4.4050954835531597E-3</v>
      </c>
      <c r="AG5412">
        <v>-5.42490000000002E-2</v>
      </c>
      <c r="AH5412">
        <v>0.58240265933813296</v>
      </c>
      <c r="AI5412">
        <v>95.3214175414723</v>
      </c>
      <c r="AJ5412">
        <v>89.566642489306901</v>
      </c>
      <c r="AK5412">
        <v>0.58494035291758495</v>
      </c>
      <c r="AL5412">
        <v>87.000026600017904</v>
      </c>
      <c r="AM5412">
        <v>83.438570488592305</v>
      </c>
      <c r="AN5412">
        <v>0.99999994991366803</v>
      </c>
    </row>
    <row r="5413" spans="1:40" x14ac:dyDescent="0.25">
      <c r="A5413" t="str">
        <f>"20190312151641477"</f>
        <v>20190312151641477</v>
      </c>
      <c r="B5413" t="str">
        <f>"1552375001472813"</f>
        <v>1552375001472813</v>
      </c>
      <c r="C5413" t="s">
        <v>40</v>
      </c>
      <c r="D5413">
        <v>4.8832459999999998</v>
      </c>
      <c r="E5413">
        <v>0.4607773</v>
      </c>
      <c r="F5413" t="s">
        <v>41</v>
      </c>
      <c r="G5413">
        <v>-299.5104</v>
      </c>
      <c r="H5413">
        <v>1.015951</v>
      </c>
      <c r="I5413">
        <v>-2.3257340000000002</v>
      </c>
      <c r="J5413">
        <v>-299.57150000000001</v>
      </c>
      <c r="K5413">
        <v>1.0698840000000001</v>
      </c>
      <c r="L5413">
        <v>-1.833008</v>
      </c>
      <c r="M5413">
        <v>0.1046118</v>
      </c>
      <c r="N5413">
        <v>0</v>
      </c>
      <c r="O5413">
        <v>-0.99451089999999998</v>
      </c>
      <c r="P5413">
        <v>-1.090707E-3</v>
      </c>
      <c r="Q5413">
        <v>5.0812019999999999E-2</v>
      </c>
      <c r="R5413">
        <v>-0.99870760000000003</v>
      </c>
      <c r="S5413">
        <v>0.31478879999999998</v>
      </c>
      <c r="T5413">
        <v>-0.1947092</v>
      </c>
      <c r="U5413">
        <v>-3.0124819999999999</v>
      </c>
      <c r="V5413">
        <v>0.1062954</v>
      </c>
      <c r="W5413">
        <v>5.1393580000000001E-2</v>
      </c>
      <c r="X5413">
        <v>0.99300549999999999</v>
      </c>
      <c r="Y5413">
        <v>8.9971850000000004E-4</v>
      </c>
      <c r="Z5413">
        <v>6.3797439999999997E-2</v>
      </c>
      <c r="AA5413">
        <v>0.99796249999999997</v>
      </c>
      <c r="AB5413">
        <v>23</v>
      </c>
      <c r="AC5413">
        <v>6.1100000000010299E-2</v>
      </c>
      <c r="AD5413">
        <v>-5.3933000000000002E-2</v>
      </c>
      <c r="AE5413">
        <v>-0.492726</v>
      </c>
      <c r="AF5413">
        <v>-9.1121619403322501E-3</v>
      </c>
      <c r="AG5413">
        <v>-5.3933000000000002E-2</v>
      </c>
      <c r="AH5413">
        <v>0.49062503395607698</v>
      </c>
      <c r="AI5413">
        <v>96.272099978046001</v>
      </c>
      <c r="AJ5413">
        <v>91.064006864714401</v>
      </c>
      <c r="AK5413">
        <v>0.493664586463956</v>
      </c>
      <c r="AL5413">
        <v>87.054066855636194</v>
      </c>
      <c r="AM5413">
        <v>83.890089502667195</v>
      </c>
      <c r="AN5413">
        <v>0.999999967578312</v>
      </c>
    </row>
    <row r="5414" spans="1:40" x14ac:dyDescent="0.25">
      <c r="A5414" t="str">
        <f>"20190312151641500"</f>
        <v>20190312151641500</v>
      </c>
      <c r="B5414" t="str">
        <f>"1552375001493309"</f>
        <v>1552375001493309</v>
      </c>
      <c r="C5414" t="s">
        <v>40</v>
      </c>
      <c r="D5414">
        <v>4.8924880000000002</v>
      </c>
      <c r="E5414">
        <v>0.46021230000000002</v>
      </c>
      <c r="F5414" t="s">
        <v>41</v>
      </c>
      <c r="G5414">
        <v>-299.48200000000003</v>
      </c>
      <c r="H5414">
        <v>1.010345</v>
      </c>
      <c r="I5414">
        <v>-2.7240160000000002</v>
      </c>
      <c r="J5414">
        <v>-299.55689999999998</v>
      </c>
      <c r="K5414">
        <v>1.0720700000000001</v>
      </c>
      <c r="L5414">
        <v>-2.0679630000000002</v>
      </c>
      <c r="M5414">
        <v>9.4728900000000005E-2</v>
      </c>
      <c r="N5414">
        <v>0</v>
      </c>
      <c r="O5414">
        <v>-0.99549940000000003</v>
      </c>
      <c r="P5414">
        <v>-2.9296119999999998E-3</v>
      </c>
      <c r="Q5414">
        <v>4.8820040000000002E-2</v>
      </c>
      <c r="R5414">
        <v>-0.99880329999999995</v>
      </c>
      <c r="S5414">
        <v>0.30346679999999998</v>
      </c>
      <c r="T5414">
        <v>-0.20100219999999999</v>
      </c>
      <c r="U5414">
        <v>-3.0144350000000002</v>
      </c>
      <c r="V5414">
        <v>9.8255690000000007E-2</v>
      </c>
      <c r="W5414">
        <v>5.0073479999999997E-2</v>
      </c>
      <c r="X5414">
        <v>0.99390069999999997</v>
      </c>
      <c r="Y5414">
        <v>-5.2428070000000004E-3</v>
      </c>
      <c r="Z5414">
        <v>6.5918470000000007E-2</v>
      </c>
      <c r="AA5414">
        <v>0.99781129999999996</v>
      </c>
      <c r="AB5414">
        <v>22</v>
      </c>
      <c r="AC5414">
        <v>7.4899999999956807E-2</v>
      </c>
      <c r="AD5414">
        <v>-6.1725000000000002E-2</v>
      </c>
      <c r="AE5414">
        <v>-0.656052999999999</v>
      </c>
      <c r="AF5414">
        <v>-1.2308220586018499E-2</v>
      </c>
      <c r="AG5414">
        <v>-6.1725000000000002E-2</v>
      </c>
      <c r="AH5414">
        <v>0.65447905296867204</v>
      </c>
      <c r="AI5414">
        <v>95.386776350142497</v>
      </c>
      <c r="AJ5414">
        <v>91.077385089832205</v>
      </c>
      <c r="AK5414">
        <v>0.657498516115256</v>
      </c>
      <c r="AL5414">
        <v>87.129800837836299</v>
      </c>
      <c r="AM5414">
        <v>84.354160730859704</v>
      </c>
      <c r="AN5414">
        <v>1.0000000677385801</v>
      </c>
    </row>
    <row r="5415" spans="1:40" x14ac:dyDescent="0.25">
      <c r="A5415" t="str">
        <f>"20190312151641520"</f>
        <v>20190312151641520</v>
      </c>
      <c r="B5415" t="str">
        <f>"1552375001513805"</f>
        <v>1552375001513805</v>
      </c>
      <c r="C5415" t="s">
        <v>40</v>
      </c>
      <c r="D5415">
        <v>4.8537299999999997</v>
      </c>
      <c r="E5415">
        <v>0.45998080000000002</v>
      </c>
      <c r="F5415" t="s">
        <v>41</v>
      </c>
      <c r="G5415">
        <v>-299.4708</v>
      </c>
      <c r="H5415">
        <v>1.0117989999999999</v>
      </c>
      <c r="I5415">
        <v>-2.926142</v>
      </c>
      <c r="J5415">
        <v>-299.5462</v>
      </c>
      <c r="K5415">
        <v>1.074087</v>
      </c>
      <c r="L5415">
        <v>-2.268799</v>
      </c>
      <c r="M5415">
        <v>8.7290859999999998E-2</v>
      </c>
      <c r="N5415">
        <v>0</v>
      </c>
      <c r="O5415">
        <v>-0.99617840000000002</v>
      </c>
      <c r="P5415">
        <v>-2.127341E-3</v>
      </c>
      <c r="Q5415">
        <v>4.7011369999999997E-2</v>
      </c>
      <c r="R5415">
        <v>-0.99889209999999995</v>
      </c>
      <c r="S5415">
        <v>0.30264279999999999</v>
      </c>
      <c r="T5415">
        <v>-0.21147730000000001</v>
      </c>
      <c r="U5415">
        <v>-3.0148320000000002</v>
      </c>
      <c r="V5415">
        <v>9.002338E-2</v>
      </c>
      <c r="W5415">
        <v>4.868567E-2</v>
      </c>
      <c r="X5415">
        <v>0.99474899999999999</v>
      </c>
      <c r="Y5415">
        <v>-1.240494E-2</v>
      </c>
      <c r="Z5415">
        <v>6.9398100000000004E-2</v>
      </c>
      <c r="AA5415">
        <v>0.99751190000000001</v>
      </c>
      <c r="AB5415">
        <v>22</v>
      </c>
      <c r="AC5415">
        <v>7.5400000000001896E-2</v>
      </c>
      <c r="AD5415">
        <v>-6.22880000000001E-2</v>
      </c>
      <c r="AE5415">
        <v>-0.65734300000000001</v>
      </c>
      <c r="AF5415">
        <v>-1.7576129037121399E-2</v>
      </c>
      <c r="AG5415">
        <v>-6.22880000000001E-2</v>
      </c>
      <c r="AH5415">
        <v>0.65560538129919099</v>
      </c>
      <c r="AI5415">
        <v>95.425350218233902</v>
      </c>
      <c r="AJ5415">
        <v>91.535675097097098</v>
      </c>
      <c r="AK5415">
        <v>0.658792176064947</v>
      </c>
      <c r="AL5415">
        <v>87.209413533013006</v>
      </c>
      <c r="AM5415">
        <v>84.828899246114901</v>
      </c>
      <c r="AN5415">
        <v>1.0000000382054799</v>
      </c>
    </row>
    <row r="5416" spans="1:40" x14ac:dyDescent="0.25">
      <c r="A5416" t="str">
        <f>"20190312151641539"</f>
        <v>20190312151641539</v>
      </c>
      <c r="B5416" t="str">
        <f>"1552375001533325"</f>
        <v>1552375001533325</v>
      </c>
      <c r="C5416" t="s">
        <v>40</v>
      </c>
      <c r="D5416">
        <v>4.8999139999999999</v>
      </c>
      <c r="E5416">
        <v>0.45967560000000002</v>
      </c>
      <c r="F5416" t="s">
        <v>41</v>
      </c>
      <c r="G5416">
        <v>-299.45870000000002</v>
      </c>
      <c r="H5416">
        <v>1.011012</v>
      </c>
      <c r="I5416">
        <v>-3.1296309999999998</v>
      </c>
      <c r="J5416">
        <v>-299.53719999999998</v>
      </c>
      <c r="K5416">
        <v>1.0763290000000001</v>
      </c>
      <c r="L5416">
        <v>-2.463409</v>
      </c>
      <c r="M5416">
        <v>8.0341300000000004E-2</v>
      </c>
      <c r="N5416">
        <v>0</v>
      </c>
      <c r="O5416">
        <v>-0.99676240000000005</v>
      </c>
      <c r="P5416">
        <v>-3.6524760000000001E-4</v>
      </c>
      <c r="Q5416">
        <v>4.5120210000000001E-2</v>
      </c>
      <c r="R5416">
        <v>-0.99898149999999997</v>
      </c>
      <c r="S5416">
        <v>0.30712889999999998</v>
      </c>
      <c r="T5416">
        <v>-0.2201921</v>
      </c>
      <c r="U5416">
        <v>-3.0143430000000002</v>
      </c>
      <c r="V5416">
        <v>8.129277E-2</v>
      </c>
      <c r="W5416">
        <v>4.710868E-2</v>
      </c>
      <c r="X5416">
        <v>0.99557629999999997</v>
      </c>
      <c r="Y5416">
        <v>-2.0842639999999999E-2</v>
      </c>
      <c r="Z5416">
        <v>7.230781E-2</v>
      </c>
      <c r="AA5416">
        <v>0.99716450000000001</v>
      </c>
      <c r="AB5416">
        <v>22</v>
      </c>
      <c r="AC5416">
        <v>7.8499999999962697E-2</v>
      </c>
      <c r="AD5416">
        <v>-6.5317E-2</v>
      </c>
      <c r="AE5416">
        <v>-0.66622199999999998</v>
      </c>
      <c r="AF5416">
        <v>-2.4488668109254399E-2</v>
      </c>
      <c r="AG5416">
        <v>-6.5317E-2</v>
      </c>
      <c r="AH5416">
        <v>0.66407944596209401</v>
      </c>
      <c r="AI5416">
        <v>95.613593801179704</v>
      </c>
      <c r="AJ5416">
        <v>92.111888654235003</v>
      </c>
      <c r="AK5416">
        <v>0.66773311727372597</v>
      </c>
      <c r="AL5416">
        <v>87.299872009282296</v>
      </c>
      <c r="AM5416">
        <v>85.331927621067805</v>
      </c>
      <c r="AN5416">
        <v>0.99999995565365096</v>
      </c>
    </row>
    <row r="5417" spans="1:40" x14ac:dyDescent="0.25">
      <c r="A5417" t="str">
        <f>"20190312151641560"</f>
        <v>20190312151641560</v>
      </c>
      <c r="B5417" t="str">
        <f>"1552375001552845"</f>
        <v>1552375001552845</v>
      </c>
      <c r="C5417" t="s">
        <v>40</v>
      </c>
      <c r="D5417">
        <v>4.8582159999999996</v>
      </c>
      <c r="E5417">
        <v>0.45930579999999999</v>
      </c>
      <c r="F5417" t="s">
        <v>43</v>
      </c>
      <c r="G5417">
        <v>-298.05279999999999</v>
      </c>
      <c r="H5417" s="1">
        <v>-1.939048E-6</v>
      </c>
      <c r="I5417">
        <v>-16.6524</v>
      </c>
      <c r="J5417">
        <v>-299.52850000000001</v>
      </c>
      <c r="K5417">
        <v>1.0791230000000001</v>
      </c>
      <c r="L5417">
        <v>-2.6835019999999998</v>
      </c>
      <c r="M5417">
        <v>7.2543380000000005E-2</v>
      </c>
      <c r="N5417">
        <v>0</v>
      </c>
      <c r="O5417">
        <v>-0.99735980000000002</v>
      </c>
      <c r="P5417">
        <v>7.0532639999999996E-4</v>
      </c>
      <c r="Q5417">
        <v>4.3889650000000002E-2</v>
      </c>
      <c r="R5417">
        <v>-0.99903629999999999</v>
      </c>
      <c r="S5417">
        <v>0.31527709999999998</v>
      </c>
      <c r="T5417">
        <v>-0.2285933</v>
      </c>
      <c r="U5417">
        <v>-3.0134889999999999</v>
      </c>
      <c r="V5417">
        <v>7.2387560000000004E-2</v>
      </c>
      <c r="W5417">
        <v>4.6261789999999997E-2</v>
      </c>
      <c r="X5417">
        <v>0.9963031</v>
      </c>
      <c r="Y5417">
        <v>-3.1335170000000002E-2</v>
      </c>
      <c r="Z5417">
        <v>7.5119130000000006E-2</v>
      </c>
      <c r="AA5417">
        <v>0.99668210000000002</v>
      </c>
      <c r="AB5417">
        <v>22</v>
      </c>
      <c r="AC5417">
        <v>1.47570000000001</v>
      </c>
      <c r="AD5417">
        <v>-1.079124939048</v>
      </c>
      <c r="AE5417">
        <v>-13.968897999999999</v>
      </c>
      <c r="AF5417">
        <v>-0.455765349690402</v>
      </c>
      <c r="AG5417">
        <v>-1.079124939048</v>
      </c>
      <c r="AH5417">
        <v>13.956773132051801</v>
      </c>
      <c r="AI5417">
        <v>94.418914679154199</v>
      </c>
      <c r="AJ5417">
        <v>91.870357451581995</v>
      </c>
      <c r="AK5417">
        <v>14.0058469557402</v>
      </c>
      <c r="AL5417">
        <v>87.3484482906415</v>
      </c>
      <c r="AM5417">
        <v>85.844410602475904</v>
      </c>
      <c r="AN5417">
        <v>0.99999998956318303</v>
      </c>
    </row>
    <row r="5418" spans="1:40" x14ac:dyDescent="0.25">
      <c r="A5418" t="str">
        <f>"20190312151641602"</f>
        <v>20190312151641602</v>
      </c>
      <c r="B5418" t="str">
        <f>"1552375001592862"</f>
        <v>1552375001592862</v>
      </c>
      <c r="C5418" t="s">
        <v>40</v>
      </c>
      <c r="D5418">
        <v>4.8592930000000001</v>
      </c>
      <c r="E5418">
        <v>0.45898810000000001</v>
      </c>
      <c r="F5418" t="s">
        <v>43</v>
      </c>
      <c r="G5418">
        <v>-298.05180000000001</v>
      </c>
      <c r="H5418" s="1">
        <v>-1.9947129999999999E-6</v>
      </c>
      <c r="I5418">
        <v>-16.523009999999999</v>
      </c>
      <c r="J5418">
        <v>-299.51569999999998</v>
      </c>
      <c r="K5418">
        <v>1.084495</v>
      </c>
      <c r="L5418">
        <v>-3.0959780000000001</v>
      </c>
      <c r="M5418">
        <v>5.8387799999999997E-2</v>
      </c>
      <c r="N5418">
        <v>0</v>
      </c>
      <c r="O5418">
        <v>-0.99828519999999998</v>
      </c>
      <c r="P5418">
        <v>6.7203860000000001E-4</v>
      </c>
      <c r="Q5418">
        <v>4.4236530000000003E-2</v>
      </c>
      <c r="R5418">
        <v>-0.9990211</v>
      </c>
      <c r="S5418">
        <v>0.32147219999999999</v>
      </c>
      <c r="T5418">
        <v>-0.23493620000000001</v>
      </c>
      <c r="U5418">
        <v>-3.0129999999999999</v>
      </c>
      <c r="V5418">
        <v>5.8216619999999997E-2</v>
      </c>
      <c r="W5418">
        <v>4.7769310000000002E-2</v>
      </c>
      <c r="X5418">
        <v>0.99716039999999995</v>
      </c>
      <c r="Y5418">
        <v>-4.7535389999999997E-2</v>
      </c>
      <c r="Z5418">
        <v>7.7278120000000006E-2</v>
      </c>
      <c r="AA5418">
        <v>0.99587570000000003</v>
      </c>
      <c r="AB5418">
        <v>22</v>
      </c>
      <c r="AC5418">
        <v>1.46389999999996</v>
      </c>
      <c r="AD5418">
        <v>-1.0844969947130001</v>
      </c>
      <c r="AE5418">
        <v>-13.427032000000001</v>
      </c>
      <c r="AF5418">
        <v>-0.67308135468728203</v>
      </c>
      <c r="AG5418">
        <v>-1.0844969947130001</v>
      </c>
      <c r="AH5418">
        <v>13.4031876640744</v>
      </c>
      <c r="AI5418">
        <v>94.620119846354001</v>
      </c>
      <c r="AJ5418">
        <v>92.874864748562601</v>
      </c>
      <c r="AK5418">
        <v>13.463826046112001</v>
      </c>
      <c r="AL5418">
        <v>87.261978079029603</v>
      </c>
      <c r="AM5418">
        <v>86.658727532651099</v>
      </c>
      <c r="AN5418">
        <v>0.99999997257512896</v>
      </c>
    </row>
    <row r="5419" spans="1:40" x14ac:dyDescent="0.25">
      <c r="A5419" t="str">
        <f>"20190312151641625"</f>
        <v>20190312151641625</v>
      </c>
      <c r="B5419" t="str">
        <f>"1552375001613358"</f>
        <v>1552375001613358</v>
      </c>
      <c r="C5419" t="s">
        <v>40</v>
      </c>
      <c r="D5419">
        <v>4.8480280000000002</v>
      </c>
      <c r="E5419">
        <v>0.45887169999999999</v>
      </c>
      <c r="F5419" t="s">
        <v>43</v>
      </c>
      <c r="G5419">
        <v>-298.02179999999998</v>
      </c>
      <c r="H5419" s="1">
        <v>-1.831924E-6</v>
      </c>
      <c r="I5419">
        <v>-16.914909999999999</v>
      </c>
      <c r="J5419">
        <v>-299.5104</v>
      </c>
      <c r="K5419">
        <v>1.087475</v>
      </c>
      <c r="L5419">
        <v>-3.3376769999999998</v>
      </c>
      <c r="M5419">
        <v>5.0748260000000003E-2</v>
      </c>
      <c r="N5419">
        <v>0</v>
      </c>
      <c r="O5419">
        <v>-0.998699</v>
      </c>
      <c r="P5419">
        <v>3.3974530000000001E-4</v>
      </c>
      <c r="Q5419">
        <v>4.3839099999999999E-2</v>
      </c>
      <c r="R5419">
        <v>-0.99903889999999995</v>
      </c>
      <c r="S5419">
        <v>0.3257446</v>
      </c>
      <c r="T5419">
        <v>-0.23647180000000001</v>
      </c>
      <c r="U5419">
        <v>-3.0131839999999999</v>
      </c>
      <c r="V5419">
        <v>5.0885399999999997E-2</v>
      </c>
      <c r="W5419">
        <v>4.8298929999999997E-2</v>
      </c>
      <c r="X5419">
        <v>0.99753590000000003</v>
      </c>
      <c r="Y5419">
        <v>-5.656075E-2</v>
      </c>
      <c r="Z5419">
        <v>7.7799980000000005E-2</v>
      </c>
      <c r="AA5419">
        <v>0.99536329999999995</v>
      </c>
      <c r="AB5419">
        <v>23</v>
      </c>
      <c r="AC5419">
        <v>1.4886000000000099</v>
      </c>
      <c r="AD5419">
        <v>-1.087476831924</v>
      </c>
      <c r="AE5419">
        <v>-13.5772329999999</v>
      </c>
      <c r="AF5419">
        <v>-0.79262776864707896</v>
      </c>
      <c r="AG5419">
        <v>-1.087476831924</v>
      </c>
      <c r="AH5419">
        <v>13.5493917500477</v>
      </c>
      <c r="AI5419">
        <v>94.580936045334198</v>
      </c>
      <c r="AJ5419">
        <v>93.347938273581207</v>
      </c>
      <c r="AK5419">
        <v>13.616052344048301</v>
      </c>
      <c r="AL5419">
        <v>87.231598070798</v>
      </c>
      <c r="AM5419">
        <v>87.079810616341106</v>
      </c>
      <c r="AN5419">
        <v>0.99999999118055705</v>
      </c>
    </row>
    <row r="5420" spans="1:40" x14ac:dyDescent="0.25">
      <c r="A5420" t="str">
        <f>"20190312151641649"</f>
        <v>20190312151641649</v>
      </c>
      <c r="B5420" t="str">
        <f>"1552375001643614"</f>
        <v>1552375001643614</v>
      </c>
      <c r="C5420" t="s">
        <v>40</v>
      </c>
      <c r="D5420">
        <v>5.0215560000000004</v>
      </c>
      <c r="E5420">
        <v>0.48333409999999899</v>
      </c>
      <c r="F5420" t="s">
        <v>43</v>
      </c>
      <c r="G5420">
        <v>-298.0401</v>
      </c>
      <c r="H5420" s="1">
        <v>-1.8137300000000001E-6</v>
      </c>
      <c r="I5420">
        <v>-16.949770000000001</v>
      </c>
      <c r="J5420">
        <v>-299.50659999999999</v>
      </c>
      <c r="K5420">
        <v>1.0902829999999999</v>
      </c>
      <c r="L5420">
        <v>-3.5845340000000001</v>
      </c>
      <c r="M5420">
        <v>4.3513120000000002E-2</v>
      </c>
      <c r="N5420">
        <v>0</v>
      </c>
      <c r="O5420">
        <v>-0.99903549999999997</v>
      </c>
      <c r="P5420" s="1">
        <v>4.9913870000000001E-5</v>
      </c>
      <c r="Q5420">
        <v>4.3155480000000003E-2</v>
      </c>
      <c r="R5420">
        <v>-0.99906830000000002</v>
      </c>
      <c r="S5420">
        <v>0.32550050000000003</v>
      </c>
      <c r="T5420">
        <v>-0.24073700000000001</v>
      </c>
      <c r="U5420">
        <v>-3.0133359999999998</v>
      </c>
      <c r="V5420">
        <v>4.3917329999999997E-2</v>
      </c>
      <c r="W5420">
        <v>4.8593280000000003E-2</v>
      </c>
      <c r="X5420">
        <v>0.99785270000000004</v>
      </c>
      <c r="Y5420">
        <v>-6.3693639999999996E-2</v>
      </c>
      <c r="Z5420">
        <v>7.9214329999999999E-2</v>
      </c>
      <c r="AA5420">
        <v>0.9948207</v>
      </c>
      <c r="AB5420">
        <v>22</v>
      </c>
      <c r="AC5420">
        <v>1.4664999999999899</v>
      </c>
      <c r="AD5420">
        <v>-1.0902848137300001</v>
      </c>
      <c r="AE5420">
        <v>-13.365235999999999</v>
      </c>
      <c r="AF5420">
        <v>-0.87776600716755404</v>
      </c>
      <c r="AG5420">
        <v>-1.0902848137300001</v>
      </c>
      <c r="AH5420">
        <v>13.3287465984563</v>
      </c>
      <c r="AI5420">
        <v>94.666291731616994</v>
      </c>
      <c r="AJ5420">
        <v>93.767779042132005</v>
      </c>
      <c r="AK5420">
        <v>13.402040144106801</v>
      </c>
      <c r="AL5420">
        <v>87.214713325436506</v>
      </c>
      <c r="AM5420">
        <v>87.479933831396394</v>
      </c>
      <c r="AN5420">
        <v>1.0000000248163801</v>
      </c>
    </row>
    <row r="5421" spans="1:40" x14ac:dyDescent="0.25">
      <c r="A5421" t="str">
        <f>"20190312151641679"</f>
        <v>20190312151641679</v>
      </c>
      <c r="B5421" t="str">
        <f>"1552375001672894"</f>
        <v>1552375001672894</v>
      </c>
      <c r="C5421" t="s">
        <v>40</v>
      </c>
      <c r="D5421">
        <v>4.9340380000000001</v>
      </c>
      <c r="E5421">
        <v>0.49900410000000001</v>
      </c>
      <c r="F5421" t="s">
        <v>43</v>
      </c>
      <c r="G5421">
        <v>-298.65519999999998</v>
      </c>
      <c r="H5421" s="1">
        <v>-3.264377E-6</v>
      </c>
      <c r="I5421">
        <v>-23.31392</v>
      </c>
      <c r="J5421">
        <v>-299.50380000000001</v>
      </c>
      <c r="K5421">
        <v>1.09341</v>
      </c>
      <c r="L5421">
        <v>-3.885345</v>
      </c>
      <c r="M5421">
        <v>3.5478870000000003E-2</v>
      </c>
      <c r="N5421">
        <v>0</v>
      </c>
      <c r="O5421">
        <v>-0.99934690000000004</v>
      </c>
      <c r="P5421">
        <v>-2.359618E-3</v>
      </c>
      <c r="Q5421">
        <v>4.169341E-2</v>
      </c>
      <c r="R5421">
        <v>-0.99912800000000002</v>
      </c>
      <c r="S5421">
        <v>0.12988279999999999</v>
      </c>
      <c r="T5421">
        <v>-0.1663376</v>
      </c>
      <c r="U5421">
        <v>-3.009979</v>
      </c>
      <c r="V5421">
        <v>3.8249779999999997E-2</v>
      </c>
      <c r="W5421">
        <v>4.8217019999999999E-2</v>
      </c>
      <c r="X5421">
        <v>0.9981042</v>
      </c>
      <c r="Y5421">
        <v>-7.5712259999999899E-3</v>
      </c>
      <c r="Z5421">
        <v>5.5099469999999998E-2</v>
      </c>
      <c r="AA5421">
        <v>0.99845220000000001</v>
      </c>
      <c r="AB5421">
        <v>22</v>
      </c>
      <c r="AC5421">
        <v>0.84860000000003299</v>
      </c>
      <c r="AD5421">
        <v>-1.093413264377</v>
      </c>
      <c r="AE5421">
        <v>-19.428574999999999</v>
      </c>
      <c r="AF5421">
        <v>-0.15824537163357799</v>
      </c>
      <c r="AG5421">
        <v>-1.093413264377</v>
      </c>
      <c r="AH5421">
        <v>19.385169395272101</v>
      </c>
      <c r="AI5421">
        <v>93.228219064331</v>
      </c>
      <c r="AJ5421">
        <v>90.4677075731054</v>
      </c>
      <c r="AK5421">
        <v>19.416626551688999</v>
      </c>
      <c r="AL5421">
        <v>87.2362965572121</v>
      </c>
      <c r="AM5421">
        <v>87.805360340119904</v>
      </c>
      <c r="AN5421">
        <v>0.99999996037268302</v>
      </c>
    </row>
    <row r="5422" spans="1:40" x14ac:dyDescent="0.25">
      <c r="A5422" t="str">
        <f>"20190312151641708"</f>
        <v>20190312151641708</v>
      </c>
      <c r="B5422" t="str">
        <f>"1552375001703149"</f>
        <v>1552375001703149</v>
      </c>
      <c r="C5422" t="s">
        <v>40</v>
      </c>
      <c r="D5422">
        <v>4.9543160000000004</v>
      </c>
      <c r="E5422">
        <v>0.5027857</v>
      </c>
      <c r="F5422" t="s">
        <v>41</v>
      </c>
      <c r="G5422">
        <v>-299.50479999999999</v>
      </c>
      <c r="H5422">
        <v>1.0317019999999999</v>
      </c>
      <c r="I5422">
        <v>-4.7570430000000004</v>
      </c>
      <c r="J5422">
        <v>-299.5027</v>
      </c>
      <c r="K5422">
        <v>1.0961000000000001</v>
      </c>
      <c r="L5422">
        <v>-4.1734309999999999</v>
      </c>
      <c r="M5422">
        <v>2.8402730000000001E-2</v>
      </c>
      <c r="N5422">
        <v>0</v>
      </c>
      <c r="O5422">
        <v>-0.99956670000000003</v>
      </c>
      <c r="P5422">
        <v>-4.1697280000000001E-3</v>
      </c>
      <c r="Q5422">
        <v>3.9653229999999998E-2</v>
      </c>
      <c r="R5422">
        <v>-0.99920500000000001</v>
      </c>
      <c r="S5422">
        <v>-2.3498540000000002E-3</v>
      </c>
      <c r="T5422">
        <v>-0.21258769999999999</v>
      </c>
      <c r="U5422">
        <v>-3.0114749999999999</v>
      </c>
      <c r="V5422">
        <v>3.2930889999999997E-2</v>
      </c>
      <c r="W5422">
        <v>4.7104399999999998E-2</v>
      </c>
      <c r="X5422">
        <v>0.99834699999999998</v>
      </c>
      <c r="Y5422">
        <v>2.918161E-2</v>
      </c>
      <c r="Z5422">
        <v>7.0359740000000004E-2</v>
      </c>
      <c r="AA5422">
        <v>0.99709479999999995</v>
      </c>
      <c r="AB5422">
        <v>22</v>
      </c>
      <c r="AC5422">
        <v>-2.0999999999844398E-3</v>
      </c>
      <c r="AD5422">
        <v>-6.43979999999999E-2</v>
      </c>
      <c r="AE5422">
        <v>-0.58361200000000002</v>
      </c>
      <c r="AF5422">
        <v>1.84511673774992E-2</v>
      </c>
      <c r="AG5422">
        <v>-6.43979999999999E-2</v>
      </c>
      <c r="AH5422">
        <v>0.57630008189132798</v>
      </c>
      <c r="AI5422">
        <v>96.372762882130701</v>
      </c>
      <c r="AJ5422">
        <v>88.166210538756999</v>
      </c>
      <c r="AK5422">
        <v>0.58018043087434801</v>
      </c>
      <c r="AL5422">
        <v>87.300117628156698</v>
      </c>
      <c r="AM5422">
        <v>88.110759930652904</v>
      </c>
      <c r="AN5422">
        <v>1.00000000021227</v>
      </c>
    </row>
    <row r="5423" spans="1:40" x14ac:dyDescent="0.25">
      <c r="A5423" t="str">
        <f>"20190312151641737"</f>
        <v>20190312151641737</v>
      </c>
      <c r="B5423" t="str">
        <f>"1552375001733405"</f>
        <v>1552375001733405</v>
      </c>
      <c r="C5423" t="s">
        <v>40</v>
      </c>
      <c r="D5423">
        <v>5.1386379999999896</v>
      </c>
      <c r="E5423">
        <v>0.50462479999999998</v>
      </c>
      <c r="F5423" t="s">
        <v>41</v>
      </c>
      <c r="G5423">
        <v>-299.51260000000002</v>
      </c>
      <c r="H5423">
        <v>1.0329459999999999</v>
      </c>
      <c r="I5423">
        <v>-4.9592960000000001</v>
      </c>
      <c r="J5423">
        <v>-299.5027</v>
      </c>
      <c r="K5423">
        <v>1.0984529999999999</v>
      </c>
      <c r="L5423">
        <v>-4.4641719999999996</v>
      </c>
      <c r="M5423">
        <v>2.1821730000000001E-2</v>
      </c>
      <c r="N5423">
        <v>0</v>
      </c>
      <c r="O5423">
        <v>-0.999726</v>
      </c>
      <c r="P5423">
        <v>2.3203880000000001E-3</v>
      </c>
      <c r="Q5423">
        <v>3.5630620000000002E-2</v>
      </c>
      <c r="R5423">
        <v>-0.99936250000000004</v>
      </c>
      <c r="S5423">
        <v>-3.7506100000000001E-2</v>
      </c>
      <c r="T5423">
        <v>-0.2417299</v>
      </c>
      <c r="U5423">
        <v>-3.0118100000000001</v>
      </c>
      <c r="V5423">
        <v>1.9798880000000001E-2</v>
      </c>
      <c r="W5423">
        <v>4.3973400000000003E-2</v>
      </c>
      <c r="X5423">
        <v>0.99883650000000002</v>
      </c>
      <c r="Y5423">
        <v>3.4230009999999998E-2</v>
      </c>
      <c r="Z5423">
        <v>7.9948309999999995E-2</v>
      </c>
      <c r="AA5423">
        <v>0.99621110000000002</v>
      </c>
      <c r="AB5423">
        <v>22</v>
      </c>
      <c r="AC5423">
        <v>-9.9000000000160002E-3</v>
      </c>
      <c r="AD5423">
        <v>-6.5507000000000204E-2</v>
      </c>
      <c r="AE5423">
        <v>-0.49512399999999901</v>
      </c>
      <c r="AF5423">
        <v>2.0346481415794301E-2</v>
      </c>
      <c r="AG5423">
        <v>-6.5507000000000204E-2</v>
      </c>
      <c r="AH5423">
        <v>0.48628138191728398</v>
      </c>
      <c r="AI5423">
        <v>97.6655057378197</v>
      </c>
      <c r="AJ5423">
        <v>87.604086892596797</v>
      </c>
      <c r="AK5423">
        <v>0.49109543752145202</v>
      </c>
      <c r="AL5423">
        <v>87.479697100648096</v>
      </c>
      <c r="AM5423">
        <v>88.8644350432061</v>
      </c>
      <c r="AN5423">
        <v>1.0000000046445301</v>
      </c>
    </row>
    <row r="5424" spans="1:40" x14ac:dyDescent="0.25">
      <c r="A5424" t="str">
        <f>"20190312151641764"</f>
        <v>20190312151641764</v>
      </c>
      <c r="B5424" t="str">
        <f>"1552375001752926"</f>
        <v>1552375001752926</v>
      </c>
      <c r="C5424" t="s">
        <v>40</v>
      </c>
      <c r="D5424">
        <v>4.9926680000000001</v>
      </c>
      <c r="E5424">
        <v>0.50516669999999997</v>
      </c>
      <c r="F5424" t="s">
        <v>41</v>
      </c>
      <c r="G5424">
        <v>-299.51280000000003</v>
      </c>
      <c r="H5424">
        <v>1.021323</v>
      </c>
      <c r="I5424">
        <v>-5.3563869999999998</v>
      </c>
      <c r="J5424">
        <v>-299.50369999999998</v>
      </c>
      <c r="K5424">
        <v>1.100376</v>
      </c>
      <c r="L5424">
        <v>-4.7400510000000002</v>
      </c>
      <c r="M5424">
        <v>1.6242240000000002E-2</v>
      </c>
      <c r="N5424">
        <v>0</v>
      </c>
      <c r="O5424">
        <v>-0.9998264</v>
      </c>
      <c r="P5424">
        <v>2.9872430000000001E-3</v>
      </c>
      <c r="Q5424">
        <v>3.5531449999999999E-2</v>
      </c>
      <c r="R5424">
        <v>-0.99936409999999998</v>
      </c>
      <c r="S5424">
        <v>-3.3782960000000001E-2</v>
      </c>
      <c r="T5424">
        <v>-0.2602006</v>
      </c>
      <c r="U5424">
        <v>-3.0112610000000002</v>
      </c>
      <c r="V5424">
        <v>1.3519740000000001E-2</v>
      </c>
      <c r="W5424">
        <v>4.4570289999999999E-2</v>
      </c>
      <c r="X5424">
        <v>0.99891479999999999</v>
      </c>
      <c r="Y5424">
        <v>2.7416949999999999E-2</v>
      </c>
      <c r="Z5424">
        <v>8.6052500000000004E-2</v>
      </c>
      <c r="AA5424">
        <v>0.9959133</v>
      </c>
      <c r="AB5424">
        <v>22</v>
      </c>
      <c r="AC5424">
        <v>-9.1000000000462898E-3</v>
      </c>
      <c r="AD5424">
        <v>-7.9052999999999998E-2</v>
      </c>
      <c r="AE5424">
        <v>-0.61633599999999999</v>
      </c>
      <c r="AF5424">
        <v>1.88006650051151E-2</v>
      </c>
      <c r="AG5424">
        <v>-7.9052999999999998E-2</v>
      </c>
      <c r="AH5424">
        <v>0.60613727402925699</v>
      </c>
      <c r="AI5424">
        <v>97.4270968506423</v>
      </c>
      <c r="AJ5424">
        <v>88.223416448474595</v>
      </c>
      <c r="AK5424">
        <v>0.61155967556834001</v>
      </c>
      <c r="AL5424">
        <v>87.445464337755197</v>
      </c>
      <c r="AM5424">
        <v>89.224581767554398</v>
      </c>
      <c r="AN5424">
        <v>1.0000000358896901</v>
      </c>
    </row>
    <row r="5425" spans="1:40" x14ac:dyDescent="0.25">
      <c r="A5425" t="str">
        <f>"20190312151641786"</f>
        <v>20190312151641786</v>
      </c>
      <c r="B5425" t="str">
        <f>"1552375001782704"</f>
        <v>1552375001782704</v>
      </c>
      <c r="C5425" t="s">
        <v>40</v>
      </c>
      <c r="D5425">
        <v>4.9870960000000002</v>
      </c>
      <c r="E5425">
        <v>0.50557770000000002</v>
      </c>
      <c r="F5425" t="s">
        <v>41</v>
      </c>
      <c r="G5425">
        <v>-299.5138</v>
      </c>
      <c r="H5425">
        <v>1.029382</v>
      </c>
      <c r="I5425">
        <v>-5.5612550000000001</v>
      </c>
      <c r="J5425">
        <v>-299.5052</v>
      </c>
      <c r="K5425">
        <v>1.1017349999999999</v>
      </c>
      <c r="L5425">
        <v>-4.9686890000000004</v>
      </c>
      <c r="M5425">
        <v>1.2032289999999999E-2</v>
      </c>
      <c r="N5425">
        <v>0</v>
      </c>
      <c r="O5425">
        <v>-0.99988160000000004</v>
      </c>
      <c r="P5425">
        <v>4.290121E-3</v>
      </c>
      <c r="Q5425">
        <v>3.5071980000000003E-2</v>
      </c>
      <c r="R5425">
        <v>-0.99937549999999997</v>
      </c>
      <c r="S5425">
        <v>-3.6315920000000002E-2</v>
      </c>
      <c r="T5425">
        <v>-0.25996399999999997</v>
      </c>
      <c r="U5425">
        <v>-3.0112610000000002</v>
      </c>
      <c r="V5425">
        <v>7.9818259999999992E-3</v>
      </c>
      <c r="W5425">
        <v>4.4623160000000002E-2</v>
      </c>
      <c r="X5425">
        <v>0.99897199999999997</v>
      </c>
      <c r="Y5425">
        <v>2.404558E-2</v>
      </c>
      <c r="Z5425">
        <v>8.5985800000000001E-2</v>
      </c>
      <c r="AA5425">
        <v>0.99600610000000001</v>
      </c>
      <c r="AB5425">
        <v>22</v>
      </c>
      <c r="AC5425">
        <v>-8.6000000000012698E-3</v>
      </c>
      <c r="AD5425">
        <v>-7.2353000000000098E-2</v>
      </c>
      <c r="AE5425">
        <v>-0.59256599999999904</v>
      </c>
      <c r="AF5425">
        <v>1.5498615897191601E-2</v>
      </c>
      <c r="AG5425">
        <v>-7.2353000000000098E-2</v>
      </c>
      <c r="AH5425">
        <v>0.58371896207803797</v>
      </c>
      <c r="AI5425">
        <v>97.063409521408602</v>
      </c>
      <c r="AJ5425">
        <v>88.479068268986694</v>
      </c>
      <c r="AK5425">
        <v>0.58839016850487103</v>
      </c>
      <c r="AL5425">
        <v>87.442431991990006</v>
      </c>
      <c r="AM5425">
        <v>89.542214185188698</v>
      </c>
      <c r="AN5425">
        <v>0.99999999636933901</v>
      </c>
    </row>
    <row r="5426" spans="1:40" x14ac:dyDescent="0.25">
      <c r="A5426" t="str">
        <f>"20190312151641810"</f>
        <v>20190312151641810</v>
      </c>
      <c r="B5426" t="str">
        <f>"1552375001803199"</f>
        <v>1552375001803199</v>
      </c>
      <c r="C5426" t="s">
        <v>40</v>
      </c>
      <c r="D5426">
        <v>4.9370779999999996</v>
      </c>
      <c r="E5426">
        <v>0.50580509999999901</v>
      </c>
      <c r="F5426" t="s">
        <v>41</v>
      </c>
      <c r="G5426">
        <v>-299.5147</v>
      </c>
      <c r="H5426">
        <v>1.030815</v>
      </c>
      <c r="I5426">
        <v>-5.7627079999999999</v>
      </c>
      <c r="J5426">
        <v>-299.50720000000001</v>
      </c>
      <c r="K5426">
        <v>1.1029659999999999</v>
      </c>
      <c r="L5426">
        <v>-5.2064820000000003</v>
      </c>
      <c r="M5426">
        <v>8.0638979999999999E-3</v>
      </c>
      <c r="N5426">
        <v>0</v>
      </c>
      <c r="O5426">
        <v>-0.99991719999999895</v>
      </c>
      <c r="P5426">
        <v>6.7141299999999996E-3</v>
      </c>
      <c r="Q5426">
        <v>3.2844669999999999E-2</v>
      </c>
      <c r="R5426">
        <v>-0.99943800000000005</v>
      </c>
      <c r="S5426">
        <v>-3.5430910000000003E-2</v>
      </c>
      <c r="T5426">
        <v>-0.2687657</v>
      </c>
      <c r="U5426">
        <v>-3.011444</v>
      </c>
      <c r="V5426">
        <v>1.557066E-3</v>
      </c>
      <c r="W5426">
        <v>4.2871029999999997E-2</v>
      </c>
      <c r="X5426">
        <v>0.99907939999999995</v>
      </c>
      <c r="Y5426">
        <v>1.9781409999999999E-2</v>
      </c>
      <c r="Z5426">
        <v>8.8878699999999894E-2</v>
      </c>
      <c r="AA5426">
        <v>0.99584600000000001</v>
      </c>
      <c r="AB5426">
        <v>22</v>
      </c>
      <c r="AC5426">
        <v>-7.4999999999931797E-3</v>
      </c>
      <c r="AD5426">
        <v>-7.2150999999999799E-2</v>
      </c>
      <c r="AE5426">
        <v>-0.556225999999999</v>
      </c>
      <c r="AF5426">
        <v>1.1787038181489899E-2</v>
      </c>
      <c r="AG5426">
        <v>-7.2150999999999799E-2</v>
      </c>
      <c r="AH5426">
        <v>0.54694616112321304</v>
      </c>
      <c r="AI5426">
        <v>97.5131204993788</v>
      </c>
      <c r="AJ5426">
        <v>88.765430553614806</v>
      </c>
      <c r="AK5426">
        <v>0.55181047854993803</v>
      </c>
      <c r="AL5426">
        <v>87.542917866299305</v>
      </c>
      <c r="AM5426">
        <v>89.910704556622207</v>
      </c>
      <c r="AN5426">
        <v>0.99999999858607402</v>
      </c>
    </row>
    <row r="5427" spans="1:40" x14ac:dyDescent="0.25">
      <c r="A5427" t="str">
        <f>"20190312151641832"</f>
        <v>20190312151641832</v>
      </c>
      <c r="B5427" t="str">
        <f>"1552375001822720"</f>
        <v>1552375001822720</v>
      </c>
      <c r="C5427" t="s">
        <v>40</v>
      </c>
      <c r="D5427">
        <v>5.0925659999999997</v>
      </c>
      <c r="E5427">
        <v>0.50608409999999904</v>
      </c>
      <c r="F5427" t="s">
        <v>41</v>
      </c>
      <c r="G5427">
        <v>-299.51490000000001</v>
      </c>
      <c r="H5427">
        <v>1.0339389999999999</v>
      </c>
      <c r="I5427">
        <v>-5.9649470000000004</v>
      </c>
      <c r="J5427">
        <v>-299.50959999999998</v>
      </c>
      <c r="K5427">
        <v>1.1039840000000001</v>
      </c>
      <c r="L5427">
        <v>-5.4308779999999999</v>
      </c>
      <c r="M5427">
        <v>4.7095799999999997E-3</v>
      </c>
      <c r="N5427">
        <v>0</v>
      </c>
      <c r="O5427">
        <v>-0.99993480000000001</v>
      </c>
      <c r="P5427">
        <v>9.8153359999999992E-3</v>
      </c>
      <c r="Q5427">
        <v>3.1698219999999999E-2</v>
      </c>
      <c r="R5427">
        <v>-0.99944929999999998</v>
      </c>
      <c r="S5427">
        <v>-2.9541020000000001E-2</v>
      </c>
      <c r="T5427">
        <v>-0.27362789999999998</v>
      </c>
      <c r="U5427">
        <v>-3.0108640000000002</v>
      </c>
      <c r="V5427">
        <v>-4.9235449999999997E-3</v>
      </c>
      <c r="W5427">
        <v>4.2119259999999999E-2</v>
      </c>
      <c r="X5427">
        <v>0.9991004</v>
      </c>
      <c r="Y5427">
        <v>1.448024E-2</v>
      </c>
      <c r="Z5427">
        <v>9.0498770000000006E-2</v>
      </c>
      <c r="AA5427">
        <v>0.99579130000000005</v>
      </c>
      <c r="AB5427">
        <v>22</v>
      </c>
      <c r="AC5427">
        <v>-5.3000000000338297E-3</v>
      </c>
      <c r="AD5427">
        <v>-7.0045000000000093E-2</v>
      </c>
      <c r="AE5427">
        <v>-0.53406900000000002</v>
      </c>
      <c r="AF5427">
        <v>7.6831710135536503E-3</v>
      </c>
      <c r="AG5427">
        <v>-7.0045000000000093E-2</v>
      </c>
      <c r="AH5427">
        <v>0.52500821579745605</v>
      </c>
      <c r="AI5427">
        <v>97.598546944578899</v>
      </c>
      <c r="AJ5427">
        <v>89.161571501106593</v>
      </c>
      <c r="AK5427">
        <v>0.52971592367669296</v>
      </c>
      <c r="AL5427">
        <v>87.586029921618703</v>
      </c>
      <c r="AM5427">
        <v>90.282350067313303</v>
      </c>
      <c r="AN5427">
        <v>0.99999994131923498</v>
      </c>
    </row>
    <row r="5428" spans="1:40" x14ac:dyDescent="0.25">
      <c r="A5428" t="str">
        <f>"20190312151641872"</f>
        <v>20190312151641872</v>
      </c>
      <c r="B5428" t="str">
        <f>"1552375001863245"</f>
        <v>1552375001863245</v>
      </c>
      <c r="C5428" t="s">
        <v>40</v>
      </c>
      <c r="D5428">
        <v>5.1696600000000004</v>
      </c>
      <c r="E5428">
        <v>0.50638570000000005</v>
      </c>
      <c r="F5428" t="s">
        <v>41</v>
      </c>
      <c r="G5428">
        <v>-299.51519999999999</v>
      </c>
      <c r="H5428">
        <v>1.0372300000000001</v>
      </c>
      <c r="I5428">
        <v>-6.1684700000000001</v>
      </c>
      <c r="J5428">
        <v>-299.51440000000002</v>
      </c>
      <c r="K5428">
        <v>1.1054660000000001</v>
      </c>
      <c r="L5428">
        <v>-5.8179319999999999</v>
      </c>
      <c r="M5428">
        <v>-1.9298930000000001E-4</v>
      </c>
      <c r="N5428">
        <v>0</v>
      </c>
      <c r="O5428">
        <v>-0.9999403</v>
      </c>
      <c r="P5428">
        <v>1.4482790000000001E-2</v>
      </c>
      <c r="Q5428">
        <v>3.1695429999999997E-2</v>
      </c>
      <c r="R5428">
        <v>-0.99939270000000002</v>
      </c>
      <c r="S5428">
        <v>-2.267456E-2</v>
      </c>
      <c r="T5428">
        <v>-0.272391099999999</v>
      </c>
      <c r="U5428">
        <v>-3.010529</v>
      </c>
      <c r="V5428">
        <v>-1.453055E-2</v>
      </c>
      <c r="W5428">
        <v>4.267381E-2</v>
      </c>
      <c r="X5428">
        <v>0.99898339999999997</v>
      </c>
      <c r="Y5428">
        <v>7.3079069999999998E-3</v>
      </c>
      <c r="Z5428">
        <v>9.0108919999999995E-2</v>
      </c>
      <c r="AA5428">
        <v>0.99590509999999999</v>
      </c>
      <c r="AB5428">
        <v>22</v>
      </c>
      <c r="AC5428">
        <v>-7.9999999996971296E-4</v>
      </c>
      <c r="AD5428">
        <v>-6.8236000000000102E-2</v>
      </c>
      <c r="AE5428">
        <v>-0.35053800000000002</v>
      </c>
      <c r="AF5428">
        <v>7.0560850811417903E-4</v>
      </c>
      <c r="AG5428">
        <v>-6.8236000000000102E-2</v>
      </c>
      <c r="AH5428">
        <v>0.33774028320490301</v>
      </c>
      <c r="AI5428">
        <v>101.422081237426</v>
      </c>
      <c r="AJ5428">
        <v>89.880297575700098</v>
      </c>
      <c r="AK5428">
        <v>0.34456515853854802</v>
      </c>
      <c r="AL5428">
        <v>87.554228123959405</v>
      </c>
      <c r="AM5428">
        <v>90.833327644782401</v>
      </c>
      <c r="AN5428">
        <v>1.00000001220938</v>
      </c>
    </row>
    <row r="5429" spans="1:40" x14ac:dyDescent="0.25">
      <c r="A5429" t="str">
        <f>"20190312151641904"</f>
        <v>20190312151641904</v>
      </c>
      <c r="B5429" t="str">
        <f>"1552375001893502"</f>
        <v>1552375001893502</v>
      </c>
      <c r="C5429" t="s">
        <v>40</v>
      </c>
      <c r="D5429">
        <v>5.0109859999999999</v>
      </c>
      <c r="E5429">
        <v>0.50666670000000003</v>
      </c>
      <c r="F5429" t="s">
        <v>41</v>
      </c>
      <c r="G5429">
        <v>-299.51710000000003</v>
      </c>
      <c r="H5429">
        <v>1.036799</v>
      </c>
      <c r="I5429">
        <v>-6.5681929999999902</v>
      </c>
      <c r="J5429">
        <v>-299.51889999999997</v>
      </c>
      <c r="K5429">
        <v>1.1064419999999999</v>
      </c>
      <c r="L5429">
        <v>-6.1405640000000004</v>
      </c>
      <c r="M5429">
        <v>-3.551809E-3</v>
      </c>
      <c r="N5429">
        <v>0</v>
      </c>
      <c r="O5429">
        <v>-0.99992999999999999</v>
      </c>
      <c r="P5429">
        <v>1.5991100000000001E-2</v>
      </c>
      <c r="Q5429">
        <v>2.9448229999999999E-2</v>
      </c>
      <c r="R5429">
        <v>-0.99943850000000001</v>
      </c>
      <c r="S5429">
        <v>-1.074219E-2</v>
      </c>
      <c r="T5429">
        <v>-0.27555669999999999</v>
      </c>
      <c r="U5429">
        <v>-3.0107119999999998</v>
      </c>
      <c r="V5429">
        <v>-1.9429740000000001E-2</v>
      </c>
      <c r="W5429">
        <v>4.0794789999999997E-2</v>
      </c>
      <c r="X5429">
        <v>0.99897860000000005</v>
      </c>
      <c r="Y5429" s="1">
        <v>1.0813529999999999E-6</v>
      </c>
      <c r="Z5429">
        <v>9.1143340000000003E-2</v>
      </c>
      <c r="AA5429">
        <v>0.9958378</v>
      </c>
      <c r="AB5429">
        <v>22</v>
      </c>
      <c r="AC5429">
        <v>1.79999999994606E-3</v>
      </c>
      <c r="AD5429">
        <v>-6.9642999999999899E-2</v>
      </c>
      <c r="AE5429">
        <v>-0.42762899999999798</v>
      </c>
      <c r="AF5429">
        <v>-3.2331899385723202E-3</v>
      </c>
      <c r="AG5429">
        <v>-6.9642999999999899E-2</v>
      </c>
      <c r="AH5429">
        <v>0.41657143127233698</v>
      </c>
      <c r="AI5429">
        <v>99.490734779007198</v>
      </c>
      <c r="AJ5429">
        <v>90.444688243846102</v>
      </c>
      <c r="AK5429">
        <v>0.42236519543928103</v>
      </c>
      <c r="AL5429">
        <v>87.661981875100594</v>
      </c>
      <c r="AM5429">
        <v>91.114239840395598</v>
      </c>
      <c r="AN5429">
        <v>0.99999998647278499</v>
      </c>
    </row>
    <row r="5430" spans="1:40" x14ac:dyDescent="0.25">
      <c r="A5430" t="str">
        <f>"20190312151641938"</f>
        <v>20190312151641938</v>
      </c>
      <c r="B5430" t="str">
        <f>"1552375001933517"</f>
        <v>1552375001933517</v>
      </c>
      <c r="C5430" t="s">
        <v>40</v>
      </c>
      <c r="D5430">
        <v>5.1417250000000001</v>
      </c>
      <c r="E5430">
        <v>0.50680670000000005</v>
      </c>
      <c r="F5430" t="s">
        <v>41</v>
      </c>
      <c r="G5430">
        <v>-299.5213</v>
      </c>
      <c r="H5430">
        <v>1.028635</v>
      </c>
      <c r="I5430">
        <v>-6.9604860000000004</v>
      </c>
      <c r="J5430">
        <v>-299.52390000000003</v>
      </c>
      <c r="K5430">
        <v>1.107254</v>
      </c>
      <c r="L5430">
        <v>-6.4786380000000001</v>
      </c>
      <c r="M5430">
        <v>-6.4437720000000004E-3</v>
      </c>
      <c r="N5430">
        <v>0</v>
      </c>
      <c r="O5430">
        <v>-0.99991169999999996</v>
      </c>
      <c r="P5430">
        <v>2.3254460000000001E-2</v>
      </c>
      <c r="Q5430">
        <v>2.7903899999999999E-2</v>
      </c>
      <c r="R5430">
        <v>-0.99934020000000001</v>
      </c>
      <c r="S5430">
        <v>-8.3618159999999993E-3</v>
      </c>
      <c r="T5430">
        <v>-0.28556930000000003</v>
      </c>
      <c r="U5430">
        <v>-3.0102229999999999</v>
      </c>
      <c r="V5430">
        <v>-2.960865E-2</v>
      </c>
      <c r="W5430">
        <v>3.9581280000000003E-2</v>
      </c>
      <c r="X5430">
        <v>0.99877760000000004</v>
      </c>
      <c r="Y5430">
        <v>-3.678859E-3</v>
      </c>
      <c r="Z5430">
        <v>9.4439040000000002E-2</v>
      </c>
      <c r="AA5430">
        <v>0.99552390000000002</v>
      </c>
      <c r="AB5430">
        <v>22</v>
      </c>
      <c r="AC5430">
        <v>2.6000000000294598E-3</v>
      </c>
      <c r="AD5430">
        <v>-7.8619000000000203E-2</v>
      </c>
      <c r="AE5430">
        <v>-0.481848</v>
      </c>
      <c r="AF5430">
        <v>-5.5571385072013899E-3</v>
      </c>
      <c r="AG5430">
        <v>-7.8619000000000203E-2</v>
      </c>
      <c r="AH5430">
        <v>0.46932733729266601</v>
      </c>
      <c r="AI5430">
        <v>99.508909749389602</v>
      </c>
      <c r="AJ5430">
        <v>90.678387297246502</v>
      </c>
      <c r="AK5430">
        <v>0.47589912636987702</v>
      </c>
      <c r="AL5430">
        <v>87.731567178022402</v>
      </c>
      <c r="AM5430">
        <v>91.698029657498907</v>
      </c>
      <c r="AN5430">
        <v>1.00000002207151</v>
      </c>
    </row>
    <row r="5431" spans="1:40" x14ac:dyDescent="0.25">
      <c r="A5431" t="str">
        <f>"20190312151641964"</f>
        <v>20190312151641964</v>
      </c>
      <c r="B5431" t="str">
        <f>"1552375001953037"</f>
        <v>1552375001953037</v>
      </c>
      <c r="C5431" t="s">
        <v>40</v>
      </c>
      <c r="D5431">
        <v>5.0011369999999999</v>
      </c>
      <c r="E5431">
        <v>0.50695279999999998</v>
      </c>
      <c r="F5431" t="s">
        <v>41</v>
      </c>
      <c r="G5431">
        <v>-299.5204</v>
      </c>
      <c r="H5431">
        <v>1.022653</v>
      </c>
      <c r="I5431">
        <v>-7.3552960000000001</v>
      </c>
      <c r="J5431">
        <v>-299.52820000000003</v>
      </c>
      <c r="K5431">
        <v>1.107766</v>
      </c>
      <c r="L5431">
        <v>-6.7492070000000002</v>
      </c>
      <c r="M5431">
        <v>-8.3225419999999901E-3</v>
      </c>
      <c r="N5431">
        <v>0</v>
      </c>
      <c r="O5431">
        <v>-0.99989539999999999</v>
      </c>
      <c r="P5431">
        <v>2.615141E-2</v>
      </c>
      <c r="Q5431">
        <v>2.7537269999999999E-2</v>
      </c>
      <c r="R5431">
        <v>-0.99927869999999996</v>
      </c>
      <c r="S5431">
        <v>1.2908940000000001E-2</v>
      </c>
      <c r="T5431">
        <v>-0.29035270000000002</v>
      </c>
      <c r="U5431">
        <v>-3.0097960000000001</v>
      </c>
      <c r="V5431">
        <v>-3.4397240000000003E-2</v>
      </c>
      <c r="W5431">
        <v>3.9426900000000001E-2</v>
      </c>
      <c r="X5431">
        <v>0.99863020000000002</v>
      </c>
      <c r="Y5431">
        <v>-1.2592020000000001E-2</v>
      </c>
      <c r="Z5431">
        <v>9.6014230000000006E-2</v>
      </c>
      <c r="AA5431">
        <v>0.99530030000000003</v>
      </c>
      <c r="AB5431">
        <v>22</v>
      </c>
      <c r="AC5431">
        <v>7.8000000000315499E-3</v>
      </c>
      <c r="AD5431">
        <v>-8.5112999999999994E-2</v>
      </c>
      <c r="AE5431">
        <v>-0.60608899999999899</v>
      </c>
      <c r="AF5431">
        <v>-1.2595926476454E-2</v>
      </c>
      <c r="AG5431">
        <v>-8.5112999999999994E-2</v>
      </c>
      <c r="AH5431">
        <v>0.59428539275391701</v>
      </c>
      <c r="AI5431">
        <v>98.148617848225399</v>
      </c>
      <c r="AJ5431">
        <v>91.214206835562607</v>
      </c>
      <c r="AK5431">
        <v>0.60048148029183801</v>
      </c>
      <c r="AL5431">
        <v>87.740419277740202</v>
      </c>
      <c r="AM5431">
        <v>91.972740088359402</v>
      </c>
      <c r="AN5431">
        <v>0.99999996345763298</v>
      </c>
    </row>
    <row r="5432" spans="1:40" x14ac:dyDescent="0.25">
      <c r="A5432" t="str">
        <f>"20190312151641990"</f>
        <v>20190312151641990</v>
      </c>
      <c r="B5432" t="str">
        <f>"1552375001983293"</f>
        <v>1552375001983293</v>
      </c>
      <c r="C5432" t="s">
        <v>40</v>
      </c>
      <c r="D5432">
        <v>5.0121589999999996</v>
      </c>
      <c r="E5432">
        <v>0.50716919999999999</v>
      </c>
      <c r="F5432" t="s">
        <v>41</v>
      </c>
      <c r="G5432">
        <v>-299.52280000000002</v>
      </c>
      <c r="H5432">
        <v>1.0291170000000001</v>
      </c>
      <c r="I5432">
        <v>-7.5584959999999999</v>
      </c>
      <c r="J5432">
        <v>-299.53219999999999</v>
      </c>
      <c r="K5432">
        <v>1.108155</v>
      </c>
      <c r="L5432">
        <v>-6.9943850000000003</v>
      </c>
      <c r="M5432">
        <v>-9.7713069999999999E-3</v>
      </c>
      <c r="N5432">
        <v>0</v>
      </c>
      <c r="O5432">
        <v>-0.99988010000000005</v>
      </c>
      <c r="P5432">
        <v>2.9192650000000001E-2</v>
      </c>
      <c r="Q5432">
        <v>2.5428679999999999E-2</v>
      </c>
      <c r="R5432">
        <v>-0.99925050000000004</v>
      </c>
      <c r="S5432">
        <v>2.0965580000000001E-2</v>
      </c>
      <c r="T5432">
        <v>-0.29236390000000001</v>
      </c>
      <c r="U5432">
        <v>-3.009674</v>
      </c>
      <c r="V5432">
        <v>-3.8901150000000002E-2</v>
      </c>
      <c r="W5432">
        <v>3.7484749999999997E-2</v>
      </c>
      <c r="X5432">
        <v>0.99853970000000003</v>
      </c>
      <c r="Y5432">
        <v>-1.6704710000000001E-2</v>
      </c>
      <c r="Z5432">
        <v>9.6671439999999997E-2</v>
      </c>
      <c r="AA5432">
        <v>0.99517610000000001</v>
      </c>
      <c r="AB5432">
        <v>22</v>
      </c>
      <c r="AC5432">
        <v>9.3999999999709802E-3</v>
      </c>
      <c r="AD5432">
        <v>-7.90379999999999E-2</v>
      </c>
      <c r="AE5432">
        <v>-0.56411100000000003</v>
      </c>
      <c r="AF5432">
        <v>-1.46250262918502E-2</v>
      </c>
      <c r="AG5432">
        <v>-7.90379999999999E-2</v>
      </c>
      <c r="AH5432">
        <v>0.55313659008624605</v>
      </c>
      <c r="AI5432">
        <v>98.129176012555504</v>
      </c>
      <c r="AJ5432">
        <v>91.514557367378998</v>
      </c>
      <c r="AK5432">
        <v>0.55894631596449096</v>
      </c>
      <c r="AL5432">
        <v>87.851778682370806</v>
      </c>
      <c r="AM5432">
        <v>92.231003065029498</v>
      </c>
      <c r="AN5432">
        <v>0.99999996921498702</v>
      </c>
    </row>
    <row r="5433" spans="1:40" x14ac:dyDescent="0.25">
      <c r="A5433" t="str">
        <f>"20190312151642028"</f>
        <v>20190312151642028</v>
      </c>
      <c r="B5433" t="str">
        <f>"1552375002023310"</f>
        <v>1552375002023310</v>
      </c>
      <c r="C5433" t="s">
        <v>40</v>
      </c>
      <c r="D5433">
        <v>5.442596</v>
      </c>
      <c r="E5433">
        <v>0.5074748</v>
      </c>
      <c r="F5433" t="s">
        <v>41</v>
      </c>
      <c r="G5433">
        <v>-299.52480000000003</v>
      </c>
      <c r="H5433">
        <v>1.031817</v>
      </c>
      <c r="I5433">
        <v>-7.7594029999999998</v>
      </c>
      <c r="J5433">
        <v>-299.53820000000002</v>
      </c>
      <c r="K5433">
        <v>1.108679</v>
      </c>
      <c r="L5433">
        <v>-7.3672179999999896</v>
      </c>
      <c r="M5433">
        <v>-1.1428610000000001E-2</v>
      </c>
      <c r="N5433">
        <v>0</v>
      </c>
      <c r="O5433">
        <v>-0.99986019999999998</v>
      </c>
      <c r="P5433">
        <v>3.622566E-2</v>
      </c>
      <c r="Q5433">
        <v>2.332103E-2</v>
      </c>
      <c r="R5433">
        <v>-0.99907190000000001</v>
      </c>
      <c r="S5433">
        <v>2.9022220000000001E-2</v>
      </c>
      <c r="T5433">
        <v>-0.300239799999999</v>
      </c>
      <c r="U5433">
        <v>-3.0090330000000001</v>
      </c>
      <c r="V5433">
        <v>-4.7608640000000001E-2</v>
      </c>
      <c r="W5433">
        <v>3.5579630000000001E-2</v>
      </c>
      <c r="X5433">
        <v>0.99823220000000001</v>
      </c>
      <c r="Y5433">
        <v>-2.1025240000000001E-2</v>
      </c>
      <c r="Z5433">
        <v>9.9263489999999996E-2</v>
      </c>
      <c r="AA5433">
        <v>0.99483900000000003</v>
      </c>
      <c r="AB5433">
        <v>22</v>
      </c>
      <c r="AC5433">
        <v>1.339999999999E-2</v>
      </c>
      <c r="AD5433">
        <v>-7.6862000000000194E-2</v>
      </c>
      <c r="AE5433">
        <v>-0.39218500000000001</v>
      </c>
      <c r="AF5433">
        <v>-1.7220908641176601E-2</v>
      </c>
      <c r="AG5433">
        <v>-7.6862000000000194E-2</v>
      </c>
      <c r="AH5433">
        <v>0.37752259104157398</v>
      </c>
      <c r="AI5433">
        <v>101.49625730123201</v>
      </c>
      <c r="AJ5433">
        <v>92.611769209401203</v>
      </c>
      <c r="AK5433">
        <v>0.38565221830707902</v>
      </c>
      <c r="AL5433">
        <v>87.961007031147204</v>
      </c>
      <c r="AM5433">
        <v>92.730535785193396</v>
      </c>
      <c r="AN5433">
        <v>1.0000000088952099</v>
      </c>
    </row>
    <row r="5434" spans="1:40" x14ac:dyDescent="0.25">
      <c r="A5434" t="str">
        <f>"20190312151642059"</f>
        <v>20190312151642059</v>
      </c>
      <c r="B5434" t="str">
        <f>"1552375002053566"</f>
        <v>1552375002053566</v>
      </c>
      <c r="C5434" t="s">
        <v>40</v>
      </c>
      <c r="D5434">
        <v>5.0374679999999996</v>
      </c>
      <c r="E5434">
        <v>0.50778679999999998</v>
      </c>
      <c r="F5434" t="s">
        <v>41</v>
      </c>
      <c r="G5434">
        <v>-299.5256</v>
      </c>
      <c r="H5434">
        <v>1.028718</v>
      </c>
      <c r="I5434">
        <v>-8.1534960000000005</v>
      </c>
      <c r="J5434">
        <v>-299.54309999999998</v>
      </c>
      <c r="K5434">
        <v>1.109056</v>
      </c>
      <c r="L5434">
        <v>-7.6761470000000003</v>
      </c>
      <c r="M5434">
        <v>-1.237919E-2</v>
      </c>
      <c r="N5434">
        <v>0</v>
      </c>
      <c r="O5434">
        <v>-0.99984680000000004</v>
      </c>
      <c r="P5434">
        <v>3.9052429999999999E-2</v>
      </c>
      <c r="Q5434">
        <v>2.3790680000000002E-2</v>
      </c>
      <c r="R5434">
        <v>-0.99895389999999995</v>
      </c>
      <c r="S5434">
        <v>4.8095699999999998E-2</v>
      </c>
      <c r="T5434">
        <v>-0.30593009999999998</v>
      </c>
      <c r="U5434">
        <v>-3.0081790000000002</v>
      </c>
      <c r="V5434">
        <v>-5.1397999999999999E-2</v>
      </c>
      <c r="W5434">
        <v>3.6179099999999999E-2</v>
      </c>
      <c r="X5434">
        <v>0.99802270000000004</v>
      </c>
      <c r="Y5434">
        <v>-2.8281609999999999E-2</v>
      </c>
      <c r="Z5434">
        <v>0.1011393</v>
      </c>
      <c r="AA5434">
        <v>0.99447019999999997</v>
      </c>
      <c r="AB5434">
        <v>22</v>
      </c>
      <c r="AC5434">
        <v>1.7499999999984001E-2</v>
      </c>
      <c r="AD5434">
        <v>-8.0338000000000007E-2</v>
      </c>
      <c r="AE5434">
        <v>-0.47734900000000002</v>
      </c>
      <c r="AF5434">
        <v>-2.2764369882982902E-2</v>
      </c>
      <c r="AG5434">
        <v>-8.0338000000000007E-2</v>
      </c>
      <c r="AH5434">
        <v>0.46397141176300399</v>
      </c>
      <c r="AI5434">
        <v>99.811954473277495</v>
      </c>
      <c r="AJ5434">
        <v>92.808917061123907</v>
      </c>
      <c r="AK5434">
        <v>0.471425372369291</v>
      </c>
      <c r="AL5434">
        <v>87.926637773242106</v>
      </c>
      <c r="AM5434">
        <v>92.948118415498001</v>
      </c>
      <c r="AN5434">
        <v>0.99999999569804998</v>
      </c>
    </row>
    <row r="5435" spans="1:40" x14ac:dyDescent="0.25">
      <c r="A5435" t="str">
        <f>"20190312151642095"</f>
        <v>20190312151642095</v>
      </c>
      <c r="B5435" t="str">
        <f>"1552375002082847"</f>
        <v>1552375002082847</v>
      </c>
      <c r="C5435" t="s">
        <v>40</v>
      </c>
      <c r="D5435">
        <v>4.9874869999999998</v>
      </c>
      <c r="E5435">
        <v>0.50808750000000003</v>
      </c>
      <c r="F5435" t="s">
        <v>41</v>
      </c>
      <c r="G5435">
        <v>-299.52760000000001</v>
      </c>
      <c r="H5435">
        <v>1.0209980000000001</v>
      </c>
      <c r="I5435">
        <v>-8.5425819999999995</v>
      </c>
      <c r="J5435">
        <v>-299.54849999999999</v>
      </c>
      <c r="K5435">
        <v>1.1093900000000001</v>
      </c>
      <c r="L5435">
        <v>-8.0310360000000003</v>
      </c>
      <c r="M5435">
        <v>-1.306417E-2</v>
      </c>
      <c r="N5435">
        <v>0</v>
      </c>
      <c r="O5435">
        <v>-0.99983639999999996</v>
      </c>
      <c r="P5435">
        <v>4.5703939999999998E-2</v>
      </c>
      <c r="Q5435">
        <v>2.338784E-2</v>
      </c>
      <c r="R5435">
        <v>-0.99868159999999895</v>
      </c>
      <c r="S5435">
        <v>5.450439E-2</v>
      </c>
      <c r="T5435">
        <v>-0.30570170000000002</v>
      </c>
      <c r="U5435">
        <v>-3.0083009999999999</v>
      </c>
      <c r="V5435">
        <v>-5.8742580000000003E-2</v>
      </c>
      <c r="W5435">
        <v>3.5897470000000001E-2</v>
      </c>
      <c r="X5435">
        <v>0.99762759999999995</v>
      </c>
      <c r="Y5435">
        <v>-3.1083779999999998E-2</v>
      </c>
      <c r="Z5435">
        <v>0.1010532</v>
      </c>
      <c r="AA5435">
        <v>0.99439529999999998</v>
      </c>
      <c r="AB5435">
        <v>22</v>
      </c>
      <c r="AC5435">
        <v>2.0899999999983199E-2</v>
      </c>
      <c r="AD5435">
        <v>-8.8391999999999998E-2</v>
      </c>
      <c r="AE5435">
        <v>-0.51154599999999995</v>
      </c>
      <c r="AF5435">
        <v>-2.6783307389182599E-2</v>
      </c>
      <c r="AG5435">
        <v>-8.8391999999999998E-2</v>
      </c>
      <c r="AH5435">
        <v>0.49643166241620801</v>
      </c>
      <c r="AI5435">
        <v>100.08161804863801</v>
      </c>
      <c r="AJ5435">
        <v>93.088207810286406</v>
      </c>
      <c r="AK5435">
        <v>0.50495038040189899</v>
      </c>
      <c r="AL5435">
        <v>87.942784632956702</v>
      </c>
      <c r="AM5435">
        <v>93.369814765679195</v>
      </c>
      <c r="AN5435">
        <v>1.0000000736696</v>
      </c>
    </row>
    <row r="5436" spans="1:40" x14ac:dyDescent="0.25">
      <c r="A5436" t="str">
        <f>"20190312151642126"</f>
        <v>20190312151642126</v>
      </c>
      <c r="B5436" t="str">
        <f>"1552375002122861"</f>
        <v>1552375002122861</v>
      </c>
      <c r="C5436" t="s">
        <v>40</v>
      </c>
      <c r="D5436">
        <v>4.9843669999999998</v>
      </c>
      <c r="E5436">
        <v>0.50830690000000001</v>
      </c>
      <c r="F5436" t="s">
        <v>41</v>
      </c>
      <c r="G5436">
        <v>-299.52690000000001</v>
      </c>
      <c r="H5436">
        <v>1.018065</v>
      </c>
      <c r="I5436">
        <v>-8.9356550000000006</v>
      </c>
      <c r="J5436">
        <v>-299.55309999999997</v>
      </c>
      <c r="K5436">
        <v>1.1095729999999999</v>
      </c>
      <c r="L5436">
        <v>-8.3442380000000007</v>
      </c>
      <c r="M5436">
        <v>-1.335035E-2</v>
      </c>
      <c r="N5436">
        <v>0</v>
      </c>
      <c r="O5436">
        <v>-0.99983120000000003</v>
      </c>
      <c r="P5436">
        <v>4.8498470000000002E-2</v>
      </c>
      <c r="Q5436">
        <v>2.304206E-2</v>
      </c>
      <c r="R5436">
        <v>-0.99855760000000005</v>
      </c>
      <c r="S5436">
        <v>7.2052000000000005E-2</v>
      </c>
      <c r="T5436">
        <v>-0.30363499999999999</v>
      </c>
      <c r="U5436">
        <v>-3.0077820000000002</v>
      </c>
      <c r="V5436">
        <v>-6.182733E-2</v>
      </c>
      <c r="W5436">
        <v>3.5642050000000002E-2</v>
      </c>
      <c r="X5436">
        <v>0.99745030000000001</v>
      </c>
      <c r="Y5436">
        <v>-3.7172789999999997E-2</v>
      </c>
      <c r="Z5436">
        <v>0.10037690000000001</v>
      </c>
      <c r="AA5436">
        <v>0.99425479999999999</v>
      </c>
      <c r="AB5436">
        <v>22</v>
      </c>
      <c r="AC5436">
        <v>2.61999999999602E-2</v>
      </c>
      <c r="AD5436">
        <v>-9.1507999999999895E-2</v>
      </c>
      <c r="AE5436">
        <v>-0.59141699999999897</v>
      </c>
      <c r="AF5436">
        <v>-3.3298306013934E-2</v>
      </c>
      <c r="AG5436">
        <v>-9.1507999999999895E-2</v>
      </c>
      <c r="AH5436">
        <v>0.57722263177955202</v>
      </c>
      <c r="AI5436">
        <v>98.993515545104501</v>
      </c>
      <c r="AJ5436">
        <v>93.301568911842907</v>
      </c>
      <c r="AK5436">
        <v>0.585378901128072</v>
      </c>
      <c r="AL5436">
        <v>87.957428417681797</v>
      </c>
      <c r="AM5436">
        <v>93.546962275995497</v>
      </c>
      <c r="AN5436">
        <v>1.0000000377166101</v>
      </c>
    </row>
    <row r="5437" spans="1:40" x14ac:dyDescent="0.25">
      <c r="A5437" t="str">
        <f>"20190312151642160"</f>
        <v>20190312151642160</v>
      </c>
      <c r="B5437" t="str">
        <f>"1552375002153117"</f>
        <v>1552375002153117</v>
      </c>
      <c r="C5437" t="s">
        <v>40</v>
      </c>
      <c r="D5437">
        <v>5.0082380000000004</v>
      </c>
      <c r="E5437">
        <v>0.50837109999999996</v>
      </c>
      <c r="F5437" t="s">
        <v>43</v>
      </c>
      <c r="G5437">
        <v>-299.26029999999997</v>
      </c>
      <c r="H5437" s="1">
        <v>-4.8908629999999997E-7</v>
      </c>
      <c r="I5437">
        <v>-19.532990000000002</v>
      </c>
      <c r="J5437">
        <v>-299.55779999999999</v>
      </c>
      <c r="K5437">
        <v>1.1097109999999999</v>
      </c>
      <c r="L5437">
        <v>-8.6789550000000002</v>
      </c>
      <c r="M5437">
        <v>-1.346259E-2</v>
      </c>
      <c r="N5437">
        <v>0</v>
      </c>
      <c r="O5437">
        <v>-0.9998283</v>
      </c>
      <c r="P5437">
        <v>5.465271E-2</v>
      </c>
      <c r="Q5437">
        <v>2.2019360000000002E-2</v>
      </c>
      <c r="R5437">
        <v>-0.99826269999999995</v>
      </c>
      <c r="S5437">
        <v>7.8704830000000003E-2</v>
      </c>
      <c r="T5437">
        <v>-0.29823830000000001</v>
      </c>
      <c r="U5437">
        <v>-3.0073850000000002</v>
      </c>
      <c r="V5437">
        <v>-6.8093210000000001E-2</v>
      </c>
      <c r="W5437">
        <v>3.46985E-2</v>
      </c>
      <c r="X5437">
        <v>0.99707539999999995</v>
      </c>
      <c r="Y5437">
        <v>-3.9490699999999997E-2</v>
      </c>
      <c r="Z5437">
        <v>9.8615910000000001E-2</v>
      </c>
      <c r="AA5437">
        <v>0.9943417</v>
      </c>
      <c r="AB5437">
        <v>22</v>
      </c>
      <c r="AC5437">
        <v>0.29750000000001298</v>
      </c>
      <c r="AD5437">
        <v>-1.1097114890863</v>
      </c>
      <c r="AE5437">
        <v>-10.8540349999999</v>
      </c>
      <c r="AF5437">
        <v>-0.43902267965674302</v>
      </c>
      <c r="AG5437">
        <v>-1.1097114890863</v>
      </c>
      <c r="AH5437">
        <v>10.736898040296699</v>
      </c>
      <c r="AI5437">
        <v>95.895958141735704</v>
      </c>
      <c r="AJ5437">
        <v>92.341471625075798</v>
      </c>
      <c r="AK5437">
        <v>10.803017172530501</v>
      </c>
      <c r="AL5437">
        <v>88.011523266338699</v>
      </c>
      <c r="AM5437">
        <v>93.906831018184604</v>
      </c>
      <c r="AN5437">
        <v>1.0000000122177499</v>
      </c>
    </row>
    <row r="5438" spans="1:40" x14ac:dyDescent="0.25">
      <c r="A5438" t="str">
        <f>"20190312151642183"</f>
        <v>20190312151642183</v>
      </c>
      <c r="B5438" t="str">
        <f>"1552375002173613"</f>
        <v>1552375002173613</v>
      </c>
      <c r="C5438" t="s">
        <v>40</v>
      </c>
      <c r="D5438">
        <v>5.0129429999999999</v>
      </c>
      <c r="E5438">
        <v>0.50842670000000001</v>
      </c>
      <c r="F5438" t="s">
        <v>43</v>
      </c>
      <c r="G5438">
        <v>-299.19740000000002</v>
      </c>
      <c r="H5438" s="1">
        <v>-3.768133E-7</v>
      </c>
      <c r="I5438">
        <v>-19.872140000000002</v>
      </c>
      <c r="J5438">
        <v>-299.56099999999998</v>
      </c>
      <c r="K5438">
        <v>1.1097840000000001</v>
      </c>
      <c r="L5438">
        <v>-8.9075009999999999</v>
      </c>
      <c r="M5438">
        <v>-1.346811E-2</v>
      </c>
      <c r="N5438">
        <v>0</v>
      </c>
      <c r="O5438">
        <v>-0.99982769999999999</v>
      </c>
      <c r="P5438">
        <v>5.751473E-2</v>
      </c>
      <c r="Q5438">
        <v>2.0692120000000001E-2</v>
      </c>
      <c r="R5438">
        <v>-0.99813050000000003</v>
      </c>
      <c r="S5438">
        <v>9.6801760000000001E-2</v>
      </c>
      <c r="T5438">
        <v>-0.29806949999999999</v>
      </c>
      <c r="U5438">
        <v>-3.0065</v>
      </c>
      <c r="V5438">
        <v>-7.0961040000000003E-2</v>
      </c>
      <c r="W5438">
        <v>3.341703E-2</v>
      </c>
      <c r="X5438">
        <v>0.99691920000000001</v>
      </c>
      <c r="Y5438">
        <v>-4.5483379999999997E-2</v>
      </c>
      <c r="Z5438">
        <v>9.8568219999999998E-2</v>
      </c>
      <c r="AA5438">
        <v>0.99409029999999998</v>
      </c>
      <c r="AB5438">
        <v>22</v>
      </c>
      <c r="AC5438">
        <v>0.36359999999996201</v>
      </c>
      <c r="AD5438">
        <v>-1.1097843768133</v>
      </c>
      <c r="AE5438">
        <v>-10.964638999999901</v>
      </c>
      <c r="AF5438">
        <v>-0.50607328443002597</v>
      </c>
      <c r="AG5438">
        <v>-1.1097843768133</v>
      </c>
      <c r="AH5438">
        <v>10.8477399191465</v>
      </c>
      <c r="AI5438">
        <v>95.835052886630706</v>
      </c>
      <c r="AJ5438">
        <v>92.671049911735807</v>
      </c>
      <c r="AK5438">
        <v>10.916097878165001</v>
      </c>
      <c r="AL5438">
        <v>88.084988745413497</v>
      </c>
      <c r="AM5438">
        <v>94.071465678360397</v>
      </c>
      <c r="AN5438">
        <v>1.00000002921027</v>
      </c>
    </row>
    <row r="5439" spans="1:40" x14ac:dyDescent="0.25">
      <c r="A5439" t="str">
        <f>"20190312151642206"</f>
        <v>20190312151642206</v>
      </c>
      <c r="B5439" t="str">
        <f>"1552375002202893"</f>
        <v>1552375002202893</v>
      </c>
      <c r="C5439" t="s">
        <v>40</v>
      </c>
      <c r="D5439">
        <v>5.0102880000000001</v>
      </c>
      <c r="E5439">
        <v>0.50858190000000003</v>
      </c>
      <c r="F5439" t="s">
        <v>43</v>
      </c>
      <c r="G5439">
        <v>-299.17090000000002</v>
      </c>
      <c r="H5439" s="1">
        <v>-3.223219E-7</v>
      </c>
      <c r="I5439">
        <v>-20.053049999999999</v>
      </c>
      <c r="J5439">
        <v>-299.56400000000002</v>
      </c>
      <c r="K5439">
        <v>1.109828</v>
      </c>
      <c r="L5439">
        <v>-9.1287839999999996</v>
      </c>
      <c r="M5439">
        <v>-1.345228E-2</v>
      </c>
      <c r="N5439">
        <v>0</v>
      </c>
      <c r="O5439">
        <v>-0.99982740000000003</v>
      </c>
      <c r="P5439">
        <v>6.0699330000000003E-2</v>
      </c>
      <c r="Q5439">
        <v>1.9857989999999999E-2</v>
      </c>
      <c r="R5439">
        <v>-0.99795900000000004</v>
      </c>
      <c r="S5439">
        <v>0.1052246</v>
      </c>
      <c r="T5439">
        <v>-0.29929040000000001</v>
      </c>
      <c r="U5439">
        <v>-3.0057680000000002</v>
      </c>
      <c r="V5439">
        <v>-7.4128579999999999E-2</v>
      </c>
      <c r="W5439">
        <v>3.2621619999999997E-2</v>
      </c>
      <c r="X5439">
        <v>0.99671500000000002</v>
      </c>
      <c r="Y5439">
        <v>-4.8256250000000001E-2</v>
      </c>
      <c r="Z5439">
        <v>9.898084E-2</v>
      </c>
      <c r="AA5439">
        <v>0.99391859999999999</v>
      </c>
      <c r="AB5439">
        <v>22</v>
      </c>
      <c r="AC5439">
        <v>0.393100000000003</v>
      </c>
      <c r="AD5439">
        <v>-1.1098283223218901</v>
      </c>
      <c r="AE5439">
        <v>-10.924265999999999</v>
      </c>
      <c r="AF5439">
        <v>-0.53452303104355903</v>
      </c>
      <c r="AG5439">
        <v>-1.1098283223218901</v>
      </c>
      <c r="AH5439">
        <v>10.806596809652801</v>
      </c>
      <c r="AI5439">
        <v>95.8565606981754</v>
      </c>
      <c r="AJ5439">
        <v>92.831693906729399</v>
      </c>
      <c r="AK5439">
        <v>10.8765788914595</v>
      </c>
      <c r="AL5439">
        <v>88.130587198084498</v>
      </c>
      <c r="AM5439">
        <v>94.253422168607102</v>
      </c>
      <c r="AN5439">
        <v>1.00000000384462</v>
      </c>
    </row>
    <row r="5440" spans="1:40" x14ac:dyDescent="0.25">
      <c r="A5440" t="str">
        <f>"20190312151642230"</f>
        <v>20190312151642230</v>
      </c>
      <c r="B5440" t="str">
        <f>"1552375002223390"</f>
        <v>1552375002223390</v>
      </c>
      <c r="C5440" t="s">
        <v>40</v>
      </c>
      <c r="D5440">
        <v>4.9843669999999998</v>
      </c>
      <c r="E5440">
        <v>0.50864319999999996</v>
      </c>
      <c r="F5440" t="s">
        <v>43</v>
      </c>
      <c r="G5440">
        <v>-299.14179999999999</v>
      </c>
      <c r="H5440" s="1">
        <v>-2.3695890000000001E-7</v>
      </c>
      <c r="I5440">
        <v>-20.326560000000001</v>
      </c>
      <c r="J5440">
        <v>-299.56709999999998</v>
      </c>
      <c r="K5440">
        <v>1.1098600000000001</v>
      </c>
      <c r="L5440">
        <v>-9.3634029999999999</v>
      </c>
      <c r="M5440">
        <v>-1.342577E-2</v>
      </c>
      <c r="N5440">
        <v>0</v>
      </c>
      <c r="O5440">
        <v>-0.99982720000000003</v>
      </c>
      <c r="P5440">
        <v>6.4462800000000001E-2</v>
      </c>
      <c r="Q5440">
        <v>1.9012540000000001E-2</v>
      </c>
      <c r="R5440">
        <v>-0.9977393</v>
      </c>
      <c r="S5440">
        <v>0.1132813</v>
      </c>
      <c r="T5440">
        <v>-0.29784850000000002</v>
      </c>
      <c r="U5440">
        <v>-3.005188</v>
      </c>
      <c r="V5440">
        <v>-7.7861429999999995E-2</v>
      </c>
      <c r="W5440">
        <v>3.1813800000000003E-2</v>
      </c>
      <c r="X5440">
        <v>0.99645640000000002</v>
      </c>
      <c r="Y5440">
        <v>-5.0899130000000001E-2</v>
      </c>
      <c r="Z5440">
        <v>9.8516259999999994E-2</v>
      </c>
      <c r="AA5440">
        <v>0.99383290000000002</v>
      </c>
      <c r="AB5440">
        <v>22</v>
      </c>
      <c r="AC5440">
        <v>0.42529999999999202</v>
      </c>
      <c r="AD5440">
        <v>-1.1098602369588999</v>
      </c>
      <c r="AE5440">
        <v>-10.963157000000001</v>
      </c>
      <c r="AF5440">
        <v>-0.56666385916753104</v>
      </c>
      <c r="AG5440">
        <v>-1.1098602369588999</v>
      </c>
      <c r="AH5440">
        <v>10.845474178140799</v>
      </c>
      <c r="AI5440">
        <v>95.835059674699394</v>
      </c>
      <c r="AJ5440">
        <v>92.990920499588796</v>
      </c>
      <c r="AK5440">
        <v>10.9168314003463</v>
      </c>
      <c r="AL5440">
        <v>88.176895796857494</v>
      </c>
      <c r="AM5440">
        <v>94.467917664902203</v>
      </c>
      <c r="AN5440">
        <v>0.99999993862652004</v>
      </c>
    </row>
    <row r="5441" spans="1:40" x14ac:dyDescent="0.25">
      <c r="A5441" t="str">
        <f>"20190312151642251"</f>
        <v>20190312151642251</v>
      </c>
      <c r="B5441" t="str">
        <f>"1552375002242909"</f>
        <v>1552375002242909</v>
      </c>
      <c r="C5441" t="s">
        <v>40</v>
      </c>
      <c r="D5441">
        <v>4.9894439999999998</v>
      </c>
      <c r="E5441">
        <v>0.50877159999999999</v>
      </c>
      <c r="F5441" t="s">
        <v>43</v>
      </c>
      <c r="G5441">
        <v>-299.10539999999997</v>
      </c>
      <c r="H5441" s="1">
        <v>-4.3690720000000003E-6</v>
      </c>
      <c r="I5441">
        <v>-20.552700000000002</v>
      </c>
      <c r="J5441">
        <v>-299.56979999999999</v>
      </c>
      <c r="K5441">
        <v>1.1098650000000001</v>
      </c>
      <c r="L5441">
        <v>-9.5726619999999993</v>
      </c>
      <c r="M5441">
        <v>-1.3398709999999999E-2</v>
      </c>
      <c r="N5441">
        <v>0</v>
      </c>
      <c r="O5441">
        <v>-0.99982720000000003</v>
      </c>
      <c r="P5441">
        <v>6.8234439999999993E-2</v>
      </c>
      <c r="Q5441">
        <v>1.798574E-2</v>
      </c>
      <c r="R5441">
        <v>-0.99750749999999999</v>
      </c>
      <c r="S5441">
        <v>0.1239624</v>
      </c>
      <c r="T5441">
        <v>-0.29801149999999998</v>
      </c>
      <c r="U5441">
        <v>-3.0044559999999998</v>
      </c>
      <c r="V5441">
        <v>-8.1601880000000002E-2</v>
      </c>
      <c r="W5441">
        <v>3.0818660000000001E-2</v>
      </c>
      <c r="X5441">
        <v>0.99618839999999997</v>
      </c>
      <c r="Y5441">
        <v>-5.4408320000000003E-2</v>
      </c>
      <c r="Z5441">
        <v>9.8577540000000005E-2</v>
      </c>
      <c r="AA5441">
        <v>0.99364090000000005</v>
      </c>
      <c r="AB5441">
        <v>22</v>
      </c>
      <c r="AC5441">
        <v>0.46440000000001103</v>
      </c>
      <c r="AD5441">
        <v>-1.1098693690719901</v>
      </c>
      <c r="AE5441">
        <v>-10.980038</v>
      </c>
      <c r="AF5441">
        <v>-0.60531522396683302</v>
      </c>
      <c r="AG5441">
        <v>-1.1098693690719901</v>
      </c>
      <c r="AH5441">
        <v>10.862046726805699</v>
      </c>
      <c r="AI5441">
        <v>95.825182423396498</v>
      </c>
      <c r="AJ5441">
        <v>93.189654112457603</v>
      </c>
      <c r="AK5441">
        <v>10.9353681068394</v>
      </c>
      <c r="AL5441">
        <v>88.233941199054996</v>
      </c>
      <c r="AM5441">
        <v>94.682877194660705</v>
      </c>
      <c r="AN5441">
        <v>0.99999999245914395</v>
      </c>
    </row>
    <row r="5442" spans="1:40" x14ac:dyDescent="0.25">
      <c r="A5442" t="str">
        <f>"20190312151642278"</f>
        <v>20190312151642278</v>
      </c>
      <c r="B5442" t="str">
        <f>"1552375002273166"</f>
        <v>1552375002273166</v>
      </c>
      <c r="C5442" t="s">
        <v>40</v>
      </c>
      <c r="D5442">
        <v>5.1269499999999999</v>
      </c>
      <c r="E5442">
        <v>0.5089842</v>
      </c>
      <c r="F5442" t="s">
        <v>43</v>
      </c>
      <c r="G5442">
        <v>-299.07010000000002</v>
      </c>
      <c r="H5442" s="1">
        <v>-4.2981199999999899E-6</v>
      </c>
      <c r="I5442">
        <v>-20.732679999999998</v>
      </c>
      <c r="J5442">
        <v>-299.57319999999999</v>
      </c>
      <c r="K5442">
        <v>1.1098650000000001</v>
      </c>
      <c r="L5442">
        <v>-9.8266600000000004</v>
      </c>
      <c r="M5442">
        <v>-1.337342E-2</v>
      </c>
      <c r="N5442">
        <v>0</v>
      </c>
      <c r="O5442">
        <v>-0.99982689999999996</v>
      </c>
      <c r="P5442">
        <v>7.2604489999999994E-2</v>
      </c>
      <c r="Q5442">
        <v>1.789251E-2</v>
      </c>
      <c r="R5442">
        <v>-0.99720039999999999</v>
      </c>
      <c r="S5442">
        <v>0.134491</v>
      </c>
      <c r="T5442">
        <v>-0.29871890000000001</v>
      </c>
      <c r="U5442">
        <v>-3.0036930000000002</v>
      </c>
      <c r="V5442">
        <v>-8.5939589999999996E-2</v>
      </c>
      <c r="W5442">
        <v>3.0760030000000001E-2</v>
      </c>
      <c r="X5442">
        <v>0.99582539999999997</v>
      </c>
      <c r="Y5442">
        <v>-5.7868540000000003E-2</v>
      </c>
      <c r="Z5442">
        <v>9.881711E-2</v>
      </c>
      <c r="AA5442">
        <v>0.99342160000000002</v>
      </c>
      <c r="AB5442">
        <v>22</v>
      </c>
      <c r="AC5442">
        <v>0.50309999999996002</v>
      </c>
      <c r="AD5442">
        <v>-1.10986929811999</v>
      </c>
      <c r="AE5442">
        <v>-10.9060199999999</v>
      </c>
      <c r="AF5442">
        <v>-0.64228036834728497</v>
      </c>
      <c r="AG5442">
        <v>-1.10986929811999</v>
      </c>
      <c r="AH5442">
        <v>10.7868396121874</v>
      </c>
      <c r="AI5442">
        <v>95.864237247665898</v>
      </c>
      <c r="AJ5442">
        <v>93.407537167857996</v>
      </c>
      <c r="AK5442">
        <v>10.862791664647199</v>
      </c>
      <c r="AL5442">
        <v>88.237302074830396</v>
      </c>
      <c r="AM5442">
        <v>94.932396878144999</v>
      </c>
      <c r="AN5442">
        <v>1.0000000099300601</v>
      </c>
    </row>
    <row r="5443" spans="1:40" x14ac:dyDescent="0.25">
      <c r="A5443" t="str">
        <f>"20190312151642317"</f>
        <v>20190312151642317</v>
      </c>
      <c r="B5443" t="str">
        <f>"1552375002313181"</f>
        <v>1552375002313181</v>
      </c>
      <c r="C5443" t="s">
        <v>40</v>
      </c>
      <c r="D5443">
        <v>5.1633519999999997</v>
      </c>
      <c r="E5443">
        <v>0.51772600000000002</v>
      </c>
      <c r="F5443" t="s">
        <v>43</v>
      </c>
      <c r="G5443">
        <v>-299.02640000000002</v>
      </c>
      <c r="H5443" s="1">
        <v>-4.1489570000000003E-6</v>
      </c>
      <c r="I5443">
        <v>-21.09845</v>
      </c>
      <c r="J5443">
        <v>-299.57819999999998</v>
      </c>
      <c r="K5443">
        <v>1.109847</v>
      </c>
      <c r="L5443">
        <v>-10.2067</v>
      </c>
      <c r="M5443">
        <v>-1.3373950000000001E-2</v>
      </c>
      <c r="N5443">
        <v>0</v>
      </c>
      <c r="O5443">
        <v>-0.99982669999999996</v>
      </c>
      <c r="P5443">
        <v>8.1654669999999999E-2</v>
      </c>
      <c r="Q5443">
        <v>1.7342130000000001E-2</v>
      </c>
      <c r="R5443">
        <v>-0.99651020000000001</v>
      </c>
      <c r="S5443">
        <v>0.1456604</v>
      </c>
      <c r="T5443">
        <v>-0.2956995</v>
      </c>
      <c r="U5443">
        <v>-3.0031129999999999</v>
      </c>
      <c r="V5443">
        <v>-9.4977539999999999E-2</v>
      </c>
      <c r="W5443">
        <v>3.0250050000000001E-2</v>
      </c>
      <c r="X5443">
        <v>0.99501969999999995</v>
      </c>
      <c r="Y5443">
        <v>-6.156876E-2</v>
      </c>
      <c r="Z5443">
        <v>9.7827349999999993E-2</v>
      </c>
      <c r="AA5443">
        <v>0.99329710000000004</v>
      </c>
      <c r="AB5443">
        <v>22</v>
      </c>
      <c r="AC5443">
        <v>0.55179999999995699</v>
      </c>
      <c r="AD5443">
        <v>-1.109851148957</v>
      </c>
      <c r="AE5443">
        <v>-10.89175</v>
      </c>
      <c r="AF5443">
        <v>-0.69027956741025498</v>
      </c>
      <c r="AG5443">
        <v>-1.109851148957</v>
      </c>
      <c r="AH5443">
        <v>10.771834834829299</v>
      </c>
      <c r="AI5443">
        <v>95.870623953585195</v>
      </c>
      <c r="AJ5443">
        <v>93.6666085344403</v>
      </c>
      <c r="AK5443">
        <v>10.85083780926</v>
      </c>
      <c r="AL5443">
        <v>88.266535365825902</v>
      </c>
      <c r="AM5443">
        <v>95.452529935404698</v>
      </c>
      <c r="AN5443">
        <v>1.00000000100877</v>
      </c>
    </row>
    <row r="5444" spans="1:40" x14ac:dyDescent="0.25">
      <c r="A5444" t="str">
        <f>"20190312151642339"</f>
        <v>20190312151642339</v>
      </c>
      <c r="B5444" t="str">
        <f>"1552375002333678"</f>
        <v>1552375002333678</v>
      </c>
      <c r="C5444" t="s">
        <v>40</v>
      </c>
      <c r="D5444">
        <v>4.9442810000000001</v>
      </c>
      <c r="E5444">
        <v>0.51681729999999904</v>
      </c>
      <c r="F5444" t="s">
        <v>43</v>
      </c>
      <c r="G5444">
        <v>-298.98</v>
      </c>
      <c r="H5444" s="1">
        <v>-1.404146E-6</v>
      </c>
      <c r="I5444">
        <v>-27.51586</v>
      </c>
      <c r="J5444">
        <v>-299.58109999999999</v>
      </c>
      <c r="K5444">
        <v>1.1098380000000001</v>
      </c>
      <c r="L5444">
        <v>-10.42496</v>
      </c>
      <c r="M5444">
        <v>-1.339928E-2</v>
      </c>
      <c r="N5444">
        <v>0</v>
      </c>
      <c r="O5444">
        <v>-0.99982599999999999</v>
      </c>
      <c r="P5444">
        <v>8.6173459999999993E-2</v>
      </c>
      <c r="Q5444">
        <v>1.7088329999999999E-2</v>
      </c>
      <c r="R5444">
        <v>-0.99613370000000001</v>
      </c>
      <c r="S5444">
        <v>0.10385129999999999</v>
      </c>
      <c r="T5444">
        <v>-0.1926997</v>
      </c>
      <c r="U5444">
        <v>-3.005341</v>
      </c>
      <c r="V5444">
        <v>-9.9514539999999999E-2</v>
      </c>
      <c r="W5444">
        <v>3.0014599999999898E-2</v>
      </c>
      <c r="X5444">
        <v>0.99458329999999995</v>
      </c>
      <c r="Y5444">
        <v>-4.7853640000000003E-2</v>
      </c>
      <c r="Z5444">
        <v>6.3923400000000005E-2</v>
      </c>
      <c r="AA5444">
        <v>0.99680679999999999</v>
      </c>
      <c r="AB5444">
        <v>22</v>
      </c>
      <c r="AC5444">
        <v>0.60109999999997399</v>
      </c>
      <c r="AD5444">
        <v>-1.10983940414599</v>
      </c>
      <c r="AE5444">
        <v>-17.090899999999898</v>
      </c>
      <c r="AF5444">
        <v>-0.82658975330232398</v>
      </c>
      <c r="AG5444">
        <v>-1.10983940414599</v>
      </c>
      <c r="AH5444">
        <v>17.0096714406553</v>
      </c>
      <c r="AI5444">
        <v>93.728730028951802</v>
      </c>
      <c r="AJ5444">
        <v>92.782115858973796</v>
      </c>
      <c r="AK5444">
        <v>17.065869935116201</v>
      </c>
      <c r="AL5444">
        <v>88.280031749910805</v>
      </c>
      <c r="AM5444">
        <v>95.713799194582506</v>
      </c>
      <c r="AN5444">
        <v>0.99999998026172998</v>
      </c>
    </row>
    <row r="5445" spans="1:40" x14ac:dyDescent="0.25">
      <c r="A5445" t="str">
        <f>"20190312151642362"</f>
        <v>20190312151642362</v>
      </c>
      <c r="B5445" t="str">
        <f>"1552375002353198"</f>
        <v>1552375002353198</v>
      </c>
      <c r="C5445" t="s">
        <v>40</v>
      </c>
      <c r="D5445">
        <v>4.9833829999999999</v>
      </c>
      <c r="E5445">
        <v>0.51728560000000001</v>
      </c>
      <c r="F5445" t="s">
        <v>43</v>
      </c>
      <c r="G5445">
        <v>-298.90350000000001</v>
      </c>
      <c r="H5445" s="1">
        <v>-1.7429000000000001E-6</v>
      </c>
      <c r="I5445">
        <v>-26.757850000000001</v>
      </c>
      <c r="J5445">
        <v>-299.58409999999998</v>
      </c>
      <c r="K5445">
        <v>1.109837</v>
      </c>
      <c r="L5445">
        <v>-10.657870000000001</v>
      </c>
      <c r="M5445">
        <v>-1.3436750000000001E-2</v>
      </c>
      <c r="N5445">
        <v>0</v>
      </c>
      <c r="O5445">
        <v>-0.99982519999999997</v>
      </c>
      <c r="P5445">
        <v>9.1302069999999999E-2</v>
      </c>
      <c r="Q5445">
        <v>1.7363010000000002E-2</v>
      </c>
      <c r="R5445">
        <v>-0.99567229999999995</v>
      </c>
      <c r="S5445">
        <v>0.1246338</v>
      </c>
      <c r="T5445">
        <v>-0.2041502</v>
      </c>
      <c r="U5445">
        <v>-3.0043639999999998</v>
      </c>
      <c r="V5445">
        <v>-0.1046726</v>
      </c>
      <c r="W5445">
        <v>3.030439E-2</v>
      </c>
      <c r="X5445">
        <v>0.99404490000000001</v>
      </c>
      <c r="Y5445">
        <v>-5.4776060000000001E-2</v>
      </c>
      <c r="Z5445">
        <v>6.7705829999999995E-2</v>
      </c>
      <c r="AA5445">
        <v>0.99620059999999999</v>
      </c>
      <c r="AB5445">
        <v>22</v>
      </c>
      <c r="AC5445">
        <v>0.68059999999996901</v>
      </c>
      <c r="AD5445">
        <v>-1.1098387429000001</v>
      </c>
      <c r="AE5445">
        <v>-16.099979999999999</v>
      </c>
      <c r="AF5445">
        <v>-0.89265398478586999</v>
      </c>
      <c r="AG5445">
        <v>-1.1098387429000001</v>
      </c>
      <c r="AH5445">
        <v>16.013421715648001</v>
      </c>
      <c r="AI5445">
        <v>93.9585202861835</v>
      </c>
      <c r="AJ5445">
        <v>93.190600294053596</v>
      </c>
      <c r="AK5445">
        <v>16.076636719630802</v>
      </c>
      <c r="AL5445">
        <v>88.263420459448994</v>
      </c>
      <c r="AM5445">
        <v>96.011075016943593</v>
      </c>
      <c r="AN5445">
        <v>0.99999998623002095</v>
      </c>
    </row>
    <row r="5446" spans="1:40" x14ac:dyDescent="0.25">
      <c r="A5446" t="str">
        <f>"20190312151642386"</f>
        <v>20190312151642386</v>
      </c>
      <c r="B5446" t="str">
        <f>"1552375002383454"</f>
        <v>1552375002383454</v>
      </c>
      <c r="C5446" t="s">
        <v>40</v>
      </c>
      <c r="D5446">
        <v>5.0558079999999999</v>
      </c>
      <c r="E5446">
        <v>0.50907709999999995</v>
      </c>
      <c r="F5446" t="s">
        <v>43</v>
      </c>
      <c r="G5446">
        <v>-298.85390000000001</v>
      </c>
      <c r="H5446" s="1">
        <v>-1.750469E-6</v>
      </c>
      <c r="I5446">
        <v>-26.760719999999999</v>
      </c>
      <c r="J5446">
        <v>-299.5872</v>
      </c>
      <c r="K5446">
        <v>1.1098399999999999</v>
      </c>
      <c r="L5446">
        <v>-10.88278</v>
      </c>
      <c r="M5446">
        <v>-1.3475620000000001E-2</v>
      </c>
      <c r="N5446">
        <v>0</v>
      </c>
      <c r="O5446">
        <v>-0.9998243</v>
      </c>
      <c r="P5446">
        <v>9.7017539999999999E-2</v>
      </c>
      <c r="Q5446">
        <v>1.7431909999999998E-2</v>
      </c>
      <c r="R5446">
        <v>-0.99513019999999996</v>
      </c>
      <c r="S5446">
        <v>0.1362305</v>
      </c>
      <c r="T5446">
        <v>-0.20705180000000001</v>
      </c>
      <c r="U5446">
        <v>-3.0041500000000001</v>
      </c>
      <c r="V5446">
        <v>-0.1104183</v>
      </c>
      <c r="W5446">
        <v>3.0383500000000001E-2</v>
      </c>
      <c r="X5446">
        <v>0.99342070000000005</v>
      </c>
      <c r="Y5446">
        <v>-5.8652749999999997E-2</v>
      </c>
      <c r="Z5446">
        <v>6.8655099999999997E-2</v>
      </c>
      <c r="AA5446">
        <v>0.99591479999999999</v>
      </c>
      <c r="AB5446">
        <v>22</v>
      </c>
      <c r="AC5446">
        <v>0.73329999999998496</v>
      </c>
      <c r="AD5446">
        <v>-1.1098417504689999</v>
      </c>
      <c r="AE5446">
        <v>-15.877940000000001</v>
      </c>
      <c r="AF5446">
        <v>-0.94262102043659102</v>
      </c>
      <c r="AG5446">
        <v>-1.1098417504689999</v>
      </c>
      <c r="AH5446">
        <v>15.7896350512172</v>
      </c>
      <c r="AI5446">
        <v>94.0135428928875</v>
      </c>
      <c r="AJ5446">
        <v>93.416429968545003</v>
      </c>
      <c r="AK5446">
        <v>15.856634515239399</v>
      </c>
      <c r="AL5446">
        <v>88.258885765461898</v>
      </c>
      <c r="AM5446">
        <v>96.342369328785693</v>
      </c>
      <c r="AN5446">
        <v>1.0000000226178101</v>
      </c>
    </row>
    <row r="5447" spans="1:40" x14ac:dyDescent="0.25">
      <c r="A5447" t="str">
        <f>"20190312151642408"</f>
        <v>20190312151642408</v>
      </c>
      <c r="B5447" t="str">
        <f>"1552375002402974"</f>
        <v>1552375002402974</v>
      </c>
      <c r="C5447" t="s">
        <v>40</v>
      </c>
      <c r="D5447">
        <v>4.9142619999999999</v>
      </c>
      <c r="E5447">
        <v>0.4435653</v>
      </c>
      <c r="F5447" t="s">
        <v>43</v>
      </c>
      <c r="G5447">
        <v>-298.46280000000002</v>
      </c>
      <c r="H5447" s="1">
        <v>-2.021751E-6</v>
      </c>
      <c r="I5447">
        <v>-26.29008</v>
      </c>
      <c r="J5447">
        <v>-299.59019999999998</v>
      </c>
      <c r="K5447">
        <v>1.1098410000000001</v>
      </c>
      <c r="L5447">
        <v>-11.107699999999999</v>
      </c>
      <c r="M5447">
        <v>-1.351248E-2</v>
      </c>
      <c r="N5447">
        <v>0</v>
      </c>
      <c r="O5447">
        <v>-0.99982380000000004</v>
      </c>
      <c r="P5447">
        <v>0.1025095</v>
      </c>
      <c r="Q5447">
        <v>1.7098450000000001E-2</v>
      </c>
      <c r="R5447">
        <v>-0.99458550000000001</v>
      </c>
      <c r="S5447">
        <v>0.21871950000000001</v>
      </c>
      <c r="T5447">
        <v>-0.215894</v>
      </c>
      <c r="U5447">
        <v>-2.997131</v>
      </c>
      <c r="V5447">
        <v>-0.11593820000000001</v>
      </c>
      <c r="W5447">
        <v>3.0057500000000001E-2</v>
      </c>
      <c r="X5447">
        <v>0.9928015</v>
      </c>
      <c r="Y5447">
        <v>-8.6066950000000003E-2</v>
      </c>
      <c r="Z5447">
        <v>7.1609489999999998E-2</v>
      </c>
      <c r="AA5447">
        <v>0.9937125</v>
      </c>
      <c r="AB5447">
        <v>22</v>
      </c>
      <c r="AC5447">
        <v>1.12739999999996</v>
      </c>
      <c r="AD5447">
        <v>-1.109843021751</v>
      </c>
      <c r="AE5447">
        <v>-15.182379999999901</v>
      </c>
      <c r="AF5447">
        <v>-1.32542223740695</v>
      </c>
      <c r="AG5447">
        <v>-1.109843021751</v>
      </c>
      <c r="AH5447">
        <v>15.0855873575362</v>
      </c>
      <c r="AI5447">
        <v>94.191567045750006</v>
      </c>
      <c r="AJ5447">
        <v>95.021123259487197</v>
      </c>
      <c r="AK5447">
        <v>15.184315643525</v>
      </c>
      <c r="AL5447">
        <v>88.277572631949596</v>
      </c>
      <c r="AM5447">
        <v>96.660765289819395</v>
      </c>
      <c r="AN5447">
        <v>0.999999968963869</v>
      </c>
    </row>
    <row r="5448" spans="1:40" x14ac:dyDescent="0.25">
      <c r="A5448" t="str">
        <f>"20190312151642433"</f>
        <v>20190312151642433</v>
      </c>
      <c r="B5448" t="str">
        <f>"1552375002423470"</f>
        <v>1552375002423470</v>
      </c>
      <c r="C5448" t="s">
        <v>40</v>
      </c>
      <c r="D5448">
        <v>4.9221919999999999</v>
      </c>
      <c r="E5448">
        <v>0.44036700000000001</v>
      </c>
      <c r="F5448" t="s">
        <v>43</v>
      </c>
      <c r="G5448">
        <v>-296.08109999999999</v>
      </c>
      <c r="H5448" s="1">
        <v>-3.0907919999999999E-6</v>
      </c>
      <c r="I5448">
        <v>-24.782920000000001</v>
      </c>
      <c r="J5448">
        <v>-299.59320000000002</v>
      </c>
      <c r="K5448">
        <v>1.1098429999999999</v>
      </c>
      <c r="L5448">
        <v>-11.332179999999999</v>
      </c>
      <c r="M5448">
        <v>-1.354591E-2</v>
      </c>
      <c r="N5448">
        <v>0</v>
      </c>
      <c r="O5448">
        <v>-0.99982309999999996</v>
      </c>
      <c r="P5448">
        <v>0.1082144</v>
      </c>
      <c r="Q5448">
        <v>1.7003009999999999E-2</v>
      </c>
      <c r="R5448">
        <v>-0.99398220000000004</v>
      </c>
      <c r="S5448">
        <v>0.7550964</v>
      </c>
      <c r="T5448">
        <v>-0.23881550000000001</v>
      </c>
      <c r="U5448">
        <v>-2.9426269999999999</v>
      </c>
      <c r="V5448">
        <v>-0.1216676</v>
      </c>
      <c r="W5448">
        <v>2.9965510000000001E-2</v>
      </c>
      <c r="X5448">
        <v>0.99211850000000001</v>
      </c>
      <c r="Y5448">
        <v>-0.26089030000000002</v>
      </c>
      <c r="Z5448">
        <v>7.8220319999999996E-2</v>
      </c>
      <c r="AA5448">
        <v>0.96219429999999995</v>
      </c>
      <c r="AB5448">
        <v>22</v>
      </c>
      <c r="AC5448">
        <v>3.51210000000003</v>
      </c>
      <c r="AD5448">
        <v>-1.109846090792</v>
      </c>
      <c r="AE5448">
        <v>-13.45074</v>
      </c>
      <c r="AF5448">
        <v>-3.67060053377423</v>
      </c>
      <c r="AG5448">
        <v>-1.109846090792</v>
      </c>
      <c r="AH5448">
        <v>13.317048542672399</v>
      </c>
      <c r="AI5448">
        <v>94.593512214644804</v>
      </c>
      <c r="AJ5448">
        <v>105.409894067154</v>
      </c>
      <c r="AK5448">
        <v>13.858169017286601</v>
      </c>
      <c r="AL5448">
        <v>88.282845746390805</v>
      </c>
      <c r="AM5448">
        <v>96.9915094210143</v>
      </c>
      <c r="AN5448">
        <v>1.0000000273607801</v>
      </c>
    </row>
    <row r="5449" spans="1:40" x14ac:dyDescent="0.25">
      <c r="A5449" t="str">
        <f>"20190312151642451"</f>
        <v>20190312151642451</v>
      </c>
      <c r="B5449" t="str">
        <f>"1552375002442989"</f>
        <v>1552375002442989</v>
      </c>
      <c r="C5449" t="s">
        <v>40</v>
      </c>
      <c r="D5449">
        <v>4.9067619999999996</v>
      </c>
      <c r="E5449">
        <v>0.44036310000000001</v>
      </c>
      <c r="F5449" t="s">
        <v>43</v>
      </c>
      <c r="G5449">
        <v>-296.23719999999997</v>
      </c>
      <c r="H5449" s="1">
        <v>-3.5332680000000001E-6</v>
      </c>
      <c r="I5449">
        <v>-23.68693</v>
      </c>
      <c r="J5449">
        <v>-299.5958</v>
      </c>
      <c r="K5449">
        <v>1.109839</v>
      </c>
      <c r="L5449">
        <v>-11.516389999999999</v>
      </c>
      <c r="M5449">
        <v>-1.357094E-2</v>
      </c>
      <c r="N5449">
        <v>0</v>
      </c>
      <c r="O5449">
        <v>-0.99982260000000001</v>
      </c>
      <c r="P5449">
        <v>0.11378000000000001</v>
      </c>
      <c r="Q5449">
        <v>1.7087930000000001E-2</v>
      </c>
      <c r="R5449">
        <v>-0.99335910000000005</v>
      </c>
      <c r="S5449">
        <v>0.79748540000000001</v>
      </c>
      <c r="T5449">
        <v>-0.26373220000000003</v>
      </c>
      <c r="U5449">
        <v>-2.9358520000000001</v>
      </c>
      <c r="V5449">
        <v>-0.1272491</v>
      </c>
      <c r="W5449">
        <v>3.005035E-2</v>
      </c>
      <c r="X5449">
        <v>0.99141550000000001</v>
      </c>
      <c r="Y5449">
        <v>-0.27423449999999999</v>
      </c>
      <c r="Z5449">
        <v>8.6194179999999995E-2</v>
      </c>
      <c r="AA5449">
        <v>0.95779230000000004</v>
      </c>
      <c r="AB5449">
        <v>22</v>
      </c>
      <c r="AC5449">
        <v>3.35860000000002</v>
      </c>
      <c r="AD5449">
        <v>-1.109842533268</v>
      </c>
      <c r="AE5449">
        <v>-12.1705399999999</v>
      </c>
      <c r="AF5449">
        <v>-3.4964522448697202</v>
      </c>
      <c r="AG5449">
        <v>-1.109842533268</v>
      </c>
      <c r="AH5449">
        <v>12.030869528957901</v>
      </c>
      <c r="AI5449">
        <v>95.062297509113606</v>
      </c>
      <c r="AJ5449">
        <v>106.205101002391</v>
      </c>
      <c r="AK5449">
        <v>12.577708470628201</v>
      </c>
      <c r="AL5449">
        <v>88.277982578987405</v>
      </c>
      <c r="AM5449">
        <v>97.313978039885299</v>
      </c>
      <c r="AN5449">
        <v>1.0000000253130901</v>
      </c>
    </row>
    <row r="5450" spans="1:40" x14ac:dyDescent="0.25">
      <c r="A5450" t="str">
        <f>"20190312151642478"</f>
        <v>20190312151642478</v>
      </c>
      <c r="B5450" t="str">
        <f>"1552375002473246"</f>
        <v>1552375002473246</v>
      </c>
      <c r="C5450" t="s">
        <v>40</v>
      </c>
      <c r="D5450">
        <v>4.9394239999999998</v>
      </c>
      <c r="E5450">
        <v>0.44075340000000002</v>
      </c>
      <c r="F5450" t="s">
        <v>43</v>
      </c>
      <c r="G5450">
        <v>-296.16989999999998</v>
      </c>
      <c r="H5450" s="1">
        <v>-3.4740269999999998E-6</v>
      </c>
      <c r="I5450">
        <v>-23.852879999999999</v>
      </c>
      <c r="J5450">
        <v>-299.5992</v>
      </c>
      <c r="K5450">
        <v>1.109853</v>
      </c>
      <c r="L5450">
        <v>-11.76736</v>
      </c>
      <c r="M5450">
        <v>-1.360196E-2</v>
      </c>
      <c r="N5450">
        <v>0</v>
      </c>
      <c r="O5450">
        <v>-0.99982210000000005</v>
      </c>
      <c r="P5450">
        <v>0.11880930000000001</v>
      </c>
      <c r="Q5450">
        <v>1.726223E-2</v>
      </c>
      <c r="R5450">
        <v>-0.99276719999999896</v>
      </c>
      <c r="S5450">
        <v>0.81405640000000001</v>
      </c>
      <c r="T5450">
        <v>-0.26371800000000001</v>
      </c>
      <c r="U5450">
        <v>-2.9313660000000001</v>
      </c>
      <c r="V5450">
        <v>-0.132300799999999</v>
      </c>
      <c r="W5450">
        <v>3.0224310000000001E-2</v>
      </c>
      <c r="X5450">
        <v>0.99074870000000004</v>
      </c>
      <c r="Y5450">
        <v>-0.27966489999999999</v>
      </c>
      <c r="Z5450">
        <v>8.6183999999999997E-2</v>
      </c>
      <c r="AA5450">
        <v>0.95622169999999895</v>
      </c>
      <c r="AB5450">
        <v>22</v>
      </c>
      <c r="AC5450">
        <v>3.4293000000000098</v>
      </c>
      <c r="AD5450">
        <v>-1.1098564740270001</v>
      </c>
      <c r="AE5450">
        <v>-12.085520000000001</v>
      </c>
      <c r="AF5450">
        <v>-3.5655544069999499</v>
      </c>
      <c r="AG5450">
        <v>-1.1098564740270001</v>
      </c>
      <c r="AH5450">
        <v>11.944525775067399</v>
      </c>
      <c r="AI5450">
        <v>95.087933328905294</v>
      </c>
      <c r="AJ5450">
        <v>106.620864049524</v>
      </c>
      <c r="AK5450">
        <v>12.5146576306932</v>
      </c>
      <c r="AL5450">
        <v>88.268010829625098</v>
      </c>
      <c r="AM5450">
        <v>97.606062499353399</v>
      </c>
      <c r="AN5450">
        <v>0.99999999857365296</v>
      </c>
    </row>
    <row r="5451" spans="1:40" x14ac:dyDescent="0.25">
      <c r="A5451" t="str">
        <f>"20190312151642502"</f>
        <v>20190312151642502</v>
      </c>
      <c r="B5451" t="str">
        <f>"1552375002493742"</f>
        <v>1552375002493742</v>
      </c>
      <c r="C5451" t="s">
        <v>40</v>
      </c>
      <c r="D5451">
        <v>4.9276669999999996</v>
      </c>
      <c r="E5451">
        <v>0.44148900000000002</v>
      </c>
      <c r="F5451" t="s">
        <v>43</v>
      </c>
      <c r="G5451">
        <v>-296.3809</v>
      </c>
      <c r="H5451" s="1">
        <v>-3.7298459999999998E-6</v>
      </c>
      <c r="I5451">
        <v>-23.16929</v>
      </c>
      <c r="J5451">
        <v>-299.60250000000002</v>
      </c>
      <c r="K5451">
        <v>1.109853</v>
      </c>
      <c r="L5451">
        <v>-12.00671</v>
      </c>
      <c r="M5451">
        <v>-1.3631239999999999E-2</v>
      </c>
      <c r="N5451">
        <v>0</v>
      </c>
      <c r="O5451">
        <v>-0.99982309999999996</v>
      </c>
      <c r="P5451">
        <v>0.12433329999999999</v>
      </c>
      <c r="Q5451">
        <v>1.7730739999999998E-2</v>
      </c>
      <c r="R5451">
        <v>-0.99208240000000003</v>
      </c>
      <c r="S5451">
        <v>0.82641600000000004</v>
      </c>
      <c r="T5451">
        <v>-0.28500180000000003</v>
      </c>
      <c r="U5451">
        <v>-2.9279169999999999</v>
      </c>
      <c r="V5451">
        <v>-0.1378453</v>
      </c>
      <c r="W5451">
        <v>3.0590349999999999E-2</v>
      </c>
      <c r="X5451">
        <v>0.98998129999999995</v>
      </c>
      <c r="Y5451">
        <v>-0.2835548</v>
      </c>
      <c r="Z5451">
        <v>9.3077850000000004E-2</v>
      </c>
      <c r="AA5451">
        <v>0.95442819999999995</v>
      </c>
      <c r="AB5451">
        <v>22</v>
      </c>
      <c r="AC5451">
        <v>3.22160000000002</v>
      </c>
      <c r="AD5451">
        <v>-1.109856729846</v>
      </c>
      <c r="AE5451">
        <v>-11.16258</v>
      </c>
      <c r="AF5451">
        <v>-3.3429668596972202</v>
      </c>
      <c r="AG5451">
        <v>-1.109856729846</v>
      </c>
      <c r="AH5451">
        <v>11.017087809261</v>
      </c>
      <c r="AI5451">
        <v>95.5062647693549</v>
      </c>
      <c r="AJ5451">
        <v>106.879618505522</v>
      </c>
      <c r="AK5451">
        <v>11.566478858442</v>
      </c>
      <c r="AL5451">
        <v>88.247028644343303</v>
      </c>
      <c r="AM5451">
        <v>97.926915471448794</v>
      </c>
      <c r="AN5451">
        <v>1.0000000352974501</v>
      </c>
    </row>
    <row r="5452" spans="1:40" x14ac:dyDescent="0.25">
      <c r="A5452" t="str">
        <f>"20190312151642525"</f>
        <v>20190312151642525</v>
      </c>
      <c r="B5452" t="str">
        <f>"1552375002523022"</f>
        <v>1552375002523022</v>
      </c>
      <c r="C5452" t="s">
        <v>40</v>
      </c>
      <c r="D5452">
        <v>4.9104679999999998</v>
      </c>
      <c r="E5452">
        <v>0.44249050000000001</v>
      </c>
      <c r="F5452" t="s">
        <v>43</v>
      </c>
      <c r="G5452">
        <v>-296.37909999999999</v>
      </c>
      <c r="H5452" s="1">
        <v>-3.6899180000000001E-6</v>
      </c>
      <c r="I5452">
        <v>-23.26313</v>
      </c>
      <c r="J5452">
        <v>-299.60559999999998</v>
      </c>
      <c r="K5452">
        <v>1.1098129999999999</v>
      </c>
      <c r="L5452">
        <v>-12.23273</v>
      </c>
      <c r="M5452">
        <v>-1.366129E-2</v>
      </c>
      <c r="N5452">
        <v>0</v>
      </c>
      <c r="O5452">
        <v>-0.99982570000000004</v>
      </c>
      <c r="P5452">
        <v>0.12918289999999999</v>
      </c>
      <c r="Q5452">
        <v>1.9346189999999999E-2</v>
      </c>
      <c r="R5452">
        <v>-0.99143219999999999</v>
      </c>
      <c r="S5452">
        <v>0.8373718</v>
      </c>
      <c r="T5452">
        <v>-0.28831580000000001</v>
      </c>
      <c r="U5452">
        <v>-2.9241640000000002</v>
      </c>
      <c r="V5452">
        <v>-0.14271679999999901</v>
      </c>
      <c r="W5452">
        <v>3.1943909999999999E-2</v>
      </c>
      <c r="X5452">
        <v>0.98924789999999996</v>
      </c>
      <c r="Y5452">
        <v>-0.28718159999999998</v>
      </c>
      <c r="Z5452">
        <v>9.4166479999999997E-2</v>
      </c>
      <c r="AA5452">
        <v>0.95323630000000004</v>
      </c>
      <c r="AB5452">
        <v>22</v>
      </c>
      <c r="AC5452">
        <v>3.2264999999999802</v>
      </c>
      <c r="AD5452">
        <v>-1.109816689918</v>
      </c>
      <c r="AE5452">
        <v>-11.0304</v>
      </c>
      <c r="AF5452">
        <v>-3.3457007053574701</v>
      </c>
      <c r="AG5452">
        <v>-1.109816689918</v>
      </c>
      <c r="AH5452">
        <v>10.883793522937999</v>
      </c>
      <c r="AI5452">
        <v>95.566943883476497</v>
      </c>
      <c r="AJ5452">
        <v>107.08753677895</v>
      </c>
      <c r="AK5452">
        <v>11.440383199220101</v>
      </c>
      <c r="AL5452">
        <v>88.169437278002306</v>
      </c>
      <c r="AM5452">
        <v>98.209305186045</v>
      </c>
      <c r="AN5452">
        <v>0.99999995302136702</v>
      </c>
    </row>
    <row r="5453" spans="1:40" x14ac:dyDescent="0.25">
      <c r="A5453" t="str">
        <f>"20190312151642563"</f>
        <v>20190312151642563</v>
      </c>
      <c r="B5453" t="str">
        <f>"1552375002553278"</f>
        <v>1552375002553278</v>
      </c>
      <c r="C5453" t="s">
        <v>40</v>
      </c>
      <c r="D5453">
        <v>4.9968500000000002</v>
      </c>
      <c r="E5453">
        <v>0.44378580000000001</v>
      </c>
      <c r="F5453" t="s">
        <v>43</v>
      </c>
      <c r="G5453">
        <v>-296.29939999999999</v>
      </c>
      <c r="H5453" s="1">
        <v>-3.5264339999999999E-6</v>
      </c>
      <c r="I5453">
        <v>-23.677160000000001</v>
      </c>
      <c r="J5453">
        <v>-299.61040000000003</v>
      </c>
      <c r="K5453">
        <v>1.1098300000000001</v>
      </c>
      <c r="L5453">
        <v>-12.58508</v>
      </c>
      <c r="M5453">
        <v>-1.37091E-2</v>
      </c>
      <c r="N5453">
        <v>0</v>
      </c>
      <c r="O5453">
        <v>-0.99982760000000004</v>
      </c>
      <c r="P5453">
        <v>0.1393517</v>
      </c>
      <c r="Q5453">
        <v>2.2589450000000001E-2</v>
      </c>
      <c r="R5453">
        <v>-0.98998560000000002</v>
      </c>
      <c r="S5453">
        <v>0.84399409999999897</v>
      </c>
      <c r="T5453">
        <v>-0.28330840000000002</v>
      </c>
      <c r="U5453">
        <v>-2.921478</v>
      </c>
      <c r="V5453">
        <v>-0.15291399999999999</v>
      </c>
      <c r="W5453">
        <v>3.4971559999999999E-2</v>
      </c>
      <c r="X5453">
        <v>0.98762050000000001</v>
      </c>
      <c r="Y5453">
        <v>-0.28949560000000002</v>
      </c>
      <c r="Z5453">
        <v>9.2565590000000003E-2</v>
      </c>
      <c r="AA5453">
        <v>0.95269300000000001</v>
      </c>
      <c r="AB5453">
        <v>22</v>
      </c>
      <c r="AC5453">
        <v>3.3110000000000301</v>
      </c>
      <c r="AD5453">
        <v>-1.10983352643399</v>
      </c>
      <c r="AE5453">
        <v>-11.092079999999999</v>
      </c>
      <c r="AF5453">
        <v>-3.4312225857110299</v>
      </c>
      <c r="AG5453">
        <v>-1.10983352643399</v>
      </c>
      <c r="AH5453">
        <v>10.945033843685</v>
      </c>
      <c r="AI5453">
        <v>95.526587823337806</v>
      </c>
      <c r="AJ5453">
        <v>107.40599106782901</v>
      </c>
      <c r="AK5453">
        <v>11.523835504227799</v>
      </c>
      <c r="AL5453">
        <v>87.995868508538805</v>
      </c>
      <c r="AM5453">
        <v>98.801261656890702</v>
      </c>
      <c r="AN5453">
        <v>0.99999997671254104</v>
      </c>
    </row>
    <row r="5454" spans="1:40" x14ac:dyDescent="0.25">
      <c r="A5454" t="str">
        <f>"20190312151642587"</f>
        <v>20190312151642587</v>
      </c>
      <c r="B5454" t="str">
        <f>"1552375002583534"</f>
        <v>1552375002583534</v>
      </c>
      <c r="C5454" t="s">
        <v>40</v>
      </c>
      <c r="D5454">
        <v>4.9950999999999999</v>
      </c>
      <c r="E5454">
        <v>0.44456830000000003</v>
      </c>
      <c r="F5454" t="s">
        <v>43</v>
      </c>
      <c r="G5454">
        <v>-296.11739999999998</v>
      </c>
      <c r="H5454" s="1">
        <v>-3.2617419999999999E-6</v>
      </c>
      <c r="I5454">
        <v>-24.369409999999998</v>
      </c>
      <c r="J5454">
        <v>-299.61380000000003</v>
      </c>
      <c r="K5454">
        <v>1.1098600000000001</v>
      </c>
      <c r="L5454">
        <v>-12.824159999999999</v>
      </c>
      <c r="M5454">
        <v>-1.3736150000000001E-2</v>
      </c>
      <c r="N5454">
        <v>0</v>
      </c>
      <c r="O5454">
        <v>-0.99982740000000003</v>
      </c>
      <c r="P5454">
        <v>0.14425350000000001</v>
      </c>
      <c r="Q5454">
        <v>2.39966E-2</v>
      </c>
      <c r="R5454">
        <v>-0.98924999999999996</v>
      </c>
      <c r="S5454">
        <v>0.86404419999999904</v>
      </c>
      <c r="T5454">
        <v>-0.27452900000000002</v>
      </c>
      <c r="U5454">
        <v>-2.9149780000000001</v>
      </c>
      <c r="V5454">
        <v>-0.1578331</v>
      </c>
      <c r="W5454">
        <v>3.6349230000000003E-2</v>
      </c>
      <c r="X5454">
        <v>0.98679660000000002</v>
      </c>
      <c r="Y5454">
        <v>-0.29618949999999999</v>
      </c>
      <c r="Z5454">
        <v>8.973362E-2</v>
      </c>
      <c r="AA5454">
        <v>0.95090469999999905</v>
      </c>
      <c r="AB5454">
        <v>22</v>
      </c>
      <c r="AC5454">
        <v>3.4964000000000501</v>
      </c>
      <c r="AD5454">
        <v>-1.1098632617419999</v>
      </c>
      <c r="AE5454">
        <v>-11.545249999999999</v>
      </c>
      <c r="AF5454">
        <v>-3.6239929267728601</v>
      </c>
      <c r="AG5454">
        <v>-1.1098632617419999</v>
      </c>
      <c r="AH5454">
        <v>11.3996326574318</v>
      </c>
      <c r="AI5454">
        <v>95.300947432226096</v>
      </c>
      <c r="AJ5454">
        <v>107.635687358927</v>
      </c>
      <c r="AK5454">
        <v>12.013190497009999</v>
      </c>
      <c r="AL5454">
        <v>87.916883722553806</v>
      </c>
      <c r="AM5454">
        <v>99.087199632439095</v>
      </c>
      <c r="AN5454">
        <v>1.00000004187438</v>
      </c>
    </row>
    <row r="5455" spans="1:40" x14ac:dyDescent="0.25">
      <c r="A5455" t="str">
        <f>"20190312151642608"</f>
        <v>20190312151642608</v>
      </c>
      <c r="B5455" t="str">
        <f>"1552375002603054"</f>
        <v>1552375002603054</v>
      </c>
      <c r="C5455" t="s">
        <v>40</v>
      </c>
      <c r="D5455">
        <v>4.9314049999999998</v>
      </c>
      <c r="E5455">
        <v>0.44528010000000001</v>
      </c>
      <c r="F5455" t="s">
        <v>43</v>
      </c>
      <c r="G5455">
        <v>-295.99970000000002</v>
      </c>
      <c r="H5455" s="1">
        <v>-3.0616309999999998E-6</v>
      </c>
      <c r="I5455">
        <v>-24.884550000000001</v>
      </c>
      <c r="J5455">
        <v>-299.61680000000001</v>
      </c>
      <c r="K5455">
        <v>1.109874</v>
      </c>
      <c r="L5455">
        <v>-13.04196</v>
      </c>
      <c r="M5455">
        <v>-1.3760939999999999E-2</v>
      </c>
      <c r="N5455">
        <v>0</v>
      </c>
      <c r="O5455">
        <v>-0.99982740000000003</v>
      </c>
      <c r="P5455">
        <v>0.14897939999999901</v>
      </c>
      <c r="Q5455">
        <v>2.464471E-2</v>
      </c>
      <c r="R5455">
        <v>-0.98853349999999995</v>
      </c>
      <c r="S5455">
        <v>0.87258910000000001</v>
      </c>
      <c r="T5455">
        <v>-0.26796569999999997</v>
      </c>
      <c r="U5455">
        <v>-2.9118650000000001</v>
      </c>
      <c r="V5455">
        <v>-0.16257360000000001</v>
      </c>
      <c r="W5455">
        <v>3.694153E-2</v>
      </c>
      <c r="X5455">
        <v>0.98600469999999896</v>
      </c>
      <c r="Y5455">
        <v>-0.29910530000000002</v>
      </c>
      <c r="Z5455">
        <v>8.761832E-2</v>
      </c>
      <c r="AA5455">
        <v>0.9501889</v>
      </c>
      <c r="AB5455">
        <v>22</v>
      </c>
      <c r="AC5455">
        <v>3.61709999999999</v>
      </c>
      <c r="AD5455">
        <v>-1.1098770616310001</v>
      </c>
      <c r="AE5455">
        <v>-11.84259</v>
      </c>
      <c r="AF5455">
        <v>-3.7496116523227201</v>
      </c>
      <c r="AG5455">
        <v>-1.1098770616310001</v>
      </c>
      <c r="AH5455">
        <v>11.697712705234</v>
      </c>
      <c r="AI5455">
        <v>95.162748010547404</v>
      </c>
      <c r="AJ5455">
        <v>107.772852142248</v>
      </c>
      <c r="AK5455">
        <v>12.334013830435</v>
      </c>
      <c r="AL5455">
        <v>87.882924662946195</v>
      </c>
      <c r="AM5455">
        <v>99.362756475760605</v>
      </c>
      <c r="AN5455">
        <v>1.0000000602388901</v>
      </c>
    </row>
    <row r="5456" spans="1:40" x14ac:dyDescent="0.25">
      <c r="A5456" t="str">
        <f>"20190312151642631"</f>
        <v>20190312151642631</v>
      </c>
      <c r="B5456" t="str">
        <f>"1552375002623549"</f>
        <v>1552375002623549</v>
      </c>
      <c r="C5456" t="s">
        <v>40</v>
      </c>
      <c r="D5456">
        <v>4.865132</v>
      </c>
      <c r="E5456">
        <v>0.4460596</v>
      </c>
      <c r="F5456" t="s">
        <v>43</v>
      </c>
      <c r="G5456">
        <v>-295.94229999999999</v>
      </c>
      <c r="H5456" s="1">
        <v>-2.9464540000000001E-6</v>
      </c>
      <c r="I5456">
        <v>-25.176749999999998</v>
      </c>
      <c r="J5456">
        <v>-299.6198</v>
      </c>
      <c r="K5456">
        <v>1.1098709999999901</v>
      </c>
      <c r="L5456">
        <v>-13.25665</v>
      </c>
      <c r="M5456">
        <v>-1.3792560000000001E-2</v>
      </c>
      <c r="N5456">
        <v>0</v>
      </c>
      <c r="O5456">
        <v>-0.99982760000000004</v>
      </c>
      <c r="P5456">
        <v>0.1543929</v>
      </c>
      <c r="Q5456">
        <v>2.426157E-2</v>
      </c>
      <c r="R5456">
        <v>-0.98771160000000002</v>
      </c>
      <c r="S5456">
        <v>0.88076779999999999</v>
      </c>
      <c r="T5456">
        <v>-0.26603579999999999</v>
      </c>
      <c r="U5456">
        <v>-2.9086910000000001</v>
      </c>
      <c r="V5456">
        <v>-0.1680072</v>
      </c>
      <c r="W5456">
        <v>3.6485030000000002E-2</v>
      </c>
      <c r="X5456">
        <v>0.98511029999999999</v>
      </c>
      <c r="Y5456">
        <v>-0.30188399999999999</v>
      </c>
      <c r="Z5456">
        <v>8.7009169999999997E-2</v>
      </c>
      <c r="AA5456">
        <v>0.94936580000000004</v>
      </c>
      <c r="AB5456">
        <v>22</v>
      </c>
      <c r="AC5456">
        <v>3.6775000000000002</v>
      </c>
      <c r="AD5456">
        <v>-1.10987394645399</v>
      </c>
      <c r="AE5456">
        <v>-11.9200999999999</v>
      </c>
      <c r="AF5456">
        <v>-3.8114007476787601</v>
      </c>
      <c r="AG5456">
        <v>-1.10987394645399</v>
      </c>
      <c r="AH5456">
        <v>11.7750295766902</v>
      </c>
      <c r="AI5456">
        <v>95.124338710434898</v>
      </c>
      <c r="AJ5456">
        <v>107.93599057783101</v>
      </c>
      <c r="AK5456">
        <v>12.4261787114283</v>
      </c>
      <c r="AL5456">
        <v>87.909097578143999</v>
      </c>
      <c r="AM5456">
        <v>99.678480078790997</v>
      </c>
      <c r="AN5456">
        <v>0.99999993991601299</v>
      </c>
    </row>
    <row r="5457" spans="1:40" x14ac:dyDescent="0.25">
      <c r="A5457" t="str">
        <f>"20190312151642657"</f>
        <v>20190312151642657</v>
      </c>
      <c r="B5457" t="str">
        <f>"1552375002653805"</f>
        <v>1552375002653805</v>
      </c>
      <c r="C5457" t="s">
        <v>40</v>
      </c>
      <c r="D5457">
        <v>4.9375609999999996</v>
      </c>
      <c r="E5457">
        <v>0.45474629999999999</v>
      </c>
      <c r="F5457" t="s">
        <v>43</v>
      </c>
      <c r="G5457">
        <v>-295.92570000000001</v>
      </c>
      <c r="H5457" s="1">
        <v>-2.8940679999999999E-6</v>
      </c>
      <c r="I5457">
        <v>-25.305720000000001</v>
      </c>
      <c r="J5457">
        <v>-299.62329999999997</v>
      </c>
      <c r="K5457">
        <v>1.109874</v>
      </c>
      <c r="L5457">
        <v>-13.503019999999999</v>
      </c>
      <c r="M5457">
        <v>-1.382661E-2</v>
      </c>
      <c r="N5457">
        <v>0</v>
      </c>
      <c r="O5457">
        <v>-0.99982789999999999</v>
      </c>
      <c r="P5457">
        <v>0.15823719999999999</v>
      </c>
      <c r="Q5457">
        <v>2.3290959999999999E-2</v>
      </c>
      <c r="R5457">
        <v>-0.98712670000000002</v>
      </c>
      <c r="S5457">
        <v>0.89053340000000003</v>
      </c>
      <c r="T5457">
        <v>-0.26755959999999901</v>
      </c>
      <c r="U5457">
        <v>-2.9046940000000001</v>
      </c>
      <c r="V5457">
        <v>-0.17187629999999901</v>
      </c>
      <c r="W5457">
        <v>3.5459060000000001E-2</v>
      </c>
      <c r="X5457">
        <v>0.98448009999999997</v>
      </c>
      <c r="Y5457">
        <v>-0.30518390000000001</v>
      </c>
      <c r="Z5457">
        <v>8.7529029999999994E-2</v>
      </c>
      <c r="AA5457">
        <v>0.9482623</v>
      </c>
      <c r="AB5457">
        <v>22</v>
      </c>
      <c r="AC5457">
        <v>3.69759999999996</v>
      </c>
      <c r="AD5457">
        <v>-1.1098768940679999</v>
      </c>
      <c r="AE5457">
        <v>-11.8027</v>
      </c>
      <c r="AF5457">
        <v>-3.82961265155609</v>
      </c>
      <c r="AG5457">
        <v>-1.1098768940679999</v>
      </c>
      <c r="AH5457">
        <v>11.6565787346528</v>
      </c>
      <c r="AI5457">
        <v>95.168786214951297</v>
      </c>
      <c r="AJ5457">
        <v>108.18724417963899</v>
      </c>
      <c r="AK5457">
        <v>12.319642347816099</v>
      </c>
      <c r="AL5457">
        <v>87.967919399685996</v>
      </c>
      <c r="AM5457">
        <v>99.9032202283461</v>
      </c>
      <c r="AN5457">
        <v>0.99999993736688897</v>
      </c>
    </row>
    <row r="5458" spans="1:40" x14ac:dyDescent="0.25">
      <c r="A5458" t="str">
        <f>"20190312151642678"</f>
        <v>20190312151642678</v>
      </c>
      <c r="B5458" t="str">
        <f>"1552375002673326"</f>
        <v>1552375002673326</v>
      </c>
      <c r="C5458" t="s">
        <v>40</v>
      </c>
      <c r="D5458">
        <v>4.8465199999999999</v>
      </c>
      <c r="E5458">
        <v>0.44341009999999997</v>
      </c>
      <c r="F5458" t="s">
        <v>43</v>
      </c>
      <c r="G5458">
        <v>-297.02620000000002</v>
      </c>
      <c r="H5458" s="1">
        <v>-3.8736410000000001E-6</v>
      </c>
      <c r="I5458">
        <v>-22.567299999999999</v>
      </c>
      <c r="J5458">
        <v>-299.62599999999998</v>
      </c>
      <c r="K5458">
        <v>1.1098760000000001</v>
      </c>
      <c r="L5458">
        <v>-13.70044</v>
      </c>
      <c r="M5458">
        <v>-1.3852440000000001E-2</v>
      </c>
      <c r="N5458">
        <v>0</v>
      </c>
      <c r="O5458">
        <v>-0.99982789999999999</v>
      </c>
      <c r="P5458">
        <v>0.16166349999999999</v>
      </c>
      <c r="Q5458">
        <v>2.217239E-2</v>
      </c>
      <c r="R5458">
        <v>-0.98659739999999996</v>
      </c>
      <c r="S5458">
        <v>0.83483890000000005</v>
      </c>
      <c r="T5458">
        <v>-0.35677209999999998</v>
      </c>
      <c r="U5458">
        <v>-2.9137270000000002</v>
      </c>
      <c r="V5458">
        <v>-0.17532130000000001</v>
      </c>
      <c r="W5458">
        <v>3.4312490000000001E-2</v>
      </c>
      <c r="X5458">
        <v>0.98391309999999998</v>
      </c>
      <c r="Y5458">
        <v>-0.28684510000000002</v>
      </c>
      <c r="Z5458">
        <v>0.1166527</v>
      </c>
      <c r="AA5458">
        <v>0.95084800000000003</v>
      </c>
      <c r="AB5458">
        <v>22</v>
      </c>
      <c r="AC5458">
        <v>2.5997999999999601</v>
      </c>
      <c r="AD5458">
        <v>-1.109879873641</v>
      </c>
      <c r="AE5458">
        <v>-8.8668600000000009</v>
      </c>
      <c r="AF5458">
        <v>-2.6836685383216001</v>
      </c>
      <c r="AG5458">
        <v>-1.109879873641</v>
      </c>
      <c r="AH5458">
        <v>8.7044088045026502</v>
      </c>
      <c r="AI5458">
        <v>96.947132264421498</v>
      </c>
      <c r="AJ5458">
        <v>107.13512735212301</v>
      </c>
      <c r="AK5458">
        <v>9.17609082307896</v>
      </c>
      <c r="AL5458">
        <v>88.033653059516695</v>
      </c>
      <c r="AM5458">
        <v>100.10336858414099</v>
      </c>
      <c r="AN5458">
        <v>0.99999994677764803</v>
      </c>
    </row>
    <row r="5459" spans="1:40" x14ac:dyDescent="0.25">
      <c r="A5459" t="str">
        <f>"20190312151642705"</f>
        <v>20190312151642705</v>
      </c>
      <c r="B5459" t="str">
        <f>"1552375002693822"</f>
        <v>1552375002693822</v>
      </c>
      <c r="C5459" t="s">
        <v>40</v>
      </c>
      <c r="D5459">
        <v>4.8693039999999996</v>
      </c>
      <c r="E5459">
        <v>0.43248379999999997</v>
      </c>
      <c r="F5459" t="s">
        <v>43</v>
      </c>
      <c r="G5459">
        <v>-296.44729999999998</v>
      </c>
      <c r="H5459" s="1">
        <v>-3.5543559999999999E-6</v>
      </c>
      <c r="I5459">
        <v>-23.550909999999998</v>
      </c>
      <c r="J5459">
        <v>-299.62979999999999</v>
      </c>
      <c r="K5459">
        <v>1.1098840000000001</v>
      </c>
      <c r="L5459">
        <v>-13.97031</v>
      </c>
      <c r="M5459">
        <v>-1.3886509999999999E-2</v>
      </c>
      <c r="N5459">
        <v>0</v>
      </c>
      <c r="O5459">
        <v>-0.99982740000000003</v>
      </c>
      <c r="P5459">
        <v>0.16475279999999901</v>
      </c>
      <c r="Q5459">
        <v>2.135482E-2</v>
      </c>
      <c r="R5459">
        <v>-0.98610370000000003</v>
      </c>
      <c r="S5459">
        <v>0.93420409999999998</v>
      </c>
      <c r="T5459">
        <v>-0.32618960000000002</v>
      </c>
      <c r="U5459">
        <v>-2.8950200000000001</v>
      </c>
      <c r="V5459">
        <v>-0.1784375</v>
      </c>
      <c r="W5459">
        <v>3.346565E-2</v>
      </c>
      <c r="X5459">
        <v>0.98338199999999998</v>
      </c>
      <c r="Y5459">
        <v>-0.31854270000000001</v>
      </c>
      <c r="Z5459">
        <v>0.10636379999999999</v>
      </c>
      <c r="AA5459">
        <v>0.94192209999999998</v>
      </c>
      <c r="AB5459">
        <v>22</v>
      </c>
      <c r="AC5459">
        <v>3.1825000000000001</v>
      </c>
      <c r="AD5459">
        <v>-1.1098875543560001</v>
      </c>
      <c r="AE5459">
        <v>-9.5806000000000004</v>
      </c>
      <c r="AF5459">
        <v>-3.2756518634604901</v>
      </c>
      <c r="AG5459">
        <v>-1.1098875543560001</v>
      </c>
      <c r="AH5459">
        <v>9.4216009951074806</v>
      </c>
      <c r="AI5459">
        <v>96.349141860533607</v>
      </c>
      <c r="AJ5459">
        <v>109.171267593442</v>
      </c>
      <c r="AK5459">
        <v>10.036349477021799</v>
      </c>
      <c r="AL5459">
        <v>88.082201456739995</v>
      </c>
      <c r="AM5459">
        <v>100.284584905926</v>
      </c>
      <c r="AN5459">
        <v>1.00000002453008</v>
      </c>
    </row>
    <row r="5460" spans="1:40" x14ac:dyDescent="0.25">
      <c r="A5460" t="str">
        <f>"20190312151642727"</f>
        <v>20190312151642727</v>
      </c>
      <c r="B5460" t="str">
        <f>"1552375002723101"</f>
        <v>1552375002723101</v>
      </c>
      <c r="C5460" t="s">
        <v>40</v>
      </c>
      <c r="D5460">
        <v>4.858066</v>
      </c>
      <c r="E5460">
        <v>0.42615360000000002</v>
      </c>
      <c r="F5460" t="s">
        <v>43</v>
      </c>
      <c r="G5460">
        <v>-296.17270000000002</v>
      </c>
      <c r="H5460" s="1">
        <v>-3.5682579999999999E-6</v>
      </c>
      <c r="I5460">
        <v>-23.63205</v>
      </c>
      <c r="J5460">
        <v>-299.63279999999997</v>
      </c>
      <c r="K5460">
        <v>1.109885</v>
      </c>
      <c r="L5460">
        <v>-14.186769999999999</v>
      </c>
      <c r="M5460">
        <v>-1.3910219999999999E-2</v>
      </c>
      <c r="N5460">
        <v>0</v>
      </c>
      <c r="O5460">
        <v>-0.99982740000000003</v>
      </c>
      <c r="P5460">
        <v>0.16689590000000001</v>
      </c>
      <c r="Q5460">
        <v>2.078814E-2</v>
      </c>
      <c r="R5460">
        <v>-0.98575570000000001</v>
      </c>
      <c r="S5460">
        <v>1.0295719999999999</v>
      </c>
      <c r="T5460">
        <v>-0.33054109999999998</v>
      </c>
      <c r="U5460">
        <v>-2.8774109999999999</v>
      </c>
      <c r="V5460">
        <v>-0.1805986</v>
      </c>
      <c r="W5460">
        <v>3.2875630000000003E-2</v>
      </c>
      <c r="X5460">
        <v>0.98300730000000003</v>
      </c>
      <c r="Y5460">
        <v>-0.3480144</v>
      </c>
      <c r="Z5460">
        <v>0.10725220000000001</v>
      </c>
      <c r="AA5460">
        <v>0.931334</v>
      </c>
      <c r="AB5460">
        <v>22</v>
      </c>
      <c r="AC5460">
        <v>3.46009999999995</v>
      </c>
      <c r="AD5460">
        <v>-1.109888568258</v>
      </c>
      <c r="AE5460">
        <v>-9.4452800000000003</v>
      </c>
      <c r="AF5460">
        <v>-3.54796744221674</v>
      </c>
      <c r="AG5460">
        <v>-1.109888568258</v>
      </c>
      <c r="AH5460">
        <v>9.2832159904417697</v>
      </c>
      <c r="AI5460">
        <v>96.372385156186894</v>
      </c>
      <c r="AJ5460">
        <v>110.916437662272</v>
      </c>
      <c r="AK5460">
        <v>9.9999012360209605</v>
      </c>
      <c r="AL5460">
        <v>88.116025691857303</v>
      </c>
      <c r="AM5460">
        <v>100.410318420157</v>
      </c>
      <c r="AN5460">
        <v>1.00000000661157</v>
      </c>
    </row>
    <row r="5461" spans="1:40" x14ac:dyDescent="0.25">
      <c r="A5461" t="str">
        <f>"20190312151642749"</f>
        <v>20190312151642749</v>
      </c>
      <c r="B5461" t="str">
        <f>"1552375002743598"</f>
        <v>1552375002743598</v>
      </c>
      <c r="C5461" t="s">
        <v>40</v>
      </c>
      <c r="D5461">
        <v>4.8198930000000004</v>
      </c>
      <c r="E5461">
        <v>0.42444409999999999</v>
      </c>
      <c r="F5461" t="s">
        <v>43</v>
      </c>
      <c r="G5461">
        <v>-296.08629999999999</v>
      </c>
      <c r="H5461" s="1">
        <v>-3.6208059999999999E-6</v>
      </c>
      <c r="I5461">
        <v>-23.545269999999999</v>
      </c>
      <c r="J5461">
        <v>-299.63580000000002</v>
      </c>
      <c r="K5461">
        <v>1.109891</v>
      </c>
      <c r="L5461">
        <v>-14.39917</v>
      </c>
      <c r="M5461">
        <v>-1.393116E-2</v>
      </c>
      <c r="N5461">
        <v>0</v>
      </c>
      <c r="O5461">
        <v>-0.99982740000000003</v>
      </c>
      <c r="P5461">
        <v>0.1681291</v>
      </c>
      <c r="Q5461">
        <v>2.0587310000000001E-2</v>
      </c>
      <c r="R5461">
        <v>-0.98555029999999999</v>
      </c>
      <c r="S5461">
        <v>1.0863339999999999</v>
      </c>
      <c r="T5461">
        <v>-0.33997050000000001</v>
      </c>
      <c r="U5461">
        <v>-2.8666079999999998</v>
      </c>
      <c r="V5461">
        <v>-0.18184939999999999</v>
      </c>
      <c r="W5461">
        <v>3.2657369999999998E-2</v>
      </c>
      <c r="X5461">
        <v>0.98278399999999999</v>
      </c>
      <c r="Y5461">
        <v>-0.36521239999999999</v>
      </c>
      <c r="Z5461">
        <v>0.109922699999999</v>
      </c>
      <c r="AA5461">
        <v>0.92441169999999995</v>
      </c>
      <c r="AB5461">
        <v>22</v>
      </c>
      <c r="AC5461">
        <v>3.5495000000000201</v>
      </c>
      <c r="AD5461">
        <v>-1.1098946208060001</v>
      </c>
      <c r="AE5461">
        <v>-9.1461000000000006</v>
      </c>
      <c r="AF5461">
        <v>-3.6301204575605701</v>
      </c>
      <c r="AG5461">
        <v>-1.1098946208060001</v>
      </c>
      <c r="AH5461">
        <v>8.9808180491286294</v>
      </c>
      <c r="AI5461">
        <v>96.536377022330996</v>
      </c>
      <c r="AJ5461">
        <v>112.008963528197</v>
      </c>
      <c r="AK5461">
        <v>9.7501145345707894</v>
      </c>
      <c r="AL5461">
        <v>88.128537867264995</v>
      </c>
      <c r="AM5461">
        <v>100.483155011855</v>
      </c>
      <c r="AN5461">
        <v>1.0000000493758301</v>
      </c>
    </row>
    <row r="5462" spans="1:40" x14ac:dyDescent="0.25">
      <c r="A5462" t="str">
        <f>"20190312151642770"</f>
        <v>20190312151642770</v>
      </c>
      <c r="B5462" t="str">
        <f>"1552375002763118"</f>
        <v>1552375002763118</v>
      </c>
      <c r="C5462" t="s">
        <v>40</v>
      </c>
      <c r="D5462">
        <v>4.8370470000000001</v>
      </c>
      <c r="E5462">
        <v>0.42328769999999999</v>
      </c>
      <c r="F5462" t="s">
        <v>43</v>
      </c>
      <c r="G5462">
        <v>-296.11160000000001</v>
      </c>
      <c r="H5462" s="1">
        <v>-3.6183920000000002E-6</v>
      </c>
      <c r="I5462">
        <v>-23.540459999999999</v>
      </c>
      <c r="J5462">
        <v>-299.6386</v>
      </c>
      <c r="K5462">
        <v>1.1099000000000001</v>
      </c>
      <c r="L5462">
        <v>-14.59784</v>
      </c>
      <c r="M5462">
        <v>-1.395184E-2</v>
      </c>
      <c r="N5462">
        <v>0</v>
      </c>
      <c r="O5462">
        <v>-0.99982740000000003</v>
      </c>
      <c r="P5462">
        <v>0.1689339</v>
      </c>
      <c r="Q5462">
        <v>2.150813E-2</v>
      </c>
      <c r="R5462">
        <v>-0.98539330000000003</v>
      </c>
      <c r="S5462">
        <v>1.1037600000000001</v>
      </c>
      <c r="T5462">
        <v>-0.34760590000000002</v>
      </c>
      <c r="U5462">
        <v>-2.862946</v>
      </c>
      <c r="V5462">
        <v>-0.1826719</v>
      </c>
      <c r="W5462">
        <v>3.3565240000000003E-2</v>
      </c>
      <c r="X5462">
        <v>0.98260080000000005</v>
      </c>
      <c r="Y5462">
        <v>-0.37043169999999997</v>
      </c>
      <c r="Z5462">
        <v>0.1122541</v>
      </c>
      <c r="AA5462">
        <v>0.92205170000000003</v>
      </c>
      <c r="AB5462">
        <v>22</v>
      </c>
      <c r="AC5462">
        <v>3.5269999999999802</v>
      </c>
      <c r="AD5462">
        <v>-1.1099036183919999</v>
      </c>
      <c r="AE5462">
        <v>-8.9426199999999998</v>
      </c>
      <c r="AF5462">
        <v>-3.6033965040856</v>
      </c>
      <c r="AG5462">
        <v>-1.1099036183919999</v>
      </c>
      <c r="AH5462">
        <v>8.7755539527933202</v>
      </c>
      <c r="AI5462">
        <v>96.673124305099407</v>
      </c>
      <c r="AJ5462">
        <v>112.32391389483701</v>
      </c>
      <c r="AK5462">
        <v>9.5512669100053103</v>
      </c>
      <c r="AL5462">
        <v>88.076492096794695</v>
      </c>
      <c r="AM5462">
        <v>100.531431212898</v>
      </c>
      <c r="AN5462">
        <v>0.99999999027325304</v>
      </c>
    </row>
    <row r="5463" spans="1:40" x14ac:dyDescent="0.25">
      <c r="A5463" t="str">
        <f>"20190312151642808"</f>
        <v>20190312151642808</v>
      </c>
      <c r="B5463" t="str">
        <f>"1552375002803134"</f>
        <v>1552375002803134</v>
      </c>
      <c r="C5463" t="s">
        <v>40</v>
      </c>
      <c r="D5463">
        <v>4.8155729999999997</v>
      </c>
      <c r="E5463">
        <v>0.42179410000000001</v>
      </c>
      <c r="F5463" t="s">
        <v>43</v>
      </c>
      <c r="G5463">
        <v>-296.10809999999998</v>
      </c>
      <c r="H5463" s="1">
        <v>-3.571953E-6</v>
      </c>
      <c r="I5463">
        <v>-23.65015</v>
      </c>
      <c r="J5463">
        <v>-299.6438</v>
      </c>
      <c r="K5463">
        <v>1.109918</v>
      </c>
      <c r="L5463">
        <v>-14.962400000000001</v>
      </c>
      <c r="M5463">
        <v>-1.3994410000000001E-2</v>
      </c>
      <c r="N5463">
        <v>0</v>
      </c>
      <c r="O5463">
        <v>-0.99982669999999996</v>
      </c>
      <c r="P5463">
        <v>0.1700469</v>
      </c>
      <c r="Q5463">
        <v>2.5207219999999999E-2</v>
      </c>
      <c r="R5463">
        <v>-0.98511369999999998</v>
      </c>
      <c r="S5463">
        <v>1.115753</v>
      </c>
      <c r="T5463">
        <v>-0.35076750000000001</v>
      </c>
      <c r="U5463">
        <v>-2.86084</v>
      </c>
      <c r="V5463">
        <v>-0.18382290000000001</v>
      </c>
      <c r="W5463">
        <v>3.7248410000000003E-2</v>
      </c>
      <c r="X5463">
        <v>0.98225340000000005</v>
      </c>
      <c r="Y5463">
        <v>-0.37401810000000002</v>
      </c>
      <c r="Z5463">
        <v>0.11317140000000001</v>
      </c>
      <c r="AA5463">
        <v>0.92049040000000004</v>
      </c>
      <c r="AB5463">
        <v>22</v>
      </c>
      <c r="AC5463">
        <v>3.5357000000000198</v>
      </c>
      <c r="AD5463">
        <v>-1.109921571953</v>
      </c>
      <c r="AE5463">
        <v>-8.6877499999999994</v>
      </c>
      <c r="AF5463">
        <v>-3.6064431166382298</v>
      </c>
      <c r="AG5463">
        <v>-1.109921571953</v>
      </c>
      <c r="AH5463">
        <v>8.5181389902171301</v>
      </c>
      <c r="AI5463">
        <v>96.842190600153202</v>
      </c>
      <c r="AJ5463">
        <v>112.947018203807</v>
      </c>
      <c r="AK5463">
        <v>9.3164934232838501</v>
      </c>
      <c r="AL5463">
        <v>87.865329544030502</v>
      </c>
      <c r="AM5463">
        <v>100.59995337581999</v>
      </c>
      <c r="AN5463">
        <v>1.00000002221174</v>
      </c>
    </row>
    <row r="5464" spans="1:40" x14ac:dyDescent="0.25">
      <c r="A5464" t="str">
        <f>"20190312151642830"</f>
        <v>20190312151642830</v>
      </c>
      <c r="B5464" t="str">
        <f>"1552375002823630"</f>
        <v>1552375002823630</v>
      </c>
      <c r="C5464" t="s">
        <v>40</v>
      </c>
      <c r="D5464">
        <v>4.8139310000000002</v>
      </c>
      <c r="E5464">
        <v>0.42133559999999998</v>
      </c>
      <c r="F5464" t="s">
        <v>43</v>
      </c>
      <c r="G5464">
        <v>-295.98289999999997</v>
      </c>
      <c r="H5464" s="1">
        <v>-3.3540929999999998E-6</v>
      </c>
      <c r="I5464">
        <v>-24.209759999999999</v>
      </c>
      <c r="J5464">
        <v>-299.64679999999998</v>
      </c>
      <c r="K5464">
        <v>1.1101479999999999</v>
      </c>
      <c r="L5464">
        <v>-15.175230000000001</v>
      </c>
      <c r="M5464">
        <v>-1.4019159999999999E-2</v>
      </c>
      <c r="N5464">
        <v>0</v>
      </c>
      <c r="O5464">
        <v>-0.99981569999999997</v>
      </c>
      <c r="P5464">
        <v>0.17060139999999999</v>
      </c>
      <c r="Q5464">
        <v>2.6507200000000002E-2</v>
      </c>
      <c r="R5464">
        <v>-0.98498359999999996</v>
      </c>
      <c r="S5464">
        <v>1.1317440000000001</v>
      </c>
      <c r="T5464">
        <v>-0.34312530000000002</v>
      </c>
      <c r="U5464">
        <v>-2.858765</v>
      </c>
      <c r="V5464">
        <v>-0.1843989</v>
      </c>
      <c r="W5464">
        <v>3.9372110000000002E-2</v>
      </c>
      <c r="X5464">
        <v>0.98206260000000001</v>
      </c>
      <c r="Y5464">
        <v>-0.37882919999999998</v>
      </c>
      <c r="Z5464">
        <v>0.11059239999999999</v>
      </c>
      <c r="AA5464">
        <v>0.91883499999999996</v>
      </c>
      <c r="AB5464">
        <v>22</v>
      </c>
      <c r="AC5464">
        <v>3.6639000000000101</v>
      </c>
      <c r="AD5464">
        <v>-1.1101513540929999</v>
      </c>
      <c r="AE5464">
        <v>-9.0345300000000002</v>
      </c>
      <c r="AF5464">
        <v>-3.7416902536104399</v>
      </c>
      <c r="AG5464">
        <v>-1.1101513540929999</v>
      </c>
      <c r="AH5464">
        <v>8.8672940318265905</v>
      </c>
      <c r="AI5464">
        <v>96.579848566073693</v>
      </c>
      <c r="AJ5464">
        <v>112.878056428669</v>
      </c>
      <c r="AK5464">
        <v>9.6882188987360003</v>
      </c>
      <c r="AL5464">
        <v>87.743561111908605</v>
      </c>
      <c r="AM5464">
        <v>100.634430263339</v>
      </c>
      <c r="AN5464">
        <v>1.00000003384291</v>
      </c>
    </row>
    <row r="5465" spans="1:40" x14ac:dyDescent="0.25">
      <c r="A5465" t="str">
        <f>"20190312151642852"</f>
        <v>20190312151642852</v>
      </c>
      <c r="B5465" t="str">
        <f>"1552375002843150"</f>
        <v>1552375002843150</v>
      </c>
      <c r="C5465" t="s">
        <v>40</v>
      </c>
      <c r="D5465">
        <v>4.7913290000000002</v>
      </c>
      <c r="E5465">
        <v>0.42099500000000001</v>
      </c>
      <c r="F5465" t="s">
        <v>43</v>
      </c>
      <c r="G5465">
        <v>-295.94380000000001</v>
      </c>
      <c r="H5465" s="1">
        <v>-3.2458689999999999E-6</v>
      </c>
      <c r="I5465">
        <v>-24.478210000000001</v>
      </c>
      <c r="J5465">
        <v>-299.6497</v>
      </c>
      <c r="K5465">
        <v>1.1105119999999999</v>
      </c>
      <c r="L5465">
        <v>-15.38297</v>
      </c>
      <c r="M5465">
        <v>-1.404122E-2</v>
      </c>
      <c r="N5465">
        <v>0</v>
      </c>
      <c r="O5465">
        <v>-0.99979419999999997</v>
      </c>
      <c r="P5465">
        <v>0.171233</v>
      </c>
      <c r="Q5465">
        <v>2.750638E-2</v>
      </c>
      <c r="R5465">
        <v>-0.98484640000000001</v>
      </c>
      <c r="S5465">
        <v>1.1375729999999999</v>
      </c>
      <c r="T5465">
        <v>-0.34103909999999998</v>
      </c>
      <c r="U5465">
        <v>-2.8578800000000002</v>
      </c>
      <c r="V5465">
        <v>-0.18504970000000001</v>
      </c>
      <c r="W5465">
        <v>4.1867719999999997E-2</v>
      </c>
      <c r="X5465">
        <v>0.98183690000000001</v>
      </c>
      <c r="Y5465">
        <v>-0.38059470000000001</v>
      </c>
      <c r="Z5465">
        <v>0.1098792</v>
      </c>
      <c r="AA5465">
        <v>0.91819070000000003</v>
      </c>
      <c r="AB5465">
        <v>22</v>
      </c>
      <c r="AC5465">
        <v>3.7058999999999802</v>
      </c>
      <c r="AD5465">
        <v>-1.110515245869</v>
      </c>
      <c r="AE5465">
        <v>-9.0952400000000004</v>
      </c>
      <c r="AF5465">
        <v>-3.78486545697052</v>
      </c>
      <c r="AG5465">
        <v>-1.110515245869</v>
      </c>
      <c r="AH5465">
        <v>8.9281520850853404</v>
      </c>
      <c r="AI5465">
        <v>96.532955845346294</v>
      </c>
      <c r="AJ5465">
        <v>112.973294331522</v>
      </c>
      <c r="AK5465">
        <v>9.7606531693883003</v>
      </c>
      <c r="AL5465">
        <v>87.600454962985296</v>
      </c>
      <c r="AM5465">
        <v>100.673498613322</v>
      </c>
      <c r="AN5465">
        <v>0.99999999782484905</v>
      </c>
    </row>
    <row r="5466" spans="1:40" x14ac:dyDescent="0.25">
      <c r="A5466" t="str">
        <f>"20190312151642876"</f>
        <v>20190312151642876</v>
      </c>
      <c r="B5466" t="str">
        <f>"1552375002873406"</f>
        <v>1552375002873406</v>
      </c>
      <c r="C5466" t="s">
        <v>40</v>
      </c>
      <c r="D5466">
        <v>4.760758</v>
      </c>
      <c r="E5466">
        <v>0.42059930000000001</v>
      </c>
      <c r="F5466" t="s">
        <v>43</v>
      </c>
      <c r="G5466">
        <v>-295.91609999999997</v>
      </c>
      <c r="H5466" s="1">
        <v>-3.1489890000000002E-6</v>
      </c>
      <c r="I5466">
        <v>-24.71546</v>
      </c>
      <c r="J5466">
        <v>-299.65269999999998</v>
      </c>
      <c r="K5466">
        <v>1.1109020000000001</v>
      </c>
      <c r="L5466">
        <v>-15.59491</v>
      </c>
      <c r="M5466">
        <v>-1.406086E-2</v>
      </c>
      <c r="N5466">
        <v>0</v>
      </c>
      <c r="O5466">
        <v>-0.99976520000000002</v>
      </c>
      <c r="P5466">
        <v>0.1723045</v>
      </c>
      <c r="Q5466">
        <v>2.703229E-2</v>
      </c>
      <c r="R5466">
        <v>-0.98467300000000002</v>
      </c>
      <c r="S5466">
        <v>1.142944</v>
      </c>
      <c r="T5466">
        <v>-0.33995940000000002</v>
      </c>
      <c r="U5466">
        <v>-2.8569339999999999</v>
      </c>
      <c r="V5466">
        <v>-0.1861372</v>
      </c>
      <c r="W5466">
        <v>4.3224039999999998E-2</v>
      </c>
      <c r="X5466">
        <v>0.98157249999999996</v>
      </c>
      <c r="Y5466">
        <v>-0.3822218</v>
      </c>
      <c r="Z5466">
        <v>0.1094946</v>
      </c>
      <c r="AA5466">
        <v>0.91756059999999995</v>
      </c>
      <c r="AB5466">
        <v>21</v>
      </c>
      <c r="AC5466">
        <v>3.7366000000000001</v>
      </c>
      <c r="AD5466">
        <v>-1.1109051489890001</v>
      </c>
      <c r="AE5466">
        <v>-9.1205499999999997</v>
      </c>
      <c r="AF5466">
        <v>-3.8160136603979198</v>
      </c>
      <c r="AG5466">
        <v>-1.1109051489890001</v>
      </c>
      <c r="AH5466">
        <v>8.9533613683327502</v>
      </c>
      <c r="AI5466">
        <v>96.511673855895197</v>
      </c>
      <c r="AJ5466">
        <v>113.08419595729001</v>
      </c>
      <c r="AK5466">
        <v>9.7958537299383508</v>
      </c>
      <c r="AL5466">
        <v>87.522673055242507</v>
      </c>
      <c r="AM5466">
        <v>100.737595434431</v>
      </c>
      <c r="AN5466">
        <v>0.999999973807005</v>
      </c>
    </row>
    <row r="5467" spans="1:40" x14ac:dyDescent="0.25">
      <c r="A5467" t="str">
        <f>"20190312151642901"</f>
        <v>20190312151642901</v>
      </c>
      <c r="B5467" t="str">
        <f>"1552375002892926"</f>
        <v>1552375002892926</v>
      </c>
      <c r="C5467" t="s">
        <v>40</v>
      </c>
      <c r="D5467">
        <v>4.7387639999999998</v>
      </c>
      <c r="E5467">
        <v>0.42038569999999997</v>
      </c>
      <c r="F5467" t="s">
        <v>43</v>
      </c>
      <c r="G5467">
        <v>-295.94630000000001</v>
      </c>
      <c r="H5467" s="1">
        <v>-3.1091789999999999E-6</v>
      </c>
      <c r="I5467">
        <v>-24.795770000000001</v>
      </c>
      <c r="J5467">
        <v>-299.65600000000001</v>
      </c>
      <c r="K5467">
        <v>1.1112550000000001</v>
      </c>
      <c r="L5467">
        <v>-15.825290000000001</v>
      </c>
      <c r="M5467">
        <v>-1.407972E-2</v>
      </c>
      <c r="N5467">
        <v>0</v>
      </c>
      <c r="O5467">
        <v>-0.99972870000000003</v>
      </c>
      <c r="P5467">
        <v>0.17353550000000001</v>
      </c>
      <c r="Q5467">
        <v>2.5756589999999999E-2</v>
      </c>
      <c r="R5467">
        <v>-0.98449089999999995</v>
      </c>
      <c r="S5467">
        <v>1.1500549999999901</v>
      </c>
      <c r="T5467">
        <v>-0.34470089999999998</v>
      </c>
      <c r="U5467">
        <v>-2.8549190000000002</v>
      </c>
      <c r="V5467">
        <v>-0.18738289999999999</v>
      </c>
      <c r="W5467">
        <v>4.3975300000000002E-2</v>
      </c>
      <c r="X5467">
        <v>0.98130209999999995</v>
      </c>
      <c r="Y5467">
        <v>-0.3843684</v>
      </c>
      <c r="Z5467">
        <v>0.1109728</v>
      </c>
      <c r="AA5467">
        <v>0.91648569999999996</v>
      </c>
      <c r="AB5467">
        <v>20</v>
      </c>
      <c r="AC5467">
        <v>3.70969999999999</v>
      </c>
      <c r="AD5467">
        <v>-1.1112581091789999</v>
      </c>
      <c r="AE5467">
        <v>-8.9704800000000002</v>
      </c>
      <c r="AF5467">
        <v>-3.7860400028118701</v>
      </c>
      <c r="AG5467">
        <v>-1.1112581091789999</v>
      </c>
      <c r="AH5467">
        <v>8.8020004764622009</v>
      </c>
      <c r="AI5467">
        <v>96.615433177286306</v>
      </c>
      <c r="AJ5467">
        <v>113.274185870172</v>
      </c>
      <c r="AK5467">
        <v>9.6459424565849794</v>
      </c>
      <c r="AL5467">
        <v>87.479588108540398</v>
      </c>
      <c r="AM5467">
        <v>100.81067629108099</v>
      </c>
      <c r="AN5467">
        <v>0.99999999484345403</v>
      </c>
    </row>
    <row r="5468" spans="1:40" x14ac:dyDescent="0.25">
      <c r="A5468" t="str">
        <f>"20190312151642927"</f>
        <v>20190312151642927</v>
      </c>
      <c r="B5468" t="str">
        <f>"1552375002923183"</f>
        <v>1552375002923183</v>
      </c>
      <c r="C5468" t="s">
        <v>40</v>
      </c>
      <c r="D5468">
        <v>4.7483899999999997</v>
      </c>
      <c r="E5468">
        <v>0.42013830000000002</v>
      </c>
      <c r="F5468" t="s">
        <v>43</v>
      </c>
      <c r="G5468">
        <v>-295.98899999999998</v>
      </c>
      <c r="H5468" s="1">
        <v>-3.06855E-6</v>
      </c>
      <c r="I5468">
        <v>-24.872859999999999</v>
      </c>
      <c r="J5468">
        <v>-299.65910000000002</v>
      </c>
      <c r="K5468">
        <v>1.1112660000000001</v>
      </c>
      <c r="L5468">
        <v>-16.047969999999999</v>
      </c>
      <c r="M5468">
        <v>-1.409908E-2</v>
      </c>
      <c r="N5468">
        <v>0</v>
      </c>
      <c r="O5468">
        <v>-0.99971010000000005</v>
      </c>
      <c r="P5468">
        <v>0.17417160000000001</v>
      </c>
      <c r="Q5468">
        <v>2.6358199999999998E-2</v>
      </c>
      <c r="R5468">
        <v>-0.98436290000000004</v>
      </c>
      <c r="S5468">
        <v>1.1561889999999999</v>
      </c>
      <c r="T5468">
        <v>-0.35037109999999999</v>
      </c>
      <c r="U5468">
        <v>-2.8526310000000001</v>
      </c>
      <c r="V5468">
        <v>-0.1880356</v>
      </c>
      <c r="W5468">
        <v>4.552871E-2</v>
      </c>
      <c r="X5468">
        <v>0.98110640000000005</v>
      </c>
      <c r="Y5468">
        <v>-0.3862584</v>
      </c>
      <c r="Z5468">
        <v>0.11276650000000001</v>
      </c>
      <c r="AA5468">
        <v>0.91547160000000005</v>
      </c>
      <c r="AB5468">
        <v>20</v>
      </c>
      <c r="AC5468">
        <v>3.6700999999999899</v>
      </c>
      <c r="AD5468">
        <v>-1.11126906855</v>
      </c>
      <c r="AE5468">
        <v>-8.8248899999999999</v>
      </c>
      <c r="AF5468">
        <v>-3.7435730128714702</v>
      </c>
      <c r="AG5468">
        <v>-1.11126906855</v>
      </c>
      <c r="AH5468">
        <v>8.6552490905919797</v>
      </c>
      <c r="AI5468">
        <v>96.720863362384094</v>
      </c>
      <c r="AJ5468">
        <v>113.389473841339</v>
      </c>
      <c r="AK5468">
        <v>9.4953986048827304</v>
      </c>
      <c r="AL5468">
        <v>87.390495039760694</v>
      </c>
      <c r="AM5468">
        <v>100.84955297215799</v>
      </c>
      <c r="AN5468">
        <v>1.00000000921129</v>
      </c>
    </row>
    <row r="5469" spans="1:40" x14ac:dyDescent="0.25">
      <c r="A5469" t="str">
        <f>"20190312151642949"</f>
        <v>20190312151642949</v>
      </c>
      <c r="B5469" t="str">
        <f>"1552375002943678"</f>
        <v>1552375002943678</v>
      </c>
      <c r="C5469" t="s">
        <v>40</v>
      </c>
      <c r="D5469">
        <v>4.7078819999999997</v>
      </c>
      <c r="E5469">
        <v>0.41992390000000002</v>
      </c>
      <c r="F5469" t="s">
        <v>43</v>
      </c>
      <c r="G5469">
        <v>-296.00279999999998</v>
      </c>
      <c r="H5469" s="1">
        <v>-2.9989549999999998E-6</v>
      </c>
      <c r="I5469">
        <v>-25.02936</v>
      </c>
      <c r="J5469">
        <v>-299.66199999999998</v>
      </c>
      <c r="K5469">
        <v>1.110868</v>
      </c>
      <c r="L5469">
        <v>-16.254149999999999</v>
      </c>
      <c r="M5469">
        <v>-1.4119680000000001E-2</v>
      </c>
      <c r="N5469">
        <v>0</v>
      </c>
      <c r="O5469">
        <v>-0.99972340000000004</v>
      </c>
      <c r="P5469">
        <v>0.1743759</v>
      </c>
      <c r="Q5469">
        <v>2.801555E-2</v>
      </c>
      <c r="R5469">
        <v>-0.98428090000000001</v>
      </c>
      <c r="S5469">
        <v>1.160919</v>
      </c>
      <c r="T5469">
        <v>-0.35283979999999998</v>
      </c>
      <c r="U5469">
        <v>-2.8516849999999998</v>
      </c>
      <c r="V5469">
        <v>-0.18825749999999999</v>
      </c>
      <c r="W5469">
        <v>4.6487090000000002E-2</v>
      </c>
      <c r="X5469">
        <v>0.98101890000000003</v>
      </c>
      <c r="Y5469">
        <v>-0.38765349999999998</v>
      </c>
      <c r="Z5469">
        <v>0.11351609999999999</v>
      </c>
      <c r="AA5469">
        <v>0.91478899999999996</v>
      </c>
      <c r="AB5469">
        <v>20</v>
      </c>
      <c r="AC5469">
        <v>3.65920000000005</v>
      </c>
      <c r="AD5469">
        <v>-1.1108709989550001</v>
      </c>
      <c r="AE5469">
        <v>-8.7752099999999995</v>
      </c>
      <c r="AF5469">
        <v>-3.7318144843762102</v>
      </c>
      <c r="AG5469">
        <v>-1.1108709989550001</v>
      </c>
      <c r="AH5469">
        <v>8.6051834764230595</v>
      </c>
      <c r="AI5469">
        <v>96.754398958950802</v>
      </c>
      <c r="AJ5469">
        <v>113.444956461168</v>
      </c>
      <c r="AK5469">
        <v>9.4450863619674692</v>
      </c>
      <c r="AL5469">
        <v>87.335525700057801</v>
      </c>
      <c r="AM5469">
        <v>100.862997849821</v>
      </c>
      <c r="AN5469">
        <v>1.00000000900006</v>
      </c>
    </row>
    <row r="5470" spans="1:40" x14ac:dyDescent="0.25">
      <c r="A5470" t="str">
        <f>"20190312151642988"</f>
        <v>20190312151642988</v>
      </c>
      <c r="B5470" t="str">
        <f>"1552375002983694"</f>
        <v>1552375002983694</v>
      </c>
      <c r="C5470" t="s">
        <v>40</v>
      </c>
      <c r="D5470">
        <v>4.6425340000000004</v>
      </c>
      <c r="E5470">
        <v>0.41968480000000002</v>
      </c>
      <c r="F5470" t="s">
        <v>43</v>
      </c>
      <c r="G5470">
        <v>-295.95920000000001</v>
      </c>
      <c r="H5470" s="1">
        <v>-2.8809589999999898E-6</v>
      </c>
      <c r="I5470">
        <v>-25.322420000000001</v>
      </c>
      <c r="J5470">
        <v>-299.6669</v>
      </c>
      <c r="K5470">
        <v>1.1104179999999999</v>
      </c>
      <c r="L5470">
        <v>-16.597809999999999</v>
      </c>
      <c r="M5470">
        <v>-1.4153519999999999E-2</v>
      </c>
      <c r="N5470">
        <v>0</v>
      </c>
      <c r="O5470">
        <v>-0.99974439999999998</v>
      </c>
      <c r="P5470">
        <v>0.17510919999999999</v>
      </c>
      <c r="Q5470">
        <v>3.1145280000000001E-2</v>
      </c>
      <c r="R5470">
        <v>-0.9840565</v>
      </c>
      <c r="S5470">
        <v>1.1643680000000001</v>
      </c>
      <c r="T5470">
        <v>-0.34931899999999999</v>
      </c>
      <c r="U5470">
        <v>-2.8515630000000001</v>
      </c>
      <c r="V5470">
        <v>-0.18901950000000001</v>
      </c>
      <c r="W5470">
        <v>4.8460879999999998E-2</v>
      </c>
      <c r="X5470">
        <v>0.9807768</v>
      </c>
      <c r="Y5470">
        <v>-0.3886965</v>
      </c>
      <c r="Z5470">
        <v>0.1123532</v>
      </c>
      <c r="AA5470">
        <v>0.91448989999999997</v>
      </c>
      <c r="AB5470">
        <v>20</v>
      </c>
      <c r="AC5470">
        <v>3.70769999999998</v>
      </c>
      <c r="AD5470">
        <v>-1.1104208809589999</v>
      </c>
      <c r="AE5470">
        <v>-8.7246100000000002</v>
      </c>
      <c r="AF5470">
        <v>-3.7789808663706701</v>
      </c>
      <c r="AG5470">
        <v>-1.1104208809589999</v>
      </c>
      <c r="AH5470">
        <v>8.5538842294549795</v>
      </c>
      <c r="AI5470">
        <v>96.771773899354599</v>
      </c>
      <c r="AJ5470">
        <v>113.835140038041</v>
      </c>
      <c r="AK5470">
        <v>9.4171474625909894</v>
      </c>
      <c r="AL5470">
        <v>87.222308109255593</v>
      </c>
      <c r="AM5470">
        <v>100.908542606163</v>
      </c>
      <c r="AN5470">
        <v>0.99999997984443201</v>
      </c>
    </row>
    <row r="5471" spans="1:40" x14ac:dyDescent="0.25">
      <c r="A5471" t="str">
        <f>"20190312151643016"</f>
        <v>20190312151643016</v>
      </c>
      <c r="B5471" t="str">
        <f>"1552375003012975"</f>
        <v>1552375003012975</v>
      </c>
      <c r="C5471" t="s">
        <v>40</v>
      </c>
      <c r="D5471">
        <v>4.6365920000000003</v>
      </c>
      <c r="E5471">
        <v>0.41933219999999999</v>
      </c>
      <c r="F5471" t="s">
        <v>43</v>
      </c>
      <c r="G5471">
        <v>-295.86739999999998</v>
      </c>
      <c r="H5471" s="1">
        <v>-2.6666879999999999E-6</v>
      </c>
      <c r="I5471">
        <v>-25.85988</v>
      </c>
      <c r="J5471">
        <v>-299.67059999999998</v>
      </c>
      <c r="K5471">
        <v>1.110379</v>
      </c>
      <c r="L5471">
        <v>-16.854220000000002</v>
      </c>
      <c r="M5471">
        <v>-1.4182709999999999E-2</v>
      </c>
      <c r="N5471">
        <v>0</v>
      </c>
      <c r="O5471">
        <v>-0.99974660000000004</v>
      </c>
      <c r="P5471">
        <v>0.17527019999999999</v>
      </c>
      <c r="Q5471">
        <v>3.2285670000000002E-2</v>
      </c>
      <c r="R5471">
        <v>-0.98399080000000005</v>
      </c>
      <c r="S5471">
        <v>1.169678</v>
      </c>
      <c r="T5471">
        <v>-0.34183819999999998</v>
      </c>
      <c r="U5471">
        <v>-2.8512879999999998</v>
      </c>
      <c r="V5471">
        <v>-0.1892075</v>
      </c>
      <c r="W5471">
        <v>4.9459120000000002E-2</v>
      </c>
      <c r="X5471">
        <v>0.98069070000000003</v>
      </c>
      <c r="Y5471">
        <v>-0.3903161</v>
      </c>
      <c r="Z5471">
        <v>0.1099127</v>
      </c>
      <c r="AA5471">
        <v>0.91409660000000004</v>
      </c>
      <c r="AB5471">
        <v>20</v>
      </c>
      <c r="AC5471">
        <v>3.8031999999999999</v>
      </c>
      <c r="AD5471">
        <v>-1.110381666688</v>
      </c>
      <c r="AE5471">
        <v>-9.00565999999999</v>
      </c>
      <c r="AF5471">
        <v>-3.8804973236675901</v>
      </c>
      <c r="AG5471">
        <v>-1.110381666688</v>
      </c>
      <c r="AH5471">
        <v>8.8367980994254101</v>
      </c>
      <c r="AI5471">
        <v>96.563033026193594</v>
      </c>
      <c r="AJ5471">
        <v>113.707687264331</v>
      </c>
      <c r="AK5471">
        <v>9.7149476362313294</v>
      </c>
      <c r="AL5471">
        <v>87.165044453058599</v>
      </c>
      <c r="AM5471">
        <v>100.920067241732</v>
      </c>
      <c r="AN5471">
        <v>0.99999996583695605</v>
      </c>
    </row>
    <row r="5472" spans="1:40" x14ac:dyDescent="0.25">
      <c r="A5472" t="str">
        <f>"20190312151643039"</f>
        <v>20190312151643039</v>
      </c>
      <c r="B5472" t="str">
        <f>"1552375003033473"</f>
        <v>1552375003033473</v>
      </c>
      <c r="C5472" t="s">
        <v>40</v>
      </c>
      <c r="D5472">
        <v>4.6303749999999999</v>
      </c>
      <c r="E5472">
        <v>0.41914279999999998</v>
      </c>
      <c r="F5472" t="s">
        <v>43</v>
      </c>
      <c r="G5472">
        <v>-295.85019999999997</v>
      </c>
      <c r="H5472" s="1">
        <v>-2.5505809999999999E-6</v>
      </c>
      <c r="I5472">
        <v>-26.137619999999998</v>
      </c>
      <c r="J5472">
        <v>-299.67349999999999</v>
      </c>
      <c r="K5472">
        <v>1.110309</v>
      </c>
      <c r="L5472">
        <v>-17.05292</v>
      </c>
      <c r="M5472">
        <v>-1.421014E-2</v>
      </c>
      <c r="N5472">
        <v>0</v>
      </c>
      <c r="O5472">
        <v>-0.99975179999999997</v>
      </c>
      <c r="P5472">
        <v>0.17588010000000001</v>
      </c>
      <c r="Q5472">
        <v>3.4070660000000003E-2</v>
      </c>
      <c r="R5472">
        <v>-0.98382190000000003</v>
      </c>
      <c r="S5472">
        <v>1.173279</v>
      </c>
      <c r="T5472">
        <v>-0.34100809999999998</v>
      </c>
      <c r="U5472">
        <v>-2.851013</v>
      </c>
      <c r="V5472">
        <v>-0.18984210000000001</v>
      </c>
      <c r="W5472">
        <v>5.0922599999999998E-2</v>
      </c>
      <c r="X5472">
        <v>0.98049319999999895</v>
      </c>
      <c r="Y5472">
        <v>-0.39137250000000001</v>
      </c>
      <c r="Z5472">
        <v>0.10960830000000001</v>
      </c>
      <c r="AA5472">
        <v>0.91368130000000003</v>
      </c>
      <c r="AB5472">
        <v>20</v>
      </c>
      <c r="AC5472">
        <v>3.8233000000000099</v>
      </c>
      <c r="AD5472">
        <v>-1.110311550581</v>
      </c>
      <c r="AE5472">
        <v>-9.0846999999999998</v>
      </c>
      <c r="AF5472">
        <v>-3.9025062828982899</v>
      </c>
      <c r="AG5472">
        <v>-1.110311550581</v>
      </c>
      <c r="AH5472">
        <v>8.9163001099463592</v>
      </c>
      <c r="AI5472">
        <v>96.508043000797898</v>
      </c>
      <c r="AJ5472">
        <v>113.63814164886</v>
      </c>
      <c r="AK5472">
        <v>9.7960581193684106</v>
      </c>
      <c r="AL5472">
        <v>87.081087571415495</v>
      </c>
      <c r="AM5472">
        <v>100.957961599458</v>
      </c>
      <c r="AN5472">
        <v>1.0000000246847001</v>
      </c>
    </row>
    <row r="5473" spans="1:40" x14ac:dyDescent="0.25">
      <c r="A5473" t="str">
        <f>"20190312151643061"</f>
        <v>20190312151643061</v>
      </c>
      <c r="B5473" t="str">
        <f>"1552375003052990"</f>
        <v>1552375003052990</v>
      </c>
      <c r="C5473" t="s">
        <v>40</v>
      </c>
      <c r="D5473">
        <v>4.7036879999999996</v>
      </c>
      <c r="E5473">
        <v>0.41908469999999998</v>
      </c>
      <c r="F5473" t="s">
        <v>43</v>
      </c>
      <c r="G5473">
        <v>-295.7996</v>
      </c>
      <c r="H5473" s="1">
        <v>-2.4508299999999999E-6</v>
      </c>
      <c r="I5473">
        <v>-26.434259999999998</v>
      </c>
      <c r="J5473">
        <v>-299.67630000000003</v>
      </c>
      <c r="K5473">
        <v>1.110206</v>
      </c>
      <c r="L5473">
        <v>-17.253910000000001</v>
      </c>
      <c r="M5473">
        <v>-1.4238219999999999E-2</v>
      </c>
      <c r="N5473">
        <v>0</v>
      </c>
      <c r="O5473">
        <v>-0.99976019999999999</v>
      </c>
      <c r="P5473">
        <v>0.17634659999999999</v>
      </c>
      <c r="Q5473">
        <v>3.5953039999999999E-2</v>
      </c>
      <c r="R5473">
        <v>-0.98367150000000003</v>
      </c>
      <c r="S5473">
        <v>1.1771240000000001</v>
      </c>
      <c r="T5473">
        <v>-0.3373756</v>
      </c>
      <c r="U5473">
        <v>-2.8505859999999998</v>
      </c>
      <c r="V5473">
        <v>-0.19033349999999999</v>
      </c>
      <c r="W5473">
        <v>5.2295479999999998E-2</v>
      </c>
      <c r="X5473">
        <v>0.98032560000000002</v>
      </c>
      <c r="Y5473">
        <v>-0.3925495</v>
      </c>
      <c r="Z5473">
        <v>0.10841580000000001</v>
      </c>
      <c r="AA5473">
        <v>0.91331859999999998</v>
      </c>
      <c r="AB5473">
        <v>20</v>
      </c>
      <c r="AC5473">
        <v>3.87670000000002</v>
      </c>
      <c r="AD5473">
        <v>-1.1102084508299901</v>
      </c>
      <c r="AE5473">
        <v>-9.18034999999999</v>
      </c>
      <c r="AF5473">
        <v>-3.95791297121227</v>
      </c>
      <c r="AG5473">
        <v>-1.1102084508299901</v>
      </c>
      <c r="AH5473">
        <v>9.0123567686742394</v>
      </c>
      <c r="AI5473">
        <v>96.435190225953804</v>
      </c>
      <c r="AJ5473">
        <v>113.709407060179</v>
      </c>
      <c r="AK5473">
        <v>9.9055647197851897</v>
      </c>
      <c r="AL5473">
        <v>87.002322208744204</v>
      </c>
      <c r="AM5473">
        <v>100.987469147811</v>
      </c>
      <c r="AN5473">
        <v>0.99999997023301901</v>
      </c>
    </row>
    <row r="5474" spans="1:40" x14ac:dyDescent="0.25">
      <c r="A5474" t="str">
        <f>"20190312151643085"</f>
        <v>20190312151643085</v>
      </c>
      <c r="B5474" t="str">
        <f>"1552375003073487"</f>
        <v>1552375003073487</v>
      </c>
      <c r="C5474" t="s">
        <v>40</v>
      </c>
      <c r="D5474">
        <v>4.7072649999999996</v>
      </c>
      <c r="E5474">
        <v>0.44764280000000001</v>
      </c>
      <c r="F5474" t="s">
        <v>43</v>
      </c>
      <c r="G5474">
        <v>-295.74090000000001</v>
      </c>
      <c r="H5474" s="1">
        <v>-2.3531820000000001E-6</v>
      </c>
      <c r="I5474">
        <v>-26.76708</v>
      </c>
      <c r="J5474">
        <v>-299.67939999999999</v>
      </c>
      <c r="K5474">
        <v>1.1101289999999999</v>
      </c>
      <c r="L5474">
        <v>-17.46405</v>
      </c>
      <c r="M5474">
        <v>-1.426404E-2</v>
      </c>
      <c r="N5474">
        <v>0</v>
      </c>
      <c r="O5474">
        <v>-0.99976779999999998</v>
      </c>
      <c r="P5474">
        <v>0.17701149999999999</v>
      </c>
      <c r="Q5474">
        <v>3.746592E-2</v>
      </c>
      <c r="R5474">
        <v>-0.98349589999999998</v>
      </c>
      <c r="S5474">
        <v>1.17923</v>
      </c>
      <c r="T5474">
        <v>-0.33266600000000002</v>
      </c>
      <c r="U5474">
        <v>-2.8505549999999999</v>
      </c>
      <c r="V5474">
        <v>-0.19102040000000001</v>
      </c>
      <c r="W5474">
        <v>5.3339259999999999E-2</v>
      </c>
      <c r="X5474">
        <v>0.9801358</v>
      </c>
      <c r="Y5474">
        <v>-0.3932158</v>
      </c>
      <c r="Z5474">
        <v>0.1068921</v>
      </c>
      <c r="AA5474">
        <v>0.91321160000000001</v>
      </c>
      <c r="AB5474">
        <v>20</v>
      </c>
      <c r="AC5474">
        <v>3.9384999999999701</v>
      </c>
      <c r="AD5474">
        <v>-1.1101313531820001</v>
      </c>
      <c r="AE5474">
        <v>-9.3030299999999997</v>
      </c>
      <c r="AF5474">
        <v>-4.0222451451627803</v>
      </c>
      <c r="AG5474">
        <v>-1.1101313531820001</v>
      </c>
      <c r="AH5474">
        <v>9.1355813655675995</v>
      </c>
      <c r="AI5474">
        <v>96.346071785256697</v>
      </c>
      <c r="AJ5474">
        <v>113.763098662971</v>
      </c>
      <c r="AK5474">
        <v>10.0433905886413</v>
      </c>
      <c r="AL5474">
        <v>86.942434600694696</v>
      </c>
      <c r="AM5474">
        <v>101.028234868688</v>
      </c>
      <c r="AN5474">
        <v>1.0000000281575701</v>
      </c>
    </row>
    <row r="5475" spans="1:40" x14ac:dyDescent="0.25">
      <c r="A5475" t="str">
        <f>"20190312151643121"</f>
        <v>20190312151643121</v>
      </c>
      <c r="B5475" t="str">
        <f>"1552375003113502"</f>
        <v>1552375003113502</v>
      </c>
      <c r="C5475" t="s">
        <v>40</v>
      </c>
      <c r="D5475">
        <v>4.639786</v>
      </c>
      <c r="E5475">
        <v>0.51282970000000005</v>
      </c>
      <c r="F5475" t="s">
        <v>43</v>
      </c>
      <c r="G5475">
        <v>-295.608</v>
      </c>
      <c r="H5475" s="1">
        <v>-1.3631649999999901E-6</v>
      </c>
      <c r="I5475">
        <v>-29.78022</v>
      </c>
      <c r="J5475">
        <v>-299.68389999999999</v>
      </c>
      <c r="K5475">
        <v>1.1100989999999999</v>
      </c>
      <c r="L5475">
        <v>-17.78302</v>
      </c>
      <c r="M5475">
        <v>-1.429773E-2</v>
      </c>
      <c r="N5475">
        <v>0</v>
      </c>
      <c r="O5475">
        <v>-0.99977470000000002</v>
      </c>
      <c r="P5475">
        <v>0.1788411</v>
      </c>
      <c r="Q5475">
        <v>3.8006440000000002E-2</v>
      </c>
      <c r="R5475">
        <v>-0.98314369999999995</v>
      </c>
      <c r="S5475">
        <v>0.95483399999999996</v>
      </c>
      <c r="T5475">
        <v>-0.26034869999999999</v>
      </c>
      <c r="U5475">
        <v>-2.8883969999999999</v>
      </c>
      <c r="V5475">
        <v>-0.1928771</v>
      </c>
      <c r="W5475">
        <v>5.3403060000000002E-2</v>
      </c>
      <c r="X5475">
        <v>0.97976859999999999</v>
      </c>
      <c r="Y5475">
        <v>-0.32627620000000002</v>
      </c>
      <c r="Z5475">
        <v>8.5055800000000001E-2</v>
      </c>
      <c r="AA5475">
        <v>0.94144000000000005</v>
      </c>
      <c r="AB5475">
        <v>20</v>
      </c>
      <c r="AC5475">
        <v>4.0758999999999901</v>
      </c>
      <c r="AD5475">
        <v>-1.1101003631649999</v>
      </c>
      <c r="AE5475">
        <v>-11.997199999999999</v>
      </c>
      <c r="AF5475">
        <v>-4.2146858744756299</v>
      </c>
      <c r="AG5475">
        <v>-1.1101003631649999</v>
      </c>
      <c r="AH5475">
        <v>11.846756334599499</v>
      </c>
      <c r="AI5475">
        <v>95.045239262880997</v>
      </c>
      <c r="AJ5475">
        <v>109.58388423858401</v>
      </c>
      <c r="AK5475">
        <v>12.6230557112046</v>
      </c>
      <c r="AL5475">
        <v>86.938773783573495</v>
      </c>
      <c r="AM5475">
        <v>101.13683104525499</v>
      </c>
      <c r="AN5475">
        <v>0.99999998603386597</v>
      </c>
    </row>
    <row r="5476" spans="1:40" x14ac:dyDescent="0.25">
      <c r="A5476" t="str">
        <f>"20190312151643152"</f>
        <v>20190312151643152</v>
      </c>
      <c r="B5476" t="str">
        <f>"1552375003143758"</f>
        <v>1552375003143758</v>
      </c>
      <c r="C5476" t="s">
        <v>40</v>
      </c>
      <c r="D5476">
        <v>4.7921319999999996</v>
      </c>
      <c r="E5476">
        <v>0.52061409999999997</v>
      </c>
      <c r="F5476" t="s">
        <v>43</v>
      </c>
      <c r="G5476">
        <v>-296.42309999999998</v>
      </c>
      <c r="H5476" s="1">
        <v>-1.206056E-6</v>
      </c>
      <c r="I5476">
        <v>-39.604529999999997</v>
      </c>
      <c r="J5476">
        <v>-299.68790000000001</v>
      </c>
      <c r="K5476">
        <v>1.1100920000000001</v>
      </c>
      <c r="L5476">
        <v>-18.057590000000001</v>
      </c>
      <c r="M5476">
        <v>-1.432686E-2</v>
      </c>
      <c r="N5476">
        <v>0</v>
      </c>
      <c r="O5476">
        <v>-0.99978020000000001</v>
      </c>
      <c r="P5476">
        <v>0.17988999999999999</v>
      </c>
      <c r="Q5476">
        <v>3.880347E-2</v>
      </c>
      <c r="R5476">
        <v>-0.98292120000000005</v>
      </c>
      <c r="S5476">
        <v>0.44476320000000003</v>
      </c>
      <c r="T5476">
        <v>-0.15141389999999999</v>
      </c>
      <c r="U5476">
        <v>-2.9763790000000001</v>
      </c>
      <c r="V5476">
        <v>-0.19395129999999999</v>
      </c>
      <c r="W5476">
        <v>5.3829689999999999E-2</v>
      </c>
      <c r="X5476">
        <v>0.97953319999999999</v>
      </c>
      <c r="Y5476">
        <v>-0.16175970000000001</v>
      </c>
      <c r="Z5476">
        <v>5.0185840000000002E-2</v>
      </c>
      <c r="AA5476">
        <v>0.98555329999999997</v>
      </c>
      <c r="AB5476">
        <v>20</v>
      </c>
      <c r="AC5476">
        <v>3.2648000000000299</v>
      </c>
      <c r="AD5476">
        <v>-1.110093206056</v>
      </c>
      <c r="AE5476">
        <v>-21.546939999999999</v>
      </c>
      <c r="AF5476">
        <v>-3.5639535572268701</v>
      </c>
      <c r="AG5476">
        <v>-1.110093206056</v>
      </c>
      <c r="AH5476">
        <v>21.442311511845599</v>
      </c>
      <c r="AI5476">
        <v>92.923585143970499</v>
      </c>
      <c r="AJ5476">
        <v>99.4369325208514</v>
      </c>
      <c r="AK5476">
        <v>21.764806336267501</v>
      </c>
      <c r="AL5476">
        <v>86.914294566642894</v>
      </c>
      <c r="AM5476">
        <v>101.19991576888999</v>
      </c>
      <c r="AN5476">
        <v>1.00000001609971</v>
      </c>
    </row>
    <row r="5477" spans="1:40" x14ac:dyDescent="0.25">
      <c r="A5477" t="str">
        <f>"20190312151643256"</f>
        <v>20190312151643256</v>
      </c>
      <c r="B5477" t="str">
        <f>"1552375003243311"</f>
        <v>1552375003243311</v>
      </c>
      <c r="C5477" t="s">
        <v>40</v>
      </c>
      <c r="D5477">
        <v>4.6355139999999997</v>
      </c>
      <c r="E5477">
        <v>0.5242175</v>
      </c>
      <c r="F5477" t="s">
        <v>64</v>
      </c>
      <c r="G5477">
        <v>-295.93389999999999</v>
      </c>
      <c r="H5477" s="1">
        <v>-4.9603109999999998E-6</v>
      </c>
      <c r="I5477">
        <v>-47.133400000000002</v>
      </c>
      <c r="J5477">
        <v>-299.70100000000002</v>
      </c>
      <c r="K5477">
        <v>1.1101270000000001</v>
      </c>
      <c r="L5477">
        <v>-18.965669999999999</v>
      </c>
      <c r="M5477">
        <v>-1.4433029999999999E-2</v>
      </c>
      <c r="N5477">
        <v>0</v>
      </c>
      <c r="O5477">
        <v>-0.99979189999999996</v>
      </c>
      <c r="P5477">
        <v>0.1827696</v>
      </c>
      <c r="Q5477">
        <v>4.1869009999999998E-2</v>
      </c>
      <c r="R5477">
        <v>-0.98226409999999997</v>
      </c>
      <c r="S5477">
        <v>0.3855286</v>
      </c>
      <c r="T5477">
        <v>-0.1140057</v>
      </c>
      <c r="U5477">
        <v>-2.9860530000000001</v>
      </c>
      <c r="V5477">
        <v>-0.1969254</v>
      </c>
      <c r="W5477">
        <v>5.6006979999999998E-2</v>
      </c>
      <c r="X5477">
        <v>0.97881750000000001</v>
      </c>
      <c r="Y5477">
        <v>-0.14225779999999999</v>
      </c>
      <c r="Z5477">
        <v>3.7794979999999999E-2</v>
      </c>
      <c r="AA5477">
        <v>0.98910779999999998</v>
      </c>
      <c r="AB5477">
        <v>20</v>
      </c>
      <c r="AC5477">
        <v>3.7670999999999699</v>
      </c>
      <c r="AD5477">
        <v>-1.110131960311</v>
      </c>
      <c r="AE5477">
        <v>-28.167729999999999</v>
      </c>
      <c r="AF5477">
        <v>-4.1669368522477601</v>
      </c>
      <c r="AG5477">
        <v>-1.110131960311</v>
      </c>
      <c r="AH5477">
        <v>28.067588735517901</v>
      </c>
      <c r="AI5477">
        <v>92.2404570496643</v>
      </c>
      <c r="AJ5477">
        <v>98.4444974843057</v>
      </c>
      <c r="AK5477">
        <v>28.3969240081755</v>
      </c>
      <c r="AL5477">
        <v>86.789356563697197</v>
      </c>
      <c r="AM5477">
        <v>101.37531429354</v>
      </c>
      <c r="AN5477">
        <v>1.00000004664006</v>
      </c>
    </row>
    <row r="5478" spans="1:40" x14ac:dyDescent="0.25">
      <c r="A5478" t="str">
        <f>"20190312151643279"</f>
        <v>20190312151643279</v>
      </c>
      <c r="B5478" t="str">
        <f>"1552375003273566"</f>
        <v>1552375003273566</v>
      </c>
      <c r="C5478" t="s">
        <v>40</v>
      </c>
      <c r="D5478">
        <v>4.7144909999999998</v>
      </c>
      <c r="E5478">
        <v>0.53235840000000001</v>
      </c>
      <c r="F5478" t="s">
        <v>64</v>
      </c>
      <c r="G5478">
        <v>-296.1456</v>
      </c>
      <c r="H5478" s="1">
        <v>-5.3606209999999999E-6</v>
      </c>
      <c r="I5478">
        <v>-48.011139999999997</v>
      </c>
      <c r="J5478">
        <v>-299.70429999999999</v>
      </c>
      <c r="K5478">
        <v>1.110147</v>
      </c>
      <c r="L5478">
        <v>-19.18552</v>
      </c>
      <c r="M5478">
        <v>-1.4457390000000001E-2</v>
      </c>
      <c r="N5478">
        <v>0</v>
      </c>
      <c r="O5478">
        <v>-0.99979379999999995</v>
      </c>
      <c r="P5478">
        <v>0.1824789</v>
      </c>
      <c r="Q5478">
        <v>4.2864569999999998E-2</v>
      </c>
      <c r="R5478">
        <v>-0.98227540000000002</v>
      </c>
      <c r="S5478">
        <v>0.36611939999999998</v>
      </c>
      <c r="T5478">
        <v>-0.114314</v>
      </c>
      <c r="U5478">
        <v>-2.9909059999999998</v>
      </c>
      <c r="V5478">
        <v>-0.19665879999999999</v>
      </c>
      <c r="W5478">
        <v>5.6858690000000003E-2</v>
      </c>
      <c r="X5478">
        <v>0.97882190000000002</v>
      </c>
      <c r="Y5478">
        <v>-0.13575580000000001</v>
      </c>
      <c r="Z5478">
        <v>3.786871E-2</v>
      </c>
      <c r="AA5478">
        <v>0.99001839999999997</v>
      </c>
      <c r="AB5478">
        <v>20</v>
      </c>
      <c r="AC5478">
        <v>3.55869999999998</v>
      </c>
      <c r="AD5478">
        <v>-1.110152360621</v>
      </c>
      <c r="AE5478">
        <v>-28.825620000000001</v>
      </c>
      <c r="AF5478">
        <v>-3.9693145868482098</v>
      </c>
      <c r="AG5478">
        <v>-1.110152360621</v>
      </c>
      <c r="AH5478">
        <v>28.729179772247399</v>
      </c>
      <c r="AI5478">
        <v>92.192118072456594</v>
      </c>
      <c r="AJ5478">
        <v>97.866365036217502</v>
      </c>
      <c r="AK5478">
        <v>29.023329701108899</v>
      </c>
      <c r="AL5478">
        <v>86.740478979896807</v>
      </c>
      <c r="AM5478">
        <v>101.360265228242</v>
      </c>
      <c r="AN5478">
        <v>0.999999953082782</v>
      </c>
    </row>
    <row r="5479" spans="1:40" x14ac:dyDescent="0.25">
      <c r="A5479" t="str">
        <f>"20190312151643300"</f>
        <v>20190312151643300</v>
      </c>
      <c r="B5479" t="str">
        <f>"1552375003293086"</f>
        <v>1552375003293086</v>
      </c>
      <c r="C5479" t="s">
        <v>40</v>
      </c>
      <c r="D5479">
        <v>4.6154279999999996</v>
      </c>
      <c r="E5479">
        <v>0.53529259999999901</v>
      </c>
      <c r="F5479" t="s">
        <v>64</v>
      </c>
      <c r="G5479">
        <v>-296.85199999999998</v>
      </c>
      <c r="H5479" s="1">
        <v>-4.9743519999999997E-6</v>
      </c>
      <c r="I5479">
        <v>-47.560470000000002</v>
      </c>
      <c r="J5479">
        <v>-299.70690000000002</v>
      </c>
      <c r="K5479">
        <v>1.110155</v>
      </c>
      <c r="L5479">
        <v>-19.368099999999998</v>
      </c>
      <c r="M5479">
        <v>-1.4478059999999999E-2</v>
      </c>
      <c r="N5479">
        <v>0</v>
      </c>
      <c r="O5479">
        <v>-0.99979470000000004</v>
      </c>
      <c r="P5479">
        <v>0.18250930000000001</v>
      </c>
      <c r="Q5479">
        <v>4.4045319999999999E-2</v>
      </c>
      <c r="R5479">
        <v>-0.98221729999999996</v>
      </c>
      <c r="S5479">
        <v>0.30187989999999998</v>
      </c>
      <c r="T5479">
        <v>-0.1174972</v>
      </c>
      <c r="U5479">
        <v>-3.003174</v>
      </c>
      <c r="V5479">
        <v>-0.1967081</v>
      </c>
      <c r="W5479">
        <v>5.7936460000000002E-2</v>
      </c>
      <c r="X5479">
        <v>0.97874890000000003</v>
      </c>
      <c r="Y5479">
        <v>-0.1143371</v>
      </c>
      <c r="Z5479">
        <v>3.8862309999999997E-2</v>
      </c>
      <c r="AA5479">
        <v>0.99268160000000005</v>
      </c>
      <c r="AB5479">
        <v>20</v>
      </c>
      <c r="AC5479">
        <v>2.8548999999999798</v>
      </c>
      <c r="AD5479">
        <v>-1.1101599743520001</v>
      </c>
      <c r="AE5479">
        <v>-28.19237</v>
      </c>
      <c r="AF5479">
        <v>-3.2578121688336301</v>
      </c>
      <c r="AG5479">
        <v>-1.1101599743520001</v>
      </c>
      <c r="AH5479">
        <v>28.1049389470591</v>
      </c>
      <c r="AI5479">
        <v>92.247007615207096</v>
      </c>
      <c r="AJ5479">
        <v>96.611989041026206</v>
      </c>
      <c r="AK5479">
        <v>28.314896936312</v>
      </c>
      <c r="AL5479">
        <v>86.678625684034103</v>
      </c>
      <c r="AM5479">
        <v>101.363864490994</v>
      </c>
      <c r="AN5479">
        <v>1.0000000596270699</v>
      </c>
    </row>
    <row r="5480" spans="1:40" x14ac:dyDescent="0.25">
      <c r="A5480" t="str">
        <f>"20190312151643329"</f>
        <v>20190312151643329</v>
      </c>
      <c r="B5480" t="str">
        <f>"1552375003323343"</f>
        <v>1552375003323343</v>
      </c>
      <c r="C5480" t="s">
        <v>40</v>
      </c>
      <c r="D5480">
        <v>4.6495769999999998</v>
      </c>
      <c r="E5480">
        <v>0.53781239999999997</v>
      </c>
      <c r="F5480" t="s">
        <v>64</v>
      </c>
      <c r="G5480">
        <v>-297.19979999999998</v>
      </c>
      <c r="H5480" s="1">
        <v>-4.2884880000000002E-6</v>
      </c>
      <c r="I5480">
        <v>-46.365760000000002</v>
      </c>
      <c r="J5480">
        <v>-299.71050000000002</v>
      </c>
      <c r="K5480">
        <v>1.110163</v>
      </c>
      <c r="L5480">
        <v>-19.614899999999999</v>
      </c>
      <c r="M5480">
        <v>-1.450658E-2</v>
      </c>
      <c r="N5480">
        <v>0</v>
      </c>
      <c r="O5480">
        <v>-0.99979620000000002</v>
      </c>
      <c r="P5480">
        <v>0.18337020000000001</v>
      </c>
      <c r="Q5480">
        <v>4.5851950000000002E-2</v>
      </c>
      <c r="R5480">
        <v>-0.98197440000000003</v>
      </c>
      <c r="S5480">
        <v>0.2793274</v>
      </c>
      <c r="T5480">
        <v>-0.1236892</v>
      </c>
      <c r="U5480">
        <v>-3.007965</v>
      </c>
      <c r="V5480">
        <v>-0.1975934</v>
      </c>
      <c r="W5480">
        <v>5.962249E-2</v>
      </c>
      <c r="X5480">
        <v>0.97846929999999999</v>
      </c>
      <c r="Y5480">
        <v>-0.1068236</v>
      </c>
      <c r="Z5480">
        <v>4.0874000000000001E-2</v>
      </c>
      <c r="AA5480">
        <v>0.99343749999999997</v>
      </c>
      <c r="AB5480">
        <v>20</v>
      </c>
      <c r="AC5480">
        <v>2.5107000000000399</v>
      </c>
      <c r="AD5480">
        <v>-1.1101672884880001</v>
      </c>
      <c r="AE5480">
        <v>-26.750859999999999</v>
      </c>
      <c r="AF5480">
        <v>-2.89359745857527</v>
      </c>
      <c r="AG5480">
        <v>-1.1101672884880001</v>
      </c>
      <c r="AH5480">
        <v>26.666094092793799</v>
      </c>
      <c r="AI5480">
        <v>92.370073924291503</v>
      </c>
      <c r="AJ5480">
        <v>96.1930613573317</v>
      </c>
      <c r="AK5480">
        <v>26.845594644679299</v>
      </c>
      <c r="AL5480">
        <v>86.581856036146704</v>
      </c>
      <c r="AM5480">
        <v>101.416844835303</v>
      </c>
      <c r="AN5480">
        <v>1.00000008203992</v>
      </c>
    </row>
    <row r="5481" spans="1:40" x14ac:dyDescent="0.25">
      <c r="A5481" t="str">
        <f>"20190312151643351"</f>
        <v>20190312151643351</v>
      </c>
      <c r="B5481" t="str">
        <f>"1552375003342863"</f>
        <v>1552375003342863</v>
      </c>
      <c r="C5481" t="s">
        <v>40</v>
      </c>
      <c r="D5481">
        <v>4.6880949999999997</v>
      </c>
      <c r="E5481">
        <v>0.53886789999999996</v>
      </c>
      <c r="F5481" t="s">
        <v>64</v>
      </c>
      <c r="G5481">
        <v>-297.51710000000003</v>
      </c>
      <c r="H5481" s="1">
        <v>-3.3781080000000001E-6</v>
      </c>
      <c r="I5481">
        <v>-44.762729999999998</v>
      </c>
      <c r="J5481">
        <v>-299.71339999999998</v>
      </c>
      <c r="K5481">
        <v>1.1101639999999999</v>
      </c>
      <c r="L5481">
        <v>-19.814820000000001</v>
      </c>
      <c r="M5481">
        <v>-1.452999E-2</v>
      </c>
      <c r="N5481">
        <v>0</v>
      </c>
      <c r="O5481">
        <v>-0.99979689999999999</v>
      </c>
      <c r="P5481">
        <v>0.18414700000000001</v>
      </c>
      <c r="Q5481">
        <v>4.6598680000000003E-2</v>
      </c>
      <c r="R5481">
        <v>-0.98179369999999999</v>
      </c>
      <c r="S5481">
        <v>0.26272579999999901</v>
      </c>
      <c r="T5481">
        <v>-0.13297709999999999</v>
      </c>
      <c r="U5481">
        <v>-3.012238</v>
      </c>
      <c r="V5481">
        <v>-0.19839019999999999</v>
      </c>
      <c r="W5481">
        <v>6.0284579999999997E-2</v>
      </c>
      <c r="X5481">
        <v>0.97826740000000001</v>
      </c>
      <c r="Y5481">
        <v>-0.1012731</v>
      </c>
      <c r="Z5481">
        <v>4.3899149999999998E-2</v>
      </c>
      <c r="AA5481">
        <v>0.99388960000000004</v>
      </c>
      <c r="AB5481">
        <v>20</v>
      </c>
      <c r="AC5481">
        <v>2.19629999999994</v>
      </c>
      <c r="AD5481">
        <v>-1.1101673781079999</v>
      </c>
      <c r="AE5481">
        <v>-24.94791</v>
      </c>
      <c r="AF5481">
        <v>-2.5535786358403398</v>
      </c>
      <c r="AG5481">
        <v>-1.1101673781079999</v>
      </c>
      <c r="AH5481">
        <v>24.8645025349545</v>
      </c>
      <c r="AI5481">
        <v>92.543124812069095</v>
      </c>
      <c r="AJ5481">
        <v>95.863705606173795</v>
      </c>
      <c r="AK5481">
        <v>25.019926494048601</v>
      </c>
      <c r="AL5481">
        <v>86.543852444212106</v>
      </c>
      <c r="AM5481">
        <v>101.463970324935</v>
      </c>
      <c r="AN5481">
        <v>1.0000000039722801</v>
      </c>
    </row>
    <row r="5482" spans="1:40" x14ac:dyDescent="0.25">
      <c r="A5482" t="str">
        <f>"20190312151643389"</f>
        <v>20190312151643389</v>
      </c>
      <c r="B5482" t="str">
        <f>"1552375003383384"</f>
        <v>1552375003383384</v>
      </c>
      <c r="C5482" t="s">
        <v>40</v>
      </c>
      <c r="D5482">
        <v>4.6075410000000003</v>
      </c>
      <c r="E5482">
        <v>0.54011339999999997</v>
      </c>
      <c r="F5482" t="s">
        <v>64</v>
      </c>
      <c r="G5482">
        <v>-297.69319999999999</v>
      </c>
      <c r="H5482" s="1">
        <v>-2.5934099999999999E-6</v>
      </c>
      <c r="I5482">
        <v>-43.518270000000001</v>
      </c>
      <c r="J5482">
        <v>-299.71820000000002</v>
      </c>
      <c r="K5482">
        <v>1.1101620000000001</v>
      </c>
      <c r="L5482">
        <v>-20.141110000000001</v>
      </c>
      <c r="M5482">
        <v>-1.456738E-2</v>
      </c>
      <c r="N5482">
        <v>0</v>
      </c>
      <c r="O5482">
        <v>-0.99979810000000002</v>
      </c>
      <c r="P5482">
        <v>0.18432219999999999</v>
      </c>
      <c r="Q5482">
        <v>4.5464959999999999E-2</v>
      </c>
      <c r="R5482">
        <v>-0.98181419999999997</v>
      </c>
      <c r="S5482">
        <v>0.25689699999999999</v>
      </c>
      <c r="T5482">
        <v>-0.14117009999999999</v>
      </c>
      <c r="U5482">
        <v>-3.01416</v>
      </c>
      <c r="V5482">
        <v>-0.19860230000000001</v>
      </c>
      <c r="W5482">
        <v>5.9040830000000002E-2</v>
      </c>
      <c r="X5482">
        <v>0.97830019999999995</v>
      </c>
      <c r="Y5482">
        <v>-9.9337079999999994E-2</v>
      </c>
      <c r="Z5482">
        <v>4.6576949999999999E-2</v>
      </c>
      <c r="AA5482">
        <v>0.99396309999999999</v>
      </c>
      <c r="AB5482">
        <v>20</v>
      </c>
      <c r="AC5482">
        <v>2.0250000000000301</v>
      </c>
      <c r="AD5482">
        <v>-1.11016459341</v>
      </c>
      <c r="AE5482">
        <v>-23.37716</v>
      </c>
      <c r="AF5482">
        <v>-2.3600787946040498</v>
      </c>
      <c r="AG5482">
        <v>-1.11016459341</v>
      </c>
      <c r="AH5482">
        <v>23.2930372354461</v>
      </c>
      <c r="AI5482">
        <v>92.714818719759194</v>
      </c>
      <c r="AJ5482">
        <v>95.785533734187297</v>
      </c>
      <c r="AK5482">
        <v>23.4386010886546</v>
      </c>
      <c r="AL5482">
        <v>86.615241190109899</v>
      </c>
      <c r="AM5482">
        <v>101.475526962883</v>
      </c>
      <c r="AN5482">
        <v>0.99999998724620898</v>
      </c>
    </row>
    <row r="5483" spans="1:40" x14ac:dyDescent="0.25">
      <c r="A5483" t="str">
        <f>"20190312151643412"</f>
        <v>20190312151643412</v>
      </c>
      <c r="B5483" t="str">
        <f>"1552375003402904"</f>
        <v>1552375003402904</v>
      </c>
      <c r="C5483" t="s">
        <v>40</v>
      </c>
      <c r="D5483">
        <v>4.6613040000000003</v>
      </c>
      <c r="E5483">
        <v>0.54073700000000002</v>
      </c>
      <c r="F5483" t="s">
        <v>64</v>
      </c>
      <c r="G5483">
        <v>-298.03160000000003</v>
      </c>
      <c r="H5483" s="1">
        <v>-6.5775139999999997E-7</v>
      </c>
      <c r="I5483">
        <v>-40.614640000000001</v>
      </c>
      <c r="J5483">
        <v>-299.72120000000001</v>
      </c>
      <c r="K5483">
        <v>1.1101540000000001</v>
      </c>
      <c r="L5483">
        <v>-20.347840000000001</v>
      </c>
      <c r="M5483">
        <v>-1.459124E-2</v>
      </c>
      <c r="N5483">
        <v>0</v>
      </c>
      <c r="O5483">
        <v>-0.99979830000000003</v>
      </c>
      <c r="P5483">
        <v>0.184196</v>
      </c>
      <c r="Q5483">
        <v>4.5668590000000002E-2</v>
      </c>
      <c r="R5483">
        <v>-0.98182809999999998</v>
      </c>
      <c r="S5483">
        <v>0.24850459999999999</v>
      </c>
      <c r="T5483">
        <v>-0.1635665</v>
      </c>
      <c r="U5483">
        <v>-3.0164789999999999</v>
      </c>
      <c r="V5483">
        <v>-0.1984998</v>
      </c>
      <c r="W5483">
        <v>5.918648E-2</v>
      </c>
      <c r="X5483">
        <v>0.97831219999999997</v>
      </c>
      <c r="Y5483">
        <v>-9.6519339999999995E-2</v>
      </c>
      <c r="Z5483">
        <v>5.3918630000000002E-2</v>
      </c>
      <c r="AA5483">
        <v>0.99386960000000002</v>
      </c>
      <c r="AB5483">
        <v>20</v>
      </c>
      <c r="AC5483">
        <v>1.68959999999998</v>
      </c>
      <c r="AD5483">
        <v>-1.1101546577513901</v>
      </c>
      <c r="AE5483">
        <v>-20.2668</v>
      </c>
      <c r="AF5483">
        <v>-1.97926815833953</v>
      </c>
      <c r="AG5483">
        <v>-1.1101546577513901</v>
      </c>
      <c r="AH5483">
        <v>20.179854185821402</v>
      </c>
      <c r="AI5483">
        <v>93.133832256925899</v>
      </c>
      <c r="AJ5483">
        <v>95.601732759781697</v>
      </c>
      <c r="AK5483">
        <v>20.307054458186698</v>
      </c>
      <c r="AL5483">
        <v>86.606881434202407</v>
      </c>
      <c r="AM5483">
        <v>101.46962440933299</v>
      </c>
      <c r="AN5483">
        <v>0.99999998534183498</v>
      </c>
    </row>
    <row r="5484" spans="1:40" x14ac:dyDescent="0.25">
      <c r="A5484" t="str">
        <f>"20190312151643436"</f>
        <v>20190312151643436</v>
      </c>
      <c r="B5484" t="str">
        <f>"1552375003423400"</f>
        <v>1552375003423400</v>
      </c>
      <c r="C5484" t="s">
        <v>40</v>
      </c>
      <c r="D5484">
        <v>4.649413</v>
      </c>
      <c r="E5484">
        <v>0.54119810000000002</v>
      </c>
      <c r="F5484" t="s">
        <v>43</v>
      </c>
      <c r="G5484">
        <v>-298.12720000000002</v>
      </c>
      <c r="H5484" s="1">
        <v>-5.7554319999999899E-7</v>
      </c>
      <c r="I5484">
        <v>-40.124929999999999</v>
      </c>
      <c r="J5484">
        <v>-299.72410000000002</v>
      </c>
      <c r="K5484">
        <v>1.1101460000000001</v>
      </c>
      <c r="L5484">
        <v>-20.54327</v>
      </c>
      <c r="M5484">
        <v>-1.46134E-2</v>
      </c>
      <c r="N5484">
        <v>0</v>
      </c>
      <c r="O5484">
        <v>-0.99979879999999999</v>
      </c>
      <c r="P5484">
        <v>0.18441070000000001</v>
      </c>
      <c r="Q5484">
        <v>4.4877680000000003E-2</v>
      </c>
      <c r="R5484">
        <v>-0.98182429999999998</v>
      </c>
      <c r="S5484">
        <v>0.2432251</v>
      </c>
      <c r="T5484">
        <v>-0.16939709999999999</v>
      </c>
      <c r="U5484">
        <v>-3.0177610000000001</v>
      </c>
      <c r="V5484">
        <v>-0.19873589999999999</v>
      </c>
      <c r="W5484">
        <v>5.8346799999999997E-2</v>
      </c>
      <c r="X5484">
        <v>0.97831469999999998</v>
      </c>
      <c r="Y5484">
        <v>-9.4770989999999999E-2</v>
      </c>
      <c r="Z5484">
        <v>5.5819790000000001E-2</v>
      </c>
      <c r="AA5484">
        <v>0.99393290000000001</v>
      </c>
      <c r="AB5484">
        <v>20</v>
      </c>
      <c r="AC5484">
        <v>1.5969</v>
      </c>
      <c r="AD5484">
        <v>-1.1101465755431901</v>
      </c>
      <c r="AE5484">
        <v>-19.581659999999999</v>
      </c>
      <c r="AF5484">
        <v>-1.8769183174881401</v>
      </c>
      <c r="AG5484">
        <v>-1.1101465755431901</v>
      </c>
      <c r="AH5484">
        <v>19.4939882955893</v>
      </c>
      <c r="AI5484">
        <v>93.244397079887904</v>
      </c>
      <c r="AJ5484">
        <v>95.499594450467796</v>
      </c>
      <c r="AK5484">
        <v>19.6155761439292</v>
      </c>
      <c r="AL5484">
        <v>86.6550748277309</v>
      </c>
      <c r="AM5484">
        <v>101.48287589460899</v>
      </c>
      <c r="AN5484">
        <v>0.99999997962756904</v>
      </c>
    </row>
    <row r="5485" spans="1:40" x14ac:dyDescent="0.25">
      <c r="A5485" t="str">
        <f>"20190312151643459"</f>
        <v>20190312151643459</v>
      </c>
      <c r="B5485" t="str">
        <f>"1552375003453656"</f>
        <v>1552375003453656</v>
      </c>
      <c r="C5485" t="s">
        <v>40</v>
      </c>
      <c r="D5485">
        <v>4.6384319999999999</v>
      </c>
      <c r="E5485">
        <v>0.54176650000000004</v>
      </c>
      <c r="F5485" t="s">
        <v>43</v>
      </c>
      <c r="G5485">
        <v>-298.22469999999998</v>
      </c>
      <c r="H5485" s="1">
        <v>-8.0446379999999996E-7</v>
      </c>
      <c r="I5485">
        <v>-39.376010000000001</v>
      </c>
      <c r="J5485">
        <v>-299.72719999999998</v>
      </c>
      <c r="K5485">
        <v>1.1101379999999901</v>
      </c>
      <c r="L5485">
        <v>-20.752379999999999</v>
      </c>
      <c r="M5485">
        <v>-1.463762E-2</v>
      </c>
      <c r="N5485">
        <v>0</v>
      </c>
      <c r="O5485">
        <v>-0.99979929999999995</v>
      </c>
      <c r="P5485">
        <v>0.18408730000000001</v>
      </c>
      <c r="Q5485">
        <v>4.428236E-2</v>
      </c>
      <c r="R5485">
        <v>-0.98191220000000001</v>
      </c>
      <c r="S5485">
        <v>0.24032590000000001</v>
      </c>
      <c r="T5485">
        <v>-0.17793510000000001</v>
      </c>
      <c r="U5485">
        <v>-3.0185240000000002</v>
      </c>
      <c r="V5485">
        <v>-0.1984378</v>
      </c>
      <c r="W5485">
        <v>5.7698439999999997E-2</v>
      </c>
      <c r="X5485">
        <v>0.97841369999999905</v>
      </c>
      <c r="Y5485">
        <v>-9.3813670000000002E-2</v>
      </c>
      <c r="Z5485">
        <v>5.8613899999999997E-2</v>
      </c>
      <c r="AA5485">
        <v>0.99386289999999999</v>
      </c>
      <c r="AB5485">
        <v>19</v>
      </c>
      <c r="AC5485">
        <v>1.50249999999999</v>
      </c>
      <c r="AD5485">
        <v>-1.1101388044638001</v>
      </c>
      <c r="AE5485">
        <v>-18.623629999999999</v>
      </c>
      <c r="AF5485">
        <v>-1.7687260369944799</v>
      </c>
      <c r="AG5485">
        <v>-1.1101388044638001</v>
      </c>
      <c r="AH5485">
        <v>18.534208468349401</v>
      </c>
      <c r="AI5485">
        <v>93.412270018860994</v>
      </c>
      <c r="AJ5485">
        <v>95.451248314471897</v>
      </c>
      <c r="AK5485">
        <v>18.651479391923701</v>
      </c>
      <c r="AL5485">
        <v>86.692285942960197</v>
      </c>
      <c r="AM5485">
        <v>101.464978863998</v>
      </c>
      <c r="AN5485">
        <v>1.0000000193974801</v>
      </c>
    </row>
    <row r="5486" spans="1:40" x14ac:dyDescent="0.25">
      <c r="A5486" t="str">
        <f>"20190312151643481"</f>
        <v>20190312151643481</v>
      </c>
      <c r="B5486" t="str">
        <f>"1552375003473446"</f>
        <v>1552375003473446</v>
      </c>
      <c r="C5486" t="s">
        <v>40</v>
      </c>
      <c r="D5486">
        <v>4.659497</v>
      </c>
      <c r="E5486">
        <v>0.54204519999999901</v>
      </c>
      <c r="F5486" t="s">
        <v>43</v>
      </c>
      <c r="G5486">
        <v>-298.3372</v>
      </c>
      <c r="H5486" s="1">
        <v>-1.049719E-6</v>
      </c>
      <c r="I5486">
        <v>-38.607849999999999</v>
      </c>
      <c r="J5486">
        <v>-299.73</v>
      </c>
      <c r="K5486">
        <v>1.110136</v>
      </c>
      <c r="L5486">
        <v>-20.93909</v>
      </c>
      <c r="M5486">
        <v>-1.465899E-2</v>
      </c>
      <c r="N5486">
        <v>0</v>
      </c>
      <c r="O5486">
        <v>-0.99979969999999996</v>
      </c>
      <c r="P5486">
        <v>0.18445810000000001</v>
      </c>
      <c r="Q5486">
        <v>4.467778E-2</v>
      </c>
      <c r="R5486">
        <v>-0.98182480000000005</v>
      </c>
      <c r="S5486">
        <v>0.23507690000000001</v>
      </c>
      <c r="T5486">
        <v>-0.18774279999999999</v>
      </c>
      <c r="U5486">
        <v>-3.0196529999999999</v>
      </c>
      <c r="V5486">
        <v>-0.19882810000000001</v>
      </c>
      <c r="W5486">
        <v>5.8043570000000003E-2</v>
      </c>
      <c r="X5486">
        <v>0.97831400000000002</v>
      </c>
      <c r="Y5486">
        <v>-9.2073409999999994E-2</v>
      </c>
      <c r="Z5486">
        <v>6.1818819999999997E-2</v>
      </c>
      <c r="AA5486">
        <v>0.99383149999999998</v>
      </c>
      <c r="AB5486">
        <v>19</v>
      </c>
      <c r="AC5486">
        <v>1.39280000000002</v>
      </c>
      <c r="AD5486">
        <v>-1.110137049719</v>
      </c>
      <c r="AE5486">
        <v>-17.668759999999999</v>
      </c>
      <c r="AF5486">
        <v>-1.6452258395650801</v>
      </c>
      <c r="AG5486">
        <v>-1.110137049719</v>
      </c>
      <c r="AH5486">
        <v>17.577480619173599</v>
      </c>
      <c r="AI5486">
        <v>93.598131963814595</v>
      </c>
      <c r="AJ5486">
        <v>95.347220302355495</v>
      </c>
      <c r="AK5486">
        <v>17.689177404553099</v>
      </c>
      <c r="AL5486">
        <v>86.672478109914906</v>
      </c>
      <c r="AM5486">
        <v>101.48806956955799</v>
      </c>
      <c r="AN5486">
        <v>0.99999997598197699</v>
      </c>
    </row>
    <row r="5487" spans="1:40" x14ac:dyDescent="0.25">
      <c r="A5487" t="str">
        <f>"20190312151643504"</f>
        <v>20190312151643504</v>
      </c>
      <c r="B5487" t="str">
        <f>"1552375003492966"</f>
        <v>1552375003492966</v>
      </c>
      <c r="C5487" t="s">
        <v>40</v>
      </c>
      <c r="D5487">
        <v>4.7037329999999997</v>
      </c>
      <c r="E5487">
        <v>0.54216189999999997</v>
      </c>
      <c r="F5487" t="s">
        <v>43</v>
      </c>
      <c r="G5487">
        <v>-298.36759999999998</v>
      </c>
      <c r="H5487" s="1">
        <v>-1.0817069999999999E-6</v>
      </c>
      <c r="I5487">
        <v>-38.520710000000001</v>
      </c>
      <c r="J5487">
        <v>-299.73289999999997</v>
      </c>
      <c r="K5487">
        <v>1.1101319999999999</v>
      </c>
      <c r="L5487">
        <v>-21.13983</v>
      </c>
      <c r="M5487">
        <v>-1.468182E-2</v>
      </c>
      <c r="N5487">
        <v>0</v>
      </c>
      <c r="O5487">
        <v>-0.99980000000000002</v>
      </c>
      <c r="P5487">
        <v>0.18509590000000001</v>
      </c>
      <c r="Q5487">
        <v>4.571248E-2</v>
      </c>
      <c r="R5487">
        <v>-0.981657</v>
      </c>
      <c r="S5487">
        <v>0.23403930000000001</v>
      </c>
      <c r="T5487">
        <v>-0.19070319999999999</v>
      </c>
      <c r="U5487">
        <v>-3.0202330000000002</v>
      </c>
      <c r="V5487">
        <v>-0.19948550000000001</v>
      </c>
      <c r="W5487">
        <v>5.9020370000000003E-2</v>
      </c>
      <c r="X5487">
        <v>0.97812180000000004</v>
      </c>
      <c r="Y5487">
        <v>-9.1737360000000004E-2</v>
      </c>
      <c r="Z5487">
        <v>6.2779559999999998E-2</v>
      </c>
      <c r="AA5487">
        <v>0.99380230000000003</v>
      </c>
      <c r="AB5487">
        <v>19</v>
      </c>
      <c r="AC5487">
        <v>1.36529999999999</v>
      </c>
      <c r="AD5487">
        <v>-1.1101330817070001</v>
      </c>
      <c r="AE5487">
        <v>-17.380879999999902</v>
      </c>
      <c r="AF5487">
        <v>-1.61381611575471</v>
      </c>
      <c r="AG5487">
        <v>-1.1101330817070001</v>
      </c>
      <c r="AH5487">
        <v>17.288862016536498</v>
      </c>
      <c r="AI5487">
        <v>93.658109974778498</v>
      </c>
      <c r="AJ5487">
        <v>95.332779804281401</v>
      </c>
      <c r="AK5487">
        <v>17.399469754604802</v>
      </c>
      <c r="AL5487">
        <v>86.616415763525296</v>
      </c>
      <c r="AM5487">
        <v>101.52724274724901</v>
      </c>
      <c r="AN5487">
        <v>1.0000000622102101</v>
      </c>
    </row>
    <row r="5488" spans="1:40" x14ac:dyDescent="0.25">
      <c r="A5488" t="str">
        <f>"20190312151643530"</f>
        <v>20190312151643530</v>
      </c>
      <c r="B5488" t="str">
        <f>"1552375003523221"</f>
        <v>1552375003523221</v>
      </c>
      <c r="C5488" t="s">
        <v>40</v>
      </c>
      <c r="D5488">
        <v>4.6780839999999904</v>
      </c>
      <c r="E5488">
        <v>0.54242309999999905</v>
      </c>
      <c r="F5488" t="s">
        <v>43</v>
      </c>
      <c r="G5488">
        <v>-298.35599999999999</v>
      </c>
      <c r="H5488" s="1">
        <v>-9.5157989999999996E-7</v>
      </c>
      <c r="I5488">
        <v>-38.841009999999997</v>
      </c>
      <c r="J5488">
        <v>-299.7362</v>
      </c>
      <c r="K5488">
        <v>1.1101219999999901</v>
      </c>
      <c r="L5488">
        <v>-21.3613</v>
      </c>
      <c r="M5488">
        <v>-1.470722E-2</v>
      </c>
      <c r="N5488">
        <v>0</v>
      </c>
      <c r="O5488">
        <v>-0.99980069999999999</v>
      </c>
      <c r="P5488">
        <v>0.18537100000000001</v>
      </c>
      <c r="Q5488">
        <v>4.5426609999999999E-2</v>
      </c>
      <c r="R5488">
        <v>-0.98161849999999995</v>
      </c>
      <c r="S5488">
        <v>0.23495479999999999</v>
      </c>
      <c r="T5488">
        <v>-0.18943550000000001</v>
      </c>
      <c r="U5488">
        <v>-3.0205690000000001</v>
      </c>
      <c r="V5488">
        <v>-0.1997854</v>
      </c>
      <c r="W5488">
        <v>5.8669539999999999E-2</v>
      </c>
      <c r="X5488">
        <v>0.9780816</v>
      </c>
      <c r="Y5488">
        <v>-9.2055600000000001E-2</v>
      </c>
      <c r="Z5488">
        <v>6.2355319999999999E-2</v>
      </c>
      <c r="AA5488">
        <v>0.99379960000000001</v>
      </c>
      <c r="AB5488">
        <v>19</v>
      </c>
      <c r="AC5488">
        <v>1.3802000000000001</v>
      </c>
      <c r="AD5488">
        <v>-1.11012295157989</v>
      </c>
      <c r="AE5488">
        <v>-17.479709999999901</v>
      </c>
      <c r="AF5488">
        <v>-1.63061585407996</v>
      </c>
      <c r="AG5488">
        <v>-1.11012295157989</v>
      </c>
      <c r="AH5488">
        <v>17.3878204661208</v>
      </c>
      <c r="AI5488">
        <v>93.637167369500304</v>
      </c>
      <c r="AJ5488">
        <v>95.357483371489096</v>
      </c>
      <c r="AK5488">
        <v>17.4993594623703</v>
      </c>
      <c r="AL5488">
        <v>86.636551418479598</v>
      </c>
      <c r="AM5488">
        <v>101.54456928872401</v>
      </c>
      <c r="AN5488">
        <v>0.99999996861776497</v>
      </c>
    </row>
    <row r="5489" spans="1:40" x14ac:dyDescent="0.25">
      <c r="A5489" t="str">
        <f>"20190312151643553"</f>
        <v>20190312151643553</v>
      </c>
      <c r="B5489" t="str">
        <f>"1552375003543718"</f>
        <v>1552375003543718</v>
      </c>
      <c r="C5489" t="s">
        <v>40</v>
      </c>
      <c r="D5489">
        <v>4.6726679999999998</v>
      </c>
      <c r="E5489">
        <v>0.54257549999999999</v>
      </c>
      <c r="F5489" t="s">
        <v>43</v>
      </c>
      <c r="G5489">
        <v>-298.41079999999999</v>
      </c>
      <c r="H5489" s="1">
        <v>-1.10447E-6</v>
      </c>
      <c r="I5489">
        <v>-38.449779999999997</v>
      </c>
      <c r="J5489">
        <v>-299.73919999999998</v>
      </c>
      <c r="K5489">
        <v>1.1101129999999999</v>
      </c>
      <c r="L5489">
        <v>-21.56146</v>
      </c>
      <c r="M5489">
        <v>-1.47297E-2</v>
      </c>
      <c r="N5489">
        <v>0</v>
      </c>
      <c r="O5489">
        <v>-0.99980089999999999</v>
      </c>
      <c r="P5489">
        <v>0.1857338</v>
      </c>
      <c r="Q5489">
        <v>4.566129E-2</v>
      </c>
      <c r="R5489">
        <v>-0.98153869999999999</v>
      </c>
      <c r="S5489">
        <v>0.23431399999999999</v>
      </c>
      <c r="T5489">
        <v>-0.1962537</v>
      </c>
      <c r="U5489">
        <v>-3.0209959999999998</v>
      </c>
      <c r="V5489">
        <v>-0.2001685</v>
      </c>
      <c r="W5489">
        <v>5.8843760000000002E-2</v>
      </c>
      <c r="X5489">
        <v>0.9779928</v>
      </c>
      <c r="Y5489">
        <v>-9.18466E-2</v>
      </c>
      <c r="Z5489">
        <v>6.4582429999999996E-2</v>
      </c>
      <c r="AA5489">
        <v>0.99367669999999997</v>
      </c>
      <c r="AB5489">
        <v>19</v>
      </c>
      <c r="AC5489">
        <v>1.32839999999998</v>
      </c>
      <c r="AD5489">
        <v>-1.11011410446999</v>
      </c>
      <c r="AE5489">
        <v>-16.888319999999901</v>
      </c>
      <c r="AF5489">
        <v>-1.5702951037853099</v>
      </c>
      <c r="AG5489">
        <v>-1.11011410446999</v>
      </c>
      <c r="AH5489">
        <v>16.7947983366677</v>
      </c>
      <c r="AI5489">
        <v>93.765299881244601</v>
      </c>
      <c r="AJ5489">
        <v>95.341562861795495</v>
      </c>
      <c r="AK5489">
        <v>16.9045387753482</v>
      </c>
      <c r="AL5489">
        <v>86.6265520653442</v>
      </c>
      <c r="AM5489">
        <v>101.567132572304</v>
      </c>
      <c r="AN5489">
        <v>0.99999996666751301</v>
      </c>
    </row>
    <row r="5490" spans="1:40" x14ac:dyDescent="0.25">
      <c r="A5490" t="str">
        <f>"20190312151643575"</f>
        <v>20190312151643575</v>
      </c>
      <c r="B5490" t="str">
        <f>"1552375003563238"</f>
        <v>1552375003563238</v>
      </c>
      <c r="C5490" t="s">
        <v>40</v>
      </c>
      <c r="D5490">
        <v>4.7168650000000003</v>
      </c>
      <c r="E5490">
        <v>0.54269250000000002</v>
      </c>
      <c r="F5490" t="s">
        <v>43</v>
      </c>
      <c r="G5490">
        <v>-298.4323</v>
      </c>
      <c r="H5490" s="1">
        <v>-1.1258530000000001E-6</v>
      </c>
      <c r="I5490">
        <v>-38.391060000000003</v>
      </c>
      <c r="J5490">
        <v>-299.74189999999999</v>
      </c>
      <c r="K5490">
        <v>1.110104</v>
      </c>
      <c r="L5490">
        <v>-21.74606</v>
      </c>
      <c r="M5490">
        <v>-1.4750920000000001E-2</v>
      </c>
      <c r="N5490">
        <v>0</v>
      </c>
      <c r="O5490">
        <v>-0.99980139999999995</v>
      </c>
      <c r="P5490">
        <v>0.18580389999999999</v>
      </c>
      <c r="Q5490">
        <v>4.5842349999999997E-2</v>
      </c>
      <c r="R5490">
        <v>-0.98151699999999997</v>
      </c>
      <c r="S5490">
        <v>0.2346191</v>
      </c>
      <c r="T5490">
        <v>-0.1992911</v>
      </c>
      <c r="U5490">
        <v>-3.0213009999999998</v>
      </c>
      <c r="V5490">
        <v>-0.20025950000000001</v>
      </c>
      <c r="W5490">
        <v>5.8965150000000001E-2</v>
      </c>
      <c r="X5490">
        <v>0.97796689999999997</v>
      </c>
      <c r="Y5490">
        <v>-9.1954750000000002E-2</v>
      </c>
      <c r="Z5490">
        <v>6.5570489999999995E-2</v>
      </c>
      <c r="AA5490">
        <v>0.99360199999999999</v>
      </c>
      <c r="AB5490">
        <v>19</v>
      </c>
      <c r="AC5490">
        <v>1.3095999999999799</v>
      </c>
      <c r="AD5490">
        <v>-1.1101051258529999</v>
      </c>
      <c r="AE5490">
        <v>-16.6449999999999</v>
      </c>
      <c r="AF5490">
        <v>-1.5481647942707999</v>
      </c>
      <c r="AG5490">
        <v>-1.1101051258529999</v>
      </c>
      <c r="AH5490">
        <v>16.5507052201134</v>
      </c>
      <c r="AI5490">
        <v>93.820622416333606</v>
      </c>
      <c r="AJ5490">
        <v>95.343938117529405</v>
      </c>
      <c r="AK5490">
        <v>16.659981719790501</v>
      </c>
      <c r="AL5490">
        <v>86.619584968780799</v>
      </c>
      <c r="AM5490">
        <v>101.572547575531</v>
      </c>
      <c r="AN5490">
        <v>1.00000000687519</v>
      </c>
    </row>
    <row r="5491" spans="1:40" x14ac:dyDescent="0.25">
      <c r="A5491" t="str">
        <f>"20190312151643594"</f>
        <v>20190312151643594</v>
      </c>
      <c r="B5491" t="str">
        <f>"1552375003583264"</f>
        <v>1552375003583264</v>
      </c>
      <c r="C5491" t="s">
        <v>40</v>
      </c>
      <c r="D5491">
        <v>4.8769309999999999</v>
      </c>
      <c r="E5491">
        <v>0.54288709999999996</v>
      </c>
      <c r="F5491" t="s">
        <v>43</v>
      </c>
      <c r="G5491">
        <v>-298.45359999999999</v>
      </c>
      <c r="H5491" s="1">
        <v>-1.132571E-6</v>
      </c>
      <c r="I5491">
        <v>-38.366599999999998</v>
      </c>
      <c r="J5491">
        <v>-299.74459999999999</v>
      </c>
      <c r="K5491">
        <v>1.11009</v>
      </c>
      <c r="L5491">
        <v>-21.926210000000001</v>
      </c>
      <c r="M5491">
        <v>-1.477155E-2</v>
      </c>
      <c r="N5491">
        <v>0</v>
      </c>
      <c r="O5491">
        <v>-0.99980210000000003</v>
      </c>
      <c r="P5491">
        <v>0.1852452</v>
      </c>
      <c r="Q5491">
        <v>4.6504740000000003E-2</v>
      </c>
      <c r="R5491">
        <v>-0.98159160000000001</v>
      </c>
      <c r="S5491">
        <v>0.2342224</v>
      </c>
      <c r="T5491">
        <v>-0.20181450000000001</v>
      </c>
      <c r="U5491">
        <v>-3.021576</v>
      </c>
      <c r="V5491">
        <v>-0.19972210000000001</v>
      </c>
      <c r="W5491">
        <v>5.9564899999999997E-2</v>
      </c>
      <c r="X5491">
        <v>0.97804049999999998</v>
      </c>
      <c r="Y5491">
        <v>-9.183442E-2</v>
      </c>
      <c r="Z5491">
        <v>6.6391770000000003E-2</v>
      </c>
      <c r="AA5491">
        <v>0.99355850000000001</v>
      </c>
      <c r="AB5491">
        <v>19</v>
      </c>
      <c r="AC5491">
        <v>1.2909999999999899</v>
      </c>
      <c r="AD5491">
        <v>-1.1100911325709999</v>
      </c>
      <c r="AE5491">
        <v>-16.440389999999901</v>
      </c>
      <c r="AF5491">
        <v>-1.5268122749933399</v>
      </c>
      <c r="AG5491">
        <v>-1.1100911325709999</v>
      </c>
      <c r="AH5491">
        <v>16.345457936534899</v>
      </c>
      <c r="AI5491">
        <v>93.868451060534596</v>
      </c>
      <c r="AJ5491">
        <v>95.336454688614495</v>
      </c>
      <c r="AK5491">
        <v>16.454101409700701</v>
      </c>
      <c r="AL5491">
        <v>86.585161489397294</v>
      </c>
      <c r="AM5491">
        <v>101.54148163457</v>
      </c>
      <c r="AN5491">
        <v>1.00000005709033</v>
      </c>
    </row>
    <row r="5492" spans="1:40" x14ac:dyDescent="0.25">
      <c r="A5492" t="str">
        <f>"20190312151643615"</f>
        <v>20190312151643615</v>
      </c>
      <c r="B5492" t="str">
        <f>"1552375003603761"</f>
        <v>1552375003603761</v>
      </c>
      <c r="C5492" t="s">
        <v>40</v>
      </c>
      <c r="D5492">
        <v>4.7089429999999997</v>
      </c>
      <c r="E5492">
        <v>0.5429988</v>
      </c>
      <c r="F5492" t="s">
        <v>43</v>
      </c>
      <c r="G5492">
        <v>-298.48230000000001</v>
      </c>
      <c r="H5492" s="1">
        <v>-1.0954060000000001E-6</v>
      </c>
      <c r="I5492">
        <v>-38.441319999999997</v>
      </c>
      <c r="J5492">
        <v>-299.7473</v>
      </c>
      <c r="K5492">
        <v>1.11008</v>
      </c>
      <c r="L5492">
        <v>-22.103670000000001</v>
      </c>
      <c r="M5492">
        <v>-1.4791139999999999E-2</v>
      </c>
      <c r="N5492">
        <v>0</v>
      </c>
      <c r="O5492">
        <v>-0.99980259999999999</v>
      </c>
      <c r="P5492">
        <v>0.1848699</v>
      </c>
      <c r="Q5492">
        <v>4.6163780000000001E-2</v>
      </c>
      <c r="R5492">
        <v>-0.9816783</v>
      </c>
      <c r="S5492">
        <v>0.23098750000000001</v>
      </c>
      <c r="T5492">
        <v>-0.20314750000000001</v>
      </c>
      <c r="U5492">
        <v>-3.022278</v>
      </c>
      <c r="V5492">
        <v>-0.19936680000000001</v>
      </c>
      <c r="W5492">
        <v>5.9162199999999998E-2</v>
      </c>
      <c r="X5492">
        <v>0.97813740000000005</v>
      </c>
      <c r="Y5492">
        <v>-9.0776759999999998E-2</v>
      </c>
      <c r="Z5492">
        <v>6.6818879999999997E-2</v>
      </c>
      <c r="AA5492">
        <v>0.99362709999999999</v>
      </c>
      <c r="AB5492">
        <v>19</v>
      </c>
      <c r="AC5492">
        <v>1.2649999999999799</v>
      </c>
      <c r="AD5492">
        <v>-1.1100810954060001</v>
      </c>
      <c r="AE5492">
        <v>-16.33765</v>
      </c>
      <c r="AF5492">
        <v>-1.4996531593551099</v>
      </c>
      <c r="AG5492">
        <v>-1.1100810954060001</v>
      </c>
      <c r="AH5492">
        <v>16.242609860031902</v>
      </c>
      <c r="AI5492">
        <v>93.893222050718506</v>
      </c>
      <c r="AJ5492">
        <v>95.275068823802101</v>
      </c>
      <c r="AK5492">
        <v>16.349422457749</v>
      </c>
      <c r="AL5492">
        <v>86.608275169642795</v>
      </c>
      <c r="AM5492">
        <v>101.52038829543601</v>
      </c>
      <c r="AN5492">
        <v>1.0000000300649099</v>
      </c>
    </row>
    <row r="5493" spans="1:40" x14ac:dyDescent="0.25">
      <c r="A5493" t="str">
        <f>"20190312151643638"</f>
        <v>20190312151643638</v>
      </c>
      <c r="B5493" t="str">
        <f>"1552375003633040"</f>
        <v>1552375003633040</v>
      </c>
      <c r="C5493" t="s">
        <v>40</v>
      </c>
      <c r="D5493">
        <v>4.7461190000000002</v>
      </c>
      <c r="E5493">
        <v>0.54315389999999997</v>
      </c>
      <c r="F5493" t="s">
        <v>43</v>
      </c>
      <c r="G5493">
        <v>-298.52159999999998</v>
      </c>
      <c r="H5493" s="1">
        <v>-1.1517970000000001E-6</v>
      </c>
      <c r="I5493">
        <v>-38.29363</v>
      </c>
      <c r="J5493">
        <v>-299.75020000000001</v>
      </c>
      <c r="K5493">
        <v>1.11007099999999</v>
      </c>
      <c r="L5493">
        <v>-22.29861</v>
      </c>
      <c r="M5493">
        <v>-1.4813089999999999E-2</v>
      </c>
      <c r="N5493">
        <v>0</v>
      </c>
      <c r="O5493">
        <v>-0.99980329999999995</v>
      </c>
      <c r="P5493">
        <v>0.18470449999999999</v>
      </c>
      <c r="Q5493">
        <v>4.5870870000000001E-2</v>
      </c>
      <c r="R5493">
        <v>-0.98172340000000002</v>
      </c>
      <c r="S5493">
        <v>0.22882079999999999</v>
      </c>
      <c r="T5493">
        <v>-0.20725060000000001</v>
      </c>
      <c r="U5493">
        <v>-3.0226440000000001</v>
      </c>
      <c r="V5493">
        <v>-0.19922400000000001</v>
      </c>
      <c r="W5493">
        <v>5.8807570000000003E-2</v>
      </c>
      <c r="X5493">
        <v>0.9781879</v>
      </c>
      <c r="Y5493">
        <v>-9.0074409999999994E-2</v>
      </c>
      <c r="Z5493">
        <v>6.8157990000000002E-2</v>
      </c>
      <c r="AA5493">
        <v>0.99360009999999999</v>
      </c>
      <c r="AB5493">
        <v>19</v>
      </c>
      <c r="AC5493">
        <v>1.2286000000000199</v>
      </c>
      <c r="AD5493">
        <v>-1.11007215179699</v>
      </c>
      <c r="AE5493">
        <v>-15.99502</v>
      </c>
      <c r="AF5493">
        <v>-1.4584380681321101</v>
      </c>
      <c r="AG5493">
        <v>-1.11007215179699</v>
      </c>
      <c r="AH5493">
        <v>15.8989354869646</v>
      </c>
      <c r="AI5493">
        <v>93.977295321236497</v>
      </c>
      <c r="AJ5493">
        <v>95.241177162876497</v>
      </c>
      <c r="AK5493">
        <v>16.004232296471901</v>
      </c>
      <c r="AL5493">
        <v>86.6286294782618</v>
      </c>
      <c r="AM5493">
        <v>101.511778524235</v>
      </c>
      <c r="AN5493">
        <v>1.0000000500858499</v>
      </c>
    </row>
    <row r="5494" spans="1:40" x14ac:dyDescent="0.25">
      <c r="A5494" t="str">
        <f>"20190312151643661"</f>
        <v>20190312151643661</v>
      </c>
      <c r="B5494" t="str">
        <f>"1552375003653536"</f>
        <v>1552375003653536</v>
      </c>
      <c r="C5494" t="s">
        <v>40</v>
      </c>
      <c r="D5494">
        <v>4.7575519999999996</v>
      </c>
      <c r="E5494">
        <v>0.54318730000000004</v>
      </c>
      <c r="F5494" t="s">
        <v>43</v>
      </c>
      <c r="G5494">
        <v>-298.5609</v>
      </c>
      <c r="H5494" s="1">
        <v>-1.220024E-6</v>
      </c>
      <c r="I5494">
        <v>-38.118369999999999</v>
      </c>
      <c r="J5494">
        <v>-299.75310000000002</v>
      </c>
      <c r="K5494">
        <v>1.1100639999999999</v>
      </c>
      <c r="L5494">
        <v>-22.492460000000001</v>
      </c>
      <c r="M5494">
        <v>-1.483569E-2</v>
      </c>
      <c r="N5494">
        <v>0</v>
      </c>
      <c r="O5494">
        <v>-0.99980380000000002</v>
      </c>
      <c r="P5494">
        <v>0.18490509999999999</v>
      </c>
      <c r="Q5494">
        <v>4.5829259999999997E-2</v>
      </c>
      <c r="R5494">
        <v>-0.98168770000000005</v>
      </c>
      <c r="S5494">
        <v>0.22726440000000001</v>
      </c>
      <c r="T5494">
        <v>-0.2121246</v>
      </c>
      <c r="U5494">
        <v>-3.0230100000000002</v>
      </c>
      <c r="V5494">
        <v>-0.19944629999999999</v>
      </c>
      <c r="W5494">
        <v>5.8710480000000002E-2</v>
      </c>
      <c r="X5494">
        <v>0.97814840000000003</v>
      </c>
      <c r="Y5494">
        <v>-8.9570930000000007E-2</v>
      </c>
      <c r="Z5494">
        <v>6.9747660000000003E-2</v>
      </c>
      <c r="AA5494">
        <v>0.99353530000000001</v>
      </c>
      <c r="AB5494">
        <v>19</v>
      </c>
      <c r="AC5494">
        <v>1.1922000000000099</v>
      </c>
      <c r="AD5494">
        <v>-1.110065220024</v>
      </c>
      <c r="AE5494">
        <v>-15.6259099999999</v>
      </c>
      <c r="AF5494">
        <v>-1.41680112598301</v>
      </c>
      <c r="AG5494">
        <v>-1.110065220024</v>
      </c>
      <c r="AH5494">
        <v>15.528586997107301</v>
      </c>
      <c r="AI5494">
        <v>94.071992700998194</v>
      </c>
      <c r="AJ5494">
        <v>95.213133278796803</v>
      </c>
      <c r="AK5494">
        <v>15.632548875664</v>
      </c>
      <c r="AL5494">
        <v>86.634201851087298</v>
      </c>
      <c r="AM5494">
        <v>101.52473316569299</v>
      </c>
      <c r="AN5494">
        <v>1.00000001973404</v>
      </c>
    </row>
    <row r="5495" spans="1:40" x14ac:dyDescent="0.25">
      <c r="A5495" t="str">
        <f>"20190312151643683"</f>
        <v>20190312151643683</v>
      </c>
      <c r="B5495" t="str">
        <f>"1552375003673562"</f>
        <v>1552375003673562</v>
      </c>
      <c r="C5495" t="s">
        <v>40</v>
      </c>
      <c r="D5495">
        <v>4.788144</v>
      </c>
      <c r="E5495">
        <v>0.54314779999999996</v>
      </c>
      <c r="F5495" t="s">
        <v>43</v>
      </c>
      <c r="G5495">
        <v>-298.57760000000002</v>
      </c>
      <c r="H5495" s="1">
        <v>-1.2158310000000001E-6</v>
      </c>
      <c r="I5495">
        <v>-38.12124</v>
      </c>
      <c r="J5495">
        <v>-299.75599999999997</v>
      </c>
      <c r="K5495">
        <v>1.1100669999999999</v>
      </c>
      <c r="L5495">
        <v>-22.68439</v>
      </c>
      <c r="M5495">
        <v>-1.485885E-2</v>
      </c>
      <c r="N5495">
        <v>0</v>
      </c>
      <c r="O5495">
        <v>-0.99980400000000003</v>
      </c>
      <c r="P5495">
        <v>0.18613209999999999</v>
      </c>
      <c r="Q5495">
        <v>4.6408039999999998E-2</v>
      </c>
      <c r="R5495">
        <v>-0.98142850000000004</v>
      </c>
      <c r="S5495">
        <v>0.22738649999999999</v>
      </c>
      <c r="T5495">
        <v>-0.21472620000000001</v>
      </c>
      <c r="U5495">
        <v>-3.0231629999999998</v>
      </c>
      <c r="V5495">
        <v>-0.2006918</v>
      </c>
      <c r="W5495">
        <v>5.9233609999999999E-2</v>
      </c>
      <c r="X5495">
        <v>0.97786209999999996</v>
      </c>
      <c r="Y5495">
        <v>-8.9625679999999999E-2</v>
      </c>
      <c r="Z5495">
        <v>7.0594970000000007E-2</v>
      </c>
      <c r="AA5495">
        <v>0.99347050000000003</v>
      </c>
      <c r="AB5495">
        <v>19</v>
      </c>
      <c r="AC5495">
        <v>1.1783999999999499</v>
      </c>
      <c r="AD5495">
        <v>-1.110068215831</v>
      </c>
      <c r="AE5495">
        <v>-15.43685</v>
      </c>
      <c r="AF5495">
        <v>-1.40046339290739</v>
      </c>
      <c r="AG5495">
        <v>-1.110068215831</v>
      </c>
      <c r="AH5495">
        <v>15.338775698382999</v>
      </c>
      <c r="AI5495">
        <v>94.122196677094905</v>
      </c>
      <c r="AJ5495">
        <v>95.216764862743702</v>
      </c>
      <c r="AK5495">
        <v>15.442525346716399</v>
      </c>
      <c r="AL5495">
        <v>86.604176567719904</v>
      </c>
      <c r="AM5495">
        <v>101.598062397989</v>
      </c>
      <c r="AN5495">
        <v>1.0000000528786299</v>
      </c>
    </row>
    <row r="5496" spans="1:40" x14ac:dyDescent="0.25">
      <c r="A5496" t="str">
        <f>"20190312151643706"</f>
        <v>20190312151643706</v>
      </c>
      <c r="B5496" t="str">
        <f>"1552375003703818"</f>
        <v>1552375003703818</v>
      </c>
      <c r="C5496" t="s">
        <v>40</v>
      </c>
      <c r="D5496">
        <v>4.87765</v>
      </c>
      <c r="E5496">
        <v>0.54291080000000003</v>
      </c>
      <c r="F5496" t="s">
        <v>43</v>
      </c>
      <c r="G5496">
        <v>-298.54910000000001</v>
      </c>
      <c r="H5496" s="1">
        <v>-1.081772E-6</v>
      </c>
      <c r="I5496">
        <v>-38.445520000000002</v>
      </c>
      <c r="J5496">
        <v>-299.75900000000001</v>
      </c>
      <c r="K5496">
        <v>1.1100570000000001</v>
      </c>
      <c r="L5496">
        <v>-22.886109999999999</v>
      </c>
      <c r="M5496">
        <v>-1.488332E-2</v>
      </c>
      <c r="N5496">
        <v>0</v>
      </c>
      <c r="O5496">
        <v>-0.99980429999999998</v>
      </c>
      <c r="P5496">
        <v>0.18772059999999999</v>
      </c>
      <c r="Q5496">
        <v>4.6805729999999997E-2</v>
      </c>
      <c r="R5496">
        <v>-0.9811069</v>
      </c>
      <c r="S5496">
        <v>0.23147580000000001</v>
      </c>
      <c r="T5496">
        <v>-0.2129065</v>
      </c>
      <c r="U5496">
        <v>-3.0229189999999999</v>
      </c>
      <c r="V5496">
        <v>-0.20229939999999999</v>
      </c>
      <c r="W5496">
        <v>5.9569660000000003E-2</v>
      </c>
      <c r="X5496">
        <v>0.97751030000000005</v>
      </c>
      <c r="Y5496">
        <v>-9.0995419999999994E-2</v>
      </c>
      <c r="Z5496">
        <v>6.9997320000000002E-2</v>
      </c>
      <c r="AA5496">
        <v>0.99338820000000005</v>
      </c>
      <c r="AB5496">
        <v>19</v>
      </c>
      <c r="AC5496">
        <v>1.2099</v>
      </c>
      <c r="AD5496">
        <v>-1.110058081772</v>
      </c>
      <c r="AE5496">
        <v>-15.55941</v>
      </c>
      <c r="AF5496">
        <v>-1.43410579737835</v>
      </c>
      <c r="AG5496">
        <v>-1.110058081772</v>
      </c>
      <c r="AH5496">
        <v>15.4614539214194</v>
      </c>
      <c r="AI5496">
        <v>94.089023698699094</v>
      </c>
      <c r="AJ5496">
        <v>95.299228744296997</v>
      </c>
      <c r="AK5496">
        <v>15.567448273469701</v>
      </c>
      <c r="AL5496">
        <v>86.584888043952802</v>
      </c>
      <c r="AM5496">
        <v>101.69251058235599</v>
      </c>
      <c r="AN5496">
        <v>0.99999998911948196</v>
      </c>
    </row>
    <row r="5497" spans="1:40" x14ac:dyDescent="0.25">
      <c r="A5497" t="str">
        <f>"20190312151643733"</f>
        <v>20190312151643733</v>
      </c>
      <c r="B5497" t="str">
        <f>"1552375003723339"</f>
        <v>1552375003723339</v>
      </c>
      <c r="C5497" t="s">
        <v>40</v>
      </c>
      <c r="D5497">
        <v>4.8214600000000001</v>
      </c>
      <c r="E5497">
        <v>0.49379650000000003</v>
      </c>
      <c r="F5497" t="s">
        <v>43</v>
      </c>
      <c r="G5497">
        <v>-298.50740000000002</v>
      </c>
      <c r="H5497" s="1">
        <v>-9.4661870000000004E-7</v>
      </c>
      <c r="I5497">
        <v>-38.777819999999998</v>
      </c>
      <c r="J5497">
        <v>-299.76229999999998</v>
      </c>
      <c r="K5497">
        <v>1.1100449999999999</v>
      </c>
      <c r="L5497">
        <v>-23.10605</v>
      </c>
      <c r="M5497">
        <v>-1.490754E-2</v>
      </c>
      <c r="N5497">
        <v>0</v>
      </c>
      <c r="O5497">
        <v>-0.99980469999999999</v>
      </c>
      <c r="P5497">
        <v>0.1895143</v>
      </c>
      <c r="Q5497">
        <v>4.6737830000000001E-2</v>
      </c>
      <c r="R5497">
        <v>-0.980765</v>
      </c>
      <c r="S5497">
        <v>0.2380371</v>
      </c>
      <c r="T5497">
        <v>-0.21111250000000001</v>
      </c>
      <c r="U5497">
        <v>-3.0223080000000002</v>
      </c>
      <c r="V5497">
        <v>-0.2041115</v>
      </c>
      <c r="W5497">
        <v>5.9438280000000003E-2</v>
      </c>
      <c r="X5497">
        <v>0.97714160000000005</v>
      </c>
      <c r="Y5497">
        <v>-9.3181449999999999E-2</v>
      </c>
      <c r="Z5497">
        <v>6.9411429999999996E-2</v>
      </c>
      <c r="AA5497">
        <v>0.99322670000000002</v>
      </c>
      <c r="AB5497">
        <v>19</v>
      </c>
      <c r="AC5497">
        <v>1.2548999999999599</v>
      </c>
      <c r="AD5497">
        <v>-1.1100459466187</v>
      </c>
      <c r="AE5497">
        <v>-15.67177</v>
      </c>
      <c r="AF5497">
        <v>-1.4810247392467999</v>
      </c>
      <c r="AG5497">
        <v>-1.1100459466187</v>
      </c>
      <c r="AH5497">
        <v>15.573683466697901</v>
      </c>
      <c r="AI5497">
        <v>94.058728368944301</v>
      </c>
      <c r="AJ5497">
        <v>95.432372066790904</v>
      </c>
      <c r="AK5497">
        <v>15.6832794084262</v>
      </c>
      <c r="AL5497">
        <v>86.592429167311593</v>
      </c>
      <c r="AM5497">
        <v>101.798650689871</v>
      </c>
      <c r="AN5497">
        <v>1.0000000600060801</v>
      </c>
    </row>
    <row r="5498" spans="1:40" x14ac:dyDescent="0.25">
      <c r="A5498" t="str">
        <f>"20190312151643755"</f>
        <v>20190312151643755</v>
      </c>
      <c r="B5498" t="str">
        <f>"1552375003743834"</f>
        <v>1552375003743834</v>
      </c>
      <c r="C5498" t="s">
        <v>40</v>
      </c>
      <c r="D5498">
        <v>4.7573150000000002</v>
      </c>
      <c r="E5498">
        <v>0.47786319999999999</v>
      </c>
      <c r="F5498" t="s">
        <v>64</v>
      </c>
      <c r="G5498">
        <v>-294.91570000000002</v>
      </c>
      <c r="H5498" s="1">
        <v>-4.5580339999999999E-6</v>
      </c>
      <c r="I5498">
        <v>-45.900790000000001</v>
      </c>
      <c r="J5498">
        <v>-299.76519999999999</v>
      </c>
      <c r="K5498">
        <v>1.1100410000000001</v>
      </c>
      <c r="L5498">
        <v>-23.302250000000001</v>
      </c>
      <c r="M5498">
        <v>-1.492709E-2</v>
      </c>
      <c r="N5498">
        <v>0</v>
      </c>
      <c r="O5498">
        <v>-0.99980500000000005</v>
      </c>
      <c r="P5498">
        <v>0.1922809</v>
      </c>
      <c r="Q5498">
        <v>4.6976789999999997E-2</v>
      </c>
      <c r="R5498">
        <v>-0.98021499999999995</v>
      </c>
      <c r="S5498">
        <v>0.62609859999999995</v>
      </c>
      <c r="T5498">
        <v>-0.1434</v>
      </c>
      <c r="U5498">
        <v>-2.9447019999999999</v>
      </c>
      <c r="V5498">
        <v>-0.20688860000000001</v>
      </c>
      <c r="W5498">
        <v>5.9625829999999998E-2</v>
      </c>
      <c r="X5498">
        <v>0.97654589999999997</v>
      </c>
      <c r="Y5498">
        <v>-0.2223137</v>
      </c>
      <c r="Z5498">
        <v>4.7493609999999999E-2</v>
      </c>
      <c r="AA5498">
        <v>0.97381779999999996</v>
      </c>
      <c r="AB5498">
        <v>19</v>
      </c>
      <c r="AC5498">
        <v>4.8494999999999697</v>
      </c>
      <c r="AD5498">
        <v>-1.1100455580339901</v>
      </c>
      <c r="AE5498">
        <v>-22.59854</v>
      </c>
      <c r="AF5498">
        <v>-5.17438311599411</v>
      </c>
      <c r="AG5498">
        <v>-1.1100455580339901</v>
      </c>
      <c r="AH5498">
        <v>22.471793827538502</v>
      </c>
      <c r="AI5498">
        <v>92.755955606824003</v>
      </c>
      <c r="AJ5498">
        <v>102.96697963905299</v>
      </c>
      <c r="AK5498">
        <v>23.086531995936401</v>
      </c>
      <c r="AL5498">
        <v>86.581664092994501</v>
      </c>
      <c r="AM5498">
        <v>101.961674183235</v>
      </c>
      <c r="AN5498">
        <v>1.00000001360997</v>
      </c>
    </row>
    <row r="5499" spans="1:40" x14ac:dyDescent="0.25">
      <c r="A5499" t="str">
        <f>"20190312151643778"</f>
        <v>20190312151643778</v>
      </c>
      <c r="B5499" t="str">
        <f>"1552375003773621"</f>
        <v>1552375003773621</v>
      </c>
      <c r="C5499" t="s">
        <v>40</v>
      </c>
      <c r="D5499">
        <v>4.7858199999999904</v>
      </c>
      <c r="E5499">
        <v>0.4680801</v>
      </c>
      <c r="F5499" t="s">
        <v>64</v>
      </c>
      <c r="G5499">
        <v>-294.39699999999999</v>
      </c>
      <c r="H5499" s="1">
        <v>-3.6148059999999998E-6</v>
      </c>
      <c r="I5499">
        <v>-43.930599999999998</v>
      </c>
      <c r="J5499">
        <v>-299.76819999999998</v>
      </c>
      <c r="K5499">
        <v>1.1100410000000001</v>
      </c>
      <c r="L5499">
        <v>-23.499659999999999</v>
      </c>
      <c r="M5499">
        <v>-1.495029E-2</v>
      </c>
      <c r="N5499">
        <v>0</v>
      </c>
      <c r="O5499">
        <v>-0.99980519999999995</v>
      </c>
      <c r="P5499">
        <v>0.19552220000000001</v>
      </c>
      <c r="Q5499">
        <v>4.7194600000000003E-2</v>
      </c>
      <c r="R5499">
        <v>-0.97956319999999997</v>
      </c>
      <c r="S5499">
        <v>0.75964359999999997</v>
      </c>
      <c r="T5499">
        <v>-0.15707969999999999</v>
      </c>
      <c r="U5499">
        <v>-2.9190670000000001</v>
      </c>
      <c r="V5499">
        <v>-0.21014260000000001</v>
      </c>
      <c r="W5499">
        <v>5.9795290000000001E-2</v>
      </c>
      <c r="X5499">
        <v>0.97584040000000005</v>
      </c>
      <c r="Y5499">
        <v>-0.26594859999999998</v>
      </c>
      <c r="Z5499">
        <v>5.1895459999999997E-2</v>
      </c>
      <c r="AA5499">
        <v>0.96258929999999998</v>
      </c>
      <c r="AB5499">
        <v>19</v>
      </c>
      <c r="AC5499">
        <v>5.3711999999999804</v>
      </c>
      <c r="AD5499">
        <v>-1.1100446148059999</v>
      </c>
      <c r="AE5499">
        <v>-20.43094</v>
      </c>
      <c r="AF5499">
        <v>-5.6604444641738603</v>
      </c>
      <c r="AG5499">
        <v>-1.1100446148059999</v>
      </c>
      <c r="AH5499">
        <v>20.292319687011599</v>
      </c>
      <c r="AI5499">
        <v>93.016190371038704</v>
      </c>
      <c r="AJ5499">
        <v>105.586187361168</v>
      </c>
      <c r="AK5499">
        <v>21.096233523042301</v>
      </c>
      <c r="AL5499">
        <v>86.571937134606202</v>
      </c>
      <c r="AM5499">
        <v>102.15278648935001</v>
      </c>
      <c r="AN5499">
        <v>0.99999993765655004</v>
      </c>
    </row>
    <row r="5500" spans="1:40" x14ac:dyDescent="0.25">
      <c r="A5500" t="str">
        <f>"20190312151643798"</f>
        <v>20190312151643798</v>
      </c>
      <c r="B5500" t="str">
        <f>"1552375003793140"</f>
        <v>1552375003793140</v>
      </c>
      <c r="C5500" t="s">
        <v>40</v>
      </c>
      <c r="D5500">
        <v>4.7921750000000003</v>
      </c>
      <c r="E5500">
        <v>0.46522380000000002</v>
      </c>
      <c r="F5500" t="s">
        <v>64</v>
      </c>
      <c r="G5500">
        <v>-294.78969999999998</v>
      </c>
      <c r="H5500" s="1">
        <v>-1.48906E-6</v>
      </c>
      <c r="I5500">
        <v>-40.565460000000002</v>
      </c>
      <c r="J5500">
        <v>-299.77080000000001</v>
      </c>
      <c r="K5500">
        <v>1.110042</v>
      </c>
      <c r="L5500">
        <v>-23.674499999999998</v>
      </c>
      <c r="M5500">
        <v>-1.497188E-2</v>
      </c>
      <c r="N5500">
        <v>0</v>
      </c>
      <c r="O5500">
        <v>-0.99980550000000001</v>
      </c>
      <c r="P5500">
        <v>0.19865070000000001</v>
      </c>
      <c r="Q5500">
        <v>4.7215479999999997E-2</v>
      </c>
      <c r="R5500">
        <v>-0.97893269999999999</v>
      </c>
      <c r="S5500">
        <v>0.84677119999999995</v>
      </c>
      <c r="T5500">
        <v>-0.18880440000000001</v>
      </c>
      <c r="U5500">
        <v>-2.902679</v>
      </c>
      <c r="V5500">
        <v>-0.21328259999999999</v>
      </c>
      <c r="W5500">
        <v>5.9776240000000001E-2</v>
      </c>
      <c r="X5500">
        <v>0.97516020000000003</v>
      </c>
      <c r="Y5500">
        <v>-0.29384779999999999</v>
      </c>
      <c r="Z5500">
        <v>6.2173470000000002E-2</v>
      </c>
      <c r="AA5500">
        <v>0.95382800000000001</v>
      </c>
      <c r="AB5500">
        <v>19</v>
      </c>
      <c r="AC5500">
        <v>4.9811000000000201</v>
      </c>
      <c r="AD5500">
        <v>-1.1100434890599999</v>
      </c>
      <c r="AE5500">
        <v>-16.8909599999999</v>
      </c>
      <c r="AF5500">
        <v>-5.2127398700632197</v>
      </c>
      <c r="AG5500">
        <v>-1.1100434890599999</v>
      </c>
      <c r="AH5500">
        <v>16.747938597655299</v>
      </c>
      <c r="AI5500">
        <v>93.621129225626206</v>
      </c>
      <c r="AJ5500">
        <v>107.288578856597</v>
      </c>
      <c r="AK5500">
        <v>17.5755028597017</v>
      </c>
      <c r="AL5500">
        <v>86.5730309297562</v>
      </c>
      <c r="AM5500">
        <v>102.337197985041</v>
      </c>
      <c r="AN5500">
        <v>1.0000000409976599</v>
      </c>
    </row>
    <row r="5501" spans="1:40" x14ac:dyDescent="0.25">
      <c r="A5501" t="str">
        <f>"20190312151643820"</f>
        <v>20190312151643820</v>
      </c>
      <c r="B5501" t="str">
        <f>"1552375003813637"</f>
        <v>1552375003813637</v>
      </c>
      <c r="C5501" t="s">
        <v>40</v>
      </c>
      <c r="D5501">
        <v>4.7931210000000002</v>
      </c>
      <c r="E5501">
        <v>0.46354010000000001</v>
      </c>
      <c r="F5501" t="s">
        <v>43</v>
      </c>
      <c r="G5501">
        <v>-294.92840000000001</v>
      </c>
      <c r="H5501" s="1">
        <v>-1.5951509999999999E-6</v>
      </c>
      <c r="I5501">
        <v>-39.629860000000001</v>
      </c>
      <c r="J5501">
        <v>-299.77359999999999</v>
      </c>
      <c r="K5501">
        <v>1.110034</v>
      </c>
      <c r="L5501">
        <v>-23.861509999999999</v>
      </c>
      <c r="M5501">
        <v>-1.4993899999999999E-2</v>
      </c>
      <c r="N5501">
        <v>0</v>
      </c>
      <c r="O5501">
        <v>-0.99980550000000001</v>
      </c>
      <c r="P5501">
        <v>0.2014592</v>
      </c>
      <c r="Q5501">
        <v>4.7385240000000002E-2</v>
      </c>
      <c r="R5501">
        <v>-0.97835019999999995</v>
      </c>
      <c r="S5501">
        <v>0.87890630000000003</v>
      </c>
      <c r="T5501">
        <v>-0.2014755</v>
      </c>
      <c r="U5501">
        <v>-2.8959350000000001</v>
      </c>
      <c r="V5501">
        <v>-0.2161034</v>
      </c>
      <c r="W5501">
        <v>5.990761E-2</v>
      </c>
      <c r="X5501">
        <v>0.97453089999999998</v>
      </c>
      <c r="Y5501">
        <v>-0.30409309999999901</v>
      </c>
      <c r="Z5501">
        <v>6.6263530000000001E-2</v>
      </c>
      <c r="AA5501">
        <v>0.95033500000000004</v>
      </c>
      <c r="AB5501">
        <v>19</v>
      </c>
      <c r="AC5501">
        <v>4.84519999999997</v>
      </c>
      <c r="AD5501">
        <v>-1.1100355951509999</v>
      </c>
      <c r="AE5501">
        <v>-15.76835</v>
      </c>
      <c r="AF5501">
        <v>-5.0581995477014896</v>
      </c>
      <c r="AG5501">
        <v>-1.1100355951509999</v>
      </c>
      <c r="AH5501">
        <v>15.6231789961681</v>
      </c>
      <c r="AI5501">
        <v>93.867085587219094</v>
      </c>
      <c r="AJ5501">
        <v>107.94000867304</v>
      </c>
      <c r="AK5501">
        <v>16.4590790639445</v>
      </c>
      <c r="AL5501">
        <v>86.565490460169997</v>
      </c>
      <c r="AM5501">
        <v>102.50308775948299</v>
      </c>
      <c r="AN5501">
        <v>1.00000003814114</v>
      </c>
    </row>
    <row r="5502" spans="1:40" x14ac:dyDescent="0.25">
      <c r="A5502" t="str">
        <f>"20190312151643839"</f>
        <v>20190312151643839</v>
      </c>
      <c r="B5502" t="str">
        <f>"1552375003833157"</f>
        <v>1552375003833157</v>
      </c>
      <c r="C5502" t="s">
        <v>40</v>
      </c>
      <c r="D5502">
        <v>4.8248810000000004</v>
      </c>
      <c r="E5502">
        <v>0.46239740000000001</v>
      </c>
      <c r="F5502" t="s">
        <v>43</v>
      </c>
      <c r="G5502">
        <v>-295.01749999999998</v>
      </c>
      <c r="H5502" s="1">
        <v>-1.743557E-6</v>
      </c>
      <c r="I5502">
        <v>-39.124079999999999</v>
      </c>
      <c r="J5502">
        <v>-299.77609999999999</v>
      </c>
      <c r="K5502">
        <v>1.110034</v>
      </c>
      <c r="L5502">
        <v>-24.031949999999998</v>
      </c>
      <c r="M5502">
        <v>-1.501276E-2</v>
      </c>
      <c r="N5502">
        <v>0</v>
      </c>
      <c r="O5502">
        <v>-0.99980550000000001</v>
      </c>
      <c r="P5502">
        <v>0.20410980000000001</v>
      </c>
      <c r="Q5502">
        <v>4.7321059999999998E-2</v>
      </c>
      <c r="R5502">
        <v>-0.9778038</v>
      </c>
      <c r="S5502">
        <v>0.90090939999999997</v>
      </c>
      <c r="T5502">
        <v>-0.21026420000000001</v>
      </c>
      <c r="U5502">
        <v>-2.8910520000000002</v>
      </c>
      <c r="V5502">
        <v>-0.21876329999999999</v>
      </c>
      <c r="W5502">
        <v>5.9811469999999999E-2</v>
      </c>
      <c r="X5502">
        <v>0.97394309999999995</v>
      </c>
      <c r="Y5502">
        <v>-0.31109809999999999</v>
      </c>
      <c r="Z5502">
        <v>6.9095370000000003E-2</v>
      </c>
      <c r="AA5502">
        <v>0.94786269999999995</v>
      </c>
      <c r="AB5502">
        <v>19</v>
      </c>
      <c r="AC5502">
        <v>4.7586000000000004</v>
      </c>
      <c r="AD5502">
        <v>-1.1100357435570001</v>
      </c>
      <c r="AE5502">
        <v>-15.092129999999999</v>
      </c>
      <c r="AF5502">
        <v>-4.9602496964730296</v>
      </c>
      <c r="AG5502">
        <v>-1.1100357435570001</v>
      </c>
      <c r="AH5502">
        <v>14.9454440019927</v>
      </c>
      <c r="AI5502">
        <v>94.032198438532106</v>
      </c>
      <c r="AJ5502">
        <v>108.36051111587</v>
      </c>
      <c r="AK5502">
        <v>15.7861506650619</v>
      </c>
      <c r="AL5502">
        <v>86.571008564098506</v>
      </c>
      <c r="AM5502">
        <v>102.659445763237</v>
      </c>
      <c r="AN5502">
        <v>0.99999997770403004</v>
      </c>
    </row>
    <row r="5503" spans="1:40" x14ac:dyDescent="0.25">
      <c r="A5503" t="str">
        <f>"20190312151643863"</f>
        <v>20190312151643863</v>
      </c>
      <c r="B5503" t="str">
        <f>"1552375003853652"</f>
        <v>1552375003853652</v>
      </c>
      <c r="C5503" t="s">
        <v>40</v>
      </c>
      <c r="D5503">
        <v>4.7844129999999998</v>
      </c>
      <c r="E5503">
        <v>0.46146160000000003</v>
      </c>
      <c r="F5503" t="s">
        <v>43</v>
      </c>
      <c r="G5503">
        <v>-295.11160000000001</v>
      </c>
      <c r="H5503" s="1">
        <v>-1.8618239999999999E-6</v>
      </c>
      <c r="I5503">
        <v>-38.702939999999998</v>
      </c>
      <c r="J5503">
        <v>-299.77910000000003</v>
      </c>
      <c r="K5503">
        <v>1.1100319999999999</v>
      </c>
      <c r="L5503">
        <v>-24.224519999999998</v>
      </c>
      <c r="M5503">
        <v>-1.5033090000000001E-2</v>
      </c>
      <c r="N5503">
        <v>0</v>
      </c>
      <c r="O5503">
        <v>-0.99980550000000001</v>
      </c>
      <c r="P5503">
        <v>0.20695160000000001</v>
      </c>
      <c r="Q5503">
        <v>4.7259889999999999E-2</v>
      </c>
      <c r="R5503">
        <v>-0.97720940000000001</v>
      </c>
      <c r="S5503">
        <v>0.91790769999999999</v>
      </c>
      <c r="T5503">
        <v>-0.2184402</v>
      </c>
      <c r="U5503">
        <v>-2.887054</v>
      </c>
      <c r="V5503">
        <v>-0.22161600000000001</v>
      </c>
      <c r="W5503">
        <v>5.9717689999999997E-2</v>
      </c>
      <c r="X5503">
        <v>0.97330369999999999</v>
      </c>
      <c r="Y5503">
        <v>-0.31650539999999999</v>
      </c>
      <c r="Z5503">
        <v>7.1734599999999996E-2</v>
      </c>
      <c r="AA5503">
        <v>0.94587449999999995</v>
      </c>
      <c r="AB5503">
        <v>19</v>
      </c>
      <c r="AC5503">
        <v>4.6675000000000102</v>
      </c>
      <c r="AD5503">
        <v>-1.110033861824</v>
      </c>
      <c r="AE5503">
        <v>-14.47842</v>
      </c>
      <c r="AF5503">
        <v>-4.8587743929850902</v>
      </c>
      <c r="AG5503">
        <v>-1.110033861824</v>
      </c>
      <c r="AH5503">
        <v>14.330307283402099</v>
      </c>
      <c r="AI5503">
        <v>94.195625290480805</v>
      </c>
      <c r="AJ5503">
        <v>108.729528505006</v>
      </c>
      <c r="AK5503">
        <v>15.172263200098</v>
      </c>
      <c r="AL5503">
        <v>86.576391368757101</v>
      </c>
      <c r="AM5503">
        <v>102.827248476373</v>
      </c>
      <c r="AN5503">
        <v>0.999999973194312</v>
      </c>
    </row>
    <row r="5504" spans="1:40" x14ac:dyDescent="0.25">
      <c r="A5504" t="str">
        <f>"20190312151643884"</f>
        <v>20190312151643884</v>
      </c>
      <c r="B5504" t="str">
        <f>"1552375003873678"</f>
        <v>1552375003873678</v>
      </c>
      <c r="C5504" t="s">
        <v>40</v>
      </c>
      <c r="D5504">
        <v>4.7828229999999996</v>
      </c>
      <c r="E5504">
        <v>0.46061619999999998</v>
      </c>
      <c r="F5504" t="s">
        <v>43</v>
      </c>
      <c r="G5504">
        <v>-295.28190000000001</v>
      </c>
      <c r="H5504" s="1">
        <v>-2.0187319999999999E-6</v>
      </c>
      <c r="I5504">
        <v>-38.108739999999997</v>
      </c>
      <c r="J5504">
        <v>-299.78179999999998</v>
      </c>
      <c r="K5504">
        <v>1.110033</v>
      </c>
      <c r="L5504">
        <v>-24.405429999999999</v>
      </c>
      <c r="M5504">
        <v>-1.505299E-2</v>
      </c>
      <c r="N5504">
        <v>0</v>
      </c>
      <c r="O5504">
        <v>-0.99980550000000001</v>
      </c>
      <c r="P5504">
        <v>0.20939150000000001</v>
      </c>
      <c r="Q5504">
        <v>4.7268709999999999E-2</v>
      </c>
      <c r="R5504">
        <v>-0.97668920000000004</v>
      </c>
      <c r="S5504">
        <v>0.93392940000000002</v>
      </c>
      <c r="T5504">
        <v>-0.23052039999999999</v>
      </c>
      <c r="U5504">
        <v>-2.8833310000000001</v>
      </c>
      <c r="V5504">
        <v>-0.22406699999999999</v>
      </c>
      <c r="W5504">
        <v>5.969961E-2</v>
      </c>
      <c r="X5504">
        <v>0.97274349999999998</v>
      </c>
      <c r="Y5504">
        <v>-0.32154759999999999</v>
      </c>
      <c r="Z5504">
        <v>7.5642470000000003E-2</v>
      </c>
      <c r="AA5504">
        <v>0.94386720000000002</v>
      </c>
      <c r="AB5504">
        <v>19</v>
      </c>
      <c r="AC5504">
        <v>4.4998999999999603</v>
      </c>
      <c r="AD5504">
        <v>-1.1100350187320001</v>
      </c>
      <c r="AE5504">
        <v>-13.70331</v>
      </c>
      <c r="AF5504">
        <v>-4.6779745730490001</v>
      </c>
      <c r="AG5504">
        <v>-1.1100350187320001</v>
      </c>
      <c r="AH5504">
        <v>13.553734784336701</v>
      </c>
      <c r="AI5504">
        <v>94.426861235126196</v>
      </c>
      <c r="AJ5504">
        <v>109.04174787288601</v>
      </c>
      <c r="AK5504">
        <v>14.381215193892499</v>
      </c>
      <c r="AL5504">
        <v>86.577429186812694</v>
      </c>
      <c r="AM5504">
        <v>102.97155929139799</v>
      </c>
      <c r="AN5504">
        <v>0.99999999035770004</v>
      </c>
    </row>
    <row r="5505" spans="1:40" x14ac:dyDescent="0.25">
      <c r="A5505" t="str">
        <f>"20190312151643906"</f>
        <v>20190312151643906</v>
      </c>
      <c r="B5505" t="str">
        <f>"1552375003902959"</f>
        <v>1552375003902959</v>
      </c>
      <c r="C5505" t="s">
        <v>40</v>
      </c>
      <c r="D5505">
        <v>4.7831039999999998</v>
      </c>
      <c r="E5505">
        <v>0.45973069999999999</v>
      </c>
      <c r="F5505" t="s">
        <v>43</v>
      </c>
      <c r="G5505">
        <v>-295.41969999999998</v>
      </c>
      <c r="H5505" s="1">
        <v>-2.1361070000000002E-6</v>
      </c>
      <c r="I5505">
        <v>-37.656089999999999</v>
      </c>
      <c r="J5505">
        <v>-299.78469999999999</v>
      </c>
      <c r="K5505">
        <v>1.110025</v>
      </c>
      <c r="L5505">
        <v>-24.60162</v>
      </c>
      <c r="M5505">
        <v>-1.5075989999999999E-2</v>
      </c>
      <c r="N5505">
        <v>0</v>
      </c>
      <c r="O5505">
        <v>-0.99980519999999995</v>
      </c>
      <c r="P5505">
        <v>0.21131739999999999</v>
      </c>
      <c r="Q5505">
        <v>4.6947599999999999E-2</v>
      </c>
      <c r="R5505">
        <v>-0.97628950000000003</v>
      </c>
      <c r="S5505">
        <v>0.94808959999999998</v>
      </c>
      <c r="T5505">
        <v>-0.2412637</v>
      </c>
      <c r="U5505">
        <v>-2.8800050000000001</v>
      </c>
      <c r="V5505">
        <v>-0.22600909999999999</v>
      </c>
      <c r="W5505">
        <v>5.9354039999999997E-2</v>
      </c>
      <c r="X5505">
        <v>0.97231529999999999</v>
      </c>
      <c r="Y5505">
        <v>-0.32599400000000001</v>
      </c>
      <c r="Z5505">
        <v>7.9110840000000002E-2</v>
      </c>
      <c r="AA5505">
        <v>0.94205589999999995</v>
      </c>
      <c r="AB5505">
        <v>19</v>
      </c>
      <c r="AC5505">
        <v>4.3650000000000002</v>
      </c>
      <c r="AD5505">
        <v>-1.110027136107</v>
      </c>
      <c r="AE5505">
        <v>-13.054469999999901</v>
      </c>
      <c r="AF5505">
        <v>-4.5318576942079201</v>
      </c>
      <c r="AG5505">
        <v>-1.110027136107</v>
      </c>
      <c r="AH5505">
        <v>12.9032627349844</v>
      </c>
      <c r="AI5505">
        <v>94.640313942464402</v>
      </c>
      <c r="AJ5505">
        <v>109.35219125234499</v>
      </c>
      <c r="AK5505">
        <v>13.7209359597472</v>
      </c>
      <c r="AL5505">
        <v>86.597264194269997</v>
      </c>
      <c r="AM5505">
        <v>103.08570228863</v>
      </c>
      <c r="AN5505">
        <v>1.0000000289806099</v>
      </c>
    </row>
    <row r="5506" spans="1:40" x14ac:dyDescent="0.25">
      <c r="A5506" t="str">
        <f>"20190312151643932"</f>
        <v>20190312151643932</v>
      </c>
      <c r="B5506" t="str">
        <f>"1552375003923454"</f>
        <v>1552375003923454</v>
      </c>
      <c r="C5506" t="s">
        <v>40</v>
      </c>
      <c r="D5506">
        <v>4.8021820000000002</v>
      </c>
      <c r="E5506">
        <v>0.45906219999999998</v>
      </c>
      <c r="F5506" t="s">
        <v>43</v>
      </c>
      <c r="G5506">
        <v>-295.54419999999999</v>
      </c>
      <c r="H5506" s="1">
        <v>-2.2257609999999999E-6</v>
      </c>
      <c r="I5506">
        <v>-37.295319999999997</v>
      </c>
      <c r="J5506">
        <v>-299.78789999999998</v>
      </c>
      <c r="K5506">
        <v>1.11002</v>
      </c>
      <c r="L5506">
        <v>-24.81287</v>
      </c>
      <c r="M5506">
        <v>-1.5100479999999999E-2</v>
      </c>
      <c r="N5506">
        <v>0</v>
      </c>
      <c r="O5506">
        <v>-0.99980519999999995</v>
      </c>
      <c r="P5506">
        <v>0.21349029999999999</v>
      </c>
      <c r="Q5506">
        <v>4.6078719999999997E-2</v>
      </c>
      <c r="R5506">
        <v>-0.97585789999999994</v>
      </c>
      <c r="S5506">
        <v>0.96109009999999995</v>
      </c>
      <c r="T5506">
        <v>-0.25157879999999999</v>
      </c>
      <c r="U5506">
        <v>-2.8769230000000001</v>
      </c>
      <c r="V5506">
        <v>-0.22819919999999999</v>
      </c>
      <c r="W5506">
        <v>5.8461520000000003E-2</v>
      </c>
      <c r="X5506">
        <v>0.97185770000000005</v>
      </c>
      <c r="Y5506">
        <v>-0.330063</v>
      </c>
      <c r="Z5506">
        <v>8.2435830000000002E-2</v>
      </c>
      <c r="AA5506">
        <v>0.94035239999999998</v>
      </c>
      <c r="AB5506">
        <v>19</v>
      </c>
      <c r="AC5506">
        <v>4.2436999999999898</v>
      </c>
      <c r="AD5506">
        <v>-1.110022225761</v>
      </c>
      <c r="AE5506">
        <v>-12.48245</v>
      </c>
      <c r="AF5506">
        <v>-4.4005285595517503</v>
      </c>
      <c r="AG5506">
        <v>-1.110022225761</v>
      </c>
      <c r="AH5506">
        <v>12.329539921431</v>
      </c>
      <c r="AI5506">
        <v>94.846563268277805</v>
      </c>
      <c r="AJ5506">
        <v>109.64195964553301</v>
      </c>
      <c r="AK5506">
        <v>13.1382782593182</v>
      </c>
      <c r="AL5506">
        <v>86.648490707238196</v>
      </c>
      <c r="AM5506">
        <v>103.21408305899701</v>
      </c>
      <c r="AN5506">
        <v>1.0000000066253201</v>
      </c>
    </row>
    <row r="5507" spans="1:40" x14ac:dyDescent="0.25">
      <c r="A5507" t="str">
        <f>"20190312151643958"</f>
        <v>20190312151643958</v>
      </c>
      <c r="B5507" t="str">
        <f>"1552375003953710"</f>
        <v>1552375003953710</v>
      </c>
      <c r="C5507" t="s">
        <v>40</v>
      </c>
      <c r="D5507">
        <v>4.8144099999999996</v>
      </c>
      <c r="E5507">
        <v>0.45860030000000002</v>
      </c>
      <c r="F5507" t="s">
        <v>43</v>
      </c>
      <c r="G5507">
        <v>-295.57589999999999</v>
      </c>
      <c r="H5507" s="1">
        <v>-2.2311909999999999E-6</v>
      </c>
      <c r="I5507">
        <v>-37.254579999999997</v>
      </c>
      <c r="J5507">
        <v>-299.79129999999998</v>
      </c>
      <c r="K5507">
        <v>1.1100179999999999</v>
      </c>
      <c r="L5507">
        <v>-25.033359999999998</v>
      </c>
      <c r="M5507">
        <v>-1.5125420000000001E-2</v>
      </c>
      <c r="N5507">
        <v>0</v>
      </c>
      <c r="O5507">
        <v>-0.99980519999999995</v>
      </c>
      <c r="P5507">
        <v>0.21532709999999999</v>
      </c>
      <c r="Q5507">
        <v>4.54115E-2</v>
      </c>
      <c r="R5507">
        <v>-0.97548590000000002</v>
      </c>
      <c r="S5507">
        <v>0.97280880000000003</v>
      </c>
      <c r="T5507">
        <v>-0.25636789999999998</v>
      </c>
      <c r="U5507">
        <v>-2.8735050000000002</v>
      </c>
      <c r="V5507">
        <v>-0.23005429999999999</v>
      </c>
      <c r="W5507">
        <v>5.777318E-2</v>
      </c>
      <c r="X5507">
        <v>0.97146140000000003</v>
      </c>
      <c r="Y5507">
        <v>-0.33382339999999999</v>
      </c>
      <c r="Z5507">
        <v>8.3977410000000002E-2</v>
      </c>
      <c r="AA5507">
        <v>0.93888749999999999</v>
      </c>
      <c r="AB5507">
        <v>19</v>
      </c>
      <c r="AC5507">
        <v>4.2153999999999803</v>
      </c>
      <c r="AD5507">
        <v>-1.1100202311909999</v>
      </c>
      <c r="AE5507">
        <v>-12.221219999999899</v>
      </c>
      <c r="AF5507">
        <v>-4.3675837634150501</v>
      </c>
      <c r="AG5507">
        <v>-1.1100202311909999</v>
      </c>
      <c r="AH5507">
        <v>12.067092612126901</v>
      </c>
      <c r="AI5507">
        <v>94.943558328997199</v>
      </c>
      <c r="AJ5507">
        <v>109.89730156322599</v>
      </c>
      <c r="AK5507">
        <v>12.881096884727899</v>
      </c>
      <c r="AL5507">
        <v>86.687996392115593</v>
      </c>
      <c r="AM5507">
        <v>103.322930519881</v>
      </c>
      <c r="AN5507">
        <v>0.99999998648288102</v>
      </c>
    </row>
    <row r="5508" spans="1:40" x14ac:dyDescent="0.25">
      <c r="A5508" t="str">
        <f>"20190312151643981"</f>
        <v>20190312151643981</v>
      </c>
      <c r="B5508" t="str">
        <f>"1552375003973736"</f>
        <v>1552375003973736</v>
      </c>
      <c r="C5508" t="s">
        <v>40</v>
      </c>
      <c r="D5508">
        <v>4.7894160000000001</v>
      </c>
      <c r="E5508">
        <v>0.45830100000000001</v>
      </c>
      <c r="F5508" t="s">
        <v>43</v>
      </c>
      <c r="G5508">
        <v>-295.55410000000001</v>
      </c>
      <c r="H5508" s="1">
        <v>-2.1786300000000002E-6</v>
      </c>
      <c r="I5508">
        <v>-37.426009999999998</v>
      </c>
      <c r="J5508">
        <v>-299.79430000000002</v>
      </c>
      <c r="K5508">
        <v>1.1100099999999999</v>
      </c>
      <c r="L5508">
        <v>-25.231539999999999</v>
      </c>
      <c r="M5508">
        <v>-1.5147330000000001E-2</v>
      </c>
      <c r="N5508">
        <v>0</v>
      </c>
      <c r="O5508">
        <v>-0.99980500000000005</v>
      </c>
      <c r="P5508">
        <v>0.21679290000000001</v>
      </c>
      <c r="Q5508">
        <v>4.4007110000000002E-2</v>
      </c>
      <c r="R5508">
        <v>-0.97522569999999997</v>
      </c>
      <c r="S5508">
        <v>0.98150630000000005</v>
      </c>
      <c r="T5508">
        <v>-0.2571309</v>
      </c>
      <c r="U5508">
        <v>-2.8706969999999998</v>
      </c>
      <c r="V5508">
        <v>-0.23153760000000001</v>
      </c>
      <c r="W5508">
        <v>5.6353559999999997E-2</v>
      </c>
      <c r="X5508">
        <v>0.97119239999999996</v>
      </c>
      <c r="Y5508">
        <v>-0.33666400000000002</v>
      </c>
      <c r="Z5508">
        <v>8.4219260000000004E-2</v>
      </c>
      <c r="AA5508">
        <v>0.93785099999999999</v>
      </c>
      <c r="AB5508">
        <v>19</v>
      </c>
      <c r="AC5508">
        <v>4.2402000000000104</v>
      </c>
      <c r="AD5508">
        <v>-1.1100121786299999</v>
      </c>
      <c r="AE5508">
        <v>-12.194470000000001</v>
      </c>
      <c r="AF5508">
        <v>-4.3919765579425096</v>
      </c>
      <c r="AG5508">
        <v>-1.1100121786299999</v>
      </c>
      <c r="AH5508">
        <v>12.039839666231201</v>
      </c>
      <c r="AI5508">
        <v>94.950156501715</v>
      </c>
      <c r="AJ5508">
        <v>110.04131031733201</v>
      </c>
      <c r="AK5508">
        <v>12.8638767216876</v>
      </c>
      <c r="AL5508">
        <v>86.769467530454094</v>
      </c>
      <c r="AM5508">
        <v>103.409319046967</v>
      </c>
      <c r="AN5508">
        <v>1.0000000308780901</v>
      </c>
    </row>
    <row r="5509" spans="1:40" x14ac:dyDescent="0.25">
      <c r="A5509" t="str">
        <f>"20190312151644015"</f>
        <v>20190312151644015</v>
      </c>
      <c r="B5509" t="str">
        <f>"1552375004003018"</f>
        <v>1552375004003018</v>
      </c>
      <c r="C5509" t="s">
        <v>40</v>
      </c>
      <c r="D5509">
        <v>4.8175119999999998</v>
      </c>
      <c r="E5509">
        <v>0.45802870000000001</v>
      </c>
      <c r="F5509" t="s">
        <v>43</v>
      </c>
      <c r="G5509">
        <v>-295.55459999999999</v>
      </c>
      <c r="H5509" s="1">
        <v>-2.1413690000000001E-6</v>
      </c>
      <c r="I5509">
        <v>-37.535159999999998</v>
      </c>
      <c r="J5509">
        <v>-299.79860000000002</v>
      </c>
      <c r="K5509">
        <v>1.1100110000000001</v>
      </c>
      <c r="L5509">
        <v>-25.518550000000001</v>
      </c>
      <c r="M5509">
        <v>-1.5180300000000001E-2</v>
      </c>
      <c r="N5509">
        <v>0</v>
      </c>
      <c r="O5509">
        <v>-0.99980469999999999</v>
      </c>
      <c r="P5509">
        <v>0.21831490000000001</v>
      </c>
      <c r="Q5509">
        <v>4.2624559999999999E-2</v>
      </c>
      <c r="R5509">
        <v>-0.97494740000000002</v>
      </c>
      <c r="S5509">
        <v>0.98834230000000001</v>
      </c>
      <c r="T5509">
        <v>-0.25876379999999999</v>
      </c>
      <c r="U5509">
        <v>-2.8681950000000001</v>
      </c>
      <c r="V5509">
        <v>-0.23308699999999999</v>
      </c>
      <c r="W5509">
        <v>5.4951930000000003E-2</v>
      </c>
      <c r="X5509">
        <v>0.97090200000000004</v>
      </c>
      <c r="Y5509">
        <v>-0.33892909999999998</v>
      </c>
      <c r="Z5509">
        <v>8.47522E-2</v>
      </c>
      <c r="AA5509">
        <v>0.93698669999999995</v>
      </c>
      <c r="AB5509">
        <v>19</v>
      </c>
      <c r="AC5509">
        <v>4.2440000000000202</v>
      </c>
      <c r="AD5509">
        <v>-1.110013141369</v>
      </c>
      <c r="AE5509">
        <v>-12.016609999999901</v>
      </c>
      <c r="AF5509">
        <v>-4.3926165998783402</v>
      </c>
      <c r="AG5509">
        <v>-1.110013141369</v>
      </c>
      <c r="AH5509">
        <v>11.860812562821399</v>
      </c>
      <c r="AI5509">
        <v>95.015506849506195</v>
      </c>
      <c r="AJ5509">
        <v>110.321960380489</v>
      </c>
      <c r="AK5509">
        <v>12.696695807095701</v>
      </c>
      <c r="AL5509">
        <v>86.849899509073197</v>
      </c>
      <c r="AM5509">
        <v>103.499668155783</v>
      </c>
      <c r="AN5509">
        <v>0.99999997889186198</v>
      </c>
    </row>
    <row r="5510" spans="1:40" x14ac:dyDescent="0.25">
      <c r="A5510" t="str">
        <f>"20190312151644044"</f>
        <v>20190312151644044</v>
      </c>
      <c r="B5510" t="str">
        <f>"1552375004033275"</f>
        <v>1552375004033275</v>
      </c>
      <c r="C5510" t="s">
        <v>40</v>
      </c>
      <c r="D5510">
        <v>4.7699239999999996</v>
      </c>
      <c r="E5510">
        <v>0.45800859999999899</v>
      </c>
      <c r="F5510" t="s">
        <v>43</v>
      </c>
      <c r="G5510">
        <v>-295.53840000000002</v>
      </c>
      <c r="H5510" s="1">
        <v>-2.0589540000000001E-6</v>
      </c>
      <c r="I5510">
        <v>-37.790030000000002</v>
      </c>
      <c r="J5510">
        <v>-299.8023</v>
      </c>
      <c r="K5510">
        <v>1.1100159999999999</v>
      </c>
      <c r="L5510">
        <v>-25.763210000000001</v>
      </c>
      <c r="M5510">
        <v>-1.5208670000000001E-2</v>
      </c>
      <c r="N5510">
        <v>0</v>
      </c>
      <c r="O5510">
        <v>-0.99980429999999998</v>
      </c>
      <c r="P5510">
        <v>0.21899179999999999</v>
      </c>
      <c r="Q5510">
        <v>4.2619400000000002E-2</v>
      </c>
      <c r="R5510">
        <v>-0.97479559999999998</v>
      </c>
      <c r="S5510">
        <v>0.99487300000000001</v>
      </c>
      <c r="T5510">
        <v>-0.25921250000000001</v>
      </c>
      <c r="U5510">
        <v>-2.8656619999999999</v>
      </c>
      <c r="V5510">
        <v>-0.23378950000000001</v>
      </c>
      <c r="W5510">
        <v>5.4934330000000003E-2</v>
      </c>
      <c r="X5510">
        <v>0.97073410000000004</v>
      </c>
      <c r="Y5510">
        <v>-0.34111269999999999</v>
      </c>
      <c r="Z5510">
        <v>8.4903279999999998E-2</v>
      </c>
      <c r="AA5510">
        <v>0.93618029999999997</v>
      </c>
      <c r="AB5510">
        <v>19</v>
      </c>
      <c r="AC5510">
        <v>4.2638999999999703</v>
      </c>
      <c r="AD5510">
        <v>-1.1100180589540001</v>
      </c>
      <c r="AE5510">
        <v>-12.026819999999899</v>
      </c>
      <c r="AF5510">
        <v>-4.41293950382261</v>
      </c>
      <c r="AG5510">
        <v>-1.1100180589540001</v>
      </c>
      <c r="AH5510">
        <v>11.8707463728785</v>
      </c>
      <c r="AI5510">
        <v>95.009073739847594</v>
      </c>
      <c r="AJ5510">
        <v>110.39257295491301</v>
      </c>
      <c r="AK5510">
        <v>12.7130167389495</v>
      </c>
      <c r="AL5510">
        <v>86.850909512897999</v>
      </c>
      <c r="AM5510">
        <v>103.541114646929</v>
      </c>
      <c r="AN5510">
        <v>1.0000000019127999</v>
      </c>
    </row>
    <row r="5511" spans="1:40" x14ac:dyDescent="0.25">
      <c r="A5511" t="str">
        <f>"20190312151644067"</f>
        <v>20190312151644067</v>
      </c>
      <c r="B5511" t="str">
        <f>"1552375004063529"</f>
        <v>1552375004063529</v>
      </c>
      <c r="C5511" t="s">
        <v>40</v>
      </c>
      <c r="D5511">
        <v>4.8026160000000004</v>
      </c>
      <c r="E5511">
        <v>0.4578856</v>
      </c>
      <c r="F5511" t="s">
        <v>43</v>
      </c>
      <c r="G5511">
        <v>-295.57130000000001</v>
      </c>
      <c r="H5511" s="1">
        <v>-2.0044120000000001E-6</v>
      </c>
      <c r="I5511">
        <v>-37.924579999999999</v>
      </c>
      <c r="J5511">
        <v>-299.80549999999999</v>
      </c>
      <c r="K5511">
        <v>1.110015</v>
      </c>
      <c r="L5511">
        <v>-25.96387</v>
      </c>
      <c r="M5511">
        <v>-1.52319E-2</v>
      </c>
      <c r="N5511">
        <v>0</v>
      </c>
      <c r="O5511">
        <v>-0.99980400000000003</v>
      </c>
      <c r="P5511">
        <v>0.21983079999999999</v>
      </c>
      <c r="Q5511">
        <v>4.1917129999999997E-2</v>
      </c>
      <c r="R5511">
        <v>-0.97463719999999998</v>
      </c>
      <c r="S5511">
        <v>0.99679569999999995</v>
      </c>
      <c r="T5511">
        <v>-0.26150770000000001</v>
      </c>
      <c r="U5511">
        <v>-2.8650820000000001</v>
      </c>
      <c r="V5511">
        <v>-0.23464840000000001</v>
      </c>
      <c r="W5511">
        <v>5.4222029999999997E-2</v>
      </c>
      <c r="X5511">
        <v>0.97056690000000001</v>
      </c>
      <c r="Y5511">
        <v>-0.3417328</v>
      </c>
      <c r="Z5511">
        <v>8.5646379999999994E-2</v>
      </c>
      <c r="AA5511">
        <v>0.93588640000000001</v>
      </c>
      <c r="AB5511">
        <v>19</v>
      </c>
      <c r="AC5511">
        <v>4.23419999999998</v>
      </c>
      <c r="AD5511">
        <v>-1.1100170044119999</v>
      </c>
      <c r="AE5511">
        <v>-11.960710000000001</v>
      </c>
      <c r="AF5511">
        <v>-4.3823665318606304</v>
      </c>
      <c r="AG5511">
        <v>-1.1100170044119999</v>
      </c>
      <c r="AH5511">
        <v>11.8044748503835</v>
      </c>
      <c r="AI5511">
        <v>95.037868914353695</v>
      </c>
      <c r="AJ5511">
        <v>110.36725276984799</v>
      </c>
      <c r="AK5511">
        <v>12.6405261228714</v>
      </c>
      <c r="AL5511">
        <v>86.891782223964597</v>
      </c>
      <c r="AM5511">
        <v>103.59127487568099</v>
      </c>
      <c r="AN5511">
        <v>1.0000000037677399</v>
      </c>
    </row>
    <row r="5512" spans="1:40" x14ac:dyDescent="0.25">
      <c r="A5512" t="str">
        <f>"20190312151644088"</f>
        <v>20190312151644088</v>
      </c>
      <c r="B5512" t="str">
        <f>"1552375004083557"</f>
        <v>1552375004083557</v>
      </c>
      <c r="C5512" t="s">
        <v>40</v>
      </c>
      <c r="D5512">
        <v>4.8324720000000001</v>
      </c>
      <c r="E5512">
        <v>0.45776800000000001</v>
      </c>
      <c r="F5512" t="s">
        <v>43</v>
      </c>
      <c r="G5512">
        <v>-295.70319999999998</v>
      </c>
      <c r="H5512" s="1">
        <v>-2.041575E-6</v>
      </c>
      <c r="I5512">
        <v>-37.712220000000002</v>
      </c>
      <c r="J5512">
        <v>-299.8082</v>
      </c>
      <c r="K5512">
        <v>1.1100139999999901</v>
      </c>
      <c r="L5512">
        <v>-26.142910000000001</v>
      </c>
      <c r="M5512">
        <v>-1.5252659999999999E-2</v>
      </c>
      <c r="N5512">
        <v>0</v>
      </c>
      <c r="O5512">
        <v>-0.99980380000000002</v>
      </c>
      <c r="P5512">
        <v>0.22048039999999999</v>
      </c>
      <c r="Q5512">
        <v>4.1437399999999999E-2</v>
      </c>
      <c r="R5512">
        <v>-0.97451100000000002</v>
      </c>
      <c r="S5512">
        <v>1.000092</v>
      </c>
      <c r="T5512">
        <v>-0.27061160000000001</v>
      </c>
      <c r="U5512">
        <v>-2.8641359999999998</v>
      </c>
      <c r="V5512">
        <v>-0.23531640000000001</v>
      </c>
      <c r="W5512">
        <v>5.3734469999999999E-2</v>
      </c>
      <c r="X5512">
        <v>0.97043230000000003</v>
      </c>
      <c r="Y5512">
        <v>-0.342723</v>
      </c>
      <c r="Z5512">
        <v>8.8598179999999999E-2</v>
      </c>
      <c r="AA5512">
        <v>0.93524929999999995</v>
      </c>
      <c r="AB5512">
        <v>19</v>
      </c>
      <c r="AC5512">
        <v>4.1050000000000102</v>
      </c>
      <c r="AD5512">
        <v>-1.11001604157499</v>
      </c>
      <c r="AE5512">
        <v>-11.56931</v>
      </c>
      <c r="AF5512">
        <v>-4.2462812855397196</v>
      </c>
      <c r="AG5512">
        <v>-1.11001604157499</v>
      </c>
      <c r="AH5512">
        <v>11.4120409611753</v>
      </c>
      <c r="AI5512">
        <v>95.208743589310799</v>
      </c>
      <c r="AJ5512">
        <v>110.409620270857</v>
      </c>
      <c r="AK5512">
        <v>12.226925994215399</v>
      </c>
      <c r="AL5512">
        <v>86.919758206025605</v>
      </c>
      <c r="AM5512">
        <v>103.630345399641</v>
      </c>
      <c r="AN5512">
        <v>1.00000002512921</v>
      </c>
    </row>
    <row r="5513" spans="1:40" x14ac:dyDescent="0.25">
      <c r="A5513" t="str">
        <f>"20190312151644107"</f>
        <v>20190312151644107</v>
      </c>
      <c r="B5513" t="str">
        <f>"1552375004103077"</f>
        <v>1552375004103077</v>
      </c>
      <c r="C5513" t="s">
        <v>40</v>
      </c>
      <c r="D5513">
        <v>4.7998890000000003</v>
      </c>
      <c r="E5513">
        <v>0.45777060000000003</v>
      </c>
      <c r="F5513" t="s">
        <v>43</v>
      </c>
      <c r="G5513">
        <v>-295.78309999999999</v>
      </c>
      <c r="H5513" s="1">
        <v>-2.0453999999999999E-6</v>
      </c>
      <c r="I5513">
        <v>-37.63852</v>
      </c>
      <c r="J5513">
        <v>-299.81079999999997</v>
      </c>
      <c r="K5513">
        <v>1.110009</v>
      </c>
      <c r="L5513">
        <v>-26.310849999999999</v>
      </c>
      <c r="M5513">
        <v>-1.527189E-2</v>
      </c>
      <c r="N5513">
        <v>0</v>
      </c>
      <c r="O5513">
        <v>-0.99980349999999996</v>
      </c>
      <c r="P5513">
        <v>0.2216388</v>
      </c>
      <c r="Q5513">
        <v>4.0920379999999999E-2</v>
      </c>
      <c r="R5513">
        <v>-0.97426999999999997</v>
      </c>
      <c r="S5513">
        <v>1.002594</v>
      </c>
      <c r="T5513">
        <v>-0.2764875</v>
      </c>
      <c r="U5513">
        <v>-2.8633730000000002</v>
      </c>
      <c r="V5513">
        <v>-0.23648939999999999</v>
      </c>
      <c r="W5513">
        <v>5.3209260000000001E-2</v>
      </c>
      <c r="X5513">
        <v>0.97017600000000004</v>
      </c>
      <c r="Y5513">
        <v>-0.34349020000000002</v>
      </c>
      <c r="Z5513">
        <v>9.0502170000000007E-2</v>
      </c>
      <c r="AA5513">
        <v>0.93478550000000005</v>
      </c>
      <c r="AB5513">
        <v>19</v>
      </c>
      <c r="AC5513">
        <v>4.0276999999999799</v>
      </c>
      <c r="AD5513">
        <v>-1.1100110454000001</v>
      </c>
      <c r="AE5513">
        <v>-11.327669999999999</v>
      </c>
      <c r="AF5513">
        <v>-4.1647364768512301</v>
      </c>
      <c r="AG5513">
        <v>-1.1100110454000001</v>
      </c>
      <c r="AH5513">
        <v>11.169617338435501</v>
      </c>
      <c r="AI5513">
        <v>95.319786197159004</v>
      </c>
      <c r="AJ5513">
        <v>110.448621779365</v>
      </c>
      <c r="AK5513">
        <v>11.972364258140701</v>
      </c>
      <c r="AL5513">
        <v>86.949893455485196</v>
      </c>
      <c r="AM5513">
        <v>103.69921871153601</v>
      </c>
      <c r="AN5513">
        <v>0.99999996631905297</v>
      </c>
    </row>
    <row r="5514" spans="1:40" x14ac:dyDescent="0.25">
      <c r="A5514" t="str">
        <f>"20190312151644149"</f>
        <v>20190312151644149</v>
      </c>
      <c r="B5514" t="str">
        <f>"1552375004143093"</f>
        <v>1552375004143093</v>
      </c>
      <c r="C5514" t="s">
        <v>40</v>
      </c>
      <c r="D5514">
        <v>4.8719320000000002</v>
      </c>
      <c r="E5514">
        <v>0.45773249999999999</v>
      </c>
      <c r="F5514" t="s">
        <v>43</v>
      </c>
      <c r="G5514">
        <v>-295.81279999999998</v>
      </c>
      <c r="H5514" s="1">
        <v>-2.018515E-6</v>
      </c>
      <c r="I5514">
        <v>-37.694240000000001</v>
      </c>
      <c r="J5514">
        <v>-299.81619999999998</v>
      </c>
      <c r="K5514">
        <v>1.110007</v>
      </c>
      <c r="L5514">
        <v>-26.660640000000001</v>
      </c>
      <c r="M5514">
        <v>-1.5312839999999999E-2</v>
      </c>
      <c r="N5514">
        <v>0</v>
      </c>
      <c r="O5514">
        <v>-0.99980279999999999</v>
      </c>
      <c r="P5514">
        <v>0.22323180000000001</v>
      </c>
      <c r="Q5514">
        <v>4.0025390000000001E-2</v>
      </c>
      <c r="R5514">
        <v>-0.97394320000000001</v>
      </c>
      <c r="S5514">
        <v>1.0052490000000001</v>
      </c>
      <c r="T5514">
        <v>-0.27910439999999997</v>
      </c>
      <c r="U5514">
        <v>-2.8622740000000002</v>
      </c>
      <c r="V5514">
        <v>-0.23811740000000001</v>
      </c>
      <c r="W5514">
        <v>5.2300729999999997E-2</v>
      </c>
      <c r="X5514">
        <v>0.9698272</v>
      </c>
      <c r="Y5514">
        <v>-0.34438649999999998</v>
      </c>
      <c r="Z5514">
        <v>9.1354879999999999E-2</v>
      </c>
      <c r="AA5514">
        <v>0.9343726</v>
      </c>
      <c r="AB5514">
        <v>19</v>
      </c>
      <c r="AC5514">
        <v>4.0033999999999903</v>
      </c>
      <c r="AD5514">
        <v>-1.110009018515</v>
      </c>
      <c r="AE5514">
        <v>-11.0336</v>
      </c>
      <c r="AF5514">
        <v>-4.1349192608316496</v>
      </c>
      <c r="AG5514">
        <v>-1.110009018515</v>
      </c>
      <c r="AH5514">
        <v>10.873748738402499</v>
      </c>
      <c r="AI5514">
        <v>95.450416997653605</v>
      </c>
      <c r="AJ5514">
        <v>110.820118144476</v>
      </c>
      <c r="AK5514">
        <v>11.686235019915101</v>
      </c>
      <c r="AL5514">
        <v>87.002021173630993</v>
      </c>
      <c r="AM5514">
        <v>103.794706332145</v>
      </c>
      <c r="AN5514">
        <v>1.0000000302005601</v>
      </c>
    </row>
    <row r="5515" spans="1:40" x14ac:dyDescent="0.25">
      <c r="A5515" t="str">
        <f>"20190312151644178"</f>
        <v>20190312151644178</v>
      </c>
      <c r="B5515" t="str">
        <f>"1552375004172880"</f>
        <v>1552375004172880</v>
      </c>
      <c r="C5515" t="s">
        <v>40</v>
      </c>
      <c r="D5515">
        <v>4.767639</v>
      </c>
      <c r="E5515">
        <v>0.4577001</v>
      </c>
      <c r="F5515" t="s">
        <v>43</v>
      </c>
      <c r="G5515">
        <v>-295.85489999999999</v>
      </c>
      <c r="H5515" s="1">
        <v>-1.9432880000000002E-6</v>
      </c>
      <c r="I5515">
        <v>-37.882449999999999</v>
      </c>
      <c r="J5515">
        <v>-299.81990000000002</v>
      </c>
      <c r="K5515">
        <v>1.1100030000000001</v>
      </c>
      <c r="L5515">
        <v>-26.90475</v>
      </c>
      <c r="M5515">
        <v>-1.534028E-2</v>
      </c>
      <c r="N5515">
        <v>0</v>
      </c>
      <c r="O5515">
        <v>-0.99980259999999999</v>
      </c>
      <c r="P5515">
        <v>0.22431499999999999</v>
      </c>
      <c r="Q5515">
        <v>3.9539459999999998E-2</v>
      </c>
      <c r="R5515">
        <v>-0.97371439999999998</v>
      </c>
      <c r="S5515">
        <v>1.009735</v>
      </c>
      <c r="T5515">
        <v>-0.28294190000000002</v>
      </c>
      <c r="U5515">
        <v>-2.8604430000000001</v>
      </c>
      <c r="V5515">
        <v>-0.23922360000000001</v>
      </c>
      <c r="W5515">
        <v>5.1806440000000002E-2</v>
      </c>
      <c r="X5515">
        <v>0.96958140000000004</v>
      </c>
      <c r="Y5515">
        <v>-0.345864</v>
      </c>
      <c r="Z5515">
        <v>9.2605750000000001E-2</v>
      </c>
      <c r="AA5515">
        <v>0.93370350000000002</v>
      </c>
      <c r="AB5515">
        <v>19</v>
      </c>
      <c r="AC5515">
        <v>3.9650000000000301</v>
      </c>
      <c r="AD5515">
        <v>-1.1100049432879999</v>
      </c>
      <c r="AE5515">
        <v>-10.9777</v>
      </c>
      <c r="AF5515">
        <v>-4.0959033326813001</v>
      </c>
      <c r="AG5515">
        <v>-1.1100049432879999</v>
      </c>
      <c r="AH5515">
        <v>10.8177404401183</v>
      </c>
      <c r="AI5515">
        <v>95.481403915538195</v>
      </c>
      <c r="AJ5515">
        <v>110.73808697780601</v>
      </c>
      <c r="AK5515">
        <v>11.620328881514601</v>
      </c>
      <c r="AL5515">
        <v>87.030380155738698</v>
      </c>
      <c r="AM5515">
        <v>103.859704167725</v>
      </c>
      <c r="AN5515">
        <v>0.99999996462419605</v>
      </c>
    </row>
    <row r="5516" spans="1:40" x14ac:dyDescent="0.25">
      <c r="A5516" t="str">
        <f>"20190312151644199"</f>
        <v>20190312151644199</v>
      </c>
      <c r="B5516" t="str">
        <f>"1552375004193376"</f>
        <v>1552375004193376</v>
      </c>
      <c r="C5516" t="s">
        <v>40</v>
      </c>
      <c r="D5516">
        <v>4.7845380000000004</v>
      </c>
      <c r="E5516">
        <v>0.45759670000000002</v>
      </c>
      <c r="F5516" t="s">
        <v>43</v>
      </c>
      <c r="G5516">
        <v>-295.8623</v>
      </c>
      <c r="H5516" s="1">
        <v>-1.875289E-6</v>
      </c>
      <c r="I5516">
        <v>-38.076450000000001</v>
      </c>
      <c r="J5516">
        <v>-299.8227</v>
      </c>
      <c r="K5516">
        <v>1.109996</v>
      </c>
      <c r="L5516">
        <v>-27.08661</v>
      </c>
      <c r="M5516">
        <v>-1.53607E-2</v>
      </c>
      <c r="N5516">
        <v>0</v>
      </c>
      <c r="O5516">
        <v>-0.99980239999999998</v>
      </c>
      <c r="P5516">
        <v>0.22593930000000001</v>
      </c>
      <c r="Q5516">
        <v>3.9005749999999999E-2</v>
      </c>
      <c r="R5516">
        <v>-0.97336009999999995</v>
      </c>
      <c r="S5516">
        <v>1.0128779999999999</v>
      </c>
      <c r="T5516">
        <v>-0.28408549999999999</v>
      </c>
      <c r="U5516">
        <v>-2.8591920000000002</v>
      </c>
      <c r="V5516">
        <v>-0.2408621</v>
      </c>
      <c r="W5516">
        <v>5.1258339999999999E-2</v>
      </c>
      <c r="X5516">
        <v>0.96920479999999998</v>
      </c>
      <c r="Y5516">
        <v>-0.34691179999999999</v>
      </c>
      <c r="Z5516">
        <v>9.2979580000000006E-2</v>
      </c>
      <c r="AA5516">
        <v>0.93327749999999998</v>
      </c>
      <c r="AB5516">
        <v>19</v>
      </c>
      <c r="AC5516">
        <v>3.9603999999999902</v>
      </c>
      <c r="AD5516">
        <v>-1.1099978752890001</v>
      </c>
      <c r="AE5516">
        <v>-10.989839999999999</v>
      </c>
      <c r="AF5516">
        <v>-4.0918131890405798</v>
      </c>
      <c r="AG5516">
        <v>-1.1099978752890001</v>
      </c>
      <c r="AH5516">
        <v>10.8299215945201</v>
      </c>
      <c r="AI5516">
        <v>95.476688561344901</v>
      </c>
      <c r="AJ5516">
        <v>110.69780944971799</v>
      </c>
      <c r="AK5516">
        <v>11.630229241102899</v>
      </c>
      <c r="AL5516">
        <v>87.061825731101393</v>
      </c>
      <c r="AM5516">
        <v>103.95614566863</v>
      </c>
      <c r="AN5516">
        <v>0.99999995648950102</v>
      </c>
    </row>
    <row r="5517" spans="1:40" x14ac:dyDescent="0.25">
      <c r="A5517" t="str">
        <f>"20190312151644222"</f>
        <v>20190312151644222</v>
      </c>
      <c r="B5517" t="str">
        <f>"1552375004213872"</f>
        <v>1552375004213872</v>
      </c>
      <c r="C5517" t="s">
        <v>40</v>
      </c>
      <c r="D5517">
        <v>4.8136039999999998</v>
      </c>
      <c r="E5517">
        <v>0.45759060000000001</v>
      </c>
      <c r="F5517" t="s">
        <v>43</v>
      </c>
      <c r="G5517">
        <v>-295.86590000000001</v>
      </c>
      <c r="H5517" s="1">
        <v>-1.837861E-6</v>
      </c>
      <c r="I5517">
        <v>-38.183610000000002</v>
      </c>
      <c r="J5517">
        <v>-299.82569999999998</v>
      </c>
      <c r="K5517">
        <v>1.1099889999999999</v>
      </c>
      <c r="L5517">
        <v>-27.28125</v>
      </c>
      <c r="M5517">
        <v>-1.538172E-2</v>
      </c>
      <c r="N5517">
        <v>0</v>
      </c>
      <c r="O5517">
        <v>-0.99980259999999999</v>
      </c>
      <c r="P5517">
        <v>0.22784779999999999</v>
      </c>
      <c r="Q5517">
        <v>3.8946750000000002E-2</v>
      </c>
      <c r="R5517">
        <v>-0.97291819999999896</v>
      </c>
      <c r="S5517">
        <v>1.0187379999999999</v>
      </c>
      <c r="T5517">
        <v>-0.28578559999999997</v>
      </c>
      <c r="U5517">
        <v>-2.8570859999999998</v>
      </c>
      <c r="V5517">
        <v>-0.24278379999999999</v>
      </c>
      <c r="W5517">
        <v>5.1177380000000001E-2</v>
      </c>
      <c r="X5517">
        <v>0.96872959999999997</v>
      </c>
      <c r="Y5517">
        <v>-0.348829099999999</v>
      </c>
      <c r="Z5517">
        <v>9.3529870000000001E-2</v>
      </c>
      <c r="AA5517">
        <v>0.93250759999999999</v>
      </c>
      <c r="AB5517">
        <v>19</v>
      </c>
      <c r="AC5517">
        <v>3.9597999999999698</v>
      </c>
      <c r="AD5517">
        <v>-1.1099908378609999</v>
      </c>
      <c r="AE5517">
        <v>-10.9023599999999</v>
      </c>
      <c r="AF5517">
        <v>-4.0895908521922797</v>
      </c>
      <c r="AG5517">
        <v>-1.1099908378609999</v>
      </c>
      <c r="AH5517">
        <v>10.7417874250108</v>
      </c>
      <c r="AI5517">
        <v>95.516051075830106</v>
      </c>
      <c r="AJ5517">
        <v>110.842725452568</v>
      </c>
      <c r="AK5517">
        <v>11.5474165977759</v>
      </c>
      <c r="AL5517">
        <v>87.066470820785597</v>
      </c>
      <c r="AM5517">
        <v>104.069716192475</v>
      </c>
      <c r="AN5517">
        <v>1.0000000678411201</v>
      </c>
    </row>
    <row r="5518" spans="1:40" x14ac:dyDescent="0.25">
      <c r="A5518" t="str">
        <f>"20190312151644245"</f>
        <v>20190312151644245</v>
      </c>
      <c r="B5518" t="str">
        <f>"1552375004233392"</f>
        <v>1552375004233392</v>
      </c>
      <c r="C5518" t="s">
        <v>40</v>
      </c>
      <c r="D5518">
        <v>5.228091</v>
      </c>
      <c r="E5518">
        <v>0.45757370000000003</v>
      </c>
      <c r="F5518" t="s">
        <v>43</v>
      </c>
      <c r="G5518">
        <v>-295.84809999999999</v>
      </c>
      <c r="H5518" s="1">
        <v>-1.778622E-6</v>
      </c>
      <c r="I5518">
        <v>-38.37162</v>
      </c>
      <c r="J5518">
        <v>-299.82859999999999</v>
      </c>
      <c r="K5518">
        <v>1.1099870000000001</v>
      </c>
      <c r="L5518">
        <v>-27.467469999999999</v>
      </c>
      <c r="M5518">
        <v>-1.540295E-2</v>
      </c>
      <c r="N5518">
        <v>0</v>
      </c>
      <c r="O5518">
        <v>-0.99980239999999998</v>
      </c>
      <c r="P5518">
        <v>0.23000100000000001</v>
      </c>
      <c r="Q5518">
        <v>3.8364509999999998E-2</v>
      </c>
      <c r="R5518">
        <v>-0.97243400000000002</v>
      </c>
      <c r="S5518">
        <v>1.024017</v>
      </c>
      <c r="T5518">
        <v>-0.28575869999999998</v>
      </c>
      <c r="U5518">
        <v>-2.8551329999999999</v>
      </c>
      <c r="V5518">
        <v>-0.2449499</v>
      </c>
      <c r="W5518">
        <v>5.0563999999999998E-2</v>
      </c>
      <c r="X5518">
        <v>0.96821630000000003</v>
      </c>
      <c r="Y5518">
        <v>-0.35057909999999998</v>
      </c>
      <c r="Z5518">
        <v>9.3521259999999995E-2</v>
      </c>
      <c r="AA5518">
        <v>0.93185189999999996</v>
      </c>
      <c r="AB5518">
        <v>19</v>
      </c>
      <c r="AC5518">
        <v>3.9805000000000001</v>
      </c>
      <c r="AD5518">
        <v>-1.109988778622</v>
      </c>
      <c r="AE5518">
        <v>-10.9041499999999</v>
      </c>
      <c r="AF5518">
        <v>-4.1104124130911996</v>
      </c>
      <c r="AG5518">
        <v>-1.109988778622</v>
      </c>
      <c r="AH5518">
        <v>10.743305688065799</v>
      </c>
      <c r="AI5518">
        <v>95.511826528068994</v>
      </c>
      <c r="AJ5518">
        <v>110.93696072552299</v>
      </c>
      <c r="AK5518">
        <v>11.5562183434542</v>
      </c>
      <c r="AL5518">
        <v>87.101660233267395</v>
      </c>
      <c r="AM5518">
        <v>104.197414486103</v>
      </c>
      <c r="AN5518">
        <v>0.99999998759584996</v>
      </c>
    </row>
    <row r="5519" spans="1:40" x14ac:dyDescent="0.25">
      <c r="A5519" t="str">
        <f>"20190312151644283"</f>
        <v>20190312151644283</v>
      </c>
      <c r="B5519" t="str">
        <f>"1552375004273412"</f>
        <v>1552375004273412</v>
      </c>
      <c r="C5519" t="s">
        <v>40</v>
      </c>
      <c r="D5519">
        <v>4.7923580000000001</v>
      </c>
      <c r="E5519">
        <v>0.53067279999999994</v>
      </c>
      <c r="F5519" t="s">
        <v>43</v>
      </c>
      <c r="G5519">
        <v>-295.84249999999997</v>
      </c>
      <c r="H5519" s="1">
        <v>-1.736592E-6</v>
      </c>
      <c r="I5519">
        <v>-38.499479999999998</v>
      </c>
      <c r="J5519">
        <v>-299.83350000000002</v>
      </c>
      <c r="K5519">
        <v>1.109974</v>
      </c>
      <c r="L5519">
        <v>-27.786770000000001</v>
      </c>
      <c r="M5519">
        <v>-1.5442559999999999E-2</v>
      </c>
      <c r="N5519">
        <v>0</v>
      </c>
      <c r="O5519">
        <v>-0.99980279999999999</v>
      </c>
      <c r="P5519">
        <v>0.23277719999999999</v>
      </c>
      <c r="Q5519">
        <v>3.8874010000000001E-2</v>
      </c>
      <c r="R5519">
        <v>-0.97175290000000003</v>
      </c>
      <c r="S5519">
        <v>1.0307010000000001</v>
      </c>
      <c r="T5519">
        <v>-0.28701520000000003</v>
      </c>
      <c r="U5519">
        <v>-2.8525999999999998</v>
      </c>
      <c r="V5519">
        <v>-0.2477539</v>
      </c>
      <c r="W5519">
        <v>5.0975930000000003E-2</v>
      </c>
      <c r="X5519">
        <v>0.96748100000000004</v>
      </c>
      <c r="Y5519">
        <v>-0.35279749999999999</v>
      </c>
      <c r="Z5519">
        <v>9.3929970000000002E-2</v>
      </c>
      <c r="AA5519">
        <v>0.93097319999999995</v>
      </c>
      <c r="AB5519">
        <v>19</v>
      </c>
      <c r="AC5519">
        <v>3.9910000000000401</v>
      </c>
      <c r="AD5519">
        <v>-1.109975736592</v>
      </c>
      <c r="AE5519">
        <v>-10.7127099999999</v>
      </c>
      <c r="AF5519">
        <v>-4.1171552433564402</v>
      </c>
      <c r="AG5519">
        <v>-1.109975736592</v>
      </c>
      <c r="AH5519">
        <v>10.550335938839901</v>
      </c>
      <c r="AI5519">
        <v>95.597636989246794</v>
      </c>
      <c r="AJ5519">
        <v>111.317681219706</v>
      </c>
      <c r="AK5519">
        <v>11.379481616317101</v>
      </c>
      <c r="AL5519">
        <v>87.078027979432207</v>
      </c>
      <c r="AM5519">
        <v>104.363714096393</v>
      </c>
      <c r="AN5519">
        <v>1.00000001288278</v>
      </c>
    </row>
    <row r="5520" spans="1:40" x14ac:dyDescent="0.25">
      <c r="A5520" t="str">
        <f>"20190312151644307"</f>
        <v>20190312151644307</v>
      </c>
      <c r="B5520" t="str">
        <f>"1552375004303664"</f>
        <v>1552375004303664</v>
      </c>
      <c r="C5520" t="s">
        <v>40</v>
      </c>
      <c r="D5520">
        <v>4.7393980000000004</v>
      </c>
      <c r="E5520">
        <v>0.53241530000000004</v>
      </c>
      <c r="F5520" t="s">
        <v>64</v>
      </c>
      <c r="G5520">
        <v>-297.57650000000001</v>
      </c>
      <c r="H5520" s="1">
        <v>-1.7239279999999901E-6</v>
      </c>
      <c r="I5520">
        <v>-42.101509999999998</v>
      </c>
      <c r="J5520">
        <v>-299.83679999999998</v>
      </c>
      <c r="K5520">
        <v>1.1099559999999999</v>
      </c>
      <c r="L5520">
        <v>-27.998840000000001</v>
      </c>
      <c r="M5520">
        <v>-1.546793E-2</v>
      </c>
      <c r="N5520">
        <v>0</v>
      </c>
      <c r="O5520">
        <v>-0.99980349999999996</v>
      </c>
      <c r="P5520">
        <v>0.2341521</v>
      </c>
      <c r="Q5520">
        <v>3.9265029999999999E-2</v>
      </c>
      <c r="R5520">
        <v>-0.97140660000000001</v>
      </c>
      <c r="S5520">
        <v>0.47045900000000002</v>
      </c>
      <c r="T5520">
        <v>-0.2313634</v>
      </c>
      <c r="U5520">
        <v>-2.983765</v>
      </c>
      <c r="V5520">
        <v>-0.2491477</v>
      </c>
      <c r="W5520">
        <v>5.1271190000000001E-2</v>
      </c>
      <c r="X5520">
        <v>0.96710739999999995</v>
      </c>
      <c r="Y5520">
        <v>-0.1705566</v>
      </c>
      <c r="Z5520">
        <v>7.6260069999999999E-2</v>
      </c>
      <c r="AA5520">
        <v>0.98239240000000005</v>
      </c>
      <c r="AB5520">
        <v>19</v>
      </c>
      <c r="AC5520">
        <v>2.2602999999999702</v>
      </c>
      <c r="AD5520">
        <v>-1.1099577239280001</v>
      </c>
      <c r="AE5520">
        <v>-14.1026699999999</v>
      </c>
      <c r="AF5520">
        <v>-2.4633084806402099</v>
      </c>
      <c r="AG5520">
        <v>-1.1099577239280001</v>
      </c>
      <c r="AH5520">
        <v>13.9815771514661</v>
      </c>
      <c r="AI5520">
        <v>94.470463398929098</v>
      </c>
      <c r="AJ5520">
        <v>99.991968358489402</v>
      </c>
      <c r="AK5520">
        <v>14.240238567597901</v>
      </c>
      <c r="AL5520">
        <v>87.061088689618202</v>
      </c>
      <c r="AM5520">
        <v>104.446495757867</v>
      </c>
      <c r="AN5520">
        <v>1.00000001723703</v>
      </c>
    </row>
    <row r="5521" spans="1:40" x14ac:dyDescent="0.25">
      <c r="A5521" t="str">
        <f>"20190312151644336"</f>
        <v>20190312151644336</v>
      </c>
      <c r="B5521" t="str">
        <f>"1552375004333920"</f>
        <v>1552375004333920</v>
      </c>
      <c r="C5521" t="s">
        <v>40</v>
      </c>
      <c r="D5521">
        <v>4.8011419999999996</v>
      </c>
      <c r="E5521">
        <v>0.5338598</v>
      </c>
      <c r="F5521" t="s">
        <v>43</v>
      </c>
      <c r="G5521">
        <v>-297.94139999999999</v>
      </c>
      <c r="H5521" s="1">
        <v>-5.8274080000000003E-7</v>
      </c>
      <c r="I5521">
        <v>-40.249049999999997</v>
      </c>
      <c r="J5521">
        <v>-299.84059999999999</v>
      </c>
      <c r="K5521">
        <v>1.1099319999999999</v>
      </c>
      <c r="L5521">
        <v>-28.241849999999999</v>
      </c>
      <c r="M5521">
        <v>-1.5496799999999899E-2</v>
      </c>
      <c r="N5521">
        <v>0</v>
      </c>
      <c r="O5521">
        <v>-0.99980500000000005</v>
      </c>
      <c r="P5521">
        <v>0.2352592</v>
      </c>
      <c r="Q5521">
        <v>3.9111170000000001E-2</v>
      </c>
      <c r="R5521">
        <v>-0.97114549999999999</v>
      </c>
      <c r="S5521">
        <v>0.46228029999999998</v>
      </c>
      <c r="T5521">
        <v>-0.2707156</v>
      </c>
      <c r="U5521">
        <v>-2.9877929999999999</v>
      </c>
      <c r="V5521">
        <v>-0.25027830000000001</v>
      </c>
      <c r="W5521">
        <v>5.098022E-2</v>
      </c>
      <c r="X5521">
        <v>0.96683079999999999</v>
      </c>
      <c r="Y5521">
        <v>-0.16759289999999999</v>
      </c>
      <c r="Z5521">
        <v>8.905739E-2</v>
      </c>
      <c r="AA5521">
        <v>0.98182550000000002</v>
      </c>
      <c r="AB5521">
        <v>19</v>
      </c>
      <c r="AC5521">
        <v>1.8992</v>
      </c>
      <c r="AD5521">
        <v>-1.1099325827408</v>
      </c>
      <c r="AE5521">
        <v>-12.0071999999999</v>
      </c>
      <c r="AF5521">
        <v>-2.0678208576304802</v>
      </c>
      <c r="AG5521">
        <v>-1.1099325827408</v>
      </c>
      <c r="AH5521">
        <v>11.8773102947608</v>
      </c>
      <c r="AI5521">
        <v>95.260107030743498</v>
      </c>
      <c r="AJ5521">
        <v>99.876115633573804</v>
      </c>
      <c r="AK5521">
        <v>12.106953922251201</v>
      </c>
      <c r="AL5521">
        <v>87.077781831788101</v>
      </c>
      <c r="AM5521">
        <v>104.513266668689</v>
      </c>
      <c r="AN5521">
        <v>1.0000000030553799</v>
      </c>
    </row>
    <row r="5522" spans="1:40" x14ac:dyDescent="0.25">
      <c r="A5522" t="str">
        <f>"20190312151644359"</f>
        <v>20190312151644359</v>
      </c>
      <c r="B5522" t="str">
        <f>"1552375004353440"</f>
        <v>1552375004353440</v>
      </c>
      <c r="C5522" t="s">
        <v>40</v>
      </c>
      <c r="D5522">
        <v>4.7907460000000004</v>
      </c>
      <c r="E5522">
        <v>0.53448370000000001</v>
      </c>
      <c r="F5522" t="s">
        <v>43</v>
      </c>
      <c r="G5522">
        <v>-298.0086</v>
      </c>
      <c r="H5522" s="1">
        <v>-5.4966600000000002E-7</v>
      </c>
      <c r="I5522">
        <v>-40.293700000000001</v>
      </c>
      <c r="J5522">
        <v>-299.84359999999998</v>
      </c>
      <c r="K5522">
        <v>1.1099079999999999</v>
      </c>
      <c r="L5522">
        <v>-28.43497</v>
      </c>
      <c r="M5522">
        <v>-1.551934E-2</v>
      </c>
      <c r="N5522">
        <v>0</v>
      </c>
      <c r="O5522">
        <v>-0.99980639999999998</v>
      </c>
      <c r="P5522">
        <v>0.23545360000000001</v>
      </c>
      <c r="Q5522">
        <v>3.8975200000000002E-2</v>
      </c>
      <c r="R5522">
        <v>-0.97110399999999997</v>
      </c>
      <c r="S5522">
        <v>0.45452880000000001</v>
      </c>
      <c r="T5522">
        <v>-0.27537869999999998</v>
      </c>
      <c r="U5522">
        <v>-2.9901119999999999</v>
      </c>
      <c r="V5522">
        <v>-0.25049440000000001</v>
      </c>
      <c r="W5522">
        <v>5.0708780000000002E-2</v>
      </c>
      <c r="X5522">
        <v>0.96678909999999996</v>
      </c>
      <c r="Y5522">
        <v>-0.16499249999999999</v>
      </c>
      <c r="Z5522">
        <v>9.0547390000000005E-2</v>
      </c>
      <c r="AA5522">
        <v>0.98212960000000005</v>
      </c>
      <c r="AB5522">
        <v>19</v>
      </c>
      <c r="AC5522">
        <v>1.83499999999997</v>
      </c>
      <c r="AD5522">
        <v>-1.1099085496659999</v>
      </c>
      <c r="AE5522">
        <v>-11.85873</v>
      </c>
      <c r="AF5522">
        <v>-2.0017074232250298</v>
      </c>
      <c r="AG5522">
        <v>-1.1099085496659999</v>
      </c>
      <c r="AH5522">
        <v>11.728483941717901</v>
      </c>
      <c r="AI5522">
        <v>95.329397752405995</v>
      </c>
      <c r="AJ5522">
        <v>99.685384652168494</v>
      </c>
      <c r="AK5522">
        <v>11.9497307571321</v>
      </c>
      <c r="AL5522">
        <v>87.093354314587501</v>
      </c>
      <c r="AM5522">
        <v>104.525868148955</v>
      </c>
      <c r="AN5522">
        <v>0.99999999433962905</v>
      </c>
    </row>
    <row r="5523" spans="1:40" x14ac:dyDescent="0.25">
      <c r="A5523" t="str">
        <f>"20190312151644394"</f>
        <v>20190312151644394</v>
      </c>
      <c r="B5523" t="str">
        <f>"1552375004383696"</f>
        <v>1552375004383696</v>
      </c>
      <c r="C5523" t="s">
        <v>40</v>
      </c>
      <c r="D5523">
        <v>4.7975539999999999</v>
      </c>
      <c r="E5523">
        <v>0.5354835</v>
      </c>
      <c r="F5523" t="s">
        <v>43</v>
      </c>
      <c r="G5523">
        <v>-298.06880000000001</v>
      </c>
      <c r="H5523" s="1">
        <v>-5.646665E-7</v>
      </c>
      <c r="I5523">
        <v>-40.202570000000001</v>
      </c>
      <c r="J5523">
        <v>-299.84829999999999</v>
      </c>
      <c r="K5523">
        <v>1.109869</v>
      </c>
      <c r="L5523">
        <v>-28.736660000000001</v>
      </c>
      <c r="M5523">
        <v>-1.555369E-2</v>
      </c>
      <c r="N5523">
        <v>0</v>
      </c>
      <c r="O5523">
        <v>-0.99980849999999999</v>
      </c>
      <c r="P5523">
        <v>0.23611599999999999</v>
      </c>
      <c r="Q5523">
        <v>3.8951810000000003E-2</v>
      </c>
      <c r="R5523">
        <v>-0.97094409999999998</v>
      </c>
      <c r="S5523">
        <v>0.45114140000000003</v>
      </c>
      <c r="T5523">
        <v>-0.28212799999999999</v>
      </c>
      <c r="U5523">
        <v>-2.9912109999999998</v>
      </c>
      <c r="V5523">
        <v>-0.25118699999999999</v>
      </c>
      <c r="W5523">
        <v>5.0468279999999997E-2</v>
      </c>
      <c r="X5523">
        <v>0.96662199999999998</v>
      </c>
      <c r="Y5523">
        <v>-0.16385529999999901</v>
      </c>
      <c r="Z5523">
        <v>9.2730599999999996E-2</v>
      </c>
      <c r="AA5523">
        <v>0.98211630000000005</v>
      </c>
      <c r="AB5523">
        <v>19</v>
      </c>
      <c r="AC5523">
        <v>1.7794999999999801</v>
      </c>
      <c r="AD5523">
        <v>-1.1098695646665</v>
      </c>
      <c r="AE5523">
        <v>-11.465909999999999</v>
      </c>
      <c r="AF5523">
        <v>-1.9398858116745401</v>
      </c>
      <c r="AG5523">
        <v>-1.1098695646665</v>
      </c>
      <c r="AH5523">
        <v>11.3331521431361</v>
      </c>
      <c r="AI5523">
        <v>95.513529102666396</v>
      </c>
      <c r="AJ5523">
        <v>99.713137497655296</v>
      </c>
      <c r="AK5523">
        <v>11.551420038782201</v>
      </c>
      <c r="AL5523">
        <v>87.107151700634603</v>
      </c>
      <c r="AM5523">
        <v>104.566736153137</v>
      </c>
      <c r="AN5523">
        <v>1.0000000235695701</v>
      </c>
    </row>
    <row r="5524" spans="1:40" x14ac:dyDescent="0.25">
      <c r="A5524" t="str">
        <f>"20190312151644418"</f>
        <v>20190312151644418</v>
      </c>
      <c r="B5524" t="str">
        <f>"1552375004413952"</f>
        <v>1552375004413952</v>
      </c>
      <c r="C5524" t="s">
        <v>40</v>
      </c>
      <c r="D5524">
        <v>4.765028</v>
      </c>
      <c r="E5524">
        <v>0.53583780000000003</v>
      </c>
      <c r="F5524" t="s">
        <v>64</v>
      </c>
      <c r="G5524">
        <v>-298.08969999999999</v>
      </c>
      <c r="H5524" s="1">
        <v>-6.0180909999999998E-7</v>
      </c>
      <c r="I5524">
        <v>-40.55095</v>
      </c>
      <c r="J5524">
        <v>-299.85169999999999</v>
      </c>
      <c r="K5524">
        <v>1.109842</v>
      </c>
      <c r="L5524">
        <v>-28.94821</v>
      </c>
      <c r="M5524">
        <v>-1.5577819999999999E-2</v>
      </c>
      <c r="N5524">
        <v>0</v>
      </c>
      <c r="O5524">
        <v>-0.99980999999999998</v>
      </c>
      <c r="P5524">
        <v>0.23596610000000001</v>
      </c>
      <c r="Q5524">
        <v>3.8732000000000003E-2</v>
      </c>
      <c r="R5524">
        <v>-0.97098949999999995</v>
      </c>
      <c r="S5524">
        <v>0.44549559999999999</v>
      </c>
      <c r="T5524">
        <v>-0.2811438</v>
      </c>
      <c r="U5524">
        <v>-2.9927060000000001</v>
      </c>
      <c r="V5524">
        <v>-0.25106109999999998</v>
      </c>
      <c r="W5524">
        <v>5.0106820000000003E-2</v>
      </c>
      <c r="X5524">
        <v>0.96667349999999996</v>
      </c>
      <c r="Y5524">
        <v>-0.161999</v>
      </c>
      <c r="Z5524">
        <v>9.2391619999999994E-2</v>
      </c>
      <c r="AA5524">
        <v>0.98245610000000005</v>
      </c>
      <c r="AB5524">
        <v>19</v>
      </c>
      <c r="AC5524">
        <v>1.762</v>
      </c>
      <c r="AD5524">
        <v>-1.1098426018091001</v>
      </c>
      <c r="AE5524">
        <v>-11.602740000000001</v>
      </c>
      <c r="AF5524">
        <v>-1.9253251294803</v>
      </c>
      <c r="AG5524">
        <v>-1.1098426018091001</v>
      </c>
      <c r="AH5524">
        <v>11.471290234045201</v>
      </c>
      <c r="AI5524">
        <v>95.450377262174698</v>
      </c>
      <c r="AJ5524">
        <v>99.527641026022295</v>
      </c>
      <c r="AK5524">
        <v>11.684567903380101</v>
      </c>
      <c r="AL5524">
        <v>87.1278880368763</v>
      </c>
      <c r="AM5524">
        <v>104.559002645525</v>
      </c>
      <c r="AN5524">
        <v>1.00000001247298</v>
      </c>
    </row>
    <row r="5525" spans="1:40" x14ac:dyDescent="0.25">
      <c r="A5525" t="str">
        <f>"20190312151644443"</f>
        <v>20190312151644443</v>
      </c>
      <c r="B5525" t="str">
        <f>"1552375004433472"</f>
        <v>1552375004433472</v>
      </c>
      <c r="C5525" t="s">
        <v>40</v>
      </c>
      <c r="D5525">
        <v>4.7709299999999999</v>
      </c>
      <c r="E5525">
        <v>0.53640310000000002</v>
      </c>
      <c r="F5525" t="s">
        <v>64</v>
      </c>
      <c r="G5525">
        <v>-298.14949999999999</v>
      </c>
      <c r="H5525" s="1">
        <v>-5.3280240000000003E-7</v>
      </c>
      <c r="I5525">
        <v>-40.467460000000003</v>
      </c>
      <c r="J5525">
        <v>-299.85489999999999</v>
      </c>
      <c r="K5525">
        <v>1.109828</v>
      </c>
      <c r="L5525">
        <v>-29.152339999999999</v>
      </c>
      <c r="M5525">
        <v>-1.5601159999999999E-2</v>
      </c>
      <c r="N5525">
        <v>0</v>
      </c>
      <c r="O5525">
        <v>-0.99981089999999995</v>
      </c>
      <c r="P5525">
        <v>0.23648569999999999</v>
      </c>
      <c r="Q5525">
        <v>3.8486810000000003E-2</v>
      </c>
      <c r="R5525">
        <v>-0.97087259999999997</v>
      </c>
      <c r="S5525">
        <v>0.44235229999999998</v>
      </c>
      <c r="T5525">
        <v>-0.28842590000000001</v>
      </c>
      <c r="U5525">
        <v>-2.9936219999999998</v>
      </c>
      <c r="V5525">
        <v>-0.25160149999999998</v>
      </c>
      <c r="W5525">
        <v>4.9725350000000001E-2</v>
      </c>
      <c r="X5525">
        <v>0.96655270000000004</v>
      </c>
      <c r="Y5525">
        <v>-0.16093629999999901</v>
      </c>
      <c r="Z5525">
        <v>9.4750230000000005E-2</v>
      </c>
      <c r="AA5525">
        <v>0.98240620000000001</v>
      </c>
      <c r="AB5525">
        <v>19</v>
      </c>
      <c r="AC5525">
        <v>1.70539999999999</v>
      </c>
      <c r="AD5525">
        <v>-1.10982853280239</v>
      </c>
      <c r="AE5525">
        <v>-11.315119999999901</v>
      </c>
      <c r="AF5525">
        <v>-1.8641973221692101</v>
      </c>
      <c r="AG5525">
        <v>-1.10982853280239</v>
      </c>
      <c r="AH5525">
        <v>11.1819491954162</v>
      </c>
      <c r="AI5525">
        <v>95.591472877266497</v>
      </c>
      <c r="AJ5525">
        <v>99.465009966901803</v>
      </c>
      <c r="AK5525">
        <v>11.3904757950261</v>
      </c>
      <c r="AL5525">
        <v>87.149771969500605</v>
      </c>
      <c r="AM5525">
        <v>104.590750189452</v>
      </c>
      <c r="AN5525">
        <v>1.00000002355608</v>
      </c>
    </row>
    <row r="5526" spans="1:40" x14ac:dyDescent="0.25">
      <c r="A5526" t="str">
        <f>"20190312151644466"</f>
        <v>20190312151644466</v>
      </c>
      <c r="B5526" t="str">
        <f>"1552375004463728"</f>
        <v>1552375004463728</v>
      </c>
      <c r="C5526" t="s">
        <v>40</v>
      </c>
      <c r="D5526">
        <v>4.7810550000000003</v>
      </c>
      <c r="E5526">
        <v>0.53667259999999894</v>
      </c>
      <c r="F5526" t="s">
        <v>64</v>
      </c>
      <c r="G5526">
        <v>-298.15129999999999</v>
      </c>
      <c r="H5526" s="1">
        <v>-7.1623419999999999E-7</v>
      </c>
      <c r="I5526">
        <v>-40.75676</v>
      </c>
      <c r="J5526">
        <v>-299.85789999999997</v>
      </c>
      <c r="K5526">
        <v>1.1098129999999999</v>
      </c>
      <c r="L5526">
        <v>-29.34601</v>
      </c>
      <c r="M5526">
        <v>-1.562353E-2</v>
      </c>
      <c r="N5526">
        <v>0</v>
      </c>
      <c r="O5526">
        <v>-0.99981240000000005</v>
      </c>
      <c r="P5526">
        <v>0.23659330000000001</v>
      </c>
      <c r="Q5526">
        <v>3.799951E-2</v>
      </c>
      <c r="R5526">
        <v>-0.97086589999999995</v>
      </c>
      <c r="S5526">
        <v>0.4395752</v>
      </c>
      <c r="T5526">
        <v>-0.2863694</v>
      </c>
      <c r="U5526">
        <v>-2.9942929999999999</v>
      </c>
      <c r="V5526">
        <v>-0.25173040000000002</v>
      </c>
      <c r="W5526">
        <v>4.9111460000000003E-2</v>
      </c>
      <c r="X5526">
        <v>0.96655049999999998</v>
      </c>
      <c r="Y5526">
        <v>-0.16004399999999999</v>
      </c>
      <c r="Z5526">
        <v>9.407314E-2</v>
      </c>
      <c r="AA5526">
        <v>0.98261699999999996</v>
      </c>
      <c r="AB5526">
        <v>19</v>
      </c>
      <c r="AC5526">
        <v>1.7065999999999799</v>
      </c>
      <c r="AD5526">
        <v>-1.1098137162342001</v>
      </c>
      <c r="AE5526">
        <v>-11.41075</v>
      </c>
      <c r="AF5526">
        <v>-1.8674012136374001</v>
      </c>
      <c r="AG5526">
        <v>-1.1098137162342001</v>
      </c>
      <c r="AH5526">
        <v>11.2783381247135</v>
      </c>
      <c r="AI5526">
        <v>95.544927691247494</v>
      </c>
      <c r="AJ5526">
        <v>99.401406472720495</v>
      </c>
      <c r="AK5526">
        <v>11.4856338367894</v>
      </c>
      <c r="AL5526">
        <v>87.184988235890501</v>
      </c>
      <c r="AM5526">
        <v>104.59793786153701</v>
      </c>
      <c r="AN5526">
        <v>0.99999999941886997</v>
      </c>
    </row>
    <row r="5527" spans="1:40" x14ac:dyDescent="0.25">
      <c r="A5527" t="str">
        <f>"20190312151644488"</f>
        <v>20190312151644488</v>
      </c>
      <c r="B5527" t="str">
        <f>"1552375004483248"</f>
        <v>1552375004483248</v>
      </c>
      <c r="C5527" t="s">
        <v>40</v>
      </c>
      <c r="D5527">
        <v>4.8531559999999896</v>
      </c>
      <c r="E5527">
        <v>0.53659590000000001</v>
      </c>
      <c r="F5527" t="s">
        <v>64</v>
      </c>
      <c r="G5527">
        <v>-298.19560000000001</v>
      </c>
      <c r="H5527" s="1">
        <v>-6.8380849999999899E-7</v>
      </c>
      <c r="I5527">
        <v>-40.724319999999999</v>
      </c>
      <c r="J5527">
        <v>-299.86090000000002</v>
      </c>
      <c r="K5527">
        <v>1.1097969999999999</v>
      </c>
      <c r="L5527">
        <v>-29.53314</v>
      </c>
      <c r="M5527">
        <v>-1.5644979999999999E-2</v>
      </c>
      <c r="N5527">
        <v>0</v>
      </c>
      <c r="O5527">
        <v>-0.99981330000000002</v>
      </c>
      <c r="P5527">
        <v>0.23718320000000001</v>
      </c>
      <c r="Q5527">
        <v>3.7294059999999997E-2</v>
      </c>
      <c r="R5527">
        <v>-0.97074910000000003</v>
      </c>
      <c r="S5527">
        <v>0.43753049999999999</v>
      </c>
      <c r="T5527">
        <v>-0.29210999999999998</v>
      </c>
      <c r="U5527">
        <v>-2.9948429999999999</v>
      </c>
      <c r="V5527">
        <v>-0.25233919999999999</v>
      </c>
      <c r="W5527">
        <v>4.8283230000000003E-2</v>
      </c>
      <c r="X5527">
        <v>0.96643349999999995</v>
      </c>
      <c r="Y5527">
        <v>-0.15935669999999999</v>
      </c>
      <c r="Z5527">
        <v>9.5934240000000004E-2</v>
      </c>
      <c r="AA5527">
        <v>0.9825488</v>
      </c>
      <c r="AB5527">
        <v>19</v>
      </c>
      <c r="AC5527">
        <v>1.6653</v>
      </c>
      <c r="AD5527">
        <v>-1.1097976838085</v>
      </c>
      <c r="AE5527">
        <v>-11.1911799999999</v>
      </c>
      <c r="AF5527">
        <v>-1.8226572542489701</v>
      </c>
      <c r="AG5527">
        <v>-1.1097976838085</v>
      </c>
      <c r="AH5527">
        <v>11.0573709117203</v>
      </c>
      <c r="AI5527">
        <v>95.655610056312796</v>
      </c>
      <c r="AJ5527">
        <v>99.360259899889101</v>
      </c>
      <c r="AK5527">
        <v>11.261402303657</v>
      </c>
      <c r="AL5527">
        <v>87.232498761809197</v>
      </c>
      <c r="AM5527">
        <v>104.63342442055099</v>
      </c>
      <c r="AN5527">
        <v>1.00000002603906</v>
      </c>
    </row>
    <row r="5528" spans="1:40" x14ac:dyDescent="0.25">
      <c r="A5528" t="str">
        <f>"20190312151644510"</f>
        <v>20190312151644510</v>
      </c>
      <c r="B5528" t="str">
        <f>"1552375004503744"</f>
        <v>1552375004503744</v>
      </c>
      <c r="C5528" t="s">
        <v>40</v>
      </c>
      <c r="D5528">
        <v>4.8326029999999998</v>
      </c>
      <c r="E5528">
        <v>0.53654559999999996</v>
      </c>
      <c r="F5528" t="s">
        <v>64</v>
      </c>
      <c r="G5528">
        <v>-298.22809999999998</v>
      </c>
      <c r="H5528" s="1">
        <v>-6.2441259999999997E-7</v>
      </c>
      <c r="I5528">
        <v>-40.644449999999999</v>
      </c>
      <c r="J5528">
        <v>-299.86399999999998</v>
      </c>
      <c r="K5528">
        <v>1.109782</v>
      </c>
      <c r="L5528">
        <v>-29.727969999999999</v>
      </c>
      <c r="M5528">
        <v>-1.5668000000000001E-2</v>
      </c>
      <c r="N5528">
        <v>0</v>
      </c>
      <c r="O5528">
        <v>-0.99981450000000005</v>
      </c>
      <c r="P5528">
        <v>0.2381926</v>
      </c>
      <c r="Q5528">
        <v>3.6491089999999997E-2</v>
      </c>
      <c r="R5528">
        <v>-0.97053270000000003</v>
      </c>
      <c r="S5528">
        <v>0.44003300000000001</v>
      </c>
      <c r="T5528">
        <v>-0.29907919999999999</v>
      </c>
      <c r="U5528">
        <v>-2.9943849999999999</v>
      </c>
      <c r="V5528">
        <v>-0.25336740000000002</v>
      </c>
      <c r="W5528">
        <v>4.7355880000000003E-2</v>
      </c>
      <c r="X5528">
        <v>0.96621029999999997</v>
      </c>
      <c r="Y5528">
        <v>-0.1601725</v>
      </c>
      <c r="Z5528">
        <v>9.8203200000000004E-2</v>
      </c>
      <c r="AA5528">
        <v>0.98219190000000001</v>
      </c>
      <c r="AB5528">
        <v>19</v>
      </c>
      <c r="AC5528">
        <v>1.6359000000000401</v>
      </c>
      <c r="AD5528">
        <v>-1.1097826244125999</v>
      </c>
      <c r="AE5528">
        <v>-10.9164799999999</v>
      </c>
      <c r="AF5528">
        <v>-1.78866942106622</v>
      </c>
      <c r="AG5528">
        <v>-1.1097826244125999</v>
      </c>
      <c r="AH5528">
        <v>10.780537170943401</v>
      </c>
      <c r="AI5528">
        <v>95.798783193436506</v>
      </c>
      <c r="AJ5528">
        <v>99.420499603678607</v>
      </c>
      <c r="AK5528">
        <v>10.9841220616578</v>
      </c>
      <c r="AL5528">
        <v>87.285692736461598</v>
      </c>
      <c r="AM5528">
        <v>104.69372341665201</v>
      </c>
      <c r="AN5528">
        <v>0.99999998128971201</v>
      </c>
    </row>
    <row r="5529" spans="1:40" x14ac:dyDescent="0.25">
      <c r="A5529" t="str">
        <f>"20190312151644551"</f>
        <v>20190312151644551</v>
      </c>
      <c r="B5529" t="str">
        <f>"1552375004543760"</f>
        <v>1552375004543760</v>
      </c>
      <c r="C5529" t="s">
        <v>40</v>
      </c>
      <c r="D5529">
        <v>4.8062300000000002</v>
      </c>
      <c r="E5529">
        <v>0.53674160000000004</v>
      </c>
      <c r="F5529" t="s">
        <v>64</v>
      </c>
      <c r="G5529">
        <v>-298.25639999999999</v>
      </c>
      <c r="H5529" s="1">
        <v>-5.8411019999999904E-7</v>
      </c>
      <c r="I5529">
        <v>-40.592910000000003</v>
      </c>
      <c r="J5529">
        <v>-299.86930000000001</v>
      </c>
      <c r="K5529">
        <v>1.109769</v>
      </c>
      <c r="L5529">
        <v>-30.06888</v>
      </c>
      <c r="M5529">
        <v>-1.570792E-2</v>
      </c>
      <c r="N5529">
        <v>0</v>
      </c>
      <c r="O5529">
        <v>-0.99981569999999997</v>
      </c>
      <c r="P5529">
        <v>0.24019979999999999</v>
      </c>
      <c r="Q5529">
        <v>3.5483859999999999E-2</v>
      </c>
      <c r="R5529">
        <v>-0.97007500000000002</v>
      </c>
      <c r="S5529">
        <v>0.44296259999999998</v>
      </c>
      <c r="T5529">
        <v>-0.30580380000000001</v>
      </c>
      <c r="U5529">
        <v>-2.9938660000000001</v>
      </c>
      <c r="V5529">
        <v>-0.25540600000000002</v>
      </c>
      <c r="W5529">
        <v>4.6161760000000003E-2</v>
      </c>
      <c r="X5529">
        <v>0.96573129999999996</v>
      </c>
      <c r="Y5529">
        <v>-0.16114500000000001</v>
      </c>
      <c r="Z5529">
        <v>0.1003908</v>
      </c>
      <c r="AA5529">
        <v>0.98181160000000001</v>
      </c>
      <c r="AB5529">
        <v>19</v>
      </c>
      <c r="AC5529">
        <v>1.61290000000002</v>
      </c>
      <c r="AD5529">
        <v>-1.1097695841102</v>
      </c>
      <c r="AE5529">
        <v>-10.5240299999999</v>
      </c>
      <c r="AF5529">
        <v>-1.7589115875175301</v>
      </c>
      <c r="AG5529">
        <v>-1.1097695841102</v>
      </c>
      <c r="AH5529">
        <v>10.3845691146898</v>
      </c>
      <c r="AI5529">
        <v>96.014859257454702</v>
      </c>
      <c r="AJ5529">
        <v>99.613372827244405</v>
      </c>
      <c r="AK5529">
        <v>10.590780622800599</v>
      </c>
      <c r="AL5529">
        <v>87.354185846222293</v>
      </c>
      <c r="AM5529">
        <v>104.813796088983</v>
      </c>
      <c r="AN5529">
        <v>1.0000000383609899</v>
      </c>
    </row>
    <row r="5530" spans="1:40" x14ac:dyDescent="0.25">
      <c r="A5530" t="str">
        <f>"20190312151644578"</f>
        <v>20190312151644578</v>
      </c>
      <c r="B5530" t="str">
        <f>"1552375004573041"</f>
        <v>1552375004573041</v>
      </c>
      <c r="C5530" t="s">
        <v>40</v>
      </c>
      <c r="D5530">
        <v>4.7980989999999997</v>
      </c>
      <c r="E5530">
        <v>0.53681789999999996</v>
      </c>
      <c r="F5530" t="s">
        <v>64</v>
      </c>
      <c r="G5530">
        <v>-298.30009999999999</v>
      </c>
      <c r="H5530" s="1">
        <v>-5.7131979999999997E-7</v>
      </c>
      <c r="I5530">
        <v>-40.591079999999998</v>
      </c>
      <c r="J5530">
        <v>-299.87310000000002</v>
      </c>
      <c r="K5530">
        <v>1.1097619999999999</v>
      </c>
      <c r="L5530">
        <v>-30.309570000000001</v>
      </c>
      <c r="M5530">
        <v>-1.5735559999999999E-2</v>
      </c>
      <c r="N5530">
        <v>0</v>
      </c>
      <c r="O5530">
        <v>-0.99981640000000005</v>
      </c>
      <c r="P5530">
        <v>0.24116009999999999</v>
      </c>
      <c r="Q5530">
        <v>3.4906340000000001E-2</v>
      </c>
      <c r="R5530">
        <v>-0.96985750000000004</v>
      </c>
      <c r="S5530">
        <v>0.4464417</v>
      </c>
      <c r="T5530">
        <v>-0.31572879999999998</v>
      </c>
      <c r="U5530">
        <v>-2.9935610000000001</v>
      </c>
      <c r="V5530">
        <v>-0.2563897</v>
      </c>
      <c r="W5530">
        <v>4.5474880000000002E-2</v>
      </c>
      <c r="X5530">
        <v>0.96550320000000001</v>
      </c>
      <c r="Y5530">
        <v>-0.16225439999999999</v>
      </c>
      <c r="Z5530">
        <v>0.1036062</v>
      </c>
      <c r="AA5530">
        <v>0.98129469999999996</v>
      </c>
      <c r="AB5530">
        <v>19</v>
      </c>
      <c r="AC5530">
        <v>1.5730000000000299</v>
      </c>
      <c r="AD5530">
        <v>-1.1097625713198001</v>
      </c>
      <c r="AE5530">
        <v>-10.2815099999999</v>
      </c>
      <c r="AF5530">
        <v>-1.71507564937097</v>
      </c>
      <c r="AG5530">
        <v>-1.1097625713198001</v>
      </c>
      <c r="AH5530">
        <v>10.1400482236531</v>
      </c>
      <c r="AI5530">
        <v>96.159003427862601</v>
      </c>
      <c r="AJ5530">
        <v>99.600081673556701</v>
      </c>
      <c r="AK5530">
        <v>10.3437727849068</v>
      </c>
      <c r="AL5530">
        <v>87.393582539442605</v>
      </c>
      <c r="AM5530">
        <v>104.871685985124</v>
      </c>
      <c r="AN5530">
        <v>1.0000000360936701</v>
      </c>
    </row>
    <row r="5531" spans="1:40" x14ac:dyDescent="0.25">
      <c r="A5531" t="str">
        <f>"20190312151644602"</f>
        <v>20190312151644602</v>
      </c>
      <c r="B5531" t="str">
        <f>"1552375004593536"</f>
        <v>1552375004593536</v>
      </c>
      <c r="C5531" t="s">
        <v>40</v>
      </c>
      <c r="D5531">
        <v>4.7981199999999999</v>
      </c>
      <c r="E5531">
        <v>0.53680819999999996</v>
      </c>
      <c r="F5531" t="s">
        <v>64</v>
      </c>
      <c r="G5531">
        <v>-298.32670000000002</v>
      </c>
      <c r="H5531" s="1">
        <v>-5.8607179999999997E-7</v>
      </c>
      <c r="I5531">
        <v>-40.625430000000001</v>
      </c>
      <c r="J5531">
        <v>-299.87630000000001</v>
      </c>
      <c r="K5531">
        <v>1.1097600000000001</v>
      </c>
      <c r="L5531">
        <v>-30.509060000000002</v>
      </c>
      <c r="M5531">
        <v>-1.5756639999999999E-2</v>
      </c>
      <c r="N5531">
        <v>0</v>
      </c>
      <c r="O5531">
        <v>-0.99981739999999997</v>
      </c>
      <c r="P5531">
        <v>0.24238290000000001</v>
      </c>
      <c r="Q5531">
        <v>3.473441E-2</v>
      </c>
      <c r="R5531">
        <v>-0.96955910000000001</v>
      </c>
      <c r="S5531">
        <v>0.44869999999999999</v>
      </c>
      <c r="T5531">
        <v>-0.3220093</v>
      </c>
      <c r="U5531">
        <v>-2.9932560000000001</v>
      </c>
      <c r="V5531">
        <v>-0.25762770000000002</v>
      </c>
      <c r="W5531">
        <v>4.5220990000000003E-2</v>
      </c>
      <c r="X5531">
        <v>0.96518550000000003</v>
      </c>
      <c r="Y5531">
        <v>-0.16298199999999999</v>
      </c>
      <c r="Z5531">
        <v>0.10564229999999999</v>
      </c>
      <c r="AA5531">
        <v>0.98095699999999997</v>
      </c>
      <c r="AB5531">
        <v>19</v>
      </c>
      <c r="AC5531">
        <v>1.5495999999999901</v>
      </c>
      <c r="AD5531">
        <v>-1.1097605860718001</v>
      </c>
      <c r="AE5531">
        <v>-10.11637</v>
      </c>
      <c r="AF5531">
        <v>-1.6889579969169499</v>
      </c>
      <c r="AG5531">
        <v>-1.1097605860718001</v>
      </c>
      <c r="AH5531">
        <v>9.9734275651691302</v>
      </c>
      <c r="AI5531">
        <v>96.260865372265798</v>
      </c>
      <c r="AJ5531">
        <v>99.611610906076805</v>
      </c>
      <c r="AK5531">
        <v>10.1761193522591</v>
      </c>
      <c r="AL5531">
        <v>87.408144276052496</v>
      </c>
      <c r="AM5531">
        <v>104.944989015994</v>
      </c>
      <c r="AN5531">
        <v>1.00000000957706</v>
      </c>
    </row>
    <row r="5532" spans="1:40" x14ac:dyDescent="0.25">
      <c r="A5532" t="str">
        <f>"20190312151644621"</f>
        <v>20190312151644621</v>
      </c>
      <c r="B5532" t="str">
        <f>"1552375004613056"</f>
        <v>1552375004613056</v>
      </c>
      <c r="C5532" t="s">
        <v>40</v>
      </c>
      <c r="D5532">
        <v>4.8189029999999997</v>
      </c>
      <c r="E5532">
        <v>0.53688809999999998</v>
      </c>
      <c r="F5532" t="s">
        <v>64</v>
      </c>
      <c r="G5532">
        <v>-298.31319999999999</v>
      </c>
      <c r="H5532" s="1">
        <v>-7.3689929999999999E-7</v>
      </c>
      <c r="I5532">
        <v>-40.85707</v>
      </c>
      <c r="J5532">
        <v>-299.87909999999999</v>
      </c>
      <c r="K5532">
        <v>1.109753</v>
      </c>
      <c r="L5532">
        <v>-30.686160000000001</v>
      </c>
      <c r="M5532">
        <v>-1.5772649999999999E-2</v>
      </c>
      <c r="N5532">
        <v>0</v>
      </c>
      <c r="O5532">
        <v>-0.99981739999999997</v>
      </c>
      <c r="P5532">
        <v>0.24386450000000001</v>
      </c>
      <c r="Q5532">
        <v>3.5330899999999998E-2</v>
      </c>
      <c r="R5532">
        <v>-0.96916539999999995</v>
      </c>
      <c r="S5532">
        <v>0.45205689999999998</v>
      </c>
      <c r="T5532">
        <v>-0.32094630000000002</v>
      </c>
      <c r="U5532">
        <v>-2.9926759999999999</v>
      </c>
      <c r="V5532">
        <v>-0.25911830000000002</v>
      </c>
      <c r="W5532">
        <v>4.5749730000000002E-2</v>
      </c>
      <c r="X5532">
        <v>0.96476139999999999</v>
      </c>
      <c r="Y5532">
        <v>-0.164107</v>
      </c>
      <c r="Z5532">
        <v>0.1052989</v>
      </c>
      <c r="AA5532">
        <v>0.98080630000000002</v>
      </c>
      <c r="AB5532">
        <v>19</v>
      </c>
      <c r="AC5532">
        <v>1.5658999999999901</v>
      </c>
      <c r="AD5532">
        <v>-1.1097537368993</v>
      </c>
      <c r="AE5532">
        <v>-10.170909999999999</v>
      </c>
      <c r="AF5532">
        <v>-1.7062934559293199</v>
      </c>
      <c r="AG5532">
        <v>-1.1097537368993</v>
      </c>
      <c r="AH5532">
        <v>10.028320855191801</v>
      </c>
      <c r="AI5532">
        <v>96.226009191964494</v>
      </c>
      <c r="AJ5532">
        <v>99.656257384640298</v>
      </c>
      <c r="AK5532">
        <v>10.232800686468201</v>
      </c>
      <c r="AL5532">
        <v>87.377818149031597</v>
      </c>
      <c r="AM5532">
        <v>105.033864823634</v>
      </c>
      <c r="AN5532">
        <v>0.99999994505995904</v>
      </c>
    </row>
    <row r="5533" spans="1:40" x14ac:dyDescent="0.25">
      <c r="A5533" t="str">
        <f>"20190312151644647"</f>
        <v>20190312151644647</v>
      </c>
      <c r="B5533" t="str">
        <f>"1552375004643313"</f>
        <v>1552375004643313</v>
      </c>
      <c r="C5533" t="s">
        <v>40</v>
      </c>
      <c r="D5533">
        <v>4.7662879999999896</v>
      </c>
      <c r="E5533">
        <v>0.53698809999999997</v>
      </c>
      <c r="F5533" t="s">
        <v>64</v>
      </c>
      <c r="G5533">
        <v>-298.3</v>
      </c>
      <c r="H5533" s="1">
        <v>-8.5529259999999898E-7</v>
      </c>
      <c r="I5533">
        <v>-41.03781</v>
      </c>
      <c r="J5533">
        <v>-299.88240000000002</v>
      </c>
      <c r="K5533">
        <v>1.1097600000000001</v>
      </c>
      <c r="L5533">
        <v>-30.895230000000002</v>
      </c>
      <c r="M5533">
        <v>-1.5786049999999999E-2</v>
      </c>
      <c r="N5533">
        <v>0</v>
      </c>
      <c r="O5533">
        <v>-0.99981810000000004</v>
      </c>
      <c r="P5533">
        <v>0.24578900000000001</v>
      </c>
      <c r="Q5533">
        <v>3.5519229999999999E-2</v>
      </c>
      <c r="R5533">
        <v>-0.96867250000000005</v>
      </c>
      <c r="S5533">
        <v>0.45645140000000001</v>
      </c>
      <c r="T5533">
        <v>-0.32078849999999998</v>
      </c>
      <c r="U5533">
        <v>-2.9922789999999999</v>
      </c>
      <c r="V5533">
        <v>-0.26104850000000002</v>
      </c>
      <c r="W5533">
        <v>4.586643E-2</v>
      </c>
      <c r="X5533">
        <v>0.96423539999999996</v>
      </c>
      <c r="Y5533">
        <v>-0.16554820000000001</v>
      </c>
      <c r="Z5533">
        <v>0.1052371</v>
      </c>
      <c r="AA5533">
        <v>0.98057070000000002</v>
      </c>
      <c r="AB5533">
        <v>19</v>
      </c>
      <c r="AC5533">
        <v>1.5824</v>
      </c>
      <c r="AD5533">
        <v>-1.1097608552925999</v>
      </c>
      <c r="AE5533">
        <v>-10.142580000000001</v>
      </c>
      <c r="AF5533">
        <v>-1.72219528318559</v>
      </c>
      <c r="AG5533">
        <v>-1.1097608552925999</v>
      </c>
      <c r="AH5533">
        <v>9.99946709466637</v>
      </c>
      <c r="AI5533">
        <v>96.241728756462194</v>
      </c>
      <c r="AJ5533">
        <v>99.772108170076294</v>
      </c>
      <c r="AK5533">
        <v>10.207196869203701</v>
      </c>
      <c r="AL5533">
        <v>87.371124790629693</v>
      </c>
      <c r="AM5533">
        <v>105.148610082426</v>
      </c>
      <c r="AN5533">
        <v>0.99999997768317705</v>
      </c>
    </row>
    <row r="5534" spans="1:40" x14ac:dyDescent="0.25">
      <c r="A5534" t="str">
        <f>"20190312151644666"</f>
        <v>20190312151644666</v>
      </c>
      <c r="B5534" t="str">
        <f>"1552375004663808"</f>
        <v>1552375004663808</v>
      </c>
      <c r="C5534" t="s">
        <v>40</v>
      </c>
      <c r="D5534">
        <v>4.7505480000000002</v>
      </c>
      <c r="E5534">
        <v>0.53702910000000004</v>
      </c>
      <c r="F5534" t="s">
        <v>64</v>
      </c>
      <c r="G5534">
        <v>-298.29500000000002</v>
      </c>
      <c r="H5534" s="1">
        <v>-9.5402660000000003E-7</v>
      </c>
      <c r="I5534">
        <v>-41.191009999999999</v>
      </c>
      <c r="J5534">
        <v>-299.8852</v>
      </c>
      <c r="K5534">
        <v>1.109764</v>
      </c>
      <c r="L5534">
        <v>-31.06982</v>
      </c>
      <c r="M5534">
        <v>-1.5788110000000001E-2</v>
      </c>
      <c r="N5534">
        <v>0</v>
      </c>
      <c r="O5534">
        <v>-0.99981880000000001</v>
      </c>
      <c r="P5534">
        <v>0.24766630000000001</v>
      </c>
      <c r="Q5534">
        <v>3.5829689999999997E-2</v>
      </c>
      <c r="R5534">
        <v>-0.96818289999999996</v>
      </c>
      <c r="S5534">
        <v>0.46130369999999998</v>
      </c>
      <c r="T5534">
        <v>-0.32247900000000002</v>
      </c>
      <c r="U5534">
        <v>-2.9917910000000001</v>
      </c>
      <c r="V5534">
        <v>-0.26292090000000001</v>
      </c>
      <c r="W5534">
        <v>4.6121750000000003E-2</v>
      </c>
      <c r="X5534">
        <v>0.96371439999999997</v>
      </c>
      <c r="Y5534">
        <v>-0.16711899999999999</v>
      </c>
      <c r="Z5534">
        <v>0.10577540000000001</v>
      </c>
      <c r="AA5534">
        <v>0.98024630000000001</v>
      </c>
      <c r="AB5534">
        <v>19</v>
      </c>
      <c r="AC5534">
        <v>1.5901999999999801</v>
      </c>
      <c r="AD5534">
        <v>-1.1097649540265999</v>
      </c>
      <c r="AE5534">
        <v>-10.12119</v>
      </c>
      <c r="AF5534">
        <v>-1.7295129340826101</v>
      </c>
      <c r="AG5534">
        <v>-1.1097649540265999</v>
      </c>
      <c r="AH5534">
        <v>9.9777519234013194</v>
      </c>
      <c r="AI5534">
        <v>96.254074629204695</v>
      </c>
      <c r="AJ5534">
        <v>99.833764291252393</v>
      </c>
      <c r="AK5534">
        <v>10.1871648012233</v>
      </c>
      <c r="AL5534">
        <v>87.356480672719798</v>
      </c>
      <c r="AM5534">
        <v>105.260082322567</v>
      </c>
      <c r="AN5534">
        <v>1.0000000301236101</v>
      </c>
    </row>
    <row r="5535" spans="1:40" x14ac:dyDescent="0.25">
      <c r="A5535" t="str">
        <f>"20190312151644689"</f>
        <v>20190312151644689</v>
      </c>
      <c r="B5535" t="str">
        <f>"1552375004683329"</f>
        <v>1552375004683329</v>
      </c>
      <c r="C5535" t="s">
        <v>40</v>
      </c>
      <c r="D5535">
        <v>4.7478420000000003</v>
      </c>
      <c r="E5535">
        <v>0.53701709999999903</v>
      </c>
      <c r="F5535" t="s">
        <v>64</v>
      </c>
      <c r="G5535">
        <v>-298.2826</v>
      </c>
      <c r="H5535" s="1">
        <v>-1.045975E-6</v>
      </c>
      <c r="I5535">
        <v>-41.330509999999997</v>
      </c>
      <c r="J5535">
        <v>-299.88819999999998</v>
      </c>
      <c r="K5535">
        <v>1.1097779999999999</v>
      </c>
      <c r="L5535">
        <v>-31.26154</v>
      </c>
      <c r="M5535">
        <v>-1.5763510000000001E-2</v>
      </c>
      <c r="N5535">
        <v>0</v>
      </c>
      <c r="O5535">
        <v>-0.99981949999999997</v>
      </c>
      <c r="P5535">
        <v>0.2493552</v>
      </c>
      <c r="Q5535">
        <v>3.591329E-2</v>
      </c>
      <c r="R5535">
        <v>-0.96774629999999995</v>
      </c>
      <c r="S5535">
        <v>0.4671631</v>
      </c>
      <c r="T5535">
        <v>-0.32350400000000001</v>
      </c>
      <c r="U5535">
        <v>-2.9910580000000002</v>
      </c>
      <c r="V5535">
        <v>-0.26457999999999998</v>
      </c>
      <c r="W5535">
        <v>4.6146520000000003E-2</v>
      </c>
      <c r="X5535">
        <v>0.96325899999999998</v>
      </c>
      <c r="Y5535">
        <v>-0.16900029999999999</v>
      </c>
      <c r="Z5535">
        <v>0.106100399999999</v>
      </c>
      <c r="AA5535">
        <v>0.9798886</v>
      </c>
      <c r="AB5535">
        <v>19</v>
      </c>
      <c r="AC5535">
        <v>1.6055999999999799</v>
      </c>
      <c r="AD5535">
        <v>-1.1097790459749901</v>
      </c>
      <c r="AE5535">
        <v>-10.068969999999901</v>
      </c>
      <c r="AF5535">
        <v>-1.7434772363114801</v>
      </c>
      <c r="AG5535">
        <v>-1.1097790459749901</v>
      </c>
      <c r="AH5535">
        <v>9.9248308078671492</v>
      </c>
      <c r="AI5535">
        <v>96.2847736168262</v>
      </c>
      <c r="AJ5535">
        <v>99.963389096644903</v>
      </c>
      <c r="AK5535">
        <v>10.137730957625999</v>
      </c>
      <c r="AL5535">
        <v>87.355059835785795</v>
      </c>
      <c r="AM5535">
        <v>105.35876279923301</v>
      </c>
      <c r="AN5535">
        <v>0.99999998939455503</v>
      </c>
    </row>
    <row r="5536" spans="1:40" x14ac:dyDescent="0.25">
      <c r="A5536" t="str">
        <f>"20190312151644710"</f>
        <v>20190312151644710</v>
      </c>
      <c r="B5536" t="str">
        <f>"1552375004703825"</f>
        <v>1552375004703825</v>
      </c>
      <c r="C5536" t="s">
        <v>40</v>
      </c>
      <c r="D5536">
        <v>4.7370150000000004</v>
      </c>
      <c r="E5536">
        <v>0.53693259999999998</v>
      </c>
      <c r="F5536" t="s">
        <v>64</v>
      </c>
      <c r="G5536">
        <v>-298.27390000000003</v>
      </c>
      <c r="H5536" s="1">
        <v>-1.1347469999999999E-6</v>
      </c>
      <c r="I5536">
        <v>-41.46651</v>
      </c>
      <c r="J5536">
        <v>-299.89109999999999</v>
      </c>
      <c r="K5536">
        <v>1.109804</v>
      </c>
      <c r="L5536">
        <v>-31.450009999999999</v>
      </c>
      <c r="M5536">
        <v>-1.5687610000000001E-2</v>
      </c>
      <c r="N5536">
        <v>0</v>
      </c>
      <c r="O5536">
        <v>-0.99982090000000001</v>
      </c>
      <c r="P5536">
        <v>0.25097649999999999</v>
      </c>
      <c r="Q5536">
        <v>3.5441689999999998E-2</v>
      </c>
      <c r="R5536">
        <v>-0.96734430000000005</v>
      </c>
      <c r="S5536">
        <v>0.47302250000000001</v>
      </c>
      <c r="T5536">
        <v>-0.32517780000000002</v>
      </c>
      <c r="U5536">
        <v>-2.990173</v>
      </c>
      <c r="V5536">
        <v>-0.26612540000000001</v>
      </c>
      <c r="W5536">
        <v>4.5613019999999997E-2</v>
      </c>
      <c r="X5536">
        <v>0.96285860000000001</v>
      </c>
      <c r="Y5536">
        <v>-0.17083419999999999</v>
      </c>
      <c r="Z5536">
        <v>0.1066411</v>
      </c>
      <c r="AA5536">
        <v>0.97951180000000004</v>
      </c>
      <c r="AB5536">
        <v>19</v>
      </c>
      <c r="AC5536">
        <v>1.61719999999996</v>
      </c>
      <c r="AD5536">
        <v>-1.1098051347469999</v>
      </c>
      <c r="AE5536">
        <v>-10.016500000000001</v>
      </c>
      <c r="AF5536">
        <v>-1.7531693551602101</v>
      </c>
      <c r="AG5536">
        <v>-1.1098051347469999</v>
      </c>
      <c r="AH5536">
        <v>9.8717872521943697</v>
      </c>
      <c r="AI5536">
        <v>96.316351270282993</v>
      </c>
      <c r="AJ5536">
        <v>100.070385897371</v>
      </c>
      <c r="AK5536">
        <v>10.087489964186799</v>
      </c>
      <c r="AL5536">
        <v>87.385659332140094</v>
      </c>
      <c r="AM5536">
        <v>105.450317025079</v>
      </c>
      <c r="AN5536">
        <v>0.99999997985632005</v>
      </c>
    </row>
    <row r="5537" spans="1:40" x14ac:dyDescent="0.25">
      <c r="A5537" t="str">
        <f>"20190312151644736"</f>
        <v>20190312151644736</v>
      </c>
      <c r="B5537" t="str">
        <f>"1552375004723344"</f>
        <v>1552375004723344</v>
      </c>
      <c r="C5537" t="s">
        <v>40</v>
      </c>
      <c r="D5537">
        <v>4.9742319999999998</v>
      </c>
      <c r="E5537">
        <v>0.51670640000000001</v>
      </c>
      <c r="F5537" t="s">
        <v>64</v>
      </c>
      <c r="G5537">
        <v>-298.2758</v>
      </c>
      <c r="H5537" s="1">
        <v>-1.1701E-6</v>
      </c>
      <c r="I5537">
        <v>-41.522959999999998</v>
      </c>
      <c r="J5537">
        <v>-299.89429999999999</v>
      </c>
      <c r="K5537">
        <v>1.109858</v>
      </c>
      <c r="L5537">
        <v>-31.662990000000001</v>
      </c>
      <c r="M5537">
        <v>-1.550468E-2</v>
      </c>
      <c r="N5537">
        <v>0</v>
      </c>
      <c r="O5537">
        <v>-0.9998243</v>
      </c>
      <c r="P5537">
        <v>0.2527895</v>
      </c>
      <c r="Q5537">
        <v>3.5241330000000001E-2</v>
      </c>
      <c r="R5537">
        <v>-0.9668795</v>
      </c>
      <c r="S5537">
        <v>0.47930909999999899</v>
      </c>
      <c r="T5537">
        <v>-0.32931660000000001</v>
      </c>
      <c r="U5537">
        <v>-2.9889830000000002</v>
      </c>
      <c r="V5537">
        <v>-0.26776109999999997</v>
      </c>
      <c r="W5537">
        <v>4.533293E-2</v>
      </c>
      <c r="X5537">
        <v>0.96241829999999995</v>
      </c>
      <c r="Y5537">
        <v>-0.17269989999999999</v>
      </c>
      <c r="Z5537">
        <v>0.10798969999999999</v>
      </c>
      <c r="AA5537">
        <v>0.97903669999999998</v>
      </c>
      <c r="AB5537">
        <v>19</v>
      </c>
      <c r="AC5537">
        <v>1.6184999999999801</v>
      </c>
      <c r="AD5537">
        <v>-1.1098591701</v>
      </c>
      <c r="AE5537">
        <v>-9.8599699999999899</v>
      </c>
      <c r="AF5537">
        <v>-1.7496033459362901</v>
      </c>
      <c r="AG5537">
        <v>-1.1098591701</v>
      </c>
      <c r="AH5537">
        <v>9.7138415687595199</v>
      </c>
      <c r="AI5537">
        <v>96.415734048495693</v>
      </c>
      <c r="AJ5537">
        <v>100.210325955157</v>
      </c>
      <c r="AK5537">
        <v>9.9323520511773502</v>
      </c>
      <c r="AL5537">
        <v>87.401724062493997</v>
      </c>
      <c r="AM5537">
        <v>105.547469459532</v>
      </c>
      <c r="AN5537">
        <v>1.0000000326952401</v>
      </c>
    </row>
    <row r="5538" spans="1:40" x14ac:dyDescent="0.25">
      <c r="A5538" t="str">
        <f>"20190312151644762"</f>
        <v>20190312151644762</v>
      </c>
      <c r="B5538" t="str">
        <f>"1552375004753601"</f>
        <v>1552375004753601</v>
      </c>
      <c r="C5538" t="s">
        <v>40</v>
      </c>
      <c r="D5538">
        <v>4.62608</v>
      </c>
      <c r="E5538">
        <v>0.4461311</v>
      </c>
      <c r="F5538" t="s">
        <v>64</v>
      </c>
      <c r="G5538">
        <v>-296.31760000000003</v>
      </c>
      <c r="H5538" s="1">
        <v>-5.4000979999999997E-6</v>
      </c>
      <c r="I5538">
        <v>-48.16348</v>
      </c>
      <c r="J5538">
        <v>-299.89760000000001</v>
      </c>
      <c r="K5538">
        <v>1.109947</v>
      </c>
      <c r="L5538">
        <v>-31.89676</v>
      </c>
      <c r="M5538">
        <v>-1.5151019999999999E-2</v>
      </c>
      <c r="N5538">
        <v>0</v>
      </c>
      <c r="O5538">
        <v>-0.99983010000000005</v>
      </c>
      <c r="P5538">
        <v>0.25506610000000002</v>
      </c>
      <c r="Q5538">
        <v>3.5179000000000002E-2</v>
      </c>
      <c r="R5538">
        <v>-0.96628380000000003</v>
      </c>
      <c r="S5538">
        <v>0.63797000000000004</v>
      </c>
      <c r="T5538">
        <v>-0.19796530000000001</v>
      </c>
      <c r="U5538">
        <v>-2.9431759999999998</v>
      </c>
      <c r="V5538">
        <v>-0.26969779999999999</v>
      </c>
      <c r="W5538">
        <v>4.5171929999999999E-2</v>
      </c>
      <c r="X5538">
        <v>0.96188490000000004</v>
      </c>
      <c r="Y5538">
        <v>-0.22617129999999999</v>
      </c>
      <c r="Z5538">
        <v>6.547277E-2</v>
      </c>
      <c r="AA5538">
        <v>0.97188470000000005</v>
      </c>
      <c r="AB5538">
        <v>19</v>
      </c>
      <c r="AC5538">
        <v>3.5799999999999801</v>
      </c>
      <c r="AD5538">
        <v>-1.1099524000979999</v>
      </c>
      <c r="AE5538">
        <v>-16.266719999999999</v>
      </c>
      <c r="AF5538">
        <v>-3.80914414476677</v>
      </c>
      <c r="AG5538">
        <v>-1.1099524000979999</v>
      </c>
      <c r="AH5538">
        <v>16.1389382695702</v>
      </c>
      <c r="AI5538">
        <v>93.829420940770405</v>
      </c>
      <c r="AJ5538">
        <v>103.280029147192</v>
      </c>
      <c r="AK5538">
        <v>16.619473575149499</v>
      </c>
      <c r="AL5538">
        <v>87.410958015347106</v>
      </c>
      <c r="AM5538">
        <v>105.662683160504</v>
      </c>
      <c r="AN5538">
        <v>0.99999998371638699</v>
      </c>
    </row>
    <row r="5539" spans="1:40" x14ac:dyDescent="0.25">
      <c r="A5539" t="str">
        <f>"20190312151644786"</f>
        <v>20190312151644786</v>
      </c>
      <c r="B5539" t="str">
        <f>"1552375004783857"</f>
        <v>1552375004783857</v>
      </c>
      <c r="C5539" t="s">
        <v>40</v>
      </c>
      <c r="D5539">
        <v>4.689794</v>
      </c>
      <c r="E5539">
        <v>0.44247779999999998</v>
      </c>
      <c r="F5539" t="s">
        <v>64</v>
      </c>
      <c r="G5539">
        <v>-295.69189999999998</v>
      </c>
      <c r="H5539" s="1">
        <v>-2.01866E-6</v>
      </c>
      <c r="I5539">
        <v>-41.776299999999999</v>
      </c>
      <c r="J5539">
        <v>-299.90030000000002</v>
      </c>
      <c r="K5539">
        <v>1.1100289999999999</v>
      </c>
      <c r="L5539">
        <v>-32.106839999999998</v>
      </c>
      <c r="M5539">
        <v>-1.470601E-2</v>
      </c>
      <c r="N5539">
        <v>0</v>
      </c>
      <c r="O5539">
        <v>-0.99983690000000003</v>
      </c>
      <c r="P5539">
        <v>0.2574149</v>
      </c>
      <c r="Q5539">
        <v>3.5841409999999997E-2</v>
      </c>
      <c r="R5539">
        <v>-0.9656363</v>
      </c>
      <c r="S5539">
        <v>1.1925349999999999</v>
      </c>
      <c r="T5539">
        <v>-0.3147279</v>
      </c>
      <c r="U5539">
        <v>-2.801361</v>
      </c>
      <c r="V5539">
        <v>-0.27161829999999998</v>
      </c>
      <c r="W5539">
        <v>4.57464E-2</v>
      </c>
      <c r="X5539">
        <v>0.96131719999999998</v>
      </c>
      <c r="Y5539">
        <v>-0.40310820000000003</v>
      </c>
      <c r="Z5539">
        <v>0.1024933</v>
      </c>
      <c r="AA5539">
        <v>0.90939479999999995</v>
      </c>
      <c r="AB5539">
        <v>19</v>
      </c>
      <c r="AC5539">
        <v>4.2084000000000401</v>
      </c>
      <c r="AD5539">
        <v>-1.11003101866</v>
      </c>
      <c r="AE5539">
        <v>-9.6694599999999902</v>
      </c>
      <c r="AF5539">
        <v>-4.3024814295667699</v>
      </c>
      <c r="AG5539">
        <v>-1.11003101866</v>
      </c>
      <c r="AH5539">
        <v>9.5012505842392692</v>
      </c>
      <c r="AI5539">
        <v>96.074930532515395</v>
      </c>
      <c r="AJ5539">
        <v>114.362594808331</v>
      </c>
      <c r="AK5539">
        <v>10.4889121446726</v>
      </c>
      <c r="AL5539">
        <v>87.378009278958402</v>
      </c>
      <c r="AM5539">
        <v>105.777535496338</v>
      </c>
      <c r="AN5539">
        <v>0.99999999651184401</v>
      </c>
    </row>
    <row r="5540" spans="1:40" x14ac:dyDescent="0.25">
      <c r="A5540" t="str">
        <f>"20190312151644806"</f>
        <v>20190312151644806</v>
      </c>
      <c r="B5540" t="str">
        <f>"1552375004803377"</f>
        <v>1552375004803377</v>
      </c>
      <c r="C5540" t="s">
        <v>40</v>
      </c>
      <c r="D5540">
        <v>4.6112609999999998</v>
      </c>
      <c r="E5540">
        <v>0.4424458</v>
      </c>
      <c r="F5540" t="s">
        <v>64</v>
      </c>
      <c r="G5540">
        <v>-295.4889</v>
      </c>
      <c r="H5540" s="1">
        <v>-2.303061E-6</v>
      </c>
      <c r="I5540">
        <v>-42.138770000000001</v>
      </c>
      <c r="J5540">
        <v>-299.90230000000003</v>
      </c>
      <c r="K5540">
        <v>1.1101030000000001</v>
      </c>
      <c r="L5540">
        <v>-32.280299999999997</v>
      </c>
      <c r="M5540">
        <v>-1.421674E-2</v>
      </c>
      <c r="N5540">
        <v>0</v>
      </c>
      <c r="O5540">
        <v>-0.99984430000000002</v>
      </c>
      <c r="P5540">
        <v>0.25955250000000002</v>
      </c>
      <c r="Q5540">
        <v>3.6216730000000003E-2</v>
      </c>
      <c r="R5540">
        <v>-0.96504959999999995</v>
      </c>
      <c r="S5540">
        <v>1.227325</v>
      </c>
      <c r="T5540">
        <v>-0.30882859999999901</v>
      </c>
      <c r="U5540">
        <v>-2.7910460000000001</v>
      </c>
      <c r="V5540">
        <v>-0.27328540000000001</v>
      </c>
      <c r="W5540">
        <v>4.6048869999999999E-2</v>
      </c>
      <c r="X5540">
        <v>0.96083019999999997</v>
      </c>
      <c r="Y5540">
        <v>-0.41347129999999999</v>
      </c>
      <c r="Z5540">
        <v>0.1004525</v>
      </c>
      <c r="AA5540">
        <v>0.90495899999999996</v>
      </c>
      <c r="AB5540">
        <v>19</v>
      </c>
      <c r="AC5540">
        <v>4.4134000000000198</v>
      </c>
      <c r="AD5540">
        <v>-1.110105303061</v>
      </c>
      <c r="AE5540">
        <v>-9.8584700000000005</v>
      </c>
      <c r="AF5540">
        <v>-4.5055259896309403</v>
      </c>
      <c r="AG5540">
        <v>-1.110105303061</v>
      </c>
      <c r="AH5540">
        <v>9.6923478118187294</v>
      </c>
      <c r="AI5540">
        <v>95.929536755493302</v>
      </c>
      <c r="AJ5540">
        <v>114.931546072502</v>
      </c>
      <c r="AK5540">
        <v>10.7458691752873</v>
      </c>
      <c r="AL5540">
        <v>87.360660858475399</v>
      </c>
      <c r="AM5540">
        <v>105.877147262276</v>
      </c>
      <c r="AN5540">
        <v>1.00000004075673</v>
      </c>
    </row>
    <row r="5541" spans="1:40" x14ac:dyDescent="0.25">
      <c r="A5541" t="str">
        <f>"20190312151644825"</f>
        <v>20190312151644825</v>
      </c>
      <c r="B5541" t="str">
        <f>"1552375004823872"</f>
        <v>1552375004823872</v>
      </c>
      <c r="C5541" t="s">
        <v>40</v>
      </c>
      <c r="D5541">
        <v>4.5847550000000004</v>
      </c>
      <c r="E5541">
        <v>0.44268730000000001</v>
      </c>
      <c r="F5541" t="s">
        <v>64</v>
      </c>
      <c r="G5541">
        <v>-295.48779999999999</v>
      </c>
      <c r="H5541" s="1">
        <v>-2.379039E-6</v>
      </c>
      <c r="I5541">
        <v>-42.257829999999998</v>
      </c>
      <c r="J5541">
        <v>-299.9042</v>
      </c>
      <c r="K5541">
        <v>1.110185</v>
      </c>
      <c r="L5541">
        <v>-32.456049999999998</v>
      </c>
      <c r="M5541">
        <v>-1.3587699999999999E-2</v>
      </c>
      <c r="N5541">
        <v>0</v>
      </c>
      <c r="O5541">
        <v>-0.99985329999999994</v>
      </c>
      <c r="P5541">
        <v>0.26155479999999998</v>
      </c>
      <c r="Q5541">
        <v>3.6083320000000002E-2</v>
      </c>
      <c r="R5541">
        <v>-0.96451399999999998</v>
      </c>
      <c r="S5541">
        <v>1.233765</v>
      </c>
      <c r="T5541">
        <v>-0.31024829999999998</v>
      </c>
      <c r="U5541">
        <v>-2.7884829999999998</v>
      </c>
      <c r="V5541">
        <v>-0.27468379999999998</v>
      </c>
      <c r="W5541">
        <v>4.5840239999999997E-2</v>
      </c>
      <c r="X5541">
        <v>0.96044130000000005</v>
      </c>
      <c r="Y5541">
        <v>-0.41493530000000001</v>
      </c>
      <c r="Z5541">
        <v>0.1009148</v>
      </c>
      <c r="AA5541">
        <v>0.90423719999999996</v>
      </c>
      <c r="AB5541">
        <v>19</v>
      </c>
      <c r="AC5541">
        <v>4.4164000000000003</v>
      </c>
      <c r="AD5541">
        <v>-1.110187379039</v>
      </c>
      <c r="AE5541">
        <v>-9.8017800000000008</v>
      </c>
      <c r="AF5541">
        <v>-4.5011834327398104</v>
      </c>
      <c r="AG5541">
        <v>-1.110187379039</v>
      </c>
      <c r="AH5541">
        <v>9.6380844802016501</v>
      </c>
      <c r="AI5541">
        <v>95.958210049054301</v>
      </c>
      <c r="AJ5541">
        <v>115.03354083667899</v>
      </c>
      <c r="AK5541">
        <v>10.6951316382386</v>
      </c>
      <c r="AL5541">
        <v>87.372627016751295</v>
      </c>
      <c r="AM5541">
        <v>105.960396493734</v>
      </c>
      <c r="AN5541">
        <v>1.00000000416569</v>
      </c>
    </row>
    <row r="5542" spans="1:40" x14ac:dyDescent="0.25">
      <c r="A5542" t="str">
        <f>"20190312151644848"</f>
        <v>20190312151644848</v>
      </c>
      <c r="B5542" t="str">
        <f>"1552375004843392"</f>
        <v>1552375004843392</v>
      </c>
      <c r="C5542" t="s">
        <v>40</v>
      </c>
      <c r="D5542">
        <v>4.6243239999999997</v>
      </c>
      <c r="E5542">
        <v>0.44270660000000001</v>
      </c>
      <c r="F5542" t="s">
        <v>64</v>
      </c>
      <c r="G5542">
        <v>-295.4676</v>
      </c>
      <c r="H5542" s="1">
        <v>-2.503E-6</v>
      </c>
      <c r="I5542">
        <v>-42.444380000000002</v>
      </c>
      <c r="J5542">
        <v>-299.90589999999997</v>
      </c>
      <c r="K5542">
        <v>1.110279</v>
      </c>
      <c r="L5542">
        <v>-32.643979999999999</v>
      </c>
      <c r="M5542">
        <v>-1.276192E-2</v>
      </c>
      <c r="N5542">
        <v>0</v>
      </c>
      <c r="O5542">
        <v>-0.99986430000000004</v>
      </c>
      <c r="P5542">
        <v>0.26372869999999998</v>
      </c>
      <c r="Q5542">
        <v>3.6275979999999999E-2</v>
      </c>
      <c r="R5542">
        <v>-0.96391470000000001</v>
      </c>
      <c r="S5542">
        <v>1.2376400000000001</v>
      </c>
      <c r="T5542">
        <v>-0.30969819999999998</v>
      </c>
      <c r="U5542">
        <v>-2.786346</v>
      </c>
      <c r="V5542">
        <v>-0.27606750000000002</v>
      </c>
      <c r="W5542">
        <v>4.5949789999999997E-2</v>
      </c>
      <c r="X5542">
        <v>0.96003930000000004</v>
      </c>
      <c r="Y5542">
        <v>-0.41549829999999999</v>
      </c>
      <c r="Z5542">
        <v>0.1007691</v>
      </c>
      <c r="AA5542">
        <v>0.90399490000000005</v>
      </c>
      <c r="AB5542">
        <v>20</v>
      </c>
      <c r="AC5542">
        <v>4.4382999999999697</v>
      </c>
      <c r="AD5542">
        <v>-1.1102815029999999</v>
      </c>
      <c r="AE5542">
        <v>-9.8003999999999891</v>
      </c>
      <c r="AF5542">
        <v>-4.5149321698738198</v>
      </c>
      <c r="AG5542">
        <v>-1.1102815029999999</v>
      </c>
      <c r="AH5542">
        <v>9.6402862499445199</v>
      </c>
      <c r="AI5542">
        <v>95.954366314934006</v>
      </c>
      <c r="AJ5542">
        <v>115.09557487017599</v>
      </c>
      <c r="AK5542">
        <v>10.702918129899601</v>
      </c>
      <c r="AL5542">
        <v>87.366343770924104</v>
      </c>
      <c r="AM5542">
        <v>106.043041312065</v>
      </c>
      <c r="AN5542">
        <v>1.0000000526508901</v>
      </c>
    </row>
    <row r="5543" spans="1:40" x14ac:dyDescent="0.25">
      <c r="A5543" t="str">
        <f>"20190312151644867"</f>
        <v>20190312151644867</v>
      </c>
      <c r="B5543" t="str">
        <f>"1552375004863889"</f>
        <v>1552375004863889</v>
      </c>
      <c r="C5543" t="s">
        <v>40</v>
      </c>
      <c r="D5543">
        <v>4.6453879999999996</v>
      </c>
      <c r="E5543">
        <v>0.44259290000000001</v>
      </c>
      <c r="F5543" t="s">
        <v>64</v>
      </c>
      <c r="G5543">
        <v>-295.63819999999998</v>
      </c>
      <c r="H5543" s="1">
        <v>-2.297889E-6</v>
      </c>
      <c r="I5543">
        <v>-42.19314</v>
      </c>
      <c r="J5543">
        <v>-299.90710000000001</v>
      </c>
      <c r="K5543">
        <v>1.1103639999999999</v>
      </c>
      <c r="L5543">
        <v>-32.813780000000001</v>
      </c>
      <c r="M5543">
        <v>-1.1879860000000001E-2</v>
      </c>
      <c r="N5543">
        <v>0</v>
      </c>
      <c r="O5543">
        <v>-0.99987510000000002</v>
      </c>
      <c r="P5543">
        <v>0.2654474</v>
      </c>
      <c r="Q5543">
        <v>3.5908460000000003E-2</v>
      </c>
      <c r="R5543">
        <v>-0.96345650000000005</v>
      </c>
      <c r="S5543">
        <v>1.244232</v>
      </c>
      <c r="T5543">
        <v>-0.32370260000000001</v>
      </c>
      <c r="U5543">
        <v>-2.7840579999999999</v>
      </c>
      <c r="V5543">
        <v>-0.27694269999999999</v>
      </c>
      <c r="W5543">
        <v>4.5507270000000002E-2</v>
      </c>
      <c r="X5543">
        <v>0.9598082</v>
      </c>
      <c r="Y5543">
        <v>-0.41656709999999902</v>
      </c>
      <c r="Z5543">
        <v>0.1052765</v>
      </c>
      <c r="AA5543">
        <v>0.90298869999999998</v>
      </c>
      <c r="AB5543">
        <v>20</v>
      </c>
      <c r="AC5543">
        <v>4.2689000000000297</v>
      </c>
      <c r="AD5543">
        <v>-1.1103662978890001</v>
      </c>
      <c r="AE5543">
        <v>-9.3793599999999895</v>
      </c>
      <c r="AF5543">
        <v>-4.3297625736747198</v>
      </c>
      <c r="AG5543">
        <v>-1.1103662978890001</v>
      </c>
      <c r="AH5543">
        <v>9.2209282108201993</v>
      </c>
      <c r="AI5543">
        <v>96.220666283236596</v>
      </c>
      <c r="AJ5543">
        <v>115.15278832162601</v>
      </c>
      <c r="AK5543">
        <v>10.2472081236296</v>
      </c>
      <c r="AL5543">
        <v>87.391724648473399</v>
      </c>
      <c r="AM5543">
        <v>106.09494671067</v>
      </c>
      <c r="AN5543">
        <v>0.99999997574669097</v>
      </c>
    </row>
    <row r="5544" spans="1:40" x14ac:dyDescent="0.25">
      <c r="A5544" t="str">
        <f>"20190312151644891"</f>
        <v>20190312151644891</v>
      </c>
      <c r="B5544" t="str">
        <f>"1552375004883409"</f>
        <v>1552375004883409</v>
      </c>
      <c r="C5544" t="s">
        <v>40</v>
      </c>
      <c r="D5544">
        <v>4.6375219999999997</v>
      </c>
      <c r="E5544">
        <v>0.44255670000000003</v>
      </c>
      <c r="F5544" t="s">
        <v>64</v>
      </c>
      <c r="G5544">
        <v>-295.60309999999998</v>
      </c>
      <c r="H5544" s="1">
        <v>-2.4331979999999998E-6</v>
      </c>
      <c r="I5544">
        <v>-42.391330000000004</v>
      </c>
      <c r="J5544">
        <v>-299.90820000000002</v>
      </c>
      <c r="K5544">
        <v>1.110455</v>
      </c>
      <c r="L5544">
        <v>-33.016509999999997</v>
      </c>
      <c r="M5544">
        <v>-1.0676929999999999E-2</v>
      </c>
      <c r="N5544">
        <v>0</v>
      </c>
      <c r="O5544">
        <v>-0.99988880000000002</v>
      </c>
      <c r="P5544">
        <v>0.26772689999999999</v>
      </c>
      <c r="Q5544">
        <v>3.5589929999999999E-2</v>
      </c>
      <c r="R5544">
        <v>-0.96283750000000001</v>
      </c>
      <c r="S5544">
        <v>1.249908</v>
      </c>
      <c r="T5544">
        <v>-0.32246360000000002</v>
      </c>
      <c r="U5544">
        <v>-2.7814329999999998</v>
      </c>
      <c r="V5544">
        <v>-0.27807130000000002</v>
      </c>
      <c r="W5544">
        <v>4.5100950000000001E-2</v>
      </c>
      <c r="X5544">
        <v>0.95950100000000005</v>
      </c>
      <c r="Y5544">
        <v>-0.41734250000000001</v>
      </c>
      <c r="Z5544">
        <v>0.10490910000000001</v>
      </c>
      <c r="AA5544">
        <v>0.90267339999999996</v>
      </c>
      <c r="AB5544">
        <v>20</v>
      </c>
      <c r="AC5544">
        <v>4.3051000000000297</v>
      </c>
      <c r="AD5544">
        <v>-1.1104574331979999</v>
      </c>
      <c r="AE5544">
        <v>-9.3748199999999997</v>
      </c>
      <c r="AF5544">
        <v>-4.3544981611614997</v>
      </c>
      <c r="AG5544">
        <v>-1.1104574331979999</v>
      </c>
      <c r="AH5544">
        <v>9.2214674768660991</v>
      </c>
      <c r="AI5544">
        <v>96.214499360674694</v>
      </c>
      <c r="AJ5544">
        <v>115.277296989365</v>
      </c>
      <c r="AK5544">
        <v>10.2581788039302</v>
      </c>
      <c r="AL5544">
        <v>87.415028947932299</v>
      </c>
      <c r="AM5544">
        <v>106.162024001874</v>
      </c>
      <c r="AN5544">
        <v>0.99999995628779503</v>
      </c>
    </row>
    <row r="5545" spans="1:40" x14ac:dyDescent="0.25">
      <c r="A5545" t="str">
        <f>"20190312151644913"</f>
        <v>20190312151644913</v>
      </c>
      <c r="B5545" t="str">
        <f>"1552375004903905"</f>
        <v>1552375004903905</v>
      </c>
      <c r="C5545" t="s">
        <v>40</v>
      </c>
      <c r="D5545">
        <v>4.6105289999999997</v>
      </c>
      <c r="E5545">
        <v>0.44255119999999998</v>
      </c>
      <c r="F5545" t="s">
        <v>64</v>
      </c>
      <c r="G5545">
        <v>-295.58879999999999</v>
      </c>
      <c r="H5545" s="1">
        <v>-2.5502749999999999E-6</v>
      </c>
      <c r="I5545">
        <v>-42.56953</v>
      </c>
      <c r="J5545">
        <v>-299.90890000000002</v>
      </c>
      <c r="K5545">
        <v>1.110547</v>
      </c>
      <c r="L5545">
        <v>-33.214570000000002</v>
      </c>
      <c r="M5545">
        <v>-9.3434239999999995E-3</v>
      </c>
      <c r="N5545">
        <v>0</v>
      </c>
      <c r="O5545">
        <v>-0.99990239999999997</v>
      </c>
      <c r="P5545">
        <v>0.2704087</v>
      </c>
      <c r="Q5545">
        <v>3.5363329999999998E-2</v>
      </c>
      <c r="R5545">
        <v>-0.96209630000000002</v>
      </c>
      <c r="S5545">
        <v>1.256256</v>
      </c>
      <c r="T5545">
        <v>-0.322966799999999</v>
      </c>
      <c r="U5545">
        <v>-2.7784119999999999</v>
      </c>
      <c r="V5545">
        <v>-0.2794758</v>
      </c>
      <c r="W5545">
        <v>4.4793220000000002E-2</v>
      </c>
      <c r="X5545">
        <v>0.9591073</v>
      </c>
      <c r="Y5545">
        <v>-0.41820400000000002</v>
      </c>
      <c r="Z5545">
        <v>0.1051077</v>
      </c>
      <c r="AA5545">
        <v>0.90225149999999998</v>
      </c>
      <c r="AB5545">
        <v>20</v>
      </c>
      <c r="AC5545">
        <v>4.3201000000000196</v>
      </c>
      <c r="AD5545">
        <v>-1.110549550275</v>
      </c>
      <c r="AE5545">
        <v>-9.3549599999999895</v>
      </c>
      <c r="AF5545">
        <v>-4.3567178787866903</v>
      </c>
      <c r="AG5545">
        <v>-1.110549550275</v>
      </c>
      <c r="AH5545">
        <v>9.2072379287016002</v>
      </c>
      <c r="AI5545">
        <v>96.2222244776829</v>
      </c>
      <c r="AJ5545">
        <v>115.32276467474099</v>
      </c>
      <c r="AK5545">
        <v>10.246342823401701</v>
      </c>
      <c r="AL5545">
        <v>87.432678487626205</v>
      </c>
      <c r="AM5545">
        <v>106.24567848180899</v>
      </c>
      <c r="AN5545">
        <v>0.99999998412844904</v>
      </c>
    </row>
    <row r="5546" spans="1:40" x14ac:dyDescent="0.25">
      <c r="A5546" t="str">
        <f>"20190312151644936"</f>
        <v>20190312151644936</v>
      </c>
      <c r="B5546" t="str">
        <f>"1552375004923425"</f>
        <v>1552375004923425</v>
      </c>
      <c r="C5546" t="s">
        <v>40</v>
      </c>
      <c r="D5546">
        <v>4.7998500000000002</v>
      </c>
      <c r="E5546">
        <v>0.44263209999999997</v>
      </c>
      <c r="F5546" t="s">
        <v>41</v>
      </c>
      <c r="G5546">
        <v>-299.49459999999999</v>
      </c>
      <c r="H5546">
        <v>1.0041089999999999</v>
      </c>
      <c r="I5546">
        <v>-34.124720000000003</v>
      </c>
      <c r="J5546">
        <v>-299.90899999999999</v>
      </c>
      <c r="K5546">
        <v>1.11063</v>
      </c>
      <c r="L5546">
        <v>-33.412140000000001</v>
      </c>
      <c r="M5546">
        <v>-7.8508969999999904E-3</v>
      </c>
      <c r="N5546">
        <v>0</v>
      </c>
      <c r="O5546">
        <v>-0.9999152</v>
      </c>
      <c r="P5546">
        <v>0.27335300000000001</v>
      </c>
      <c r="Q5546">
        <v>3.509748E-2</v>
      </c>
      <c r="R5546">
        <v>-0.96127370000000001</v>
      </c>
      <c r="S5546">
        <v>1.2637940000000001</v>
      </c>
      <c r="T5546">
        <v>-0.32453130000000002</v>
      </c>
      <c r="U5546">
        <v>-2.7749329999999999</v>
      </c>
      <c r="V5546">
        <v>-0.28098980000000001</v>
      </c>
      <c r="W5546">
        <v>4.4455479999999999E-2</v>
      </c>
      <c r="X5546">
        <v>0.95868059999999999</v>
      </c>
      <c r="Y5546">
        <v>-0.4192825</v>
      </c>
      <c r="Z5546">
        <v>0.10564850000000001</v>
      </c>
      <c r="AA5546">
        <v>0.90168760000000003</v>
      </c>
      <c r="AB5546">
        <v>20</v>
      </c>
      <c r="AC5546">
        <v>0.41439999999999999</v>
      </c>
      <c r="AD5546">
        <v>-0.106521</v>
      </c>
      <c r="AE5546">
        <v>-0.71258000000000199</v>
      </c>
      <c r="AF5546">
        <v>-0.41308395848069102</v>
      </c>
      <c r="AG5546">
        <v>-0.106521</v>
      </c>
      <c r="AH5546">
        <v>0.69765452925732596</v>
      </c>
      <c r="AI5546">
        <v>97.484725331169798</v>
      </c>
      <c r="AJ5546">
        <v>120.62994009968099</v>
      </c>
      <c r="AK5546">
        <v>0.817745022845348</v>
      </c>
      <c r="AL5546">
        <v>87.452048965129094</v>
      </c>
      <c r="AM5546">
        <v>106.33588935525501</v>
      </c>
      <c r="AN5546">
        <v>1.00000002511121</v>
      </c>
    </row>
    <row r="5547" spans="1:40" x14ac:dyDescent="0.25">
      <c r="A5547" t="str">
        <f>"20190312151644962"</f>
        <v>20190312151644962</v>
      </c>
      <c r="B5547" t="str">
        <f>"1552375004953681"</f>
        <v>1552375004953681</v>
      </c>
      <c r="C5547" t="s">
        <v>40</v>
      </c>
      <c r="D5547">
        <v>4.6415189999999997</v>
      </c>
      <c r="E5547">
        <v>0.44294480000000003</v>
      </c>
      <c r="F5547" t="s">
        <v>41</v>
      </c>
      <c r="G5547">
        <v>-299.4871</v>
      </c>
      <c r="H5547">
        <v>1.003263</v>
      </c>
      <c r="I5547">
        <v>-34.332039999999999</v>
      </c>
      <c r="J5547">
        <v>-299.90870000000001</v>
      </c>
      <c r="K5547">
        <v>1.1107039999999999</v>
      </c>
      <c r="L5547">
        <v>-33.64667</v>
      </c>
      <c r="M5547">
        <v>-5.9285989999999997E-3</v>
      </c>
      <c r="N5547">
        <v>0</v>
      </c>
      <c r="O5547">
        <v>-0.9999285</v>
      </c>
      <c r="P5547">
        <v>0.27705109999999999</v>
      </c>
      <c r="Q5547">
        <v>3.459301E-2</v>
      </c>
      <c r="R5547">
        <v>-0.96023230000000004</v>
      </c>
      <c r="S5547">
        <v>1.27127099999999</v>
      </c>
      <c r="T5547">
        <v>-0.323438</v>
      </c>
      <c r="U5547">
        <v>-2.7711489999999999</v>
      </c>
      <c r="V5547">
        <v>-0.28284419999999999</v>
      </c>
      <c r="W5547">
        <v>4.388479E-2</v>
      </c>
      <c r="X5547">
        <v>0.95816140000000005</v>
      </c>
      <c r="Y5547">
        <v>-0.42002899999999999</v>
      </c>
      <c r="Z5547">
        <v>0.1053538</v>
      </c>
      <c r="AA5547">
        <v>0.90137460000000003</v>
      </c>
      <c r="AB5547">
        <v>20</v>
      </c>
      <c r="AC5547">
        <v>0.42160000000001202</v>
      </c>
      <c r="AD5547">
        <v>-0.10744099999999999</v>
      </c>
      <c r="AE5547">
        <v>-0.68536999999999804</v>
      </c>
      <c r="AF5547">
        <v>-0.41820021278281799</v>
      </c>
      <c r="AG5547">
        <v>-0.10744099999999999</v>
      </c>
      <c r="AH5547">
        <v>0.67089723415212399</v>
      </c>
      <c r="AI5547">
        <v>97.739304670223106</v>
      </c>
      <c r="AJ5547">
        <v>121.93713031261601</v>
      </c>
      <c r="AK5547">
        <v>0.79783336934823901</v>
      </c>
      <c r="AL5547">
        <v>87.484778954517296</v>
      </c>
      <c r="AM5547">
        <v>106.446322898783</v>
      </c>
      <c r="AN5547">
        <v>0.99999999235847203</v>
      </c>
    </row>
    <row r="5548" spans="1:40" x14ac:dyDescent="0.25">
      <c r="A5548" t="str">
        <f>"20190312151644998"</f>
        <v>20190312151644998</v>
      </c>
      <c r="B5548" t="str">
        <f>"1552375004993697"</f>
        <v>1552375004993697</v>
      </c>
      <c r="C5548" t="s">
        <v>40</v>
      </c>
      <c r="D5548">
        <v>4.6355309999999896</v>
      </c>
      <c r="E5548">
        <v>0.44317770000000001</v>
      </c>
      <c r="F5548" t="s">
        <v>64</v>
      </c>
      <c r="G5548">
        <v>-295.46319999999997</v>
      </c>
      <c r="H5548" s="1">
        <v>-3.0137340000000001E-6</v>
      </c>
      <c r="I5548">
        <v>-43.263840000000002</v>
      </c>
      <c r="J5548">
        <v>-299.90730000000002</v>
      </c>
      <c r="K5548">
        <v>1.1107670000000001</v>
      </c>
      <c r="L5548">
        <v>-33.956359999999997</v>
      </c>
      <c r="M5548">
        <v>-3.1968970000000002E-3</v>
      </c>
      <c r="N5548">
        <v>0</v>
      </c>
      <c r="O5548">
        <v>-0.99994119999999997</v>
      </c>
      <c r="P5548">
        <v>0.28383979999999998</v>
      </c>
      <c r="Q5548">
        <v>3.3804140000000003E-2</v>
      </c>
      <c r="R5548">
        <v>-0.95827600000000002</v>
      </c>
      <c r="S5548">
        <v>1.278931</v>
      </c>
      <c r="T5548">
        <v>-0.31953819999999999</v>
      </c>
      <c r="U5548">
        <v>-2.7667540000000002</v>
      </c>
      <c r="V5548">
        <v>-0.28701179999999998</v>
      </c>
      <c r="W5548">
        <v>4.3022060000000001E-2</v>
      </c>
      <c r="X5548">
        <v>0.95696040000000004</v>
      </c>
      <c r="Y5548">
        <v>-0.42020570000000002</v>
      </c>
      <c r="Z5548">
        <v>0.10418819999999999</v>
      </c>
      <c r="AA5548">
        <v>0.90142770000000005</v>
      </c>
      <c r="AB5548">
        <v>20</v>
      </c>
      <c r="AC5548">
        <v>4.4441000000000397</v>
      </c>
      <c r="AD5548">
        <v>-1.110770013734</v>
      </c>
      <c r="AE5548">
        <v>-9.30748</v>
      </c>
      <c r="AF5548">
        <v>-4.42254032157566</v>
      </c>
      <c r="AG5548">
        <v>-1.110770013734</v>
      </c>
      <c r="AH5548">
        <v>9.1866752118054702</v>
      </c>
      <c r="AI5548">
        <v>96.217517915772703</v>
      </c>
      <c r="AJ5548">
        <v>115.706542836243</v>
      </c>
      <c r="AK5548">
        <v>10.256104249010599</v>
      </c>
      <c r="AL5548">
        <v>87.534256346644796</v>
      </c>
      <c r="AM5548">
        <v>106.695051956112</v>
      </c>
      <c r="AN5548">
        <v>0.99999993907702001</v>
      </c>
    </row>
    <row r="5549" spans="1:40" x14ac:dyDescent="0.25">
      <c r="A5549" t="str">
        <f>"20190312151645027"</f>
        <v>20190312151645027</v>
      </c>
      <c r="B5549" t="str">
        <f>"1552375005022977"</f>
        <v>1552375005022977</v>
      </c>
      <c r="C5549" t="s">
        <v>40</v>
      </c>
      <c r="D5549">
        <v>4.6234000000000002</v>
      </c>
      <c r="E5549">
        <v>0.44301380000000001</v>
      </c>
      <c r="F5549" t="s">
        <v>41</v>
      </c>
      <c r="G5549">
        <v>-299.4785</v>
      </c>
      <c r="H5549">
        <v>1.0058830000000001</v>
      </c>
      <c r="I5549">
        <v>-34.86956</v>
      </c>
      <c r="J5549">
        <v>-299.90530000000001</v>
      </c>
      <c r="K5549">
        <v>1.1107990000000001</v>
      </c>
      <c r="L5549">
        <v>-34.21707</v>
      </c>
      <c r="M5549">
        <v>-7.4662960000000005E-4</v>
      </c>
      <c r="N5549">
        <v>0</v>
      </c>
      <c r="O5549">
        <v>-0.999946</v>
      </c>
      <c r="P5549">
        <v>0.28869430000000001</v>
      </c>
      <c r="Q5549">
        <v>3.4073270000000003E-2</v>
      </c>
      <c r="R5549">
        <v>-0.95681510000000003</v>
      </c>
      <c r="S5549">
        <v>1.295593</v>
      </c>
      <c r="T5549">
        <v>-0.31678089999999998</v>
      </c>
      <c r="U5549">
        <v>-2.758057</v>
      </c>
      <c r="V5549">
        <v>-0.28952319999999998</v>
      </c>
      <c r="W5549">
        <v>4.3242620000000002E-2</v>
      </c>
      <c r="X5549">
        <v>0.95619370000000004</v>
      </c>
      <c r="Y5549">
        <v>-0.423572</v>
      </c>
      <c r="Z5549">
        <v>0.1033835</v>
      </c>
      <c r="AA5549">
        <v>0.89994359999999995</v>
      </c>
      <c r="AB5549">
        <v>20</v>
      </c>
      <c r="AC5549">
        <v>0.426800000000014</v>
      </c>
      <c r="AD5549">
        <v>-0.104915999999999</v>
      </c>
      <c r="AE5549">
        <v>-0.65249000000000001</v>
      </c>
      <c r="AF5549">
        <v>-0.419687723873997</v>
      </c>
      <c r="AG5549">
        <v>-0.104915999999999</v>
      </c>
      <c r="AH5549">
        <v>0.64057219787103703</v>
      </c>
      <c r="AI5549">
        <v>97.800923912779297</v>
      </c>
      <c r="AJ5549">
        <v>123.231866944868</v>
      </c>
      <c r="AK5549">
        <v>0.77296694192692805</v>
      </c>
      <c r="AL5549">
        <v>87.521607567608399</v>
      </c>
      <c r="AM5549">
        <v>106.84563988147499</v>
      </c>
      <c r="AN5549">
        <v>0.99999999972119702</v>
      </c>
    </row>
    <row r="5550" spans="1:40" x14ac:dyDescent="0.25">
      <c r="A5550" t="str">
        <f>"20190312151645065"</f>
        <v>20190312151645065</v>
      </c>
      <c r="B5550" t="str">
        <f>"1552375005053232"</f>
        <v>1552375005053232</v>
      </c>
      <c r="C5550" t="s">
        <v>40</v>
      </c>
      <c r="D5550">
        <v>4.5977600000000001</v>
      </c>
      <c r="E5550">
        <v>0.44299680000000002</v>
      </c>
      <c r="F5550" t="s">
        <v>64</v>
      </c>
      <c r="G5550">
        <v>-295.36149999999998</v>
      </c>
      <c r="H5550" s="1">
        <v>-3.3040169999999999E-6</v>
      </c>
      <c r="I5550">
        <v>-43.75338</v>
      </c>
      <c r="J5550">
        <v>-299.9015</v>
      </c>
      <c r="K5550">
        <v>1.1108340000000001</v>
      </c>
      <c r="L5550">
        <v>-34.552669999999999</v>
      </c>
      <c r="M5550">
        <v>2.55442E-3</v>
      </c>
      <c r="N5550">
        <v>0</v>
      </c>
      <c r="O5550">
        <v>-0.99994300000000003</v>
      </c>
      <c r="P5550">
        <v>0.29683500000000002</v>
      </c>
      <c r="Q5550">
        <v>3.3593640000000001E-2</v>
      </c>
      <c r="R5550">
        <v>-0.95433800000000002</v>
      </c>
      <c r="S5550">
        <v>1.310913</v>
      </c>
      <c r="T5550">
        <v>-0.3204767</v>
      </c>
      <c r="U5550">
        <v>-2.751312</v>
      </c>
      <c r="V5550">
        <v>-0.29451519999999998</v>
      </c>
      <c r="W5550">
        <v>4.269477E-2</v>
      </c>
      <c r="X5550">
        <v>0.9546926</v>
      </c>
      <c r="Y5550">
        <v>-0.42546980000000001</v>
      </c>
      <c r="Z5550">
        <v>0.10463799999999999</v>
      </c>
      <c r="AA5550">
        <v>0.8989028</v>
      </c>
      <c r="AB5550">
        <v>20</v>
      </c>
      <c r="AC5550">
        <v>4.5400000000000196</v>
      </c>
      <c r="AD5550">
        <v>-1.1108373040170001</v>
      </c>
      <c r="AE5550">
        <v>-9.2007100000000008</v>
      </c>
      <c r="AF5550">
        <v>-4.4641506733874197</v>
      </c>
      <c r="AG5550">
        <v>-1.1108373040170001</v>
      </c>
      <c r="AH5550">
        <v>9.1055384713616707</v>
      </c>
      <c r="AI5550">
        <v>96.251224808453102</v>
      </c>
      <c r="AJ5550">
        <v>116.117217418324</v>
      </c>
      <c r="AK5550">
        <v>10.2016386724951</v>
      </c>
      <c r="AL5550">
        <v>87.553026087498097</v>
      </c>
      <c r="AM5550">
        <v>107.14458516577599</v>
      </c>
      <c r="AN5550">
        <v>1.0000000034555701</v>
      </c>
    </row>
    <row r="5551" spans="1:40" x14ac:dyDescent="0.25">
      <c r="A5551" t="str">
        <f>"20190312151645098"</f>
        <v>20190312151645098</v>
      </c>
      <c r="B5551" t="str">
        <f>"1552375005093249"</f>
        <v>1552375005093249</v>
      </c>
      <c r="C5551" t="s">
        <v>40</v>
      </c>
      <c r="D5551">
        <v>4.585699</v>
      </c>
      <c r="E5551">
        <v>0.44307990000000003</v>
      </c>
      <c r="F5551" t="s">
        <v>64</v>
      </c>
      <c r="G5551">
        <v>-295.33699999999999</v>
      </c>
      <c r="H5551" s="1">
        <v>-3.4068020000000002E-6</v>
      </c>
      <c r="I5551">
        <v>-43.931350000000002</v>
      </c>
      <c r="J5551">
        <v>-299.8972</v>
      </c>
      <c r="K5551">
        <v>1.1108819999999999</v>
      </c>
      <c r="L5551">
        <v>-34.840420000000002</v>
      </c>
      <c r="M5551">
        <v>5.5184300000000004E-3</v>
      </c>
      <c r="N5551">
        <v>0</v>
      </c>
      <c r="O5551">
        <v>-0.99993109999999996</v>
      </c>
      <c r="P5551">
        <v>0.30189739999999998</v>
      </c>
      <c r="Q5551">
        <v>3.2581579999999999E-2</v>
      </c>
      <c r="R5551">
        <v>-0.95278410000000002</v>
      </c>
      <c r="S5551">
        <v>1.333618</v>
      </c>
      <c r="T5551">
        <v>-0.3245538</v>
      </c>
      <c r="U5551">
        <v>-2.740173</v>
      </c>
      <c r="V5551">
        <v>-0.29675559999999901</v>
      </c>
      <c r="W5551">
        <v>4.1635699999999998E-2</v>
      </c>
      <c r="X5551">
        <v>0.95404540000000004</v>
      </c>
      <c r="Y5551">
        <v>-0.43018010000000001</v>
      </c>
      <c r="Z5551">
        <v>0.1060315</v>
      </c>
      <c r="AA5551">
        <v>0.89649449999999997</v>
      </c>
      <c r="AB5551">
        <v>20</v>
      </c>
      <c r="AC5551">
        <v>4.5602</v>
      </c>
      <c r="AD5551">
        <v>-1.110885406802</v>
      </c>
      <c r="AE5551">
        <v>-9.0909300000000002</v>
      </c>
      <c r="AF5551">
        <v>-4.45678975146817</v>
      </c>
      <c r="AG5551">
        <v>-1.110885406802</v>
      </c>
      <c r="AH5551">
        <v>9.0084849124219204</v>
      </c>
      <c r="AI5551">
        <v>96.307221113417199</v>
      </c>
      <c r="AJ5551">
        <v>116.323095794644</v>
      </c>
      <c r="AK5551">
        <v>10.111866380306299</v>
      </c>
      <c r="AL5551">
        <v>87.613760388276205</v>
      </c>
      <c r="AM5551">
        <v>107.27829376379201</v>
      </c>
      <c r="AN5551">
        <v>1.0000000214535001</v>
      </c>
    </row>
    <row r="5552" spans="1:40" x14ac:dyDescent="0.25">
      <c r="A5552" t="str">
        <f>"20190312151645131"</f>
        <v>20190312151645131</v>
      </c>
      <c r="B5552" t="str">
        <f>"1552375005123505"</f>
        <v>1552375005123505</v>
      </c>
      <c r="C5552" t="s">
        <v>40</v>
      </c>
      <c r="D5552">
        <v>4.7122519999999897</v>
      </c>
      <c r="E5552">
        <v>0.4429284</v>
      </c>
      <c r="F5552" t="s">
        <v>41</v>
      </c>
      <c r="G5552">
        <v>-299.46890000000002</v>
      </c>
      <c r="H5552">
        <v>1.0068649999999999</v>
      </c>
      <c r="I5552">
        <v>-35.709109999999903</v>
      </c>
      <c r="J5552">
        <v>-299.89179999999999</v>
      </c>
      <c r="K5552">
        <v>1.1109199999999999</v>
      </c>
      <c r="L5552">
        <v>-35.134159999999902</v>
      </c>
      <c r="M5552">
        <v>8.6810919999999996E-3</v>
      </c>
      <c r="N5552">
        <v>0</v>
      </c>
      <c r="O5552">
        <v>-0.99990829999999997</v>
      </c>
      <c r="P5552">
        <v>0.30822660000000002</v>
      </c>
      <c r="Q5552">
        <v>3.10408E-2</v>
      </c>
      <c r="R5552">
        <v>-0.95080659999999895</v>
      </c>
      <c r="S5552">
        <v>1.3477479999999999</v>
      </c>
      <c r="T5552">
        <v>-0.32723980000000003</v>
      </c>
      <c r="U5552">
        <v>-2.7328190000000001</v>
      </c>
      <c r="V5552">
        <v>-0.30008179999999901</v>
      </c>
      <c r="W5552">
        <v>4.0051059999999999E-2</v>
      </c>
      <c r="X5552">
        <v>0.95307229999999998</v>
      </c>
      <c r="Y5552">
        <v>-0.43196820000000002</v>
      </c>
      <c r="Z5552">
        <v>0.10698770000000001</v>
      </c>
      <c r="AA5552">
        <v>0.8955206</v>
      </c>
      <c r="AB5552">
        <v>20</v>
      </c>
      <c r="AC5552">
        <v>0.42289999999997002</v>
      </c>
      <c r="AD5552">
        <v>-0.10405499999999999</v>
      </c>
      <c r="AE5552">
        <v>-0.57495000000000096</v>
      </c>
      <c r="AF5552">
        <v>-0.409195240603205</v>
      </c>
      <c r="AG5552">
        <v>-0.10405499999999999</v>
      </c>
      <c r="AH5552">
        <v>0.56655770015094697</v>
      </c>
      <c r="AI5552">
        <v>98.468498660743194</v>
      </c>
      <c r="AJ5552">
        <v>125.838628570561</v>
      </c>
      <c r="AK5552">
        <v>0.70658036737348195</v>
      </c>
      <c r="AL5552">
        <v>87.704629335939103</v>
      </c>
      <c r="AM5552">
        <v>107.476990535035</v>
      </c>
      <c r="AN5552">
        <v>0.99999999156282604</v>
      </c>
    </row>
    <row r="5553" spans="1:40" x14ac:dyDescent="0.25">
      <c r="A5553" t="str">
        <f>"20190312151645162"</f>
        <v>20190312151645162</v>
      </c>
      <c r="B5553" t="str">
        <f>"1552375005153761"</f>
        <v>1552375005153761</v>
      </c>
      <c r="C5553" t="s">
        <v>40</v>
      </c>
      <c r="D5553">
        <v>4.6485919999999998</v>
      </c>
      <c r="E5553">
        <v>0.4430481</v>
      </c>
      <c r="F5553" t="s">
        <v>64</v>
      </c>
      <c r="G5553">
        <v>-295.3623</v>
      </c>
      <c r="H5553" s="1">
        <v>-3.5226199999999899E-6</v>
      </c>
      <c r="I5553">
        <v>-44.153370000000002</v>
      </c>
      <c r="J5553">
        <v>-299.88569999999999</v>
      </c>
      <c r="K5553">
        <v>1.110978</v>
      </c>
      <c r="L5553">
        <v>-35.40607</v>
      </c>
      <c r="M5553">
        <v>1.17666E-2</v>
      </c>
      <c r="N5553">
        <v>0</v>
      </c>
      <c r="O5553">
        <v>-0.99987669999999995</v>
      </c>
      <c r="P5553">
        <v>0.31247340000000001</v>
      </c>
      <c r="Q5553">
        <v>2.9895580000000001E-2</v>
      </c>
      <c r="R5553">
        <v>-0.94945610000000003</v>
      </c>
      <c r="S5553">
        <v>1.367462</v>
      </c>
      <c r="T5553">
        <v>-0.33538790000000002</v>
      </c>
      <c r="U5553">
        <v>-2.7229000000000001</v>
      </c>
      <c r="V5553">
        <v>-0.30140220000000001</v>
      </c>
      <c r="W5553">
        <v>3.8881819999999997E-2</v>
      </c>
      <c r="X5553">
        <v>0.952704</v>
      </c>
      <c r="Y5553">
        <v>-0.43553930000000002</v>
      </c>
      <c r="Z5553">
        <v>0.1096998</v>
      </c>
      <c r="AA5553">
        <v>0.89346039999999904</v>
      </c>
      <c r="AB5553">
        <v>20</v>
      </c>
      <c r="AC5553">
        <v>4.5233999999999801</v>
      </c>
      <c r="AD5553">
        <v>-1.1109815226199999</v>
      </c>
      <c r="AE5553">
        <v>-8.7472999999999992</v>
      </c>
      <c r="AF5553">
        <v>-4.3646041972053098</v>
      </c>
      <c r="AG5553">
        <v>-1.1109815226199999</v>
      </c>
      <c r="AH5553">
        <v>8.6893277243437002</v>
      </c>
      <c r="AI5553">
        <v>96.517934309617104</v>
      </c>
      <c r="AJ5553">
        <v>116.670140825725</v>
      </c>
      <c r="AK5553">
        <v>9.7871582210013006</v>
      </c>
      <c r="AL5553">
        <v>87.771674104179397</v>
      </c>
      <c r="AM5553">
        <v>107.55554839567699</v>
      </c>
      <c r="AN5553">
        <v>0.99999999685367602</v>
      </c>
    </row>
    <row r="5554" spans="1:40" x14ac:dyDescent="0.25">
      <c r="A5554" t="str">
        <f>"20190312151645187"</f>
        <v>20190312151645187</v>
      </c>
      <c r="B5554" t="str">
        <f>"1552375005183040"</f>
        <v>1552375005183040</v>
      </c>
      <c r="C5554" t="s">
        <v>40</v>
      </c>
      <c r="D5554">
        <v>4.6645029999999998</v>
      </c>
      <c r="E5554">
        <v>0.41957349999999999</v>
      </c>
      <c r="F5554" t="s">
        <v>41</v>
      </c>
      <c r="G5554">
        <v>-299.44450000000001</v>
      </c>
      <c r="H5554">
        <v>1.0023470000000001</v>
      </c>
      <c r="I5554">
        <v>-36.275599999999997</v>
      </c>
      <c r="J5554">
        <v>-299.87990000000002</v>
      </c>
      <c r="K5554">
        <v>1.1110310000000001</v>
      </c>
      <c r="L5554">
        <v>-35.633389999999999</v>
      </c>
      <c r="M5554">
        <v>1.448576E-2</v>
      </c>
      <c r="N5554">
        <v>0</v>
      </c>
      <c r="O5554">
        <v>-0.99984059999999997</v>
      </c>
      <c r="P5554">
        <v>0.31667050000000002</v>
      </c>
      <c r="Q5554">
        <v>2.8711250000000001E-2</v>
      </c>
      <c r="R5554">
        <v>-0.94810130000000004</v>
      </c>
      <c r="S5554">
        <v>1.379089</v>
      </c>
      <c r="T5554">
        <v>-0.33939789999999997</v>
      </c>
      <c r="U5554">
        <v>-2.7165219999999999</v>
      </c>
      <c r="V5554">
        <v>-0.30302760000000001</v>
      </c>
      <c r="W5554">
        <v>3.7665339999999999E-2</v>
      </c>
      <c r="X5554">
        <v>0.95223709999999995</v>
      </c>
      <c r="Y5554">
        <v>-0.43691249999999998</v>
      </c>
      <c r="Z5554">
        <v>0.1110783</v>
      </c>
      <c r="AA5554">
        <v>0.8926193</v>
      </c>
      <c r="AB5554">
        <v>20</v>
      </c>
      <c r="AC5554">
        <v>0.435400000000015</v>
      </c>
      <c r="AD5554">
        <v>-0.108683999999999</v>
      </c>
      <c r="AE5554">
        <v>-0.64220999999999095</v>
      </c>
      <c r="AF5554">
        <v>-0.41785206548621501</v>
      </c>
      <c r="AG5554">
        <v>-0.108683999999999</v>
      </c>
      <c r="AH5554">
        <v>0.63597140893369297</v>
      </c>
      <c r="AI5554">
        <v>98.128290234005604</v>
      </c>
      <c r="AJ5554">
        <v>123.306100115699</v>
      </c>
      <c r="AK5554">
        <v>0.76868211470555403</v>
      </c>
      <c r="AL5554">
        <v>87.841424282282105</v>
      </c>
      <c r="AM5554">
        <v>107.652477353336</v>
      </c>
      <c r="AN5554">
        <v>0.99999994940774095</v>
      </c>
    </row>
    <row r="5555" spans="1:40" x14ac:dyDescent="0.25">
      <c r="A5555" t="str">
        <f>"20190312151645208"</f>
        <v>20190312151645208</v>
      </c>
      <c r="B5555" t="str">
        <f>"1552375005203537"</f>
        <v>1552375005203537</v>
      </c>
      <c r="C5555" t="s">
        <v>40</v>
      </c>
      <c r="D5555">
        <v>4.6359779999999997</v>
      </c>
      <c r="E5555">
        <v>0.41210669999999999</v>
      </c>
      <c r="F5555" t="s">
        <v>41</v>
      </c>
      <c r="G5555">
        <v>-299.42290000000003</v>
      </c>
      <c r="H5555">
        <v>1.005423</v>
      </c>
      <c r="I5555">
        <v>-36.405320000000003</v>
      </c>
      <c r="J5555">
        <v>-299.87439999999998</v>
      </c>
      <c r="K5555">
        <v>1.111086</v>
      </c>
      <c r="L5555">
        <v>-35.823210000000003</v>
      </c>
      <c r="M5555">
        <v>1.6859909999999999E-2</v>
      </c>
      <c r="N5555">
        <v>0</v>
      </c>
      <c r="O5555">
        <v>-0.99980340000000001</v>
      </c>
      <c r="P5555">
        <v>0.3203551</v>
      </c>
      <c r="Q5555">
        <v>2.679658E-2</v>
      </c>
      <c r="R5555">
        <v>-0.94691879999999995</v>
      </c>
      <c r="S5555">
        <v>1.56958</v>
      </c>
      <c r="T5555">
        <v>-0.36268089999999997</v>
      </c>
      <c r="U5555">
        <v>-2.65097</v>
      </c>
      <c r="V5555">
        <v>-0.3044676</v>
      </c>
      <c r="W5555">
        <v>3.5715440000000001E-2</v>
      </c>
      <c r="X5555">
        <v>0.9518529</v>
      </c>
      <c r="Y5555">
        <v>-0.49137570000000003</v>
      </c>
      <c r="Z5555">
        <v>0.1174197</v>
      </c>
      <c r="AA5555">
        <v>0.86299629999999905</v>
      </c>
      <c r="AB5555">
        <v>20</v>
      </c>
      <c r="AC5555">
        <v>0.45149999999995299</v>
      </c>
      <c r="AD5555">
        <v>-0.10566300000000001</v>
      </c>
      <c r="AE5555">
        <v>-0.58211000000000701</v>
      </c>
      <c r="AF5555">
        <v>-0.43271894187391602</v>
      </c>
      <c r="AG5555">
        <v>-0.10566300000000001</v>
      </c>
      <c r="AH5555">
        <v>0.57775418876127205</v>
      </c>
      <c r="AI5555">
        <v>98.327875042157004</v>
      </c>
      <c r="AJ5555">
        <v>126.83200712212199</v>
      </c>
      <c r="AK5555">
        <v>0.729527418851874</v>
      </c>
      <c r="AL5555">
        <v>87.953220781068595</v>
      </c>
      <c r="AM5555">
        <v>107.737828124663</v>
      </c>
      <c r="AN5555">
        <v>1.0000000276712799</v>
      </c>
    </row>
    <row r="5556" spans="1:40" x14ac:dyDescent="0.25">
      <c r="A5556" t="str">
        <f>"20190312151645230"</f>
        <v>20190312151645230</v>
      </c>
      <c r="B5556" t="str">
        <f>"1552375005223057"</f>
        <v>1552375005223057</v>
      </c>
      <c r="C5556" t="s">
        <v>40</v>
      </c>
      <c r="D5556">
        <v>4.592155</v>
      </c>
      <c r="E5556">
        <v>0.40876960000000001</v>
      </c>
      <c r="F5556" t="s">
        <v>41</v>
      </c>
      <c r="G5556">
        <v>-299.4033</v>
      </c>
      <c r="H5556">
        <v>0.99815730000000003</v>
      </c>
      <c r="I5556">
        <v>-36.579169999999998</v>
      </c>
      <c r="J5556">
        <v>-299.8682</v>
      </c>
      <c r="K5556">
        <v>1.1111439999999999</v>
      </c>
      <c r="L5556">
        <v>-36.018159999999902</v>
      </c>
      <c r="M5556">
        <v>1.9409989999999998E-2</v>
      </c>
      <c r="N5556">
        <v>0</v>
      </c>
      <c r="O5556">
        <v>-0.99975670000000005</v>
      </c>
      <c r="P5556">
        <v>0.32368249999999998</v>
      </c>
      <c r="Q5556">
        <v>2.4089849999999999E-2</v>
      </c>
      <c r="R5556">
        <v>-0.94585929999999996</v>
      </c>
      <c r="S5556">
        <v>1.636719</v>
      </c>
      <c r="T5556">
        <v>-0.39223429999999998</v>
      </c>
      <c r="U5556">
        <v>-2.6255489999999999</v>
      </c>
      <c r="V5556">
        <v>-0.30538179999999998</v>
      </c>
      <c r="W5556">
        <v>3.2969520000000002E-2</v>
      </c>
      <c r="X5556">
        <v>0.95165909999999998</v>
      </c>
      <c r="Y5556">
        <v>-0.50820399999999999</v>
      </c>
      <c r="Z5556">
        <v>0.12641559999999999</v>
      </c>
      <c r="AA5556">
        <v>0.85190829999999995</v>
      </c>
      <c r="AB5556">
        <v>20</v>
      </c>
      <c r="AC5556">
        <v>0.46489999999999998</v>
      </c>
      <c r="AD5556">
        <v>-0.1129867</v>
      </c>
      <c r="AE5556">
        <v>-0.56101000000000301</v>
      </c>
      <c r="AF5556">
        <v>-0.44326320808117597</v>
      </c>
      <c r="AG5556">
        <v>-0.1129867</v>
      </c>
      <c r="AH5556">
        <v>0.55654494542420696</v>
      </c>
      <c r="AI5556">
        <v>99.023332442798903</v>
      </c>
      <c r="AJ5556">
        <v>128.535757012402</v>
      </c>
      <c r="AK5556">
        <v>0.72040998208835205</v>
      </c>
      <c r="AL5556">
        <v>88.110643332349497</v>
      </c>
      <c r="AM5556">
        <v>107.791129744397</v>
      </c>
      <c r="AN5556">
        <v>1.0000000378165299</v>
      </c>
    </row>
    <row r="5557" spans="1:40" x14ac:dyDescent="0.25">
      <c r="A5557" t="str">
        <f>"20190312151645252"</f>
        <v>20190312151645252</v>
      </c>
      <c r="B5557" t="str">
        <f>"1552375005243553"</f>
        <v>1552375005243553</v>
      </c>
      <c r="C5557" t="s">
        <v>40</v>
      </c>
      <c r="D5557">
        <v>4.6758459999999999</v>
      </c>
      <c r="E5557">
        <v>0.40790739999999998</v>
      </c>
      <c r="F5557" t="s">
        <v>41</v>
      </c>
      <c r="G5557">
        <v>-299.39580000000001</v>
      </c>
      <c r="H5557">
        <v>0.99523629999999996</v>
      </c>
      <c r="I5557">
        <v>-36.756010000000003</v>
      </c>
      <c r="J5557">
        <v>-299.8614</v>
      </c>
      <c r="K5557">
        <v>1.111213</v>
      </c>
      <c r="L5557">
        <v>-36.212859999999999</v>
      </c>
      <c r="M5557">
        <v>2.2084389999999999E-2</v>
      </c>
      <c r="N5557">
        <v>0</v>
      </c>
      <c r="O5557">
        <v>-0.99970130000000001</v>
      </c>
      <c r="P5557">
        <v>0.32706790000000002</v>
      </c>
      <c r="Q5557">
        <v>2.2647690000000002E-2</v>
      </c>
      <c r="R5557">
        <v>-0.94472979999999995</v>
      </c>
      <c r="S5557">
        <v>1.6713560000000001</v>
      </c>
      <c r="T5557">
        <v>-0.41002729999999998</v>
      </c>
      <c r="U5557">
        <v>-2.6101990000000002</v>
      </c>
      <c r="V5557">
        <v>-0.30624400000000002</v>
      </c>
      <c r="W5557">
        <v>3.1482570000000001E-2</v>
      </c>
      <c r="X5557">
        <v>0.95143230000000001</v>
      </c>
      <c r="Y5557">
        <v>-0.51581100000000002</v>
      </c>
      <c r="Z5557">
        <v>0.1319253</v>
      </c>
      <c r="AA5557">
        <v>0.84648369999999995</v>
      </c>
      <c r="AB5557">
        <v>20</v>
      </c>
      <c r="AC5557">
        <v>0.46559999999999402</v>
      </c>
      <c r="AD5557">
        <v>-0.115976699999999</v>
      </c>
      <c r="AE5557">
        <v>-0.54314999999999702</v>
      </c>
      <c r="AF5557">
        <v>-0.44187756533441103</v>
      </c>
      <c r="AG5557">
        <v>-0.115976699999999</v>
      </c>
      <c r="AH5557">
        <v>0.53913154732509305</v>
      </c>
      <c r="AI5557">
        <v>99.446081335743699</v>
      </c>
      <c r="AJ5557">
        <v>129.338386140669</v>
      </c>
      <c r="AK5557">
        <v>0.70666059958788296</v>
      </c>
      <c r="AL5557">
        <v>88.195883466380096</v>
      </c>
      <c r="AM5557">
        <v>107.842163477816</v>
      </c>
      <c r="AN5557">
        <v>0.99999998061654705</v>
      </c>
    </row>
    <row r="5558" spans="1:40" x14ac:dyDescent="0.25">
      <c r="A5558" t="str">
        <f>"20190312151645271"</f>
        <v>20190312151645271</v>
      </c>
      <c r="B5558" t="str">
        <f>"1552375005263073"</f>
        <v>1552375005263073</v>
      </c>
      <c r="C5558" t="s">
        <v>40</v>
      </c>
      <c r="D5558">
        <v>4.6322150000000004</v>
      </c>
      <c r="E5558">
        <v>0.40707450000000001</v>
      </c>
      <c r="F5558" t="s">
        <v>41</v>
      </c>
      <c r="G5558">
        <v>-299.39359999999999</v>
      </c>
      <c r="H5558">
        <v>0.99752189999999996</v>
      </c>
      <c r="I5558">
        <v>-36.934399999999997</v>
      </c>
      <c r="J5558">
        <v>-299.85469999999998</v>
      </c>
      <c r="K5558">
        <v>1.111278</v>
      </c>
      <c r="L5558">
        <v>-36.386659999999999</v>
      </c>
      <c r="M5558">
        <v>2.458896E-2</v>
      </c>
      <c r="N5558">
        <v>0</v>
      </c>
      <c r="O5558">
        <v>-0.99964260000000005</v>
      </c>
      <c r="P5558">
        <v>0.32926709999999998</v>
      </c>
      <c r="Q5558">
        <v>2.189733E-2</v>
      </c>
      <c r="R5558">
        <v>-0.94398320000000002</v>
      </c>
      <c r="S5558">
        <v>1.6869810000000001</v>
      </c>
      <c r="T5558">
        <v>-0.40989579999999998</v>
      </c>
      <c r="U5558">
        <v>-2.6012879999999998</v>
      </c>
      <c r="V5558">
        <v>-0.30607820000000002</v>
      </c>
      <c r="W5558">
        <v>3.069616E-2</v>
      </c>
      <c r="X5558">
        <v>0.95151140000000001</v>
      </c>
      <c r="Y5558">
        <v>-0.51857449999999905</v>
      </c>
      <c r="Z5558">
        <v>0.13193279999999999</v>
      </c>
      <c r="AA5558">
        <v>0.8447924</v>
      </c>
      <c r="AB5558">
        <v>20</v>
      </c>
      <c r="AC5558">
        <v>0.46109999999998702</v>
      </c>
      <c r="AD5558">
        <v>-0.113756099999999</v>
      </c>
      <c r="AE5558">
        <v>-0.54773999999999701</v>
      </c>
      <c r="AF5558">
        <v>-0.43647350832867798</v>
      </c>
      <c r="AG5558">
        <v>-0.113756099999999</v>
      </c>
      <c r="AH5558">
        <v>0.54515162394761396</v>
      </c>
      <c r="AI5558">
        <v>99.251742317102796</v>
      </c>
      <c r="AJ5558">
        <v>128.682372730536</v>
      </c>
      <c r="AK5558">
        <v>0.70755909071446099</v>
      </c>
      <c r="AL5558">
        <v>88.240963323154801</v>
      </c>
      <c r="AM5558">
        <v>107.83172719727401</v>
      </c>
      <c r="AN5558">
        <v>1.0000000315419699</v>
      </c>
    </row>
    <row r="5559" spans="1:40" x14ac:dyDescent="0.25">
      <c r="A5559" t="str">
        <f>"20190312151645294"</f>
        <v>20190312151645294</v>
      </c>
      <c r="B5559" t="str">
        <f>"1552375005283569"</f>
        <v>1552375005283569</v>
      </c>
      <c r="C5559" t="s">
        <v>40</v>
      </c>
      <c r="D5559">
        <v>4.6515899999999997</v>
      </c>
      <c r="E5559">
        <v>0.40677229999999998</v>
      </c>
      <c r="F5559" t="s">
        <v>41</v>
      </c>
      <c r="G5559">
        <v>-299.38060000000002</v>
      </c>
      <c r="H5559">
        <v>0.99580089999999999</v>
      </c>
      <c r="I5559">
        <v>-37.110399999999998</v>
      </c>
      <c r="J5559">
        <v>-299.84649999999999</v>
      </c>
      <c r="K5559">
        <v>1.111353</v>
      </c>
      <c r="L5559">
        <v>-36.584290000000003</v>
      </c>
      <c r="M5559">
        <v>2.7562050000000001E-2</v>
      </c>
      <c r="N5559">
        <v>0</v>
      </c>
      <c r="O5559">
        <v>-0.99956480000000003</v>
      </c>
      <c r="P5559">
        <v>0.33205509999999999</v>
      </c>
      <c r="Q5559">
        <v>2.1249339999999999E-2</v>
      </c>
      <c r="R5559">
        <v>-0.94302090000000005</v>
      </c>
      <c r="S5559">
        <v>1.6996770000000001</v>
      </c>
      <c r="T5559">
        <v>-0.4139988</v>
      </c>
      <c r="U5559">
        <v>-2.594757</v>
      </c>
      <c r="V5559">
        <v>-0.30606329999999998</v>
      </c>
      <c r="W5559">
        <v>3.0005549999999999E-2</v>
      </c>
      <c r="X5559">
        <v>0.9515382</v>
      </c>
      <c r="Y5559">
        <v>-0.51981169999999999</v>
      </c>
      <c r="Z5559">
        <v>0.13327220000000001</v>
      </c>
      <c r="AA5559">
        <v>0.8438213</v>
      </c>
      <c r="AB5559">
        <v>20</v>
      </c>
      <c r="AC5559">
        <v>0.465899999999976</v>
      </c>
      <c r="AD5559">
        <v>-0.1155521</v>
      </c>
      <c r="AE5559">
        <v>-0.52610999999999497</v>
      </c>
      <c r="AF5559">
        <v>-0.43934304401824897</v>
      </c>
      <c r="AG5559">
        <v>-0.1155521</v>
      </c>
      <c r="AH5559">
        <v>0.52456925676301602</v>
      </c>
      <c r="AI5559">
        <v>99.585364675896699</v>
      </c>
      <c r="AJ5559">
        <v>129.94721979091199</v>
      </c>
      <c r="AK5559">
        <v>0.69393623862897802</v>
      </c>
      <c r="AL5559">
        <v>88.280550563845395</v>
      </c>
      <c r="AM5559">
        <v>107.83044371150299</v>
      </c>
      <c r="AN5559">
        <v>1.0000000113484599</v>
      </c>
    </row>
    <row r="5560" spans="1:40" x14ac:dyDescent="0.25">
      <c r="A5560" t="str">
        <f>"20190312151645315"</f>
        <v>20190312151645315</v>
      </c>
      <c r="B5560" t="str">
        <f>"1552375005304065"</f>
        <v>1552375005304065</v>
      </c>
      <c r="C5560" t="s">
        <v>40</v>
      </c>
      <c r="D5560">
        <v>4.6475679999999997</v>
      </c>
      <c r="E5560">
        <v>0.4068097</v>
      </c>
      <c r="F5560" t="s">
        <v>41</v>
      </c>
      <c r="G5560">
        <v>-299.27850000000001</v>
      </c>
      <c r="H5560">
        <v>0.97397330000000004</v>
      </c>
      <c r="I5560">
        <v>-37.444159999999997</v>
      </c>
      <c r="J5560">
        <v>-299.83760000000001</v>
      </c>
      <c r="K5560">
        <v>1.111423</v>
      </c>
      <c r="L5560">
        <v>-36.778260000000003</v>
      </c>
      <c r="M5560">
        <v>3.0606230000000002E-2</v>
      </c>
      <c r="N5560">
        <v>0</v>
      </c>
      <c r="O5560">
        <v>-0.99947580000000003</v>
      </c>
      <c r="P5560">
        <v>0.33505879999999999</v>
      </c>
      <c r="Q5560">
        <v>2.0519869999999999E-2</v>
      </c>
      <c r="R5560">
        <v>-0.94197370000000002</v>
      </c>
      <c r="S5560">
        <v>1.7099299999999999</v>
      </c>
      <c r="T5560">
        <v>-0.41355239999999999</v>
      </c>
      <c r="U5560">
        <v>-2.58847</v>
      </c>
      <c r="V5560">
        <v>-0.30619960000000002</v>
      </c>
      <c r="W5560">
        <v>2.9241030000000001E-2</v>
      </c>
      <c r="X5560">
        <v>0.95151810000000003</v>
      </c>
      <c r="Y5560">
        <v>-0.52049420000000002</v>
      </c>
      <c r="Z5560">
        <v>0.13321849999999999</v>
      </c>
      <c r="AA5560">
        <v>0.84340890000000002</v>
      </c>
      <c r="AB5560">
        <v>20</v>
      </c>
      <c r="AC5560">
        <v>0.55910000000000004</v>
      </c>
      <c r="AD5560">
        <v>-0.13744970000000001</v>
      </c>
      <c r="AE5560">
        <v>-0.66590000000000005</v>
      </c>
      <c r="AF5560">
        <v>-0.52532854451977895</v>
      </c>
      <c r="AG5560">
        <v>-0.13744970000000001</v>
      </c>
      <c r="AH5560">
        <v>0.66605650972798403</v>
      </c>
      <c r="AI5560">
        <v>99.203697618115697</v>
      </c>
      <c r="AJ5560">
        <v>128.26336294565399</v>
      </c>
      <c r="AK5560">
        <v>0.85935660459926899</v>
      </c>
      <c r="AL5560">
        <v>88.324373486418395</v>
      </c>
      <c r="AM5560">
        <v>107.83823398190199</v>
      </c>
      <c r="AN5560">
        <v>0.99999996375161404</v>
      </c>
    </row>
    <row r="5561" spans="1:40" x14ac:dyDescent="0.25">
      <c r="A5561" t="str">
        <f>"20190312151645339"</f>
        <v>20190312151645339</v>
      </c>
      <c r="B5561" t="str">
        <f>"1552375005333345"</f>
        <v>1552375005333345</v>
      </c>
      <c r="C5561" t="s">
        <v>40</v>
      </c>
      <c r="D5561">
        <v>4.634906</v>
      </c>
      <c r="E5561">
        <v>0.40658889999999998</v>
      </c>
      <c r="F5561" t="s">
        <v>41</v>
      </c>
      <c r="G5561">
        <v>-299.2758</v>
      </c>
      <c r="H5561">
        <v>0.97502120000000003</v>
      </c>
      <c r="I5561">
        <v>-37.62312</v>
      </c>
      <c r="J5561">
        <v>-299.8272</v>
      </c>
      <c r="K5561">
        <v>1.11148799999999</v>
      </c>
      <c r="L5561">
        <v>-36.99033</v>
      </c>
      <c r="M5561">
        <v>3.4044999999999999E-2</v>
      </c>
      <c r="N5561">
        <v>0</v>
      </c>
      <c r="O5561">
        <v>-0.99936440000000004</v>
      </c>
      <c r="P5561">
        <v>0.33829999999999999</v>
      </c>
      <c r="Q5561">
        <v>1.9217379999999999E-2</v>
      </c>
      <c r="R5561">
        <v>-0.94084219999999996</v>
      </c>
      <c r="S5561">
        <v>1.717773</v>
      </c>
      <c r="T5561">
        <v>-0.41701349999999998</v>
      </c>
      <c r="U5561">
        <v>-2.5828859999999998</v>
      </c>
      <c r="V5561">
        <v>-0.30619940000000001</v>
      </c>
      <c r="W5561">
        <v>2.7917399999999998E-2</v>
      </c>
      <c r="X5561">
        <v>0.95155800000000001</v>
      </c>
      <c r="Y5561">
        <v>-0.52009329999999998</v>
      </c>
      <c r="Z5561">
        <v>0.134441</v>
      </c>
      <c r="AA5561">
        <v>0.84346219999999905</v>
      </c>
      <c r="AB5561">
        <v>20</v>
      </c>
      <c r="AC5561">
        <v>0.551400000000001</v>
      </c>
      <c r="AD5561">
        <v>-0.136466799999999</v>
      </c>
      <c r="AE5561">
        <v>-0.63278999999999996</v>
      </c>
      <c r="AF5561">
        <v>-0.51589755021872097</v>
      </c>
      <c r="AG5561">
        <v>-0.136466799999999</v>
      </c>
      <c r="AH5561">
        <v>0.63442498203628594</v>
      </c>
      <c r="AI5561">
        <v>99.474745886707097</v>
      </c>
      <c r="AJ5561">
        <v>129.117093458108</v>
      </c>
      <c r="AK5561">
        <v>0.82901660276236899</v>
      </c>
      <c r="AL5561">
        <v>88.400243020606098</v>
      </c>
      <c r="AM5561">
        <v>107.837522493479</v>
      </c>
      <c r="AN5561">
        <v>1.0000000405735501</v>
      </c>
    </row>
    <row r="5562" spans="1:40" x14ac:dyDescent="0.25">
      <c r="A5562" t="str">
        <f>"20190312151645362"</f>
        <v>20190312151645362</v>
      </c>
      <c r="B5562" t="str">
        <f>"1552375005353841"</f>
        <v>1552375005353841</v>
      </c>
      <c r="C5562" t="s">
        <v>40</v>
      </c>
      <c r="D5562">
        <v>4.6586460000000001</v>
      </c>
      <c r="E5562">
        <v>0.406939</v>
      </c>
      <c r="F5562" t="s">
        <v>41</v>
      </c>
      <c r="G5562">
        <v>-299.2808</v>
      </c>
      <c r="H5562">
        <v>0.97963210000000001</v>
      </c>
      <c r="I5562">
        <v>-37.804290000000002</v>
      </c>
      <c r="J5562">
        <v>-299.81610000000001</v>
      </c>
      <c r="K5562">
        <v>1.111532</v>
      </c>
      <c r="L5562">
        <v>-37.198639999999997</v>
      </c>
      <c r="M5562">
        <v>3.7522449999999999E-2</v>
      </c>
      <c r="N5562">
        <v>0</v>
      </c>
      <c r="O5562">
        <v>-0.99923949999999995</v>
      </c>
      <c r="P5562">
        <v>0.34168029999999999</v>
      </c>
      <c r="Q5562">
        <v>1.8042590000000001E-2</v>
      </c>
      <c r="R5562">
        <v>-0.93964340000000002</v>
      </c>
      <c r="S5562">
        <v>1.728882</v>
      </c>
      <c r="T5562">
        <v>-0.41721009999999997</v>
      </c>
      <c r="U5562">
        <v>-2.5754999999999999</v>
      </c>
      <c r="V5562">
        <v>-0.30630689999999999</v>
      </c>
      <c r="W5562">
        <v>2.672861E-2</v>
      </c>
      <c r="X5562">
        <v>0.95155749999999995</v>
      </c>
      <c r="Y5562">
        <v>-0.52074709999999902</v>
      </c>
      <c r="Z5562">
        <v>0.1346185</v>
      </c>
      <c r="AA5562">
        <v>0.84303050000000002</v>
      </c>
      <c r="AB5562">
        <v>20</v>
      </c>
      <c r="AC5562">
        <v>0.53530000000000599</v>
      </c>
      <c r="AD5562">
        <v>-0.13189989999999899</v>
      </c>
      <c r="AE5562">
        <v>-0.60564999999999702</v>
      </c>
      <c r="AF5562">
        <v>-0.498911257763135</v>
      </c>
      <c r="AG5562">
        <v>-0.13189989999999899</v>
      </c>
      <c r="AH5562">
        <v>0.60909148462395901</v>
      </c>
      <c r="AI5562">
        <v>99.510214963046707</v>
      </c>
      <c r="AJ5562">
        <v>129.32115434683999</v>
      </c>
      <c r="AK5562">
        <v>0.79831225932226701</v>
      </c>
      <c r="AL5562">
        <v>88.468381057032801</v>
      </c>
      <c r="AM5562">
        <v>107.843396580209</v>
      </c>
      <c r="AN5562">
        <v>1.0000000056931899</v>
      </c>
    </row>
    <row r="5563" spans="1:40" x14ac:dyDescent="0.25">
      <c r="A5563" t="str">
        <f>"20190312151645389"</f>
        <v>20190312151645389</v>
      </c>
      <c r="B5563" t="str">
        <f>"1552375005383121"</f>
        <v>1552375005383121</v>
      </c>
      <c r="C5563" t="s">
        <v>40</v>
      </c>
      <c r="D5563">
        <v>4.6538959999999996</v>
      </c>
      <c r="E5563">
        <v>0.40702250000000001</v>
      </c>
      <c r="F5563" t="s">
        <v>41</v>
      </c>
      <c r="G5563">
        <v>-299.28460000000001</v>
      </c>
      <c r="H5563">
        <v>0.98407900000000004</v>
      </c>
      <c r="I5563">
        <v>-37.985500000000002</v>
      </c>
      <c r="J5563">
        <v>-299.8021</v>
      </c>
      <c r="K5563">
        <v>1.1115809999999999</v>
      </c>
      <c r="L5563">
        <v>-37.442050000000002</v>
      </c>
      <c r="M5563">
        <v>4.1704169999999999E-2</v>
      </c>
      <c r="N5563">
        <v>0</v>
      </c>
      <c r="O5563">
        <v>-0.99907360000000001</v>
      </c>
      <c r="P5563">
        <v>0.34602709999999998</v>
      </c>
      <c r="Q5563">
        <v>1.7756290000000001E-2</v>
      </c>
      <c r="R5563">
        <v>-0.93805680000000002</v>
      </c>
      <c r="S5563">
        <v>1.736084</v>
      </c>
      <c r="T5563">
        <v>-0.41620469999999998</v>
      </c>
      <c r="U5563">
        <v>-2.5694270000000001</v>
      </c>
      <c r="V5563">
        <v>-0.30673129999999998</v>
      </c>
      <c r="W5563">
        <v>2.64245E-2</v>
      </c>
      <c r="X5563">
        <v>0.95142919999999997</v>
      </c>
      <c r="Y5563">
        <v>-0.51974509999999996</v>
      </c>
      <c r="Z5563">
        <v>0.1344747</v>
      </c>
      <c r="AA5563">
        <v>0.84367159999999997</v>
      </c>
      <c r="AB5563">
        <v>20</v>
      </c>
      <c r="AC5563">
        <v>0.51749999999998397</v>
      </c>
      <c r="AD5563">
        <v>-0.12750199999999901</v>
      </c>
      <c r="AE5563">
        <v>-0.54344999999999999</v>
      </c>
      <c r="AF5563">
        <v>-0.48051294238071701</v>
      </c>
      <c r="AG5563">
        <v>-0.12750199999999901</v>
      </c>
      <c r="AH5563">
        <v>0.54871990779336399</v>
      </c>
      <c r="AI5563">
        <v>99.915694330801998</v>
      </c>
      <c r="AJ5563">
        <v>131.20856890462301</v>
      </c>
      <c r="AK5563">
        <v>0.74043432187340796</v>
      </c>
      <c r="AL5563">
        <v>88.485811324070397</v>
      </c>
      <c r="AM5563">
        <v>107.86880459113399</v>
      </c>
      <c r="AN5563">
        <v>0.99999993360628703</v>
      </c>
    </row>
    <row r="5564" spans="1:40" x14ac:dyDescent="0.25">
      <c r="A5564" t="str">
        <f>"20190312151645421"</f>
        <v>20190312151645421</v>
      </c>
      <c r="B5564" t="str">
        <f>"1552375005413377"</f>
        <v>1552375005413377</v>
      </c>
      <c r="C5564" t="s">
        <v>40</v>
      </c>
      <c r="D5564">
        <v>4.6052749999999998</v>
      </c>
      <c r="E5564">
        <v>0.40672609999999998</v>
      </c>
      <c r="F5564" t="s">
        <v>41</v>
      </c>
      <c r="G5564">
        <v>-299.30470000000003</v>
      </c>
      <c r="H5564">
        <v>0.99341049999999997</v>
      </c>
      <c r="I5564">
        <v>-38.171300000000002</v>
      </c>
      <c r="J5564">
        <v>-299.78449999999998</v>
      </c>
      <c r="K5564">
        <v>1.111653</v>
      </c>
      <c r="L5564">
        <v>-37.722140000000003</v>
      </c>
      <c r="M5564">
        <v>4.6677940000000001E-2</v>
      </c>
      <c r="N5564">
        <v>0</v>
      </c>
      <c r="O5564">
        <v>-0.99885310000000005</v>
      </c>
      <c r="P5564">
        <v>0.35083429999999999</v>
      </c>
      <c r="Q5564">
        <v>2.0300950000000002E-2</v>
      </c>
      <c r="R5564">
        <v>-0.93621779999999999</v>
      </c>
      <c r="S5564">
        <v>1.7473749999999999</v>
      </c>
      <c r="T5564">
        <v>-0.41506520000000002</v>
      </c>
      <c r="U5564">
        <v>-2.561401</v>
      </c>
      <c r="V5564">
        <v>-0.3068941</v>
      </c>
      <c r="W5564">
        <v>2.8946E-2</v>
      </c>
      <c r="X5564">
        <v>0.95130340000000002</v>
      </c>
      <c r="Y5564">
        <v>-0.51929190000000003</v>
      </c>
      <c r="Z5564">
        <v>0.13428109999999999</v>
      </c>
      <c r="AA5564">
        <v>0.84398139999999999</v>
      </c>
      <c r="AB5564">
        <v>20</v>
      </c>
      <c r="AC5564">
        <v>0.47979999999995399</v>
      </c>
      <c r="AD5564">
        <v>-0.1182425</v>
      </c>
      <c r="AE5564">
        <v>-0.449159999999999</v>
      </c>
      <c r="AF5564">
        <v>-0.44394059204507202</v>
      </c>
      <c r="AG5564">
        <v>-0.1182425</v>
      </c>
      <c r="AH5564">
        <v>0.45629840406645</v>
      </c>
      <c r="AI5564">
        <v>100.52183955296</v>
      </c>
      <c r="AJ5564">
        <v>134.21353550947299</v>
      </c>
      <c r="AK5564">
        <v>0.64751275788602702</v>
      </c>
      <c r="AL5564">
        <v>88.341284694897695</v>
      </c>
      <c r="AM5564">
        <v>107.87989866994</v>
      </c>
      <c r="AN5564">
        <v>1.00000000919118</v>
      </c>
    </row>
    <row r="5565" spans="1:40" x14ac:dyDescent="0.25">
      <c r="A5565" t="str">
        <f>"20190312151645449"</f>
        <v>20190312151645449</v>
      </c>
      <c r="B5565" t="str">
        <f>"1552375005443633"</f>
        <v>1552375005443633</v>
      </c>
      <c r="C5565" t="s">
        <v>40</v>
      </c>
      <c r="D5565">
        <v>4.7440740000000003</v>
      </c>
      <c r="E5565">
        <v>0.4068329</v>
      </c>
      <c r="F5565" t="s">
        <v>41</v>
      </c>
      <c r="G5565">
        <v>-299.23649999999998</v>
      </c>
      <c r="H5565">
        <v>0.98542980000000002</v>
      </c>
      <c r="I5565">
        <v>-38.51538</v>
      </c>
      <c r="J5565">
        <v>-299.7672</v>
      </c>
      <c r="K5565">
        <v>1.1117159999999999</v>
      </c>
      <c r="L5565">
        <v>-37.976140000000001</v>
      </c>
      <c r="M5565">
        <v>5.1304710000000003E-2</v>
      </c>
      <c r="N5565">
        <v>0</v>
      </c>
      <c r="O5565">
        <v>-0.99862589999999996</v>
      </c>
      <c r="P5565">
        <v>0.35452129999999998</v>
      </c>
      <c r="Q5565">
        <v>2.07227E-2</v>
      </c>
      <c r="R5565">
        <v>-0.93481829999999999</v>
      </c>
      <c r="S5565">
        <v>1.7633669999999999</v>
      </c>
      <c r="T5565">
        <v>-0.40614630000000002</v>
      </c>
      <c r="U5565">
        <v>-2.5523989999999999</v>
      </c>
      <c r="V5565">
        <v>-0.30624259999999998</v>
      </c>
      <c r="W5565">
        <v>2.9350660000000001E-2</v>
      </c>
      <c r="X5565">
        <v>0.95150089999999998</v>
      </c>
      <c r="Y5565">
        <v>-0.5205322</v>
      </c>
      <c r="Z5565">
        <v>0.13152169999999999</v>
      </c>
      <c r="AA5565">
        <v>0.84365179999999995</v>
      </c>
      <c r="AB5565">
        <v>20</v>
      </c>
      <c r="AC5565">
        <v>0.53070000000002404</v>
      </c>
      <c r="AD5565">
        <v>-0.12628619999999899</v>
      </c>
      <c r="AE5565">
        <v>-0.53923999999999905</v>
      </c>
      <c r="AF5565">
        <v>-0.488717761232284</v>
      </c>
      <c r="AG5565">
        <v>-0.12628619999999899</v>
      </c>
      <c r="AH5565">
        <v>0.55042343152780904</v>
      </c>
      <c r="AI5565">
        <v>99.735244341394207</v>
      </c>
      <c r="AJ5565">
        <v>131.60168634040201</v>
      </c>
      <c r="AK5565">
        <v>0.74683278478464299</v>
      </c>
      <c r="AL5565">
        <v>88.318089474962704</v>
      </c>
      <c r="AM5565">
        <v>107.840882283578</v>
      </c>
      <c r="AN5565">
        <v>0.999999976999002</v>
      </c>
    </row>
    <row r="5566" spans="1:40" x14ac:dyDescent="0.25">
      <c r="A5566" t="str">
        <f>"20190312151645470"</f>
        <v>20190312151645470</v>
      </c>
      <c r="B5566" t="str">
        <f>"1552375005463153"</f>
        <v>1552375005463153</v>
      </c>
      <c r="C5566" t="s">
        <v>40</v>
      </c>
      <c r="D5566">
        <v>4.69733</v>
      </c>
      <c r="E5566">
        <v>0.44236170000000002</v>
      </c>
      <c r="F5566" t="s">
        <v>41</v>
      </c>
      <c r="G5566">
        <v>-299.26080000000002</v>
      </c>
      <c r="H5566">
        <v>0.99647280000000005</v>
      </c>
      <c r="I5566">
        <v>-38.703400000000002</v>
      </c>
      <c r="J5566">
        <v>-299.75310000000002</v>
      </c>
      <c r="K5566">
        <v>1.1117520000000001</v>
      </c>
      <c r="L5566">
        <v>-38.170200000000001</v>
      </c>
      <c r="M5566">
        <v>5.490884E-2</v>
      </c>
      <c r="N5566">
        <v>0</v>
      </c>
      <c r="O5566">
        <v>-0.99843400000000004</v>
      </c>
      <c r="P5566">
        <v>0.35668800000000001</v>
      </c>
      <c r="Q5566">
        <v>1.9701030000000001E-2</v>
      </c>
      <c r="R5566">
        <v>-0.93401590000000001</v>
      </c>
      <c r="S5566">
        <v>1.77328499999999</v>
      </c>
      <c r="T5566">
        <v>-0.40341630000000001</v>
      </c>
      <c r="U5566">
        <v>-2.5455930000000002</v>
      </c>
      <c r="V5566">
        <v>-0.30501099999999998</v>
      </c>
      <c r="W5566">
        <v>2.832494E-2</v>
      </c>
      <c r="X5566">
        <v>0.95192750000000004</v>
      </c>
      <c r="Y5566">
        <v>-0.5207908</v>
      </c>
      <c r="Z5566">
        <v>0.1307576</v>
      </c>
      <c r="AA5566">
        <v>0.84361090000000005</v>
      </c>
      <c r="AB5566">
        <v>20</v>
      </c>
      <c r="AC5566">
        <v>0.49230000000000002</v>
      </c>
      <c r="AD5566">
        <v>-0.1152792</v>
      </c>
      <c r="AE5566">
        <v>-0.53320000000000001</v>
      </c>
      <c r="AF5566">
        <v>-0.45090053584532702</v>
      </c>
      <c r="AG5566">
        <v>-0.1152792</v>
      </c>
      <c r="AH5566">
        <v>0.545659993900248</v>
      </c>
      <c r="AI5566">
        <v>99.249841463144307</v>
      </c>
      <c r="AJ5566">
        <v>129.56827548635999</v>
      </c>
      <c r="AK5566">
        <v>0.71717878950890701</v>
      </c>
      <c r="AL5566">
        <v>88.376883377156105</v>
      </c>
      <c r="AM5566">
        <v>107.76619170859099</v>
      </c>
      <c r="AN5566">
        <v>0.99999998880162599</v>
      </c>
    </row>
    <row r="5567" spans="1:40" x14ac:dyDescent="0.25">
      <c r="A5567" t="str">
        <f>"20190312151645495"</f>
        <v>20190312151645495</v>
      </c>
      <c r="B5567" t="str">
        <f>"1552375005483649"</f>
        <v>1552375005483649</v>
      </c>
      <c r="C5567" t="s">
        <v>40</v>
      </c>
      <c r="D5567">
        <v>4.6854699999999996</v>
      </c>
      <c r="E5567">
        <v>0.44613969999999997</v>
      </c>
      <c r="F5567" t="s">
        <v>64</v>
      </c>
      <c r="G5567">
        <v>-294.9246</v>
      </c>
      <c r="H5567" s="1">
        <v>-4.911651E-6</v>
      </c>
      <c r="I5567">
        <v>-46.598689999999998</v>
      </c>
      <c r="J5567">
        <v>-299.7364</v>
      </c>
      <c r="K5567">
        <v>1.111788</v>
      </c>
      <c r="L5567">
        <v>-38.386719999999997</v>
      </c>
      <c r="M5567">
        <v>5.9011800000000003E-2</v>
      </c>
      <c r="N5567">
        <v>0</v>
      </c>
      <c r="O5567">
        <v>-0.99819979999999997</v>
      </c>
      <c r="P5567">
        <v>0.35964210000000002</v>
      </c>
      <c r="Q5567">
        <v>1.832193E-2</v>
      </c>
      <c r="R5567">
        <v>-0.93291060000000003</v>
      </c>
      <c r="S5567">
        <v>1.5131840000000001</v>
      </c>
      <c r="T5567">
        <v>-0.34841509999999998</v>
      </c>
      <c r="U5567">
        <v>-2.6414179999999998</v>
      </c>
      <c r="V5567">
        <v>-0.30410470000000001</v>
      </c>
      <c r="W5567">
        <v>2.6937869999999999E-2</v>
      </c>
      <c r="X5567">
        <v>0.95225769999999998</v>
      </c>
      <c r="Y5567">
        <v>-0.44171640000000001</v>
      </c>
      <c r="Z5567">
        <v>0.1150837</v>
      </c>
      <c r="AA5567">
        <v>0.8897429</v>
      </c>
      <c r="AB5567">
        <v>20</v>
      </c>
      <c r="AC5567">
        <v>4.8117999999999999</v>
      </c>
      <c r="AD5567">
        <v>-1.1117929116509999</v>
      </c>
      <c r="AE5567">
        <v>-8.2119699999999902</v>
      </c>
      <c r="AF5567">
        <v>-4.2606466954632802</v>
      </c>
      <c r="AG5567">
        <v>-1.1117929116509999</v>
      </c>
      <c r="AH5567">
        <v>8.3674540127758608</v>
      </c>
      <c r="AI5567">
        <v>96.752664684217393</v>
      </c>
      <c r="AJ5567">
        <v>116.984863345438</v>
      </c>
      <c r="AK5567">
        <v>9.45534136865923</v>
      </c>
      <c r="AL5567">
        <v>88.456387049141696</v>
      </c>
      <c r="AM5567">
        <v>107.710948076132</v>
      </c>
      <c r="AN5567">
        <v>1.0000000223057499</v>
      </c>
    </row>
    <row r="5568" spans="1:40" x14ac:dyDescent="0.25">
      <c r="A5568" t="str">
        <f>"20190312151645517"</f>
        <v>20190312151645517</v>
      </c>
      <c r="B5568" t="str">
        <f>"1552375005513905"</f>
        <v>1552375005513905</v>
      </c>
      <c r="C5568" t="s">
        <v>40</v>
      </c>
      <c r="D5568">
        <v>4.7373260000000004</v>
      </c>
      <c r="E5568">
        <v>0.44805790000000001</v>
      </c>
      <c r="F5568" t="s">
        <v>41</v>
      </c>
      <c r="G5568">
        <v>-299.25080000000003</v>
      </c>
      <c r="H5568">
        <v>0.99651789999999996</v>
      </c>
      <c r="I5568">
        <v>-39.247219999999999</v>
      </c>
      <c r="J5568">
        <v>-299.71980000000002</v>
      </c>
      <c r="K5568">
        <v>1.1118049999999999</v>
      </c>
      <c r="L5568">
        <v>-38.58896</v>
      </c>
      <c r="M5568">
        <v>6.2916490000000005E-2</v>
      </c>
      <c r="N5568">
        <v>0</v>
      </c>
      <c r="O5568">
        <v>-0.99796099999999999</v>
      </c>
      <c r="P5568">
        <v>0.3629849</v>
      </c>
      <c r="Q5568">
        <v>1.646705E-2</v>
      </c>
      <c r="R5568">
        <v>-0.93164939999999996</v>
      </c>
      <c r="S5568">
        <v>1.493744</v>
      </c>
      <c r="T5568">
        <v>-0.3545662</v>
      </c>
      <c r="U5568">
        <v>-2.6468509999999998</v>
      </c>
      <c r="V5568">
        <v>-0.30378430000000001</v>
      </c>
      <c r="W5568">
        <v>2.507359E-2</v>
      </c>
      <c r="X5568">
        <v>0.95241089999999995</v>
      </c>
      <c r="Y5568">
        <v>-0.43233260000000001</v>
      </c>
      <c r="Z5568">
        <v>0.1173126</v>
      </c>
      <c r="AA5568">
        <v>0.89405049999999997</v>
      </c>
      <c r="AB5568">
        <v>20</v>
      </c>
      <c r="AC5568">
        <v>0.46899999999999398</v>
      </c>
      <c r="AD5568">
        <v>-0.115287099999999</v>
      </c>
      <c r="AE5568">
        <v>-0.65825999999999796</v>
      </c>
      <c r="AF5568">
        <v>-0.41814548792499101</v>
      </c>
      <c r="AG5568">
        <v>-0.115287099999999</v>
      </c>
      <c r="AH5568">
        <v>0.67277718019052102</v>
      </c>
      <c r="AI5568">
        <v>98.280691377256204</v>
      </c>
      <c r="AJ5568">
        <v>121.86184017161899</v>
      </c>
      <c r="AK5568">
        <v>0.800478543549762</v>
      </c>
      <c r="AL5568">
        <v>88.563238621694396</v>
      </c>
      <c r="AM5568">
        <v>107.690783943596</v>
      </c>
      <c r="AN5568">
        <v>1.0000000541403899</v>
      </c>
    </row>
    <row r="5569" spans="1:40" x14ac:dyDescent="0.25">
      <c r="A5569" t="str">
        <f>"20190312151645538"</f>
        <v>20190312151645538</v>
      </c>
      <c r="B5569" t="str">
        <f>"1552375005533425"</f>
        <v>1552375005533425</v>
      </c>
      <c r="C5569" t="s">
        <v>40</v>
      </c>
      <c r="D5569">
        <v>4.7060199999999996</v>
      </c>
      <c r="E5569">
        <v>0.44862279999999999</v>
      </c>
      <c r="F5569" t="s">
        <v>41</v>
      </c>
      <c r="G5569">
        <v>-299.23320000000001</v>
      </c>
      <c r="H5569">
        <v>0.99226959999999997</v>
      </c>
      <c r="I5569">
        <v>-39.454560000000001</v>
      </c>
      <c r="J5569">
        <v>-299.70389999999998</v>
      </c>
      <c r="K5569">
        <v>1.1118209999999999</v>
      </c>
      <c r="L5569">
        <v>-38.77505</v>
      </c>
      <c r="M5569">
        <v>6.6555820000000002E-2</v>
      </c>
      <c r="N5569">
        <v>0</v>
      </c>
      <c r="O5569">
        <v>-0.99772479999999997</v>
      </c>
      <c r="P5569">
        <v>0.36569269999999998</v>
      </c>
      <c r="Q5569">
        <v>1.452321E-2</v>
      </c>
      <c r="R5569">
        <v>-0.93062250000000002</v>
      </c>
      <c r="S5569">
        <v>1.4886779999999999</v>
      </c>
      <c r="T5569">
        <v>-0.36550749999999999</v>
      </c>
      <c r="U5569">
        <v>-2.6465450000000001</v>
      </c>
      <c r="V5569">
        <v>-0.30306860000000002</v>
      </c>
      <c r="W5569">
        <v>2.3129609999999998E-2</v>
      </c>
      <c r="X5569">
        <v>0.95268799999999998</v>
      </c>
      <c r="Y5569">
        <v>-0.42757089999999998</v>
      </c>
      <c r="Z5569">
        <v>0.12103949999999999</v>
      </c>
      <c r="AA5569">
        <v>0.89584180000000002</v>
      </c>
      <c r="AB5569">
        <v>20</v>
      </c>
      <c r="AC5569">
        <v>0.47069999999996498</v>
      </c>
      <c r="AD5569">
        <v>-0.119551399999999</v>
      </c>
      <c r="AE5569">
        <v>-0.67950999999999995</v>
      </c>
      <c r="AF5569">
        <v>-0.41573229899213698</v>
      </c>
      <c r="AG5569">
        <v>-0.119551399999999</v>
      </c>
      <c r="AH5569">
        <v>0.69479954926709397</v>
      </c>
      <c r="AI5569">
        <v>98.399199232547204</v>
      </c>
      <c r="AJ5569">
        <v>120.894131255587</v>
      </c>
      <c r="AK5569">
        <v>0.81845726542624397</v>
      </c>
      <c r="AL5569">
        <v>88.674652762256301</v>
      </c>
      <c r="AM5569">
        <v>107.64688019369</v>
      </c>
      <c r="AN5569">
        <v>0.99999999025435604</v>
      </c>
    </row>
    <row r="5570" spans="1:40" x14ac:dyDescent="0.25">
      <c r="A5570" t="str">
        <f>"20190312151645566"</f>
        <v>20190312151645566</v>
      </c>
      <c r="B5570" t="str">
        <f>"1552375005553922"</f>
        <v>1552375005553922</v>
      </c>
      <c r="C5570" t="s">
        <v>40</v>
      </c>
      <c r="D5570">
        <v>4.6662600000000003</v>
      </c>
      <c r="E5570">
        <v>0.44917879999999899</v>
      </c>
      <c r="F5570" t="s">
        <v>41</v>
      </c>
      <c r="G5570">
        <v>-299.20949999999999</v>
      </c>
      <c r="H5570">
        <v>0.98609999999999998</v>
      </c>
      <c r="I5570">
        <v>-39.6509</v>
      </c>
      <c r="J5570">
        <v>-299.68150000000003</v>
      </c>
      <c r="K5570">
        <v>1.1118459999999999</v>
      </c>
      <c r="L5570">
        <v>-39.022709999999996</v>
      </c>
      <c r="M5570">
        <v>7.1457820000000005E-2</v>
      </c>
      <c r="N5570">
        <v>0</v>
      </c>
      <c r="O5570">
        <v>-0.99738570000000004</v>
      </c>
      <c r="P5570">
        <v>0.36907380000000001</v>
      </c>
      <c r="Q5570">
        <v>1.3184380000000001E-2</v>
      </c>
      <c r="R5570">
        <v>-0.92930670000000004</v>
      </c>
      <c r="S5570">
        <v>1.4923709999999999</v>
      </c>
      <c r="T5570">
        <v>-0.37941239999999998</v>
      </c>
      <c r="U5570">
        <v>-2.6431269999999998</v>
      </c>
      <c r="V5570">
        <v>-0.30184349999999999</v>
      </c>
      <c r="W5570">
        <v>2.1795749999999999E-2</v>
      </c>
      <c r="X5570">
        <v>0.95310830000000002</v>
      </c>
      <c r="Y5570">
        <v>-0.42429549999999999</v>
      </c>
      <c r="Z5570">
        <v>0.12570149999999999</v>
      </c>
      <c r="AA5570">
        <v>0.89675659999999902</v>
      </c>
      <c r="AB5570">
        <v>20</v>
      </c>
      <c r="AC5570">
        <v>0.472000000000036</v>
      </c>
      <c r="AD5570">
        <v>-0.125745999999999</v>
      </c>
      <c r="AE5570">
        <v>-0.62819000000000302</v>
      </c>
      <c r="AF5570">
        <v>-0.41526641316862101</v>
      </c>
      <c r="AG5570">
        <v>-0.125745999999999</v>
      </c>
      <c r="AH5570">
        <v>0.643825313700227</v>
      </c>
      <c r="AI5570">
        <v>99.320914995715796</v>
      </c>
      <c r="AJ5570">
        <v>122.821958623596</v>
      </c>
      <c r="AK5570">
        <v>0.77638217714159796</v>
      </c>
      <c r="AL5570">
        <v>88.751096607926399</v>
      </c>
      <c r="AM5570">
        <v>107.572672288869</v>
      </c>
      <c r="AN5570">
        <v>0.99999999236960102</v>
      </c>
    </row>
    <row r="5571" spans="1:40" x14ac:dyDescent="0.25">
      <c r="A5571" t="str">
        <f>"20190312151645590"</f>
        <v>20190312151645590</v>
      </c>
      <c r="B5571" t="str">
        <f>"1552375005583708"</f>
        <v>1552375005583708</v>
      </c>
      <c r="C5571" t="s">
        <v>40</v>
      </c>
      <c r="D5571">
        <v>4.6847110000000001</v>
      </c>
      <c r="E5571">
        <v>0.44972719999999999</v>
      </c>
      <c r="F5571" t="s">
        <v>64</v>
      </c>
      <c r="G5571">
        <v>-295.32049999999998</v>
      </c>
      <c r="H5571" s="1">
        <v>-4.878019E-6</v>
      </c>
      <c r="I5571">
        <v>-46.704970000000003</v>
      </c>
      <c r="J5571">
        <v>-299.66079999999999</v>
      </c>
      <c r="K5571">
        <v>1.1118680000000001</v>
      </c>
      <c r="L5571">
        <v>-39.24051</v>
      </c>
      <c r="M5571">
        <v>7.5823249999999995E-2</v>
      </c>
      <c r="N5571">
        <v>0</v>
      </c>
      <c r="O5571">
        <v>-0.99706309999999998</v>
      </c>
      <c r="P5571">
        <v>0.3720464</v>
      </c>
      <c r="Q5571">
        <v>1.3513290000000001E-2</v>
      </c>
      <c r="R5571">
        <v>-0.92811580000000005</v>
      </c>
      <c r="S5571">
        <v>1.497925</v>
      </c>
      <c r="T5571">
        <v>-0.38190269999999998</v>
      </c>
      <c r="U5571">
        <v>-2.6387330000000002</v>
      </c>
      <c r="V5571">
        <v>-0.30072450000000001</v>
      </c>
      <c r="W5571">
        <v>2.2128510000000001E-2</v>
      </c>
      <c r="X5571">
        <v>0.95345429999999998</v>
      </c>
      <c r="Y5571">
        <v>-0.42234850000000002</v>
      </c>
      <c r="Z5571">
        <v>0.12662979999999999</v>
      </c>
      <c r="AA5571">
        <v>0.89754469999999997</v>
      </c>
      <c r="AB5571">
        <v>20</v>
      </c>
      <c r="AC5571">
        <v>4.3403000000000098</v>
      </c>
      <c r="AD5571">
        <v>-1.1118728780189999</v>
      </c>
      <c r="AE5571">
        <v>-7.4644599999999999</v>
      </c>
      <c r="AF5571">
        <v>-3.7004325980635602</v>
      </c>
      <c r="AG5571">
        <v>-1.1118728780189999</v>
      </c>
      <c r="AH5571">
        <v>7.64531285283124</v>
      </c>
      <c r="AI5571">
        <v>97.457876136575806</v>
      </c>
      <c r="AJ5571">
        <v>115.82759645532001</v>
      </c>
      <c r="AK5571">
        <v>8.5662285357882109</v>
      </c>
      <c r="AL5571">
        <v>88.732026272834901</v>
      </c>
      <c r="AM5571">
        <v>107.505548482942</v>
      </c>
      <c r="AN5571">
        <v>0.99999999902178005</v>
      </c>
    </row>
    <row r="5572" spans="1:40" x14ac:dyDescent="0.25">
      <c r="A5572" t="str">
        <f>"20190312151645623"</f>
        <v>20190312151645623</v>
      </c>
      <c r="B5572" t="str">
        <f>"1552375005612988"</f>
        <v>1552375005612988</v>
      </c>
      <c r="C5572" t="s">
        <v>40</v>
      </c>
      <c r="D5572">
        <v>4.6846860000000001</v>
      </c>
      <c r="E5572">
        <v>0.45019169999999997</v>
      </c>
      <c r="F5572" t="s">
        <v>64</v>
      </c>
      <c r="G5572">
        <v>-295.27600000000001</v>
      </c>
      <c r="H5572" s="1">
        <v>-5.003544E-6</v>
      </c>
      <c r="I5572">
        <v>-46.931939999999997</v>
      </c>
      <c r="J5572">
        <v>-299.63139999999999</v>
      </c>
      <c r="K5572">
        <v>1.1119079999999999</v>
      </c>
      <c r="L5572">
        <v>-39.532380000000003</v>
      </c>
      <c r="M5572">
        <v>8.1777290000000002E-2</v>
      </c>
      <c r="N5572">
        <v>0</v>
      </c>
      <c r="O5572">
        <v>-0.99659249999999999</v>
      </c>
      <c r="P5572">
        <v>0.37561020000000001</v>
      </c>
      <c r="Q5572">
        <v>1.4209670000000001E-2</v>
      </c>
      <c r="R5572">
        <v>-0.92666919999999997</v>
      </c>
      <c r="S5572">
        <v>1.5025329999999999</v>
      </c>
      <c r="T5572">
        <v>-0.38100079999999997</v>
      </c>
      <c r="U5572">
        <v>-2.6355900000000001</v>
      </c>
      <c r="V5572">
        <v>-0.29869959999999901</v>
      </c>
      <c r="W5572">
        <v>2.2824520000000001E-2</v>
      </c>
      <c r="X5572">
        <v>0.95407419999999998</v>
      </c>
      <c r="Y5572">
        <v>-0.41859829999999998</v>
      </c>
      <c r="Z5572">
        <v>0.12643879999999999</v>
      </c>
      <c r="AA5572">
        <v>0.89932679999999998</v>
      </c>
      <c r="AB5572">
        <v>20</v>
      </c>
      <c r="AC5572">
        <v>4.3553999999999702</v>
      </c>
      <c r="AD5572">
        <v>-1.1119130035439999</v>
      </c>
      <c r="AE5572">
        <v>-7.3995600000000001</v>
      </c>
      <c r="AF5572">
        <v>-3.6740449070174899</v>
      </c>
      <c r="AG5572">
        <v>-1.1119130035439999</v>
      </c>
      <c r="AH5572">
        <v>7.6034551125131298</v>
      </c>
      <c r="AI5572">
        <v>97.501076179789607</v>
      </c>
      <c r="AJ5572">
        <v>115.790171851324</v>
      </c>
      <c r="AK5572">
        <v>8.5174812095028098</v>
      </c>
      <c r="AL5572">
        <v>88.692137753497093</v>
      </c>
      <c r="AM5572">
        <v>107.384187963014</v>
      </c>
      <c r="AN5572">
        <v>0.99999999442951504</v>
      </c>
    </row>
    <row r="5573" spans="1:40" x14ac:dyDescent="0.25">
      <c r="A5573" t="str">
        <f>"20190312151645649"</f>
        <v>20190312151645649</v>
      </c>
      <c r="B5573" t="str">
        <f>"1552375005643244"</f>
        <v>1552375005643244</v>
      </c>
      <c r="C5573" t="s">
        <v>40</v>
      </c>
      <c r="D5573">
        <v>4.6727829999999999</v>
      </c>
      <c r="E5573">
        <v>0.45014900000000002</v>
      </c>
      <c r="F5573" t="s">
        <v>64</v>
      </c>
      <c r="G5573">
        <v>-295.20460000000003</v>
      </c>
      <c r="H5573" s="1">
        <v>-5.1804039999999997E-6</v>
      </c>
      <c r="I5573">
        <v>-47.247950000000003</v>
      </c>
      <c r="J5573">
        <v>-299.60579999999999</v>
      </c>
      <c r="K5573">
        <v>1.111955</v>
      </c>
      <c r="L5573">
        <v>-39.77234</v>
      </c>
      <c r="M5573">
        <v>8.6755760000000001E-2</v>
      </c>
      <c r="N5573">
        <v>0</v>
      </c>
      <c r="O5573">
        <v>-0.99617120000000003</v>
      </c>
      <c r="P5573">
        <v>0.37964140000000002</v>
      </c>
      <c r="Q5573">
        <v>1.4471049999999999E-2</v>
      </c>
      <c r="R5573">
        <v>-0.92502079999999998</v>
      </c>
      <c r="S5573">
        <v>1.5097050000000001</v>
      </c>
      <c r="T5573">
        <v>-0.37920219999999999</v>
      </c>
      <c r="U5573">
        <v>-2.6312869999999999</v>
      </c>
      <c r="V5573">
        <v>-0.29809099999999999</v>
      </c>
      <c r="W5573">
        <v>2.3069070000000001E-2</v>
      </c>
      <c r="X5573">
        <v>0.95425870000000002</v>
      </c>
      <c r="Y5573">
        <v>-0.41657929999999999</v>
      </c>
      <c r="Z5573">
        <v>0.12592980000000001</v>
      </c>
      <c r="AA5573">
        <v>0.90033510000000005</v>
      </c>
      <c r="AB5573">
        <v>20</v>
      </c>
      <c r="AC5573">
        <v>4.4011999999999603</v>
      </c>
      <c r="AD5573">
        <v>-1.111960180404</v>
      </c>
      <c r="AE5573">
        <v>-7.4756099999999996</v>
      </c>
      <c r="AF5573">
        <v>-3.6756228514108402</v>
      </c>
      <c r="AG5573">
        <v>-1.111960180404</v>
      </c>
      <c r="AH5573">
        <v>7.7027157072742698</v>
      </c>
      <c r="AI5573">
        <v>97.423033518066802</v>
      </c>
      <c r="AJ5573">
        <v>115.50979130792101</v>
      </c>
      <c r="AK5573">
        <v>8.6068860835790897</v>
      </c>
      <c r="AL5573">
        <v>88.678122448791996</v>
      </c>
      <c r="AM5573">
        <v>107.347742427074</v>
      </c>
      <c r="AN5573">
        <v>1.00000004639867</v>
      </c>
    </row>
    <row r="5574" spans="1:40" x14ac:dyDescent="0.25">
      <c r="A5574" t="str">
        <f>"20190312151645690"</f>
        <v>20190312151645690</v>
      </c>
      <c r="B5574" t="str">
        <f>"1552375005683260"</f>
        <v>1552375005683260</v>
      </c>
      <c r="C5574" t="s">
        <v>40</v>
      </c>
      <c r="D5574">
        <v>4.7323459999999997</v>
      </c>
      <c r="E5574">
        <v>0.45028319999999999</v>
      </c>
      <c r="F5574" t="s">
        <v>64</v>
      </c>
      <c r="G5574">
        <v>-295.17329999999998</v>
      </c>
      <c r="H5574" s="1">
        <v>-5.2727149999999997E-6</v>
      </c>
      <c r="I5574">
        <v>-47.415529999999997</v>
      </c>
      <c r="J5574">
        <v>-299.56470000000002</v>
      </c>
      <c r="K5574">
        <v>1.1120159999999999</v>
      </c>
      <c r="L5574">
        <v>-40.134399999999999</v>
      </c>
      <c r="M5574">
        <v>9.444785E-2</v>
      </c>
      <c r="N5574">
        <v>0</v>
      </c>
      <c r="O5574">
        <v>-0.9954712</v>
      </c>
      <c r="P5574">
        <v>0.38793820000000001</v>
      </c>
      <c r="Q5574">
        <v>1.2246419999999999E-2</v>
      </c>
      <c r="R5574">
        <v>-0.92160430000000004</v>
      </c>
      <c r="S5574">
        <v>1.5220340000000001</v>
      </c>
      <c r="T5574">
        <v>-0.3818241</v>
      </c>
      <c r="U5574">
        <v>-2.6245120000000002</v>
      </c>
      <c r="V5574">
        <v>-0.29928290000000002</v>
      </c>
      <c r="W5574">
        <v>2.0788899999999999E-2</v>
      </c>
      <c r="X5574">
        <v>0.95393790000000001</v>
      </c>
      <c r="Y5574">
        <v>-0.4136822</v>
      </c>
      <c r="Z5574">
        <v>0.126879399999999</v>
      </c>
      <c r="AA5574">
        <v>0.90153680000000003</v>
      </c>
      <c r="AB5574">
        <v>20</v>
      </c>
      <c r="AC5574">
        <v>4.3914000000000302</v>
      </c>
      <c r="AD5574">
        <v>-1.1120212727149901</v>
      </c>
      <c r="AE5574">
        <v>-7.2811299999999903</v>
      </c>
      <c r="AF5574">
        <v>-3.6220886602431199</v>
      </c>
      <c r="AG5574">
        <v>-1.1120212727149901</v>
      </c>
      <c r="AH5574">
        <v>7.5344922629503701</v>
      </c>
      <c r="AI5574">
        <v>97.576909315885004</v>
      </c>
      <c r="AJ5574">
        <v>115.675188764411</v>
      </c>
      <c r="AK5574">
        <v>8.4335455909179409</v>
      </c>
      <c r="AL5574">
        <v>88.808797926821796</v>
      </c>
      <c r="AM5574">
        <v>107.418422709504</v>
      </c>
      <c r="AN5574">
        <v>0.99999997482601399</v>
      </c>
    </row>
    <row r="5575" spans="1:40" x14ac:dyDescent="0.25">
      <c r="A5575" t="str">
        <f>"20190312151645715"</f>
        <v>20190312151645715</v>
      </c>
      <c r="B5575" t="str">
        <f>"1552375005703756"</f>
        <v>1552375005703756</v>
      </c>
      <c r="C5575" t="s">
        <v>40</v>
      </c>
      <c r="D5575">
        <v>4.684679</v>
      </c>
      <c r="E5575">
        <v>0.45043080000000002</v>
      </c>
      <c r="F5575" t="s">
        <v>64</v>
      </c>
      <c r="G5575">
        <v>-295.12549999999999</v>
      </c>
      <c r="H5575" s="1">
        <v>-5.3983919999999996E-6</v>
      </c>
      <c r="I5575">
        <v>-47.641379999999998</v>
      </c>
      <c r="J5575">
        <v>-299.53730000000002</v>
      </c>
      <c r="K5575">
        <v>1.112058</v>
      </c>
      <c r="L5575">
        <v>-40.361049999999999</v>
      </c>
      <c r="M5575">
        <v>9.9388229999999994E-2</v>
      </c>
      <c r="N5575">
        <v>0</v>
      </c>
      <c r="O5575">
        <v>-0.99499009999999999</v>
      </c>
      <c r="P5575">
        <v>0.39322410000000002</v>
      </c>
      <c r="Q5575">
        <v>9.9876789999999993E-3</v>
      </c>
      <c r="R5575">
        <v>-0.91938830000000005</v>
      </c>
      <c r="S5575">
        <v>1.543701</v>
      </c>
      <c r="T5575">
        <v>-0.38670290000000002</v>
      </c>
      <c r="U5575">
        <v>-2.610535</v>
      </c>
      <c r="V5575">
        <v>-0.30001230000000001</v>
      </c>
      <c r="W5575">
        <v>1.8492430000000001E-2</v>
      </c>
      <c r="X5575">
        <v>0.9537561</v>
      </c>
      <c r="Y5575">
        <v>-0.41671229999999998</v>
      </c>
      <c r="Z5575">
        <v>0.12861939999999999</v>
      </c>
      <c r="AA5575">
        <v>0.89989330000000001</v>
      </c>
      <c r="AB5575">
        <v>20</v>
      </c>
      <c r="AC5575">
        <v>4.4118000000000199</v>
      </c>
      <c r="AD5575">
        <v>-1.1120633983920001</v>
      </c>
      <c r="AE5575">
        <v>-7.2803299999999904</v>
      </c>
      <c r="AF5575">
        <v>-3.60481433829943</v>
      </c>
      <c r="AG5575">
        <v>-1.1120633983920001</v>
      </c>
      <c r="AH5575">
        <v>7.5538752280904298</v>
      </c>
      <c r="AI5575">
        <v>97.568228067145</v>
      </c>
      <c r="AJ5575">
        <v>115.511125640336</v>
      </c>
      <c r="AK5575">
        <v>8.4434828345423103</v>
      </c>
      <c r="AL5575">
        <v>88.940401436038798</v>
      </c>
      <c r="AM5575">
        <v>107.4614233357</v>
      </c>
      <c r="AN5575">
        <v>1.0000000242028999</v>
      </c>
    </row>
    <row r="5576" spans="1:40" x14ac:dyDescent="0.25">
      <c r="A5576" t="str">
        <f>"20190312151645738"</f>
        <v>20190312151645738</v>
      </c>
      <c r="B5576" t="str">
        <f>"1552375005733036"</f>
        <v>1552375005733036</v>
      </c>
      <c r="C5576" t="s">
        <v>40</v>
      </c>
      <c r="D5576">
        <v>4.6665830000000001</v>
      </c>
      <c r="E5576">
        <v>0.45066489999999998</v>
      </c>
      <c r="F5576" t="s">
        <v>41</v>
      </c>
      <c r="G5576">
        <v>-299.01560000000001</v>
      </c>
      <c r="H5576">
        <v>0.98137300000000005</v>
      </c>
      <c r="I5576">
        <v>-41.2333</v>
      </c>
      <c r="J5576">
        <v>-299.5104</v>
      </c>
      <c r="K5576">
        <v>1.112114</v>
      </c>
      <c r="L5576">
        <v>-40.574620000000003</v>
      </c>
      <c r="M5576">
        <v>0.104155399999999</v>
      </c>
      <c r="N5576">
        <v>0</v>
      </c>
      <c r="O5576">
        <v>-0.99450210000000006</v>
      </c>
      <c r="P5576">
        <v>0.39727970000000001</v>
      </c>
      <c r="Q5576">
        <v>8.5204300000000007E-3</v>
      </c>
      <c r="R5576">
        <v>-0.91765810000000003</v>
      </c>
      <c r="S5576">
        <v>1.5567629999999999</v>
      </c>
      <c r="T5576">
        <v>-0.38980330000000002</v>
      </c>
      <c r="U5576">
        <v>-2.6014710000000001</v>
      </c>
      <c r="V5576">
        <v>-0.299645099999999</v>
      </c>
      <c r="W5576">
        <v>1.6995389999999999E-2</v>
      </c>
      <c r="X5576">
        <v>0.95389939999999995</v>
      </c>
      <c r="Y5576">
        <v>-0.41699599999999998</v>
      </c>
      <c r="Z5576">
        <v>0.12975490000000001</v>
      </c>
      <c r="AA5576">
        <v>0.89959880000000003</v>
      </c>
      <c r="AB5576">
        <v>20</v>
      </c>
      <c r="AC5576">
        <v>0.49479999999999702</v>
      </c>
      <c r="AD5576">
        <v>-0.130741</v>
      </c>
      <c r="AE5576">
        <v>-0.65867999999999605</v>
      </c>
      <c r="AF5576">
        <v>-0.41309527905426202</v>
      </c>
      <c r="AG5576">
        <v>-0.130741</v>
      </c>
      <c r="AH5576">
        <v>0.68927623220357304</v>
      </c>
      <c r="AI5576">
        <v>99.240887810057103</v>
      </c>
      <c r="AJ5576">
        <v>120.934992873106</v>
      </c>
      <c r="AK5576">
        <v>0.81415148648066205</v>
      </c>
      <c r="AL5576">
        <v>89.026189044233803</v>
      </c>
      <c r="AM5576">
        <v>107.438886897678</v>
      </c>
      <c r="AN5576">
        <v>1.0000000472778099</v>
      </c>
    </row>
    <row r="5577" spans="1:40" x14ac:dyDescent="0.25">
      <c r="A5577" t="str">
        <f>"20190312151645762"</f>
        <v>20190312151645762</v>
      </c>
      <c r="B5577" t="str">
        <f>"1552375005753533"</f>
        <v>1552375005753533</v>
      </c>
      <c r="C5577" t="s">
        <v>40</v>
      </c>
      <c r="D5577">
        <v>4.6788349999999896</v>
      </c>
      <c r="E5577">
        <v>0.4508221</v>
      </c>
      <c r="F5577" t="s">
        <v>41</v>
      </c>
      <c r="G5577">
        <v>-298.97019999999998</v>
      </c>
      <c r="H5577">
        <v>0.97757150000000004</v>
      </c>
      <c r="I5577">
        <v>-41.469450000000002</v>
      </c>
      <c r="J5577">
        <v>-299.4828</v>
      </c>
      <c r="K5577">
        <v>1.112166</v>
      </c>
      <c r="L5577">
        <v>-40.784669999999998</v>
      </c>
      <c r="M5577">
        <v>0.10893990000000001</v>
      </c>
      <c r="N5577">
        <v>0</v>
      </c>
      <c r="O5577">
        <v>-0.99398940000000002</v>
      </c>
      <c r="P5577">
        <v>0.40241579999999999</v>
      </c>
      <c r="Q5577">
        <v>8.4946510000000006E-3</v>
      </c>
      <c r="R5577">
        <v>-0.9154175</v>
      </c>
      <c r="S5577">
        <v>1.5661620000000001</v>
      </c>
      <c r="T5577">
        <v>-0.3901308</v>
      </c>
      <c r="U5577">
        <v>-2.594757</v>
      </c>
      <c r="V5577">
        <v>-0.30040209999999901</v>
      </c>
      <c r="W5577">
        <v>1.69296E-2</v>
      </c>
      <c r="X5577">
        <v>0.95366240000000002</v>
      </c>
      <c r="Y5577">
        <v>-0.41603420000000002</v>
      </c>
      <c r="Z5577">
        <v>0.1299622</v>
      </c>
      <c r="AA5577">
        <v>0.90001409999999904</v>
      </c>
      <c r="AB5577">
        <v>21</v>
      </c>
      <c r="AC5577">
        <v>0.51260000000002004</v>
      </c>
      <c r="AD5577">
        <v>-0.13459449999999901</v>
      </c>
      <c r="AE5577">
        <v>-0.68478000000000305</v>
      </c>
      <c r="AF5577">
        <v>-0.42443599926645498</v>
      </c>
      <c r="AG5577">
        <v>-0.13459449999999901</v>
      </c>
      <c r="AH5577">
        <v>0.71875421533018702</v>
      </c>
      <c r="AI5577">
        <v>99.159846452745001</v>
      </c>
      <c r="AJ5577">
        <v>120.56253846452501</v>
      </c>
      <c r="AK5577">
        <v>0.84549939027682197</v>
      </c>
      <c r="AL5577">
        <v>89.029959032946493</v>
      </c>
      <c r="AM5577">
        <v>107.484342277753</v>
      </c>
      <c r="AN5577">
        <v>1.0000000031071601</v>
      </c>
    </row>
    <row r="5578" spans="1:40" x14ac:dyDescent="0.25">
      <c r="A5578" t="str">
        <f>"20190312151645788"</f>
        <v>20190312151645788</v>
      </c>
      <c r="B5578" t="str">
        <f>"1552375005783787"</f>
        <v>1552375005783787</v>
      </c>
      <c r="C5578" t="s">
        <v>40</v>
      </c>
      <c r="D5578">
        <v>4.634754</v>
      </c>
      <c r="E5578">
        <v>0.45106099999999999</v>
      </c>
      <c r="F5578" t="s">
        <v>64</v>
      </c>
      <c r="G5578">
        <v>-294.95609999999999</v>
      </c>
      <c r="H5578" s="1">
        <v>-5.67878E-6</v>
      </c>
      <c r="I5578">
        <v>-48.199350000000003</v>
      </c>
      <c r="J5578">
        <v>-299.45030000000003</v>
      </c>
      <c r="K5578">
        <v>1.1122339999999999</v>
      </c>
      <c r="L5578">
        <v>-41.021180000000001</v>
      </c>
      <c r="M5578">
        <v>0.1144498</v>
      </c>
      <c r="N5578">
        <v>0</v>
      </c>
      <c r="O5578">
        <v>-0.99336979999999997</v>
      </c>
      <c r="P5578">
        <v>0.40778009999999998</v>
      </c>
      <c r="Q5578">
        <v>7.6135350000000003E-3</v>
      </c>
      <c r="R5578">
        <v>-0.91304839999999998</v>
      </c>
      <c r="S5578">
        <v>1.579132</v>
      </c>
      <c r="T5578">
        <v>-0.3879803</v>
      </c>
      <c r="U5578">
        <v>-2.5866090000000002</v>
      </c>
      <c r="V5578">
        <v>-0.30070639999999998</v>
      </c>
      <c r="W5578">
        <v>1.600466E-2</v>
      </c>
      <c r="X5578">
        <v>0.9535825</v>
      </c>
      <c r="Y5578">
        <v>-0.41559279999999998</v>
      </c>
      <c r="Z5578">
        <v>0.1293386</v>
      </c>
      <c r="AA5578">
        <v>0.90030779999999999</v>
      </c>
      <c r="AB5578">
        <v>21</v>
      </c>
      <c r="AC5578">
        <v>4.4942000000000304</v>
      </c>
      <c r="AD5578">
        <v>-1.11223967878</v>
      </c>
      <c r="AE5578">
        <v>-7.1781699999999997</v>
      </c>
      <c r="AF5578">
        <v>-3.5813073028521298</v>
      </c>
      <c r="AG5578">
        <v>-1.11223967878</v>
      </c>
      <c r="AH5578">
        <v>7.5157575420727403</v>
      </c>
      <c r="AI5578">
        <v>97.609421778016198</v>
      </c>
      <c r="AJ5578">
        <v>115.47810304877601</v>
      </c>
      <c r="AK5578">
        <v>8.3993720319877507</v>
      </c>
      <c r="AL5578">
        <v>89.082961410062495</v>
      </c>
      <c r="AM5578">
        <v>107.50234958954501</v>
      </c>
      <c r="AN5578">
        <v>1.0000000362244601</v>
      </c>
    </row>
    <row r="5579" spans="1:40" x14ac:dyDescent="0.25">
      <c r="A5579" t="str">
        <f>"20190312151645823"</f>
        <v>20190312151645823</v>
      </c>
      <c r="B5579" t="str">
        <f>"1552375005813068"</f>
        <v>1552375005813068</v>
      </c>
      <c r="C5579" t="s">
        <v>40</v>
      </c>
      <c r="D5579">
        <v>4.6731490000000004</v>
      </c>
      <c r="E5579">
        <v>0.45118989999999998</v>
      </c>
      <c r="F5579" t="s">
        <v>64</v>
      </c>
      <c r="G5579">
        <v>-294.88330000000002</v>
      </c>
      <c r="H5579" s="1">
        <v>-5.7725479999999998E-6</v>
      </c>
      <c r="I5579">
        <v>-48.417079999999999</v>
      </c>
      <c r="J5579">
        <v>-299.40370000000001</v>
      </c>
      <c r="K5579">
        <v>1.1123459999999901</v>
      </c>
      <c r="L5579">
        <v>-41.342619999999997</v>
      </c>
      <c r="M5579">
        <v>0.1221975</v>
      </c>
      <c r="N5579">
        <v>0</v>
      </c>
      <c r="O5579">
        <v>-0.99244639999999995</v>
      </c>
      <c r="P5579">
        <v>0.41575129999999999</v>
      </c>
      <c r="Q5579">
        <v>6.5363610000000001E-3</v>
      </c>
      <c r="R5579">
        <v>-0.90945480000000001</v>
      </c>
      <c r="S5579">
        <v>1.5919190000000001</v>
      </c>
      <c r="T5579">
        <v>-0.38769100000000001</v>
      </c>
      <c r="U5579">
        <v>-2.5779719999999999</v>
      </c>
      <c r="V5579">
        <v>-0.30160290000000001</v>
      </c>
      <c r="W5579">
        <v>1.4849899999999999E-2</v>
      </c>
      <c r="X5579">
        <v>0.953318</v>
      </c>
      <c r="Y5579">
        <v>-0.4130875</v>
      </c>
      <c r="Z5579">
        <v>0.1293482</v>
      </c>
      <c r="AA5579">
        <v>0.90145869999999995</v>
      </c>
      <c r="AB5579">
        <v>21</v>
      </c>
      <c r="AC5579">
        <v>4.5203999999999898</v>
      </c>
      <c r="AD5579">
        <v>-1.1123517725480001</v>
      </c>
      <c r="AE5579">
        <v>-7.0744599999999904</v>
      </c>
      <c r="AF5579">
        <v>-3.55949916594356</v>
      </c>
      <c r="AG5579">
        <v>-1.1123517725480001</v>
      </c>
      <c r="AH5579">
        <v>7.4431838126715499</v>
      </c>
      <c r="AI5579">
        <v>97.678435936532196</v>
      </c>
      <c r="AJ5579">
        <v>115.558183461398</v>
      </c>
      <c r="AK5579">
        <v>8.3251634246697801</v>
      </c>
      <c r="AL5579">
        <v>89.149132145833903</v>
      </c>
      <c r="AM5579">
        <v>107.55590088343</v>
      </c>
      <c r="AN5579">
        <v>1.0000000189711999</v>
      </c>
    </row>
    <row r="5580" spans="1:40" x14ac:dyDescent="0.25">
      <c r="A5580" t="str">
        <f>"20190312151645851"</f>
        <v>20190312151645851</v>
      </c>
      <c r="B5580" t="str">
        <f>"1552375005843324"</f>
        <v>1552375005843324</v>
      </c>
      <c r="C5580" t="s">
        <v>40</v>
      </c>
      <c r="D5580">
        <v>4.6346660000000002</v>
      </c>
      <c r="E5580">
        <v>0.45131080000000001</v>
      </c>
      <c r="F5580" t="s">
        <v>64</v>
      </c>
      <c r="G5580">
        <v>-294.78559999999999</v>
      </c>
      <c r="H5580" s="1">
        <v>-5.8877130000000001E-6</v>
      </c>
      <c r="I5580">
        <v>-48.681080000000001</v>
      </c>
      <c r="J5580">
        <v>-299.36579999999998</v>
      </c>
      <c r="K5580">
        <v>1.112447</v>
      </c>
      <c r="L5580">
        <v>-41.591250000000002</v>
      </c>
      <c r="M5580">
        <v>0.1283879</v>
      </c>
      <c r="N5580">
        <v>0</v>
      </c>
      <c r="O5580">
        <v>-0.99166449999999995</v>
      </c>
      <c r="P5580">
        <v>0.42203750000000001</v>
      </c>
      <c r="Q5580">
        <v>6.4494820000000003E-3</v>
      </c>
      <c r="R5580">
        <v>-0.90655569999999996</v>
      </c>
      <c r="S5580">
        <v>1.613464</v>
      </c>
      <c r="T5580">
        <v>-0.38863209999999998</v>
      </c>
      <c r="U5580">
        <v>-2.563904</v>
      </c>
      <c r="V5580">
        <v>-0.3022571</v>
      </c>
      <c r="W5580">
        <v>1.4696849999999999E-2</v>
      </c>
      <c r="X5580">
        <v>0.95311310000000005</v>
      </c>
      <c r="Y5580">
        <v>-0.4150411</v>
      </c>
      <c r="Z5580">
        <v>0.1297711</v>
      </c>
      <c r="AA5580">
        <v>0.90050010000000003</v>
      </c>
      <c r="AB5580">
        <v>21</v>
      </c>
      <c r="AC5580">
        <v>4.5801999999999898</v>
      </c>
      <c r="AD5580">
        <v>-1.112452887713</v>
      </c>
      <c r="AE5580">
        <v>-7.0898299999999903</v>
      </c>
      <c r="AF5580">
        <v>-3.5699750748635002</v>
      </c>
      <c r="AG5580">
        <v>-1.112452887713</v>
      </c>
      <c r="AH5580">
        <v>7.48913384879096</v>
      </c>
      <c r="AI5580">
        <v>97.637070978661697</v>
      </c>
      <c r="AJ5580">
        <v>115.48654527937499</v>
      </c>
      <c r="AK5580">
        <v>8.3707466374054196</v>
      </c>
      <c r="AL5580">
        <v>89.157902177762594</v>
      </c>
      <c r="AM5580">
        <v>107.59518337253699</v>
      </c>
      <c r="AN5580">
        <v>0.99999996664597002</v>
      </c>
    </row>
    <row r="5581" spans="1:40" x14ac:dyDescent="0.25">
      <c r="A5581" t="str">
        <f>"20190312151645873"</f>
        <v>20190312151645873</v>
      </c>
      <c r="B5581" t="str">
        <f>"1552375005863820"</f>
        <v>1552375005863820</v>
      </c>
      <c r="C5581" t="s">
        <v>40</v>
      </c>
      <c r="D5581">
        <v>4.6657449999999896</v>
      </c>
      <c r="E5581">
        <v>0.45127980000000001</v>
      </c>
      <c r="F5581" t="s">
        <v>64</v>
      </c>
      <c r="G5581">
        <v>-294.70190000000002</v>
      </c>
      <c r="H5581" s="1">
        <v>-5.9811249999999901E-6</v>
      </c>
      <c r="I5581">
        <v>-48.893340000000002</v>
      </c>
      <c r="J5581">
        <v>-299.33370000000002</v>
      </c>
      <c r="K5581">
        <v>1.1125339999999999</v>
      </c>
      <c r="L5581">
        <v>-41.793089999999999</v>
      </c>
      <c r="M5581">
        <v>0.133552799999999</v>
      </c>
      <c r="N5581">
        <v>0</v>
      </c>
      <c r="O5581">
        <v>-0.99098189999999997</v>
      </c>
      <c r="P5581">
        <v>0.42795539999999999</v>
      </c>
      <c r="Q5581">
        <v>7.246438E-3</v>
      </c>
      <c r="R5581">
        <v>-0.90377090000000004</v>
      </c>
      <c r="S5581">
        <v>1.630585</v>
      </c>
      <c r="T5581">
        <v>-0.38892949999999998</v>
      </c>
      <c r="U5581">
        <v>-2.5529169999999999</v>
      </c>
      <c r="V5581">
        <v>-0.30353200000000002</v>
      </c>
      <c r="W5581">
        <v>1.543157E-2</v>
      </c>
      <c r="X5581">
        <v>0.95269630000000005</v>
      </c>
      <c r="Y5581">
        <v>-0.41634529999999997</v>
      </c>
      <c r="Z5581">
        <v>0.129943899999999</v>
      </c>
      <c r="AA5581">
        <v>0.89987289999999998</v>
      </c>
      <c r="AB5581">
        <v>21</v>
      </c>
      <c r="AC5581">
        <v>4.6317999999999904</v>
      </c>
      <c r="AD5581">
        <v>-1.1125399811250001</v>
      </c>
      <c r="AE5581">
        <v>-7.10025</v>
      </c>
      <c r="AF5581">
        <v>-3.5803247077018301</v>
      </c>
      <c r="AG5581">
        <v>-1.1125399811250001</v>
      </c>
      <c r="AH5581">
        <v>7.5256508150359096</v>
      </c>
      <c r="AI5581">
        <v>97.603770880660093</v>
      </c>
      <c r="AJ5581">
        <v>115.442746307676</v>
      </c>
      <c r="AK5581">
        <v>8.4078469546033308</v>
      </c>
      <c r="AL5581">
        <v>89.115801093899293</v>
      </c>
      <c r="AM5581">
        <v>107.672040484235</v>
      </c>
      <c r="AN5581">
        <v>1.0000000242051701</v>
      </c>
    </row>
    <row r="5582" spans="1:40" x14ac:dyDescent="0.25">
      <c r="A5582" t="str">
        <f>"20190312151645897"</f>
        <v>20190312151645897</v>
      </c>
      <c r="B5582" t="str">
        <f>"1552375005893100"</f>
        <v>1552375005893100</v>
      </c>
      <c r="C5582" t="s">
        <v>40</v>
      </c>
      <c r="D5582">
        <v>4.7041490000000001</v>
      </c>
      <c r="E5582">
        <v>0.45130809999999999</v>
      </c>
      <c r="F5582" t="s">
        <v>41</v>
      </c>
      <c r="G5582">
        <v>-298.78609999999998</v>
      </c>
      <c r="H5582">
        <v>0.98313240000000002</v>
      </c>
      <c r="I5582">
        <v>-42.638190000000002</v>
      </c>
      <c r="J5582">
        <v>-299.29820000000001</v>
      </c>
      <c r="K5582">
        <v>1.1126229999999999</v>
      </c>
      <c r="L5582">
        <v>-42.006619999999998</v>
      </c>
      <c r="M5582">
        <v>0.13918549999999999</v>
      </c>
      <c r="N5582">
        <v>0</v>
      </c>
      <c r="O5582">
        <v>-0.99020649999999999</v>
      </c>
      <c r="P5582">
        <v>0.43400719999999998</v>
      </c>
      <c r="Q5582">
        <v>7.388014E-3</v>
      </c>
      <c r="R5582">
        <v>-0.90087919999999999</v>
      </c>
      <c r="S5582">
        <v>1.6477660000000001</v>
      </c>
      <c r="T5582">
        <v>-0.3892813</v>
      </c>
      <c r="U5582">
        <v>-2.542297</v>
      </c>
      <c r="V5582">
        <v>-0.30450909999999998</v>
      </c>
      <c r="W5582">
        <v>1.550642E-2</v>
      </c>
      <c r="X5582">
        <v>0.95238319999999999</v>
      </c>
      <c r="Y5582">
        <v>-0.41717280000000001</v>
      </c>
      <c r="Z5582">
        <v>0.13011210000000001</v>
      </c>
      <c r="AA5582">
        <v>0.89946519999999996</v>
      </c>
      <c r="AB5582">
        <v>21</v>
      </c>
      <c r="AC5582">
        <v>0.51210000000003197</v>
      </c>
      <c r="AD5582">
        <v>-0.12949059999999901</v>
      </c>
      <c r="AE5582">
        <v>-0.63157000000000296</v>
      </c>
      <c r="AF5582">
        <v>-0.40883512901137398</v>
      </c>
      <c r="AG5582">
        <v>-0.12949059999999901</v>
      </c>
      <c r="AH5582">
        <v>0.67946985532841997</v>
      </c>
      <c r="AI5582">
        <v>99.274265267719102</v>
      </c>
      <c r="AJ5582">
        <v>121.035205971539</v>
      </c>
      <c r="AK5582">
        <v>0.80348818441974101</v>
      </c>
      <c r="AL5582">
        <v>89.111511970502804</v>
      </c>
      <c r="AM5582">
        <v>107.730835186091</v>
      </c>
      <c r="AN5582">
        <v>1.00000000034313</v>
      </c>
    </row>
    <row r="5583" spans="1:40" x14ac:dyDescent="0.25">
      <c r="A5583" t="str">
        <f>"20190312151645918"</f>
        <v>20190312151645918</v>
      </c>
      <c r="B5583" t="str">
        <f>"1552375005913596"</f>
        <v>1552375005913596</v>
      </c>
      <c r="C5583" t="s">
        <v>40</v>
      </c>
      <c r="D5583">
        <v>4.6144290000000003</v>
      </c>
      <c r="E5583">
        <v>0.45137480000000002</v>
      </c>
      <c r="F5583" t="s">
        <v>41</v>
      </c>
      <c r="G5583">
        <v>-298.73419999999999</v>
      </c>
      <c r="H5583">
        <v>0.98011820000000005</v>
      </c>
      <c r="I5583">
        <v>-42.864170000000001</v>
      </c>
      <c r="J5583">
        <v>-299.2663</v>
      </c>
      <c r="K5583">
        <v>1.11269</v>
      </c>
      <c r="L5583">
        <v>-42.192570000000003</v>
      </c>
      <c r="M5583">
        <v>0.14419969999999999</v>
      </c>
      <c r="N5583">
        <v>0</v>
      </c>
      <c r="O5583">
        <v>-0.98948849999999999</v>
      </c>
      <c r="P5583">
        <v>0.43947160000000002</v>
      </c>
      <c r="Q5583">
        <v>6.8250489999999997E-3</v>
      </c>
      <c r="R5583">
        <v>-0.89823069999999905</v>
      </c>
      <c r="S5583">
        <v>1.664795</v>
      </c>
      <c r="T5583">
        <v>-0.39111299999999999</v>
      </c>
      <c r="U5583">
        <v>-2.53125</v>
      </c>
      <c r="V5583">
        <v>-0.30546820000000002</v>
      </c>
      <c r="W5583">
        <v>1.4887559999999999E-2</v>
      </c>
      <c r="X5583">
        <v>0.95208590000000004</v>
      </c>
      <c r="Y5583">
        <v>-0.4185566</v>
      </c>
      <c r="Z5583">
        <v>0.1307769</v>
      </c>
      <c r="AA5583">
        <v>0.89872559999999901</v>
      </c>
      <c r="AB5583">
        <v>21</v>
      </c>
      <c r="AC5583">
        <v>0.53210000000001401</v>
      </c>
      <c r="AD5583">
        <v>-0.13257179999999999</v>
      </c>
      <c r="AE5583">
        <v>-0.67159999999999698</v>
      </c>
      <c r="AF5583">
        <v>-0.41964215924906501</v>
      </c>
      <c r="AG5583">
        <v>-0.13257179999999999</v>
      </c>
      <c r="AH5583">
        <v>0.72398200236807797</v>
      </c>
      <c r="AI5583">
        <v>99.002288202383298</v>
      </c>
      <c r="AJ5583">
        <v>120.09789542372199</v>
      </c>
      <c r="AK5583">
        <v>0.84724539758404704</v>
      </c>
      <c r="AL5583">
        <v>89.146974141304199</v>
      </c>
      <c r="AM5583">
        <v>107.788371232777</v>
      </c>
      <c r="AN5583">
        <v>1.0000000108164</v>
      </c>
    </row>
    <row r="5584" spans="1:40" x14ac:dyDescent="0.25">
      <c r="A5584" t="str">
        <f>"20190312151645941"</f>
        <v>20190312151645941</v>
      </c>
      <c r="B5584" t="str">
        <f>"1552375005933116"</f>
        <v>1552375005933116</v>
      </c>
      <c r="C5584" t="s">
        <v>40</v>
      </c>
      <c r="D5584">
        <v>4.6823329999999999</v>
      </c>
      <c r="E5584">
        <v>0.45134269999999999</v>
      </c>
      <c r="F5584" t="s">
        <v>41</v>
      </c>
      <c r="G5584">
        <v>-298.69659999999999</v>
      </c>
      <c r="H5584">
        <v>0.979634</v>
      </c>
      <c r="I5584">
        <v>-43.047690000000003</v>
      </c>
      <c r="J5584">
        <v>-299.22800000000001</v>
      </c>
      <c r="K5584">
        <v>1.1127609999999999</v>
      </c>
      <c r="L5584">
        <v>-42.407069999999997</v>
      </c>
      <c r="M5584">
        <v>0.15011869999999999</v>
      </c>
      <c r="N5584">
        <v>0</v>
      </c>
      <c r="O5584">
        <v>-0.98860769999999998</v>
      </c>
      <c r="P5584">
        <v>0.4455325</v>
      </c>
      <c r="Q5584">
        <v>6.0208279999999998E-3</v>
      </c>
      <c r="R5584">
        <v>-0.89524559999999997</v>
      </c>
      <c r="S5584">
        <v>1.6801759999999999</v>
      </c>
      <c r="T5584">
        <v>-0.39227620000000002</v>
      </c>
      <c r="U5584">
        <v>-2.5208439999999999</v>
      </c>
      <c r="V5584">
        <v>-0.306201</v>
      </c>
      <c r="W5584">
        <v>1.402696E-2</v>
      </c>
      <c r="X5584">
        <v>0.95186349999999997</v>
      </c>
      <c r="Y5584">
        <v>-0.4186088</v>
      </c>
      <c r="Z5584">
        <v>0.1312237</v>
      </c>
      <c r="AA5584">
        <v>0.898636199999999</v>
      </c>
      <c r="AB5584">
        <v>21</v>
      </c>
      <c r="AC5584">
        <v>0.53140000000001897</v>
      </c>
      <c r="AD5584">
        <v>-0.133127</v>
      </c>
      <c r="AE5584">
        <v>-0.64061999999999797</v>
      </c>
      <c r="AF5584">
        <v>-0.41849662749008298</v>
      </c>
      <c r="AG5584">
        <v>-0.133127</v>
      </c>
      <c r="AH5584">
        <v>0.69534892498254797</v>
      </c>
      <c r="AI5584">
        <v>99.315602749782002</v>
      </c>
      <c r="AJ5584">
        <v>121.041685083342</v>
      </c>
      <c r="AK5584">
        <v>0.82241859951241303</v>
      </c>
      <c r="AL5584">
        <v>89.196288007451301</v>
      </c>
      <c r="AM5584">
        <v>107.832247479497</v>
      </c>
      <c r="AN5584">
        <v>0.99999996532004498</v>
      </c>
    </row>
    <row r="5585" spans="1:40" x14ac:dyDescent="0.25">
      <c r="A5585" t="str">
        <f>"20190312151645965"</f>
        <v>20190312151645965</v>
      </c>
      <c r="B5585" t="str">
        <f>"1552375005953612"</f>
        <v>1552375005953612</v>
      </c>
      <c r="C5585" t="s">
        <v>40</v>
      </c>
      <c r="D5585">
        <v>4.6588010000000004</v>
      </c>
      <c r="E5585">
        <v>0.45141170000000003</v>
      </c>
      <c r="F5585" t="s">
        <v>64</v>
      </c>
      <c r="G5585">
        <v>-294.4504</v>
      </c>
      <c r="H5585" s="1">
        <v>-6.2372960000000003E-6</v>
      </c>
      <c r="I5585">
        <v>-49.466419999999999</v>
      </c>
      <c r="J5585">
        <v>-299.1902</v>
      </c>
      <c r="K5585">
        <v>1.1128340000000001</v>
      </c>
      <c r="L5585">
        <v>-42.61139</v>
      </c>
      <c r="M5585">
        <v>0.15588869999999999</v>
      </c>
      <c r="N5585">
        <v>0</v>
      </c>
      <c r="O5585">
        <v>-0.98771419999999999</v>
      </c>
      <c r="P5585">
        <v>0.45128420000000002</v>
      </c>
      <c r="Q5585">
        <v>5.5623460000000001E-3</v>
      </c>
      <c r="R5585">
        <v>-0.89236340000000003</v>
      </c>
      <c r="S5585">
        <v>1.6978759999999999</v>
      </c>
      <c r="T5585">
        <v>-0.39545609999999998</v>
      </c>
      <c r="U5585">
        <v>-2.508759</v>
      </c>
      <c r="V5585">
        <v>-0.30676690000000001</v>
      </c>
      <c r="W5585">
        <v>1.351632E-2</v>
      </c>
      <c r="X5585">
        <v>0.95168869999999905</v>
      </c>
      <c r="Y5585">
        <v>-0.4195913</v>
      </c>
      <c r="Z5585">
        <v>0.13233889999999901</v>
      </c>
      <c r="AA5585">
        <v>0.89801419999999998</v>
      </c>
      <c r="AB5585">
        <v>21</v>
      </c>
      <c r="AC5585">
        <v>4.7397999999999998</v>
      </c>
      <c r="AD5585">
        <v>-1.112840237296</v>
      </c>
      <c r="AE5585">
        <v>-6.8550299999999904</v>
      </c>
      <c r="AF5585">
        <v>-3.5498679458795102</v>
      </c>
      <c r="AG5585">
        <v>-1.112840237296</v>
      </c>
      <c r="AH5585">
        <v>7.3785806918721599</v>
      </c>
      <c r="AI5585">
        <v>97.739615118195701</v>
      </c>
      <c r="AJ5585">
        <v>115.69241397635901</v>
      </c>
      <c r="AK5585">
        <v>8.2633787794942908</v>
      </c>
      <c r="AL5585">
        <v>89.225548328725907</v>
      </c>
      <c r="AM5585">
        <v>107.8661835357</v>
      </c>
      <c r="AN5585">
        <v>1.0000000017748201</v>
      </c>
    </row>
    <row r="5586" spans="1:40" x14ac:dyDescent="0.25">
      <c r="A5586" t="str">
        <f>"20190312151645989"</f>
        <v>20190312151645989</v>
      </c>
      <c r="B5586" t="str">
        <f>"1552375005983868"</f>
        <v>1552375005983868</v>
      </c>
      <c r="C5586" t="s">
        <v>40</v>
      </c>
      <c r="D5586">
        <v>4.631704</v>
      </c>
      <c r="E5586">
        <v>0.45163199999999998</v>
      </c>
      <c r="F5586" t="s">
        <v>64</v>
      </c>
      <c r="G5586">
        <v>-294.39139999999998</v>
      </c>
      <c r="H5586" s="1">
        <v>-6.2994469999999996E-6</v>
      </c>
      <c r="I5586">
        <v>-49.606310000000001</v>
      </c>
      <c r="J5586">
        <v>-299.14940000000001</v>
      </c>
      <c r="K5586">
        <v>1.112922</v>
      </c>
      <c r="L5586">
        <v>-42.82443</v>
      </c>
      <c r="M5586">
        <v>0.1620492</v>
      </c>
      <c r="N5586">
        <v>0</v>
      </c>
      <c r="O5586">
        <v>-0.98672210000000005</v>
      </c>
      <c r="P5586">
        <v>0.45717259999999998</v>
      </c>
      <c r="Q5586">
        <v>5.2887189999999999E-3</v>
      </c>
      <c r="R5586">
        <v>-0.88936229999999905</v>
      </c>
      <c r="S5586">
        <v>1.71356199999999</v>
      </c>
      <c r="T5586">
        <v>-0.39737689999999998</v>
      </c>
      <c r="U5586">
        <v>-2.4977719999999999</v>
      </c>
      <c r="V5586">
        <v>-0.30711850000000002</v>
      </c>
      <c r="W5586">
        <v>1.318924E-2</v>
      </c>
      <c r="X5586">
        <v>0.95157990000000003</v>
      </c>
      <c r="Y5586">
        <v>-0.41956320000000003</v>
      </c>
      <c r="Z5586">
        <v>0.13303090000000001</v>
      </c>
      <c r="AA5586">
        <v>0.89792510000000003</v>
      </c>
      <c r="AB5586">
        <v>21</v>
      </c>
      <c r="AC5586">
        <v>4.7580000000000302</v>
      </c>
      <c r="AD5586">
        <v>-1.112928299447</v>
      </c>
      <c r="AE5586">
        <v>-6.7818800000000001</v>
      </c>
      <c r="AF5586">
        <v>-3.53229322615551</v>
      </c>
      <c r="AG5586">
        <v>-1.112928299447</v>
      </c>
      <c r="AH5586">
        <v>7.33100454352412</v>
      </c>
      <c r="AI5586">
        <v>97.787657421417805</v>
      </c>
      <c r="AJ5586">
        <v>115.72613242670801</v>
      </c>
      <c r="AK5586">
        <v>8.2133630415576704</v>
      </c>
      <c r="AL5586">
        <v>89.2442903151819</v>
      </c>
      <c r="AM5586">
        <v>107.88727156934</v>
      </c>
      <c r="AN5586">
        <v>1.00000001758901</v>
      </c>
    </row>
    <row r="5587" spans="1:40" x14ac:dyDescent="0.25">
      <c r="A5587" t="str">
        <f>"20190312151646016"</f>
        <v>20190312151646016</v>
      </c>
      <c r="B5587" t="str">
        <f>"1552375006003388"</f>
        <v>1552375006003388</v>
      </c>
      <c r="C5587" t="s">
        <v>40</v>
      </c>
      <c r="D5587">
        <v>4.6548999999999996</v>
      </c>
      <c r="E5587">
        <v>0.45177109999999898</v>
      </c>
      <c r="F5587" t="s">
        <v>64</v>
      </c>
      <c r="G5587">
        <v>-294.3</v>
      </c>
      <c r="H5587" s="1">
        <v>-6.3874860000000003E-6</v>
      </c>
      <c r="I5587">
        <v>-49.801200000000001</v>
      </c>
      <c r="J5587">
        <v>-299.09989999999999</v>
      </c>
      <c r="K5587">
        <v>1.1130310000000001</v>
      </c>
      <c r="L5587">
        <v>-43.072420000000001</v>
      </c>
      <c r="M5587">
        <v>0.16941389999999901</v>
      </c>
      <c r="N5587">
        <v>0</v>
      </c>
      <c r="O5587">
        <v>-0.98548420000000003</v>
      </c>
      <c r="P5587">
        <v>0.46327410000000002</v>
      </c>
      <c r="Q5587">
        <v>4.9257470000000003E-3</v>
      </c>
      <c r="R5587">
        <v>-0.88620180000000004</v>
      </c>
      <c r="S5587">
        <v>1.7286379999999999</v>
      </c>
      <c r="T5587">
        <v>-0.3967193</v>
      </c>
      <c r="U5587">
        <v>-2.4869690000000002</v>
      </c>
      <c r="V5587">
        <v>-0.30655199999999999</v>
      </c>
      <c r="W5587">
        <v>1.277156E-2</v>
      </c>
      <c r="X5587">
        <v>0.95176819999999895</v>
      </c>
      <c r="Y5587">
        <v>-0.4183075</v>
      </c>
      <c r="Z5587">
        <v>0.13286439999999999</v>
      </c>
      <c r="AA5587">
        <v>0.89853539999999998</v>
      </c>
      <c r="AB5587">
        <v>21</v>
      </c>
      <c r="AC5587">
        <v>4.7998999999999796</v>
      </c>
      <c r="AD5587">
        <v>-1.11303738748599</v>
      </c>
      <c r="AE5587">
        <v>-6.7287800000000004</v>
      </c>
      <c r="AF5587">
        <v>-3.52654061924859</v>
      </c>
      <c r="AG5587">
        <v>-1.11303738748599</v>
      </c>
      <c r="AH5587">
        <v>7.3121221758074899</v>
      </c>
      <c r="AI5587">
        <v>97.8068958608673</v>
      </c>
      <c r="AJ5587">
        <v>115.747403625641</v>
      </c>
      <c r="AK5587">
        <v>8.1940509931954608</v>
      </c>
      <c r="AL5587">
        <v>89.268223600572199</v>
      </c>
      <c r="AM5587">
        <v>107.85306592694199</v>
      </c>
      <c r="AN5587">
        <v>0.99999997399003604</v>
      </c>
    </row>
    <row r="5588" spans="1:40" x14ac:dyDescent="0.25">
      <c r="A5588" t="str">
        <f>"20190312151646042"</f>
        <v>20190312151646042</v>
      </c>
      <c r="B5588" t="str">
        <f>"1552375006033644"</f>
        <v>1552375006033644</v>
      </c>
      <c r="C5588" t="s">
        <v>40</v>
      </c>
      <c r="D5588">
        <v>4.6720540000000002</v>
      </c>
      <c r="E5588">
        <v>0.45201960000000002</v>
      </c>
      <c r="F5588" t="s">
        <v>41</v>
      </c>
      <c r="G5588">
        <v>-298.51620000000003</v>
      </c>
      <c r="H5588">
        <v>0.98028499999999996</v>
      </c>
      <c r="I5588">
        <v>-43.899889999999999</v>
      </c>
      <c r="J5588">
        <v>-299.05090000000001</v>
      </c>
      <c r="K5588">
        <v>1.1131310000000001</v>
      </c>
      <c r="L5588">
        <v>-43.306820000000002</v>
      </c>
      <c r="M5588">
        <v>0.17657239999999999</v>
      </c>
      <c r="N5588">
        <v>0</v>
      </c>
      <c r="O5588">
        <v>-0.98422659999999995</v>
      </c>
      <c r="P5588">
        <v>0.46894039999999998</v>
      </c>
      <c r="Q5588">
        <v>5.1465529999999999E-3</v>
      </c>
      <c r="R5588">
        <v>-0.88321510000000003</v>
      </c>
      <c r="S5588">
        <v>1.7451779999999999</v>
      </c>
      <c r="T5588">
        <v>-0.39703260000000001</v>
      </c>
      <c r="U5588">
        <v>-2.475098</v>
      </c>
      <c r="V5588">
        <v>-0.30573479999999997</v>
      </c>
      <c r="W5588">
        <v>1.2943690000000001E-2</v>
      </c>
      <c r="X5588">
        <v>0.95202880000000001</v>
      </c>
      <c r="Y5588">
        <v>-0.41774709999999998</v>
      </c>
      <c r="Z5588">
        <v>0.13301370000000001</v>
      </c>
      <c r="AA5588">
        <v>0.89877399999999996</v>
      </c>
      <c r="AB5588">
        <v>21</v>
      </c>
      <c r="AC5588">
        <v>0.53469999999998596</v>
      </c>
      <c r="AD5588">
        <v>-0.13284599999999899</v>
      </c>
      <c r="AE5588">
        <v>-0.59306999999999699</v>
      </c>
      <c r="AF5588">
        <v>-0.41021777508419599</v>
      </c>
      <c r="AG5588">
        <v>-0.13284599999999899</v>
      </c>
      <c r="AH5588">
        <v>0.65990488718714302</v>
      </c>
      <c r="AI5588">
        <v>99.7020281635006</v>
      </c>
      <c r="AJ5588">
        <v>121.86639283329301</v>
      </c>
      <c r="AK5588">
        <v>0.788290011889346</v>
      </c>
      <c r="AL5588">
        <v>89.258360534810194</v>
      </c>
      <c r="AM5588">
        <v>107.803916787411</v>
      </c>
      <c r="AN5588">
        <v>1.0000000715356401</v>
      </c>
    </row>
    <row r="5589" spans="1:40" x14ac:dyDescent="0.25">
      <c r="A5589" t="str">
        <f>"20190312151646069"</f>
        <v>20190312151646069</v>
      </c>
      <c r="B5589" t="str">
        <f>"1552375006063900"</f>
        <v>1552375006063900</v>
      </c>
      <c r="C5589" t="s">
        <v>40</v>
      </c>
      <c r="D5589">
        <v>4.6753929999999997</v>
      </c>
      <c r="E5589">
        <v>0.4521712</v>
      </c>
      <c r="F5589" t="s">
        <v>64</v>
      </c>
      <c r="G5589">
        <v>-294.10390000000001</v>
      </c>
      <c r="H5589" s="1">
        <v>-6.5828959999999898E-6</v>
      </c>
      <c r="I5589">
        <v>-50.236620000000002</v>
      </c>
      <c r="J5589">
        <v>-298.99590000000001</v>
      </c>
      <c r="K5589">
        <v>1.113221</v>
      </c>
      <c r="L5589">
        <v>-43.560670000000002</v>
      </c>
      <c r="M5589">
        <v>0.1844905</v>
      </c>
      <c r="N5589">
        <v>0</v>
      </c>
      <c r="O5589">
        <v>-0.98277289999999995</v>
      </c>
      <c r="P5589">
        <v>0.47421540000000001</v>
      </c>
      <c r="Q5589">
        <v>5.6200540000000002E-3</v>
      </c>
      <c r="R5589">
        <v>-0.88039120000000004</v>
      </c>
      <c r="S5589">
        <v>1.759552</v>
      </c>
      <c r="T5589">
        <v>-0.39591979999999999</v>
      </c>
      <c r="U5589">
        <v>-2.4647830000000002</v>
      </c>
      <c r="V5589">
        <v>-0.30377219999999999</v>
      </c>
      <c r="W5589">
        <v>1.3386149999999999E-2</v>
      </c>
      <c r="X5589">
        <v>0.95265069999999996</v>
      </c>
      <c r="Y5589">
        <v>-0.41572340000000002</v>
      </c>
      <c r="Z5589">
        <v>0.13266210000000001</v>
      </c>
      <c r="AA5589">
        <v>0.8997638</v>
      </c>
      <c r="AB5589">
        <v>21</v>
      </c>
      <c r="AC5589">
        <v>4.8919999999999897</v>
      </c>
      <c r="AD5589">
        <v>-1.1132275828960001</v>
      </c>
      <c r="AE5589">
        <v>-6.6759500000000003</v>
      </c>
      <c r="AF5589">
        <v>-3.51274030558969</v>
      </c>
      <c r="AG5589">
        <v>-1.1132275828960001</v>
      </c>
      <c r="AH5589">
        <v>7.33128580714199</v>
      </c>
      <c r="AI5589">
        <v>97.797500521706098</v>
      </c>
      <c r="AJ5589">
        <v>115.601123071655</v>
      </c>
      <c r="AK5589">
        <v>8.2052648763971394</v>
      </c>
      <c r="AL5589">
        <v>89.2330072301191</v>
      </c>
      <c r="AM5589">
        <v>107.685947851197</v>
      </c>
      <c r="AN5589">
        <v>1.0000000473575701</v>
      </c>
    </row>
    <row r="5590" spans="1:40" x14ac:dyDescent="0.25">
      <c r="A5590" t="str">
        <f>"20190312151646101"</f>
        <v>20190312151646101</v>
      </c>
      <c r="B5590" t="str">
        <f>"1552375006093180"</f>
        <v>1552375006093180</v>
      </c>
      <c r="C5590" t="s">
        <v>40</v>
      </c>
      <c r="D5590">
        <v>4.7280379999999997</v>
      </c>
      <c r="E5590">
        <v>0.45239249999999998</v>
      </c>
      <c r="F5590" t="s">
        <v>64</v>
      </c>
      <c r="G5590">
        <v>-293.99</v>
      </c>
      <c r="H5590" s="1">
        <v>-9.3695129999999995E-6</v>
      </c>
      <c r="I5590">
        <v>-50.491869999999999</v>
      </c>
      <c r="J5590">
        <v>-298.93049999999999</v>
      </c>
      <c r="K5590">
        <v>1.113324</v>
      </c>
      <c r="L5590">
        <v>-43.847810000000003</v>
      </c>
      <c r="M5590">
        <v>0.19370270000000001</v>
      </c>
      <c r="N5590">
        <v>0</v>
      </c>
      <c r="O5590">
        <v>-0.98099840000000005</v>
      </c>
      <c r="P5590">
        <v>0.48125129999999999</v>
      </c>
      <c r="Q5590">
        <v>5.6039009999999997E-3</v>
      </c>
      <c r="R5590">
        <v>-0.87656469999999898</v>
      </c>
      <c r="S5590">
        <v>1.773102</v>
      </c>
      <c r="T5590">
        <v>-0.39430389999999998</v>
      </c>
      <c r="U5590">
        <v>-2.4550169999999998</v>
      </c>
      <c r="V5590">
        <v>-0.3024675</v>
      </c>
      <c r="W5590">
        <v>1.332941E-2</v>
      </c>
      <c r="X5590">
        <v>0.95306650000000004</v>
      </c>
      <c r="Y5590">
        <v>-0.41220830000000003</v>
      </c>
      <c r="Z5590">
        <v>0.13211300000000001</v>
      </c>
      <c r="AA5590">
        <v>0.90146020000000004</v>
      </c>
      <c r="AB5590">
        <v>21</v>
      </c>
      <c r="AC5590">
        <v>4.9404999999999797</v>
      </c>
      <c r="AD5590">
        <v>-1.1133333695130001</v>
      </c>
      <c r="AE5590">
        <v>-6.6440599999999996</v>
      </c>
      <c r="AF5590">
        <v>-3.4966424592848702</v>
      </c>
      <c r="AG5590">
        <v>-1.1133333695130001</v>
      </c>
      <c r="AH5590">
        <v>7.3424923235022099</v>
      </c>
      <c r="AI5590">
        <v>97.795226844223805</v>
      </c>
      <c r="AJ5590">
        <v>115.464728823348</v>
      </c>
      <c r="AK5590">
        <v>8.2084233078243294</v>
      </c>
      <c r="AL5590">
        <v>89.236258452183407</v>
      </c>
      <c r="AM5590">
        <v>107.607482624223</v>
      </c>
      <c r="AN5590">
        <v>1.00000000757472</v>
      </c>
    </row>
    <row r="5591" spans="1:40" x14ac:dyDescent="0.25">
      <c r="A5591" t="str">
        <f>"20190312151646125"</f>
        <v>20190312151646125</v>
      </c>
      <c r="B5591" t="str">
        <f>"1552375006113676"</f>
        <v>1552375006113676</v>
      </c>
      <c r="C5591" t="s">
        <v>40</v>
      </c>
      <c r="D5591">
        <v>4.7250940000000003</v>
      </c>
      <c r="E5591">
        <v>0.45247219999999999</v>
      </c>
      <c r="F5591" t="s">
        <v>64</v>
      </c>
      <c r="G5591">
        <v>-293.87209999999999</v>
      </c>
      <c r="H5591" s="1">
        <v>-9.3828480000000007E-6</v>
      </c>
      <c r="I5591">
        <v>-50.740960000000001</v>
      </c>
      <c r="J5591">
        <v>-298.88069999999999</v>
      </c>
      <c r="K5591">
        <v>1.113399</v>
      </c>
      <c r="L5591">
        <v>-44.05856</v>
      </c>
      <c r="M5591">
        <v>0.2006204</v>
      </c>
      <c r="N5591">
        <v>0</v>
      </c>
      <c r="O5591">
        <v>-0.97960720000000001</v>
      </c>
      <c r="P5591">
        <v>0.48605110000000001</v>
      </c>
      <c r="Q5591">
        <v>6.0428269999999997E-3</v>
      </c>
      <c r="R5591">
        <v>-0.87390979999999996</v>
      </c>
      <c r="S5591">
        <v>1.791534</v>
      </c>
      <c r="T5591">
        <v>-0.39430880000000001</v>
      </c>
      <c r="U5591">
        <v>-2.4413450000000001</v>
      </c>
      <c r="V5591">
        <v>-0.300975299999999</v>
      </c>
      <c r="W5591">
        <v>1.374804E-2</v>
      </c>
      <c r="X5591">
        <v>0.95353290000000002</v>
      </c>
      <c r="Y5591">
        <v>-0.41262009999999999</v>
      </c>
      <c r="Z5591">
        <v>0.13214519999999999</v>
      </c>
      <c r="AA5591">
        <v>0.90126709999999999</v>
      </c>
      <c r="AB5591">
        <v>21</v>
      </c>
      <c r="AC5591">
        <v>5.0086000000000004</v>
      </c>
      <c r="AD5591">
        <v>-1.1134083828479999</v>
      </c>
      <c r="AE5591">
        <v>-6.6824000000000003</v>
      </c>
      <c r="AF5591">
        <v>-3.5037694357888198</v>
      </c>
      <c r="AG5591">
        <v>-1.1134083828479999</v>
      </c>
      <c r="AH5591">
        <v>7.4195257436814703</v>
      </c>
      <c r="AI5591">
        <v>97.727552004719598</v>
      </c>
      <c r="AJ5591">
        <v>115.27838207980599</v>
      </c>
      <c r="AK5591">
        <v>8.2804251549854708</v>
      </c>
      <c r="AL5591">
        <v>89.212270567162406</v>
      </c>
      <c r="AM5591">
        <v>107.517899306239</v>
      </c>
      <c r="AN5591">
        <v>1.00000006559816</v>
      </c>
    </row>
    <row r="5592" spans="1:40" x14ac:dyDescent="0.25">
      <c r="A5592" t="str">
        <f>"20190312151646146"</f>
        <v>20190312151646146</v>
      </c>
      <c r="B5592" t="str">
        <f>"1552375006142956"</f>
        <v>1552375006142956</v>
      </c>
      <c r="C5592" t="s">
        <v>40</v>
      </c>
      <c r="D5592">
        <v>4.7559500000000003</v>
      </c>
      <c r="E5592">
        <v>0.45271349999999999</v>
      </c>
      <c r="F5592" t="s">
        <v>64</v>
      </c>
      <c r="G5592">
        <v>-293.76690000000002</v>
      </c>
      <c r="H5592" s="1">
        <v>-9.396501E-6</v>
      </c>
      <c r="I5592">
        <v>-50.947870000000002</v>
      </c>
      <c r="J5592">
        <v>-298.83420000000001</v>
      </c>
      <c r="K5592">
        <v>1.1134740000000001</v>
      </c>
      <c r="L5592">
        <v>-44.249079999999999</v>
      </c>
      <c r="M5592">
        <v>0.2069742</v>
      </c>
      <c r="N5592">
        <v>0</v>
      </c>
      <c r="O5592">
        <v>-0.97828400000000004</v>
      </c>
      <c r="P5592">
        <v>0.49137459999999999</v>
      </c>
      <c r="Q5592">
        <v>5.6427669999999999E-3</v>
      </c>
      <c r="R5592">
        <v>-0.87093009999999904</v>
      </c>
      <c r="S5592">
        <v>1.804962</v>
      </c>
      <c r="T5592">
        <v>-0.39299240000000002</v>
      </c>
      <c r="U5592">
        <v>-2.4316710000000001</v>
      </c>
      <c r="V5592">
        <v>-0.30060229999999999</v>
      </c>
      <c r="W5592">
        <v>1.3319879999999999E-2</v>
      </c>
      <c r="X5592">
        <v>0.95365659999999997</v>
      </c>
      <c r="Y5592">
        <v>-0.41167920000000002</v>
      </c>
      <c r="Z5592">
        <v>0.13169710000000001</v>
      </c>
      <c r="AA5592">
        <v>0.90176279999999998</v>
      </c>
      <c r="AB5592">
        <v>21</v>
      </c>
      <c r="AC5592">
        <v>5.0672999999999799</v>
      </c>
      <c r="AD5592">
        <v>-1.113483396501</v>
      </c>
      <c r="AE5592">
        <v>-6.6987899999999998</v>
      </c>
      <c r="AF5592">
        <v>-3.50932806168615</v>
      </c>
      <c r="AG5592">
        <v>-1.113483396501</v>
      </c>
      <c r="AH5592">
        <v>7.4712856970513197</v>
      </c>
      <c r="AI5592">
        <v>97.682560117637394</v>
      </c>
      <c r="AJ5592">
        <v>115.159853600445</v>
      </c>
      <c r="AK5592">
        <v>8.3291859557693204</v>
      </c>
      <c r="AL5592">
        <v>89.236804551396602</v>
      </c>
      <c r="AM5592">
        <v>107.495383761762</v>
      </c>
      <c r="AN5592">
        <v>1.00000003634603</v>
      </c>
    </row>
    <row r="5593" spans="1:40" x14ac:dyDescent="0.25">
      <c r="A5593" t="str">
        <f>"20190312151646167"</f>
        <v>20190312151646167</v>
      </c>
      <c r="B5593" t="str">
        <f>"1552375006163452"</f>
        <v>1552375006163452</v>
      </c>
      <c r="C5593" t="s">
        <v>40</v>
      </c>
      <c r="D5593">
        <v>4.7727830000000004</v>
      </c>
      <c r="E5593">
        <v>0.45278560000000001</v>
      </c>
      <c r="F5593" t="s">
        <v>64</v>
      </c>
      <c r="G5593">
        <v>-293.72199999999998</v>
      </c>
      <c r="H5593" s="1">
        <v>-9.3997570000000001E-6</v>
      </c>
      <c r="I5593">
        <v>-51.059069999999998</v>
      </c>
      <c r="J5593">
        <v>-298.78870000000001</v>
      </c>
      <c r="K5593">
        <v>1.113531</v>
      </c>
      <c r="L5593">
        <v>-44.429720000000003</v>
      </c>
      <c r="M5593">
        <v>0.21308750000000001</v>
      </c>
      <c r="N5593">
        <v>0</v>
      </c>
      <c r="O5593">
        <v>-0.97697069999999997</v>
      </c>
      <c r="P5593">
        <v>0.49602849999999998</v>
      </c>
      <c r="Q5593">
        <v>4.681447E-3</v>
      </c>
      <c r="R5593">
        <v>-0.8682936</v>
      </c>
      <c r="S5593">
        <v>1.8178099999999999</v>
      </c>
      <c r="T5593">
        <v>-0.39594020000000002</v>
      </c>
      <c r="U5593">
        <v>-2.4215390000000001</v>
      </c>
      <c r="V5593">
        <v>-0.29973420000000001</v>
      </c>
      <c r="W5593">
        <v>1.23391E-2</v>
      </c>
      <c r="X5593">
        <v>0.95394299999999999</v>
      </c>
      <c r="Y5593">
        <v>-0.41078209999999998</v>
      </c>
      <c r="Z5593">
        <v>0.1326765</v>
      </c>
      <c r="AA5593">
        <v>0.90202830000000001</v>
      </c>
      <c r="AB5593">
        <v>21</v>
      </c>
      <c r="AC5593">
        <v>5.0667000000000204</v>
      </c>
      <c r="AD5593">
        <v>-1.1135403997569999</v>
      </c>
      <c r="AE5593">
        <v>-6.6293499999999899</v>
      </c>
      <c r="AF5593">
        <v>-3.47569716804162</v>
      </c>
      <c r="AG5593">
        <v>-1.1135403997569999</v>
      </c>
      <c r="AH5593">
        <v>7.4245558856781102</v>
      </c>
      <c r="AI5593">
        <v>97.735342193167696</v>
      </c>
      <c r="AJ5593">
        <v>115.085955956769</v>
      </c>
      <c r="AK5593">
        <v>8.2731174973755195</v>
      </c>
      <c r="AL5593">
        <v>89.293003738077402</v>
      </c>
      <c r="AM5593">
        <v>107.44300897210699</v>
      </c>
      <c r="AN5593">
        <v>1.0000000456437199</v>
      </c>
    </row>
    <row r="5594" spans="1:40" x14ac:dyDescent="0.25">
      <c r="A5594" t="str">
        <f>"20190312151646204"</f>
        <v>20190312151646204</v>
      </c>
      <c r="B5594" t="str">
        <f>"1552375006193708"</f>
        <v>1552375006193708</v>
      </c>
      <c r="C5594" t="s">
        <v>40</v>
      </c>
      <c r="D5594">
        <v>4.6848419999999997</v>
      </c>
      <c r="E5594">
        <v>0.43218990000000002</v>
      </c>
      <c r="F5594" t="s">
        <v>64</v>
      </c>
      <c r="G5594">
        <v>-293.67919999999998</v>
      </c>
      <c r="H5594" s="1">
        <v>-9.4032039999999993E-6</v>
      </c>
      <c r="I5594">
        <v>-51.16207</v>
      </c>
      <c r="J5594">
        <v>-298.70240000000001</v>
      </c>
      <c r="K5594">
        <v>1.1136250000000001</v>
      </c>
      <c r="L5594">
        <v>-44.759030000000003</v>
      </c>
      <c r="M5594">
        <v>0.2244517</v>
      </c>
      <c r="N5594">
        <v>0</v>
      </c>
      <c r="O5594">
        <v>-0.97442220000000002</v>
      </c>
      <c r="P5594">
        <v>0.50383459999999902</v>
      </c>
      <c r="Q5594">
        <v>3.7880840000000002E-3</v>
      </c>
      <c r="R5594">
        <v>-0.86379209999999995</v>
      </c>
      <c r="S5594">
        <v>1.830292</v>
      </c>
      <c r="T5594">
        <v>-0.39888560000000001</v>
      </c>
      <c r="U5594">
        <v>-2.4116209999999998</v>
      </c>
      <c r="V5594">
        <v>-0.29721419999999998</v>
      </c>
      <c r="W5594">
        <v>1.142603E-2</v>
      </c>
      <c r="X5594">
        <v>0.95474250000000005</v>
      </c>
      <c r="Y5594">
        <v>-0.40484710000000002</v>
      </c>
      <c r="Z5594">
        <v>0.13355529999999999</v>
      </c>
      <c r="AA5594">
        <v>0.90457829999999995</v>
      </c>
      <c r="AB5594">
        <v>21</v>
      </c>
      <c r="AC5594">
        <v>5.0232000000000303</v>
      </c>
      <c r="AD5594">
        <v>-1.113634403204</v>
      </c>
      <c r="AE5594">
        <v>-6.4030399999999998</v>
      </c>
      <c r="AF5594">
        <v>-3.3942004374914498</v>
      </c>
      <c r="AG5594">
        <v>-1.113634403204</v>
      </c>
      <c r="AH5594">
        <v>7.2317679186815198</v>
      </c>
      <c r="AI5594">
        <v>97.935974897278101</v>
      </c>
      <c r="AJ5594">
        <v>115.14281924919</v>
      </c>
      <c r="AK5594">
        <v>8.0659311566326899</v>
      </c>
      <c r="AL5594">
        <v>89.345322483664603</v>
      </c>
      <c r="AM5594">
        <v>107.291521762846</v>
      </c>
      <c r="AN5594">
        <v>1.00000003807472</v>
      </c>
    </row>
    <row r="5595" spans="1:40" x14ac:dyDescent="0.25">
      <c r="A5595" t="str">
        <f>"20190312151646233"</f>
        <v>20190312151646233</v>
      </c>
      <c r="B5595" t="str">
        <f>"1552375006223964"</f>
        <v>1552375006223964</v>
      </c>
      <c r="C5595" t="s">
        <v>40</v>
      </c>
      <c r="D5595">
        <v>4.6774279999999999</v>
      </c>
      <c r="E5595">
        <v>0.43038680000000001</v>
      </c>
      <c r="F5595" t="s">
        <v>41</v>
      </c>
      <c r="G5595">
        <v>-298.10059999999999</v>
      </c>
      <c r="H5595">
        <v>1.0050939999999999</v>
      </c>
      <c r="I5595">
        <v>-45.45729</v>
      </c>
      <c r="J5595">
        <v>-298.6311</v>
      </c>
      <c r="K5595">
        <v>1.113696</v>
      </c>
      <c r="L5595">
        <v>-45.0199</v>
      </c>
      <c r="M5595">
        <v>0.23361670000000001</v>
      </c>
      <c r="N5595">
        <v>0</v>
      </c>
      <c r="O5595">
        <v>-0.9722655</v>
      </c>
      <c r="P5595">
        <v>0.51086960000000003</v>
      </c>
      <c r="Q5595">
        <v>3.1321000000000001E-3</v>
      </c>
      <c r="R5595">
        <v>-0.85965290000000005</v>
      </c>
      <c r="S5595">
        <v>1.9931950000000001</v>
      </c>
      <c r="T5595">
        <v>-0.35938730000000002</v>
      </c>
      <c r="U5595">
        <v>-2.3120729999999998</v>
      </c>
      <c r="V5595">
        <v>-0.29601329999999998</v>
      </c>
      <c r="W5595">
        <v>1.075039E-2</v>
      </c>
      <c r="X5595">
        <v>0.95512330000000001</v>
      </c>
      <c r="Y5595">
        <v>-0.45313120000000001</v>
      </c>
      <c r="Z5595">
        <v>0.1202853</v>
      </c>
      <c r="AA5595">
        <v>0.88329139999999995</v>
      </c>
      <c r="AB5595">
        <v>21</v>
      </c>
      <c r="AC5595">
        <v>0.53050000000001696</v>
      </c>
      <c r="AD5595">
        <v>-0.108601999999999</v>
      </c>
      <c r="AE5595">
        <v>-0.43739</v>
      </c>
      <c r="AF5595">
        <v>-0.40356221401083803</v>
      </c>
      <c r="AG5595">
        <v>-0.108601999999999</v>
      </c>
      <c r="AH5595">
        <v>0.53585754725107204</v>
      </c>
      <c r="AI5595">
        <v>99.196013981824606</v>
      </c>
      <c r="AJ5595">
        <v>126.983942092132</v>
      </c>
      <c r="AK5595">
        <v>0.67955880240584399</v>
      </c>
      <c r="AL5595">
        <v>89.384036148473399</v>
      </c>
      <c r="AM5595">
        <v>107.21933568176701</v>
      </c>
      <c r="AN5595">
        <v>0.99999998143246505</v>
      </c>
    </row>
    <row r="5596" spans="1:40" x14ac:dyDescent="0.25">
      <c r="A5596" t="str">
        <f>"20190312151646254"</f>
        <v>20190312151646254</v>
      </c>
      <c r="B5596" t="str">
        <f>"1552375006243485"</f>
        <v>1552375006243485</v>
      </c>
      <c r="C5596" t="s">
        <v>40</v>
      </c>
      <c r="D5596">
        <v>4.6879410000000004</v>
      </c>
      <c r="E5596">
        <v>0.43033329999999997</v>
      </c>
      <c r="F5596" t="s">
        <v>64</v>
      </c>
      <c r="G5596">
        <v>-292.43349999999998</v>
      </c>
      <c r="H5596" s="1">
        <v>-9.7434810000000005E-6</v>
      </c>
      <c r="I5596">
        <v>-52.024270000000001</v>
      </c>
      <c r="J5596">
        <v>-298.57990000000001</v>
      </c>
      <c r="K5596">
        <v>1.1137349999999999</v>
      </c>
      <c r="L5596">
        <v>-45.200780000000002</v>
      </c>
      <c r="M5596">
        <v>0.24006240000000001</v>
      </c>
      <c r="N5596">
        <v>0</v>
      </c>
      <c r="O5596">
        <v>-0.9706939</v>
      </c>
      <c r="P5596">
        <v>0.51493440000000001</v>
      </c>
      <c r="Q5596">
        <v>2.4072690000000001E-3</v>
      </c>
      <c r="R5596">
        <v>-0.85722640000000006</v>
      </c>
      <c r="S5596">
        <v>2.0245060000000001</v>
      </c>
      <c r="T5596">
        <v>-0.3637997</v>
      </c>
      <c r="U5596">
        <v>-2.2880250000000002</v>
      </c>
      <c r="V5596">
        <v>-0.294191799999999</v>
      </c>
      <c r="W5596">
        <v>1.003422E-2</v>
      </c>
      <c r="X5596">
        <v>0.95569369999999998</v>
      </c>
      <c r="Y5596">
        <v>-0.4584993</v>
      </c>
      <c r="Z5596">
        <v>0.1217355</v>
      </c>
      <c r="AA5596">
        <v>0.88031749999999998</v>
      </c>
      <c r="AB5596">
        <v>21</v>
      </c>
      <c r="AC5596">
        <v>6.1464000000000203</v>
      </c>
      <c r="AD5596">
        <v>-1.1137447434809999</v>
      </c>
      <c r="AE5596">
        <v>-6.8234899999999996</v>
      </c>
      <c r="AF5596">
        <v>-4.2657371981776704</v>
      </c>
      <c r="AG5596">
        <v>-1.1137447434809999</v>
      </c>
      <c r="AH5596">
        <v>7.9821399399653403</v>
      </c>
      <c r="AI5596">
        <v>97.015505841492896</v>
      </c>
      <c r="AJ5596">
        <v>118.120502818031</v>
      </c>
      <c r="AK5596">
        <v>9.1187443882772694</v>
      </c>
      <c r="AL5596">
        <v>89.425071880524001</v>
      </c>
      <c r="AM5596">
        <v>107.109968883805</v>
      </c>
      <c r="AN5596">
        <v>0.99999997448896805</v>
      </c>
    </row>
    <row r="5597" spans="1:40" x14ac:dyDescent="0.25">
      <c r="A5597" t="str">
        <f>"20190312151646274"</f>
        <v>20190312151646274</v>
      </c>
      <c r="B5597" t="str">
        <f>"1552375006263005"</f>
        <v>1552375006263005</v>
      </c>
      <c r="C5597" t="s">
        <v>40</v>
      </c>
      <c r="D5597">
        <v>4.6561969999999997</v>
      </c>
      <c r="E5597">
        <v>0.43076740000000002</v>
      </c>
      <c r="F5597" t="s">
        <v>41</v>
      </c>
      <c r="G5597">
        <v>-297.90069999999997</v>
      </c>
      <c r="H5597">
        <v>0.98835519999999999</v>
      </c>
      <c r="I5597">
        <v>-45.960250000000002</v>
      </c>
      <c r="J5597">
        <v>-298.52480000000003</v>
      </c>
      <c r="K5597">
        <v>1.1137889999999999</v>
      </c>
      <c r="L5597">
        <v>-45.389859999999999</v>
      </c>
      <c r="M5597">
        <v>0.24688860000000001</v>
      </c>
      <c r="N5597">
        <v>0</v>
      </c>
      <c r="O5597">
        <v>-0.96897999999999995</v>
      </c>
      <c r="P5597">
        <v>0.51995999999999998</v>
      </c>
      <c r="Q5597">
        <v>2.0186290000000001E-3</v>
      </c>
      <c r="R5597">
        <v>-0.85418859999999996</v>
      </c>
      <c r="S5597">
        <v>2.036346</v>
      </c>
      <c r="T5597">
        <v>-0.37596740000000001</v>
      </c>
      <c r="U5597">
        <v>-2.2774960000000002</v>
      </c>
      <c r="V5597">
        <v>-0.29307490000000003</v>
      </c>
      <c r="W5597">
        <v>9.6460929999999997E-3</v>
      </c>
      <c r="X5597">
        <v>0.95604089999999997</v>
      </c>
      <c r="Y5597">
        <v>-0.456486</v>
      </c>
      <c r="Z5597">
        <v>0.12571060000000001</v>
      </c>
      <c r="AA5597">
        <v>0.88080499999999995</v>
      </c>
      <c r="AB5597">
        <v>21</v>
      </c>
      <c r="AC5597">
        <v>0.62410000000005506</v>
      </c>
      <c r="AD5597">
        <v>-0.12543379999999901</v>
      </c>
      <c r="AE5597">
        <v>-0.57039000000000295</v>
      </c>
      <c r="AF5597">
        <v>-0.45395486856642903</v>
      </c>
      <c r="AG5597">
        <v>-0.12543379999999901</v>
      </c>
      <c r="AH5597">
        <v>0.69160138615533095</v>
      </c>
      <c r="AI5597">
        <v>98.621658558404903</v>
      </c>
      <c r="AJ5597">
        <v>123.280183750356</v>
      </c>
      <c r="AK5597">
        <v>0.836732417329208</v>
      </c>
      <c r="AL5597">
        <v>89.447311051575795</v>
      </c>
      <c r="AM5597">
        <v>107.042951660681</v>
      </c>
      <c r="AN5597">
        <v>1.00000007329648</v>
      </c>
    </row>
    <row r="5598" spans="1:40" x14ac:dyDescent="0.25">
      <c r="A5598" t="str">
        <f>"20190312151646298"</f>
        <v>20190312151646298</v>
      </c>
      <c r="B5598" t="str">
        <f>"1552375006293260"</f>
        <v>1552375006293260</v>
      </c>
      <c r="C5598" t="s">
        <v>40</v>
      </c>
      <c r="D5598">
        <v>4.667961</v>
      </c>
      <c r="E5598">
        <v>0.4311142</v>
      </c>
      <c r="F5598" t="s">
        <v>41</v>
      </c>
      <c r="G5598">
        <v>-297.85050000000001</v>
      </c>
      <c r="H5598">
        <v>0.99101430000000001</v>
      </c>
      <c r="I5598">
        <v>-46.136830000000003</v>
      </c>
      <c r="J5598">
        <v>-298.46440000000001</v>
      </c>
      <c r="K5598">
        <v>1.1138440000000001</v>
      </c>
      <c r="L5598">
        <v>-45.591549999999998</v>
      </c>
      <c r="M5598">
        <v>0.25425389999999998</v>
      </c>
      <c r="N5598">
        <v>0</v>
      </c>
      <c r="O5598">
        <v>-0.96707310000000002</v>
      </c>
      <c r="P5598">
        <v>0.52501960000000003</v>
      </c>
      <c r="Q5598">
        <v>2.134964E-3</v>
      </c>
      <c r="R5598">
        <v>-0.8510875</v>
      </c>
      <c r="S5598">
        <v>2.0471499999999998</v>
      </c>
      <c r="T5598">
        <v>-0.37263309999999999</v>
      </c>
      <c r="U5598">
        <v>-2.2668149999999998</v>
      </c>
      <c r="V5598">
        <v>-0.29147580000000001</v>
      </c>
      <c r="W5598">
        <v>9.7700640000000002E-3</v>
      </c>
      <c r="X5598">
        <v>0.9565283</v>
      </c>
      <c r="Y5598">
        <v>-0.45419949999999998</v>
      </c>
      <c r="Z5598">
        <v>0.1245854</v>
      </c>
      <c r="AA5598">
        <v>0.88214579999999998</v>
      </c>
      <c r="AB5598">
        <v>21</v>
      </c>
      <c r="AC5598">
        <v>0.613900000000001</v>
      </c>
      <c r="AD5598">
        <v>-0.1228297</v>
      </c>
      <c r="AE5598">
        <v>-0.54527999999999799</v>
      </c>
      <c r="AF5598">
        <v>-0.44511431318512501</v>
      </c>
      <c r="AG5598">
        <v>-0.1228297</v>
      </c>
      <c r="AH5598">
        <v>0.66849526256763003</v>
      </c>
      <c r="AI5598">
        <v>98.695401191382899</v>
      </c>
      <c r="AJ5598">
        <v>123.657467733172</v>
      </c>
      <c r="AK5598">
        <v>0.81246526269110197</v>
      </c>
      <c r="AL5598">
        <v>89.440207656991802</v>
      </c>
      <c r="AM5598">
        <v>106.94716412114801</v>
      </c>
      <c r="AN5598">
        <v>0.99999999241854698</v>
      </c>
    </row>
    <row r="5599" spans="1:40" x14ac:dyDescent="0.25">
      <c r="A5599" t="str">
        <f>"20190312151646319"</f>
        <v>20190312151646319</v>
      </c>
      <c r="B5599" t="str">
        <f>"1552375006313757"</f>
        <v>1552375006313757</v>
      </c>
      <c r="C5599" t="s">
        <v>40</v>
      </c>
      <c r="D5599">
        <v>4.6477979999999999</v>
      </c>
      <c r="E5599">
        <v>0.43126219999999998</v>
      </c>
      <c r="F5599" t="s">
        <v>41</v>
      </c>
      <c r="G5599">
        <v>-297.80349999999999</v>
      </c>
      <c r="H5599">
        <v>0.99303660000000005</v>
      </c>
      <c r="I5599">
        <v>-46.315440000000002</v>
      </c>
      <c r="J5599">
        <v>-298.40339999999998</v>
      </c>
      <c r="K5599">
        <v>1.1138969999999999</v>
      </c>
      <c r="L5599">
        <v>-45.789059999999999</v>
      </c>
      <c r="M5599">
        <v>0.26154179999999999</v>
      </c>
      <c r="N5599">
        <v>0</v>
      </c>
      <c r="O5599">
        <v>-0.96512750000000003</v>
      </c>
      <c r="P5599">
        <v>0.53020809999999996</v>
      </c>
      <c r="Q5599">
        <v>2.7691759999999999E-3</v>
      </c>
      <c r="R5599">
        <v>-0.84786329999999999</v>
      </c>
      <c r="S5599">
        <v>2.059113</v>
      </c>
      <c r="T5599">
        <v>-0.37641229999999998</v>
      </c>
      <c r="U5599">
        <v>-2.2556150000000001</v>
      </c>
      <c r="V5599">
        <v>-0.2901109</v>
      </c>
      <c r="W5599">
        <v>1.0408519999999999E-2</v>
      </c>
      <c r="X5599">
        <v>0.95693640000000002</v>
      </c>
      <c r="Y5599">
        <v>-0.4521193</v>
      </c>
      <c r="Z5599">
        <v>0.12578110000000001</v>
      </c>
      <c r="AA5599">
        <v>0.88304439999999995</v>
      </c>
      <c r="AB5599">
        <v>21</v>
      </c>
      <c r="AC5599">
        <v>0.599899999999991</v>
      </c>
      <c r="AD5599">
        <v>-0.12086039999999899</v>
      </c>
      <c r="AE5599">
        <v>-0.52638000000000296</v>
      </c>
      <c r="AF5599">
        <v>-0.43144292325158301</v>
      </c>
      <c r="AG5599">
        <v>-0.12086039999999899</v>
      </c>
      <c r="AH5599">
        <v>0.65005656096849396</v>
      </c>
      <c r="AI5599">
        <v>98.805637926474404</v>
      </c>
      <c r="AJ5599">
        <v>123.572253107921</v>
      </c>
      <c r="AK5599">
        <v>0.78950855902277395</v>
      </c>
      <c r="AL5599">
        <v>89.403624948084598</v>
      </c>
      <c r="AM5599">
        <v>106.86553697556801</v>
      </c>
      <c r="AN5599">
        <v>0.99999997261617901</v>
      </c>
    </row>
    <row r="5600" spans="1:40" x14ac:dyDescent="0.25">
      <c r="A5600" t="str">
        <f>"20190312151646341"</f>
        <v>20190312151646341</v>
      </c>
      <c r="B5600" t="str">
        <f>"1552375006333276"</f>
        <v>1552375006333276</v>
      </c>
      <c r="C5600" t="s">
        <v>40</v>
      </c>
      <c r="D5600">
        <v>4.6492639999999996</v>
      </c>
      <c r="E5600">
        <v>0.43137819999999999</v>
      </c>
      <c r="F5600" t="s">
        <v>41</v>
      </c>
      <c r="G5600">
        <v>-297.75349999999997</v>
      </c>
      <c r="H5600">
        <v>0.99652810000000003</v>
      </c>
      <c r="I5600">
        <v>-46.493099999999998</v>
      </c>
      <c r="J5600">
        <v>-298.34399999999999</v>
      </c>
      <c r="K5600">
        <v>1.113942</v>
      </c>
      <c r="L5600">
        <v>-45.97672</v>
      </c>
      <c r="M5600">
        <v>0.268538</v>
      </c>
      <c r="N5600">
        <v>0</v>
      </c>
      <c r="O5600">
        <v>-0.9632039</v>
      </c>
      <c r="P5600">
        <v>0.53523339999999997</v>
      </c>
      <c r="Q5600">
        <v>1.951057E-3</v>
      </c>
      <c r="R5600">
        <v>-0.84470210000000001</v>
      </c>
      <c r="S5600">
        <v>2.0719910000000001</v>
      </c>
      <c r="T5600">
        <v>-0.37410320000000002</v>
      </c>
      <c r="U5600">
        <v>-2.243805</v>
      </c>
      <c r="V5600">
        <v>-0.28884120000000002</v>
      </c>
      <c r="W5600">
        <v>9.5931660000000002E-3</v>
      </c>
      <c r="X5600">
        <v>0.95732899999999999</v>
      </c>
      <c r="Y5600">
        <v>-0.4507816</v>
      </c>
      <c r="Z5600">
        <v>0.1249658</v>
      </c>
      <c r="AA5600">
        <v>0.88384359999999995</v>
      </c>
      <c r="AB5600">
        <v>21</v>
      </c>
      <c r="AC5600">
        <v>0.59050000000002001</v>
      </c>
      <c r="AD5600">
        <v>-0.1174139</v>
      </c>
      <c r="AE5600">
        <v>-0.51637999999999795</v>
      </c>
      <c r="AF5600">
        <v>-0.42070578338788001</v>
      </c>
      <c r="AG5600">
        <v>-0.1174139</v>
      </c>
      <c r="AH5600">
        <v>0.64161734013327099</v>
      </c>
      <c r="AI5600">
        <v>98.700641361603004</v>
      </c>
      <c r="AJ5600">
        <v>123.252686796074</v>
      </c>
      <c r="AK5600">
        <v>0.77617793787823797</v>
      </c>
      <c r="AL5600">
        <v>89.450343667613197</v>
      </c>
      <c r="AM5600">
        <v>106.789387835984</v>
      </c>
      <c r="AN5600">
        <v>1.00000004094617</v>
      </c>
    </row>
    <row r="5601" spans="1:40" x14ac:dyDescent="0.25">
      <c r="A5601" t="str">
        <f>"20190312151646364"</f>
        <v>20190312151646364</v>
      </c>
      <c r="B5601" t="str">
        <f>"1552375006353773"</f>
        <v>1552375006353773</v>
      </c>
      <c r="C5601" t="s">
        <v>40</v>
      </c>
      <c r="D5601">
        <v>4.737425</v>
      </c>
      <c r="E5601">
        <v>0.43176340000000002</v>
      </c>
      <c r="F5601" t="s">
        <v>41</v>
      </c>
      <c r="G5601">
        <v>-297.69779999999997</v>
      </c>
      <c r="H5601">
        <v>0.99585970000000001</v>
      </c>
      <c r="I5601">
        <v>-46.668149999999997</v>
      </c>
      <c r="J5601">
        <v>-298.27749999999997</v>
      </c>
      <c r="K5601">
        <v>1.113999</v>
      </c>
      <c r="L5601">
        <v>-46.18103</v>
      </c>
      <c r="M5601">
        <v>0.27624490000000002</v>
      </c>
      <c r="N5601">
        <v>0</v>
      </c>
      <c r="O5601">
        <v>-0.96102189999999998</v>
      </c>
      <c r="P5601">
        <v>0.54137619999999997</v>
      </c>
      <c r="Q5601">
        <v>1.3847039999999901E-3</v>
      </c>
      <c r="R5601">
        <v>-0.84077969999999902</v>
      </c>
      <c r="S5601">
        <v>2.084991</v>
      </c>
      <c r="T5601">
        <v>-0.38103429999999999</v>
      </c>
      <c r="U5601">
        <v>-2.231293</v>
      </c>
      <c r="V5601">
        <v>-0.28814600000000001</v>
      </c>
      <c r="W5601">
        <v>9.0186020000000006E-3</v>
      </c>
      <c r="X5601">
        <v>0.95754399999999995</v>
      </c>
      <c r="Y5601">
        <v>-0.44866780000000001</v>
      </c>
      <c r="Z5601">
        <v>0.12717919999999999</v>
      </c>
      <c r="AA5601">
        <v>0.88460309999999898</v>
      </c>
      <c r="AB5601">
        <v>21</v>
      </c>
      <c r="AC5601">
        <v>0.57970000000000199</v>
      </c>
      <c r="AD5601">
        <v>-0.118139299999999</v>
      </c>
      <c r="AE5601">
        <v>-0.487119999999997</v>
      </c>
      <c r="AF5601">
        <v>-0.41252435874247601</v>
      </c>
      <c r="AG5601">
        <v>-0.118139299999999</v>
      </c>
      <c r="AH5601">
        <v>0.61337998978662001</v>
      </c>
      <c r="AI5601">
        <v>99.080290886776197</v>
      </c>
      <c r="AJ5601">
        <v>123.922524389351</v>
      </c>
      <c r="AK5601">
        <v>0.74857748605673102</v>
      </c>
      <c r="AL5601">
        <v>89.483265154153997</v>
      </c>
      <c r="AM5601">
        <v>106.74769374853599</v>
      </c>
      <c r="AN5601">
        <v>0.99999998221701702</v>
      </c>
    </row>
    <row r="5602" spans="1:40" x14ac:dyDescent="0.25">
      <c r="A5602" t="str">
        <f>"20190312151646388"</f>
        <v>20190312151646388</v>
      </c>
      <c r="B5602" t="str">
        <f>"1552375006384029"</f>
        <v>1552375006384029</v>
      </c>
      <c r="C5602" t="s">
        <v>40</v>
      </c>
      <c r="D5602">
        <v>4.5904189999999998</v>
      </c>
      <c r="E5602">
        <v>0.43240269999999997</v>
      </c>
      <c r="F5602" t="s">
        <v>41</v>
      </c>
      <c r="G5602">
        <v>-297.63330000000002</v>
      </c>
      <c r="H5602">
        <v>0.99707619999999997</v>
      </c>
      <c r="I5602">
        <v>-46.86206</v>
      </c>
      <c r="J5602">
        <v>-298.2054</v>
      </c>
      <c r="K5602">
        <v>1.1140620000000001</v>
      </c>
      <c r="L5602">
        <v>-46.396120000000003</v>
      </c>
      <c r="M5602">
        <v>0.28446050000000001</v>
      </c>
      <c r="N5602">
        <v>0</v>
      </c>
      <c r="O5602">
        <v>-0.95862190000000003</v>
      </c>
      <c r="P5602">
        <v>0.54775260000000003</v>
      </c>
      <c r="Q5602">
        <v>1.181936E-3</v>
      </c>
      <c r="R5602">
        <v>-0.83663980000000004</v>
      </c>
      <c r="S5602">
        <v>2.0984500000000001</v>
      </c>
      <c r="T5602">
        <v>-0.3807662</v>
      </c>
      <c r="U5602">
        <v>-2.2175289999999999</v>
      </c>
      <c r="V5602">
        <v>-0.2872287</v>
      </c>
      <c r="W5602">
        <v>8.8068950000000003E-3</v>
      </c>
      <c r="X5602">
        <v>0.95782149999999999</v>
      </c>
      <c r="Y5602">
        <v>-0.4466156</v>
      </c>
      <c r="Z5602">
        <v>0.12702859999999999</v>
      </c>
      <c r="AA5602">
        <v>0.88566259999999997</v>
      </c>
      <c r="AB5602">
        <v>21</v>
      </c>
      <c r="AC5602">
        <v>0.57209999999997696</v>
      </c>
      <c r="AD5602">
        <v>-0.1169858</v>
      </c>
      <c r="AE5602">
        <v>-0.46593999999999602</v>
      </c>
      <c r="AF5602">
        <v>-0.40571307104477999</v>
      </c>
      <c r="AG5602">
        <v>-0.1169858</v>
      </c>
      <c r="AH5602">
        <v>0.59449359807260005</v>
      </c>
      <c r="AI5602">
        <v>99.232061154789307</v>
      </c>
      <c r="AJ5602">
        <v>124.311642218028</v>
      </c>
      <c r="AK5602">
        <v>0.72918544388072704</v>
      </c>
      <c r="AL5602">
        <v>89.495395540912</v>
      </c>
      <c r="AM5602">
        <v>106.692781933302</v>
      </c>
      <c r="AN5602">
        <v>0.999999956682739</v>
      </c>
    </row>
    <row r="5603" spans="1:40" x14ac:dyDescent="0.25">
      <c r="A5603" t="str">
        <f>"20190312151646414"</f>
        <v>20190312151646414</v>
      </c>
      <c r="B5603" t="str">
        <f>"1552375006403548"</f>
        <v>1552375006403548</v>
      </c>
      <c r="C5603" t="s">
        <v>40</v>
      </c>
      <c r="D5603">
        <v>4.5981259999999997</v>
      </c>
      <c r="E5603">
        <v>0.43250100000000002</v>
      </c>
      <c r="F5603" t="s">
        <v>41</v>
      </c>
      <c r="G5603">
        <v>-297.536</v>
      </c>
      <c r="H5603">
        <v>0.99400129999999998</v>
      </c>
      <c r="I5603">
        <v>-47.095059999999997</v>
      </c>
      <c r="J5603">
        <v>-298.12970000000001</v>
      </c>
      <c r="K5603">
        <v>1.114128</v>
      </c>
      <c r="L5603">
        <v>-46.615389999999998</v>
      </c>
      <c r="M5603">
        <v>0.29295359999999998</v>
      </c>
      <c r="N5603">
        <v>0</v>
      </c>
      <c r="O5603">
        <v>-0.95606049999999998</v>
      </c>
      <c r="P5603">
        <v>0.55455730000000003</v>
      </c>
      <c r="Q5603">
        <v>7.2170419999999995E-4</v>
      </c>
      <c r="R5603">
        <v>-0.83214580000000005</v>
      </c>
      <c r="S5603">
        <v>2.110992</v>
      </c>
      <c r="T5603">
        <v>-0.3786255</v>
      </c>
      <c r="U5603">
        <v>-2.2042540000000002</v>
      </c>
      <c r="V5603">
        <v>-0.28653830000000002</v>
      </c>
      <c r="W5603">
        <v>8.3310269999999995E-3</v>
      </c>
      <c r="X5603">
        <v>0.95803249999999995</v>
      </c>
      <c r="Y5603">
        <v>-0.44405139999999999</v>
      </c>
      <c r="Z5603">
        <v>0.12624379999999999</v>
      </c>
      <c r="AA5603">
        <v>0.88706299999999905</v>
      </c>
      <c r="AB5603">
        <v>21</v>
      </c>
      <c r="AC5603">
        <v>0.593700000000012</v>
      </c>
      <c r="AD5603">
        <v>-0.120126699999999</v>
      </c>
      <c r="AE5603">
        <v>-0.47966999999999099</v>
      </c>
      <c r="AF5603">
        <v>-0.41679483325847</v>
      </c>
      <c r="AG5603">
        <v>-0.120126699999999</v>
      </c>
      <c r="AH5603">
        <v>0.61726996986851601</v>
      </c>
      <c r="AI5603">
        <v>99.1620657618287</v>
      </c>
      <c r="AJ5603">
        <v>124.028123691619</v>
      </c>
      <c r="AK5603">
        <v>0.754433941962664</v>
      </c>
      <c r="AL5603">
        <v>89.522661762122297</v>
      </c>
      <c r="AM5603">
        <v>106.65141790938</v>
      </c>
      <c r="AN5603">
        <v>0.99999993721700497</v>
      </c>
    </row>
    <row r="5604" spans="1:40" x14ac:dyDescent="0.25">
      <c r="A5604" t="str">
        <f>"20190312151646449"</f>
        <v>20190312151646449</v>
      </c>
      <c r="B5604" t="str">
        <f>"1552375006443565"</f>
        <v>1552375006443565</v>
      </c>
      <c r="C5604" t="s">
        <v>40</v>
      </c>
      <c r="D5604">
        <v>4.5700719999999997</v>
      </c>
      <c r="E5604">
        <v>0.4331024</v>
      </c>
      <c r="F5604" t="s">
        <v>41</v>
      </c>
      <c r="G5604">
        <v>-297.42180000000002</v>
      </c>
      <c r="H5604">
        <v>0.98675290000000004</v>
      </c>
      <c r="I5604">
        <v>-47.342770000000002</v>
      </c>
      <c r="J5604">
        <v>-298.01679999999999</v>
      </c>
      <c r="K5604">
        <v>1.114231</v>
      </c>
      <c r="L5604">
        <v>-46.929870000000001</v>
      </c>
      <c r="M5604">
        <v>0.30535709999999999</v>
      </c>
      <c r="N5604">
        <v>0</v>
      </c>
      <c r="O5604">
        <v>-0.95217079999999998</v>
      </c>
      <c r="P5604">
        <v>0.56425369999999997</v>
      </c>
      <c r="Q5604">
        <v>-7.2958129999999997E-4</v>
      </c>
      <c r="R5604">
        <v>-0.82560119999999904</v>
      </c>
      <c r="S5604">
        <v>2.1287229999999999</v>
      </c>
      <c r="T5604">
        <v>-0.38297019999999998</v>
      </c>
      <c r="U5604">
        <v>-2.1868289999999999</v>
      </c>
      <c r="V5604">
        <v>-0.28527760000000002</v>
      </c>
      <c r="W5604">
        <v>6.8705179999999999E-3</v>
      </c>
      <c r="X5604">
        <v>0.9584203</v>
      </c>
      <c r="Y5604">
        <v>-0.43952869999999999</v>
      </c>
      <c r="Z5604">
        <v>0.12746250000000001</v>
      </c>
      <c r="AA5604">
        <v>0.88913880000000001</v>
      </c>
      <c r="AB5604">
        <v>21</v>
      </c>
      <c r="AC5604">
        <v>0.59499999999997</v>
      </c>
      <c r="AD5604">
        <v>-0.12747809999999901</v>
      </c>
      <c r="AE5604">
        <v>-0.41289999999999999</v>
      </c>
      <c r="AF5604">
        <v>-0.42725054658057499</v>
      </c>
      <c r="AG5604">
        <v>-0.12747809999999901</v>
      </c>
      <c r="AH5604">
        <v>0.55759971240344097</v>
      </c>
      <c r="AI5604">
        <v>100.285639988268</v>
      </c>
      <c r="AJ5604">
        <v>127.46047839227801</v>
      </c>
      <c r="AK5604">
        <v>0.71394056811853102</v>
      </c>
      <c r="AL5604">
        <v>89.606345215430693</v>
      </c>
      <c r="AM5604">
        <v>106.57584543483701</v>
      </c>
      <c r="AN5604">
        <v>0.99999999226571901</v>
      </c>
    </row>
    <row r="5605" spans="1:40" x14ac:dyDescent="0.25">
      <c r="A5605" t="str">
        <f>"20190312151646476"</f>
        <v>20190312151646476</v>
      </c>
      <c r="B5605" t="str">
        <f>"1552375006473820"</f>
        <v>1552375006473820</v>
      </c>
      <c r="C5605" t="s">
        <v>40</v>
      </c>
      <c r="D5605">
        <v>4.5648939999999998</v>
      </c>
      <c r="E5605">
        <v>0.43342629999999999</v>
      </c>
      <c r="F5605" t="s">
        <v>64</v>
      </c>
      <c r="G5605">
        <v>-291.81490000000002</v>
      </c>
      <c r="H5605" s="1">
        <v>-9.8432710000000001E-6</v>
      </c>
      <c r="I5605">
        <v>-53.171399999999998</v>
      </c>
      <c r="J5605">
        <v>-297.9307</v>
      </c>
      <c r="K5605">
        <v>1.114293</v>
      </c>
      <c r="L5605">
        <v>-47.16113</v>
      </c>
      <c r="M5605">
        <v>0.31461109999999998</v>
      </c>
      <c r="N5605">
        <v>0</v>
      </c>
      <c r="O5605">
        <v>-0.94915309999999997</v>
      </c>
      <c r="P5605">
        <v>0.57173719999999995</v>
      </c>
      <c r="Q5605">
        <v>-1.268761E-3</v>
      </c>
      <c r="R5605">
        <v>-0.82043619999999995</v>
      </c>
      <c r="S5605">
        <v>2.1501160000000001</v>
      </c>
      <c r="T5605">
        <v>-0.38629659999999999</v>
      </c>
      <c r="U5605">
        <v>-2.1638790000000001</v>
      </c>
      <c r="V5605">
        <v>-0.28465800000000002</v>
      </c>
      <c r="W5605">
        <v>6.3288429999999998E-3</v>
      </c>
      <c r="X5605">
        <v>0.95860829999999997</v>
      </c>
      <c r="Y5605">
        <v>-0.43983499999999998</v>
      </c>
      <c r="Z5605">
        <v>0.12851209999999999</v>
      </c>
      <c r="AA5605">
        <v>0.88883619999999997</v>
      </c>
      <c r="AB5605">
        <v>21</v>
      </c>
      <c r="AC5605">
        <v>6.1157999999999699</v>
      </c>
      <c r="AD5605">
        <v>-1.114302843271</v>
      </c>
      <c r="AE5605">
        <v>-6.0102699999999896</v>
      </c>
      <c r="AF5605">
        <v>-3.84918111675309</v>
      </c>
      <c r="AG5605">
        <v>-1.114302843271</v>
      </c>
      <c r="AH5605">
        <v>7.5025553607677899</v>
      </c>
      <c r="AI5605">
        <v>97.527801948636593</v>
      </c>
      <c r="AJ5605">
        <v>117.160061808927</v>
      </c>
      <c r="AK5605">
        <v>8.5056571196748791</v>
      </c>
      <c r="AL5605">
        <v>89.637381605001394</v>
      </c>
      <c r="AM5605">
        <v>106.53874655092901</v>
      </c>
      <c r="AN5605">
        <v>1.0000000520232999</v>
      </c>
    </row>
    <row r="5606" spans="1:40" x14ac:dyDescent="0.25">
      <c r="A5606" t="str">
        <f>"20190312151646496"</f>
        <v>20190312151646496</v>
      </c>
      <c r="B5606" t="str">
        <f>"1552375006493341"</f>
        <v>1552375006493341</v>
      </c>
      <c r="C5606" t="s">
        <v>40</v>
      </c>
      <c r="D5606">
        <v>4.556705</v>
      </c>
      <c r="E5606">
        <v>0.43370730000000002</v>
      </c>
      <c r="F5606" t="s">
        <v>41</v>
      </c>
      <c r="G5606">
        <v>-297.22660000000002</v>
      </c>
      <c r="H5606">
        <v>0.98876209999999998</v>
      </c>
      <c r="I5606">
        <v>-47.85857</v>
      </c>
      <c r="J5606">
        <v>-297.86329999999998</v>
      </c>
      <c r="K5606">
        <v>1.114341</v>
      </c>
      <c r="L5606">
        <v>-47.336979999999997</v>
      </c>
      <c r="M5606">
        <v>0.32173570000000001</v>
      </c>
      <c r="N5606">
        <v>0</v>
      </c>
      <c r="O5606">
        <v>-0.94676130000000003</v>
      </c>
      <c r="P5606">
        <v>0.57711880000000004</v>
      </c>
      <c r="Q5606">
        <v>-1.6232060000000001E-3</v>
      </c>
      <c r="R5606">
        <v>-0.81665889999999997</v>
      </c>
      <c r="S5606">
        <v>2.1673580000000001</v>
      </c>
      <c r="T5606">
        <v>-0.38627119999999998</v>
      </c>
      <c r="U5606">
        <v>-2.1456300000000001</v>
      </c>
      <c r="V5606">
        <v>-0.28375250000000002</v>
      </c>
      <c r="W5606">
        <v>5.9783750000000002E-3</v>
      </c>
      <c r="X5606">
        <v>0.95887889999999998</v>
      </c>
      <c r="Y5606">
        <v>-0.4404149</v>
      </c>
      <c r="Z5606">
        <v>0.12845670000000001</v>
      </c>
      <c r="AA5606">
        <v>0.88855699999999904</v>
      </c>
      <c r="AB5606">
        <v>21</v>
      </c>
      <c r="AC5606">
        <v>0.63669999999996196</v>
      </c>
      <c r="AD5606">
        <v>-0.12557889999999999</v>
      </c>
      <c r="AE5606">
        <v>-0.521590000000003</v>
      </c>
      <c r="AF5606">
        <v>-0.42512059752046799</v>
      </c>
      <c r="AG5606">
        <v>-0.12557889999999999</v>
      </c>
      <c r="AH5606">
        <v>0.68282024274682096</v>
      </c>
      <c r="AI5606">
        <v>98.873704204438795</v>
      </c>
      <c r="AJ5606">
        <v>121.906194345358</v>
      </c>
      <c r="AK5606">
        <v>0.81408910228929998</v>
      </c>
      <c r="AL5606">
        <v>89.657462298057993</v>
      </c>
      <c r="AM5606">
        <v>106.48459721533099</v>
      </c>
      <c r="AN5606">
        <v>0.99999998354455</v>
      </c>
    </row>
    <row r="5607" spans="1:40" x14ac:dyDescent="0.25">
      <c r="A5607" t="str">
        <f>"20190312151646520"</f>
        <v>20190312151646520</v>
      </c>
      <c r="B5607" t="str">
        <f>"1552375006513837"</f>
        <v>1552375006513837</v>
      </c>
      <c r="C5607" t="s">
        <v>40</v>
      </c>
      <c r="D5607">
        <v>4.5688370000000003</v>
      </c>
      <c r="E5607">
        <v>0.43407560000000001</v>
      </c>
      <c r="F5607" t="s">
        <v>41</v>
      </c>
      <c r="G5607">
        <v>-297.15660000000003</v>
      </c>
      <c r="H5607">
        <v>0.98865650000000005</v>
      </c>
      <c r="I5607">
        <v>-48.028359999999999</v>
      </c>
      <c r="J5607">
        <v>-297.77969999999999</v>
      </c>
      <c r="K5607">
        <v>1.114395</v>
      </c>
      <c r="L5607">
        <v>-47.549900000000001</v>
      </c>
      <c r="M5607">
        <v>0.33044410000000002</v>
      </c>
      <c r="N5607">
        <v>0</v>
      </c>
      <c r="O5607">
        <v>-0.9437567</v>
      </c>
      <c r="P5607">
        <v>0.58417540000000001</v>
      </c>
      <c r="Q5607">
        <v>-1.4622579999999999E-3</v>
      </c>
      <c r="R5607">
        <v>-0.81162609999999902</v>
      </c>
      <c r="S5607">
        <v>2.1796570000000002</v>
      </c>
      <c r="T5607">
        <v>-0.38763940000000002</v>
      </c>
      <c r="U5607">
        <v>-2.1324160000000001</v>
      </c>
      <c r="V5607">
        <v>-0.28323280000000001</v>
      </c>
      <c r="W5607">
        <v>6.139065E-3</v>
      </c>
      <c r="X5607">
        <v>0.95903150000000004</v>
      </c>
      <c r="Y5607">
        <v>-0.43738359999999898</v>
      </c>
      <c r="Z5607">
        <v>0.12873189999999901</v>
      </c>
      <c r="AA5607">
        <v>0.89001330000000001</v>
      </c>
      <c r="AB5607">
        <v>21</v>
      </c>
      <c r="AC5607">
        <v>0.62309999999996502</v>
      </c>
      <c r="AD5607">
        <v>-0.125738499999999</v>
      </c>
      <c r="AE5607">
        <v>-0.478459999999998</v>
      </c>
      <c r="AF5607">
        <v>-0.41923886656818898</v>
      </c>
      <c r="AG5607">
        <v>-0.125738499999999</v>
      </c>
      <c r="AH5607">
        <v>0.641070062387045</v>
      </c>
      <c r="AI5607">
        <v>99.322125740599404</v>
      </c>
      <c r="AJ5607">
        <v>123.183374348643</v>
      </c>
      <c r="AK5607">
        <v>0.77623593224776699</v>
      </c>
      <c r="AL5607">
        <v>89.648255262715296</v>
      </c>
      <c r="AM5607">
        <v>106.453562959913</v>
      </c>
      <c r="AN5607">
        <v>0.99999996255358103</v>
      </c>
    </row>
    <row r="5608" spans="1:40" x14ac:dyDescent="0.25">
      <c r="A5608" t="str">
        <f>"20190312151646544"</f>
        <v>20190312151646544</v>
      </c>
      <c r="B5608" t="str">
        <f>"1552375006533356"</f>
        <v>1552375006533356</v>
      </c>
      <c r="C5608" t="s">
        <v>40</v>
      </c>
      <c r="D5608">
        <v>4.6165900000000004</v>
      </c>
      <c r="E5608">
        <v>0.43445410000000001</v>
      </c>
      <c r="F5608" t="s">
        <v>41</v>
      </c>
      <c r="G5608">
        <v>-297.08789999999999</v>
      </c>
      <c r="H5608">
        <v>0.9926992</v>
      </c>
      <c r="I5608">
        <v>-48.216270000000002</v>
      </c>
      <c r="J5608">
        <v>-297.70060000000001</v>
      </c>
      <c r="K5608">
        <v>1.1144419999999999</v>
      </c>
      <c r="L5608">
        <v>-47.74579</v>
      </c>
      <c r="M5608">
        <v>0.33852199999999999</v>
      </c>
      <c r="N5608">
        <v>0</v>
      </c>
      <c r="O5608">
        <v>-0.94088950000000005</v>
      </c>
      <c r="P5608">
        <v>0.59114789999999995</v>
      </c>
      <c r="Q5608">
        <v>-5.4186209999999998E-4</v>
      </c>
      <c r="R5608">
        <v>-0.80656340000000004</v>
      </c>
      <c r="S5608">
        <v>2.1958920000000002</v>
      </c>
      <c r="T5608">
        <v>-0.38627299999999998</v>
      </c>
      <c r="U5608">
        <v>-2.1150820000000001</v>
      </c>
      <c r="V5608">
        <v>-0.28328730000000002</v>
      </c>
      <c r="W5608">
        <v>7.0540969999999996E-3</v>
      </c>
      <c r="X5608">
        <v>0.95900920000000001</v>
      </c>
      <c r="Y5608">
        <v>-0.43667230000000001</v>
      </c>
      <c r="Z5608">
        <v>0.12816179999999999</v>
      </c>
      <c r="AA5608">
        <v>0.89044480000000004</v>
      </c>
      <c r="AB5608">
        <v>21</v>
      </c>
      <c r="AC5608">
        <v>0.61270000000001801</v>
      </c>
      <c r="AD5608">
        <v>-0.121742799999999</v>
      </c>
      <c r="AE5608">
        <v>-0.47048000000000201</v>
      </c>
      <c r="AF5608">
        <v>-0.40713050879190599</v>
      </c>
      <c r="AG5608">
        <v>-0.121742799999999</v>
      </c>
      <c r="AH5608">
        <v>0.63436875343289501</v>
      </c>
      <c r="AI5608">
        <v>99.174640921087601</v>
      </c>
      <c r="AJ5608">
        <v>122.691876952453</v>
      </c>
      <c r="AK5608">
        <v>0.76354454740571698</v>
      </c>
      <c r="AL5608">
        <v>89.5958266818852</v>
      </c>
      <c r="AM5608">
        <v>106.45691968295201</v>
      </c>
      <c r="AN5608">
        <v>1.0000000501552</v>
      </c>
    </row>
    <row r="5609" spans="1:40" x14ac:dyDescent="0.25">
      <c r="A5609" t="str">
        <f>"20190312151646565"</f>
        <v>20190312151646565</v>
      </c>
      <c r="B5609" t="str">
        <f>"1552375006553853"</f>
        <v>1552375006553853</v>
      </c>
      <c r="C5609" t="s">
        <v>40</v>
      </c>
      <c r="D5609">
        <v>4.5778379999999999</v>
      </c>
      <c r="E5609">
        <v>0.43479030000000002</v>
      </c>
      <c r="F5609" t="s">
        <v>41</v>
      </c>
      <c r="G5609">
        <v>-296.99149999999997</v>
      </c>
      <c r="H5609">
        <v>0.99072839999999995</v>
      </c>
      <c r="I5609">
        <v>-48.418419999999998</v>
      </c>
      <c r="J5609">
        <v>-297.62270000000001</v>
      </c>
      <c r="K5609">
        <v>1.1144700000000001</v>
      </c>
      <c r="L5609">
        <v>-47.934080000000002</v>
      </c>
      <c r="M5609">
        <v>0.34633190000000003</v>
      </c>
      <c r="N5609">
        <v>0</v>
      </c>
      <c r="O5609">
        <v>-0.93804240000000005</v>
      </c>
      <c r="P5609">
        <v>0.59899250000000004</v>
      </c>
      <c r="Q5609">
        <v>-4.18405E-4</v>
      </c>
      <c r="R5609">
        <v>-0.80075469999999904</v>
      </c>
      <c r="S5609">
        <v>2.2118530000000001</v>
      </c>
      <c r="T5609">
        <v>-0.38591120000000001</v>
      </c>
      <c r="U5609">
        <v>-2.0981450000000001</v>
      </c>
      <c r="V5609">
        <v>-0.28467740000000002</v>
      </c>
      <c r="W5609">
        <v>7.1547049999999999E-3</v>
      </c>
      <c r="X5609">
        <v>0.95859669999999997</v>
      </c>
      <c r="Y5609">
        <v>-0.4360253</v>
      </c>
      <c r="Z5609">
        <v>0.12790550000000001</v>
      </c>
      <c r="AA5609">
        <v>0.890798599999999</v>
      </c>
      <c r="AB5609">
        <v>21</v>
      </c>
      <c r="AC5609">
        <v>0.63120000000003496</v>
      </c>
      <c r="AD5609">
        <v>-0.12374159999999999</v>
      </c>
      <c r="AE5609">
        <v>-0.48434000000000299</v>
      </c>
      <c r="AF5609">
        <v>-0.414354626347263</v>
      </c>
      <c r="AG5609">
        <v>-0.12374159999999999</v>
      </c>
      <c r="AH5609">
        <v>0.65708548828371405</v>
      </c>
      <c r="AI5609">
        <v>99.050734500101001</v>
      </c>
      <c r="AJ5609">
        <v>122.235313621435</v>
      </c>
      <c r="AK5609">
        <v>0.78661494955218503</v>
      </c>
      <c r="AL5609">
        <v>89.590062111597405</v>
      </c>
      <c r="AM5609">
        <v>106.540001330294</v>
      </c>
      <c r="AN5609">
        <v>1.00000002256264</v>
      </c>
    </row>
    <row r="5610" spans="1:40" x14ac:dyDescent="0.25">
      <c r="A5610" t="str">
        <f>"20190312151646590"</f>
        <v>20190312151646590</v>
      </c>
      <c r="B5610" t="str">
        <f>"1552375006583133"</f>
        <v>1552375006583133</v>
      </c>
      <c r="C5610" t="s">
        <v>40</v>
      </c>
      <c r="D5610">
        <v>4.6077849999999998</v>
      </c>
      <c r="E5610">
        <v>0.43546360000000001</v>
      </c>
      <c r="F5610" t="s">
        <v>41</v>
      </c>
      <c r="G5610">
        <v>-296.90199999999999</v>
      </c>
      <c r="H5610">
        <v>0.98878900000000003</v>
      </c>
      <c r="I5610">
        <v>-48.606020000000001</v>
      </c>
      <c r="J5610">
        <v>-297.53280000000001</v>
      </c>
      <c r="K5610">
        <v>1.114492</v>
      </c>
      <c r="L5610">
        <v>-48.146090000000001</v>
      </c>
      <c r="M5610">
        <v>0.35516550000000002</v>
      </c>
      <c r="N5610">
        <v>0</v>
      </c>
      <c r="O5610">
        <v>-0.93473349999999999</v>
      </c>
      <c r="P5610">
        <v>0.60772230000000005</v>
      </c>
      <c r="Q5610">
        <v>-8.5420440000000004E-4</v>
      </c>
      <c r="R5610">
        <v>-0.79414949999999995</v>
      </c>
      <c r="S5610">
        <v>2.229492</v>
      </c>
      <c r="T5610">
        <v>-0.38879130000000001</v>
      </c>
      <c r="U5610">
        <v>-2.0784910000000001</v>
      </c>
      <c r="V5610">
        <v>-0.28612379999999998</v>
      </c>
      <c r="W5610">
        <v>6.6993390000000003E-3</v>
      </c>
      <c r="X5610">
        <v>0.95816920000000005</v>
      </c>
      <c r="Y5610">
        <v>-0.4351833</v>
      </c>
      <c r="Z5610">
        <v>0.12869239999999901</v>
      </c>
      <c r="AA5610">
        <v>0.89109689999999997</v>
      </c>
      <c r="AB5610">
        <v>21</v>
      </c>
      <c r="AC5610">
        <v>0.63080000000002201</v>
      </c>
      <c r="AD5610">
        <v>-0.12570300000000001</v>
      </c>
      <c r="AE5610">
        <v>-0.45993000000000001</v>
      </c>
      <c r="AF5610">
        <v>-0.41553284927964401</v>
      </c>
      <c r="AG5610">
        <v>-0.12570300000000001</v>
      </c>
      <c r="AH5610">
        <v>0.63746537626446897</v>
      </c>
      <c r="AI5610">
        <v>99.380226123786599</v>
      </c>
      <c r="AJ5610">
        <v>123.098385137181</v>
      </c>
      <c r="AK5610">
        <v>0.77125281132418599</v>
      </c>
      <c r="AL5610">
        <v>89.616153264267396</v>
      </c>
      <c r="AM5610">
        <v>106.62641980398</v>
      </c>
      <c r="AN5610">
        <v>0.99999996294905702</v>
      </c>
    </row>
    <row r="5611" spans="1:40" x14ac:dyDescent="0.25">
      <c r="A5611" t="str">
        <f>"20190312151646615"</f>
        <v>20190312151646615</v>
      </c>
      <c r="B5611" t="str">
        <f>"1552375006603833"</f>
        <v>1552375006603833</v>
      </c>
      <c r="C5611" t="s">
        <v>40</v>
      </c>
      <c r="D5611">
        <v>4.5840259999999997</v>
      </c>
      <c r="E5611">
        <v>0.43587490000000001</v>
      </c>
      <c r="F5611" t="s">
        <v>64</v>
      </c>
      <c r="G5611">
        <v>-291.08839999999998</v>
      </c>
      <c r="H5611" s="1">
        <v>-1.002026E-5</v>
      </c>
      <c r="I5611">
        <v>-54.044139999999999</v>
      </c>
      <c r="J5611">
        <v>-297.43880000000001</v>
      </c>
      <c r="K5611">
        <v>1.1145020000000001</v>
      </c>
      <c r="L5611">
        <v>-48.361759999999997</v>
      </c>
      <c r="M5611">
        <v>0.36418040000000002</v>
      </c>
      <c r="N5611">
        <v>0</v>
      </c>
      <c r="O5611">
        <v>-0.93125800000000003</v>
      </c>
      <c r="P5611">
        <v>0.61637310000000001</v>
      </c>
      <c r="Q5611">
        <v>-1.4486239999999999E-3</v>
      </c>
      <c r="R5611">
        <v>-0.78745310000000002</v>
      </c>
      <c r="S5611">
        <v>2.2477109999999998</v>
      </c>
      <c r="T5611">
        <v>-0.38872279999999998</v>
      </c>
      <c r="U5611">
        <v>-2.057159</v>
      </c>
      <c r="V5611">
        <v>-0.28733999999999998</v>
      </c>
      <c r="W5611">
        <v>6.0937669999999999E-3</v>
      </c>
      <c r="X5611">
        <v>0.95780929999999997</v>
      </c>
      <c r="Y5611">
        <v>-0.43470769999999997</v>
      </c>
      <c r="Z5611">
        <v>0.1285287</v>
      </c>
      <c r="AA5611">
        <v>0.8913527</v>
      </c>
      <c r="AB5611">
        <v>21</v>
      </c>
      <c r="AC5611">
        <v>6.3504000000000298</v>
      </c>
      <c r="AD5611">
        <v>-1.1145120202600001</v>
      </c>
      <c r="AE5611">
        <v>-5.6823800000000002</v>
      </c>
      <c r="AF5611">
        <v>-3.78004273050604</v>
      </c>
      <c r="AG5611">
        <v>-1.1145120202600001</v>
      </c>
      <c r="AH5611">
        <v>7.4770544755995898</v>
      </c>
      <c r="AI5611">
        <v>97.577253901332298</v>
      </c>
      <c r="AJ5611">
        <v>116.81898815615401</v>
      </c>
      <c r="AK5611">
        <v>8.4520532250358809</v>
      </c>
      <c r="AL5611">
        <v>89.650850719962506</v>
      </c>
      <c r="AM5611">
        <v>106.69909111761901</v>
      </c>
      <c r="AN5611">
        <v>1.00000003238136</v>
      </c>
    </row>
    <row r="5612" spans="1:40" x14ac:dyDescent="0.25">
      <c r="A5612" t="str">
        <f>"20190312151646640"</f>
        <v>20190312151646640</v>
      </c>
      <c r="B5612" t="str">
        <f>"1552375006633112"</f>
        <v>1552375006633112</v>
      </c>
      <c r="C5612" t="s">
        <v>40</v>
      </c>
      <c r="D5612">
        <v>4.5483969999999996</v>
      </c>
      <c r="E5612">
        <v>0.43658570000000002</v>
      </c>
      <c r="F5612" t="s">
        <v>41</v>
      </c>
      <c r="G5612">
        <v>-296.69529999999997</v>
      </c>
      <c r="H5612">
        <v>0.98742319999999995</v>
      </c>
      <c r="I5612">
        <v>-49.028799999999997</v>
      </c>
      <c r="J5612">
        <v>-297.34140000000002</v>
      </c>
      <c r="K5612">
        <v>1.1145</v>
      </c>
      <c r="L5612">
        <v>-48.579279999999997</v>
      </c>
      <c r="M5612">
        <v>0.37328519999999998</v>
      </c>
      <c r="N5612">
        <v>0</v>
      </c>
      <c r="O5612">
        <v>-0.92764570000000002</v>
      </c>
      <c r="P5612">
        <v>0.62515690000000002</v>
      </c>
      <c r="Q5612">
        <v>-2.2594500000000001E-3</v>
      </c>
      <c r="R5612">
        <v>-0.78049619999999997</v>
      </c>
      <c r="S5612">
        <v>2.267487</v>
      </c>
      <c r="T5612">
        <v>-0.38754899999999998</v>
      </c>
      <c r="U5612">
        <v>-2.0341800000000001</v>
      </c>
      <c r="V5612">
        <v>-0.28867969999999998</v>
      </c>
      <c r="W5612">
        <v>5.2745730000000003E-3</v>
      </c>
      <c r="X5612">
        <v>0.95741120000000002</v>
      </c>
      <c r="Y5612">
        <v>-0.43481789999999998</v>
      </c>
      <c r="Z5612">
        <v>0.127993</v>
      </c>
      <c r="AA5612">
        <v>0.89137599999999995</v>
      </c>
      <c r="AB5612">
        <v>21</v>
      </c>
      <c r="AC5612">
        <v>0.64610000000004597</v>
      </c>
      <c r="AD5612">
        <v>-0.12707679999999999</v>
      </c>
      <c r="AE5612">
        <v>-0.44951999999999898</v>
      </c>
      <c r="AF5612">
        <v>-0.420617132417131</v>
      </c>
      <c r="AG5612">
        <v>-0.12707679999999999</v>
      </c>
      <c r="AH5612">
        <v>0.64149664277749696</v>
      </c>
      <c r="AI5612">
        <v>99.406167196880403</v>
      </c>
      <c r="AJ5612">
        <v>123.25209277064199</v>
      </c>
      <c r="AK5612">
        <v>0.77755078797198196</v>
      </c>
      <c r="AL5612">
        <v>89.697787826467206</v>
      </c>
      <c r="AM5612">
        <v>106.779168442575</v>
      </c>
      <c r="AN5612">
        <v>0.99999999809893103</v>
      </c>
    </row>
    <row r="5613" spans="1:40" x14ac:dyDescent="0.25">
      <c r="A5613" t="str">
        <f>"20190312151646659"</f>
        <v>20190312151646659</v>
      </c>
      <c r="B5613" t="str">
        <f>"1552375006653608"</f>
        <v>1552375006653608</v>
      </c>
      <c r="C5613" t="s">
        <v>40</v>
      </c>
      <c r="D5613">
        <v>4.6040020000000004</v>
      </c>
      <c r="E5613">
        <v>0.43702859999999999</v>
      </c>
      <c r="F5613" t="s">
        <v>41</v>
      </c>
      <c r="G5613">
        <v>-296.61779999999999</v>
      </c>
      <c r="H5613">
        <v>0.99069700000000005</v>
      </c>
      <c r="I5613">
        <v>-49.216419999999999</v>
      </c>
      <c r="J5613">
        <v>-297.26830000000001</v>
      </c>
      <c r="K5613">
        <v>1.1144989999999999</v>
      </c>
      <c r="L5613">
        <v>-48.738950000000003</v>
      </c>
      <c r="M5613">
        <v>0.37996790000000003</v>
      </c>
      <c r="N5613">
        <v>0</v>
      </c>
      <c r="O5613">
        <v>-0.92492839999999998</v>
      </c>
      <c r="P5613">
        <v>0.63164279999999995</v>
      </c>
      <c r="Q5613">
        <v>-2.8446069999999999E-3</v>
      </c>
      <c r="R5613">
        <v>-0.77525459999999902</v>
      </c>
      <c r="S5613">
        <v>2.2854920000000001</v>
      </c>
      <c r="T5613">
        <v>-0.39098500000000003</v>
      </c>
      <c r="U5613">
        <v>-2.0119630000000002</v>
      </c>
      <c r="V5613">
        <v>-0.28974870000000003</v>
      </c>
      <c r="W5613">
        <v>4.6833029999999998E-3</v>
      </c>
      <c r="X5613">
        <v>0.95709129999999998</v>
      </c>
      <c r="Y5613">
        <v>-0.43657950000000001</v>
      </c>
      <c r="Z5613">
        <v>0.12906889999999999</v>
      </c>
      <c r="AA5613">
        <v>0.89035919999999902</v>
      </c>
      <c r="AB5613">
        <v>21</v>
      </c>
      <c r="AC5613">
        <v>0.65050000000002195</v>
      </c>
      <c r="AD5613">
        <v>-0.123801999999999</v>
      </c>
      <c r="AE5613">
        <v>-0.47746999999999601</v>
      </c>
      <c r="AF5613">
        <v>-0.41060510154847801</v>
      </c>
      <c r="AG5613">
        <v>-0.123801999999999</v>
      </c>
      <c r="AH5613">
        <v>0.67299834922666502</v>
      </c>
      <c r="AI5613">
        <v>98.924609411285601</v>
      </c>
      <c r="AJ5613">
        <v>121.38791314692099</v>
      </c>
      <c r="AK5613">
        <v>0.79802898611732898</v>
      </c>
      <c r="AL5613">
        <v>89.731665522869406</v>
      </c>
      <c r="AM5613">
        <v>106.84310189243899</v>
      </c>
      <c r="AN5613">
        <v>0.99999999950718399</v>
      </c>
    </row>
    <row r="5614" spans="1:40" x14ac:dyDescent="0.25">
      <c r="A5614" t="str">
        <f>"20190312151646679"</f>
        <v>20190312151646679</v>
      </c>
      <c r="B5614" t="str">
        <f>"1552375006673130"</f>
        <v>1552375006673130</v>
      </c>
      <c r="C5614" t="s">
        <v>40</v>
      </c>
      <c r="D5614">
        <v>4.6178860000000004</v>
      </c>
      <c r="E5614">
        <v>0.43756010000000001</v>
      </c>
      <c r="F5614" t="s">
        <v>41</v>
      </c>
      <c r="G5614">
        <v>-296.54320000000001</v>
      </c>
      <c r="H5614">
        <v>0.9900793</v>
      </c>
      <c r="I5614">
        <v>-49.367930000000001</v>
      </c>
      <c r="J5614">
        <v>-297.18700000000001</v>
      </c>
      <c r="K5614">
        <v>1.1145</v>
      </c>
      <c r="L5614">
        <v>-48.913089999999997</v>
      </c>
      <c r="M5614">
        <v>0.38725300000000001</v>
      </c>
      <c r="N5614">
        <v>0</v>
      </c>
      <c r="O5614">
        <v>-0.92190190000000005</v>
      </c>
      <c r="P5614">
        <v>0.63792789999999999</v>
      </c>
      <c r="Q5614">
        <v>-2.6186569999999999E-3</v>
      </c>
      <c r="R5614">
        <v>-0.770092</v>
      </c>
      <c r="S5614">
        <v>2.2996219999999998</v>
      </c>
      <c r="T5614">
        <v>-0.39457209999999998</v>
      </c>
      <c r="U5614">
        <v>-1.994629</v>
      </c>
      <c r="V5614">
        <v>-0.28998570000000001</v>
      </c>
      <c r="W5614">
        <v>4.9169499999999998E-3</v>
      </c>
      <c r="X5614">
        <v>0.95701840000000005</v>
      </c>
      <c r="Y5614">
        <v>-0.43591980000000002</v>
      </c>
      <c r="Z5614">
        <v>0.13007939999999901</v>
      </c>
      <c r="AA5614">
        <v>0.89053539999999998</v>
      </c>
      <c r="AB5614">
        <v>21</v>
      </c>
      <c r="AC5614">
        <v>0.64379999999999804</v>
      </c>
      <c r="AD5614">
        <v>-0.1244207</v>
      </c>
      <c r="AE5614">
        <v>-0.45483999999999702</v>
      </c>
      <c r="AF5614">
        <v>-0.40726328096168002</v>
      </c>
      <c r="AG5614">
        <v>-0.1244207</v>
      </c>
      <c r="AH5614">
        <v>0.65242105691725205</v>
      </c>
      <c r="AI5614">
        <v>99.189364209783704</v>
      </c>
      <c r="AJ5614">
        <v>121.973804119783</v>
      </c>
      <c r="AK5614">
        <v>0.77910020287327997</v>
      </c>
      <c r="AL5614">
        <v>89.718278395908698</v>
      </c>
      <c r="AM5614">
        <v>106.857308898074</v>
      </c>
      <c r="AN5614">
        <v>1.00000005027017</v>
      </c>
    </row>
    <row r="5615" spans="1:40" x14ac:dyDescent="0.25">
      <c r="A5615" t="str">
        <f>"20190312151646699"</f>
        <v>20190312151646699</v>
      </c>
      <c r="B5615" t="str">
        <f>"1552375006693624"</f>
        <v>1552375006693624</v>
      </c>
      <c r="C5615" t="s">
        <v>40</v>
      </c>
      <c r="D5615">
        <v>4.626932</v>
      </c>
      <c r="E5615">
        <v>0.4380983</v>
      </c>
      <c r="F5615" t="s">
        <v>41</v>
      </c>
      <c r="G5615">
        <v>-296.45440000000002</v>
      </c>
      <c r="H5615">
        <v>0.98996280000000003</v>
      </c>
      <c r="I5615">
        <v>-49.53998</v>
      </c>
      <c r="J5615">
        <v>-297.10570000000001</v>
      </c>
      <c r="K5615">
        <v>1.114501</v>
      </c>
      <c r="L5615">
        <v>-49.083590000000001</v>
      </c>
      <c r="M5615">
        <v>0.39437860000000002</v>
      </c>
      <c r="N5615">
        <v>0</v>
      </c>
      <c r="O5615">
        <v>-0.91887589999999997</v>
      </c>
      <c r="P5615">
        <v>0.64399839999999997</v>
      </c>
      <c r="Q5615">
        <v>-2.390774E-3</v>
      </c>
      <c r="R5615">
        <v>-0.76502309999999996</v>
      </c>
      <c r="S5615">
        <v>2.3126829999999998</v>
      </c>
      <c r="T5615">
        <v>-0.39310650000000003</v>
      </c>
      <c r="U5615">
        <v>-1.9785159999999999</v>
      </c>
      <c r="V5615">
        <v>-0.29014780000000001</v>
      </c>
      <c r="W5615">
        <v>5.1520280000000003E-3</v>
      </c>
      <c r="X5615">
        <v>0.95696800000000004</v>
      </c>
      <c r="Y5615">
        <v>-0.43509310000000001</v>
      </c>
      <c r="Z5615">
        <v>0.1294303</v>
      </c>
      <c r="AA5615">
        <v>0.89103410000000005</v>
      </c>
      <c r="AB5615">
        <v>21</v>
      </c>
      <c r="AC5615">
        <v>0.651299999999992</v>
      </c>
      <c r="AD5615">
        <v>-0.124538199999999</v>
      </c>
      <c r="AE5615">
        <v>-0.45638999999999902</v>
      </c>
      <c r="AF5615">
        <v>-0.40848431806561197</v>
      </c>
      <c r="AG5615">
        <v>-0.124538199999999</v>
      </c>
      <c r="AH5615">
        <v>0.66008283861595296</v>
      </c>
      <c r="AI5615">
        <v>99.114579873929202</v>
      </c>
      <c r="AJ5615">
        <v>121.75079481570801</v>
      </c>
      <c r="AK5615">
        <v>0.786179721946618</v>
      </c>
      <c r="AL5615">
        <v>89.7048092400005</v>
      </c>
      <c r="AM5615">
        <v>106.86703498587801</v>
      </c>
      <c r="AN5615">
        <v>1.0000000211306701</v>
      </c>
    </row>
    <row r="5616" spans="1:40" x14ac:dyDescent="0.25">
      <c r="A5616" t="str">
        <f>"20190312151646719"</f>
        <v>20190312151646719</v>
      </c>
      <c r="B5616" t="str">
        <f>"1552375006713144"</f>
        <v>1552375006713144</v>
      </c>
      <c r="C5616" t="s">
        <v>40</v>
      </c>
      <c r="D5616">
        <v>4.6425179999999999</v>
      </c>
      <c r="E5616">
        <v>0.4383996</v>
      </c>
      <c r="F5616" t="s">
        <v>41</v>
      </c>
      <c r="G5616">
        <v>-296.36500000000001</v>
      </c>
      <c r="H5616">
        <v>0.98949209999999999</v>
      </c>
      <c r="I5616">
        <v>-49.709290000000003</v>
      </c>
      <c r="J5616">
        <v>-297.0283</v>
      </c>
      <c r="K5616">
        <v>1.1144989999999999</v>
      </c>
      <c r="L5616">
        <v>-49.243160000000003</v>
      </c>
      <c r="M5616">
        <v>0.4010435</v>
      </c>
      <c r="N5616">
        <v>0</v>
      </c>
      <c r="O5616">
        <v>-0.91598650000000004</v>
      </c>
      <c r="P5616">
        <v>0.64954699999999999</v>
      </c>
      <c r="Q5616">
        <v>-2.2928079999999999E-3</v>
      </c>
      <c r="R5616">
        <v>-0.7603181</v>
      </c>
      <c r="S5616">
        <v>2.3248600000000001</v>
      </c>
      <c r="T5616">
        <v>-0.39227499999999998</v>
      </c>
      <c r="U5616">
        <v>-1.963165</v>
      </c>
      <c r="V5616">
        <v>-0.290159</v>
      </c>
      <c r="W5616">
        <v>5.2569299999999999E-3</v>
      </c>
      <c r="X5616">
        <v>0.95696400000000004</v>
      </c>
      <c r="Y5616">
        <v>-0.43433749999999999</v>
      </c>
      <c r="Z5616">
        <v>0.12899479999999999</v>
      </c>
      <c r="AA5616">
        <v>0.89146579999999997</v>
      </c>
      <c r="AB5616">
        <v>21</v>
      </c>
      <c r="AC5616">
        <v>0.66329999999999201</v>
      </c>
      <c r="AD5616">
        <v>-0.125006899999999</v>
      </c>
      <c r="AE5616">
        <v>-0.46613000000000598</v>
      </c>
      <c r="AF5616">
        <v>-0.41089391083937898</v>
      </c>
      <c r="AG5616">
        <v>-0.125006899999999</v>
      </c>
      <c r="AH5616">
        <v>0.67693214275078895</v>
      </c>
      <c r="AI5616">
        <v>98.970756923948699</v>
      </c>
      <c r="AJ5616">
        <v>121.257509559033</v>
      </c>
      <c r="AK5616">
        <v>0.80168426260072201</v>
      </c>
      <c r="AL5616">
        <v>89.698798707164897</v>
      </c>
      <c r="AM5616">
        <v>106.86771559983499</v>
      </c>
      <c r="AN5616">
        <v>0.99999998894501196</v>
      </c>
    </row>
    <row r="5617" spans="1:40" x14ac:dyDescent="0.25">
      <c r="A5617" t="str">
        <f>"20190312151646742"</f>
        <v>20190312151646742</v>
      </c>
      <c r="B5617" t="str">
        <f>"1552375006733640"</f>
        <v>1552375006733640</v>
      </c>
      <c r="C5617" t="s">
        <v>40</v>
      </c>
      <c r="D5617">
        <v>4.6380049999999997</v>
      </c>
      <c r="E5617">
        <v>0.45376450000000002</v>
      </c>
      <c r="F5617" t="s">
        <v>41</v>
      </c>
      <c r="G5617">
        <v>-296.28449999999998</v>
      </c>
      <c r="H5617">
        <v>0.98940229999999996</v>
      </c>
      <c r="I5617">
        <v>-49.863689999999998</v>
      </c>
      <c r="J5617">
        <v>-296.93020000000001</v>
      </c>
      <c r="K5617">
        <v>1.1145039999999999</v>
      </c>
      <c r="L5617">
        <v>-49.441009999999999</v>
      </c>
      <c r="M5617">
        <v>0.4093</v>
      </c>
      <c r="N5617">
        <v>0</v>
      </c>
      <c r="O5617">
        <v>-0.91232709999999995</v>
      </c>
      <c r="P5617">
        <v>0.65654060000000003</v>
      </c>
      <c r="Q5617">
        <v>-2.0697900000000002E-3</v>
      </c>
      <c r="R5617">
        <v>-0.75428769999999901</v>
      </c>
      <c r="S5617">
        <v>2.336487</v>
      </c>
      <c r="T5617">
        <v>-0.3928914</v>
      </c>
      <c r="U5617">
        <v>-1.9484250000000001</v>
      </c>
      <c r="V5617">
        <v>-0.2903558</v>
      </c>
      <c r="W5617">
        <v>5.483903E-3</v>
      </c>
      <c r="X5617">
        <v>0.95690299999999995</v>
      </c>
      <c r="Y5617">
        <v>-0.4317124</v>
      </c>
      <c r="Z5617">
        <v>0.1289151</v>
      </c>
      <c r="AA5617">
        <v>0.89275159999999998</v>
      </c>
      <c r="AB5617">
        <v>21</v>
      </c>
      <c r="AC5617">
        <v>0.64570000000003303</v>
      </c>
      <c r="AD5617">
        <v>-0.12510170000000001</v>
      </c>
      <c r="AE5617">
        <v>-0.422680000000006</v>
      </c>
      <c r="AF5617">
        <v>-0.40545990423412798</v>
      </c>
      <c r="AG5617">
        <v>-0.12510170000000001</v>
      </c>
      <c r="AH5617">
        <v>0.63330890799401995</v>
      </c>
      <c r="AI5617">
        <v>99.445363901262894</v>
      </c>
      <c r="AJ5617">
        <v>122.6283689771</v>
      </c>
      <c r="AK5617">
        <v>0.76231774361418103</v>
      </c>
      <c r="AL5617">
        <v>89.685793914640897</v>
      </c>
      <c r="AM5617">
        <v>106.8795206029</v>
      </c>
      <c r="AN5617">
        <v>0.99999995759737503</v>
      </c>
    </row>
    <row r="5618" spans="1:40" x14ac:dyDescent="0.25">
      <c r="A5618" t="str">
        <f>"20190312151646761"</f>
        <v>20190312151646761</v>
      </c>
      <c r="B5618" t="str">
        <f>"1552375006753160"</f>
        <v>1552375006753160</v>
      </c>
      <c r="C5618" t="s">
        <v>40</v>
      </c>
      <c r="D5618">
        <v>4.6365410000000002</v>
      </c>
      <c r="E5618">
        <v>0.45433810000000002</v>
      </c>
      <c r="F5618" t="s">
        <v>64</v>
      </c>
      <c r="G5618">
        <v>-290.15699999999998</v>
      </c>
      <c r="H5618" s="1">
        <v>-1.021779E-5</v>
      </c>
      <c r="I5618">
        <v>-55.456699999999998</v>
      </c>
      <c r="J5618">
        <v>-296.84840000000003</v>
      </c>
      <c r="K5618">
        <v>1.1145050000000001</v>
      </c>
      <c r="L5618">
        <v>-49.602629999999998</v>
      </c>
      <c r="M5618">
        <v>0.41604150000000001</v>
      </c>
      <c r="N5618">
        <v>0</v>
      </c>
      <c r="O5618">
        <v>-0.90927259999999999</v>
      </c>
      <c r="P5618">
        <v>0.66238949999999996</v>
      </c>
      <c r="Q5618">
        <v>-2.2698839999999998E-3</v>
      </c>
      <c r="R5618">
        <v>-0.74915639999999994</v>
      </c>
      <c r="S5618">
        <v>2.261047</v>
      </c>
      <c r="T5618">
        <v>-0.37205100000000002</v>
      </c>
      <c r="U5618">
        <v>-2.0081790000000002</v>
      </c>
      <c r="V5618">
        <v>-0.29071609999999998</v>
      </c>
      <c r="W5618">
        <v>5.2822030000000001E-3</v>
      </c>
      <c r="X5618">
        <v>0.95679479999999995</v>
      </c>
      <c r="Y5618">
        <v>-0.3976171</v>
      </c>
      <c r="Z5618">
        <v>0.12170309999999999</v>
      </c>
      <c r="AA5618">
        <v>0.90944429999999998</v>
      </c>
      <c r="AB5618">
        <v>21</v>
      </c>
      <c r="AC5618">
        <v>6.6914000000000398</v>
      </c>
      <c r="AD5618">
        <v>-1.11451521779</v>
      </c>
      <c r="AE5618">
        <v>-5.8540700000000001</v>
      </c>
      <c r="AF5618">
        <v>-3.5925580413526599</v>
      </c>
      <c r="AG5618">
        <v>-1.11451521779</v>
      </c>
      <c r="AH5618">
        <v>7.9819523459048103</v>
      </c>
      <c r="AI5618">
        <v>97.256254408510301</v>
      </c>
      <c r="AJ5618">
        <v>114.231801289499</v>
      </c>
      <c r="AK5618">
        <v>8.8238416068891805</v>
      </c>
      <c r="AL5618">
        <v>89.697350660475493</v>
      </c>
      <c r="AM5618">
        <v>106.901075250543</v>
      </c>
      <c r="AN5618">
        <v>1.00000002088739</v>
      </c>
    </row>
    <row r="5619" spans="1:40" x14ac:dyDescent="0.25">
      <c r="A5619" t="str">
        <f>"20190312151646789"</f>
        <v>20190312151646789</v>
      </c>
      <c r="B5619" t="str">
        <f>"1552375006783417"</f>
        <v>1552375006783417</v>
      </c>
      <c r="C5619" t="s">
        <v>40</v>
      </c>
      <c r="D5619">
        <v>4.6152360000000003</v>
      </c>
      <c r="E5619">
        <v>0.45559529999999898</v>
      </c>
      <c r="F5619" t="s">
        <v>64</v>
      </c>
      <c r="G5619">
        <v>-290.0428</v>
      </c>
      <c r="H5619" s="1">
        <v>-1.0247730000000001E-5</v>
      </c>
      <c r="I5619">
        <v>-55.572699999999998</v>
      </c>
      <c r="J5619">
        <v>-296.73020000000002</v>
      </c>
      <c r="K5619">
        <v>1.1145099999999999</v>
      </c>
      <c r="L5619">
        <v>-49.831330000000001</v>
      </c>
      <c r="M5619">
        <v>0.42558459999999998</v>
      </c>
      <c r="N5619">
        <v>0</v>
      </c>
      <c r="O5619">
        <v>-0.90484540000000002</v>
      </c>
      <c r="P5619">
        <v>0.67049919999999996</v>
      </c>
      <c r="Q5619">
        <v>-2.5209020000000002E-3</v>
      </c>
      <c r="R5619">
        <v>-0.74190649999999903</v>
      </c>
      <c r="S5619">
        <v>2.2728269999999999</v>
      </c>
      <c r="T5619">
        <v>-0.37220530000000002</v>
      </c>
      <c r="U5619">
        <v>-1.9937739999999999</v>
      </c>
      <c r="V5619">
        <v>-0.29105449999999999</v>
      </c>
      <c r="W5619">
        <v>5.0218520000000003E-3</v>
      </c>
      <c r="X5619">
        <v>0.95669329999999997</v>
      </c>
      <c r="Y5619">
        <v>-0.39358569999999998</v>
      </c>
      <c r="Z5619">
        <v>0.12136619999999999</v>
      </c>
      <c r="AA5619">
        <v>0.91124119999999997</v>
      </c>
      <c r="AB5619">
        <v>21</v>
      </c>
      <c r="AC5619">
        <v>6.6874000000000198</v>
      </c>
      <c r="AD5619">
        <v>-1.11452024772999</v>
      </c>
      <c r="AE5619">
        <v>-5.7413699999999901</v>
      </c>
      <c r="AF5619">
        <v>-3.5510827911050198</v>
      </c>
      <c r="AG5619">
        <v>-1.11452024772999</v>
      </c>
      <c r="AH5619">
        <v>7.9150797970490903</v>
      </c>
      <c r="AI5619">
        <v>97.320822192833703</v>
      </c>
      <c r="AJ5619">
        <v>114.16328206945001</v>
      </c>
      <c r="AK5619">
        <v>8.7464754367423403</v>
      </c>
      <c r="AL5619">
        <v>89.712267867281994</v>
      </c>
      <c r="AM5619">
        <v>106.921317644677</v>
      </c>
      <c r="AN5619">
        <v>1.0000000056163201</v>
      </c>
    </row>
    <row r="5620" spans="1:40" x14ac:dyDescent="0.25">
      <c r="A5620" t="str">
        <f>"20190312151646812"</f>
        <v>20190312151646812</v>
      </c>
      <c r="B5620" t="str">
        <f>"1552375006803912"</f>
        <v>1552375006803912</v>
      </c>
      <c r="C5620" t="s">
        <v>40</v>
      </c>
      <c r="D5620">
        <v>4.6473870000000002</v>
      </c>
      <c r="E5620">
        <v>0.45612439999999999</v>
      </c>
      <c r="F5620" t="s">
        <v>64</v>
      </c>
      <c r="G5620">
        <v>-290.00130000000001</v>
      </c>
      <c r="H5620" s="1">
        <v>-1.0255770000000001E-5</v>
      </c>
      <c r="I5620">
        <v>-55.643259999999998</v>
      </c>
      <c r="J5620">
        <v>-296.62849999999997</v>
      </c>
      <c r="K5620">
        <v>1.1145149999999999</v>
      </c>
      <c r="L5620">
        <v>-50.023650000000004</v>
      </c>
      <c r="M5620">
        <v>0.433612</v>
      </c>
      <c r="N5620">
        <v>0</v>
      </c>
      <c r="O5620">
        <v>-0.90102610000000005</v>
      </c>
      <c r="P5620">
        <v>0.67719560000000001</v>
      </c>
      <c r="Q5620">
        <v>-1.947744E-3</v>
      </c>
      <c r="R5620">
        <v>-0.73580059999999903</v>
      </c>
      <c r="S5620">
        <v>2.2870789999999999</v>
      </c>
      <c r="T5620">
        <v>-0.37881179999999998</v>
      </c>
      <c r="U5620">
        <v>-1.975403</v>
      </c>
      <c r="V5620">
        <v>-0.291226599999999</v>
      </c>
      <c r="W5620">
        <v>5.5740240000000003E-3</v>
      </c>
      <c r="X5620">
        <v>0.95663790000000004</v>
      </c>
      <c r="Y5620">
        <v>-0.39222220000000002</v>
      </c>
      <c r="Z5620">
        <v>0.123237</v>
      </c>
      <c r="AA5620">
        <v>0.911578</v>
      </c>
      <c r="AB5620">
        <v>21</v>
      </c>
      <c r="AC5620">
        <v>6.6271999999999496</v>
      </c>
      <c r="AD5620">
        <v>-1.1145252557699901</v>
      </c>
      <c r="AE5620">
        <v>-5.61960999999999</v>
      </c>
      <c r="AF5620">
        <v>-3.47756921302999</v>
      </c>
      <c r="AG5620">
        <v>-1.1145252557699901</v>
      </c>
      <c r="AH5620">
        <v>7.8090952341792699</v>
      </c>
      <c r="AI5620">
        <v>97.428206136826802</v>
      </c>
      <c r="AJ5620">
        <v>114.00450660857599</v>
      </c>
      <c r="AK5620">
        <v>8.6207669353512006</v>
      </c>
      <c r="AL5620">
        <v>89.680630307909595</v>
      </c>
      <c r="AM5620">
        <v>106.931675370427</v>
      </c>
      <c r="AN5620">
        <v>1.0000000370037601</v>
      </c>
    </row>
    <row r="5621" spans="1:40" x14ac:dyDescent="0.25">
      <c r="A5621" t="str">
        <f>"20190312151646851"</f>
        <v>20190312151646851</v>
      </c>
      <c r="B5621" t="str">
        <f>"1552375006843928"</f>
        <v>1552375006843928</v>
      </c>
      <c r="C5621" t="s">
        <v>40</v>
      </c>
      <c r="D5621">
        <v>4.6646229999999997</v>
      </c>
      <c r="E5621">
        <v>0.46122629999999998</v>
      </c>
      <c r="F5621" t="s">
        <v>64</v>
      </c>
      <c r="G5621">
        <v>-289.85000000000002</v>
      </c>
      <c r="H5621" s="1">
        <v>-1.9591349999999999E-6</v>
      </c>
      <c r="I5621">
        <v>-55.786999999999999</v>
      </c>
      <c r="J5621">
        <v>-296.45260000000002</v>
      </c>
      <c r="K5621">
        <v>1.1145259999999999</v>
      </c>
      <c r="L5621">
        <v>-50.346499999999999</v>
      </c>
      <c r="M5621">
        <v>0.44709549999999998</v>
      </c>
      <c r="N5621">
        <v>0</v>
      </c>
      <c r="O5621">
        <v>-0.89441269999999995</v>
      </c>
      <c r="P5621">
        <v>0.68891289999999905</v>
      </c>
      <c r="Q5621">
        <v>-1.7539599999999999E-3</v>
      </c>
      <c r="R5621">
        <v>-0.72484249999999995</v>
      </c>
      <c r="S5621">
        <v>2.3021850000000001</v>
      </c>
      <c r="T5621">
        <v>-0.37852140000000001</v>
      </c>
      <c r="U5621">
        <v>-1.9573970000000001</v>
      </c>
      <c r="V5621">
        <v>-0.29220780000000002</v>
      </c>
      <c r="W5621">
        <v>5.7170719999999897E-3</v>
      </c>
      <c r="X5621">
        <v>0.95633769999999996</v>
      </c>
      <c r="Y5621">
        <v>-0.38555990000000001</v>
      </c>
      <c r="Z5621">
        <v>0.12246989999999899</v>
      </c>
      <c r="AA5621">
        <v>0.91451879999999997</v>
      </c>
      <c r="AB5621">
        <v>21</v>
      </c>
      <c r="AC5621">
        <v>6.60259999999999</v>
      </c>
      <c r="AD5621">
        <v>-1.1145279591349999</v>
      </c>
      <c r="AE5621">
        <v>-5.4405000000000001</v>
      </c>
      <c r="AF5621">
        <v>-3.4152933478187202</v>
      </c>
      <c r="AG5621">
        <v>-1.1145279591349999</v>
      </c>
      <c r="AH5621">
        <v>7.6880839634414002</v>
      </c>
      <c r="AI5621">
        <v>97.546829800348803</v>
      </c>
      <c r="AJ5621">
        <v>113.95232647621199</v>
      </c>
      <c r="AK5621">
        <v>8.4860495080027203</v>
      </c>
      <c r="AL5621">
        <v>89.672434099103</v>
      </c>
      <c r="AM5621">
        <v>106.990467271447</v>
      </c>
      <c r="AN5621">
        <v>0.99999993986718905</v>
      </c>
    </row>
    <row r="5622" spans="1:40" x14ac:dyDescent="0.25">
      <c r="A5622" t="str">
        <f>"20190312151646874"</f>
        <v>20190312151646874</v>
      </c>
      <c r="B5622" t="str">
        <f>"1552375006863450"</f>
        <v>1552375006863450</v>
      </c>
      <c r="C5622" t="s">
        <v>40</v>
      </c>
      <c r="D5622">
        <v>4.662795</v>
      </c>
      <c r="E5622">
        <v>0.46216279999999998</v>
      </c>
      <c r="F5622" t="s">
        <v>64</v>
      </c>
      <c r="G5622">
        <v>-287.44349999999997</v>
      </c>
      <c r="H5622" s="1">
        <v>-2.893941E-6</v>
      </c>
      <c r="I5622">
        <v>-57.989040000000003</v>
      </c>
      <c r="J5622">
        <v>-296.35059999999999</v>
      </c>
      <c r="K5622">
        <v>1.114528</v>
      </c>
      <c r="L5622">
        <v>-50.528590000000001</v>
      </c>
      <c r="M5622">
        <v>0.45470490000000002</v>
      </c>
      <c r="N5622">
        <v>0</v>
      </c>
      <c r="O5622">
        <v>-0.89056800000000003</v>
      </c>
      <c r="P5622">
        <v>0.69526860000000001</v>
      </c>
      <c r="Q5622">
        <v>-1.7612579999999999E-3</v>
      </c>
      <c r="R5622">
        <v>-0.7187479</v>
      </c>
      <c r="S5622">
        <v>2.3005680000000002</v>
      </c>
      <c r="T5622">
        <v>-0.28460570000000002</v>
      </c>
      <c r="U5622">
        <v>-1.9515990000000001</v>
      </c>
      <c r="V5622">
        <v>-0.29247509999999999</v>
      </c>
      <c r="W5622">
        <v>5.6889389999999996E-3</v>
      </c>
      <c r="X5622">
        <v>0.9562562</v>
      </c>
      <c r="Y5622">
        <v>-0.38143690000000002</v>
      </c>
      <c r="Z5622">
        <v>9.2180830000000005E-2</v>
      </c>
      <c r="AA5622">
        <v>0.91978729999999997</v>
      </c>
      <c r="AB5622">
        <v>21</v>
      </c>
      <c r="AC5622">
        <v>8.9071000000000105</v>
      </c>
      <c r="AD5622">
        <v>-1.1145308939409999</v>
      </c>
      <c r="AE5622">
        <v>-7.4604499999999998</v>
      </c>
      <c r="AF5622">
        <v>-4.4989767764760398</v>
      </c>
      <c r="AG5622">
        <v>-1.1145308939409999</v>
      </c>
      <c r="AH5622">
        <v>10.5973331009607</v>
      </c>
      <c r="AI5622">
        <v>95.529464195630297</v>
      </c>
      <c r="AJ5622">
        <v>113.003095695585</v>
      </c>
      <c r="AK5622">
        <v>11.566608837577901</v>
      </c>
      <c r="AL5622">
        <v>89.674046041994302</v>
      </c>
      <c r="AM5622">
        <v>107.00647875561501</v>
      </c>
      <c r="AN5622">
        <v>0.99999998409269697</v>
      </c>
    </row>
    <row r="5623" spans="1:40" x14ac:dyDescent="0.25">
      <c r="A5623" t="str">
        <f>"20190312151646895"</f>
        <v>20190312151646895</v>
      </c>
      <c r="B5623" t="str">
        <f>"1552375006883944"</f>
        <v>1552375006883944</v>
      </c>
      <c r="C5623" t="s">
        <v>40</v>
      </c>
      <c r="D5623">
        <v>4.6788759999999998</v>
      </c>
      <c r="E5623">
        <v>0.46362300000000001</v>
      </c>
      <c r="F5623" t="s">
        <v>64</v>
      </c>
      <c r="G5623">
        <v>-287.34280000000001</v>
      </c>
      <c r="H5623" s="1">
        <v>-2.93551E-6</v>
      </c>
      <c r="I5623">
        <v>-58.070099999999996</v>
      </c>
      <c r="J5623">
        <v>-296.24680000000001</v>
      </c>
      <c r="K5623">
        <v>1.1145350000000001</v>
      </c>
      <c r="L5623">
        <v>-50.710299999999997</v>
      </c>
      <c r="M5623">
        <v>0.46230779999999999</v>
      </c>
      <c r="N5623">
        <v>0</v>
      </c>
      <c r="O5623">
        <v>-0.88664569999999998</v>
      </c>
      <c r="P5623">
        <v>0.70134819999999998</v>
      </c>
      <c r="Q5623">
        <v>-2.1565690000000001E-3</v>
      </c>
      <c r="R5623">
        <v>-0.71281600000000001</v>
      </c>
      <c r="S5623">
        <v>2.3126220000000002</v>
      </c>
      <c r="T5623">
        <v>-0.28613749999999999</v>
      </c>
      <c r="U5623">
        <v>-1.9361569999999999</v>
      </c>
      <c r="V5623">
        <v>-0.29241149999999999</v>
      </c>
      <c r="W5623">
        <v>5.2779119999999896E-3</v>
      </c>
      <c r="X5623">
        <v>0.95627799999999996</v>
      </c>
      <c r="Y5623">
        <v>-0.37947570000000003</v>
      </c>
      <c r="Z5623">
        <v>9.2420760000000005E-2</v>
      </c>
      <c r="AA5623">
        <v>0.92057409999999995</v>
      </c>
      <c r="AB5623">
        <v>21</v>
      </c>
      <c r="AC5623">
        <v>8.9039999999999893</v>
      </c>
      <c r="AD5623">
        <v>-1.11453793551</v>
      </c>
      <c r="AE5623">
        <v>-7.3597999999999999</v>
      </c>
      <c r="AF5623">
        <v>-4.4510618590734898</v>
      </c>
      <c r="AG5623">
        <v>-1.11453793551</v>
      </c>
      <c r="AH5623">
        <v>10.544467456860399</v>
      </c>
      <c r="AI5623">
        <v>95.561839380037199</v>
      </c>
      <c r="AJ5623">
        <v>112.885724868841</v>
      </c>
      <c r="AK5623">
        <v>11.499562619151099</v>
      </c>
      <c r="AL5623">
        <v>89.697596506962498</v>
      </c>
      <c r="AM5623">
        <v>107.002628715439</v>
      </c>
      <c r="AN5623">
        <v>0.99999997748566405</v>
      </c>
    </row>
    <row r="5624" spans="1:40" x14ac:dyDescent="0.25">
      <c r="A5624" t="str">
        <f>"20190312151646918"</f>
        <v>20190312151646918</v>
      </c>
      <c r="B5624" t="str">
        <f>"1552375006913225"</f>
        <v>1552375006913225</v>
      </c>
      <c r="C5624" t="s">
        <v>40</v>
      </c>
      <c r="D5624">
        <v>4.6604330000000003</v>
      </c>
      <c r="E5624">
        <v>0.46485330000000002</v>
      </c>
      <c r="F5624" t="s">
        <v>64</v>
      </c>
      <c r="G5624">
        <v>-287.4126</v>
      </c>
      <c r="H5624" s="1">
        <v>-2.9023729999999998E-6</v>
      </c>
      <c r="I5624">
        <v>-58.033219999999901</v>
      </c>
      <c r="J5624">
        <v>-296.13780000000003</v>
      </c>
      <c r="K5624">
        <v>1.1145389999999999</v>
      </c>
      <c r="L5624">
        <v>-50.897030000000001</v>
      </c>
      <c r="M5624">
        <v>0.47012219999999999</v>
      </c>
      <c r="N5624">
        <v>0</v>
      </c>
      <c r="O5624">
        <v>-0.88252699999999995</v>
      </c>
      <c r="P5624">
        <v>0.70774269999999995</v>
      </c>
      <c r="Q5624">
        <v>-1.9913349999999999E-3</v>
      </c>
      <c r="R5624">
        <v>-0.70646730000000002</v>
      </c>
      <c r="S5624">
        <v>2.3211059999999999</v>
      </c>
      <c r="T5624">
        <v>-0.29283629999999999</v>
      </c>
      <c r="U5624">
        <v>-1.924042</v>
      </c>
      <c r="V5624">
        <v>-0.29258220000000001</v>
      </c>
      <c r="W5624">
        <v>5.4209599999999998E-3</v>
      </c>
      <c r="X5624">
        <v>0.95622499999999999</v>
      </c>
      <c r="Y5624">
        <v>-0.3756487</v>
      </c>
      <c r="Z5624">
        <v>9.4260849999999993E-2</v>
      </c>
      <c r="AA5624">
        <v>0.92195609999999995</v>
      </c>
      <c r="AB5624">
        <v>21</v>
      </c>
      <c r="AC5624">
        <v>8.7252000000000294</v>
      </c>
      <c r="AD5624">
        <v>-1.1145419023730001</v>
      </c>
      <c r="AE5624">
        <v>-7.1361899999999903</v>
      </c>
      <c r="AF5624">
        <v>-4.3035527290185502</v>
      </c>
      <c r="AG5624">
        <v>-1.1145419023730001</v>
      </c>
      <c r="AH5624">
        <v>10.2997725713115</v>
      </c>
      <c r="AI5624">
        <v>95.701810641264103</v>
      </c>
      <c r="AJ5624">
        <v>112.67662960613799</v>
      </c>
      <c r="AK5624">
        <v>11.218203277010501</v>
      </c>
      <c r="AL5624">
        <v>89.689400346901394</v>
      </c>
      <c r="AM5624">
        <v>107.012869739381</v>
      </c>
      <c r="AN5624">
        <v>0.99999999059458</v>
      </c>
    </row>
    <row r="5625" spans="1:40" x14ac:dyDescent="0.25">
      <c r="A5625" t="str">
        <f>"20190312151646941"</f>
        <v>20190312151646941</v>
      </c>
      <c r="B5625" t="str">
        <f>"1552375006933720"</f>
        <v>1552375006933720</v>
      </c>
      <c r="C5625" t="s">
        <v>40</v>
      </c>
      <c r="D5625">
        <v>4.6703159999999997</v>
      </c>
      <c r="E5625">
        <v>0.46568100000000001</v>
      </c>
      <c r="F5625" t="s">
        <v>64</v>
      </c>
      <c r="G5625">
        <v>-287.41910000000001</v>
      </c>
      <c r="H5625" s="1">
        <v>-2.8971939999999998E-6</v>
      </c>
      <c r="I5625">
        <v>-58.039140000000003</v>
      </c>
      <c r="J5625">
        <v>-296.02550000000002</v>
      </c>
      <c r="K5625">
        <v>1.114536</v>
      </c>
      <c r="L5625">
        <v>-51.085819999999998</v>
      </c>
      <c r="M5625">
        <v>0.47802410000000001</v>
      </c>
      <c r="N5625">
        <v>0</v>
      </c>
      <c r="O5625">
        <v>-0.87827250000000001</v>
      </c>
      <c r="P5625">
        <v>0.71411279999999999</v>
      </c>
      <c r="Q5625">
        <v>-2.1320319999999999E-3</v>
      </c>
      <c r="R5625">
        <v>-0.70002779999999998</v>
      </c>
      <c r="S5625">
        <v>2.331512</v>
      </c>
      <c r="T5625">
        <v>-0.29804609999999998</v>
      </c>
      <c r="U5625">
        <v>-1.9099120000000001</v>
      </c>
      <c r="V5625">
        <v>-0.29265999999999998</v>
      </c>
      <c r="W5625">
        <v>5.2545469999999896E-3</v>
      </c>
      <c r="X5625">
        <v>0.95620210000000005</v>
      </c>
      <c r="Y5625">
        <v>-0.37257400000000002</v>
      </c>
      <c r="Z5625">
        <v>9.5608109999999996E-2</v>
      </c>
      <c r="AA5625">
        <v>0.92306429999999995</v>
      </c>
      <c r="AB5625">
        <v>21</v>
      </c>
      <c r="AC5625">
        <v>8.6064000000000007</v>
      </c>
      <c r="AD5625">
        <v>-1.114538897194</v>
      </c>
      <c r="AE5625">
        <v>-6.9533199999999997</v>
      </c>
      <c r="AF5625">
        <v>-4.1926427884583903</v>
      </c>
      <c r="AG5625">
        <v>-1.114538897194</v>
      </c>
      <c r="AH5625">
        <v>10.118964446067899</v>
      </c>
      <c r="AI5625">
        <v>95.810135230040402</v>
      </c>
      <c r="AJ5625">
        <v>112.50594664945299</v>
      </c>
      <c r="AK5625">
        <v>11.009718069312999</v>
      </c>
      <c r="AL5625">
        <v>89.698935239478402</v>
      </c>
      <c r="AM5625">
        <v>107.01751624098701</v>
      </c>
      <c r="AN5625">
        <v>0.99999997095429205</v>
      </c>
    </row>
    <row r="5626" spans="1:40" x14ac:dyDescent="0.25">
      <c r="A5626" t="str">
        <f>"20190312151646963"</f>
        <v>20190312151646963</v>
      </c>
      <c r="B5626" t="str">
        <f>"1552375006953240"</f>
        <v>1552375006953240</v>
      </c>
      <c r="C5626" t="s">
        <v>40</v>
      </c>
      <c r="D5626">
        <v>4.6873670000000001</v>
      </c>
      <c r="E5626">
        <v>0.46627489999999999</v>
      </c>
      <c r="F5626" t="s">
        <v>64</v>
      </c>
      <c r="G5626">
        <v>-287.30939999999998</v>
      </c>
      <c r="H5626" s="1">
        <v>-2.942931E-6</v>
      </c>
      <c r="I5626">
        <v>-58.125630000000001</v>
      </c>
      <c r="J5626">
        <v>-295.92290000000003</v>
      </c>
      <c r="K5626">
        <v>1.114536</v>
      </c>
      <c r="L5626">
        <v>-51.255099999999999</v>
      </c>
      <c r="M5626">
        <v>0.48510399999999998</v>
      </c>
      <c r="N5626">
        <v>0</v>
      </c>
      <c r="O5626">
        <v>-0.87438199999999999</v>
      </c>
      <c r="P5626">
        <v>0.71938250000000004</v>
      </c>
      <c r="Q5626">
        <v>-2.887171E-3</v>
      </c>
      <c r="R5626">
        <v>-0.69460859999999902</v>
      </c>
      <c r="S5626">
        <v>2.344147</v>
      </c>
      <c r="T5626">
        <v>-0.29974790000000001</v>
      </c>
      <c r="U5626">
        <v>-1.893311</v>
      </c>
      <c r="V5626">
        <v>-0.29215269999999999</v>
      </c>
      <c r="W5626">
        <v>4.4844639999999996E-3</v>
      </c>
      <c r="X5626">
        <v>0.95636120000000002</v>
      </c>
      <c r="Y5626">
        <v>-0.37143619999999999</v>
      </c>
      <c r="Z5626">
        <v>9.5892370000000005E-2</v>
      </c>
      <c r="AA5626">
        <v>0.92349329999999996</v>
      </c>
      <c r="AB5626">
        <v>21</v>
      </c>
      <c r="AC5626">
        <v>8.6135000000000392</v>
      </c>
      <c r="AD5626">
        <v>-1.114538942931</v>
      </c>
      <c r="AE5626">
        <v>-6.8705299999999996</v>
      </c>
      <c r="AF5626">
        <v>-4.1563114955739504</v>
      </c>
      <c r="AG5626">
        <v>-1.114538942931</v>
      </c>
      <c r="AH5626">
        <v>10.083395471657299</v>
      </c>
      <c r="AI5626">
        <v>95.834868255107594</v>
      </c>
      <c r="AJ5626">
        <v>112.40114524424401</v>
      </c>
      <c r="AK5626">
        <v>10.963210594592701</v>
      </c>
      <c r="AL5626">
        <v>89.743058285333206</v>
      </c>
      <c r="AM5626">
        <v>106.987054582135</v>
      </c>
      <c r="AN5626">
        <v>1.00000002770004</v>
      </c>
    </row>
    <row r="5627" spans="1:40" x14ac:dyDescent="0.25">
      <c r="A5627" t="str">
        <f>"20190312151646986"</f>
        <v>20190312151646986</v>
      </c>
      <c r="B5627" t="str">
        <f>"1552375006973736"</f>
        <v>1552375006973736</v>
      </c>
      <c r="C5627" t="s">
        <v>40</v>
      </c>
      <c r="D5627">
        <v>4.6999890000000004</v>
      </c>
      <c r="E5627">
        <v>0.46659200000000001</v>
      </c>
      <c r="F5627" t="s">
        <v>64</v>
      </c>
      <c r="G5627">
        <v>-287.25110000000001</v>
      </c>
      <c r="H5627" s="1">
        <v>-2.9665220000000001E-6</v>
      </c>
      <c r="I5627">
        <v>-58.174639999999997</v>
      </c>
      <c r="J5627">
        <v>-295.8057</v>
      </c>
      <c r="K5627">
        <v>1.1145259999999999</v>
      </c>
      <c r="L5627">
        <v>-51.444760000000002</v>
      </c>
      <c r="M5627">
        <v>0.4930235</v>
      </c>
      <c r="N5627">
        <v>0</v>
      </c>
      <c r="O5627">
        <v>-0.86994150000000003</v>
      </c>
      <c r="P5627">
        <v>0.72553570000000001</v>
      </c>
      <c r="Q5627">
        <v>-3.519271E-3</v>
      </c>
      <c r="R5627">
        <v>-0.6881758</v>
      </c>
      <c r="S5627">
        <v>2.3547669999999998</v>
      </c>
      <c r="T5627">
        <v>-0.30264720000000001</v>
      </c>
      <c r="U5627">
        <v>-1.8789670000000001</v>
      </c>
      <c r="V5627">
        <v>-0.29197380000000001</v>
      </c>
      <c r="W5627">
        <v>3.8335869999999998E-3</v>
      </c>
      <c r="X5627">
        <v>0.95641860000000001</v>
      </c>
      <c r="Y5627">
        <v>-0.36841679999999999</v>
      </c>
      <c r="Z5627">
        <v>9.6461720000000001E-2</v>
      </c>
      <c r="AA5627">
        <v>0.92464270000000004</v>
      </c>
      <c r="AB5627">
        <v>22</v>
      </c>
      <c r="AC5627">
        <v>8.55459999999999</v>
      </c>
      <c r="AD5627">
        <v>-1.114528966522</v>
      </c>
      <c r="AE5627">
        <v>-6.7298799999999996</v>
      </c>
      <c r="AF5627">
        <v>-4.08148578787804</v>
      </c>
      <c r="AG5627">
        <v>-1.114528966522</v>
      </c>
      <c r="AH5627">
        <v>9.9683560967817808</v>
      </c>
      <c r="AI5627">
        <v>95.907346100502593</v>
      </c>
      <c r="AJ5627">
        <v>112.26636261355</v>
      </c>
      <c r="AK5627">
        <v>10.829073105585399</v>
      </c>
      <c r="AL5627">
        <v>89.780351099322502</v>
      </c>
      <c r="AM5627">
        <v>106.976290661517</v>
      </c>
      <c r="AN5627">
        <v>0.99999996735084196</v>
      </c>
    </row>
    <row r="5628" spans="1:40" x14ac:dyDescent="0.25">
      <c r="A5628" t="str">
        <f>"20190312151647016"</f>
        <v>20190312151647016</v>
      </c>
      <c r="B5628" t="str">
        <f>"1552375007013753"</f>
        <v>1552375007013753</v>
      </c>
      <c r="C5628" t="s">
        <v>40</v>
      </c>
      <c r="D5628">
        <v>4.6371529999999996</v>
      </c>
      <c r="E5628">
        <v>0.45158569999999998</v>
      </c>
      <c r="F5628" t="s">
        <v>64</v>
      </c>
      <c r="G5628">
        <v>-287.15350000000001</v>
      </c>
      <c r="H5628" s="1">
        <v>-3.0111159999999999E-6</v>
      </c>
      <c r="I5628">
        <v>-58.233890000000002</v>
      </c>
      <c r="J5628">
        <v>-295.65249999999997</v>
      </c>
      <c r="K5628">
        <v>1.1145149999999999</v>
      </c>
      <c r="L5628">
        <v>-51.687100000000001</v>
      </c>
      <c r="M5628">
        <v>0.50311949999999905</v>
      </c>
      <c r="N5628">
        <v>0</v>
      </c>
      <c r="O5628">
        <v>-0.86414219999999897</v>
      </c>
      <c r="P5628">
        <v>0.73336080000000003</v>
      </c>
      <c r="Q5628">
        <v>-4.2551849999999999E-3</v>
      </c>
      <c r="R5628">
        <v>-0.67982690000000001</v>
      </c>
      <c r="S5628">
        <v>2.3696899999999999</v>
      </c>
      <c r="T5628">
        <v>-0.30525219999999997</v>
      </c>
      <c r="U5628">
        <v>-1.8594360000000001</v>
      </c>
      <c r="V5628">
        <v>-0.29177110000000001</v>
      </c>
      <c r="W5628">
        <v>3.0825729999999999E-3</v>
      </c>
      <c r="X5628">
        <v>0.95648319999999998</v>
      </c>
      <c r="Y5628">
        <v>-0.36509570000000002</v>
      </c>
      <c r="Z5628">
        <v>9.6816440000000004E-2</v>
      </c>
      <c r="AA5628">
        <v>0.92592209999999997</v>
      </c>
      <c r="AB5628">
        <v>22</v>
      </c>
      <c r="AC5628">
        <v>8.4989999999999597</v>
      </c>
      <c r="AD5628">
        <v>-1.114518011116</v>
      </c>
      <c r="AE5628">
        <v>-6.5467899999999997</v>
      </c>
      <c r="AF5628">
        <v>-4.0075366981537002</v>
      </c>
      <c r="AG5628">
        <v>-1.114518011116</v>
      </c>
      <c r="AH5628">
        <v>9.8279426104795604</v>
      </c>
      <c r="AI5628">
        <v>95.994565599605593</v>
      </c>
      <c r="AJ5628">
        <v>112.18414390752601</v>
      </c>
      <c r="AK5628">
        <v>10.671970611795601</v>
      </c>
      <c r="AL5628">
        <v>89.823381296368296</v>
      </c>
      <c r="AM5628">
        <v>106.964102122244</v>
      </c>
      <c r="AN5628">
        <v>0.99999999446687504</v>
      </c>
    </row>
    <row r="5629" spans="1:40" x14ac:dyDescent="0.25">
      <c r="A5629" t="str">
        <f>"20190312151647037"</f>
        <v>20190312151647037</v>
      </c>
      <c r="B5629" t="str">
        <f>"1552375007033273"</f>
        <v>1552375007033273</v>
      </c>
      <c r="C5629" t="s">
        <v>40</v>
      </c>
      <c r="D5629">
        <v>4.6625350000000001</v>
      </c>
      <c r="E5629">
        <v>0.44951249999999998</v>
      </c>
      <c r="F5629" t="s">
        <v>64</v>
      </c>
      <c r="G5629">
        <v>-288.21140000000003</v>
      </c>
      <c r="H5629" s="1">
        <v>-2.6760720000000002E-6</v>
      </c>
      <c r="I5629">
        <v>-56.924689999999998</v>
      </c>
      <c r="J5629">
        <v>-295.54520000000002</v>
      </c>
      <c r="K5629">
        <v>1.114503</v>
      </c>
      <c r="L5629">
        <v>-51.85324</v>
      </c>
      <c r="M5629">
        <v>0.51001949999999996</v>
      </c>
      <c r="N5629">
        <v>0</v>
      </c>
      <c r="O5629">
        <v>-0.86008790000000002</v>
      </c>
      <c r="P5629">
        <v>0.73854529999999996</v>
      </c>
      <c r="Q5629">
        <v>-5.1986519999999998E-3</v>
      </c>
      <c r="R5629">
        <v>-0.6741838</v>
      </c>
      <c r="S5629">
        <v>2.4742130000000002</v>
      </c>
      <c r="T5629">
        <v>-0.3705812</v>
      </c>
      <c r="U5629">
        <v>-1.7415160000000001</v>
      </c>
      <c r="V5629">
        <v>-0.29143249999999998</v>
      </c>
      <c r="W5629">
        <v>2.1360530000000002E-3</v>
      </c>
      <c r="X5629">
        <v>0.95658900000000002</v>
      </c>
      <c r="Y5629">
        <v>-0.40335700000000002</v>
      </c>
      <c r="Z5629">
        <v>0.1178057</v>
      </c>
      <c r="AA5629">
        <v>0.90742769999999995</v>
      </c>
      <c r="AB5629">
        <v>22</v>
      </c>
      <c r="AC5629">
        <v>7.3337999999999903</v>
      </c>
      <c r="AD5629">
        <v>-1.114505676072</v>
      </c>
      <c r="AE5629">
        <v>-5.0714499999999996</v>
      </c>
      <c r="AF5629">
        <v>-3.6641675303203098</v>
      </c>
      <c r="AG5629">
        <v>-1.114505676072</v>
      </c>
      <c r="AH5629">
        <v>7.9781505957275503</v>
      </c>
      <c r="AI5629">
        <v>97.234785885831798</v>
      </c>
      <c r="AJ5629">
        <v>114.668150336823</v>
      </c>
      <c r="AK5629">
        <v>8.8498098013662592</v>
      </c>
      <c r="AL5629">
        <v>89.877613083971795</v>
      </c>
      <c r="AM5629">
        <v>106.94377718348601</v>
      </c>
      <c r="AN5629">
        <v>0.99999998984983396</v>
      </c>
    </row>
    <row r="5630" spans="1:40" x14ac:dyDescent="0.25">
      <c r="A5630" t="str">
        <f>"20190312151647058"</f>
        <v>20190312151647058</v>
      </c>
      <c r="B5630" t="str">
        <f>"1552375007053769"</f>
        <v>1552375007053769</v>
      </c>
      <c r="C5630" t="s">
        <v>40</v>
      </c>
      <c r="D5630">
        <v>4.6638190000000002</v>
      </c>
      <c r="E5630">
        <v>0.44918580000000002</v>
      </c>
      <c r="F5630" t="s">
        <v>41</v>
      </c>
      <c r="G5630">
        <v>-294.6576</v>
      </c>
      <c r="H5630">
        <v>0.97589150000000002</v>
      </c>
      <c r="I5630">
        <v>-52.460619999999999</v>
      </c>
      <c r="J5630">
        <v>-295.4366</v>
      </c>
      <c r="K5630">
        <v>1.114482</v>
      </c>
      <c r="L5630">
        <v>-52.018549999999998</v>
      </c>
      <c r="M5630">
        <v>0.51686609999999999</v>
      </c>
      <c r="N5630">
        <v>0</v>
      </c>
      <c r="O5630">
        <v>-0.8559911</v>
      </c>
      <c r="P5630">
        <v>0.7436121</v>
      </c>
      <c r="Q5630">
        <v>-6.1736029999999997E-3</v>
      </c>
      <c r="R5630">
        <v>-0.66858269999999997</v>
      </c>
      <c r="S5630">
        <v>2.4988100000000002</v>
      </c>
      <c r="T5630">
        <v>-0.39019110000000001</v>
      </c>
      <c r="U5630">
        <v>-1.7094419999999999</v>
      </c>
      <c r="V5630">
        <v>-0.29101199999999999</v>
      </c>
      <c r="W5630">
        <v>1.15997E-3</v>
      </c>
      <c r="X5630">
        <v>0.95671870000000003</v>
      </c>
      <c r="Y5630">
        <v>-0.4074817</v>
      </c>
      <c r="Z5630">
        <v>0.12370440000000001</v>
      </c>
      <c r="AA5630">
        <v>0.90479600000000004</v>
      </c>
      <c r="AB5630">
        <v>22</v>
      </c>
      <c r="AC5630">
        <v>0.77899999999999603</v>
      </c>
      <c r="AD5630">
        <v>-0.13859049999999901</v>
      </c>
      <c r="AE5630">
        <v>-0.44207000000000102</v>
      </c>
      <c r="AF5630">
        <v>-0.428104877750204</v>
      </c>
      <c r="AG5630">
        <v>-0.13859049999999901</v>
      </c>
      <c r="AH5630">
        <v>0.76283368753952996</v>
      </c>
      <c r="AI5630">
        <v>99.002784516078094</v>
      </c>
      <c r="AJ5630">
        <v>119.301289619155</v>
      </c>
      <c r="AK5630">
        <v>0.88566153122336999</v>
      </c>
      <c r="AL5630">
        <v>89.933538599753902</v>
      </c>
      <c r="AM5630">
        <v>106.91856441702799</v>
      </c>
      <c r="AN5630">
        <v>1.0000000003020399</v>
      </c>
    </row>
    <row r="5631" spans="1:40" x14ac:dyDescent="0.25">
      <c r="A5631" t="str">
        <f>"20190312151647079"</f>
        <v>20190312151647079</v>
      </c>
      <c r="B5631" t="str">
        <f>"1552375007073289"</f>
        <v>1552375007073289</v>
      </c>
      <c r="C5631" t="s">
        <v>40</v>
      </c>
      <c r="D5631">
        <v>4.7837639999999997</v>
      </c>
      <c r="E5631">
        <v>0.44911980000000001</v>
      </c>
      <c r="F5631" t="s">
        <v>64</v>
      </c>
      <c r="G5631">
        <v>-288.43529999999998</v>
      </c>
      <c r="H5631" s="1">
        <v>-2.588934E-6</v>
      </c>
      <c r="I5631">
        <v>-56.720419999999997</v>
      </c>
      <c r="J5631">
        <v>-295.32839999999999</v>
      </c>
      <c r="K5631">
        <v>1.1144719999999999</v>
      </c>
      <c r="L5631">
        <v>-52.18036</v>
      </c>
      <c r="M5631">
        <v>0.52354509999999999</v>
      </c>
      <c r="N5631">
        <v>0</v>
      </c>
      <c r="O5631">
        <v>-0.85192269999999903</v>
      </c>
      <c r="P5631">
        <v>0.74825129999999995</v>
      </c>
      <c r="Q5631">
        <v>-6.6448380000000001E-3</v>
      </c>
      <c r="R5631">
        <v>-0.66338249999999999</v>
      </c>
      <c r="S5631">
        <v>2.5134280000000002</v>
      </c>
      <c r="T5631">
        <v>-0.40009749999999999</v>
      </c>
      <c r="U5631">
        <v>-1.6879580000000001</v>
      </c>
      <c r="V5631">
        <v>-0.2901899</v>
      </c>
      <c r="W5631">
        <v>6.9600759999999999E-4</v>
      </c>
      <c r="X5631">
        <v>0.95696879999999995</v>
      </c>
      <c r="Y5631">
        <v>-0.40777059999999998</v>
      </c>
      <c r="Z5631">
        <v>0.1264701</v>
      </c>
      <c r="AA5631">
        <v>0.90428339999999996</v>
      </c>
      <c r="AB5631">
        <v>22</v>
      </c>
      <c r="AC5631">
        <v>6.8930999999999996</v>
      </c>
      <c r="AD5631">
        <v>-1.114474588934</v>
      </c>
      <c r="AE5631">
        <v>-4.5400599999999898</v>
      </c>
      <c r="AF5631">
        <v>-3.4330960253781702</v>
      </c>
      <c r="AG5631">
        <v>-1.114474588934</v>
      </c>
      <c r="AH5631">
        <v>7.3432306010264501</v>
      </c>
      <c r="AI5631">
        <v>97.828265341000005</v>
      </c>
      <c r="AJ5631">
        <v>115.056957851451</v>
      </c>
      <c r="AK5631">
        <v>8.1823735913668898</v>
      </c>
      <c r="AL5631">
        <v>89.960121697727701</v>
      </c>
      <c r="AM5631">
        <v>106.869330070091</v>
      </c>
      <c r="AN5631">
        <v>0.99999997333101398</v>
      </c>
    </row>
    <row r="5632" spans="1:40" x14ac:dyDescent="0.25">
      <c r="A5632" t="str">
        <f>"20190312151647119"</f>
        <v>20190312151647119</v>
      </c>
      <c r="B5632" t="str">
        <f>"1552375007113131"</f>
        <v>1552375007113131</v>
      </c>
      <c r="C5632" t="s">
        <v>40</v>
      </c>
      <c r="D5632">
        <v>4.7494399999999999</v>
      </c>
      <c r="E5632">
        <v>0.44783859999999998</v>
      </c>
      <c r="F5632" t="s">
        <v>64</v>
      </c>
      <c r="G5632">
        <v>-288.36439999999999</v>
      </c>
      <c r="H5632" s="1">
        <v>-2.6164879999999999E-6</v>
      </c>
      <c r="I5632">
        <v>-56.785369999999901</v>
      </c>
      <c r="J5632">
        <v>-295.10599999999999</v>
      </c>
      <c r="K5632">
        <v>1.114449</v>
      </c>
      <c r="L5632">
        <v>-52.505070000000003</v>
      </c>
      <c r="M5632">
        <v>0.53686440000000002</v>
      </c>
      <c r="N5632">
        <v>0</v>
      </c>
      <c r="O5632">
        <v>-0.84359289999999998</v>
      </c>
      <c r="P5632">
        <v>0.7577448</v>
      </c>
      <c r="Q5632">
        <v>-7.55068699999999E-3</v>
      </c>
      <c r="R5632">
        <v>-0.65250739999999996</v>
      </c>
      <c r="S5632">
        <v>2.525299</v>
      </c>
      <c r="T5632">
        <v>-0.40412930000000002</v>
      </c>
      <c r="U5632">
        <v>-1.669861</v>
      </c>
      <c r="V5632">
        <v>-0.28895720000000003</v>
      </c>
      <c r="W5632">
        <v>-1.9621800000000001E-4</v>
      </c>
      <c r="X5632">
        <v>0.95734200000000003</v>
      </c>
      <c r="Y5632">
        <v>-0.39982719999999999</v>
      </c>
      <c r="Z5632">
        <v>0.1266901</v>
      </c>
      <c r="AA5632">
        <v>0.90779279999999996</v>
      </c>
      <c r="AB5632">
        <v>22</v>
      </c>
      <c r="AC5632">
        <v>6.7416</v>
      </c>
      <c r="AD5632">
        <v>-1.1144516164880001</v>
      </c>
      <c r="AE5632">
        <v>-4.2802999999999898</v>
      </c>
      <c r="AF5632">
        <v>-3.3246890798414199</v>
      </c>
      <c r="AG5632">
        <v>-1.1144516164880001</v>
      </c>
      <c r="AH5632">
        <v>7.0924823095003902</v>
      </c>
      <c r="AI5632">
        <v>98.097431793114694</v>
      </c>
      <c r="AJ5632">
        <v>115.115417698813</v>
      </c>
      <c r="AK5632">
        <v>7.9119444635112002</v>
      </c>
      <c r="AL5632">
        <v>90.011242463297805</v>
      </c>
      <c r="AM5632">
        <v>106.795535682487</v>
      </c>
      <c r="AN5632">
        <v>1.00000000344867</v>
      </c>
    </row>
    <row r="5633" spans="1:40" x14ac:dyDescent="0.25">
      <c r="A5633" t="str">
        <f>"20190312151647141"</f>
        <v>20190312151647141</v>
      </c>
      <c r="B5633" t="str">
        <f>"1552375007133628"</f>
        <v>1552375007133628</v>
      </c>
      <c r="C5633" t="s">
        <v>40</v>
      </c>
      <c r="D5633">
        <v>4.6442730000000001</v>
      </c>
      <c r="E5633">
        <v>0.4549069</v>
      </c>
      <c r="F5633" t="s">
        <v>64</v>
      </c>
      <c r="G5633">
        <v>-289.78739999999999</v>
      </c>
      <c r="H5633" s="1">
        <v>-1.9773900000000001E-6</v>
      </c>
      <c r="I5633">
        <v>-55.871380000000002</v>
      </c>
      <c r="J5633">
        <v>-294.98750000000001</v>
      </c>
      <c r="K5633">
        <v>1.1144350000000001</v>
      </c>
      <c r="L5633">
        <v>-52.67389</v>
      </c>
      <c r="M5633">
        <v>0.54374999999999996</v>
      </c>
      <c r="N5633">
        <v>0</v>
      </c>
      <c r="O5633">
        <v>-0.83917140000000001</v>
      </c>
      <c r="P5633">
        <v>0.76287419999999995</v>
      </c>
      <c r="Q5633">
        <v>-8.0803070000000001E-3</v>
      </c>
      <c r="R5633">
        <v>-0.64649669999999904</v>
      </c>
      <c r="S5633">
        <v>2.559021</v>
      </c>
      <c r="T5633">
        <v>-0.53621409999999903</v>
      </c>
      <c r="U5633">
        <v>-1.6196900000000001</v>
      </c>
      <c r="V5633">
        <v>-0.28867999999999999</v>
      </c>
      <c r="W5633">
        <v>-7.2334190000000005E-4</v>
      </c>
      <c r="X5633">
        <v>0.95742539999999998</v>
      </c>
      <c r="Y5633">
        <v>-0.40457090000000001</v>
      </c>
      <c r="Z5633">
        <v>0.16692589999999999</v>
      </c>
      <c r="AA5633">
        <v>0.89914300000000003</v>
      </c>
      <c r="AB5633">
        <v>22</v>
      </c>
      <c r="AC5633">
        <v>5.2001000000000097</v>
      </c>
      <c r="AD5633">
        <v>-1.11443697739</v>
      </c>
      <c r="AE5633">
        <v>-3.1974900000000002</v>
      </c>
      <c r="AF5633">
        <v>-2.5406327396230401</v>
      </c>
      <c r="AG5633">
        <v>-1.11443697739</v>
      </c>
      <c r="AH5633">
        <v>5.3333955698608602</v>
      </c>
      <c r="AI5633">
        <v>100.682969191181</v>
      </c>
      <c r="AJ5633">
        <v>115.471405985605</v>
      </c>
      <c r="AK5633">
        <v>6.0118127714384197</v>
      </c>
      <c r="AL5633">
        <v>90.041444440340399</v>
      </c>
      <c r="AM5633">
        <v>106.778950026348</v>
      </c>
      <c r="AN5633">
        <v>1.00000003109433</v>
      </c>
    </row>
    <row r="5634" spans="1:40" x14ac:dyDescent="0.25">
      <c r="A5634" t="str">
        <f>"20190312151647163"</f>
        <v>20190312151647163</v>
      </c>
      <c r="B5634" t="str">
        <f>"1552375007153148"</f>
        <v>1552375007153148</v>
      </c>
      <c r="C5634" t="s">
        <v>40</v>
      </c>
      <c r="D5634">
        <v>4.6304249999999998</v>
      </c>
      <c r="E5634">
        <v>0.4548005</v>
      </c>
      <c r="F5634" t="s">
        <v>64</v>
      </c>
      <c r="G5634">
        <v>-286.9665</v>
      </c>
      <c r="H5634" s="1">
        <v>-3.1944669999999998E-6</v>
      </c>
      <c r="I5634">
        <v>-57.9071</v>
      </c>
      <c r="J5634">
        <v>-294.86149999999998</v>
      </c>
      <c r="K5634">
        <v>1.114428</v>
      </c>
      <c r="L5634">
        <v>-52.850160000000002</v>
      </c>
      <c r="M5634">
        <v>0.55091449999999997</v>
      </c>
      <c r="N5634">
        <v>0</v>
      </c>
      <c r="O5634">
        <v>-0.83448549999999999</v>
      </c>
      <c r="P5634">
        <v>0.76789810000000003</v>
      </c>
      <c r="Q5634">
        <v>-8.7191109999999999E-3</v>
      </c>
      <c r="R5634">
        <v>-0.64051279999999999</v>
      </c>
      <c r="S5634">
        <v>2.529938</v>
      </c>
      <c r="T5634">
        <v>-0.35151120000000002</v>
      </c>
      <c r="U5634">
        <v>-1.6506350000000001</v>
      </c>
      <c r="V5634">
        <v>-0.28795480000000001</v>
      </c>
      <c r="W5634">
        <v>-1.354086E-3</v>
      </c>
      <c r="X5634">
        <v>0.95764300000000002</v>
      </c>
      <c r="Y5634">
        <v>-0.39199990000000001</v>
      </c>
      <c r="Z5634">
        <v>0.10962719999999999</v>
      </c>
      <c r="AA5634">
        <v>0.9134101</v>
      </c>
      <c r="AB5634">
        <v>22</v>
      </c>
      <c r="AC5634">
        <v>7.89499999999998</v>
      </c>
      <c r="AD5634">
        <v>-1.114431194467</v>
      </c>
      <c r="AE5634">
        <v>-5.05694</v>
      </c>
      <c r="AF5634">
        <v>-3.7495867729849199</v>
      </c>
      <c r="AG5634">
        <v>-1.114431194467</v>
      </c>
      <c r="AH5634">
        <v>8.4505632569997005</v>
      </c>
      <c r="AI5634">
        <v>96.873454001871593</v>
      </c>
      <c r="AJ5634">
        <v>113.92726829676801</v>
      </c>
      <c r="AK5634">
        <v>9.3120017834995004</v>
      </c>
      <c r="AL5634">
        <v>90.077583439871205</v>
      </c>
      <c r="AM5634">
        <v>106.73556894853201</v>
      </c>
      <c r="AN5634">
        <v>0.99999995792046603</v>
      </c>
    </row>
    <row r="5635" spans="1:40" x14ac:dyDescent="0.25">
      <c r="A5635" t="str">
        <f>"20190312151647186"</f>
        <v>20190312151647186</v>
      </c>
      <c r="B5635" t="str">
        <f>"1552375007183404"</f>
        <v>1552375007183404</v>
      </c>
      <c r="C5635" t="s">
        <v>40</v>
      </c>
      <c r="D5635">
        <v>4.671589</v>
      </c>
      <c r="E5635">
        <v>0.45527859999999998</v>
      </c>
      <c r="F5635" t="s">
        <v>64</v>
      </c>
      <c r="G5635">
        <v>-286.91449999999998</v>
      </c>
      <c r="H5635" s="1">
        <v>-3.2171699999999999E-6</v>
      </c>
      <c r="I5635">
        <v>-57.943570000000001</v>
      </c>
      <c r="J5635">
        <v>-294.73439999999999</v>
      </c>
      <c r="K5635">
        <v>1.1144229999999999</v>
      </c>
      <c r="L5635">
        <v>-53.025019999999998</v>
      </c>
      <c r="M5635">
        <v>0.55800469999999902</v>
      </c>
      <c r="N5635">
        <v>0</v>
      </c>
      <c r="O5635">
        <v>-0.82976139999999998</v>
      </c>
      <c r="P5635">
        <v>0.7733776</v>
      </c>
      <c r="Q5635">
        <v>-8.3770709999999998E-3</v>
      </c>
      <c r="R5635">
        <v>-0.63389059999999997</v>
      </c>
      <c r="S5635">
        <v>2.5431819999999998</v>
      </c>
      <c r="T5635">
        <v>-0.3566357</v>
      </c>
      <c r="U5635">
        <v>-1.629974</v>
      </c>
      <c r="V5635">
        <v>-0.2880316</v>
      </c>
      <c r="W5635">
        <v>-1.017862E-3</v>
      </c>
      <c r="X5635">
        <v>0.95762040000000004</v>
      </c>
      <c r="Y5635">
        <v>-0.39144430000000002</v>
      </c>
      <c r="Z5635">
        <v>0.110810199999999</v>
      </c>
      <c r="AA5635">
        <v>0.91350560000000003</v>
      </c>
      <c r="AB5635">
        <v>22</v>
      </c>
      <c r="AC5635">
        <v>7.8199000000000103</v>
      </c>
      <c r="AD5635">
        <v>-1.1144262171699999</v>
      </c>
      <c r="AE5635">
        <v>-4.91854999999999</v>
      </c>
      <c r="AF5635">
        <v>-3.6906072767813498</v>
      </c>
      <c r="AG5635">
        <v>-1.1144262171699999</v>
      </c>
      <c r="AH5635">
        <v>8.3241626083993197</v>
      </c>
      <c r="AI5635">
        <v>96.977664314889594</v>
      </c>
      <c r="AJ5635">
        <v>113.91062056612699</v>
      </c>
      <c r="AK5635">
        <v>9.1735604318073101</v>
      </c>
      <c r="AL5635">
        <v>90.058319204780901</v>
      </c>
      <c r="AM5635">
        <v>106.74015575508101</v>
      </c>
      <c r="AN5635">
        <v>1.00000003456888</v>
      </c>
    </row>
    <row r="5636" spans="1:40" x14ac:dyDescent="0.25">
      <c r="A5636" t="str">
        <f>"20190312151647209"</f>
        <v>20190312151647209</v>
      </c>
      <c r="B5636" t="str">
        <f>"1552375007203900"</f>
        <v>1552375007203900</v>
      </c>
      <c r="C5636" t="s">
        <v>40</v>
      </c>
      <c r="D5636">
        <v>4.6686719999999999</v>
      </c>
      <c r="E5636">
        <v>0.45564759999999999</v>
      </c>
      <c r="F5636" t="s">
        <v>64</v>
      </c>
      <c r="G5636">
        <v>-286.77679999999998</v>
      </c>
      <c r="H5636" s="1">
        <v>-3.2765170000000001E-6</v>
      </c>
      <c r="I5636">
        <v>-58.043089999999999</v>
      </c>
      <c r="J5636">
        <v>-294.60289999999998</v>
      </c>
      <c r="K5636">
        <v>1.114425</v>
      </c>
      <c r="L5636">
        <v>-53.2027</v>
      </c>
      <c r="M5636">
        <v>0.56519469999999905</v>
      </c>
      <c r="N5636">
        <v>0</v>
      </c>
      <c r="O5636">
        <v>-0.82488059999999996</v>
      </c>
      <c r="P5636">
        <v>0.77919589999999905</v>
      </c>
      <c r="Q5636">
        <v>-7.9065690000000004E-3</v>
      </c>
      <c r="R5636">
        <v>-0.62673089999999998</v>
      </c>
      <c r="S5636">
        <v>2.5547789999999999</v>
      </c>
      <c r="T5636">
        <v>-0.35778710000000002</v>
      </c>
      <c r="U5636">
        <v>-1.6110530000000001</v>
      </c>
      <c r="V5636">
        <v>-0.2885509</v>
      </c>
      <c r="W5636">
        <v>-5.6296069999999996E-4</v>
      </c>
      <c r="X5636">
        <v>0.95746439999999999</v>
      </c>
      <c r="Y5636">
        <v>-0.39015610000000001</v>
      </c>
      <c r="Z5636">
        <v>0.11073</v>
      </c>
      <c r="AA5636">
        <v>0.91406620000000005</v>
      </c>
      <c r="AB5636">
        <v>22</v>
      </c>
      <c r="AC5636">
        <v>7.8260999999999896</v>
      </c>
      <c r="AD5636">
        <v>-1.1144282765169999</v>
      </c>
      <c r="AE5636">
        <v>-4.8403899999999904</v>
      </c>
      <c r="AF5636">
        <v>-3.6662982742860302</v>
      </c>
      <c r="AG5636">
        <v>-1.1144282765169999</v>
      </c>
      <c r="AH5636">
        <v>8.2948881822295792</v>
      </c>
      <c r="AI5636">
        <v>97.005564524497501</v>
      </c>
      <c r="AJ5636">
        <v>113.845184224413</v>
      </c>
      <c r="AK5636">
        <v>9.1372240519331296</v>
      </c>
      <c r="AL5636">
        <v>90.032255273586102</v>
      </c>
      <c r="AM5636">
        <v>106.771222991992</v>
      </c>
      <c r="AN5636">
        <v>1.0000000080414599</v>
      </c>
    </row>
    <row r="5637" spans="1:40" x14ac:dyDescent="0.25">
      <c r="A5637" t="str">
        <f>"20190312151647232"</f>
        <v>20190312151647232</v>
      </c>
      <c r="B5637" t="str">
        <f>"1552375007223421"</f>
        <v>1552375007223421</v>
      </c>
      <c r="C5637" t="s">
        <v>40</v>
      </c>
      <c r="D5637">
        <v>4.6556379999999997</v>
      </c>
      <c r="E5637">
        <v>0.45568950000000003</v>
      </c>
      <c r="F5637" t="s">
        <v>64</v>
      </c>
      <c r="G5637">
        <v>-286.61450000000002</v>
      </c>
      <c r="H5637" s="1">
        <v>-3.3491709999999999E-6</v>
      </c>
      <c r="I5637">
        <v>-58.148350000000001</v>
      </c>
      <c r="J5637">
        <v>-294.47370000000001</v>
      </c>
      <c r="K5637">
        <v>1.1144270000000001</v>
      </c>
      <c r="L5637">
        <v>-53.374270000000003</v>
      </c>
      <c r="M5637">
        <v>0.57213409999999998</v>
      </c>
      <c r="N5637">
        <v>0</v>
      </c>
      <c r="O5637">
        <v>-0.82008289999999995</v>
      </c>
      <c r="P5637">
        <v>0.78466530000000001</v>
      </c>
      <c r="Q5637">
        <v>-8.2074009999999996E-3</v>
      </c>
      <c r="R5637">
        <v>-0.61986519999999901</v>
      </c>
      <c r="S5637">
        <v>2.5678100000000001</v>
      </c>
      <c r="T5637">
        <v>-0.35822680000000001</v>
      </c>
      <c r="U5637">
        <v>-1.5897520000000001</v>
      </c>
      <c r="V5637">
        <v>-0.28887309999999999</v>
      </c>
      <c r="W5637">
        <v>-8.7879639999999997E-4</v>
      </c>
      <c r="X5637">
        <v>0.95736699999999997</v>
      </c>
      <c r="Y5637">
        <v>-0.38996439999999999</v>
      </c>
      <c r="Z5637">
        <v>0.11046980000000001</v>
      </c>
      <c r="AA5637">
        <v>0.91417959999999998</v>
      </c>
      <c r="AB5637">
        <v>22</v>
      </c>
      <c r="AC5637">
        <v>7.85919999999998</v>
      </c>
      <c r="AD5637">
        <v>-1.1144303491709999</v>
      </c>
      <c r="AE5637">
        <v>-4.7740799999999997</v>
      </c>
      <c r="AF5637">
        <v>-3.66025680631429</v>
      </c>
      <c r="AG5637">
        <v>-1.1144303491709999</v>
      </c>
      <c r="AH5637">
        <v>8.2904249442676701</v>
      </c>
      <c r="AI5637">
        <v>97.010570401527801</v>
      </c>
      <c r="AJ5637">
        <v>113.821656171366</v>
      </c>
      <c r="AK5637">
        <v>9.1307491832740197</v>
      </c>
      <c r="AL5637">
        <v>90.050351330927995</v>
      </c>
      <c r="AM5637">
        <v>106.79050875550899</v>
      </c>
      <c r="AN5637">
        <v>1.00000000643786</v>
      </c>
    </row>
    <row r="5638" spans="1:40" x14ac:dyDescent="0.25">
      <c r="A5638" t="str">
        <f>"20190312151647253"</f>
        <v>20190312151647253</v>
      </c>
      <c r="B5638" t="str">
        <f>"1552375007243916"</f>
        <v>1552375007243916</v>
      </c>
      <c r="C5638" t="s">
        <v>40</v>
      </c>
      <c r="D5638">
        <v>4.6164300000000003</v>
      </c>
      <c r="E5638">
        <v>0.4574358</v>
      </c>
      <c r="F5638" t="s">
        <v>64</v>
      </c>
      <c r="G5638">
        <v>-286.5806</v>
      </c>
      <c r="H5638" s="1">
        <v>-3.3653429999999999E-6</v>
      </c>
      <c r="I5638">
        <v>-58.165990000000001</v>
      </c>
      <c r="J5638">
        <v>-294.34840000000003</v>
      </c>
      <c r="K5638">
        <v>1.1144350000000001</v>
      </c>
      <c r="L5638">
        <v>-53.537719999999901</v>
      </c>
      <c r="M5638">
        <v>0.57874569999999903</v>
      </c>
      <c r="N5638">
        <v>0</v>
      </c>
      <c r="O5638">
        <v>-0.81543060000000001</v>
      </c>
      <c r="P5638">
        <v>0.78992649999999998</v>
      </c>
      <c r="Q5638">
        <v>-8.7471900000000002E-3</v>
      </c>
      <c r="R5638">
        <v>-0.61313949999999995</v>
      </c>
      <c r="S5638">
        <v>2.5814509999999999</v>
      </c>
      <c r="T5638">
        <v>-0.36447560000000001</v>
      </c>
      <c r="U5638">
        <v>-1.5671389999999901</v>
      </c>
      <c r="V5638">
        <v>-0.28930020000000001</v>
      </c>
      <c r="W5638">
        <v>-1.436529E-3</v>
      </c>
      <c r="X5638">
        <v>0.95723740000000002</v>
      </c>
      <c r="Y5638">
        <v>-0.39032939999999999</v>
      </c>
      <c r="Z5638">
        <v>0.1120038</v>
      </c>
      <c r="AA5638">
        <v>0.91383700000000001</v>
      </c>
      <c r="AB5638">
        <v>22</v>
      </c>
      <c r="AC5638">
        <v>7.7678000000000198</v>
      </c>
      <c r="AD5638">
        <v>-1.1144383653429999</v>
      </c>
      <c r="AE5638">
        <v>-4.6282699999999997</v>
      </c>
      <c r="AF5638">
        <v>-3.6010396604825301</v>
      </c>
      <c r="AG5638">
        <v>-1.1144383653429999</v>
      </c>
      <c r="AH5638">
        <v>8.1463882434558297</v>
      </c>
      <c r="AI5638">
        <v>97.131907924460506</v>
      </c>
      <c r="AJ5638">
        <v>113.847405925478</v>
      </c>
      <c r="AK5638">
        <v>8.9762520530359406</v>
      </c>
      <c r="AL5638">
        <v>90.082307072658594</v>
      </c>
      <c r="AM5638">
        <v>106.81608158191899</v>
      </c>
      <c r="AN5638">
        <v>1.0000000546471799</v>
      </c>
    </row>
    <row r="5639" spans="1:40" x14ac:dyDescent="0.25">
      <c r="A5639" t="str">
        <f>"20190312151647276"</f>
        <v>20190312151647276</v>
      </c>
      <c r="B5639" t="str">
        <f>"1552375007263436"</f>
        <v>1552375007263436</v>
      </c>
      <c r="C5639" t="s">
        <v>40</v>
      </c>
      <c r="D5639">
        <v>4.6256050000000002</v>
      </c>
      <c r="E5639">
        <v>0.45796369999999997</v>
      </c>
      <c r="F5639" t="s">
        <v>64</v>
      </c>
      <c r="G5639">
        <v>-287.95870000000002</v>
      </c>
      <c r="H5639" s="1">
        <v>-2.726576E-6</v>
      </c>
      <c r="I5639">
        <v>-57.370049999999999</v>
      </c>
      <c r="J5639">
        <v>-294.21699999999998</v>
      </c>
      <c r="K5639">
        <v>1.1144459999999901</v>
      </c>
      <c r="L5639">
        <v>-53.706119999999999</v>
      </c>
      <c r="M5639">
        <v>0.58556229999999998</v>
      </c>
      <c r="N5639">
        <v>0</v>
      </c>
      <c r="O5639">
        <v>-0.81054950000000003</v>
      </c>
      <c r="P5639">
        <v>0.79528189999999999</v>
      </c>
      <c r="Q5639">
        <v>-8.9322569999999903E-3</v>
      </c>
      <c r="R5639">
        <v>-0.60617410000000005</v>
      </c>
      <c r="S5639">
        <v>2.5880130000000001</v>
      </c>
      <c r="T5639">
        <v>-0.45138279999999997</v>
      </c>
      <c r="U5639">
        <v>-1.552216</v>
      </c>
      <c r="V5639">
        <v>-0.28968250000000001</v>
      </c>
      <c r="W5639">
        <v>-1.639607E-3</v>
      </c>
      <c r="X5639">
        <v>0.95712140000000001</v>
      </c>
      <c r="Y5639">
        <v>-0.38417519999999999</v>
      </c>
      <c r="Z5639">
        <v>0.13758970000000001</v>
      </c>
      <c r="AA5639">
        <v>0.9129505</v>
      </c>
      <c r="AB5639">
        <v>22</v>
      </c>
      <c r="AC5639">
        <v>6.2582999999999602</v>
      </c>
      <c r="AD5639">
        <v>-1.1144487265759999</v>
      </c>
      <c r="AE5639">
        <v>-3.6639300000000001</v>
      </c>
      <c r="AF5639">
        <v>-2.8598485869686101</v>
      </c>
      <c r="AG5639">
        <v>-1.1144487265759999</v>
      </c>
      <c r="AH5639">
        <v>6.4817650944327703</v>
      </c>
      <c r="AI5639">
        <v>98.939661355829699</v>
      </c>
      <c r="AJ5639">
        <v>113.807766244202</v>
      </c>
      <c r="AK5639">
        <v>7.1717507377181198</v>
      </c>
      <c r="AL5639">
        <v>90.093942602619194</v>
      </c>
      <c r="AM5639">
        <v>106.83897191141401</v>
      </c>
      <c r="AN5639">
        <v>1.00000000672766</v>
      </c>
    </row>
    <row r="5640" spans="1:40" x14ac:dyDescent="0.25">
      <c r="A5640" t="str">
        <f>"20190312151647298"</f>
        <v>20190312151647298</v>
      </c>
      <c r="B5640" t="str">
        <f>"1552375007293445"</f>
        <v>1552375007293445</v>
      </c>
      <c r="C5640" t="s">
        <v>40</v>
      </c>
      <c r="D5640">
        <v>4.6643499999999998</v>
      </c>
      <c r="E5640">
        <v>0.45463049999999999</v>
      </c>
      <c r="F5640" t="s">
        <v>64</v>
      </c>
      <c r="G5640">
        <v>-287.7029</v>
      </c>
      <c r="H5640" s="1">
        <v>-2.8382059999999999E-6</v>
      </c>
      <c r="I5640">
        <v>-57.549039999999998</v>
      </c>
      <c r="J5640">
        <v>-294.08260000000001</v>
      </c>
      <c r="K5640">
        <v>1.114457</v>
      </c>
      <c r="L5640">
        <v>-53.875520000000002</v>
      </c>
      <c r="M5640">
        <v>0.59242839999999997</v>
      </c>
      <c r="N5640">
        <v>0</v>
      </c>
      <c r="O5640">
        <v>-0.8055445</v>
      </c>
      <c r="P5640">
        <v>0.80028580000000005</v>
      </c>
      <c r="Q5640">
        <v>-8.9851669999999901E-3</v>
      </c>
      <c r="R5640">
        <v>-0.59955139999999996</v>
      </c>
      <c r="S5640">
        <v>2.5987239999999998</v>
      </c>
      <c r="T5640">
        <v>-0.44459399999999899</v>
      </c>
      <c r="U5640">
        <v>-1.5330809999999999</v>
      </c>
      <c r="V5640">
        <v>-0.28949360000000002</v>
      </c>
      <c r="W5640">
        <v>-1.70152E-3</v>
      </c>
      <c r="X5640">
        <v>0.95717839999999998</v>
      </c>
      <c r="Y5640">
        <v>-0.38331019999999999</v>
      </c>
      <c r="Z5640">
        <v>0.13501250000000001</v>
      </c>
      <c r="AA5640">
        <v>0.91369849999999997</v>
      </c>
      <c r="AB5640">
        <v>22</v>
      </c>
      <c r="AC5640">
        <v>6.3797000000000104</v>
      </c>
      <c r="AD5640">
        <v>-1.114459838206</v>
      </c>
      <c r="AE5640">
        <v>-3.6735200000000101</v>
      </c>
      <c r="AF5640">
        <v>-2.8966386225798901</v>
      </c>
      <c r="AG5640">
        <v>-1.114459838206</v>
      </c>
      <c r="AH5640">
        <v>6.5881423750530699</v>
      </c>
      <c r="AI5640">
        <v>98.802597819237704</v>
      </c>
      <c r="AJ5640">
        <v>113.733870851311</v>
      </c>
      <c r="AK5640">
        <v>7.2825926698371397</v>
      </c>
      <c r="AL5640">
        <v>90.097489965257793</v>
      </c>
      <c r="AM5640">
        <v>106.827666726874</v>
      </c>
      <c r="AN5640">
        <v>0.99999996451891404</v>
      </c>
    </row>
    <row r="5641" spans="1:40" x14ac:dyDescent="0.25">
      <c r="A5641" t="str">
        <f>"20190312151647319"</f>
        <v>20190312151647319</v>
      </c>
      <c r="B5641" t="str">
        <f>"1552375007313937"</f>
        <v>1552375007313937</v>
      </c>
      <c r="C5641" t="s">
        <v>40</v>
      </c>
      <c r="D5641">
        <v>4.6518800000000002</v>
      </c>
      <c r="E5641">
        <v>0.45038640000000002</v>
      </c>
      <c r="F5641" t="s">
        <v>64</v>
      </c>
      <c r="G5641">
        <v>-287.29829999999998</v>
      </c>
      <c r="H5641" s="1">
        <v>-3.0383639999999998E-6</v>
      </c>
      <c r="I5641">
        <v>-57.725810000000003</v>
      </c>
      <c r="J5641">
        <v>-293.94929999999999</v>
      </c>
      <c r="K5641">
        <v>1.1144689999999999</v>
      </c>
      <c r="L5641">
        <v>-54.040590000000002</v>
      </c>
      <c r="M5641">
        <v>0.59912529999999997</v>
      </c>
      <c r="N5641">
        <v>0</v>
      </c>
      <c r="O5641">
        <v>-0.80057639999999997</v>
      </c>
      <c r="P5641">
        <v>0.80487869999999995</v>
      </c>
      <c r="Q5641">
        <v>-8.8624659999999994E-3</v>
      </c>
      <c r="R5641">
        <v>-0.593373699999999</v>
      </c>
      <c r="S5641">
        <v>2.626862</v>
      </c>
      <c r="T5641">
        <v>-0.4315215</v>
      </c>
      <c r="U5641">
        <v>-1.490845</v>
      </c>
      <c r="V5641">
        <v>-0.28888200000000003</v>
      </c>
      <c r="W5641">
        <v>-1.58011E-3</v>
      </c>
      <c r="X5641">
        <v>0.95736339999999998</v>
      </c>
      <c r="Y5641">
        <v>-0.39150600000000002</v>
      </c>
      <c r="Z5641">
        <v>0.1308539</v>
      </c>
      <c r="AA5641">
        <v>0.91082390000000002</v>
      </c>
      <c r="AB5641">
        <v>22</v>
      </c>
      <c r="AC5641">
        <v>6.6510000000000096</v>
      </c>
      <c r="AD5641">
        <v>-1.1144720383640001</v>
      </c>
      <c r="AE5641">
        <v>-3.6852199999999899</v>
      </c>
      <c r="AF5641">
        <v>-3.0513707748891501</v>
      </c>
      <c r="AG5641">
        <v>-1.1144720383640001</v>
      </c>
      <c r="AH5641">
        <v>6.7896614199881604</v>
      </c>
      <c r="AI5641">
        <v>98.514956347921697</v>
      </c>
      <c r="AJ5641">
        <v>114.199831107447</v>
      </c>
      <c r="AK5641">
        <v>7.5267797714705704</v>
      </c>
      <c r="AL5641">
        <v>90.090533672458406</v>
      </c>
      <c r="AM5641">
        <v>106.791056533247</v>
      </c>
      <c r="AN5641">
        <v>0.99999999316558597</v>
      </c>
    </row>
    <row r="5642" spans="1:40" x14ac:dyDescent="0.25">
      <c r="A5642" t="str">
        <f>"20190312151647343"</f>
        <v>20190312151647343</v>
      </c>
      <c r="B5642" t="str">
        <f>"1552375007333457"</f>
        <v>1552375007333457</v>
      </c>
      <c r="C5642" t="s">
        <v>40</v>
      </c>
      <c r="D5642">
        <v>4.6337830000000002</v>
      </c>
      <c r="E5642">
        <v>0.44754189999999999</v>
      </c>
      <c r="F5642" t="s">
        <v>64</v>
      </c>
      <c r="G5642">
        <v>-287.13150000000002</v>
      </c>
      <c r="H5642" s="1">
        <v>-3.1334330000000002E-6</v>
      </c>
      <c r="I5642">
        <v>-57.74239</v>
      </c>
      <c r="J5642">
        <v>-293.8107</v>
      </c>
      <c r="K5642">
        <v>1.1144829999999999</v>
      </c>
      <c r="L5642">
        <v>-54.209350000000001</v>
      </c>
      <c r="M5642">
        <v>0.60597819999999902</v>
      </c>
      <c r="N5642">
        <v>0</v>
      </c>
      <c r="O5642">
        <v>-0.79540180000000005</v>
      </c>
      <c r="P5642">
        <v>0.80909229999999999</v>
      </c>
      <c r="Q5642">
        <v>-9.5065029999999995E-3</v>
      </c>
      <c r="R5642">
        <v>-0.58760519999999905</v>
      </c>
      <c r="S5642">
        <v>2.6583559999999999</v>
      </c>
      <c r="T5642">
        <v>-0.4345502</v>
      </c>
      <c r="U5642">
        <v>-1.44339</v>
      </c>
      <c r="V5642">
        <v>-0.28749029999999998</v>
      </c>
      <c r="W5642">
        <v>-2.2124150000000001E-3</v>
      </c>
      <c r="X5642">
        <v>0.95778099999999999</v>
      </c>
      <c r="Y5642">
        <v>-0.40059800000000001</v>
      </c>
      <c r="Z5642">
        <v>0.13148379999999901</v>
      </c>
      <c r="AA5642">
        <v>0.90677079999999999</v>
      </c>
      <c r="AB5642">
        <v>22</v>
      </c>
      <c r="AC5642">
        <v>6.6791999999999803</v>
      </c>
      <c r="AD5642">
        <v>-1.1144861334329901</v>
      </c>
      <c r="AE5642">
        <v>-3.5330400000000002</v>
      </c>
      <c r="AF5642">
        <v>-3.10436756719416</v>
      </c>
      <c r="AG5642">
        <v>-1.1144861334329901</v>
      </c>
      <c r="AH5642">
        <v>6.7120490666281203</v>
      </c>
      <c r="AI5642">
        <v>98.570231299436898</v>
      </c>
      <c r="AJ5642">
        <v>114.82085689034299</v>
      </c>
      <c r="AK5642">
        <v>7.4786883881256099</v>
      </c>
      <c r="AL5642">
        <v>90.126762144725205</v>
      </c>
      <c r="AM5642">
        <v>106.707805441898</v>
      </c>
      <c r="AN5642">
        <v>1.0000000056676099</v>
      </c>
    </row>
    <row r="5643" spans="1:40" x14ac:dyDescent="0.25">
      <c r="A5643" t="str">
        <f>"20190312151647364"</f>
        <v>20190312151647364</v>
      </c>
      <c r="B5643" t="str">
        <f>"1552375007353953"</f>
        <v>1552375007353953</v>
      </c>
      <c r="C5643" t="s">
        <v>40</v>
      </c>
      <c r="D5643">
        <v>4.6499480000000002</v>
      </c>
      <c r="E5643">
        <v>0.4459574</v>
      </c>
      <c r="F5643" t="s">
        <v>64</v>
      </c>
      <c r="G5643">
        <v>-286.99950000000001</v>
      </c>
      <c r="H5643" s="1">
        <v>-3.2035750000000001E-6</v>
      </c>
      <c r="I5643">
        <v>-57.778399999999998</v>
      </c>
      <c r="J5643">
        <v>-293.6728</v>
      </c>
      <c r="K5643">
        <v>1.1145039999999999</v>
      </c>
      <c r="L5643">
        <v>-54.374389999999998</v>
      </c>
      <c r="M5643">
        <v>0.61268480000000003</v>
      </c>
      <c r="N5643">
        <v>0</v>
      </c>
      <c r="O5643">
        <v>-0.79024740000000004</v>
      </c>
      <c r="P5643">
        <v>0.81299049999999995</v>
      </c>
      <c r="Q5643">
        <v>-9.2058030000000002E-3</v>
      </c>
      <c r="R5643">
        <v>-0.58220430000000001</v>
      </c>
      <c r="S5643">
        <v>2.682007</v>
      </c>
      <c r="T5643">
        <v>-0.4388456</v>
      </c>
      <c r="U5643">
        <v>-1.405365</v>
      </c>
      <c r="V5643">
        <v>-0.28577239999999998</v>
      </c>
      <c r="W5643">
        <v>-1.890922E-3</v>
      </c>
      <c r="X5643">
        <v>0.95829560000000003</v>
      </c>
      <c r="Y5643">
        <v>-0.40608739999999999</v>
      </c>
      <c r="Z5643">
        <v>0.13238150000000001</v>
      </c>
      <c r="AA5643">
        <v>0.90419479999999997</v>
      </c>
      <c r="AB5643">
        <v>22</v>
      </c>
      <c r="AC5643">
        <v>6.6732999999999798</v>
      </c>
      <c r="AD5643">
        <v>-1.1145072035750001</v>
      </c>
      <c r="AE5643">
        <v>-3.4040099999999902</v>
      </c>
      <c r="AF5643">
        <v>-3.11913741612755</v>
      </c>
      <c r="AG5643">
        <v>-1.1145072035750001</v>
      </c>
      <c r="AH5643">
        <v>6.6322737317827301</v>
      </c>
      <c r="AI5643">
        <v>98.646471799395201</v>
      </c>
      <c r="AJ5643">
        <v>115.187453645879</v>
      </c>
      <c r="AK5643">
        <v>7.4133797542553097</v>
      </c>
      <c r="AL5643">
        <v>90.108341920123294</v>
      </c>
      <c r="AM5643">
        <v>106.605055595441</v>
      </c>
      <c r="AN5643">
        <v>0.999999948583563</v>
      </c>
    </row>
    <row r="5644" spans="1:40" x14ac:dyDescent="0.25">
      <c r="A5644" t="str">
        <f>"20190312151647387"</f>
        <v>20190312151647387</v>
      </c>
      <c r="B5644" t="str">
        <f>"1552375007383233"</f>
        <v>1552375007383233</v>
      </c>
      <c r="C5644" t="s">
        <v>40</v>
      </c>
      <c r="D5644">
        <v>4.6388509999999998</v>
      </c>
      <c r="E5644">
        <v>0.44502459999999999</v>
      </c>
      <c r="F5644" t="s">
        <v>64</v>
      </c>
      <c r="G5644">
        <v>-286.76350000000002</v>
      </c>
      <c r="H5644" s="1">
        <v>-3.3162929999999999E-6</v>
      </c>
      <c r="I5644">
        <v>-57.89978</v>
      </c>
      <c r="J5644">
        <v>-293.53410000000002</v>
      </c>
      <c r="K5644">
        <v>1.114527</v>
      </c>
      <c r="L5644">
        <v>-54.53763</v>
      </c>
      <c r="M5644">
        <v>0.61932299999999996</v>
      </c>
      <c r="N5644">
        <v>0</v>
      </c>
      <c r="O5644">
        <v>-0.78505559999999996</v>
      </c>
      <c r="P5644">
        <v>0.81731379999999998</v>
      </c>
      <c r="Q5644">
        <v>-7.8613829999999996E-3</v>
      </c>
      <c r="R5644">
        <v>-0.57613959999999997</v>
      </c>
      <c r="S5644">
        <v>2.6989749999999999</v>
      </c>
      <c r="T5644">
        <v>-0.43535489999999999</v>
      </c>
      <c r="U5644">
        <v>-1.3771059999999999</v>
      </c>
      <c r="V5644">
        <v>-0.28485290000000002</v>
      </c>
      <c r="W5644">
        <v>-5.3157750000000004E-4</v>
      </c>
      <c r="X5644">
        <v>0.95857110000000001</v>
      </c>
      <c r="Y5644">
        <v>-0.40841349999999998</v>
      </c>
      <c r="Z5644">
        <v>0.1308404</v>
      </c>
      <c r="AA5644">
        <v>0.90337100000000004</v>
      </c>
      <c r="AB5644">
        <v>22</v>
      </c>
      <c r="AC5644">
        <v>6.7706</v>
      </c>
      <c r="AD5644">
        <v>-1.114530316293</v>
      </c>
      <c r="AE5644">
        <v>-3.3621500000000002</v>
      </c>
      <c r="AF5644">
        <v>-3.1644588087834502</v>
      </c>
      <c r="AG5644">
        <v>-1.114530316293</v>
      </c>
      <c r="AH5644">
        <v>6.6877231434165498</v>
      </c>
      <c r="AI5644">
        <v>98.566651889055606</v>
      </c>
      <c r="AJ5644">
        <v>115.32231016890201</v>
      </c>
      <c r="AK5644">
        <v>7.4820864885012304</v>
      </c>
      <c r="AL5644">
        <v>90.030457148501398</v>
      </c>
      <c r="AM5644">
        <v>106.550058227896</v>
      </c>
      <c r="AN5644">
        <v>1.00000000548412</v>
      </c>
    </row>
    <row r="5645" spans="1:40" x14ac:dyDescent="0.25">
      <c r="A5645" t="str">
        <f>"20190312151647410"</f>
        <v>20190312151647410</v>
      </c>
      <c r="B5645" t="str">
        <f>"1552375007403729"</f>
        <v>1552375007403729</v>
      </c>
      <c r="C5645" t="s">
        <v>40</v>
      </c>
      <c r="D5645">
        <v>4.6700010000000001</v>
      </c>
      <c r="E5645">
        <v>0.44484079999999898</v>
      </c>
      <c r="F5645" t="s">
        <v>64</v>
      </c>
      <c r="G5645">
        <v>-286.3254</v>
      </c>
      <c r="H5645" s="1">
        <v>-3.524343E-6</v>
      </c>
      <c r="I5645">
        <v>-58.130099999999999</v>
      </c>
      <c r="J5645">
        <v>-293.38850000000002</v>
      </c>
      <c r="K5645">
        <v>1.11454599999999</v>
      </c>
      <c r="L5645">
        <v>-54.706020000000002</v>
      </c>
      <c r="M5645">
        <v>0.62617250000000002</v>
      </c>
      <c r="N5645">
        <v>0</v>
      </c>
      <c r="O5645">
        <v>-0.77960299999999905</v>
      </c>
      <c r="P5645">
        <v>0.82197129999999996</v>
      </c>
      <c r="Q5645">
        <v>-6.783908E-3</v>
      </c>
      <c r="R5645">
        <v>-0.56948859999999901</v>
      </c>
      <c r="S5645">
        <v>2.7133180000000001</v>
      </c>
      <c r="T5645">
        <v>-0.41950850000000001</v>
      </c>
      <c r="U5645">
        <v>-1.352203</v>
      </c>
      <c r="V5645">
        <v>-0.284259599999999</v>
      </c>
      <c r="W5645">
        <v>5.6297010000000002E-4</v>
      </c>
      <c r="X5645">
        <v>0.95874720000000002</v>
      </c>
      <c r="Y5645">
        <v>-0.40970709999999999</v>
      </c>
      <c r="Z5645">
        <v>0.1256002</v>
      </c>
      <c r="AA5645">
        <v>0.90352900000000003</v>
      </c>
      <c r="AB5645">
        <v>22</v>
      </c>
      <c r="AC5645">
        <v>7.0631000000000101</v>
      </c>
      <c r="AD5645">
        <v>-1.1145495243429999</v>
      </c>
      <c r="AE5645">
        <v>-3.42408</v>
      </c>
      <c r="AF5645">
        <v>-3.2961066258352298</v>
      </c>
      <c r="AG5645">
        <v>-1.1145495243429999</v>
      </c>
      <c r="AH5645">
        <v>6.9524177358412196</v>
      </c>
      <c r="AI5645">
        <v>98.242314735707296</v>
      </c>
      <c r="AJ5645">
        <v>115.36539707691701</v>
      </c>
      <c r="AK5645">
        <v>7.77448724384623</v>
      </c>
      <c r="AL5645">
        <v>89.967744188068096</v>
      </c>
      <c r="AM5645">
        <v>106.51459884160801</v>
      </c>
      <c r="AN5645">
        <v>1.00000001531766</v>
      </c>
    </row>
    <row r="5646" spans="1:40" x14ac:dyDescent="0.25">
      <c r="A5646" t="str">
        <f>"20190312151647432"</f>
        <v>20190312151647432</v>
      </c>
      <c r="B5646" t="str">
        <f>"1552375007423249"</f>
        <v>1552375007423249</v>
      </c>
      <c r="C5646" t="s">
        <v>40</v>
      </c>
      <c r="D5646">
        <v>4.672682</v>
      </c>
      <c r="E5646">
        <v>0.44463200000000003</v>
      </c>
      <c r="F5646" t="s">
        <v>64</v>
      </c>
      <c r="G5646">
        <v>-286.00760000000002</v>
      </c>
      <c r="H5646" s="1">
        <v>-3.6729279999999999E-6</v>
      </c>
      <c r="I5646">
        <v>-58.3080199999999</v>
      </c>
      <c r="J5646">
        <v>-293.2484</v>
      </c>
      <c r="K5646">
        <v>1.114565</v>
      </c>
      <c r="L5646">
        <v>-54.865389999999998</v>
      </c>
      <c r="M5646">
        <v>0.63265629999999995</v>
      </c>
      <c r="N5646">
        <v>0</v>
      </c>
      <c r="O5646">
        <v>-0.77435039999999999</v>
      </c>
      <c r="P5646">
        <v>0.82655689999999904</v>
      </c>
      <c r="Q5646">
        <v>-6.5397529999999997E-3</v>
      </c>
      <c r="R5646">
        <v>-0.56281539999999997</v>
      </c>
      <c r="S5646">
        <v>2.725006</v>
      </c>
      <c r="T5646">
        <v>-0.41148449999999998</v>
      </c>
      <c r="U5646">
        <v>-1.329834</v>
      </c>
      <c r="V5646">
        <v>-0.28402500000000003</v>
      </c>
      <c r="W5646">
        <v>8.2236899999999999E-4</v>
      </c>
      <c r="X5646">
        <v>0.95881649999999996</v>
      </c>
      <c r="Y5646">
        <v>-0.41000150000000002</v>
      </c>
      <c r="Z5646">
        <v>0.1227046</v>
      </c>
      <c r="AA5646">
        <v>0.90379330000000002</v>
      </c>
      <c r="AB5646">
        <v>22</v>
      </c>
      <c r="AC5646">
        <v>7.2407999999999699</v>
      </c>
      <c r="AD5646">
        <v>-1.114568672928</v>
      </c>
      <c r="AE5646">
        <v>-3.4426299999999799</v>
      </c>
      <c r="AF5646">
        <v>-3.3641199111436801</v>
      </c>
      <c r="AG5646">
        <v>-1.114568672928</v>
      </c>
      <c r="AH5646">
        <v>7.1098007547829498</v>
      </c>
      <c r="AI5646">
        <v>98.0652827239538</v>
      </c>
      <c r="AJ5646">
        <v>115.321946824815</v>
      </c>
      <c r="AK5646">
        <v>7.9441068016447201</v>
      </c>
      <c r="AL5646">
        <v>89.952881720787403</v>
      </c>
      <c r="AM5646">
        <v>106.500583067308</v>
      </c>
      <c r="AN5646">
        <v>0.99999997879401004</v>
      </c>
    </row>
    <row r="5647" spans="1:40" x14ac:dyDescent="0.25">
      <c r="A5647" t="str">
        <f>"20190312151647455"</f>
        <v>20190312151647455</v>
      </c>
      <c r="B5647" t="str">
        <f>"1552375007443745"</f>
        <v>1552375007443745</v>
      </c>
      <c r="C5647" t="s">
        <v>40</v>
      </c>
      <c r="D5647">
        <v>4.7003139999999997</v>
      </c>
      <c r="E5647">
        <v>0.44442399999999999</v>
      </c>
      <c r="F5647" t="s">
        <v>64</v>
      </c>
      <c r="G5647">
        <v>-285.74459999999999</v>
      </c>
      <c r="H5647" s="1">
        <v>-3.781701E-6</v>
      </c>
      <c r="I5647">
        <v>-58.446379999999998</v>
      </c>
      <c r="J5647">
        <v>-293.10230000000001</v>
      </c>
      <c r="K5647">
        <v>1.114582</v>
      </c>
      <c r="L5647">
        <v>-55.02863</v>
      </c>
      <c r="M5647">
        <v>0.63930589999999998</v>
      </c>
      <c r="N5647">
        <v>0</v>
      </c>
      <c r="O5647">
        <v>-0.76886949999999998</v>
      </c>
      <c r="P5647">
        <v>0.83116480000000004</v>
      </c>
      <c r="Q5647">
        <v>-6.2504580000000004E-3</v>
      </c>
      <c r="R5647">
        <v>-0.55599140000000002</v>
      </c>
      <c r="S5647">
        <v>2.7369379999999999</v>
      </c>
      <c r="T5647">
        <v>-0.40652470000000002</v>
      </c>
      <c r="U5647">
        <v>-1.306122</v>
      </c>
      <c r="V5647">
        <v>-0.28366180000000002</v>
      </c>
      <c r="W5647">
        <v>1.1299299999999999E-3</v>
      </c>
      <c r="X5647">
        <v>0.95892370000000005</v>
      </c>
      <c r="Y5647">
        <v>-0.41030990000000001</v>
      </c>
      <c r="Z5647">
        <v>0.1207073</v>
      </c>
      <c r="AA5647">
        <v>0.90392229999999996</v>
      </c>
      <c r="AB5647">
        <v>22</v>
      </c>
      <c r="AC5647">
        <v>7.3577000000000199</v>
      </c>
      <c r="AD5647">
        <v>-1.1145857817010001</v>
      </c>
      <c r="AE5647">
        <v>-3.4177499999999901</v>
      </c>
      <c r="AF5647">
        <v>-3.4080181615959999</v>
      </c>
      <c r="AG5647">
        <v>-1.1145857817010001</v>
      </c>
      <c r="AH5647">
        <v>7.1962622229074604</v>
      </c>
      <c r="AI5647">
        <v>97.968490427914105</v>
      </c>
      <c r="AJ5647">
        <v>115.34137910098799</v>
      </c>
      <c r="AK5647">
        <v>8.04009199172393</v>
      </c>
      <c r="AL5647">
        <v>89.9352597646525</v>
      </c>
      <c r="AM5647">
        <v>106.478885726958</v>
      </c>
      <c r="AN5647">
        <v>0.99999997797136697</v>
      </c>
    </row>
    <row r="5648" spans="1:40" x14ac:dyDescent="0.25">
      <c r="A5648" t="str">
        <f>"20190312151647475"</f>
        <v>20190312151647475</v>
      </c>
      <c r="B5648" t="str">
        <f>"1552375007474002"</f>
        <v>1552375007474002</v>
      </c>
      <c r="C5648" t="s">
        <v>40</v>
      </c>
      <c r="D5648">
        <v>4.7210999999999999</v>
      </c>
      <c r="E5648">
        <v>0.44407980000000002</v>
      </c>
      <c r="F5648" t="s">
        <v>41</v>
      </c>
      <c r="G5648">
        <v>-292.16590000000002</v>
      </c>
      <c r="H5648">
        <v>0.97684369999999998</v>
      </c>
      <c r="I5648">
        <v>-55.465260000000001</v>
      </c>
      <c r="J5648">
        <v>-292.96120000000002</v>
      </c>
      <c r="K5648">
        <v>1.114592</v>
      </c>
      <c r="L5648">
        <v>-55.183590000000002</v>
      </c>
      <c r="M5648">
        <v>0.64562140000000001</v>
      </c>
      <c r="N5648">
        <v>0</v>
      </c>
      <c r="O5648">
        <v>-0.76357350000000002</v>
      </c>
      <c r="P5648">
        <v>0.83569530000000003</v>
      </c>
      <c r="Q5648">
        <v>-5.8059059999999996E-3</v>
      </c>
      <c r="R5648">
        <v>-0.54916299999999996</v>
      </c>
      <c r="S5648">
        <v>2.7488100000000002</v>
      </c>
      <c r="T5648">
        <v>-0.40434619999999999</v>
      </c>
      <c r="U5648">
        <v>-1.281952</v>
      </c>
      <c r="V5648">
        <v>-0.28362229999999999</v>
      </c>
      <c r="W5648">
        <v>1.584832E-3</v>
      </c>
      <c r="X5648">
        <v>0.95893470000000003</v>
      </c>
      <c r="Y5648">
        <v>-0.41095710000000002</v>
      </c>
      <c r="Z5648">
        <v>0.1195669</v>
      </c>
      <c r="AA5648">
        <v>0.90377989999999997</v>
      </c>
      <c r="AB5648">
        <v>22</v>
      </c>
      <c r="AC5648">
        <v>0.79529999999999701</v>
      </c>
      <c r="AD5648">
        <v>-0.13774829999999999</v>
      </c>
      <c r="AE5648">
        <v>-0.28166999999999798</v>
      </c>
      <c r="AF5648">
        <v>-0.41439906796404402</v>
      </c>
      <c r="AG5648">
        <v>-0.13774829999999999</v>
      </c>
      <c r="AH5648">
        <v>0.70966855611789403</v>
      </c>
      <c r="AI5648">
        <v>99.515330952060694</v>
      </c>
      <c r="AJ5648">
        <v>120.28207650883201</v>
      </c>
      <c r="AK5648">
        <v>0.83326504860387296</v>
      </c>
      <c r="AL5648">
        <v>89.909195771684793</v>
      </c>
      <c r="AM5648">
        <v>106.476536723357</v>
      </c>
      <c r="AN5648">
        <v>0.99999993980692203</v>
      </c>
    </row>
    <row r="5649" spans="1:40" x14ac:dyDescent="0.25">
      <c r="A5649" t="str">
        <f>"20190312151647499"</f>
        <v>20190312151647499</v>
      </c>
      <c r="B5649" t="str">
        <f>"1552375007494045"</f>
        <v>1552375007494045</v>
      </c>
      <c r="C5649" t="s">
        <v>40</v>
      </c>
      <c r="D5649">
        <v>4.7463350000000002</v>
      </c>
      <c r="E5649">
        <v>0.44370280000000001</v>
      </c>
      <c r="F5649" t="s">
        <v>41</v>
      </c>
      <c r="G5649">
        <v>-292.01490000000001</v>
      </c>
      <c r="H5649">
        <v>0.97607169999999999</v>
      </c>
      <c r="I5649">
        <v>-55.614690000000003</v>
      </c>
      <c r="J5649">
        <v>-292.80799999999999</v>
      </c>
      <c r="K5649">
        <v>1.1146020000000001</v>
      </c>
      <c r="L5649">
        <v>-55.348939999999999</v>
      </c>
      <c r="M5649">
        <v>0.65236510000000003</v>
      </c>
      <c r="N5649">
        <v>0</v>
      </c>
      <c r="O5649">
        <v>-0.75781989999999999</v>
      </c>
      <c r="P5649">
        <v>0.84030550000000004</v>
      </c>
      <c r="Q5649">
        <v>-5.4062829999999996E-3</v>
      </c>
      <c r="R5649">
        <v>-0.54208630000000002</v>
      </c>
      <c r="S5649">
        <v>2.7606809999999999</v>
      </c>
      <c r="T5649">
        <v>-0.40409590000000001</v>
      </c>
      <c r="U5649">
        <v>-1.2574459999999901</v>
      </c>
      <c r="V5649">
        <v>-0.28322619999999998</v>
      </c>
      <c r="W5649">
        <v>2.0006329999999999E-3</v>
      </c>
      <c r="X5649">
        <v>0.95905110000000005</v>
      </c>
      <c r="Y5649">
        <v>-0.41105619999999998</v>
      </c>
      <c r="Z5649">
        <v>0.11891400000000001</v>
      </c>
      <c r="AA5649">
        <v>0.90382090000000004</v>
      </c>
      <c r="AB5649">
        <v>22</v>
      </c>
      <c r="AC5649">
        <v>0.79309999999998104</v>
      </c>
      <c r="AD5649">
        <v>-0.1385303</v>
      </c>
      <c r="AE5649">
        <v>-0.26575000000000398</v>
      </c>
      <c r="AF5649">
        <v>-0.41627031545731003</v>
      </c>
      <c r="AG5649">
        <v>-0.1385303</v>
      </c>
      <c r="AH5649">
        <v>0.69963687038603795</v>
      </c>
      <c r="AI5649">
        <v>99.657063642236594</v>
      </c>
      <c r="AJ5649">
        <v>120.7518216382</v>
      </c>
      <c r="AK5649">
        <v>0.82581073494632395</v>
      </c>
      <c r="AL5649">
        <v>89.885372101740899</v>
      </c>
      <c r="AM5649">
        <v>106.452882216248</v>
      </c>
      <c r="AN5649">
        <v>1.0000000476550199</v>
      </c>
    </row>
    <row r="5650" spans="1:40" x14ac:dyDescent="0.25">
      <c r="A5650" t="str">
        <f>"20190312151647521"</f>
        <v>20190312151647521</v>
      </c>
      <c r="B5650" t="str">
        <f>"1552375007513547"</f>
        <v>1552375007513547</v>
      </c>
      <c r="C5650" t="s">
        <v>40</v>
      </c>
      <c r="D5650">
        <v>4.7043929999999996</v>
      </c>
      <c r="E5650">
        <v>0.44368950000000001</v>
      </c>
      <c r="F5650" t="s">
        <v>41</v>
      </c>
      <c r="G5650">
        <v>-291.8433</v>
      </c>
      <c r="H5650">
        <v>0.97313050000000001</v>
      </c>
      <c r="I5650">
        <v>-55.777340000000002</v>
      </c>
      <c r="J5650">
        <v>-292.66370000000001</v>
      </c>
      <c r="K5650">
        <v>1.114611</v>
      </c>
      <c r="L5650">
        <v>-55.502040000000001</v>
      </c>
      <c r="M5650">
        <v>0.65861169999999902</v>
      </c>
      <c r="N5650">
        <v>0</v>
      </c>
      <c r="O5650">
        <v>-0.75239719999999999</v>
      </c>
      <c r="P5650">
        <v>0.84443819999999903</v>
      </c>
      <c r="Q5650">
        <v>-5.4132319999999996E-3</v>
      </c>
      <c r="R5650">
        <v>-0.53562589999999999</v>
      </c>
      <c r="S5650">
        <v>2.7731020000000002</v>
      </c>
      <c r="T5650">
        <v>-0.40667209999999998</v>
      </c>
      <c r="U5650">
        <v>-1.231476</v>
      </c>
      <c r="V5650">
        <v>-0.28264800000000001</v>
      </c>
      <c r="W5650">
        <v>2.0115990000000002E-3</v>
      </c>
      <c r="X5650">
        <v>0.95922160000000001</v>
      </c>
      <c r="Y5650">
        <v>-0.41203580000000001</v>
      </c>
      <c r="Z5650">
        <v>0.119148</v>
      </c>
      <c r="AA5650">
        <v>0.90334389999999998</v>
      </c>
      <c r="AB5650">
        <v>22</v>
      </c>
      <c r="AC5650">
        <v>0.82040000000000601</v>
      </c>
      <c r="AD5650">
        <v>-0.14148050000000001</v>
      </c>
      <c r="AE5650">
        <v>-0.27530000000000099</v>
      </c>
      <c r="AF5650">
        <v>-0.42462863722738903</v>
      </c>
      <c r="AG5650">
        <v>-0.14148050000000001</v>
      </c>
      <c r="AH5650">
        <v>0.72804745621341405</v>
      </c>
      <c r="AI5650">
        <v>99.529035306449501</v>
      </c>
      <c r="AJ5650">
        <v>120.252578548998</v>
      </c>
      <c r="AK5650">
        <v>0.85462232005293604</v>
      </c>
      <c r="AL5650">
        <v>89.884743790437597</v>
      </c>
      <c r="AM5650">
        <v>106.41834341267599</v>
      </c>
      <c r="AN5650">
        <v>1.00000000817054</v>
      </c>
    </row>
    <row r="5651" spans="1:40" x14ac:dyDescent="0.25">
      <c r="A5651" t="str">
        <f>"20190312151647543"</f>
        <v>20190312151647543</v>
      </c>
      <c r="B5651" t="str">
        <f>"1552375007533067"</f>
        <v>1552375007533067</v>
      </c>
      <c r="C5651" t="s">
        <v>40</v>
      </c>
      <c r="D5651">
        <v>4.7445690000000003</v>
      </c>
      <c r="E5651">
        <v>0.44356060000000003</v>
      </c>
      <c r="F5651" t="s">
        <v>64</v>
      </c>
      <c r="G5651">
        <v>-285.04180000000002</v>
      </c>
      <c r="H5651" s="1">
        <v>-4.0695499999999999E-6</v>
      </c>
      <c r="I5651">
        <v>-58.816009999999999</v>
      </c>
      <c r="J5651">
        <v>-292.51310000000001</v>
      </c>
      <c r="K5651">
        <v>1.114622</v>
      </c>
      <c r="L5651">
        <v>-55.659239999999997</v>
      </c>
      <c r="M5651">
        <v>0.66503000000000001</v>
      </c>
      <c r="N5651">
        <v>0</v>
      </c>
      <c r="O5651">
        <v>-0.74673</v>
      </c>
      <c r="P5651">
        <v>0.84875540000000005</v>
      </c>
      <c r="Q5651">
        <v>-6.1380360000000004E-3</v>
      </c>
      <c r="R5651">
        <v>-0.52875019999999995</v>
      </c>
      <c r="S5651">
        <v>2.7826230000000001</v>
      </c>
      <c r="T5651">
        <v>-0.40692590000000001</v>
      </c>
      <c r="U5651">
        <v>-1.2098690000000001</v>
      </c>
      <c r="V5651">
        <v>-0.28221200000000002</v>
      </c>
      <c r="W5651">
        <v>1.3034979999999999E-3</v>
      </c>
      <c r="X5651">
        <v>0.95935119999999896</v>
      </c>
      <c r="Y5651">
        <v>-0.41131400000000001</v>
      </c>
      <c r="Z5651">
        <v>0.118617899999999</v>
      </c>
      <c r="AA5651">
        <v>0.90374259999999995</v>
      </c>
      <c r="AB5651">
        <v>22</v>
      </c>
      <c r="AC5651">
        <v>7.4712999999999798</v>
      </c>
      <c r="AD5651">
        <v>-1.1146260695499901</v>
      </c>
      <c r="AE5651">
        <v>-3.1567699999999901</v>
      </c>
      <c r="AF5651">
        <v>-3.4154204038019</v>
      </c>
      <c r="AG5651">
        <v>-1.1146260695499901</v>
      </c>
      <c r="AH5651">
        <v>7.19057017038008</v>
      </c>
      <c r="AI5651">
        <v>97.970722312495099</v>
      </c>
      <c r="AJ5651">
        <v>115.407065196289</v>
      </c>
      <c r="AK5651">
        <v>8.0381457553833098</v>
      </c>
      <c r="AL5651">
        <v>89.925315046227993</v>
      </c>
      <c r="AM5651">
        <v>106.392282249251</v>
      </c>
      <c r="AN5651">
        <v>1.0000000184962301</v>
      </c>
    </row>
    <row r="5652" spans="1:40" x14ac:dyDescent="0.25">
      <c r="A5652" t="str">
        <f>"20190312151647566"</f>
        <v>20190312151647566</v>
      </c>
      <c r="B5652" t="str">
        <f>"1552375007563323"</f>
        <v>1552375007563323</v>
      </c>
      <c r="C5652" t="s">
        <v>40</v>
      </c>
      <c r="D5652">
        <v>4.867407</v>
      </c>
      <c r="E5652">
        <v>0.44379269999999998</v>
      </c>
      <c r="F5652" t="s">
        <v>64</v>
      </c>
      <c r="G5652">
        <v>-284.99009999999998</v>
      </c>
      <c r="H5652" s="1">
        <v>-4.0888560000000004E-6</v>
      </c>
      <c r="I5652">
        <v>-58.85378</v>
      </c>
      <c r="J5652">
        <v>-292.35860000000002</v>
      </c>
      <c r="K5652">
        <v>1.1146259999999999</v>
      </c>
      <c r="L5652">
        <v>-55.817749999999997</v>
      </c>
      <c r="M5652">
        <v>0.67150619999999905</v>
      </c>
      <c r="N5652">
        <v>0</v>
      </c>
      <c r="O5652">
        <v>-0.74091130000000005</v>
      </c>
      <c r="P5652">
        <v>0.85276749999999901</v>
      </c>
      <c r="Q5652">
        <v>-6.6788380000000003E-3</v>
      </c>
      <c r="R5652">
        <v>-0.5222483</v>
      </c>
      <c r="S5652">
        <v>2.792786</v>
      </c>
      <c r="T5652">
        <v>-0.41378409999999899</v>
      </c>
      <c r="U5652">
        <v>-1.185913</v>
      </c>
      <c r="V5652">
        <v>-0.28118179999999998</v>
      </c>
      <c r="W5652">
        <v>7.8708259999999905E-4</v>
      </c>
      <c r="X5652">
        <v>0.95965420000000001</v>
      </c>
      <c r="Y5652">
        <v>-0.41090739999999998</v>
      </c>
      <c r="Z5652">
        <v>0.1199815</v>
      </c>
      <c r="AA5652">
        <v>0.90374750000000004</v>
      </c>
      <c r="AB5652">
        <v>22</v>
      </c>
      <c r="AC5652">
        <v>7.36850000000004</v>
      </c>
      <c r="AD5652">
        <v>-1.1146300888559999</v>
      </c>
      <c r="AE5652">
        <v>-3.03603000000001</v>
      </c>
      <c r="AF5652">
        <v>-3.35527952570824</v>
      </c>
      <c r="AG5652">
        <v>-1.1146300888559999</v>
      </c>
      <c r="AH5652">
        <v>7.0597891583459402</v>
      </c>
      <c r="AI5652">
        <v>98.115587310381002</v>
      </c>
      <c r="AJ5652">
        <v>115.420163580359</v>
      </c>
      <c r="AK5652">
        <v>7.8956268839731099</v>
      </c>
      <c r="AL5652">
        <v>89.954903484409797</v>
      </c>
      <c r="AM5652">
        <v>106.330756020416</v>
      </c>
      <c r="AN5652">
        <v>1.0000000038639401</v>
      </c>
    </row>
    <row r="5653" spans="1:40" x14ac:dyDescent="0.25">
      <c r="A5653" t="str">
        <f>"20190312151647588"</f>
        <v>20190312151647588</v>
      </c>
      <c r="B5653" t="str">
        <f>"1552375007583819"</f>
        <v>1552375007583819</v>
      </c>
      <c r="C5653" t="s">
        <v>40</v>
      </c>
      <c r="D5653">
        <v>4.7077450000000001</v>
      </c>
      <c r="E5653">
        <v>0.44397330000000002</v>
      </c>
      <c r="F5653" t="s">
        <v>64</v>
      </c>
      <c r="G5653">
        <v>-284.80250000000001</v>
      </c>
      <c r="H5653" s="1">
        <v>-4.1578539999999996E-6</v>
      </c>
      <c r="I5653">
        <v>-58.963749999999997</v>
      </c>
      <c r="J5653">
        <v>-292.2056</v>
      </c>
      <c r="K5653">
        <v>1.114633</v>
      </c>
      <c r="L5653">
        <v>-55.972169999999998</v>
      </c>
      <c r="M5653">
        <v>0.67782200000000004</v>
      </c>
      <c r="N5653">
        <v>0</v>
      </c>
      <c r="O5653">
        <v>-0.73513759999999995</v>
      </c>
      <c r="P5653">
        <v>0.85672469999999901</v>
      </c>
      <c r="Q5653">
        <v>-6.728159E-3</v>
      </c>
      <c r="R5653">
        <v>-0.51573029999999997</v>
      </c>
      <c r="S5653">
        <v>2.8006289999999998</v>
      </c>
      <c r="T5653">
        <v>-0.41313119999999998</v>
      </c>
      <c r="U5653">
        <v>-1.1660459999999999</v>
      </c>
      <c r="V5653">
        <v>-0.2802866</v>
      </c>
      <c r="W5653">
        <v>7.5847329999999995E-4</v>
      </c>
      <c r="X5653">
        <v>0.95991610000000005</v>
      </c>
      <c r="Y5653">
        <v>-0.40955900000000001</v>
      </c>
      <c r="Z5653">
        <v>0.11914909999999999</v>
      </c>
      <c r="AA5653">
        <v>0.90446939999999998</v>
      </c>
      <c r="AB5653">
        <v>22</v>
      </c>
      <c r="AC5653">
        <v>7.4030999999999896</v>
      </c>
      <c r="AD5653">
        <v>-1.114637157854</v>
      </c>
      <c r="AE5653">
        <v>-2.9915799999999901</v>
      </c>
      <c r="AF5653">
        <v>-3.3494882729217701</v>
      </c>
      <c r="AG5653">
        <v>-1.114637157854</v>
      </c>
      <c r="AH5653">
        <v>7.0797124373019296</v>
      </c>
      <c r="AI5653">
        <v>98.099769181363101</v>
      </c>
      <c r="AJ5653">
        <v>115.31933580362799</v>
      </c>
      <c r="AK5653">
        <v>7.9109933560202803</v>
      </c>
      <c r="AL5653">
        <v>89.956542678444407</v>
      </c>
      <c r="AM5653">
        <v>106.277314836912</v>
      </c>
      <c r="AN5653">
        <v>1.0000000362302499</v>
      </c>
    </row>
    <row r="5654" spans="1:40" x14ac:dyDescent="0.25">
      <c r="A5654" t="str">
        <f>"20190312151647611"</f>
        <v>20190312151647611</v>
      </c>
      <c r="B5654" t="str">
        <f>"1552375007603339"</f>
        <v>1552375007603339</v>
      </c>
      <c r="C5654" t="s">
        <v>40</v>
      </c>
      <c r="D5654">
        <v>4.7611059999999998</v>
      </c>
      <c r="E5654">
        <v>0.44409720000000003</v>
      </c>
      <c r="F5654" t="s">
        <v>64</v>
      </c>
      <c r="G5654">
        <v>-284.6173</v>
      </c>
      <c r="H5654" s="1">
        <v>-4.2256050000000002E-6</v>
      </c>
      <c r="I5654">
        <v>-59.067920000000001</v>
      </c>
      <c r="J5654">
        <v>-292.05119999999999</v>
      </c>
      <c r="K5654">
        <v>1.11464599999999</v>
      </c>
      <c r="L5654">
        <v>-56.125239999999998</v>
      </c>
      <c r="M5654">
        <v>0.6840889</v>
      </c>
      <c r="N5654">
        <v>0</v>
      </c>
      <c r="O5654">
        <v>-0.72930909999999904</v>
      </c>
      <c r="P5654">
        <v>0.8606393</v>
      </c>
      <c r="Q5654">
        <v>-6.3837929999999996E-3</v>
      </c>
      <c r="R5654">
        <v>-0.50917509999999999</v>
      </c>
      <c r="S5654">
        <v>2.8086850000000001</v>
      </c>
      <c r="T5654">
        <v>-0.41256559999999998</v>
      </c>
      <c r="U5654">
        <v>-1.1458440000000001</v>
      </c>
      <c r="V5654">
        <v>-0.279404299999999</v>
      </c>
      <c r="W5654">
        <v>1.1213460000000001E-3</v>
      </c>
      <c r="X5654">
        <v>0.9601729</v>
      </c>
      <c r="Y5654">
        <v>-0.4083251</v>
      </c>
      <c r="Z5654">
        <v>0.1183308</v>
      </c>
      <c r="AA5654">
        <v>0.90513449999999995</v>
      </c>
      <c r="AB5654">
        <v>22</v>
      </c>
      <c r="AC5654">
        <v>7.4338999999999897</v>
      </c>
      <c r="AD5654">
        <v>-1.1146502256049899</v>
      </c>
      <c r="AE5654">
        <v>-2.9426799999999802</v>
      </c>
      <c r="AF5654">
        <v>-3.3437862385834398</v>
      </c>
      <c r="AG5654">
        <v>-1.1146502256049899</v>
      </c>
      <c r="AH5654">
        <v>7.0941562380932304</v>
      </c>
      <c r="AI5654">
        <v>98.089033857933302</v>
      </c>
      <c r="AJ5654">
        <v>115.236553144813</v>
      </c>
      <c r="AK5654">
        <v>7.9215152758331797</v>
      </c>
      <c r="AL5654">
        <v>89.935751593945298</v>
      </c>
      <c r="AM5654">
        <v>106.224665028712</v>
      </c>
      <c r="AN5654">
        <v>1.00000000908487</v>
      </c>
    </row>
    <row r="5655" spans="1:40" x14ac:dyDescent="0.25">
      <c r="A5655" t="str">
        <f>"20190312151647634"</f>
        <v>20190312151647634</v>
      </c>
      <c r="B5655" t="str">
        <f>"1552375007623835"</f>
        <v>1552375007623835</v>
      </c>
      <c r="C5655" t="s">
        <v>40</v>
      </c>
      <c r="D5655">
        <v>4.7764819999999997</v>
      </c>
      <c r="E5655">
        <v>0.4442779</v>
      </c>
      <c r="F5655" t="s">
        <v>64</v>
      </c>
      <c r="G5655">
        <v>-284.4341</v>
      </c>
      <c r="H5655" s="1">
        <v>-4.2931490000000003E-6</v>
      </c>
      <c r="I5655">
        <v>-59.167920000000002</v>
      </c>
      <c r="J5655">
        <v>-291.89100000000002</v>
      </c>
      <c r="K5655">
        <v>1.114662</v>
      </c>
      <c r="L5655">
        <v>-56.281370000000003</v>
      </c>
      <c r="M5655">
        <v>0.69049459999999996</v>
      </c>
      <c r="N5655">
        <v>0</v>
      </c>
      <c r="O5655">
        <v>-0.72324719999999998</v>
      </c>
      <c r="P5655">
        <v>0.864380699999999</v>
      </c>
      <c r="Q5655">
        <v>-6.4969959999999997E-3</v>
      </c>
      <c r="R5655">
        <v>-0.50279620000000003</v>
      </c>
      <c r="S5655">
        <v>2.816986</v>
      </c>
      <c r="T5655">
        <v>-0.41222049999999999</v>
      </c>
      <c r="U5655">
        <v>-1.1252439999999999</v>
      </c>
      <c r="V5655">
        <v>-0.27803519999999998</v>
      </c>
      <c r="W5655">
        <v>1.0359919999999999E-3</v>
      </c>
      <c r="X5655">
        <v>0.96057029999999999</v>
      </c>
      <c r="Y5655">
        <v>-0.40698590000000001</v>
      </c>
      <c r="Z5655">
        <v>0.11753280000000001</v>
      </c>
      <c r="AA5655">
        <v>0.90584140000000002</v>
      </c>
      <c r="AB5655">
        <v>22</v>
      </c>
      <c r="AC5655">
        <v>7.4568999999999601</v>
      </c>
      <c r="AD5655">
        <v>-1.1146662931489999</v>
      </c>
      <c r="AE5655">
        <v>-2.8865500000000002</v>
      </c>
      <c r="AF5655">
        <v>-3.3354403408403499</v>
      </c>
      <c r="AG5655">
        <v>-1.1146662931489999</v>
      </c>
      <c r="AH5655">
        <v>7.0991553377540999</v>
      </c>
      <c r="AI5655">
        <v>98.088162195899301</v>
      </c>
      <c r="AJ5655">
        <v>115.165838196363</v>
      </c>
      <c r="AK5655">
        <v>7.9224774989866802</v>
      </c>
      <c r="AL5655">
        <v>89.940642018598496</v>
      </c>
      <c r="AM5655">
        <v>106.142983583583</v>
      </c>
      <c r="AN5655">
        <v>0.99999997348027603</v>
      </c>
    </row>
    <row r="5656" spans="1:40" x14ac:dyDescent="0.25">
      <c r="A5656" t="str">
        <f>"20190312151647656"</f>
        <v>20190312151647656</v>
      </c>
      <c r="B5656" t="str">
        <f>"1552375007643355"</f>
        <v>1552375007643355</v>
      </c>
      <c r="C5656" t="s">
        <v>40</v>
      </c>
      <c r="D5656">
        <v>4.7512869999999996</v>
      </c>
      <c r="E5656">
        <v>0.4444861</v>
      </c>
      <c r="F5656" t="s">
        <v>41</v>
      </c>
      <c r="G5656">
        <v>-290.90800000000002</v>
      </c>
      <c r="H5656">
        <v>0.97065919999999895</v>
      </c>
      <c r="I5656">
        <v>-56.666310000000003</v>
      </c>
      <c r="J5656">
        <v>-291.73849999999999</v>
      </c>
      <c r="K5656">
        <v>1.114689</v>
      </c>
      <c r="L5656">
        <v>-56.427280000000003</v>
      </c>
      <c r="M5656">
        <v>0.69649839999999996</v>
      </c>
      <c r="N5656">
        <v>0</v>
      </c>
      <c r="O5656">
        <v>-0.71746709999999903</v>
      </c>
      <c r="P5656">
        <v>0.86801679999999903</v>
      </c>
      <c r="Q5656">
        <v>-6.5795089999999999E-3</v>
      </c>
      <c r="R5656">
        <v>-0.49649120000000002</v>
      </c>
      <c r="S5656">
        <v>2.8244929999999999</v>
      </c>
      <c r="T5656">
        <v>-0.41374749999999999</v>
      </c>
      <c r="U5656">
        <v>-1.105591</v>
      </c>
      <c r="V5656">
        <v>-0.27701999999999999</v>
      </c>
      <c r="W5656">
        <v>9.773417999999999E-4</v>
      </c>
      <c r="X5656">
        <v>0.96086360000000004</v>
      </c>
      <c r="Y5656">
        <v>-0.40565899999999999</v>
      </c>
      <c r="Z5656">
        <v>0.1172948</v>
      </c>
      <c r="AA5656">
        <v>0.90646709999999997</v>
      </c>
      <c r="AB5656">
        <v>22</v>
      </c>
      <c r="AC5656">
        <v>0.83049999999997204</v>
      </c>
      <c r="AD5656">
        <v>-0.14402980000000001</v>
      </c>
      <c r="AE5656">
        <v>-0.239029999999992</v>
      </c>
      <c r="AF5656">
        <v>-0.41779602402965699</v>
      </c>
      <c r="AG5656">
        <v>-0.14402980000000001</v>
      </c>
      <c r="AH5656">
        <v>0.72971886120447904</v>
      </c>
      <c r="AI5656">
        <v>99.719808259765401</v>
      </c>
      <c r="AJ5656">
        <v>119.793028180661</v>
      </c>
      <c r="AK5656">
        <v>0.85310475170438005</v>
      </c>
      <c r="AL5656">
        <v>89.944002427818802</v>
      </c>
      <c r="AM5656">
        <v>106.08243798484899</v>
      </c>
      <c r="AN5656">
        <v>0.99999994670097503</v>
      </c>
    </row>
    <row r="5657" spans="1:40" x14ac:dyDescent="0.25">
      <c r="A5657" t="str">
        <f>"20190312151647677"</f>
        <v>20190312151647677</v>
      </c>
      <c r="B5657" t="str">
        <f>"1552375007673614"</f>
        <v>1552375007673614</v>
      </c>
      <c r="C5657" t="s">
        <v>40</v>
      </c>
      <c r="D5657">
        <v>4.7568720000000004</v>
      </c>
      <c r="E5657">
        <v>0.44497530000000002</v>
      </c>
      <c r="F5657" t="s">
        <v>41</v>
      </c>
      <c r="G5657">
        <v>-290.73759999999999</v>
      </c>
      <c r="H5657">
        <v>0.96756920000000002</v>
      </c>
      <c r="I5657">
        <v>-56.811149999999998</v>
      </c>
      <c r="J5657">
        <v>-291.58049999999997</v>
      </c>
      <c r="K5657">
        <v>1.114719</v>
      </c>
      <c r="L5657">
        <v>-56.575870000000002</v>
      </c>
      <c r="M5657">
        <v>0.70263240000000005</v>
      </c>
      <c r="N5657">
        <v>0</v>
      </c>
      <c r="O5657">
        <v>-0.7114606</v>
      </c>
      <c r="P5657">
        <v>0.87201419999999996</v>
      </c>
      <c r="Q5657">
        <v>-6.1581539999999999E-3</v>
      </c>
      <c r="R5657">
        <v>-0.48944209999999999</v>
      </c>
      <c r="S5657">
        <v>2.8317570000000001</v>
      </c>
      <c r="T5657">
        <v>-0.41625960000000001</v>
      </c>
      <c r="U5657">
        <v>-1.0861510000000001</v>
      </c>
      <c r="V5657">
        <v>-0.27656399999999998</v>
      </c>
      <c r="W5657">
        <v>1.4117400000000001E-3</v>
      </c>
      <c r="X5657">
        <v>0.96099449999999997</v>
      </c>
      <c r="Y5657">
        <v>-0.40398119999999998</v>
      </c>
      <c r="Z5657">
        <v>0.1172788</v>
      </c>
      <c r="AA5657">
        <v>0.90721819999999997</v>
      </c>
      <c r="AB5657">
        <v>22</v>
      </c>
      <c r="AC5657">
        <v>0.84289999999998599</v>
      </c>
      <c r="AD5657">
        <v>-0.1471498</v>
      </c>
      <c r="AE5657">
        <v>-0.23528000000000299</v>
      </c>
      <c r="AF5657">
        <v>-0.42245887306447899</v>
      </c>
      <c r="AG5657">
        <v>-0.1471498</v>
      </c>
      <c r="AH5657">
        <v>0.73880256376045605</v>
      </c>
      <c r="AI5657">
        <v>99.8095738895355</v>
      </c>
      <c r="AJ5657">
        <v>119.761597568681</v>
      </c>
      <c r="AK5657">
        <v>0.86368616481333804</v>
      </c>
      <c r="AL5657">
        <v>89.919113232117795</v>
      </c>
      <c r="AM5657">
        <v>106.055255924769</v>
      </c>
      <c r="AN5657">
        <v>1.00000003406803</v>
      </c>
    </row>
    <row r="5658" spans="1:40" x14ac:dyDescent="0.25">
      <c r="A5658" t="str">
        <f>"20190312151647694"</f>
        <v>20190312151647694</v>
      </c>
      <c r="B5658" t="str">
        <f>"1552375007683370"</f>
        <v>1552375007683370</v>
      </c>
      <c r="C5658" t="s">
        <v>40</v>
      </c>
      <c r="D5658">
        <v>4.7716669999999999</v>
      </c>
      <c r="E5658">
        <v>0.4450557</v>
      </c>
      <c r="F5658" t="s">
        <v>64</v>
      </c>
      <c r="G5658">
        <v>-283.9178</v>
      </c>
      <c r="H5658" s="1">
        <v>-4.4823350000000002E-6</v>
      </c>
      <c r="I5658">
        <v>-59.456249999999997</v>
      </c>
      <c r="J5658">
        <v>-291.46679999999998</v>
      </c>
      <c r="K5658">
        <v>1.1147370000000001</v>
      </c>
      <c r="L5658">
        <v>-56.681489999999997</v>
      </c>
      <c r="M5658">
        <v>0.70699889999999999</v>
      </c>
      <c r="N5658">
        <v>0</v>
      </c>
      <c r="O5658">
        <v>-0.70712129999999995</v>
      </c>
      <c r="P5658">
        <v>0.87474110000000005</v>
      </c>
      <c r="Q5658">
        <v>-6.1058010000000001E-3</v>
      </c>
      <c r="R5658">
        <v>-0.4845526</v>
      </c>
      <c r="S5658">
        <v>2.8385310000000001</v>
      </c>
      <c r="T5658">
        <v>-0.4129292</v>
      </c>
      <c r="U5658">
        <v>-1.066986</v>
      </c>
      <c r="V5658">
        <v>-0.27602870000000002</v>
      </c>
      <c r="W5658">
        <v>1.474206E-3</v>
      </c>
      <c r="X5658">
        <v>0.96114829999999996</v>
      </c>
      <c r="Y5658">
        <v>-0.40460560000000001</v>
      </c>
      <c r="Z5658">
        <v>0.11594500000000001</v>
      </c>
      <c r="AA5658">
        <v>0.90711140000000001</v>
      </c>
      <c r="AB5658">
        <v>22</v>
      </c>
      <c r="AC5658">
        <v>7.5489999999999702</v>
      </c>
      <c r="AD5658">
        <v>-1.1147414823349999</v>
      </c>
      <c r="AE5658">
        <v>-2.7747599999999899</v>
      </c>
      <c r="AF5658">
        <v>-3.3128878664330701</v>
      </c>
      <c r="AG5658">
        <v>-1.1147414823349999</v>
      </c>
      <c r="AH5658">
        <v>7.1621222035618901</v>
      </c>
      <c r="AI5658">
        <v>98.040608974149805</v>
      </c>
      <c r="AJ5658">
        <v>114.823219169992</v>
      </c>
      <c r="AK5658">
        <v>7.9695588991331396</v>
      </c>
      <c r="AL5658">
        <v>89.915534190475199</v>
      </c>
      <c r="AM5658">
        <v>106.023344636475</v>
      </c>
      <c r="AN5658">
        <v>1.0000000355499501</v>
      </c>
    </row>
    <row r="5659" spans="1:40" x14ac:dyDescent="0.25">
      <c r="A5659" t="str">
        <f>"20190312151647710"</f>
        <v>20190312151647710</v>
      </c>
      <c r="B5659" t="str">
        <f>"1552375007703867"</f>
        <v>1552375007703867</v>
      </c>
      <c r="C5659" t="s">
        <v>40</v>
      </c>
      <c r="D5659">
        <v>4.7973299999999997</v>
      </c>
      <c r="E5659">
        <v>0.44520009999999999</v>
      </c>
      <c r="F5659" t="s">
        <v>41</v>
      </c>
      <c r="G5659">
        <v>-290.45940000000002</v>
      </c>
      <c r="H5659">
        <v>0.96862170000000003</v>
      </c>
      <c r="I5659">
        <v>-57.053959999999996</v>
      </c>
      <c r="J5659">
        <v>-291.3424</v>
      </c>
      <c r="K5659">
        <v>1.114762</v>
      </c>
      <c r="L5659">
        <v>-56.795229999999997</v>
      </c>
      <c r="M5659">
        <v>0.71172400000000002</v>
      </c>
      <c r="N5659">
        <v>0</v>
      </c>
      <c r="O5659">
        <v>-0.70236500000000002</v>
      </c>
      <c r="P5659">
        <v>0.87770550000000003</v>
      </c>
      <c r="Q5659">
        <v>-5.9510639999999998E-3</v>
      </c>
      <c r="R5659">
        <v>-0.47916389999999998</v>
      </c>
      <c r="S5659">
        <v>2.8441770000000002</v>
      </c>
      <c r="T5659">
        <v>-0.41252430000000001</v>
      </c>
      <c r="U5659">
        <v>-1.0515749999999999</v>
      </c>
      <c r="V5659">
        <v>-0.27549780000000001</v>
      </c>
      <c r="W5659">
        <v>1.63728299999999E-3</v>
      </c>
      <c r="X5659">
        <v>0.9613003</v>
      </c>
      <c r="Y5659">
        <v>-0.4034568</v>
      </c>
      <c r="Z5659">
        <v>0.11526839999999999</v>
      </c>
      <c r="AA5659">
        <v>0.90770910000000005</v>
      </c>
      <c r="AB5659">
        <v>22</v>
      </c>
      <c r="AC5659">
        <v>0.88299999999998102</v>
      </c>
      <c r="AD5659">
        <v>-0.1461403</v>
      </c>
      <c r="AE5659">
        <v>-0.25872999999999202</v>
      </c>
      <c r="AF5659">
        <v>-0.42534315072359802</v>
      </c>
      <c r="AG5659">
        <v>-0.1461403</v>
      </c>
      <c r="AH5659">
        <v>0.79029297770516804</v>
      </c>
      <c r="AI5659">
        <v>99.248479072804699</v>
      </c>
      <c r="AJ5659">
        <v>118.28955758542401</v>
      </c>
      <c r="AK5659">
        <v>0.90930565475073799</v>
      </c>
      <c r="AL5659">
        <v>89.906190551628598</v>
      </c>
      <c r="AM5659">
        <v>105.991704110941</v>
      </c>
      <c r="AN5659">
        <v>0.99999999264027595</v>
      </c>
    </row>
    <row r="5660" spans="1:40" x14ac:dyDescent="0.25">
      <c r="A5660" t="str">
        <f>"20190312151647727"</f>
        <v>20190312151647727</v>
      </c>
      <c r="B5660" t="str">
        <f>"1552375007723387"</f>
        <v>1552375007723387</v>
      </c>
      <c r="C5660" t="s">
        <v>40</v>
      </c>
      <c r="D5660">
        <v>4.7919929999999997</v>
      </c>
      <c r="E5660">
        <v>0.44534570000000001</v>
      </c>
      <c r="F5660" t="s">
        <v>64</v>
      </c>
      <c r="G5660">
        <v>-283.6848</v>
      </c>
      <c r="H5660" s="1">
        <v>-4.5696689999999998E-6</v>
      </c>
      <c r="I5660">
        <v>-59.575099999999999</v>
      </c>
      <c r="J5660">
        <v>-291.22829999999999</v>
      </c>
      <c r="K5660">
        <v>1.114787</v>
      </c>
      <c r="L5660">
        <v>-56.898130000000002</v>
      </c>
      <c r="M5660">
        <v>0.7160164</v>
      </c>
      <c r="N5660">
        <v>0</v>
      </c>
      <c r="O5660">
        <v>-0.69798859999999996</v>
      </c>
      <c r="P5660">
        <v>0.88061659999999997</v>
      </c>
      <c r="Q5660">
        <v>-5.9943590000000003E-3</v>
      </c>
      <c r="R5660">
        <v>-0.47379199999999999</v>
      </c>
      <c r="S5660">
        <v>2.850311</v>
      </c>
      <c r="T5660">
        <v>-0.41494009999999998</v>
      </c>
      <c r="U5660">
        <v>-1.034729</v>
      </c>
      <c r="V5660">
        <v>-0.27547759999999999</v>
      </c>
      <c r="W5660">
        <v>1.591985E-3</v>
      </c>
      <c r="X5660">
        <v>0.9613062</v>
      </c>
      <c r="Y5660">
        <v>-0.40316220000000003</v>
      </c>
      <c r="Z5660">
        <v>0.1154517</v>
      </c>
      <c r="AA5660">
        <v>0.90781670000000003</v>
      </c>
      <c r="AB5660">
        <v>22</v>
      </c>
      <c r="AC5660">
        <v>7.5434999999999901</v>
      </c>
      <c r="AD5660">
        <v>-1.1147915696690001</v>
      </c>
      <c r="AE5660">
        <v>-2.6769699999999901</v>
      </c>
      <c r="AF5660">
        <v>-3.2850255266849802</v>
      </c>
      <c r="AG5660">
        <v>-1.1147915696690001</v>
      </c>
      <c r="AH5660">
        <v>7.1319098409577304</v>
      </c>
      <c r="AI5660">
        <v>98.080486535950499</v>
      </c>
      <c r="AJ5660">
        <v>114.731247085536</v>
      </c>
      <c r="AK5660">
        <v>7.9308442762625697</v>
      </c>
      <c r="AL5660">
        <v>89.908785942325196</v>
      </c>
      <c r="AM5660">
        <v>105.990498392448</v>
      </c>
      <c r="AN5660">
        <v>1.0000000263382101</v>
      </c>
    </row>
    <row r="5661" spans="1:40" x14ac:dyDescent="0.25">
      <c r="A5661" t="str">
        <f>"20190312151647744"</f>
        <v>20190312151647744</v>
      </c>
      <c r="B5661" t="str">
        <f>"1552375007733147"</f>
        <v>1552375007733147</v>
      </c>
      <c r="C5661" t="s">
        <v>40</v>
      </c>
      <c r="D5661">
        <v>4.8228400000000002</v>
      </c>
      <c r="E5661">
        <v>0.44544850000000002</v>
      </c>
      <c r="F5661" t="s">
        <v>64</v>
      </c>
      <c r="G5661">
        <v>-283.6225</v>
      </c>
      <c r="H5661" s="1">
        <v>-4.5926319999999999E-6</v>
      </c>
      <c r="I5661">
        <v>-59.609250000000003</v>
      </c>
      <c r="J5661">
        <v>-291.09559999999999</v>
      </c>
      <c r="K5661">
        <v>1.1148149999999999</v>
      </c>
      <c r="L5661">
        <v>-57.016330000000004</v>
      </c>
      <c r="M5661">
        <v>0.7209681</v>
      </c>
      <c r="N5661">
        <v>0</v>
      </c>
      <c r="O5661">
        <v>-0.69287259999999995</v>
      </c>
      <c r="P5661">
        <v>0.88387119999999997</v>
      </c>
      <c r="Q5661">
        <v>-5.4952019999999898E-3</v>
      </c>
      <c r="R5661">
        <v>-0.46769880000000003</v>
      </c>
      <c r="S5661">
        <v>2.8561100000000001</v>
      </c>
      <c r="T5661">
        <v>-0.41862129999999997</v>
      </c>
      <c r="U5661">
        <v>-1.0180659999999999</v>
      </c>
      <c r="V5661">
        <v>-0.27528170000000002</v>
      </c>
      <c r="W5661">
        <v>2.0907550000000001E-3</v>
      </c>
      <c r="X5661">
        <v>0.96136129999999997</v>
      </c>
      <c r="Y5661">
        <v>-0.4018371</v>
      </c>
      <c r="Z5661">
        <v>0.1158407</v>
      </c>
      <c r="AA5661">
        <v>0.90835449999999995</v>
      </c>
      <c r="AB5661">
        <v>22</v>
      </c>
      <c r="AC5661">
        <v>7.4730999999999801</v>
      </c>
      <c r="AD5661">
        <v>-1.1148195926319999</v>
      </c>
      <c r="AE5661">
        <v>-2.5929199999999901</v>
      </c>
      <c r="AF5661">
        <v>-3.24427268029378</v>
      </c>
      <c r="AG5661">
        <v>-1.1148195926319999</v>
      </c>
      <c r="AH5661">
        <v>7.0449734574989504</v>
      </c>
      <c r="AI5661">
        <v>98.179371723342399</v>
      </c>
      <c r="AJ5661">
        <v>114.726489135196</v>
      </c>
      <c r="AK5661">
        <v>7.8358011055080699</v>
      </c>
      <c r="AL5661">
        <v>89.880208471322504</v>
      </c>
      <c r="AM5661">
        <v>105.978838735369</v>
      </c>
      <c r="AN5661">
        <v>0.99999996737452401</v>
      </c>
    </row>
    <row r="5662" spans="1:40" x14ac:dyDescent="0.25">
      <c r="A5662" t="str">
        <f>"20190312151647760"</f>
        <v>20190312151647760</v>
      </c>
      <c r="B5662" t="str">
        <f>"1552375007753643"</f>
        <v>1552375007753643</v>
      </c>
      <c r="C5662" t="s">
        <v>40</v>
      </c>
      <c r="D5662">
        <v>4.7448399999999999</v>
      </c>
      <c r="E5662">
        <v>0.4450884</v>
      </c>
      <c r="F5662" t="s">
        <v>64</v>
      </c>
      <c r="G5662">
        <v>-283.45280000000002</v>
      </c>
      <c r="H5662" s="1">
        <v>-4.6584400000000004E-6</v>
      </c>
      <c r="I5662">
        <v>-59.683750000000003</v>
      </c>
      <c r="J5662">
        <v>-290.97969999999998</v>
      </c>
      <c r="K5662">
        <v>1.114841</v>
      </c>
      <c r="L5662">
        <v>-57.118160000000003</v>
      </c>
      <c r="M5662">
        <v>0.72525410000000001</v>
      </c>
      <c r="N5662">
        <v>0</v>
      </c>
      <c r="O5662">
        <v>-0.68838469999999996</v>
      </c>
      <c r="P5662">
        <v>0.88687490000000002</v>
      </c>
      <c r="Q5662">
        <v>-5.413139E-3</v>
      </c>
      <c r="R5662">
        <v>-0.46197840000000001</v>
      </c>
      <c r="S5662">
        <v>2.8628849999999999</v>
      </c>
      <c r="T5662">
        <v>-0.41759400000000002</v>
      </c>
      <c r="U5662">
        <v>-0.99917599999999995</v>
      </c>
      <c r="V5662">
        <v>-0.27552779999999999</v>
      </c>
      <c r="W5662">
        <v>2.163711E-3</v>
      </c>
      <c r="X5662">
        <v>0.96129070000000005</v>
      </c>
      <c r="Y5662">
        <v>-0.40225490000000003</v>
      </c>
      <c r="Z5662">
        <v>0.11509220000000001</v>
      </c>
      <c r="AA5662">
        <v>0.90826479999999998</v>
      </c>
      <c r="AB5662">
        <v>22</v>
      </c>
      <c r="AC5662">
        <v>7.5268999999999497</v>
      </c>
      <c r="AD5662">
        <v>-1.1148456584399999</v>
      </c>
      <c r="AE5662">
        <v>-2.5655899999999998</v>
      </c>
      <c r="AF5662">
        <v>-3.2569061350672901</v>
      </c>
      <c r="AG5662">
        <v>-1.1148456584399999</v>
      </c>
      <c r="AH5662">
        <v>7.0862321848954002</v>
      </c>
      <c r="AI5662">
        <v>98.135312423456497</v>
      </c>
      <c r="AJ5662">
        <v>114.684004412649</v>
      </c>
      <c r="AK5662">
        <v>7.8781346137920796</v>
      </c>
      <c r="AL5662">
        <v>89.876028398608796</v>
      </c>
      <c r="AM5662">
        <v>105.993508005709</v>
      </c>
      <c r="AN5662">
        <v>1.00000003006231</v>
      </c>
    </row>
    <row r="5663" spans="1:40" x14ac:dyDescent="0.25">
      <c r="A5663" t="str">
        <f>"20190312151647779"</f>
        <v>20190312151647779</v>
      </c>
      <c r="B5663" t="str">
        <f>"1552375007773163"</f>
        <v>1552375007773163</v>
      </c>
      <c r="C5663" t="s">
        <v>40</v>
      </c>
      <c r="D5663">
        <v>4.7956029999999998</v>
      </c>
      <c r="E5663">
        <v>0.4444979</v>
      </c>
      <c r="F5663" t="s">
        <v>64</v>
      </c>
      <c r="G5663">
        <v>-283.33229999999998</v>
      </c>
      <c r="H5663" s="1">
        <v>-4.7074379999999998E-6</v>
      </c>
      <c r="I5663">
        <v>-59.723799999999997</v>
      </c>
      <c r="J5663">
        <v>-290.84660000000002</v>
      </c>
      <c r="K5663">
        <v>1.1148750000000001</v>
      </c>
      <c r="L5663">
        <v>-57.233580000000003</v>
      </c>
      <c r="M5663">
        <v>0.73013399999999995</v>
      </c>
      <c r="N5663">
        <v>0</v>
      </c>
      <c r="O5663">
        <v>-0.68320649999999905</v>
      </c>
      <c r="P5663">
        <v>0.89031059999999995</v>
      </c>
      <c r="Q5663">
        <v>-5.2785130000000003E-3</v>
      </c>
      <c r="R5663">
        <v>-0.4553237</v>
      </c>
      <c r="S5663">
        <v>2.8706360000000002</v>
      </c>
      <c r="T5663">
        <v>-0.4184831</v>
      </c>
      <c r="U5663">
        <v>-0.97808839999999997</v>
      </c>
      <c r="V5663">
        <v>-0.27588980000000002</v>
      </c>
      <c r="W5663">
        <v>2.2843500000000001E-3</v>
      </c>
      <c r="X5663">
        <v>0.96118650000000005</v>
      </c>
      <c r="Y5663">
        <v>-0.40248800000000001</v>
      </c>
      <c r="Z5663">
        <v>0.1147653</v>
      </c>
      <c r="AA5663">
        <v>0.90820279999999998</v>
      </c>
      <c r="AB5663">
        <v>22</v>
      </c>
      <c r="AC5663">
        <v>7.5143000000000404</v>
      </c>
      <c r="AD5663">
        <v>-1.1148797074379999</v>
      </c>
      <c r="AE5663">
        <v>-2.4902199999999901</v>
      </c>
      <c r="AF5663">
        <v>-3.2513556590578898</v>
      </c>
      <c r="AG5663">
        <v>-1.1148797074379999</v>
      </c>
      <c r="AH5663">
        <v>7.0484555220020004</v>
      </c>
      <c r="AI5663">
        <v>98.173437339254605</v>
      </c>
      <c r="AJ5663">
        <v>114.763226733642</v>
      </c>
      <c r="AK5663">
        <v>7.8418744971712799</v>
      </c>
      <c r="AL5663">
        <v>89.869116264894501</v>
      </c>
      <c r="AM5663">
        <v>106.01509127506</v>
      </c>
      <c r="AN5663">
        <v>0.99999994389060398</v>
      </c>
    </row>
    <row r="5664" spans="1:40" x14ac:dyDescent="0.25">
      <c r="A5664" t="str">
        <f>"20190312151647791"</f>
        <v>20190312151647791</v>
      </c>
      <c r="B5664" t="str">
        <f>"1552375007783899"</f>
        <v>1552375007783899</v>
      </c>
      <c r="C5664" t="s">
        <v>40</v>
      </c>
      <c r="D5664">
        <v>4.7667140000000003</v>
      </c>
      <c r="E5664">
        <v>0.44422080000000003</v>
      </c>
      <c r="F5664" t="s">
        <v>64</v>
      </c>
      <c r="G5664">
        <v>-283.1626</v>
      </c>
      <c r="H5664" s="1">
        <v>-4.777378E-6</v>
      </c>
      <c r="I5664">
        <v>-59.774990000000003</v>
      </c>
      <c r="J5664">
        <v>-290.74520000000001</v>
      </c>
      <c r="K5664">
        <v>1.1149020000000001</v>
      </c>
      <c r="L5664">
        <v>-57.320500000000003</v>
      </c>
      <c r="M5664">
        <v>0.73382230000000004</v>
      </c>
      <c r="N5664">
        <v>0</v>
      </c>
      <c r="O5664">
        <v>-0.67924309999999999</v>
      </c>
      <c r="P5664">
        <v>0.89275569999999904</v>
      </c>
      <c r="Q5664">
        <v>-5.6433489999999998E-3</v>
      </c>
      <c r="R5664">
        <v>-0.45050590000000001</v>
      </c>
      <c r="S5664">
        <v>2.8799739999999998</v>
      </c>
      <c r="T5664">
        <v>-0.41785529999999999</v>
      </c>
      <c r="U5664">
        <v>-0.95251459999999999</v>
      </c>
      <c r="V5664">
        <v>-0.27587309999999998</v>
      </c>
      <c r="W5664">
        <v>1.913372E-3</v>
      </c>
      <c r="X5664">
        <v>0.96119219999999905</v>
      </c>
      <c r="Y5664">
        <v>-0.4057289</v>
      </c>
      <c r="Z5664">
        <v>0.1143227</v>
      </c>
      <c r="AA5664">
        <v>0.9068155</v>
      </c>
      <c r="AB5664">
        <v>22</v>
      </c>
      <c r="AC5664">
        <v>7.58260000000001</v>
      </c>
      <c r="AD5664">
        <v>-1.1149067773779999</v>
      </c>
      <c r="AE5664">
        <v>-2.4544899999999998</v>
      </c>
      <c r="AF5664">
        <v>-3.2852055178550601</v>
      </c>
      <c r="AG5664">
        <v>-1.1149067773779999</v>
      </c>
      <c r="AH5664">
        <v>7.0931550782578299</v>
      </c>
      <c r="AI5664">
        <v>98.117122762821296</v>
      </c>
      <c r="AJ5664">
        <v>114.851284871096</v>
      </c>
      <c r="AK5664">
        <v>7.8961029236581997</v>
      </c>
      <c r="AL5664">
        <v>89.890371796906393</v>
      </c>
      <c r="AM5664">
        <v>106.01408146759999</v>
      </c>
      <c r="AN5664">
        <v>1.0000000368184201</v>
      </c>
    </row>
    <row r="5665" spans="1:40" x14ac:dyDescent="0.25">
      <c r="A5665" t="str">
        <f>"20190312151647813"</f>
        <v>20190312151647813</v>
      </c>
      <c r="B5665" t="str">
        <f>"1552375007803419"</f>
        <v>1552375007803419</v>
      </c>
      <c r="C5665" t="s">
        <v>40</v>
      </c>
      <c r="D5665">
        <v>4.7939619999999996</v>
      </c>
      <c r="E5665">
        <v>0.4437758</v>
      </c>
      <c r="F5665" t="s">
        <v>64</v>
      </c>
      <c r="G5665">
        <v>-283.05959999999999</v>
      </c>
      <c r="H5665" s="1">
        <v>-4.8190400000000002E-6</v>
      </c>
      <c r="I5665">
        <v>-59.81033</v>
      </c>
      <c r="J5665">
        <v>-290.59410000000003</v>
      </c>
      <c r="K5665">
        <v>1.1149359999999999</v>
      </c>
      <c r="L5665">
        <v>-57.447969999999998</v>
      </c>
      <c r="M5665">
        <v>0.73926800000000004</v>
      </c>
      <c r="N5665">
        <v>0</v>
      </c>
      <c r="O5665">
        <v>-0.67331200000000002</v>
      </c>
      <c r="P5665">
        <v>0.8963679</v>
      </c>
      <c r="Q5665">
        <v>-5.9276469999999899E-3</v>
      </c>
      <c r="R5665">
        <v>-0.44327169999999999</v>
      </c>
      <c r="S5665">
        <v>2.8859560000000002</v>
      </c>
      <c r="T5665">
        <v>-0.41864970000000001</v>
      </c>
      <c r="U5665">
        <v>-0.93493649999999995</v>
      </c>
      <c r="V5665">
        <v>-0.27590160000000002</v>
      </c>
      <c r="W5665">
        <v>1.6186869999999999E-3</v>
      </c>
      <c r="X5665">
        <v>0.9611845</v>
      </c>
      <c r="Y5665">
        <v>-0.40396359999999998</v>
      </c>
      <c r="Z5665">
        <v>0.1137758</v>
      </c>
      <c r="AA5665">
        <v>0.90767200000000003</v>
      </c>
      <c r="AB5665">
        <v>22</v>
      </c>
      <c r="AC5665">
        <v>7.5345000000000297</v>
      </c>
      <c r="AD5665">
        <v>-1.1149408190400001</v>
      </c>
      <c r="AE5665">
        <v>-2.3623599999999998</v>
      </c>
      <c r="AF5665">
        <v>-3.2618416166094901</v>
      </c>
      <c r="AG5665">
        <v>-1.1149408190400001</v>
      </c>
      <c r="AH5665">
        <v>7.0211154645109399</v>
      </c>
      <c r="AI5665">
        <v>98.195131247535599</v>
      </c>
      <c r="AJ5665">
        <v>114.91844916497401</v>
      </c>
      <c r="AK5665">
        <v>7.8216856321257104</v>
      </c>
      <c r="AL5665">
        <v>89.907256024009698</v>
      </c>
      <c r="AM5665">
        <v>106.01577274119801</v>
      </c>
      <c r="AN5665">
        <v>0.99999997803520602</v>
      </c>
    </row>
    <row r="5666" spans="1:40" x14ac:dyDescent="0.25">
      <c r="A5666" t="str">
        <f>"20190312151647835"</f>
        <v>20190312151647835</v>
      </c>
      <c r="B5666" t="str">
        <f>"1552375007823915"</f>
        <v>1552375007823915</v>
      </c>
      <c r="C5666" t="s">
        <v>40</v>
      </c>
      <c r="D5666">
        <v>4.7712240000000001</v>
      </c>
      <c r="E5666">
        <v>0.4433492</v>
      </c>
      <c r="F5666" t="s">
        <v>64</v>
      </c>
      <c r="G5666">
        <v>-282.91469999999998</v>
      </c>
      <c r="H5666" s="1">
        <v>-4.8780730000000002E-6</v>
      </c>
      <c r="I5666">
        <v>-59.857889999999998</v>
      </c>
      <c r="J5666">
        <v>-290.42669999999998</v>
      </c>
      <c r="K5666">
        <v>1.1149739999999999</v>
      </c>
      <c r="L5666">
        <v>-57.58661</v>
      </c>
      <c r="M5666">
        <v>0.74523240000000002</v>
      </c>
      <c r="N5666">
        <v>0</v>
      </c>
      <c r="O5666">
        <v>-0.66670390000000002</v>
      </c>
      <c r="P5666">
        <v>0.90035580000000004</v>
      </c>
      <c r="Q5666">
        <v>-6.1941519999999996E-3</v>
      </c>
      <c r="R5666">
        <v>-0.43511030000000001</v>
      </c>
      <c r="S5666">
        <v>2.8948360000000002</v>
      </c>
      <c r="T5666">
        <v>-0.42028890000000002</v>
      </c>
      <c r="U5666">
        <v>-0.90844729999999996</v>
      </c>
      <c r="V5666">
        <v>-0.27607219999999999</v>
      </c>
      <c r="W5666">
        <v>1.337354E-3</v>
      </c>
      <c r="X5666">
        <v>0.96113599999999999</v>
      </c>
      <c r="Y5666">
        <v>-0.4041826</v>
      </c>
      <c r="Z5666">
        <v>0.11348229999999999</v>
      </c>
      <c r="AA5666">
        <v>0.90761130000000001</v>
      </c>
      <c r="AB5666">
        <v>22</v>
      </c>
      <c r="AC5666">
        <v>7.5119999999999996</v>
      </c>
      <c r="AD5666">
        <v>-1.1149788780729999</v>
      </c>
      <c r="AE5666">
        <v>-2.27128</v>
      </c>
      <c r="AF5666">
        <v>-3.25026443562713</v>
      </c>
      <c r="AG5666">
        <v>-1.1149788780729999</v>
      </c>
      <c r="AH5666">
        <v>6.9722010173570901</v>
      </c>
      <c r="AI5666">
        <v>98.2471380940339</v>
      </c>
      <c r="AJ5666">
        <v>114.993747198835</v>
      </c>
      <c r="AK5666">
        <v>7.7729649315101597</v>
      </c>
      <c r="AL5666">
        <v>89.923375239490298</v>
      </c>
      <c r="AM5666">
        <v>106.025934703114</v>
      </c>
      <c r="AN5666">
        <v>1.0000000293122799</v>
      </c>
    </row>
    <row r="5667" spans="1:40" x14ac:dyDescent="0.25">
      <c r="A5667" t="str">
        <f>"20190312151647857"</f>
        <v>20190312151647857</v>
      </c>
      <c r="B5667" t="str">
        <f>"1552375007853195"</f>
        <v>1552375007853195</v>
      </c>
      <c r="C5667" t="s">
        <v>40</v>
      </c>
      <c r="D5667">
        <v>4.7615030000000003</v>
      </c>
      <c r="E5667">
        <v>0.4430229</v>
      </c>
      <c r="F5667" t="s">
        <v>41</v>
      </c>
      <c r="G5667">
        <v>-289.4128</v>
      </c>
      <c r="H5667">
        <v>0.96776309999999999</v>
      </c>
      <c r="I5667">
        <v>-57.893520000000002</v>
      </c>
      <c r="J5667">
        <v>-290.26119999999997</v>
      </c>
      <c r="K5667">
        <v>1.1150089999999999</v>
      </c>
      <c r="L5667">
        <v>-57.721249999999998</v>
      </c>
      <c r="M5667">
        <v>0.75106539999999999</v>
      </c>
      <c r="N5667">
        <v>0</v>
      </c>
      <c r="O5667">
        <v>-0.66012579999999998</v>
      </c>
      <c r="P5667">
        <v>0.90424870000000002</v>
      </c>
      <c r="Q5667">
        <v>-6.3965119999999896E-3</v>
      </c>
      <c r="R5667">
        <v>-0.42695889999999997</v>
      </c>
      <c r="S5667">
        <v>2.9042970000000001</v>
      </c>
      <c r="T5667">
        <v>-0.42165360000000002</v>
      </c>
      <c r="U5667">
        <v>-0.87905880000000003</v>
      </c>
      <c r="V5667">
        <v>-0.27630149999999998</v>
      </c>
      <c r="W5667">
        <v>1.1208699999999999E-3</v>
      </c>
      <c r="X5667">
        <v>0.96107039999999999</v>
      </c>
      <c r="Y5667">
        <v>-0.4053834</v>
      </c>
      <c r="Z5667">
        <v>0.1131706</v>
      </c>
      <c r="AA5667">
        <v>0.90711450000000005</v>
      </c>
      <c r="AB5667">
        <v>22</v>
      </c>
      <c r="AC5667">
        <v>0.84839999999996896</v>
      </c>
      <c r="AD5667">
        <v>-0.14724589999999901</v>
      </c>
      <c r="AE5667">
        <v>-0.17226999999999701</v>
      </c>
      <c r="AF5667">
        <v>-0.41858433815391699</v>
      </c>
      <c r="AG5667">
        <v>-0.14724589999999901</v>
      </c>
      <c r="AH5667">
        <v>0.72985998026906396</v>
      </c>
      <c r="AI5667">
        <v>99.926617767095607</v>
      </c>
      <c r="AJ5667">
        <v>119.834840455079</v>
      </c>
      <c r="AK5667">
        <v>0.85416028590242998</v>
      </c>
      <c r="AL5667">
        <v>89.935778869027899</v>
      </c>
      <c r="AM5667">
        <v>106.039599698907</v>
      </c>
      <c r="AN5667">
        <v>1.0000000445039801</v>
      </c>
    </row>
    <row r="5668" spans="1:40" x14ac:dyDescent="0.25">
      <c r="A5668" t="str">
        <f>"20190312151647879"</f>
        <v>20190312151647879</v>
      </c>
      <c r="B5668" t="str">
        <f>"1552375007873695"</f>
        <v>1552375007873695</v>
      </c>
      <c r="C5668" t="s">
        <v>40</v>
      </c>
      <c r="D5668">
        <v>4.7900910000000003</v>
      </c>
      <c r="E5668">
        <v>0.44269570000000003</v>
      </c>
      <c r="F5668" t="s">
        <v>64</v>
      </c>
      <c r="G5668">
        <v>-282.5822</v>
      </c>
      <c r="H5668" s="1">
        <v>-5.0141820000000001E-6</v>
      </c>
      <c r="I5668">
        <v>-59.963540000000002</v>
      </c>
      <c r="J5668">
        <v>-290.08760000000001</v>
      </c>
      <c r="K5668">
        <v>1.11504</v>
      </c>
      <c r="L5668">
        <v>-57.859769999999997</v>
      </c>
      <c r="M5668">
        <v>0.75709989999999905</v>
      </c>
      <c r="N5668">
        <v>0</v>
      </c>
      <c r="O5668">
        <v>-0.653196</v>
      </c>
      <c r="P5668">
        <v>0.90811529999999996</v>
      </c>
      <c r="Q5668">
        <v>-6.7858789999999999E-3</v>
      </c>
      <c r="R5668">
        <v>-0.41866579999999898</v>
      </c>
      <c r="S5668">
        <v>2.9130549999999999</v>
      </c>
      <c r="T5668">
        <v>-0.4229832</v>
      </c>
      <c r="U5668">
        <v>-0.8506165</v>
      </c>
      <c r="V5668">
        <v>-0.276258</v>
      </c>
      <c r="W5668">
        <v>7.2318709999999995E-4</v>
      </c>
      <c r="X5668">
        <v>0.96108320000000003</v>
      </c>
      <c r="Y5668">
        <v>-0.40589799999999998</v>
      </c>
      <c r="Z5668">
        <v>0.11276600000000001</v>
      </c>
      <c r="AA5668">
        <v>0.90693469999999998</v>
      </c>
      <c r="AB5668">
        <v>22</v>
      </c>
      <c r="AC5668">
        <v>7.5053999999999998</v>
      </c>
      <c r="AD5668">
        <v>-1.1150450141820001</v>
      </c>
      <c r="AE5668">
        <v>-2.1037699999999999</v>
      </c>
      <c r="AF5668">
        <v>-3.2435797427768298</v>
      </c>
      <c r="AG5668">
        <v>-1.1150450141820001</v>
      </c>
      <c r="AH5668">
        <v>6.9154693547466399</v>
      </c>
      <c r="AI5668">
        <v>98.305354006105503</v>
      </c>
      <c r="AJ5668">
        <v>115.12810274723201</v>
      </c>
      <c r="AK5668">
        <v>7.7193167656110804</v>
      </c>
      <c r="AL5668">
        <v>89.958564426162198</v>
      </c>
      <c r="AM5668">
        <v>106.03700172138301</v>
      </c>
      <c r="AN5668">
        <v>0.99999996144291003</v>
      </c>
    </row>
    <row r="5669" spans="1:40" x14ac:dyDescent="0.25">
      <c r="A5669" t="str">
        <f>"20190312151647893"</f>
        <v>20190312151647893</v>
      </c>
      <c r="B5669" t="str">
        <f>"1552375007883451"</f>
        <v>1552375007883451</v>
      </c>
      <c r="C5669" t="s">
        <v>40</v>
      </c>
      <c r="D5669">
        <v>4.746378</v>
      </c>
      <c r="E5669">
        <v>0.4425847</v>
      </c>
      <c r="F5669" t="s">
        <v>64</v>
      </c>
      <c r="G5669">
        <v>-282.44069999999999</v>
      </c>
      <c r="H5669" s="1">
        <v>-5.0717549999999997E-6</v>
      </c>
      <c r="I5669">
        <v>-60.010150000000003</v>
      </c>
      <c r="J5669">
        <v>-289.98070000000001</v>
      </c>
      <c r="K5669">
        <v>1.1150580000000001</v>
      </c>
      <c r="L5669">
        <v>-57.944029999999998</v>
      </c>
      <c r="M5669">
        <v>0.76077659999999903</v>
      </c>
      <c r="N5669">
        <v>0</v>
      </c>
      <c r="O5669">
        <v>-0.64890990000000004</v>
      </c>
      <c r="P5669">
        <v>0.91049869999999999</v>
      </c>
      <c r="Q5669">
        <v>-6.9897359999999999E-3</v>
      </c>
      <c r="R5669">
        <v>-0.41345340000000003</v>
      </c>
      <c r="S5669">
        <v>2.9216310000000001</v>
      </c>
      <c r="T5669">
        <v>-0.42602499999999999</v>
      </c>
      <c r="U5669">
        <v>-0.82159419999999905</v>
      </c>
      <c r="V5669">
        <v>-0.27633550000000001</v>
      </c>
      <c r="W5669">
        <v>5.1337849999999897E-4</v>
      </c>
      <c r="X5669">
        <v>0.9610611</v>
      </c>
      <c r="Y5669">
        <v>-0.4096688</v>
      </c>
      <c r="Z5669">
        <v>0.113303399999999</v>
      </c>
      <c r="AA5669">
        <v>0.90517060000000005</v>
      </c>
      <c r="AB5669">
        <v>22</v>
      </c>
      <c r="AC5669">
        <v>7.5400000000000098</v>
      </c>
      <c r="AD5669">
        <v>-1.1150630717550001</v>
      </c>
      <c r="AE5669">
        <v>-2.06611999999999</v>
      </c>
      <c r="AF5669">
        <v>-3.2549342104894401</v>
      </c>
      <c r="AG5669">
        <v>-1.1150630717550001</v>
      </c>
      <c r="AH5669">
        <v>6.9363533382146301</v>
      </c>
      <c r="AI5669">
        <v>98.280121953739695</v>
      </c>
      <c r="AJ5669">
        <v>115.138658743858</v>
      </c>
      <c r="AK5669">
        <v>7.7428005270165299</v>
      </c>
      <c r="AL5669">
        <v>89.970585577513006</v>
      </c>
      <c r="AM5669">
        <v>106.041619147247</v>
      </c>
      <c r="AN5669">
        <v>1.00000000502547</v>
      </c>
    </row>
    <row r="5670" spans="1:40" x14ac:dyDescent="0.25">
      <c r="A5670" t="str">
        <f>"20190312151647906"</f>
        <v>20190312151647906</v>
      </c>
      <c r="B5670" t="str">
        <f>"1552375007903947"</f>
        <v>1552375007903947</v>
      </c>
      <c r="C5670" t="s">
        <v>40</v>
      </c>
      <c r="D5670">
        <v>4.7950379999999999</v>
      </c>
      <c r="E5670">
        <v>0.4423473</v>
      </c>
      <c r="F5670" t="s">
        <v>41</v>
      </c>
      <c r="G5670">
        <v>-288.97840000000002</v>
      </c>
      <c r="H5670">
        <v>0.96884550000000003</v>
      </c>
      <c r="I5670">
        <v>-58.21931</v>
      </c>
      <c r="J5670">
        <v>-289.87279999999998</v>
      </c>
      <c r="K5670">
        <v>1.115081</v>
      </c>
      <c r="L5670">
        <v>-58.027650000000001</v>
      </c>
      <c r="M5670">
        <v>0.76445399999999997</v>
      </c>
      <c r="N5670">
        <v>0</v>
      </c>
      <c r="O5670">
        <v>-0.64457330000000002</v>
      </c>
      <c r="P5670">
        <v>0.91287569999999996</v>
      </c>
      <c r="Q5670">
        <v>-6.6246480000000003E-3</v>
      </c>
      <c r="R5670">
        <v>-0.4081843</v>
      </c>
      <c r="S5670">
        <v>2.926453</v>
      </c>
      <c r="T5670">
        <v>-0.42692010000000002</v>
      </c>
      <c r="U5670">
        <v>-0.80407709999999999</v>
      </c>
      <c r="V5670">
        <v>-0.27643210000000001</v>
      </c>
      <c r="W5670">
        <v>8.7243740000000002E-4</v>
      </c>
      <c r="X5670">
        <v>0.96103300000000003</v>
      </c>
      <c r="Y5670">
        <v>-0.4099101</v>
      </c>
      <c r="Z5670">
        <v>0.1130625</v>
      </c>
      <c r="AA5670">
        <v>0.90509150000000005</v>
      </c>
      <c r="AB5670">
        <v>22</v>
      </c>
      <c r="AC5670">
        <v>0.894399999999961</v>
      </c>
      <c r="AD5670">
        <v>-0.14623549999999899</v>
      </c>
      <c r="AE5670">
        <v>-0.191659999999998</v>
      </c>
      <c r="AF5670">
        <v>-0.419303239594014</v>
      </c>
      <c r="AG5670">
        <v>-0.14623549999999899</v>
      </c>
      <c r="AH5670">
        <v>0.78720114444367995</v>
      </c>
      <c r="AI5670">
        <v>99.311252943646195</v>
      </c>
      <c r="AJ5670">
        <v>118.04202772051499</v>
      </c>
      <c r="AK5670">
        <v>0.90381727689158797</v>
      </c>
      <c r="AL5670">
        <v>89.950013010103703</v>
      </c>
      <c r="AM5670">
        <v>106.047383308148</v>
      </c>
      <c r="AN5670">
        <v>0.99999994707321205</v>
      </c>
    </row>
    <row r="5671" spans="1:40" x14ac:dyDescent="0.25">
      <c r="A5671" t="str">
        <f>"20190312151647923"</f>
        <v>20190312151647923</v>
      </c>
      <c r="B5671" t="str">
        <f>"1552375007913708"</f>
        <v>1552375007913708</v>
      </c>
      <c r="C5671" t="s">
        <v>40</v>
      </c>
      <c r="D5671">
        <v>4.7873869999999998</v>
      </c>
      <c r="E5671">
        <v>0.44222260000000002</v>
      </c>
      <c r="F5671" t="s">
        <v>64</v>
      </c>
      <c r="G5671">
        <v>-282.20580000000001</v>
      </c>
      <c r="H5671" s="1">
        <v>-5.1683000000000001E-6</v>
      </c>
      <c r="I5671">
        <v>-60.082450000000001</v>
      </c>
      <c r="J5671">
        <v>-289.74119999999999</v>
      </c>
      <c r="K5671">
        <v>1.115103</v>
      </c>
      <c r="L5671">
        <v>-58.128480000000003</v>
      </c>
      <c r="M5671">
        <v>0.76889700000000005</v>
      </c>
      <c r="N5671">
        <v>0</v>
      </c>
      <c r="O5671">
        <v>-0.63926640000000001</v>
      </c>
      <c r="P5671">
        <v>0.91579310000000003</v>
      </c>
      <c r="Q5671">
        <v>-6.6788919999999996E-3</v>
      </c>
      <c r="R5671">
        <v>-0.40159479999999997</v>
      </c>
      <c r="S5671">
        <v>2.9318849999999999</v>
      </c>
      <c r="T5671">
        <v>-0.42641319999999999</v>
      </c>
      <c r="U5671">
        <v>-0.78576659999999998</v>
      </c>
      <c r="V5671">
        <v>-0.27670519999999998</v>
      </c>
      <c r="W5671">
        <v>8.0806369999999897E-4</v>
      </c>
      <c r="X5671">
        <v>0.96095450000000004</v>
      </c>
      <c r="Y5671">
        <v>-0.40937990000000002</v>
      </c>
      <c r="Z5671">
        <v>0.112276399999999</v>
      </c>
      <c r="AA5671">
        <v>0.90542920000000005</v>
      </c>
      <c r="AB5671">
        <v>22</v>
      </c>
      <c r="AC5671">
        <v>7.5353999999999797</v>
      </c>
      <c r="AD5671">
        <v>-1.1151081682999999</v>
      </c>
      <c r="AE5671">
        <v>-1.95396999999999</v>
      </c>
      <c r="AF5671">
        <v>-3.2482992046355901</v>
      </c>
      <c r="AG5671">
        <v>-1.1151081682999999</v>
      </c>
      <c r="AH5671">
        <v>6.9019109408305104</v>
      </c>
      <c r="AI5671">
        <v>98.316838145218895</v>
      </c>
      <c r="AJ5671">
        <v>115.203441940769</v>
      </c>
      <c r="AK5671">
        <v>7.7091691241664604</v>
      </c>
      <c r="AL5671">
        <v>89.953701354719598</v>
      </c>
      <c r="AM5671">
        <v>106.063664376928</v>
      </c>
      <c r="AN5671">
        <v>0.99999998587211603</v>
      </c>
    </row>
    <row r="5672" spans="1:40" x14ac:dyDescent="0.25">
      <c r="A5672" t="str">
        <f>"20190312151647937"</f>
        <v>20190312151647937</v>
      </c>
      <c r="B5672" t="str">
        <f>"1552375007933227"</f>
        <v>1552375007933227</v>
      </c>
      <c r="C5672" t="s">
        <v>40</v>
      </c>
      <c r="D5672">
        <v>4.7629070000000002</v>
      </c>
      <c r="E5672">
        <v>0.44200889999999998</v>
      </c>
      <c r="F5672" t="s">
        <v>64</v>
      </c>
      <c r="G5672">
        <v>-282.09469999999999</v>
      </c>
      <c r="H5672" s="1">
        <v>-5.2139549999999998E-6</v>
      </c>
      <c r="I5672">
        <v>-60.116930000000004</v>
      </c>
      <c r="J5672">
        <v>-289.6404</v>
      </c>
      <c r="K5672">
        <v>1.1151180000000001</v>
      </c>
      <c r="L5672">
        <v>-58.204929999999997</v>
      </c>
      <c r="M5672">
        <v>0.77227119999999905</v>
      </c>
      <c r="N5672">
        <v>0</v>
      </c>
      <c r="O5672">
        <v>-0.63518629999999998</v>
      </c>
      <c r="P5672">
        <v>0.91793539999999996</v>
      </c>
      <c r="Q5672">
        <v>-6.9651899999999996E-3</v>
      </c>
      <c r="R5672">
        <v>-0.39666950000000001</v>
      </c>
      <c r="S5672">
        <v>2.9377439999999999</v>
      </c>
      <c r="T5672">
        <v>-0.42841600000000002</v>
      </c>
      <c r="U5672">
        <v>-0.76394649999999997</v>
      </c>
      <c r="V5672">
        <v>-0.27677449999999998</v>
      </c>
      <c r="W5672">
        <v>5.1623979999999999E-4</v>
      </c>
      <c r="X5672">
        <v>0.96093479999999998</v>
      </c>
      <c r="Y5672">
        <v>-0.41123510000000002</v>
      </c>
      <c r="Z5672">
        <v>0.1124424</v>
      </c>
      <c r="AA5672">
        <v>0.90456749999999997</v>
      </c>
      <c r="AB5672">
        <v>22</v>
      </c>
      <c r="AC5672">
        <v>7.5457000000000098</v>
      </c>
      <c r="AD5672">
        <v>-1.115123213955</v>
      </c>
      <c r="AE5672">
        <v>-1.9119999999999899</v>
      </c>
      <c r="AF5672">
        <v>-3.2498734447804898</v>
      </c>
      <c r="AG5672">
        <v>-1.115123213955</v>
      </c>
      <c r="AH5672">
        <v>6.9006645084107303</v>
      </c>
      <c r="AI5672">
        <v>98.317440290041105</v>
      </c>
      <c r="AJ5672">
        <v>115.218128233383</v>
      </c>
      <c r="AK5672">
        <v>7.7087189498016002</v>
      </c>
      <c r="AL5672">
        <v>89.970421638115695</v>
      </c>
      <c r="AM5672">
        <v>106.067792266867</v>
      </c>
      <c r="AN5672">
        <v>1.0000000401024001</v>
      </c>
    </row>
    <row r="5673" spans="1:40" x14ac:dyDescent="0.25">
      <c r="A5673" t="str">
        <f>"20190312151647949"</f>
        <v>20190312151647949</v>
      </c>
      <c r="B5673" t="str">
        <f>"1552375007943963"</f>
        <v>1552375007943963</v>
      </c>
      <c r="C5673" t="s">
        <v>40</v>
      </c>
      <c r="D5673">
        <v>4.7890169999999896</v>
      </c>
      <c r="E5673">
        <v>0.44195630000000002</v>
      </c>
      <c r="F5673" t="s">
        <v>64</v>
      </c>
      <c r="G5673">
        <v>-282.02850000000001</v>
      </c>
      <c r="H5673" s="1">
        <v>-5.2413169999999999E-6</v>
      </c>
      <c r="I5673">
        <v>-60.13644</v>
      </c>
      <c r="J5673">
        <v>-289.53160000000003</v>
      </c>
      <c r="K5673">
        <v>1.1151340000000001</v>
      </c>
      <c r="L5673">
        <v>-58.286320000000003</v>
      </c>
      <c r="M5673">
        <v>0.77587659999999903</v>
      </c>
      <c r="N5673">
        <v>0</v>
      </c>
      <c r="O5673">
        <v>-0.63077689999999997</v>
      </c>
      <c r="P5673">
        <v>0.92020800000000003</v>
      </c>
      <c r="Q5673">
        <v>-6.9154050000000003E-3</v>
      </c>
      <c r="R5673">
        <v>-0.39136850000000001</v>
      </c>
      <c r="S5673">
        <v>2.9423219999999999</v>
      </c>
      <c r="T5673">
        <v>-0.43104330000000002</v>
      </c>
      <c r="U5673">
        <v>-0.74661250000000001</v>
      </c>
      <c r="V5673">
        <v>-0.27684409999999998</v>
      </c>
      <c r="W5673">
        <v>5.5963149999999995E-4</v>
      </c>
      <c r="X5673">
        <v>0.96091470000000001</v>
      </c>
      <c r="Y5673">
        <v>-0.41132479999999899</v>
      </c>
      <c r="Z5673">
        <v>0.1126156</v>
      </c>
      <c r="AA5673">
        <v>0.90450520000000001</v>
      </c>
      <c r="AB5673">
        <v>22</v>
      </c>
      <c r="AC5673">
        <v>7.5031000000000097</v>
      </c>
      <c r="AD5673">
        <v>-1.115139241317</v>
      </c>
      <c r="AE5673">
        <v>-1.85012</v>
      </c>
      <c r="AF5673">
        <v>-3.2302776621132701</v>
      </c>
      <c r="AG5673">
        <v>-1.115139241317</v>
      </c>
      <c r="AH5673">
        <v>6.8464055571376603</v>
      </c>
      <c r="AI5673">
        <v>98.379770391243099</v>
      </c>
      <c r="AJ5673">
        <v>115.258920808227</v>
      </c>
      <c r="AK5673">
        <v>7.6518950825712801</v>
      </c>
      <c r="AL5673">
        <v>89.967935475767703</v>
      </c>
      <c r="AM5673">
        <v>106.071943016448</v>
      </c>
      <c r="AN5673">
        <v>1.0000000147841499</v>
      </c>
    </row>
    <row r="5674" spans="1:40" x14ac:dyDescent="0.25">
      <c r="A5674" t="str">
        <f>"20190312151647963"</f>
        <v>20190312151647963</v>
      </c>
      <c r="B5674" t="str">
        <f>"1552375007953723"</f>
        <v>1552375007953723</v>
      </c>
      <c r="C5674" t="s">
        <v>40</v>
      </c>
      <c r="D5674">
        <v>4.7440559999999996</v>
      </c>
      <c r="E5674">
        <v>0.44189919999999999</v>
      </c>
      <c r="F5674" t="s">
        <v>64</v>
      </c>
      <c r="G5674">
        <v>-281.90969999999999</v>
      </c>
      <c r="H5674" s="1">
        <v>-5.2901270000000001E-6</v>
      </c>
      <c r="I5674">
        <v>-60.173000000000002</v>
      </c>
      <c r="J5674">
        <v>-289.43220000000002</v>
      </c>
      <c r="K5674">
        <v>1.1151450000000001</v>
      </c>
      <c r="L5674">
        <v>-58.359740000000002</v>
      </c>
      <c r="M5674">
        <v>0.77914569999999905</v>
      </c>
      <c r="N5674">
        <v>0</v>
      </c>
      <c r="O5674">
        <v>-0.62673440000000002</v>
      </c>
      <c r="P5674">
        <v>0.92233830000000006</v>
      </c>
      <c r="Q5674">
        <v>-6.928811E-3</v>
      </c>
      <c r="R5674">
        <v>-0.38632169999999999</v>
      </c>
      <c r="S5674">
        <v>2.9466549999999998</v>
      </c>
      <c r="T5674">
        <v>-0.43111709999999898</v>
      </c>
      <c r="U5674">
        <v>-0.72940059999999995</v>
      </c>
      <c r="V5674">
        <v>-0.27711170000000002</v>
      </c>
      <c r="W5674">
        <v>5.3769720000000003E-4</v>
      </c>
      <c r="X5674">
        <v>0.96083750000000001</v>
      </c>
      <c r="Y5674">
        <v>-0.41191410000000001</v>
      </c>
      <c r="Z5674">
        <v>0.1122032</v>
      </c>
      <c r="AA5674">
        <v>0.90428819999999999</v>
      </c>
      <c r="AB5674">
        <v>22</v>
      </c>
      <c r="AC5674">
        <v>7.5225000000000302</v>
      </c>
      <c r="AD5674">
        <v>-1.1151502901270001</v>
      </c>
      <c r="AE5674">
        <v>-1.8132600000000001</v>
      </c>
      <c r="AF5674">
        <v>-3.2348557202640098</v>
      </c>
      <c r="AG5674">
        <v>-1.1151502901270001</v>
      </c>
      <c r="AH5674">
        <v>6.8556471065956597</v>
      </c>
      <c r="AI5674">
        <v>98.368615009630105</v>
      </c>
      <c r="AJ5674">
        <v>115.260408936353</v>
      </c>
      <c r="AK5674">
        <v>7.6620982081064799</v>
      </c>
      <c r="AL5674">
        <v>89.969192216524903</v>
      </c>
      <c r="AM5674">
        <v>106.087900649503</v>
      </c>
      <c r="AN5674">
        <v>0.999999942400707</v>
      </c>
    </row>
    <row r="5675" spans="1:40" x14ac:dyDescent="0.25">
      <c r="A5675" t="str">
        <f>"20190312151647976"</f>
        <v>20190312151647976</v>
      </c>
      <c r="B5675" t="str">
        <f>"1552375007973243"</f>
        <v>1552375007973243</v>
      </c>
      <c r="C5675" t="s">
        <v>40</v>
      </c>
      <c r="D5675">
        <v>4.7639889999999996</v>
      </c>
      <c r="E5675">
        <v>0.4418588</v>
      </c>
      <c r="F5675" t="s">
        <v>64</v>
      </c>
      <c r="G5675">
        <v>-281.79680000000002</v>
      </c>
      <c r="H5675" s="1">
        <v>-5.3371449999999999E-6</v>
      </c>
      <c r="I5675">
        <v>-60.204320000000003</v>
      </c>
      <c r="J5675">
        <v>-289.32679999999999</v>
      </c>
      <c r="K5675">
        <v>1.1151660000000001</v>
      </c>
      <c r="L5675">
        <v>-58.436889999999998</v>
      </c>
      <c r="M5675">
        <v>0.78257989999999999</v>
      </c>
      <c r="N5675">
        <v>0</v>
      </c>
      <c r="O5675">
        <v>-0.62244089999999996</v>
      </c>
      <c r="P5675">
        <v>0.92446479999999998</v>
      </c>
      <c r="Q5675">
        <v>-7.4237469999999996E-3</v>
      </c>
      <c r="R5675">
        <v>-0.38119609999999998</v>
      </c>
      <c r="S5675">
        <v>2.9507750000000001</v>
      </c>
      <c r="T5675">
        <v>-0.43096380000000001</v>
      </c>
      <c r="U5675">
        <v>-0.7128601</v>
      </c>
      <c r="V5675">
        <v>-0.27715299999999998</v>
      </c>
      <c r="W5675" s="1">
        <v>3.7097839999999999E-5</v>
      </c>
      <c r="X5675">
        <v>0.96082579999999995</v>
      </c>
      <c r="Y5675">
        <v>-0.41203830000000002</v>
      </c>
      <c r="Z5675">
        <v>0.1116708</v>
      </c>
      <c r="AA5675">
        <v>0.90429760000000003</v>
      </c>
      <c r="AB5675">
        <v>22</v>
      </c>
      <c r="AC5675">
        <v>7.5299999999999701</v>
      </c>
      <c r="AD5675">
        <v>-1.1151713371449901</v>
      </c>
      <c r="AE5675">
        <v>-1.7674299999999901</v>
      </c>
      <c r="AF5675">
        <v>-3.2367652010369299</v>
      </c>
      <c r="AG5675">
        <v>-1.1151713371449901</v>
      </c>
      <c r="AH5675">
        <v>6.8510075949211497</v>
      </c>
      <c r="AI5675">
        <v>98.372451084228601</v>
      </c>
      <c r="AJ5675">
        <v>115.288437963859</v>
      </c>
      <c r="AK5675">
        <v>7.6587571539709201</v>
      </c>
      <c r="AL5675">
        <v>89.997874450343403</v>
      </c>
      <c r="AM5675">
        <v>106.090360059624</v>
      </c>
      <c r="AN5675">
        <v>1.0000000023654401</v>
      </c>
    </row>
    <row r="5676" spans="1:40" x14ac:dyDescent="0.25">
      <c r="A5676" t="str">
        <f>"20190312151647990"</f>
        <v>20190312151647990</v>
      </c>
      <c r="B5676" t="str">
        <f>"1552375007983979"</f>
        <v>1552375007983979</v>
      </c>
      <c r="C5676" t="s">
        <v>40</v>
      </c>
      <c r="D5676">
        <v>4.7651830000000004</v>
      </c>
      <c r="E5676">
        <v>0.44181110000000001</v>
      </c>
      <c r="F5676" t="s">
        <v>64</v>
      </c>
      <c r="G5676">
        <v>-281.70420000000001</v>
      </c>
      <c r="H5676" s="1">
        <v>-5.3751730000000001E-6</v>
      </c>
      <c r="I5676">
        <v>-60.233020000000003</v>
      </c>
      <c r="J5676">
        <v>-289.20940000000002</v>
      </c>
      <c r="K5676">
        <v>1.115183</v>
      </c>
      <c r="L5676">
        <v>-58.521729999999998</v>
      </c>
      <c r="M5676">
        <v>0.78636680000000003</v>
      </c>
      <c r="N5676">
        <v>0</v>
      </c>
      <c r="O5676">
        <v>-0.61764929999999996</v>
      </c>
      <c r="P5676">
        <v>0.92691089999999998</v>
      </c>
      <c r="Q5676">
        <v>-7.2515590000000003E-3</v>
      </c>
      <c r="R5676">
        <v>-0.37521189999999999</v>
      </c>
      <c r="S5676">
        <v>2.9545590000000002</v>
      </c>
      <c r="T5676">
        <v>-0.4322492</v>
      </c>
      <c r="U5676">
        <v>-0.69619750000000002</v>
      </c>
      <c r="V5676">
        <v>-0.27749889999999999</v>
      </c>
      <c r="W5676">
        <v>1.981896E-4</v>
      </c>
      <c r="X5676">
        <v>0.96072599999999997</v>
      </c>
      <c r="Y5676">
        <v>-0.41156769999999998</v>
      </c>
      <c r="Z5676">
        <v>0.1114173</v>
      </c>
      <c r="AA5676">
        <v>0.90454299999999999</v>
      </c>
      <c r="AB5676">
        <v>22</v>
      </c>
      <c r="AC5676">
        <v>7.5052000000000003</v>
      </c>
      <c r="AD5676">
        <v>-1.1151883751729901</v>
      </c>
      <c r="AE5676">
        <v>-1.71128999999999</v>
      </c>
      <c r="AF5676">
        <v>-3.22247303431655</v>
      </c>
      <c r="AG5676">
        <v>-1.1151883751729901</v>
      </c>
      <c r="AH5676">
        <v>6.81623691116119</v>
      </c>
      <c r="AI5676">
        <v>98.413673323347396</v>
      </c>
      <c r="AJ5676">
        <v>115.30310960026</v>
      </c>
      <c r="AK5676">
        <v>7.6216181482736696</v>
      </c>
      <c r="AL5676">
        <v>89.988644573016799</v>
      </c>
      <c r="AM5676">
        <v>106.110987084857</v>
      </c>
      <c r="AN5676">
        <v>1.00000006292816</v>
      </c>
    </row>
    <row r="5677" spans="1:40" x14ac:dyDescent="0.25">
      <c r="A5677" t="str">
        <f>"20190312151648006"</f>
        <v>20190312151648006</v>
      </c>
      <c r="B5677" t="str">
        <f>"1552375007993740"</f>
        <v>1552375007993740</v>
      </c>
      <c r="C5677" t="s">
        <v>40</v>
      </c>
      <c r="D5677">
        <v>4.7728510000000002</v>
      </c>
      <c r="E5677">
        <v>0.44176320000000002</v>
      </c>
      <c r="F5677" t="s">
        <v>64</v>
      </c>
      <c r="G5677">
        <v>-281.5883</v>
      </c>
      <c r="H5677" s="1">
        <v>-5.4234819999999998E-6</v>
      </c>
      <c r="I5677">
        <v>-60.264890000000001</v>
      </c>
      <c r="J5677">
        <v>-289.08839999999998</v>
      </c>
      <c r="K5677">
        <v>1.1151949999999999</v>
      </c>
      <c r="L5677">
        <v>-58.607790000000001</v>
      </c>
      <c r="M5677">
        <v>0.79022619999999999</v>
      </c>
      <c r="N5677">
        <v>0</v>
      </c>
      <c r="O5677">
        <v>-0.61270380000000002</v>
      </c>
      <c r="P5677">
        <v>0.92945120000000003</v>
      </c>
      <c r="Q5677">
        <v>-7.0441779999999999E-3</v>
      </c>
      <c r="R5677">
        <v>-0.36887819999999999</v>
      </c>
      <c r="S5677">
        <v>2.9591669999999999</v>
      </c>
      <c r="T5677">
        <v>-0.43301430000000002</v>
      </c>
      <c r="U5677">
        <v>-0.67684940000000005</v>
      </c>
      <c r="V5677">
        <v>-0.27803109999999998</v>
      </c>
      <c r="W5677">
        <v>3.9226190000000001E-4</v>
      </c>
      <c r="X5677">
        <v>0.96057199999999998</v>
      </c>
      <c r="Y5677">
        <v>-0.4118018</v>
      </c>
      <c r="Z5677">
        <v>0.1110435</v>
      </c>
      <c r="AA5677">
        <v>0.90448249999999997</v>
      </c>
      <c r="AB5677">
        <v>22</v>
      </c>
      <c r="AC5677">
        <v>7.5000999999999696</v>
      </c>
      <c r="AD5677">
        <v>-1.1152004234819901</v>
      </c>
      <c r="AE5677">
        <v>-1.65709999999999</v>
      </c>
      <c r="AF5677">
        <v>-3.2182396223762102</v>
      </c>
      <c r="AG5677">
        <v>-1.1152004234819901</v>
      </c>
      <c r="AH5677">
        <v>6.79923278993809</v>
      </c>
      <c r="AI5677">
        <v>98.432704123105594</v>
      </c>
      <c r="AJ5677">
        <v>115.32931420643899</v>
      </c>
      <c r="AK5677">
        <v>7.6046239080796099</v>
      </c>
      <c r="AL5677">
        <v>89.977525048242896</v>
      </c>
      <c r="AM5677">
        <v>106.14273085185</v>
      </c>
      <c r="AN5677">
        <v>1.0000000068103001</v>
      </c>
    </row>
    <row r="5678" spans="1:40" x14ac:dyDescent="0.25">
      <c r="A5678" t="str">
        <f>"20190312151648025"</f>
        <v>20190312151648025</v>
      </c>
      <c r="B5678" t="str">
        <f>"1552375008014236"</f>
        <v>1552375008014236</v>
      </c>
      <c r="C5678" t="s">
        <v>40</v>
      </c>
      <c r="D5678">
        <v>4.747846</v>
      </c>
      <c r="E5678">
        <v>0.44184200000000001</v>
      </c>
      <c r="F5678" t="s">
        <v>64</v>
      </c>
      <c r="G5678">
        <v>-281.46859999999998</v>
      </c>
      <c r="H5678" s="1">
        <v>-5.4738040000000001E-6</v>
      </c>
      <c r="I5678">
        <v>-60.295479999999998</v>
      </c>
      <c r="J5678">
        <v>-288.9366</v>
      </c>
      <c r="K5678">
        <v>1.115213</v>
      </c>
      <c r="L5678">
        <v>-58.714320000000001</v>
      </c>
      <c r="M5678">
        <v>0.79501089999999996</v>
      </c>
      <c r="N5678">
        <v>0</v>
      </c>
      <c r="O5678">
        <v>-0.60648230000000003</v>
      </c>
      <c r="P5678">
        <v>0.93251899999999999</v>
      </c>
      <c r="Q5678">
        <v>-6.9589150000000004E-3</v>
      </c>
      <c r="R5678">
        <v>-0.36105409999999999</v>
      </c>
      <c r="S5678">
        <v>2.9638979999999999</v>
      </c>
      <c r="T5678">
        <v>-0.43378070000000002</v>
      </c>
      <c r="U5678">
        <v>-0.65646359999999904</v>
      </c>
      <c r="V5678">
        <v>-0.27856560000000002</v>
      </c>
      <c r="W5678">
        <v>4.6331060000000002E-4</v>
      </c>
      <c r="X5678">
        <v>0.96041710000000002</v>
      </c>
      <c r="Y5678">
        <v>-0.41093439999999998</v>
      </c>
      <c r="Z5678">
        <v>0.11044329999999999</v>
      </c>
      <c r="AA5678">
        <v>0.90495040000000004</v>
      </c>
      <c r="AB5678">
        <v>22</v>
      </c>
      <c r="AC5678">
        <v>7.4680000000000097</v>
      </c>
      <c r="AD5678">
        <v>-1.1152184738040001</v>
      </c>
      <c r="AE5678">
        <v>-1.5811600000000099</v>
      </c>
      <c r="AF5678">
        <v>-3.2040094145746298</v>
      </c>
      <c r="AG5678">
        <v>-1.1152184738040001</v>
      </c>
      <c r="AH5678">
        <v>6.7524379689007397</v>
      </c>
      <c r="AI5678">
        <v>98.486633472171604</v>
      </c>
      <c r="AJ5678">
        <v>115.384184322422</v>
      </c>
      <c r="AK5678">
        <v>7.5567722671024598</v>
      </c>
      <c r="AL5678">
        <v>89.973454257254204</v>
      </c>
      <c r="AM5678">
        <v>106.174615544912</v>
      </c>
      <c r="AN5678">
        <v>1.00000000706624</v>
      </c>
    </row>
    <row r="5679" spans="1:40" x14ac:dyDescent="0.25">
      <c r="A5679" t="str">
        <f>"20190312151648047"</f>
        <v>20190312151648047</v>
      </c>
      <c r="B5679" t="str">
        <f>"1552375008043515"</f>
        <v>1552375008043515</v>
      </c>
      <c r="C5679" t="s">
        <v>40</v>
      </c>
      <c r="D5679">
        <v>4.7866929999999996</v>
      </c>
      <c r="E5679">
        <v>0.4419458</v>
      </c>
      <c r="F5679" t="s">
        <v>64</v>
      </c>
      <c r="G5679">
        <v>-281.30180000000001</v>
      </c>
      <c r="H5679" s="1">
        <v>-5.543456E-6</v>
      </c>
      <c r="I5679">
        <v>-60.340679999999999</v>
      </c>
      <c r="J5679">
        <v>-288.75630000000001</v>
      </c>
      <c r="K5679">
        <v>1.1152249999999999</v>
      </c>
      <c r="L5679">
        <v>-58.838590000000003</v>
      </c>
      <c r="M5679">
        <v>0.80060299999999995</v>
      </c>
      <c r="N5679">
        <v>0</v>
      </c>
      <c r="O5679">
        <v>-0.59908070000000002</v>
      </c>
      <c r="P5679">
        <v>0.93600890000000003</v>
      </c>
      <c r="Q5679">
        <v>-7.1521700000000002E-3</v>
      </c>
      <c r="R5679">
        <v>-0.35190320000000003</v>
      </c>
      <c r="S5679">
        <v>2.9689939999999999</v>
      </c>
      <c r="T5679">
        <v>-0.4336798</v>
      </c>
      <c r="U5679">
        <v>-0.63244630000000002</v>
      </c>
      <c r="V5679">
        <v>-0.27905930000000001</v>
      </c>
      <c r="W5679">
        <v>2.587477E-4</v>
      </c>
      <c r="X5679">
        <v>0.96027390000000001</v>
      </c>
      <c r="Y5679">
        <v>-0.40989710000000001</v>
      </c>
      <c r="Z5679">
        <v>0.1094786</v>
      </c>
      <c r="AA5679">
        <v>0.90553779999999995</v>
      </c>
      <c r="AB5679">
        <v>22</v>
      </c>
      <c r="AC5679">
        <v>7.4544999999999897</v>
      </c>
      <c r="AD5679">
        <v>-1.1152305434559999</v>
      </c>
      <c r="AE5679">
        <v>-1.5020899999999999</v>
      </c>
      <c r="AF5679">
        <v>-3.1947786674666601</v>
      </c>
      <c r="AG5679">
        <v>-1.1152305434559999</v>
      </c>
      <c r="AH5679">
        <v>6.7238208470689296</v>
      </c>
      <c r="AI5679">
        <v>98.5202111525915</v>
      </c>
      <c r="AJ5679">
        <v>115.414418435369</v>
      </c>
      <c r="AK5679">
        <v>7.5272914572664096</v>
      </c>
      <c r="AL5679">
        <v>89.985174849576694</v>
      </c>
      <c r="AM5679">
        <v>106.204068358781</v>
      </c>
      <c r="AN5679">
        <v>1.0000000614440301</v>
      </c>
    </row>
    <row r="5680" spans="1:40" x14ac:dyDescent="0.25">
      <c r="A5680" t="str">
        <f>"20190312151648068"</f>
        <v>20190312151648068</v>
      </c>
      <c r="B5680" t="str">
        <f>"1552375008064012"</f>
        <v>1552375008064012</v>
      </c>
      <c r="C5680" t="s">
        <v>40</v>
      </c>
      <c r="D5680">
        <v>4.81297</v>
      </c>
      <c r="E5680">
        <v>0.4420695</v>
      </c>
      <c r="F5680" t="s">
        <v>64</v>
      </c>
      <c r="G5680">
        <v>-281.12909999999999</v>
      </c>
      <c r="H5680" s="1">
        <v>-7.3312259999999997E-6</v>
      </c>
      <c r="I5680">
        <v>-60.387639999999998</v>
      </c>
      <c r="J5680">
        <v>-288.57589999999999</v>
      </c>
      <c r="K5680">
        <v>1.115237</v>
      </c>
      <c r="L5680">
        <v>-58.960509999999999</v>
      </c>
      <c r="M5680">
        <v>0.80610109999999902</v>
      </c>
      <c r="N5680">
        <v>0</v>
      </c>
      <c r="O5680">
        <v>-0.59166219999999903</v>
      </c>
      <c r="P5680">
        <v>0.9393106</v>
      </c>
      <c r="Q5680">
        <v>-7.5871810000000001E-3</v>
      </c>
      <c r="R5680">
        <v>-0.34298440000000002</v>
      </c>
      <c r="S5680">
        <v>2.9746090000000001</v>
      </c>
      <c r="T5680">
        <v>-0.43493870000000001</v>
      </c>
      <c r="U5680">
        <v>-0.60412600000000005</v>
      </c>
      <c r="V5680">
        <v>-0.2793176</v>
      </c>
      <c r="W5680">
        <v>-1.8125469999999999E-4</v>
      </c>
      <c r="X5680">
        <v>0.96019880000000002</v>
      </c>
      <c r="Y5680">
        <v>-0.41011920000000002</v>
      </c>
      <c r="Z5680">
        <v>0.1089334</v>
      </c>
      <c r="AA5680">
        <v>0.90550299999999995</v>
      </c>
      <c r="AB5680">
        <v>22</v>
      </c>
      <c r="AC5680">
        <v>7.4467999999999899</v>
      </c>
      <c r="AD5680">
        <v>-1.1152443312260001</v>
      </c>
      <c r="AE5680">
        <v>-1.42713</v>
      </c>
      <c r="AF5680">
        <v>-3.1868574351331298</v>
      </c>
      <c r="AG5680">
        <v>-1.1152443312260001</v>
      </c>
      <c r="AH5680">
        <v>6.7027148274168598</v>
      </c>
      <c r="AI5680">
        <v>98.5457224548136</v>
      </c>
      <c r="AJ5680">
        <v>115.42911138569799</v>
      </c>
      <c r="AK5680">
        <v>7.5050793658607597</v>
      </c>
      <c r="AL5680">
        <v>90.010385128916198</v>
      </c>
      <c r="AM5680">
        <v>106.219480699434</v>
      </c>
      <c r="AN5680">
        <v>1.0000000450222299</v>
      </c>
    </row>
    <row r="5681" spans="1:40" x14ac:dyDescent="0.25">
      <c r="A5681" t="str">
        <f>"20190312151648083"</f>
        <v>20190312151648083</v>
      </c>
      <c r="B5681" t="str">
        <f>"1552375008073771"</f>
        <v>1552375008073771</v>
      </c>
      <c r="C5681" t="s">
        <v>40</v>
      </c>
      <c r="D5681">
        <v>4.804837</v>
      </c>
      <c r="E5681">
        <v>0.44213730000000001</v>
      </c>
      <c r="F5681" t="s">
        <v>64</v>
      </c>
      <c r="G5681">
        <v>-280.9479</v>
      </c>
      <c r="H5681" s="1">
        <v>-7.38637899999999E-6</v>
      </c>
      <c r="I5681">
        <v>-60.436579999999999</v>
      </c>
      <c r="J5681">
        <v>-288.46050000000002</v>
      </c>
      <c r="K5681">
        <v>1.1152420000000001</v>
      </c>
      <c r="L5681">
        <v>-59.037109999999998</v>
      </c>
      <c r="M5681">
        <v>0.80956349999999999</v>
      </c>
      <c r="N5681">
        <v>0</v>
      </c>
      <c r="O5681">
        <v>-0.58691590000000005</v>
      </c>
      <c r="P5681">
        <v>0.94132890000000002</v>
      </c>
      <c r="Q5681">
        <v>-7.5093399999999998E-3</v>
      </c>
      <c r="R5681">
        <v>-0.33740789999999998</v>
      </c>
      <c r="S5681">
        <v>2.9797359999999999</v>
      </c>
      <c r="T5681">
        <v>-0.43564819999999999</v>
      </c>
      <c r="U5681">
        <v>-0.57659910000000003</v>
      </c>
      <c r="V5681">
        <v>-0.27937199999999901</v>
      </c>
      <c r="W5681">
        <v>-1.0348759999999999E-4</v>
      </c>
      <c r="X5681">
        <v>0.96018300000000001</v>
      </c>
      <c r="Y5681">
        <v>-0.41310989999999997</v>
      </c>
      <c r="Z5681">
        <v>0.1087525</v>
      </c>
      <c r="AA5681">
        <v>0.90416430000000003</v>
      </c>
      <c r="AB5681">
        <v>22</v>
      </c>
      <c r="AC5681">
        <v>7.5126000000000097</v>
      </c>
      <c r="AD5681">
        <v>-1.1152493863789901</v>
      </c>
      <c r="AE5681">
        <v>-1.39947</v>
      </c>
      <c r="AF5681">
        <v>-3.2081987333425301</v>
      </c>
      <c r="AG5681">
        <v>-1.1152493863789901</v>
      </c>
      <c r="AH5681">
        <v>6.7597963874212104</v>
      </c>
      <c r="AI5681">
        <v>98.477427160900803</v>
      </c>
      <c r="AJ5681">
        <v>115.38901155192001</v>
      </c>
      <c r="AK5681">
        <v>7.5651283866060197</v>
      </c>
      <c r="AL5681">
        <v>90.005929402370896</v>
      </c>
      <c r="AM5681">
        <v>106.222726392365</v>
      </c>
      <c r="AN5681">
        <v>1.0000000592913401</v>
      </c>
    </row>
    <row r="5682" spans="1:40" x14ac:dyDescent="0.25">
      <c r="A5682" t="str">
        <f>"20190312151648096"</f>
        <v>20190312151648096</v>
      </c>
      <c r="B5682" t="str">
        <f>"1552375008093291"</f>
        <v>1552375008093291</v>
      </c>
      <c r="C5682" t="s">
        <v>40</v>
      </c>
      <c r="D5682">
        <v>4.8181310000000002</v>
      </c>
      <c r="E5682">
        <v>0.44234509999999999</v>
      </c>
      <c r="F5682" t="s">
        <v>64</v>
      </c>
      <c r="G5682">
        <v>-280.81349999999998</v>
      </c>
      <c r="H5682" s="1">
        <v>-7.4274820000000004E-6</v>
      </c>
      <c r="I5682">
        <v>-60.4711199999999</v>
      </c>
      <c r="J5682">
        <v>-288.35930000000002</v>
      </c>
      <c r="K5682">
        <v>1.1152420000000001</v>
      </c>
      <c r="L5682">
        <v>-59.103700000000003</v>
      </c>
      <c r="M5682">
        <v>0.81256850000000003</v>
      </c>
      <c r="N5682">
        <v>0</v>
      </c>
      <c r="O5682">
        <v>-0.58274809999999999</v>
      </c>
      <c r="P5682">
        <v>0.94307890000000005</v>
      </c>
      <c r="Q5682">
        <v>-7.3750430000000004E-3</v>
      </c>
      <c r="R5682">
        <v>-0.33248699999999998</v>
      </c>
      <c r="S5682">
        <v>2.9830019999999999</v>
      </c>
      <c r="T5682">
        <v>-0.43504359999999997</v>
      </c>
      <c r="U5682">
        <v>-0.55938719999999997</v>
      </c>
      <c r="V5682">
        <v>-0.27945490000000001</v>
      </c>
      <c r="W5682" s="1">
        <v>3.046286E-5</v>
      </c>
      <c r="X5682">
        <v>0.96015879999999998</v>
      </c>
      <c r="Y5682">
        <v>-0.41372039999999999</v>
      </c>
      <c r="Z5682">
        <v>0.1081462</v>
      </c>
      <c r="AA5682">
        <v>0.90395780000000003</v>
      </c>
      <c r="AB5682">
        <v>22</v>
      </c>
      <c r="AC5682">
        <v>7.5458000000000398</v>
      </c>
      <c r="AD5682">
        <v>-1.115249427482</v>
      </c>
      <c r="AE5682">
        <v>-1.3674199999999801</v>
      </c>
      <c r="AF5682">
        <v>-3.21833714515728</v>
      </c>
      <c r="AG5682">
        <v>-1.115249427482</v>
      </c>
      <c r="AH5682">
        <v>6.7853096244698401</v>
      </c>
      <c r="AI5682">
        <v>98.446948461090201</v>
      </c>
      <c r="AJ5682">
        <v>115.375432103756</v>
      </c>
      <c r="AK5682">
        <v>7.5922264168899201</v>
      </c>
      <c r="AL5682">
        <v>89.998254606657795</v>
      </c>
      <c r="AM5682">
        <v>106.227674454175</v>
      </c>
      <c r="AN5682">
        <v>0.99999998163971704</v>
      </c>
    </row>
    <row r="5683" spans="1:40" x14ac:dyDescent="0.25">
      <c r="A5683" t="str">
        <f>"20190312151648114"</f>
        <v>20190312151648114</v>
      </c>
      <c r="B5683" t="str">
        <f>"1552375008103051"</f>
        <v>1552375008103051</v>
      </c>
      <c r="C5683" t="s">
        <v>40</v>
      </c>
      <c r="D5683">
        <v>4.7897949999999998</v>
      </c>
      <c r="E5683">
        <v>0.44244050000000001</v>
      </c>
      <c r="F5683" t="s">
        <v>64</v>
      </c>
      <c r="G5683">
        <v>-280.69869999999997</v>
      </c>
      <c r="H5683" s="1">
        <v>-7.4623419999999903E-6</v>
      </c>
      <c r="I5683">
        <v>-60.502989999999997</v>
      </c>
      <c r="J5683">
        <v>-288.20170000000002</v>
      </c>
      <c r="K5683">
        <v>1.1152519999999999</v>
      </c>
      <c r="L5683">
        <v>-59.20581</v>
      </c>
      <c r="M5683">
        <v>0.81718619999999897</v>
      </c>
      <c r="N5683">
        <v>0</v>
      </c>
      <c r="O5683">
        <v>-0.57625479999999996</v>
      </c>
      <c r="P5683">
        <v>0.94562330000000006</v>
      </c>
      <c r="Q5683">
        <v>-7.0961100000000001E-3</v>
      </c>
      <c r="R5683">
        <v>-0.3251869</v>
      </c>
      <c r="S5683">
        <v>2.9854430000000001</v>
      </c>
      <c r="T5683">
        <v>-0.43462400000000001</v>
      </c>
      <c r="U5683">
        <v>-0.54531859999999999</v>
      </c>
      <c r="V5683">
        <v>-0.27923189999999998</v>
      </c>
      <c r="W5683">
        <v>3.1549110000000003E-4</v>
      </c>
      <c r="X5683">
        <v>0.96022359999999896</v>
      </c>
      <c r="Y5683">
        <v>-0.4108388</v>
      </c>
      <c r="Z5683">
        <v>0.10707659999999999</v>
      </c>
      <c r="AA5683">
        <v>0.90539829999999999</v>
      </c>
      <c r="AB5683">
        <v>22</v>
      </c>
      <c r="AC5683">
        <v>7.5030000000000401</v>
      </c>
      <c r="AD5683">
        <v>-1.115259462342</v>
      </c>
      <c r="AE5683">
        <v>-1.29718</v>
      </c>
      <c r="AF5683">
        <v>-3.19527720072568</v>
      </c>
      <c r="AG5683">
        <v>-1.115259462342</v>
      </c>
      <c r="AH5683">
        <v>6.7348423744222501</v>
      </c>
      <c r="AI5683">
        <v>98.508974588125596</v>
      </c>
      <c r="AJ5683">
        <v>115.38152359926301</v>
      </c>
      <c r="AK5683">
        <v>7.5373537707961002</v>
      </c>
      <c r="AL5683">
        <v>89.981923690432495</v>
      </c>
      <c r="AM5683">
        <v>106.214368992327</v>
      </c>
      <c r="AN5683">
        <v>0.99999995775460104</v>
      </c>
    </row>
    <row r="5684" spans="1:40" x14ac:dyDescent="0.25">
      <c r="A5684" t="str">
        <f>"20190312151648127"</f>
        <v>20190312151648127</v>
      </c>
      <c r="B5684" t="str">
        <f>"1552375008123548"</f>
        <v>1552375008123548</v>
      </c>
      <c r="C5684" t="s">
        <v>40</v>
      </c>
      <c r="D5684">
        <v>4.8091410000000003</v>
      </c>
      <c r="E5684">
        <v>0.4426641</v>
      </c>
      <c r="F5684" t="s">
        <v>64</v>
      </c>
      <c r="G5684">
        <v>-280.51819999999998</v>
      </c>
      <c r="H5684" s="1">
        <v>-7.5174759999999998E-6</v>
      </c>
      <c r="I5684">
        <v>-60.549919999999901</v>
      </c>
      <c r="J5684">
        <v>-288.09620000000001</v>
      </c>
      <c r="K5684">
        <v>1.115254</v>
      </c>
      <c r="L5684">
        <v>-59.273040000000002</v>
      </c>
      <c r="M5684">
        <v>0.82023269999999904</v>
      </c>
      <c r="N5684">
        <v>0</v>
      </c>
      <c r="O5684">
        <v>-0.57191009999999998</v>
      </c>
      <c r="P5684">
        <v>0.94724819999999998</v>
      </c>
      <c r="Q5684">
        <v>-7.1328379999999999E-3</v>
      </c>
      <c r="R5684">
        <v>-0.32042199999999998</v>
      </c>
      <c r="S5684">
        <v>2.9894099999999999</v>
      </c>
      <c r="T5684">
        <v>-0.4339113</v>
      </c>
      <c r="U5684">
        <v>-0.5229492</v>
      </c>
      <c r="V5684">
        <v>-0.27897</v>
      </c>
      <c r="W5684">
        <v>2.8497350000000001E-4</v>
      </c>
      <c r="X5684">
        <v>0.96029980000000004</v>
      </c>
      <c r="Y5684">
        <v>-0.41284169999999998</v>
      </c>
      <c r="Z5684">
        <v>0.1065175</v>
      </c>
      <c r="AA5684">
        <v>0.90455280000000005</v>
      </c>
      <c r="AB5684">
        <v>22</v>
      </c>
      <c r="AC5684">
        <v>7.5780000000000296</v>
      </c>
      <c r="AD5684">
        <v>-1.1152615174760001</v>
      </c>
      <c r="AE5684">
        <v>-1.27687999999999</v>
      </c>
      <c r="AF5684">
        <v>-3.2190244983810898</v>
      </c>
      <c r="AG5684">
        <v>-1.1152615174760001</v>
      </c>
      <c r="AH5684">
        <v>6.80317645023253</v>
      </c>
      <c r="AI5684">
        <v>98.428851905829404</v>
      </c>
      <c r="AJ5684">
        <v>115.321870802315</v>
      </c>
      <c r="AK5684">
        <v>7.6084910978813003</v>
      </c>
      <c r="AL5684">
        <v>89.983672221347703</v>
      </c>
      <c r="AM5684">
        <v>106.198740991804</v>
      </c>
      <c r="AN5684">
        <v>1.00000002399496</v>
      </c>
    </row>
    <row r="5685" spans="1:40" x14ac:dyDescent="0.25">
      <c r="A5685" t="str">
        <f>"20190312151648140"</f>
        <v>20190312151648140</v>
      </c>
      <c r="B5685" t="str">
        <f>"1552375008133307"</f>
        <v>1552375008133307</v>
      </c>
      <c r="C5685" t="s">
        <v>40</v>
      </c>
      <c r="D5685">
        <v>4.848325</v>
      </c>
      <c r="E5685">
        <v>0.44276369999999998</v>
      </c>
      <c r="F5685" t="s">
        <v>64</v>
      </c>
      <c r="G5685">
        <v>-280.40949999999998</v>
      </c>
      <c r="H5685" s="1">
        <v>-7.5502269999999998E-6</v>
      </c>
      <c r="I5685">
        <v>-60.582270000000001</v>
      </c>
      <c r="J5685">
        <v>-287.99079999999998</v>
      </c>
      <c r="K5685">
        <v>1.1152550000000001</v>
      </c>
      <c r="L5685">
        <v>-59.339449999999999</v>
      </c>
      <c r="M5685">
        <v>0.82324030000000004</v>
      </c>
      <c r="N5685">
        <v>0</v>
      </c>
      <c r="O5685">
        <v>-0.56757219999999997</v>
      </c>
      <c r="P5685">
        <v>0.94890419999999998</v>
      </c>
      <c r="Q5685">
        <v>-6.8493109999999899E-3</v>
      </c>
      <c r="R5685">
        <v>-0.31549050000000001</v>
      </c>
      <c r="S5685">
        <v>2.9914860000000001</v>
      </c>
      <c r="T5685">
        <v>-0.43403359999999902</v>
      </c>
      <c r="U5685">
        <v>-0.50952149999999996</v>
      </c>
      <c r="V5685">
        <v>-0.2789008</v>
      </c>
      <c r="W5685">
        <v>5.7059899999999998E-4</v>
      </c>
      <c r="X5685">
        <v>0.96031979999999995</v>
      </c>
      <c r="Y5685">
        <v>-0.41213539999999999</v>
      </c>
      <c r="Z5685">
        <v>0.10598580000000001</v>
      </c>
      <c r="AA5685">
        <v>0.90493729999999994</v>
      </c>
      <c r="AB5685">
        <v>22</v>
      </c>
      <c r="AC5685">
        <v>7.5812999999999899</v>
      </c>
      <c r="AD5685">
        <v>-1.1152625502269999</v>
      </c>
      <c r="AE5685">
        <v>-1.24281999999999</v>
      </c>
      <c r="AF5685">
        <v>-3.2123236880227002</v>
      </c>
      <c r="AG5685">
        <v>-1.1152625502269999</v>
      </c>
      <c r="AH5685">
        <v>6.8037159350930496</v>
      </c>
      <c r="AI5685">
        <v>98.431482756791894</v>
      </c>
      <c r="AJ5685">
        <v>115.273988864011</v>
      </c>
      <c r="AK5685">
        <v>7.6061412396832102</v>
      </c>
      <c r="AL5685">
        <v>89.967307085367693</v>
      </c>
      <c r="AM5685">
        <v>106.194613853302</v>
      </c>
      <c r="AN5685">
        <v>1.00000005004794</v>
      </c>
    </row>
    <row r="5686" spans="1:40" x14ac:dyDescent="0.25">
      <c r="A5686" t="str">
        <f>"20190312151648151"</f>
        <v>20190312151648151</v>
      </c>
      <c r="B5686" t="str">
        <f>"1552375008144044"</f>
        <v>1552375008144044</v>
      </c>
      <c r="C5686" t="s">
        <v>40</v>
      </c>
      <c r="D5686">
        <v>4.8396420000000004</v>
      </c>
      <c r="E5686">
        <v>0.44288689999999997</v>
      </c>
      <c r="F5686" t="s">
        <v>64</v>
      </c>
      <c r="G5686">
        <v>-280.28190000000001</v>
      </c>
      <c r="H5686" s="1">
        <v>-7.5894629999999902E-6</v>
      </c>
      <c r="I5686">
        <v>-60.613280000000003</v>
      </c>
      <c r="J5686">
        <v>-287.88319999999999</v>
      </c>
      <c r="K5686">
        <v>1.1152580000000001</v>
      </c>
      <c r="L5686">
        <v>-59.406770000000002</v>
      </c>
      <c r="M5686">
        <v>0.82628250000000003</v>
      </c>
      <c r="N5686">
        <v>0</v>
      </c>
      <c r="O5686">
        <v>-0.56313419999999903</v>
      </c>
      <c r="P5686">
        <v>0.95057800000000003</v>
      </c>
      <c r="Q5686">
        <v>-6.8735009999999997E-3</v>
      </c>
      <c r="R5686">
        <v>-0.31041049999999998</v>
      </c>
      <c r="S5686">
        <v>2.9939580000000001</v>
      </c>
      <c r="T5686">
        <v>-0.43313669999999999</v>
      </c>
      <c r="U5686">
        <v>-0.49472050000000001</v>
      </c>
      <c r="V5686">
        <v>-0.27886919999999998</v>
      </c>
      <c r="W5686">
        <v>5.4818809999999897E-4</v>
      </c>
      <c r="X5686">
        <v>0.96032890000000004</v>
      </c>
      <c r="Y5686">
        <v>-0.41180220000000001</v>
      </c>
      <c r="Z5686">
        <v>0.105212899999999</v>
      </c>
      <c r="AA5686">
        <v>0.90517910000000001</v>
      </c>
      <c r="AB5686">
        <v>22</v>
      </c>
      <c r="AC5686">
        <v>7.6012999999999797</v>
      </c>
      <c r="AD5686">
        <v>-1.1152655894629999</v>
      </c>
      <c r="AE5686">
        <v>-1.20651</v>
      </c>
      <c r="AF5686">
        <v>-3.2163231082555401</v>
      </c>
      <c r="AG5686">
        <v>-1.1152655894629999</v>
      </c>
      <c r="AH5686">
        <v>6.81757098175573</v>
      </c>
      <c r="AI5686">
        <v>98.415809814018701</v>
      </c>
      <c r="AJ5686">
        <v>115.256516292676</v>
      </c>
      <c r="AK5686">
        <v>7.6202247842840301</v>
      </c>
      <c r="AL5686">
        <v>89.968591132777306</v>
      </c>
      <c r="AM5686">
        <v>106.19272973242499</v>
      </c>
      <c r="AN5686">
        <v>0.99999996369702004</v>
      </c>
    </row>
    <row r="5687" spans="1:40" x14ac:dyDescent="0.25">
      <c r="A5687" t="str">
        <f>"20190312151648165"</f>
        <v>20190312151648165</v>
      </c>
      <c r="B5687" t="str">
        <f>"1552375008153804"</f>
        <v>1552375008153804</v>
      </c>
      <c r="C5687" t="s">
        <v>40</v>
      </c>
      <c r="D5687">
        <v>4.8487929999999997</v>
      </c>
      <c r="E5687">
        <v>0.44301220000000002</v>
      </c>
      <c r="F5687" t="s">
        <v>64</v>
      </c>
      <c r="G5687">
        <v>-280.16930000000002</v>
      </c>
      <c r="H5687" s="1">
        <v>-7.6239239999999998E-6</v>
      </c>
      <c r="I5687">
        <v>-60.641710000000003</v>
      </c>
      <c r="J5687">
        <v>-287.77589999999998</v>
      </c>
      <c r="K5687">
        <v>1.1152599999999999</v>
      </c>
      <c r="L5687">
        <v>-59.4726</v>
      </c>
      <c r="M5687">
        <v>0.82927329999999999</v>
      </c>
      <c r="N5687">
        <v>0</v>
      </c>
      <c r="O5687">
        <v>-0.55872040000000001</v>
      </c>
      <c r="P5687">
        <v>0.95213680000000001</v>
      </c>
      <c r="Q5687">
        <v>-7.0086139999999998E-3</v>
      </c>
      <c r="R5687">
        <v>-0.30559209999999998</v>
      </c>
      <c r="S5687">
        <v>2.996216</v>
      </c>
      <c r="T5687">
        <v>-0.4331911</v>
      </c>
      <c r="U5687">
        <v>-0.47967530000000003</v>
      </c>
      <c r="V5687">
        <v>-0.27861000000000002</v>
      </c>
      <c r="W5687">
        <v>4.1801129999999997E-4</v>
      </c>
      <c r="X5687">
        <v>0.96040420000000004</v>
      </c>
      <c r="Y5687">
        <v>-0.4115337</v>
      </c>
      <c r="Z5687">
        <v>0.1046816</v>
      </c>
      <c r="AA5687">
        <v>0.90536280000000002</v>
      </c>
      <c r="AB5687">
        <v>22</v>
      </c>
      <c r="AC5687">
        <v>7.6065999999999496</v>
      </c>
      <c r="AD5687">
        <v>-1.115267623924</v>
      </c>
      <c r="AE5687">
        <v>-1.1691099999999901</v>
      </c>
      <c r="AF5687">
        <v>-3.2131962361570001</v>
      </c>
      <c r="AG5687">
        <v>-1.115267623924</v>
      </c>
      <c r="AH5687">
        <v>6.8184407200039399</v>
      </c>
      <c r="AI5687">
        <v>98.416426788042401</v>
      </c>
      <c r="AJ5687">
        <v>115.232199285409</v>
      </c>
      <c r="AK5687">
        <v>7.61968409956964</v>
      </c>
      <c r="AL5687">
        <v>89.976049715235902</v>
      </c>
      <c r="AM5687">
        <v>106.177264674046</v>
      </c>
      <c r="AN5687">
        <v>0.99999996710554295</v>
      </c>
    </row>
    <row r="5688" spans="1:40" x14ac:dyDescent="0.25">
      <c r="A5688" t="str">
        <f>"20190312151648178"</f>
        <v>20190312151648178</v>
      </c>
      <c r="B5688" t="str">
        <f>"1552375008173323"</f>
        <v>1552375008173323</v>
      </c>
      <c r="C5688" t="s">
        <v>40</v>
      </c>
      <c r="D5688">
        <v>4.8598999999999997</v>
      </c>
      <c r="E5688">
        <v>0.44327630000000001</v>
      </c>
      <c r="F5688" t="s">
        <v>64</v>
      </c>
      <c r="G5688">
        <v>-280.06060000000002</v>
      </c>
      <c r="H5688" s="1">
        <v>-7.6571600000000007E-6</v>
      </c>
      <c r="I5688">
        <v>-60.669910000000002</v>
      </c>
      <c r="J5688">
        <v>-287.66919999999999</v>
      </c>
      <c r="K5688">
        <v>1.115264</v>
      </c>
      <c r="L5688">
        <v>-59.537599999999998</v>
      </c>
      <c r="M5688">
        <v>0.83221849999999997</v>
      </c>
      <c r="N5688">
        <v>0</v>
      </c>
      <c r="O5688">
        <v>-0.55432399999999904</v>
      </c>
      <c r="P5688">
        <v>0.95362020000000003</v>
      </c>
      <c r="Q5688">
        <v>-7.0814040000000003E-3</v>
      </c>
      <c r="R5688">
        <v>-0.30092970000000002</v>
      </c>
      <c r="S5688">
        <v>2.9983219999999999</v>
      </c>
      <c r="T5688">
        <v>-0.43341610000000003</v>
      </c>
      <c r="U5688">
        <v>-0.46530149999999998</v>
      </c>
      <c r="V5688">
        <v>-0.27822580000000002</v>
      </c>
      <c r="W5688">
        <v>3.5220800000000001E-4</v>
      </c>
      <c r="X5688">
        <v>0.96051560000000002</v>
      </c>
      <c r="Y5688">
        <v>-0.41109180000000001</v>
      </c>
      <c r="Z5688">
        <v>0.1041788</v>
      </c>
      <c r="AA5688">
        <v>0.90562149999999997</v>
      </c>
      <c r="AB5688">
        <v>22</v>
      </c>
      <c r="AC5688">
        <v>7.6085999999999601</v>
      </c>
      <c r="AD5688">
        <v>-1.1152716571600001</v>
      </c>
      <c r="AE5688">
        <v>-1.1323099999999899</v>
      </c>
      <c r="AF5688">
        <v>-3.2080901546014</v>
      </c>
      <c r="AG5688">
        <v>-1.1152716571600001</v>
      </c>
      <c r="AH5688">
        <v>6.8168695668608397</v>
      </c>
      <c r="AI5688">
        <v>98.420417352364296</v>
      </c>
      <c r="AJ5688">
        <v>115.202166370361</v>
      </c>
      <c r="AK5688">
        <v>7.6161265746380797</v>
      </c>
      <c r="AL5688">
        <v>89.979819967043198</v>
      </c>
      <c r="AM5688">
        <v>106.15434495599099</v>
      </c>
      <c r="AN5688">
        <v>0.99999996883973696</v>
      </c>
    </row>
    <row r="5689" spans="1:40" x14ac:dyDescent="0.25">
      <c r="A5689" t="str">
        <f>"20190312151648190"</f>
        <v>20190312151648190</v>
      </c>
      <c r="B5689" t="str">
        <f>"1552375008183083"</f>
        <v>1552375008183083</v>
      </c>
      <c r="C5689" t="s">
        <v>40</v>
      </c>
      <c r="D5689">
        <v>4.8310180000000003</v>
      </c>
      <c r="E5689">
        <v>0.4434322</v>
      </c>
      <c r="F5689" t="s">
        <v>43</v>
      </c>
      <c r="G5689">
        <v>-279.95</v>
      </c>
      <c r="H5689" s="1">
        <v>-3.4660069999999999E-6</v>
      </c>
      <c r="I5689">
        <v>-60.701909999999998</v>
      </c>
      <c r="J5689">
        <v>-287.55369999999999</v>
      </c>
      <c r="K5689">
        <v>1.1152679999999999</v>
      </c>
      <c r="L5689">
        <v>-59.607149999999997</v>
      </c>
      <c r="M5689">
        <v>0.83536860000000002</v>
      </c>
      <c r="N5689">
        <v>0</v>
      </c>
      <c r="O5689">
        <v>-0.54956519999999898</v>
      </c>
      <c r="P5689">
        <v>0.95515220000000001</v>
      </c>
      <c r="Q5689">
        <v>-7.4000339999999998E-3</v>
      </c>
      <c r="R5689">
        <v>-0.29602309999999998</v>
      </c>
      <c r="S5689">
        <v>2.999908</v>
      </c>
      <c r="T5689">
        <v>-0.4334249</v>
      </c>
      <c r="U5689">
        <v>-0.4524841</v>
      </c>
      <c r="V5689">
        <v>-0.27767619999999998</v>
      </c>
      <c r="W5689" s="1">
        <v>4.3168660000000003E-5</v>
      </c>
      <c r="X5689">
        <v>0.96067480000000005</v>
      </c>
      <c r="Y5689">
        <v>-0.40980919999999998</v>
      </c>
      <c r="Z5689">
        <v>0.10352840000000001</v>
      </c>
      <c r="AA5689">
        <v>0.90627709999999995</v>
      </c>
      <c r="AB5689">
        <v>22</v>
      </c>
      <c r="AC5689">
        <v>7.6036999999999999</v>
      </c>
      <c r="AD5689">
        <v>-1.115271466007</v>
      </c>
      <c r="AE5689">
        <v>-1.09476</v>
      </c>
      <c r="AF5689">
        <v>-3.1970422590032501</v>
      </c>
      <c r="AG5689">
        <v>-1.115271466007</v>
      </c>
      <c r="AH5689">
        <v>6.8104703839001202</v>
      </c>
      <c r="AI5689">
        <v>98.431988744934003</v>
      </c>
      <c r="AJ5689">
        <v>115.14679074177801</v>
      </c>
      <c r="AK5689">
        <v>7.6057489111015704</v>
      </c>
      <c r="AL5689">
        <v>89.9975266181536</v>
      </c>
      <c r="AM5689">
        <v>106.12156071405001</v>
      </c>
      <c r="AN5689">
        <v>1.0000000726325</v>
      </c>
    </row>
    <row r="5690" spans="1:40" x14ac:dyDescent="0.25">
      <c r="A5690" t="str">
        <f>"20190312151648204"</f>
        <v>20190312151648204</v>
      </c>
      <c r="B5690" t="str">
        <f>"1552375008193820"</f>
        <v>1552375008193820</v>
      </c>
      <c r="C5690" t="s">
        <v>40</v>
      </c>
      <c r="D5690">
        <v>4.8392939999999998</v>
      </c>
      <c r="E5690">
        <v>0.44358110000000001</v>
      </c>
      <c r="F5690" t="s">
        <v>43</v>
      </c>
      <c r="G5690">
        <v>-279.84879999999998</v>
      </c>
      <c r="H5690" s="1">
        <v>-3.4356019999999998E-6</v>
      </c>
      <c r="I5690">
        <v>-60.732050000000001</v>
      </c>
      <c r="J5690">
        <v>-287.4452</v>
      </c>
      <c r="K5690">
        <v>1.115273</v>
      </c>
      <c r="L5690">
        <v>-59.67136</v>
      </c>
      <c r="M5690">
        <v>0.83829100000000001</v>
      </c>
      <c r="N5690">
        <v>0</v>
      </c>
      <c r="O5690">
        <v>-0.54509680000000005</v>
      </c>
      <c r="P5690">
        <v>0.95655800000000002</v>
      </c>
      <c r="Q5690">
        <v>-7.1890729999999998E-3</v>
      </c>
      <c r="R5690">
        <v>-0.29145369999999998</v>
      </c>
      <c r="S5690">
        <v>3.0016479999999999</v>
      </c>
      <c r="T5690">
        <v>-0.43448039999999999</v>
      </c>
      <c r="U5690">
        <v>-0.43823240000000002</v>
      </c>
      <c r="V5690">
        <v>-0.27714290000000003</v>
      </c>
      <c r="W5690">
        <v>2.6303950000000002E-4</v>
      </c>
      <c r="X5690">
        <v>0.96082869999999998</v>
      </c>
      <c r="Y5690">
        <v>-0.40923989999999999</v>
      </c>
      <c r="Z5690">
        <v>0.10320650000000001</v>
      </c>
      <c r="AA5690">
        <v>0.90657109999999996</v>
      </c>
      <c r="AB5690">
        <v>22</v>
      </c>
      <c r="AC5690">
        <v>7.5964000000000098</v>
      </c>
      <c r="AD5690">
        <v>-1.115276435602</v>
      </c>
      <c r="AE5690">
        <v>-1.0606899999999999</v>
      </c>
      <c r="AF5690">
        <v>-3.1845008796143701</v>
      </c>
      <c r="AG5690">
        <v>-1.115276435602</v>
      </c>
      <c r="AH5690">
        <v>6.8028196827463603</v>
      </c>
      <c r="AI5690">
        <v>98.445579812194893</v>
      </c>
      <c r="AJ5690">
        <v>115.08499164217601</v>
      </c>
      <c r="AK5690">
        <v>7.5936317408757201</v>
      </c>
      <c r="AL5690">
        <v>89.984928946984795</v>
      </c>
      <c r="AM5690">
        <v>106.08975799073799</v>
      </c>
      <c r="AN5690">
        <v>1.00000002347693</v>
      </c>
    </row>
    <row r="5691" spans="1:40" x14ac:dyDescent="0.25">
      <c r="A5691" t="str">
        <f>"20190312151648221"</f>
        <v>20190312151648221</v>
      </c>
      <c r="B5691" t="str">
        <f>"1552375008213339"</f>
        <v>1552375008213339</v>
      </c>
      <c r="C5691" t="s">
        <v>40</v>
      </c>
      <c r="D5691">
        <v>4.8171790000000003</v>
      </c>
      <c r="E5691">
        <v>0.44386059999999999</v>
      </c>
      <c r="F5691" t="s">
        <v>43</v>
      </c>
      <c r="G5691">
        <v>-279.726</v>
      </c>
      <c r="H5691" s="1">
        <v>-3.3980919999999999E-6</v>
      </c>
      <c r="I5691">
        <v>-60.763840000000002</v>
      </c>
      <c r="J5691">
        <v>-287.30829999999997</v>
      </c>
      <c r="K5691">
        <v>1.115278</v>
      </c>
      <c r="L5691">
        <v>-59.751559999999998</v>
      </c>
      <c r="M5691">
        <v>0.84193240000000003</v>
      </c>
      <c r="N5691">
        <v>0</v>
      </c>
      <c r="O5691">
        <v>-0.53945540000000003</v>
      </c>
      <c r="P5691">
        <v>0.95840539999999996</v>
      </c>
      <c r="Q5691">
        <v>-7.3173509999999997E-3</v>
      </c>
      <c r="R5691">
        <v>-0.28531689999999998</v>
      </c>
      <c r="S5691">
        <v>3.003479</v>
      </c>
      <c r="T5691">
        <v>-0.43395010000000001</v>
      </c>
      <c r="U5691">
        <v>-0.42507929999999999</v>
      </c>
      <c r="V5691">
        <v>-0.27684690000000001</v>
      </c>
      <c r="W5691">
        <v>1.3953890000000001E-4</v>
      </c>
      <c r="X5691">
        <v>0.96091400000000005</v>
      </c>
      <c r="Y5691">
        <v>-0.40719040000000001</v>
      </c>
      <c r="Z5691">
        <v>0.1022536</v>
      </c>
      <c r="AA5691">
        <v>0.9076014</v>
      </c>
      <c r="AB5691">
        <v>22</v>
      </c>
      <c r="AC5691">
        <v>7.5822999999999698</v>
      </c>
      <c r="AD5691">
        <v>-1.115281398092</v>
      </c>
      <c r="AE5691">
        <v>-1.0122800000000001</v>
      </c>
      <c r="AF5691">
        <v>-3.17086247128056</v>
      </c>
      <c r="AG5691">
        <v>-1.115281398092</v>
      </c>
      <c r="AH5691">
        <v>6.7860917000022001</v>
      </c>
      <c r="AI5691">
        <v>98.468874917272004</v>
      </c>
      <c r="AJ5691">
        <v>115.044756455231</v>
      </c>
      <c r="AK5691">
        <v>7.5729295500185598</v>
      </c>
      <c r="AL5691">
        <v>89.992005009689905</v>
      </c>
      <c r="AM5691">
        <v>106.07210827767599</v>
      </c>
      <c r="AN5691">
        <v>0.99999997045335698</v>
      </c>
    </row>
    <row r="5692" spans="1:40" x14ac:dyDescent="0.25">
      <c r="A5692" t="str">
        <f>"20190312151648235"</f>
        <v>20190312151648235</v>
      </c>
      <c r="B5692" t="str">
        <f>"1552375008224075"</f>
        <v>1552375008224075</v>
      </c>
      <c r="C5692" t="s">
        <v>40</v>
      </c>
      <c r="D5692">
        <v>4.8719609999999998</v>
      </c>
      <c r="E5692">
        <v>0.44401819999999997</v>
      </c>
      <c r="F5692" t="s">
        <v>43</v>
      </c>
      <c r="G5692">
        <v>-279.56270000000001</v>
      </c>
      <c r="H5692" s="1">
        <v>-3.3477659999999999E-6</v>
      </c>
      <c r="I5692">
        <v>-60.803179999999998</v>
      </c>
      <c r="J5692">
        <v>-287.1782</v>
      </c>
      <c r="K5692">
        <v>1.115283</v>
      </c>
      <c r="L5692">
        <v>-59.826689999999999</v>
      </c>
      <c r="M5692">
        <v>0.84534469999999995</v>
      </c>
      <c r="N5692">
        <v>0</v>
      </c>
      <c r="O5692">
        <v>-0.53409249999999997</v>
      </c>
      <c r="P5692">
        <v>0.96010819999999997</v>
      </c>
      <c r="Q5692">
        <v>-7.3587430000000001E-3</v>
      </c>
      <c r="R5692">
        <v>-0.27953250000000002</v>
      </c>
      <c r="S5692">
        <v>3.0054319999999999</v>
      </c>
      <c r="T5692">
        <v>-0.43275209999999997</v>
      </c>
      <c r="U5692">
        <v>-0.40805049999999998</v>
      </c>
      <c r="V5692">
        <v>-0.2765321</v>
      </c>
      <c r="W5692">
        <v>1.032986E-4</v>
      </c>
      <c r="X5692">
        <v>0.96100469999999905</v>
      </c>
      <c r="Y5692">
        <v>-0.40662890000000002</v>
      </c>
      <c r="Z5692">
        <v>0.101294</v>
      </c>
      <c r="AA5692">
        <v>0.90796069999999995</v>
      </c>
      <c r="AB5692">
        <v>23</v>
      </c>
      <c r="AC5692">
        <v>7.6154999999999902</v>
      </c>
      <c r="AD5692">
        <v>-1.115286347766</v>
      </c>
      <c r="AE5692">
        <v>-0.97649000000000497</v>
      </c>
      <c r="AF5692">
        <v>-3.1751366563282599</v>
      </c>
      <c r="AG5692">
        <v>-1.115286347766</v>
      </c>
      <c r="AH5692">
        <v>6.8159176376393003</v>
      </c>
      <c r="AI5692">
        <v>98.436902014470107</v>
      </c>
      <c r="AJ5692">
        <v>114.97805314278401</v>
      </c>
      <c r="AK5692">
        <v>7.6014531286429099</v>
      </c>
      <c r="AL5692">
        <v>89.994081426317194</v>
      </c>
      <c r="AM5692">
        <v>106.053337850633</v>
      </c>
      <c r="AN5692">
        <v>1.00000002321154</v>
      </c>
    </row>
    <row r="5693" spans="1:40" x14ac:dyDescent="0.25">
      <c r="A5693" t="str">
        <f>"20190312151648248"</f>
        <v>20190312151648248</v>
      </c>
      <c r="B5693" t="str">
        <f>"1552375008243596"</f>
        <v>1552375008243596</v>
      </c>
      <c r="C5693" t="s">
        <v>40</v>
      </c>
      <c r="D5693">
        <v>4.8539479999999999</v>
      </c>
      <c r="E5693">
        <v>0.44430029999999998</v>
      </c>
      <c r="F5693" t="s">
        <v>43</v>
      </c>
      <c r="G5693">
        <v>-279.40640000000002</v>
      </c>
      <c r="H5693" s="1">
        <v>-3.29039E-6</v>
      </c>
      <c r="I5693">
        <v>-60.836880000000001</v>
      </c>
      <c r="J5693">
        <v>-287.07</v>
      </c>
      <c r="K5693">
        <v>1.1152899999999999</v>
      </c>
      <c r="L5693">
        <v>-59.888150000000003</v>
      </c>
      <c r="M5693">
        <v>0.84814299999999998</v>
      </c>
      <c r="N5693">
        <v>0</v>
      </c>
      <c r="O5693">
        <v>-0.52963739999999904</v>
      </c>
      <c r="P5693">
        <v>0.96131710000000004</v>
      </c>
      <c r="Q5693">
        <v>-7.4153209999999999E-3</v>
      </c>
      <c r="R5693">
        <v>-0.27534520000000001</v>
      </c>
      <c r="S5693">
        <v>3.007568</v>
      </c>
      <c r="T5693">
        <v>-0.43160320000000002</v>
      </c>
      <c r="U5693">
        <v>-0.39093020000000001</v>
      </c>
      <c r="V5693">
        <v>-0.27566370000000001</v>
      </c>
      <c r="W5693" s="1">
        <v>6.0844000000000002E-5</v>
      </c>
      <c r="X5693">
        <v>0.9612541</v>
      </c>
      <c r="Y5693">
        <v>-0.40708240000000001</v>
      </c>
      <c r="Z5693">
        <v>0.10051980000000001</v>
      </c>
      <c r="AA5693">
        <v>0.90784339999999997</v>
      </c>
      <c r="AB5693">
        <v>23</v>
      </c>
      <c r="AC5693">
        <v>7.6635999999999704</v>
      </c>
      <c r="AD5693">
        <v>-1.1152932903899999</v>
      </c>
      <c r="AE5693">
        <v>-0.94873000000000396</v>
      </c>
      <c r="AF5693">
        <v>-3.18799405009598</v>
      </c>
      <c r="AG5693">
        <v>-1.1152932903899999</v>
      </c>
      <c r="AH5693">
        <v>6.8597026199688003</v>
      </c>
      <c r="AI5693">
        <v>98.387344213875707</v>
      </c>
      <c r="AJ5693">
        <v>114.92628686545299</v>
      </c>
      <c r="AK5693">
        <v>7.6460908457487697</v>
      </c>
      <c r="AL5693">
        <v>89.996513895456602</v>
      </c>
      <c r="AM5693">
        <v>106.001570900129</v>
      </c>
      <c r="AN5693">
        <v>0.99999996198324503</v>
      </c>
    </row>
    <row r="5694" spans="1:40" x14ac:dyDescent="0.25">
      <c r="A5694" t="str">
        <f>"20190312151648260"</f>
        <v>20190312151648260</v>
      </c>
      <c r="B5694" t="str">
        <f>"1552375008253355"</f>
        <v>1552375008253355</v>
      </c>
      <c r="C5694" t="s">
        <v>40</v>
      </c>
      <c r="D5694">
        <v>4.806152</v>
      </c>
      <c r="E5694">
        <v>0.4444668</v>
      </c>
      <c r="F5694" t="s">
        <v>43</v>
      </c>
      <c r="G5694">
        <v>-279.29149999999998</v>
      </c>
      <c r="H5694" s="1">
        <v>-3.2486589999999998E-6</v>
      </c>
      <c r="I5694">
        <v>-60.870980000000003</v>
      </c>
      <c r="J5694">
        <v>-286.96249999999998</v>
      </c>
      <c r="K5694">
        <v>1.1152930000000001</v>
      </c>
      <c r="L5694">
        <v>-59.948549999999997</v>
      </c>
      <c r="M5694">
        <v>0.8508945</v>
      </c>
      <c r="N5694">
        <v>0</v>
      </c>
      <c r="O5694">
        <v>-0.5252057</v>
      </c>
      <c r="P5694">
        <v>0.96267369999999997</v>
      </c>
      <c r="Q5694">
        <v>-7.668518E-3</v>
      </c>
      <c r="R5694">
        <v>-0.27055679999999999</v>
      </c>
      <c r="S5694">
        <v>3.0085139999999999</v>
      </c>
      <c r="T5694">
        <v>-0.43136249999999998</v>
      </c>
      <c r="U5694">
        <v>-0.38012699999999999</v>
      </c>
      <c r="V5694">
        <v>-0.27542899999999998</v>
      </c>
      <c r="W5694">
        <v>-1.8895580000000001E-4</v>
      </c>
      <c r="X5694">
        <v>0.96132139999999999</v>
      </c>
      <c r="Y5694">
        <v>-0.40563510000000003</v>
      </c>
      <c r="Z5694">
        <v>9.9836330000000001E-2</v>
      </c>
      <c r="AA5694">
        <v>0.9085664</v>
      </c>
      <c r="AB5694">
        <v>23</v>
      </c>
      <c r="AC5694">
        <v>7.6709999999999896</v>
      </c>
      <c r="AD5694">
        <v>-1.1152962486589999</v>
      </c>
      <c r="AE5694">
        <v>-0.92243000000000497</v>
      </c>
      <c r="AF5694">
        <v>-3.17796514598081</v>
      </c>
      <c r="AG5694">
        <v>-1.1152962486589999</v>
      </c>
      <c r="AH5694">
        <v>6.8690273284347203</v>
      </c>
      <c r="AI5694">
        <v>98.382733536374502</v>
      </c>
      <c r="AJ5694">
        <v>114.827687175254</v>
      </c>
      <c r="AK5694">
        <v>7.6502865717647897</v>
      </c>
      <c r="AL5694">
        <v>90.010826369898098</v>
      </c>
      <c r="AM5694">
        <v>105.987581647382</v>
      </c>
      <c r="AN5694">
        <v>1.00000000192162</v>
      </c>
    </row>
    <row r="5695" spans="1:40" x14ac:dyDescent="0.25">
      <c r="A5695" t="str">
        <f>"20190312151648272"</f>
        <v>20190312151648272</v>
      </c>
      <c r="B5695" t="str">
        <f>"1552375008263116"</f>
        <v>1552375008263116</v>
      </c>
      <c r="C5695" t="s">
        <v>40</v>
      </c>
      <c r="D5695">
        <v>4.8171280000000003</v>
      </c>
      <c r="E5695">
        <v>0.4444668</v>
      </c>
      <c r="F5695" t="s">
        <v>43</v>
      </c>
      <c r="G5695">
        <v>-279.19929999999999</v>
      </c>
      <c r="H5695" s="1">
        <v>-3.2142430000000002E-6</v>
      </c>
      <c r="I5695">
        <v>-60.89405</v>
      </c>
      <c r="J5695">
        <v>-286.8562</v>
      </c>
      <c r="K5695">
        <v>1.115292</v>
      </c>
      <c r="L5695">
        <v>-60.007840000000002</v>
      </c>
      <c r="M5695">
        <v>0.85358940000000005</v>
      </c>
      <c r="N5695">
        <v>0</v>
      </c>
      <c r="O5695">
        <v>-0.5208142</v>
      </c>
      <c r="P5695">
        <v>0.96395019999999998</v>
      </c>
      <c r="Q5695">
        <v>-7.58354199999999E-3</v>
      </c>
      <c r="R5695">
        <v>-0.26597539999999997</v>
      </c>
      <c r="S5695">
        <v>3.0098569999999998</v>
      </c>
      <c r="T5695">
        <v>-0.43240849999999997</v>
      </c>
      <c r="U5695">
        <v>-0.36657709999999999</v>
      </c>
      <c r="V5695">
        <v>-0.2750494</v>
      </c>
      <c r="W5695" s="1">
        <v>-9.8003770000000003E-5</v>
      </c>
      <c r="X5695">
        <v>0.96143009999999995</v>
      </c>
      <c r="Y5695">
        <v>-0.40501819999999999</v>
      </c>
      <c r="Z5695">
        <v>9.9504220000000004E-2</v>
      </c>
      <c r="AA5695">
        <v>0.90887799999999996</v>
      </c>
      <c r="AB5695">
        <v>23</v>
      </c>
      <c r="AC5695">
        <v>7.6569000000000003</v>
      </c>
      <c r="AD5695">
        <v>-1.1152952142429999</v>
      </c>
      <c r="AE5695">
        <v>-0.88620999999999805</v>
      </c>
      <c r="AF5695">
        <v>-3.1653160962575</v>
      </c>
      <c r="AG5695">
        <v>-1.1152952142429999</v>
      </c>
      <c r="AH5695">
        <v>6.8543777077524997</v>
      </c>
      <c r="AI5695">
        <v>98.403088415020306</v>
      </c>
      <c r="AJ5695">
        <v>114.78724808220601</v>
      </c>
      <c r="AK5695">
        <v>7.6318807095416901</v>
      </c>
      <c r="AL5695">
        <v>90.005615202352303</v>
      </c>
      <c r="AM5695">
        <v>105.964958022072</v>
      </c>
      <c r="AN5695">
        <v>1.0000000096155499</v>
      </c>
    </row>
    <row r="5696" spans="1:40" x14ac:dyDescent="0.25">
      <c r="A5696" t="str">
        <f>"20190312151648284"</f>
        <v>20190312151648284</v>
      </c>
      <c r="B5696" t="str">
        <f>"1552375008273852"</f>
        <v>1552375008273852</v>
      </c>
      <c r="C5696" t="s">
        <v>40</v>
      </c>
      <c r="D5696">
        <v>4.8910489999999998</v>
      </c>
      <c r="E5696">
        <v>0.46190160000000002</v>
      </c>
      <c r="F5696" t="s">
        <v>43</v>
      </c>
      <c r="G5696">
        <v>-279.0872</v>
      </c>
      <c r="H5696" s="1">
        <v>-3.1712560000000001E-6</v>
      </c>
      <c r="I5696">
        <v>-60.916980000000002</v>
      </c>
      <c r="J5696">
        <v>-286.75150000000002</v>
      </c>
      <c r="K5696">
        <v>1.1152959999999901</v>
      </c>
      <c r="L5696">
        <v>-60.065089999999998</v>
      </c>
      <c r="M5696">
        <v>0.85620830000000003</v>
      </c>
      <c r="N5696">
        <v>0</v>
      </c>
      <c r="O5696">
        <v>-0.51649730000000005</v>
      </c>
      <c r="P5696">
        <v>0.96519560000000004</v>
      </c>
      <c r="Q5696">
        <v>-7.4624590000000003E-3</v>
      </c>
      <c r="R5696">
        <v>-0.26142320000000002</v>
      </c>
      <c r="S5696">
        <v>3.0115660000000002</v>
      </c>
      <c r="T5696">
        <v>-0.43233250000000001</v>
      </c>
      <c r="U5696">
        <v>-0.35241699999999998</v>
      </c>
      <c r="V5696">
        <v>-0.27473399999999998</v>
      </c>
      <c r="W5696" s="1">
        <v>2.7599050000000001E-5</v>
      </c>
      <c r="X5696">
        <v>0.96152029999999999</v>
      </c>
      <c r="Y5696">
        <v>-0.4047346</v>
      </c>
      <c r="Z5696">
        <v>9.8935099999999998E-2</v>
      </c>
      <c r="AA5696">
        <v>0.90906640000000005</v>
      </c>
      <c r="AB5696">
        <v>23</v>
      </c>
      <c r="AC5696">
        <v>7.6643000000000203</v>
      </c>
      <c r="AD5696">
        <v>-1.1152991712560001</v>
      </c>
      <c r="AE5696">
        <v>-0.85188999999999704</v>
      </c>
      <c r="AF5696">
        <v>-3.1632510174056798</v>
      </c>
      <c r="AG5696">
        <v>-1.1152991712560001</v>
      </c>
      <c r="AH5696">
        <v>6.8592422799793997</v>
      </c>
      <c r="AI5696">
        <v>98.399223058463406</v>
      </c>
      <c r="AJ5696">
        <v>114.757556852649</v>
      </c>
      <c r="AK5696">
        <v>7.6353948094371296</v>
      </c>
      <c r="AL5696">
        <v>89.998418690962694</v>
      </c>
      <c r="AM5696">
        <v>105.94616245648901</v>
      </c>
      <c r="AN5696">
        <v>1.0000000294148901</v>
      </c>
    </row>
    <row r="5697" spans="1:40" x14ac:dyDescent="0.25">
      <c r="A5697" t="str">
        <f>"20190312151648296"</f>
        <v>20190312151648296</v>
      </c>
      <c r="B5697" t="str">
        <f>"1552375008293372"</f>
        <v>1552375008293372</v>
      </c>
      <c r="C5697" t="s">
        <v>40</v>
      </c>
      <c r="D5697">
        <v>4.859299</v>
      </c>
      <c r="E5697">
        <v>0.4446966</v>
      </c>
      <c r="F5697" t="s">
        <v>43</v>
      </c>
      <c r="G5697">
        <v>-277.84780000000001</v>
      </c>
      <c r="H5697" s="1">
        <v>-2.7661489999999999E-6</v>
      </c>
      <c r="I5697">
        <v>-61.486289999999997</v>
      </c>
      <c r="J5697">
        <v>-286.65030000000002</v>
      </c>
      <c r="K5697">
        <v>1.115299</v>
      </c>
      <c r="L5697">
        <v>-60.12</v>
      </c>
      <c r="M5697">
        <v>0.85871209999999898</v>
      </c>
      <c r="N5697">
        <v>0</v>
      </c>
      <c r="O5697">
        <v>-0.51232390000000005</v>
      </c>
      <c r="P5697">
        <v>0.96636789999999995</v>
      </c>
      <c r="Q5697">
        <v>-7.6691490000000001E-3</v>
      </c>
      <c r="R5697">
        <v>-0.2570501</v>
      </c>
      <c r="S5697">
        <v>2.9766240000000002</v>
      </c>
      <c r="T5697">
        <v>-0.37286069999999999</v>
      </c>
      <c r="U5697">
        <v>-0.4751282</v>
      </c>
      <c r="V5697">
        <v>-0.27440429999999999</v>
      </c>
      <c r="W5697">
        <v>-1.7434659999999999E-4</v>
      </c>
      <c r="X5697">
        <v>0.96161439999999998</v>
      </c>
      <c r="Y5697">
        <v>-0.36433739999999998</v>
      </c>
      <c r="Z5697">
        <v>8.3073939999999999E-2</v>
      </c>
      <c r="AA5697">
        <v>0.92755430000000005</v>
      </c>
      <c r="AB5697">
        <v>23</v>
      </c>
      <c r="AC5697">
        <v>8.8025000000000002</v>
      </c>
      <c r="AD5697">
        <v>-1.1153017661489999</v>
      </c>
      <c r="AE5697">
        <v>-1.36629</v>
      </c>
      <c r="AF5697">
        <v>-3.2852123925675101</v>
      </c>
      <c r="AG5697">
        <v>-1.1153017661489999</v>
      </c>
      <c r="AH5697">
        <v>8.1318901097896301</v>
      </c>
      <c r="AI5697">
        <v>97.247193745383797</v>
      </c>
      <c r="AJ5697">
        <v>111.998276878526</v>
      </c>
      <c r="AK5697">
        <v>8.8410494428856499</v>
      </c>
      <c r="AL5697">
        <v>90.0099893243803</v>
      </c>
      <c r="AM5697">
        <v>105.92651769816599</v>
      </c>
      <c r="AN5697">
        <v>1.00000000227129</v>
      </c>
    </row>
    <row r="5698" spans="1:40" x14ac:dyDescent="0.25">
      <c r="A5698" t="str">
        <f>"20190312151648308"</f>
        <v>20190312151648308</v>
      </c>
      <c r="B5698" t="str">
        <f>"1552375008303132"</f>
        <v>1552375008303132</v>
      </c>
      <c r="C5698" t="s">
        <v>40</v>
      </c>
      <c r="D5698">
        <v>4.804513</v>
      </c>
      <c r="E5698">
        <v>0.44327040000000001</v>
      </c>
      <c r="F5698" t="s">
        <v>43</v>
      </c>
      <c r="G5698">
        <v>-279.3134</v>
      </c>
      <c r="H5698" s="1">
        <v>-3.2669769999999998E-6</v>
      </c>
      <c r="I5698">
        <v>-60.911009999999997</v>
      </c>
      <c r="J5698">
        <v>-286.5514</v>
      </c>
      <c r="K5698">
        <v>1.115302</v>
      </c>
      <c r="L5698">
        <v>-60.173000000000002</v>
      </c>
      <c r="M5698">
        <v>0.86113449999999903</v>
      </c>
      <c r="N5698">
        <v>0</v>
      </c>
      <c r="O5698">
        <v>-0.50824170000000002</v>
      </c>
      <c r="P5698">
        <v>0.96745099999999995</v>
      </c>
      <c r="Q5698">
        <v>-7.5716250000000002E-3</v>
      </c>
      <c r="R5698">
        <v>-0.25294499999999998</v>
      </c>
      <c r="S5698">
        <v>3.0142820000000001</v>
      </c>
      <c r="T5698">
        <v>-0.45820939999999999</v>
      </c>
      <c r="U5698">
        <v>-0.32498169999999998</v>
      </c>
      <c r="V5698">
        <v>-0.27392319999999998</v>
      </c>
      <c r="W5698" s="1">
        <v>-6.9377709999999897E-5</v>
      </c>
      <c r="X5698">
        <v>0.96175160000000004</v>
      </c>
      <c r="Y5698">
        <v>-0.40325280000000002</v>
      </c>
      <c r="Z5698">
        <v>0.10361239999999999</v>
      </c>
      <c r="AA5698">
        <v>0.90920389999999995</v>
      </c>
      <c r="AB5698">
        <v>23</v>
      </c>
      <c r="AC5698">
        <v>7.2379999999999898</v>
      </c>
      <c r="AD5698">
        <v>-1.1153052669769901</v>
      </c>
      <c r="AE5698">
        <v>-0.73800999999999495</v>
      </c>
      <c r="AF5698">
        <v>-2.9734623051535398</v>
      </c>
      <c r="AG5698">
        <v>-1.1153052669769901</v>
      </c>
      <c r="AH5698">
        <v>6.4567048331858699</v>
      </c>
      <c r="AI5698">
        <v>98.916887921961006</v>
      </c>
      <c r="AJ5698">
        <v>114.727166617957</v>
      </c>
      <c r="AK5698">
        <v>7.1954444770008097</v>
      </c>
      <c r="AL5698">
        <v>90.003975049850396</v>
      </c>
      <c r="AM5698">
        <v>105.897853710001</v>
      </c>
      <c r="AN5698">
        <v>1.0000000322070299</v>
      </c>
    </row>
    <row r="5699" spans="1:40" x14ac:dyDescent="0.25">
      <c r="A5699" t="str">
        <f>"20190312151648318"</f>
        <v>20190312151648318</v>
      </c>
      <c r="B5699" t="str">
        <f>"1552375008313868"</f>
        <v>1552375008313868</v>
      </c>
      <c r="C5699" t="s">
        <v>40</v>
      </c>
      <c r="D5699">
        <v>4.8169959999999996</v>
      </c>
      <c r="E5699">
        <v>0.44275110000000001</v>
      </c>
      <c r="F5699" t="s">
        <v>43</v>
      </c>
      <c r="G5699">
        <v>-278.80930000000001</v>
      </c>
      <c r="H5699" s="1">
        <v>-3.0589719999999999E-6</v>
      </c>
      <c r="I5699">
        <v>-60.948230000000002</v>
      </c>
      <c r="J5699">
        <v>-286.45280000000002</v>
      </c>
      <c r="K5699">
        <v>1.1153059999999999</v>
      </c>
      <c r="L5699">
        <v>-60.225250000000003</v>
      </c>
      <c r="M5699">
        <v>0.86352320000000005</v>
      </c>
      <c r="N5699">
        <v>0</v>
      </c>
      <c r="O5699">
        <v>-0.50417239999999997</v>
      </c>
      <c r="P5699">
        <v>0.9685608</v>
      </c>
      <c r="Q5699">
        <v>-7.7288259999999899E-3</v>
      </c>
      <c r="R5699">
        <v>-0.2486574</v>
      </c>
      <c r="S5699">
        <v>3.0185240000000002</v>
      </c>
      <c r="T5699">
        <v>-0.4348397</v>
      </c>
      <c r="U5699">
        <v>-0.30224610000000002</v>
      </c>
      <c r="V5699">
        <v>-0.2736421</v>
      </c>
      <c r="W5699">
        <v>-2.2248710000000001E-4</v>
      </c>
      <c r="X5699">
        <v>0.96183160000000001</v>
      </c>
      <c r="Y5699">
        <v>-0.40683930000000001</v>
      </c>
      <c r="Z5699">
        <v>9.8072679999999995E-2</v>
      </c>
      <c r="AA5699">
        <v>0.90822000000000003</v>
      </c>
      <c r="AB5699">
        <v>23</v>
      </c>
      <c r="AC5699">
        <v>7.6435000000000102</v>
      </c>
      <c r="AD5699">
        <v>-1.1153090589719901</v>
      </c>
      <c r="AE5699">
        <v>-0.72297999999999896</v>
      </c>
      <c r="AF5699">
        <v>-3.16281059449144</v>
      </c>
      <c r="AG5699">
        <v>-1.1153090589719901</v>
      </c>
      <c r="AH5699">
        <v>6.8213769790930296</v>
      </c>
      <c r="AI5699">
        <v>98.437341345772495</v>
      </c>
      <c r="AJ5699">
        <v>114.875344223368</v>
      </c>
      <c r="AK5699">
        <v>7.6012149716050397</v>
      </c>
      <c r="AL5699">
        <v>90.012747571452195</v>
      </c>
      <c r="AM5699">
        <v>105.88110831814301</v>
      </c>
      <c r="AN5699">
        <v>1.0000000375757301</v>
      </c>
    </row>
    <row r="5700" spans="1:40" x14ac:dyDescent="0.25">
      <c r="A5700" t="str">
        <f>"20190312151648330"</f>
        <v>20190312151648330</v>
      </c>
      <c r="B5700" t="str">
        <f>"1552375008323628"</f>
        <v>1552375008323628</v>
      </c>
      <c r="C5700" t="s">
        <v>40</v>
      </c>
      <c r="D5700">
        <v>4.8507800000000003</v>
      </c>
      <c r="E5700">
        <v>0.4425211</v>
      </c>
      <c r="F5700" t="s">
        <v>43</v>
      </c>
      <c r="G5700">
        <v>-278.47669999999999</v>
      </c>
      <c r="H5700" s="1">
        <v>-2.9230499999999999E-6</v>
      </c>
      <c r="I5700">
        <v>-60.978610000000003</v>
      </c>
      <c r="J5700">
        <v>-286.3528</v>
      </c>
      <c r="K5700">
        <v>1.1153090000000001</v>
      </c>
      <c r="L5700">
        <v>-60.277740000000001</v>
      </c>
      <c r="M5700">
        <v>0.86592080000000005</v>
      </c>
      <c r="N5700">
        <v>0</v>
      </c>
      <c r="O5700">
        <v>-0.50004340000000003</v>
      </c>
      <c r="P5700">
        <v>0.96961900000000001</v>
      </c>
      <c r="Q5700">
        <v>-8.0985129999999999E-3</v>
      </c>
      <c r="R5700">
        <v>-0.2444867</v>
      </c>
      <c r="S5700">
        <v>3.0206909999999998</v>
      </c>
      <c r="T5700">
        <v>-0.42238579999999998</v>
      </c>
      <c r="U5700">
        <v>-0.28530879999999997</v>
      </c>
      <c r="V5700">
        <v>-0.27318249999999999</v>
      </c>
      <c r="W5700">
        <v>-5.8494549999999997E-4</v>
      </c>
      <c r="X5700">
        <v>0.96196199999999998</v>
      </c>
      <c r="Y5700">
        <v>-0.40812179999999998</v>
      </c>
      <c r="Z5700">
        <v>9.4865039999999998E-2</v>
      </c>
      <c r="AA5700">
        <v>0.9079853</v>
      </c>
      <c r="AB5700">
        <v>23</v>
      </c>
      <c r="AC5700">
        <v>7.8761000000000001</v>
      </c>
      <c r="AD5700">
        <v>-1.1153119230499999</v>
      </c>
      <c r="AE5700">
        <v>-0.700869999999994</v>
      </c>
      <c r="AF5700">
        <v>-3.2667316710301799</v>
      </c>
      <c r="AG5700">
        <v>-1.1153119230499999</v>
      </c>
      <c r="AH5700">
        <v>7.0311531577101496</v>
      </c>
      <c r="AI5700">
        <v>98.186177874902995</v>
      </c>
      <c r="AJ5700">
        <v>114.919969112232</v>
      </c>
      <c r="AK5700">
        <v>7.83278821514961</v>
      </c>
      <c r="AL5700">
        <v>90.033514911815999</v>
      </c>
      <c r="AM5700">
        <v>105.853735783823</v>
      </c>
      <c r="AN5700">
        <v>0.99999995495574201</v>
      </c>
    </row>
    <row r="5701" spans="1:40" x14ac:dyDescent="0.25">
      <c r="A5701" t="str">
        <f>"20190312151648341"</f>
        <v>20190312151648341</v>
      </c>
      <c r="B5701" t="str">
        <f>"1552375008333387"</f>
        <v>1552375008333387</v>
      </c>
      <c r="C5701" t="s">
        <v>40</v>
      </c>
      <c r="D5701">
        <v>4.8434439999999999</v>
      </c>
      <c r="E5701">
        <v>0.44219069999999999</v>
      </c>
      <c r="F5701" t="s">
        <v>43</v>
      </c>
      <c r="G5701">
        <v>-278.52839999999998</v>
      </c>
      <c r="H5701" s="1">
        <v>-2.9448690000000002E-6</v>
      </c>
      <c r="I5701">
        <v>-60.977029999999999</v>
      </c>
      <c r="J5701">
        <v>-286.25749999999999</v>
      </c>
      <c r="K5701">
        <v>1.1153090000000001</v>
      </c>
      <c r="L5701">
        <v>-60.327030000000001</v>
      </c>
      <c r="M5701">
        <v>0.86817999999999995</v>
      </c>
      <c r="N5701">
        <v>0</v>
      </c>
      <c r="O5701">
        <v>-0.4961102</v>
      </c>
      <c r="P5701">
        <v>0.97068290000000002</v>
      </c>
      <c r="Q5701">
        <v>-8.3800369999999999E-3</v>
      </c>
      <c r="R5701">
        <v>-0.2402176</v>
      </c>
      <c r="S5701">
        <v>3.0223080000000002</v>
      </c>
      <c r="T5701">
        <v>-0.43080590000000002</v>
      </c>
      <c r="U5701">
        <v>-0.27011109999999999</v>
      </c>
      <c r="V5701">
        <v>-0.27304669999999998</v>
      </c>
      <c r="W5701">
        <v>-8.6455280000000004E-4</v>
      </c>
      <c r="X5701">
        <v>0.96200039999999998</v>
      </c>
      <c r="Y5701">
        <v>-0.40826709999999999</v>
      </c>
      <c r="Z5701">
        <v>9.6254779999999998E-2</v>
      </c>
      <c r="AA5701">
        <v>0.90777370000000002</v>
      </c>
      <c r="AB5701">
        <v>23</v>
      </c>
      <c r="AC5701">
        <v>7.7291000000000096</v>
      </c>
      <c r="AD5701">
        <v>-1.1153119448690001</v>
      </c>
      <c r="AE5701">
        <v>-0.64999999999999802</v>
      </c>
      <c r="AF5701">
        <v>-3.2041442199443502</v>
      </c>
      <c r="AG5701">
        <v>-1.1153119448690001</v>
      </c>
      <c r="AH5701">
        <v>6.8907322477486899</v>
      </c>
      <c r="AI5701">
        <v>98.349456827567806</v>
      </c>
      <c r="AJ5701">
        <v>114.938111286908</v>
      </c>
      <c r="AK5701">
        <v>7.6806674076367898</v>
      </c>
      <c r="AL5701">
        <v>90.049535232345306</v>
      </c>
      <c r="AM5701">
        <v>105.845649932404</v>
      </c>
      <c r="AN5701">
        <v>1.0000000087162899</v>
      </c>
    </row>
    <row r="5702" spans="1:40" x14ac:dyDescent="0.25">
      <c r="A5702" t="str">
        <f>"20190312151648351"</f>
        <v>20190312151648351</v>
      </c>
      <c r="B5702" t="str">
        <f>"1552375008343148"</f>
        <v>1552375008343148</v>
      </c>
      <c r="C5702" t="s">
        <v>40</v>
      </c>
      <c r="D5702">
        <v>4.8217449999999999</v>
      </c>
      <c r="E5702">
        <v>0.44231330000000002</v>
      </c>
      <c r="F5702" t="s">
        <v>43</v>
      </c>
      <c r="G5702">
        <v>-278.61500000000001</v>
      </c>
      <c r="H5702" s="1">
        <v>-2.9800880000000002E-6</v>
      </c>
      <c r="I5702">
        <v>-60.968339999999998</v>
      </c>
      <c r="J5702">
        <v>-286.15780000000001</v>
      </c>
      <c r="K5702">
        <v>1.11531</v>
      </c>
      <c r="L5702">
        <v>-60.378300000000003</v>
      </c>
      <c r="M5702">
        <v>0.87052050000000003</v>
      </c>
      <c r="N5702">
        <v>0</v>
      </c>
      <c r="O5702">
        <v>-0.49199209999999899</v>
      </c>
      <c r="P5702">
        <v>0.97172950000000002</v>
      </c>
      <c r="Q5702">
        <v>-8.4841340000000008E-3</v>
      </c>
      <c r="R5702">
        <v>-0.23594470000000001</v>
      </c>
      <c r="S5702">
        <v>3.023987</v>
      </c>
      <c r="T5702">
        <v>-0.44130540000000001</v>
      </c>
      <c r="U5702">
        <v>-0.25375370000000003</v>
      </c>
      <c r="V5702">
        <v>-0.27272000000000002</v>
      </c>
      <c r="W5702">
        <v>-9.6338010000000004E-4</v>
      </c>
      <c r="X5702">
        <v>0.96209290000000003</v>
      </c>
      <c r="Y5702">
        <v>-0.40848820000000002</v>
      </c>
      <c r="Z5702">
        <v>9.8062330000000003E-2</v>
      </c>
      <c r="AA5702">
        <v>0.90748070000000003</v>
      </c>
      <c r="AB5702">
        <v>23</v>
      </c>
      <c r="AC5702">
        <v>7.5427999999999997</v>
      </c>
      <c r="AD5702">
        <v>-1.115312980088</v>
      </c>
      <c r="AE5702">
        <v>-0.59004000000000101</v>
      </c>
      <c r="AF5702">
        <v>-3.1295679588845702</v>
      </c>
      <c r="AG5702">
        <v>-1.115312980088</v>
      </c>
      <c r="AH5702">
        <v>6.7110911760296501</v>
      </c>
      <c r="AI5702">
        <v>98.565374846947805</v>
      </c>
      <c r="AJ5702">
        <v>115.00094493707</v>
      </c>
      <c r="AK5702">
        <v>7.4884486661666196</v>
      </c>
      <c r="AL5702">
        <v>90.055197625792303</v>
      </c>
      <c r="AM5702">
        <v>105.826195571037</v>
      </c>
      <c r="AN5702">
        <v>0.99999993736581105</v>
      </c>
    </row>
    <row r="5703" spans="1:40" x14ac:dyDescent="0.25">
      <c r="A5703" t="str">
        <f>"20190312151648363"</f>
        <v>20190312151648363</v>
      </c>
      <c r="B5703" t="str">
        <f>"1552375008353884"</f>
        <v>1552375008353884</v>
      </c>
      <c r="C5703" t="s">
        <v>40</v>
      </c>
      <c r="D5703">
        <v>4.8401079999999999</v>
      </c>
      <c r="E5703">
        <v>0.44297700000000001</v>
      </c>
      <c r="F5703" t="s">
        <v>43</v>
      </c>
      <c r="G5703">
        <v>-278.35140000000001</v>
      </c>
      <c r="H5703" s="1">
        <v>-2.874639E-6</v>
      </c>
      <c r="I5703">
        <v>-61.002549999999999</v>
      </c>
      <c r="J5703">
        <v>-286.0625</v>
      </c>
      <c r="K5703">
        <v>1.1153090000000001</v>
      </c>
      <c r="L5703">
        <v>-60.426360000000003</v>
      </c>
      <c r="M5703">
        <v>0.87272929999999904</v>
      </c>
      <c r="N5703">
        <v>0</v>
      </c>
      <c r="O5703">
        <v>-0.48806329999999998</v>
      </c>
      <c r="P5703">
        <v>0.97269539999999999</v>
      </c>
      <c r="Q5703">
        <v>-8.5642510000000002E-3</v>
      </c>
      <c r="R5703">
        <v>-0.231928</v>
      </c>
      <c r="S5703">
        <v>3.0247799999999998</v>
      </c>
      <c r="T5703">
        <v>-0.43215700000000001</v>
      </c>
      <c r="U5703">
        <v>-0.24188229999999999</v>
      </c>
      <c r="V5703">
        <v>-0.27235759999999998</v>
      </c>
      <c r="W5703">
        <v>-1.036721E-3</v>
      </c>
      <c r="X5703">
        <v>0.96219560000000004</v>
      </c>
      <c r="Y5703">
        <v>-0.4083484</v>
      </c>
      <c r="Z5703">
        <v>9.5557950000000003E-2</v>
      </c>
      <c r="AA5703">
        <v>0.90781069999999997</v>
      </c>
      <c r="AB5703">
        <v>23</v>
      </c>
      <c r="AC5703">
        <v>7.7110999999999796</v>
      </c>
      <c r="AD5703">
        <v>-1.1153118746390001</v>
      </c>
      <c r="AE5703">
        <v>-0.57619000000000398</v>
      </c>
      <c r="AF5703">
        <v>-3.1944158055587399</v>
      </c>
      <c r="AG5703">
        <v>-1.1153118746390001</v>
      </c>
      <c r="AH5703">
        <v>6.86851224746857</v>
      </c>
      <c r="AI5703">
        <v>98.375807135388897</v>
      </c>
      <c r="AJ5703">
        <v>114.94225205696399</v>
      </c>
      <c r="AK5703">
        <v>7.65667508845321</v>
      </c>
      <c r="AL5703">
        <v>90.059399745213994</v>
      </c>
      <c r="AM5703">
        <v>105.804613901013</v>
      </c>
      <c r="AN5703">
        <v>1.00000005486377</v>
      </c>
    </row>
    <row r="5704" spans="1:40" x14ac:dyDescent="0.25">
      <c r="A5704" t="str">
        <f>"20190312151648374"</f>
        <v>20190312151648374</v>
      </c>
      <c r="B5704" t="str">
        <f>"1552375008363645"</f>
        <v>1552375008363645</v>
      </c>
      <c r="C5704" t="s">
        <v>40</v>
      </c>
      <c r="D5704">
        <v>4.8180889999999996</v>
      </c>
      <c r="E5704">
        <v>0.44347160000000002</v>
      </c>
      <c r="F5704" t="s">
        <v>43</v>
      </c>
      <c r="G5704">
        <v>-278.45659999999998</v>
      </c>
      <c r="H5704" s="1">
        <v>-2.9224390000000002E-6</v>
      </c>
      <c r="I5704">
        <v>-61.014600000000002</v>
      </c>
      <c r="J5704">
        <v>-285.96129999999999</v>
      </c>
      <c r="K5704">
        <v>1.115308</v>
      </c>
      <c r="L5704">
        <v>-60.477139999999999</v>
      </c>
      <c r="M5704">
        <v>0.87505059999999901</v>
      </c>
      <c r="N5704">
        <v>0</v>
      </c>
      <c r="O5704">
        <v>-0.48388900000000001</v>
      </c>
      <c r="P5704">
        <v>0.97375250000000002</v>
      </c>
      <c r="Q5704">
        <v>-8.4624030000000003E-3</v>
      </c>
      <c r="R5704">
        <v>-0.22745209999999999</v>
      </c>
      <c r="S5704">
        <v>3.0245359999999999</v>
      </c>
      <c r="T5704">
        <v>-0.44351410000000002</v>
      </c>
      <c r="U5704">
        <v>-0.23391719999999999</v>
      </c>
      <c r="V5704">
        <v>-0.27218829999999999</v>
      </c>
      <c r="W5704">
        <v>-9.3120170000000001E-4</v>
      </c>
      <c r="X5704">
        <v>0.96224359999999998</v>
      </c>
      <c r="Y5704">
        <v>-0.40597270000000002</v>
      </c>
      <c r="Z5704">
        <v>9.7363400000000003E-2</v>
      </c>
      <c r="AA5704">
        <v>0.90868400000000005</v>
      </c>
      <c r="AB5704">
        <v>23</v>
      </c>
      <c r="AC5704">
        <v>7.5047000000000104</v>
      </c>
      <c r="AD5704">
        <v>-1.1153109224390001</v>
      </c>
      <c r="AE5704">
        <v>-0.53745999999999505</v>
      </c>
      <c r="AF5704">
        <v>-3.0933819482852201</v>
      </c>
      <c r="AG5704">
        <v>-1.1153109224390001</v>
      </c>
      <c r="AH5704">
        <v>6.6807334103148497</v>
      </c>
      <c r="AI5704">
        <v>98.614385891006904</v>
      </c>
      <c r="AJ5704">
        <v>114.845565846304</v>
      </c>
      <c r="AK5704">
        <v>7.4461486173313602</v>
      </c>
      <c r="AL5704">
        <v>90.053353932767806</v>
      </c>
      <c r="AM5704">
        <v>105.794531388819</v>
      </c>
      <c r="AN5704">
        <v>1.0000000417672199</v>
      </c>
    </row>
    <row r="5705" spans="1:40" x14ac:dyDescent="0.25">
      <c r="A5705" t="str">
        <f>"20190312151648386"</f>
        <v>20190312151648386</v>
      </c>
      <c r="B5705" t="str">
        <f>"1552375008383163"</f>
        <v>1552375008383163</v>
      </c>
      <c r="C5705" t="s">
        <v>40</v>
      </c>
      <c r="D5705">
        <v>4.8714199999999996</v>
      </c>
      <c r="E5705">
        <v>0.44397619999999999</v>
      </c>
      <c r="F5705" t="s">
        <v>43</v>
      </c>
      <c r="G5705">
        <v>-278.19729999999998</v>
      </c>
      <c r="H5705" s="1">
        <v>-2.819658E-6</v>
      </c>
      <c r="I5705">
        <v>-61.0526699999999</v>
      </c>
      <c r="J5705">
        <v>-285.85559999999998</v>
      </c>
      <c r="K5705">
        <v>1.1153059999999999</v>
      </c>
      <c r="L5705">
        <v>-60.529330000000002</v>
      </c>
      <c r="M5705">
        <v>0.8774457</v>
      </c>
      <c r="N5705">
        <v>0</v>
      </c>
      <c r="O5705">
        <v>-0.47953200000000001</v>
      </c>
      <c r="P5705">
        <v>0.9748213</v>
      </c>
      <c r="Q5705">
        <v>-8.4615109999999997E-3</v>
      </c>
      <c r="R5705">
        <v>-0.2228271</v>
      </c>
      <c r="S5705">
        <v>3.0247190000000002</v>
      </c>
      <c r="T5705">
        <v>-0.4345038</v>
      </c>
      <c r="U5705">
        <v>-0.22421260000000001</v>
      </c>
      <c r="V5705">
        <v>-0.27197130000000003</v>
      </c>
      <c r="W5705">
        <v>-9.2501889999999998E-4</v>
      </c>
      <c r="X5705">
        <v>0.96230490000000002</v>
      </c>
      <c r="Y5705">
        <v>-0.4047557</v>
      </c>
      <c r="Z5705">
        <v>9.4788819999999996E-2</v>
      </c>
      <c r="AA5705">
        <v>0.90949880000000005</v>
      </c>
      <c r="AB5705">
        <v>23</v>
      </c>
      <c r="AC5705">
        <v>7.6582999999999899</v>
      </c>
      <c r="AD5705">
        <v>-1.1153088196580001</v>
      </c>
      <c r="AE5705">
        <v>-0.52333999999999004</v>
      </c>
      <c r="AF5705">
        <v>-3.1469844142587502</v>
      </c>
      <c r="AG5705">
        <v>-1.1153088196580001</v>
      </c>
      <c r="AH5705">
        <v>6.8270582547406899</v>
      </c>
      <c r="AI5705">
        <v>98.438981567014807</v>
      </c>
      <c r="AJ5705">
        <v>114.74769822511399</v>
      </c>
      <c r="AK5705">
        <v>7.5997466458045402</v>
      </c>
      <c r="AL5705">
        <v>90.052999687445507</v>
      </c>
      <c r="AM5705">
        <v>105.78161163774701</v>
      </c>
      <c r="AN5705">
        <v>0.99999998212383201</v>
      </c>
    </row>
    <row r="5706" spans="1:40" x14ac:dyDescent="0.25">
      <c r="A5706" t="str">
        <f>"20190312151648396"</f>
        <v>20190312151648396</v>
      </c>
      <c r="B5706" t="str">
        <f>"1552375008393900"</f>
        <v>1552375008393900</v>
      </c>
      <c r="C5706" t="s">
        <v>40</v>
      </c>
      <c r="D5706">
        <v>4.8363370000000003</v>
      </c>
      <c r="E5706">
        <v>0.44433050000000002</v>
      </c>
      <c r="F5706" t="s">
        <v>43</v>
      </c>
      <c r="G5706">
        <v>-277.87759999999997</v>
      </c>
      <c r="H5706" s="1">
        <v>-2.691755E-6</v>
      </c>
      <c r="I5706">
        <v>-61.094290000000001</v>
      </c>
      <c r="J5706">
        <v>-285.76420000000002</v>
      </c>
      <c r="K5706">
        <v>1.1153010000000001</v>
      </c>
      <c r="L5706">
        <v>-60.574039999999997</v>
      </c>
      <c r="M5706">
        <v>0.87949279999999996</v>
      </c>
      <c r="N5706">
        <v>0</v>
      </c>
      <c r="O5706">
        <v>-0.4757673</v>
      </c>
      <c r="P5706">
        <v>0.97570020000000002</v>
      </c>
      <c r="Q5706">
        <v>-8.7195450000000004E-3</v>
      </c>
      <c r="R5706">
        <v>-0.21893689999999999</v>
      </c>
      <c r="S5706">
        <v>3.0248409999999999</v>
      </c>
      <c r="T5706">
        <v>-0.42286629999999997</v>
      </c>
      <c r="U5706">
        <v>-0.2142029</v>
      </c>
      <c r="V5706">
        <v>-0.27168120000000001</v>
      </c>
      <c r="W5706">
        <v>-1.1765720000000001E-3</v>
      </c>
      <c r="X5706">
        <v>0.96238659999999998</v>
      </c>
      <c r="Y5706">
        <v>-0.40433239999999998</v>
      </c>
      <c r="Z5706">
        <v>9.1802549999999997E-2</v>
      </c>
      <c r="AA5706">
        <v>0.90999319999999895</v>
      </c>
      <c r="AB5706">
        <v>23</v>
      </c>
      <c r="AC5706">
        <v>7.8866000000000396</v>
      </c>
      <c r="AD5706">
        <v>-1.1153036917550001</v>
      </c>
      <c r="AE5706">
        <v>-0.52024999999999699</v>
      </c>
      <c r="AF5706">
        <v>-3.2305302243231799</v>
      </c>
      <c r="AG5706">
        <v>-1.1153036917550001</v>
      </c>
      <c r="AH5706">
        <v>7.0439599200333198</v>
      </c>
      <c r="AI5706">
        <v>98.189812092211596</v>
      </c>
      <c r="AJ5706">
        <v>114.637333823486</v>
      </c>
      <c r="AK5706">
        <v>7.8292783326526196</v>
      </c>
      <c r="AL5706">
        <v>90.067412624549604</v>
      </c>
      <c r="AM5706">
        <v>105.76434354636299</v>
      </c>
      <c r="AN5706">
        <v>1.0000000133073299</v>
      </c>
    </row>
    <row r="5707" spans="1:40" x14ac:dyDescent="0.25">
      <c r="A5707" t="str">
        <f>"20190312151648408"</f>
        <v>20190312151648408</v>
      </c>
      <c r="B5707" t="str">
        <f>"1552375008403659"</f>
        <v>1552375008403659</v>
      </c>
      <c r="C5707" t="s">
        <v>40</v>
      </c>
      <c r="D5707">
        <v>4.8421500000000002</v>
      </c>
      <c r="E5707">
        <v>0.44469940000000002</v>
      </c>
      <c r="F5707" t="s">
        <v>43</v>
      </c>
      <c r="G5707">
        <v>-277.71510000000001</v>
      </c>
      <c r="H5707" s="1">
        <v>-2.6276929999999999E-6</v>
      </c>
      <c r="I5707">
        <v>-61.119639999999997</v>
      </c>
      <c r="J5707">
        <v>-285.65980000000002</v>
      </c>
      <c r="K5707">
        <v>1.115299</v>
      </c>
      <c r="L5707">
        <v>-60.624510000000001</v>
      </c>
      <c r="M5707">
        <v>0.88180400000000003</v>
      </c>
      <c r="N5707">
        <v>0</v>
      </c>
      <c r="O5707">
        <v>-0.47146959999999999</v>
      </c>
      <c r="P5707">
        <v>0.97669969999999995</v>
      </c>
      <c r="Q5707">
        <v>-8.9360529999999994E-3</v>
      </c>
      <c r="R5707">
        <v>-0.21442459999999999</v>
      </c>
      <c r="S5707">
        <v>3.0249630000000001</v>
      </c>
      <c r="T5707">
        <v>-0.41914580000000001</v>
      </c>
      <c r="U5707">
        <v>-0.2050476</v>
      </c>
      <c r="V5707">
        <v>-0.27142959999999999</v>
      </c>
      <c r="W5707">
        <v>-1.38666299999999E-3</v>
      </c>
      <c r="X5707">
        <v>0.96245729999999996</v>
      </c>
      <c r="Y5707">
        <v>-0.40281499999999998</v>
      </c>
      <c r="Z5707">
        <v>9.0389559999999994E-2</v>
      </c>
      <c r="AA5707">
        <v>0.91080729999999999</v>
      </c>
      <c r="AB5707">
        <v>23</v>
      </c>
      <c r="AC5707">
        <v>7.9447000000000099</v>
      </c>
      <c r="AD5707">
        <v>-1.1153016276929999</v>
      </c>
      <c r="AE5707">
        <v>-0.49513000000000301</v>
      </c>
      <c r="AF5707">
        <v>-3.2455907343893799</v>
      </c>
      <c r="AG5707">
        <v>-1.1153016276929999</v>
      </c>
      <c r="AH5707">
        <v>7.1002213419928903</v>
      </c>
      <c r="AI5707">
        <v>98.130364653828096</v>
      </c>
      <c r="AJ5707">
        <v>114.56567125561</v>
      </c>
      <c r="AK5707">
        <v>7.8861207219507001</v>
      </c>
      <c r="AL5707">
        <v>90.079449962773197</v>
      </c>
      <c r="AM5707">
        <v>105.74936959459301</v>
      </c>
      <c r="AN5707">
        <v>1.00000000245686</v>
      </c>
    </row>
    <row r="5708" spans="1:40" x14ac:dyDescent="0.25">
      <c r="A5708" t="str">
        <f>"20190312151648421"</f>
        <v>20190312151648421</v>
      </c>
      <c r="B5708" t="str">
        <f>"1552375008413420"</f>
        <v>1552375008413420</v>
      </c>
      <c r="C5708" t="s">
        <v>40</v>
      </c>
      <c r="D5708">
        <v>4.891883</v>
      </c>
      <c r="E5708">
        <v>0.44502520000000001</v>
      </c>
      <c r="F5708" t="s">
        <v>43</v>
      </c>
      <c r="G5708">
        <v>-277.56229999999999</v>
      </c>
      <c r="H5708" s="1">
        <v>-2.5675450000000002E-6</v>
      </c>
      <c r="I5708">
        <v>-61.144039999999997</v>
      </c>
      <c r="J5708">
        <v>-285.54599999999999</v>
      </c>
      <c r="K5708">
        <v>1.1152930000000001</v>
      </c>
      <c r="L5708">
        <v>-60.678769999999901</v>
      </c>
      <c r="M5708">
        <v>0.88428929999999994</v>
      </c>
      <c r="N5708">
        <v>0</v>
      </c>
      <c r="O5708">
        <v>-0.46679159999999997</v>
      </c>
      <c r="P5708">
        <v>0.97779629999999995</v>
      </c>
      <c r="Q5708">
        <v>-9.1064289999999992E-3</v>
      </c>
      <c r="R5708">
        <v>-0.20936060000000001</v>
      </c>
      <c r="S5708">
        <v>3.0251459999999999</v>
      </c>
      <c r="T5708">
        <v>-0.41666379999999997</v>
      </c>
      <c r="U5708">
        <v>-0.19409180000000001</v>
      </c>
      <c r="V5708">
        <v>-0.27131529999999998</v>
      </c>
      <c r="W5708">
        <v>-1.552044E-3</v>
      </c>
      <c r="X5708">
        <v>0.96248929999999999</v>
      </c>
      <c r="Y5708">
        <v>-0.4014104</v>
      </c>
      <c r="Z5708">
        <v>8.9210960000000006E-2</v>
      </c>
      <c r="AA5708">
        <v>0.91154329999999995</v>
      </c>
      <c r="AB5708">
        <v>23</v>
      </c>
      <c r="AC5708">
        <v>7.98369999999999</v>
      </c>
      <c r="AD5708">
        <v>-1.115295567545</v>
      </c>
      <c r="AE5708">
        <v>-0.46527000000001101</v>
      </c>
      <c r="AF5708">
        <v>-3.2522660712271998</v>
      </c>
      <c r="AG5708">
        <v>-1.115295567545</v>
      </c>
      <c r="AH5708">
        <v>7.1387448966379496</v>
      </c>
      <c r="AI5708">
        <v>98.091646227194104</v>
      </c>
      <c r="AJ5708">
        <v>114.49303875000599</v>
      </c>
      <c r="AK5708">
        <v>7.9235596483092996</v>
      </c>
      <c r="AL5708">
        <v>90.088925604142503</v>
      </c>
      <c r="AM5708">
        <v>105.742568879465</v>
      </c>
      <c r="AN5708">
        <v>1.0000000267345699</v>
      </c>
    </row>
    <row r="5709" spans="1:40" x14ac:dyDescent="0.25">
      <c r="A5709" t="str">
        <f>"20190312151648434"</f>
        <v>20190312151648434</v>
      </c>
      <c r="B5709" t="str">
        <f>"1552375008423180"</f>
        <v>1552375008423180</v>
      </c>
      <c r="C5709" t="s">
        <v>40</v>
      </c>
      <c r="D5709">
        <v>4.7984419999999997</v>
      </c>
      <c r="E5709">
        <v>0.44546409999999997</v>
      </c>
      <c r="F5709" t="s">
        <v>43</v>
      </c>
      <c r="G5709">
        <v>-277.39</v>
      </c>
      <c r="H5709" s="1">
        <v>-2.498757E-6</v>
      </c>
      <c r="I5709">
        <v>-61.166939999999997</v>
      </c>
      <c r="J5709">
        <v>-285.42410000000001</v>
      </c>
      <c r="K5709">
        <v>1.115286</v>
      </c>
      <c r="L5709">
        <v>-60.736240000000002</v>
      </c>
      <c r="M5709">
        <v>0.88691379999999997</v>
      </c>
      <c r="N5709">
        <v>0</v>
      </c>
      <c r="O5709">
        <v>-0.46178540000000001</v>
      </c>
      <c r="P5709">
        <v>0.97892670000000004</v>
      </c>
      <c r="Q5709">
        <v>-9.2750660000000002E-3</v>
      </c>
      <c r="R5709">
        <v>-0.2040013</v>
      </c>
      <c r="S5709">
        <v>3.0255130000000001</v>
      </c>
      <c r="T5709">
        <v>-0.41372880000000001</v>
      </c>
      <c r="U5709">
        <v>-0.18109130000000001</v>
      </c>
      <c r="V5709">
        <v>-0.271144</v>
      </c>
      <c r="W5709">
        <v>-1.713801E-3</v>
      </c>
      <c r="X5709">
        <v>0.96253730000000004</v>
      </c>
      <c r="Y5709">
        <v>-0.40031470000000002</v>
      </c>
      <c r="Z5709">
        <v>8.7921750000000007E-2</v>
      </c>
      <c r="AA5709">
        <v>0.91215020000000002</v>
      </c>
      <c r="AB5709">
        <v>23</v>
      </c>
      <c r="AC5709">
        <v>8.03410000000002</v>
      </c>
      <c r="AD5709">
        <v>-1.115288498757</v>
      </c>
      <c r="AE5709">
        <v>-0.43070000000000103</v>
      </c>
      <c r="AF5709">
        <v>-3.2655173943564102</v>
      </c>
      <c r="AG5709">
        <v>-1.115288498757</v>
      </c>
      <c r="AH5709">
        <v>7.1868515745414996</v>
      </c>
      <c r="AI5709">
        <v>98.041749296569705</v>
      </c>
      <c r="AJ5709">
        <v>114.43580547128199</v>
      </c>
      <c r="AK5709">
        <v>7.9723464452313904</v>
      </c>
      <c r="AL5709">
        <v>90.098193609359797</v>
      </c>
      <c r="AM5709">
        <v>105.732376073857</v>
      </c>
      <c r="AN5709">
        <v>1.00000002987057</v>
      </c>
    </row>
    <row r="5710" spans="1:40" x14ac:dyDescent="0.25">
      <c r="A5710" t="str">
        <f>"20190312151648449"</f>
        <v>20190312151648449</v>
      </c>
      <c r="B5710" t="str">
        <f>"1552375008443675"</f>
        <v>1552375008443675</v>
      </c>
      <c r="C5710" t="s">
        <v>40</v>
      </c>
      <c r="D5710">
        <v>4.8142509999999996</v>
      </c>
      <c r="E5710">
        <v>0.44609330000000003</v>
      </c>
      <c r="F5710" t="s">
        <v>43</v>
      </c>
      <c r="G5710">
        <v>-277.23869999999999</v>
      </c>
      <c r="H5710" s="1">
        <v>-2.4391629999999999E-6</v>
      </c>
      <c r="I5710">
        <v>-61.190980000000003</v>
      </c>
      <c r="J5710">
        <v>-285.28699999999998</v>
      </c>
      <c r="K5710">
        <v>1.1152770000000001</v>
      </c>
      <c r="L5710">
        <v>-60.799709999999997</v>
      </c>
      <c r="M5710">
        <v>0.88981309999999902</v>
      </c>
      <c r="N5710">
        <v>0</v>
      </c>
      <c r="O5710">
        <v>-0.45617370000000002</v>
      </c>
      <c r="P5710">
        <v>0.98006919999999997</v>
      </c>
      <c r="Q5710">
        <v>-9.5294139999999999E-3</v>
      </c>
      <c r="R5710">
        <v>-0.19842789999999999</v>
      </c>
      <c r="S5710">
        <v>3.0256349999999999</v>
      </c>
      <c r="T5710">
        <v>-0.41225089999999998</v>
      </c>
      <c r="U5710">
        <v>-0.16809079999999901</v>
      </c>
      <c r="V5710">
        <v>-0.27053569999999999</v>
      </c>
      <c r="W5710">
        <v>-1.9515769999999999E-3</v>
      </c>
      <c r="X5710">
        <v>0.96270800000000001</v>
      </c>
      <c r="Y5710">
        <v>-0.398563</v>
      </c>
      <c r="Z5710">
        <v>8.6831699999999998E-2</v>
      </c>
      <c r="AA5710">
        <v>0.91302130000000004</v>
      </c>
      <c r="AB5710">
        <v>23</v>
      </c>
      <c r="AC5710">
        <v>8.0483000000000402</v>
      </c>
      <c r="AD5710">
        <v>-1.1152794391630001</v>
      </c>
      <c r="AE5710">
        <v>-0.391270000000005</v>
      </c>
      <c r="AF5710">
        <v>-3.2610229519348701</v>
      </c>
      <c r="AG5710">
        <v>-1.1152794391630001</v>
      </c>
      <c r="AH5710">
        <v>7.2024968566545704</v>
      </c>
      <c r="AI5710">
        <v>98.0292455061347</v>
      </c>
      <c r="AJ5710">
        <v>114.35925089353999</v>
      </c>
      <c r="AK5710">
        <v>7.9846151999069299</v>
      </c>
      <c r="AL5710">
        <v>90.111817192733895</v>
      </c>
      <c r="AM5710">
        <v>105.696176723352</v>
      </c>
      <c r="AN5710">
        <v>1.00000003344563</v>
      </c>
    </row>
    <row r="5711" spans="1:40" x14ac:dyDescent="0.25">
      <c r="A5711" t="str">
        <f>"20190312151648460"</f>
        <v>20190312151648460</v>
      </c>
      <c r="B5711" t="str">
        <f>"1552375008453435"</f>
        <v>1552375008453435</v>
      </c>
      <c r="C5711" t="s">
        <v>40</v>
      </c>
      <c r="D5711">
        <v>4.7922250000000002</v>
      </c>
      <c r="E5711">
        <v>0.44654450000000001</v>
      </c>
      <c r="F5711" t="s">
        <v>43</v>
      </c>
      <c r="G5711">
        <v>-277.0412</v>
      </c>
      <c r="H5711" s="1">
        <v>-2.361961E-6</v>
      </c>
      <c r="I5711">
        <v>-61.224820000000001</v>
      </c>
      <c r="J5711">
        <v>-285.1927</v>
      </c>
      <c r="K5711">
        <v>1.1152679999999999</v>
      </c>
      <c r="L5711">
        <v>-60.842770000000002</v>
      </c>
      <c r="M5711">
        <v>0.89177830000000002</v>
      </c>
      <c r="N5711">
        <v>0</v>
      </c>
      <c r="O5711">
        <v>-0.45231979999999999</v>
      </c>
      <c r="P5711">
        <v>0.98084280000000001</v>
      </c>
      <c r="Q5711">
        <v>-9.6696260000000006E-3</v>
      </c>
      <c r="R5711">
        <v>-0.1945615</v>
      </c>
      <c r="S5711">
        <v>3.025452</v>
      </c>
      <c r="T5711">
        <v>-0.40920230000000002</v>
      </c>
      <c r="U5711">
        <v>-0.15597529999999901</v>
      </c>
      <c r="V5711">
        <v>-0.27016469999999998</v>
      </c>
      <c r="W5711">
        <v>-2.0808480000000002E-3</v>
      </c>
      <c r="X5711">
        <v>0.96281190000000005</v>
      </c>
      <c r="Y5711">
        <v>-0.39838849999999998</v>
      </c>
      <c r="Z5711">
        <v>8.5744829999999994E-2</v>
      </c>
      <c r="AA5711">
        <v>0.91320009999999996</v>
      </c>
      <c r="AB5711">
        <v>23</v>
      </c>
      <c r="AC5711">
        <v>8.1514999999999898</v>
      </c>
      <c r="AD5711">
        <v>-1.1152703619609901</v>
      </c>
      <c r="AE5711">
        <v>-0.382049999999999</v>
      </c>
      <c r="AF5711">
        <v>-3.28525013852376</v>
      </c>
      <c r="AG5711">
        <v>-1.1152703619609901</v>
      </c>
      <c r="AH5711">
        <v>7.3061885331109497</v>
      </c>
      <c r="AI5711">
        <v>97.925800817181894</v>
      </c>
      <c r="AJ5711">
        <v>114.211213148515</v>
      </c>
      <c r="AK5711">
        <v>8.0880830444735707</v>
      </c>
      <c r="AL5711">
        <v>90.119223891275993</v>
      </c>
      <c r="AM5711">
        <v>105.674102098657</v>
      </c>
      <c r="AN5711">
        <v>1.0000000249180401</v>
      </c>
    </row>
    <row r="5712" spans="1:40" x14ac:dyDescent="0.25">
      <c r="A5712" t="str">
        <f>"20190312151648516"</f>
        <v>20190312151648516</v>
      </c>
      <c r="B5712" t="str">
        <f>"1552375008513947"</f>
        <v>1552375008513947</v>
      </c>
      <c r="C5712" t="s">
        <v>40</v>
      </c>
      <c r="D5712">
        <v>4.7685969999999998</v>
      </c>
      <c r="E5712">
        <v>0.4492853</v>
      </c>
      <c r="F5712" t="s">
        <v>43</v>
      </c>
      <c r="G5712">
        <v>-276.9289</v>
      </c>
      <c r="H5712" s="1">
        <v>-2.3185950000000002E-6</v>
      </c>
      <c r="I5712">
        <v>-61.24633</v>
      </c>
      <c r="J5712">
        <v>-284.6789</v>
      </c>
      <c r="K5712">
        <v>1.115202</v>
      </c>
      <c r="L5712">
        <v>-61.0693699999999</v>
      </c>
      <c r="M5712">
        <v>0.90205639999999998</v>
      </c>
      <c r="N5712">
        <v>0</v>
      </c>
      <c r="O5712">
        <v>-0.43145850000000002</v>
      </c>
      <c r="P5712">
        <v>0.98506360000000004</v>
      </c>
      <c r="Q5712">
        <v>-9.5961580000000005E-3</v>
      </c>
      <c r="R5712">
        <v>-0.1719244</v>
      </c>
      <c r="S5712">
        <v>3.0252379999999999</v>
      </c>
      <c r="T5712">
        <v>-0.40828540000000002</v>
      </c>
      <c r="U5712">
        <v>-0.14773559999999999</v>
      </c>
      <c r="V5712">
        <v>-0.2699453</v>
      </c>
      <c r="W5712">
        <v>-1.9722379999999999E-3</v>
      </c>
      <c r="X5712">
        <v>0.9628736</v>
      </c>
      <c r="Y5712">
        <v>-0.3798743</v>
      </c>
      <c r="Z5712">
        <v>8.1792379999999998E-2</v>
      </c>
      <c r="AA5712">
        <v>0.92141499999999998</v>
      </c>
      <c r="AB5712">
        <v>23</v>
      </c>
      <c r="AC5712">
        <v>7.75</v>
      </c>
      <c r="AD5712">
        <v>-1.115204318595</v>
      </c>
      <c r="AE5712">
        <v>-0.17696000000001499</v>
      </c>
      <c r="AF5712">
        <v>-3.11982803418476</v>
      </c>
      <c r="AG5712">
        <v>-1.115204318595</v>
      </c>
      <c r="AH5712">
        <v>6.9244686396702004</v>
      </c>
      <c r="AI5712">
        <v>98.353451229475098</v>
      </c>
      <c r="AJ5712">
        <v>114.254005654754</v>
      </c>
      <c r="AK5712">
        <v>7.67627993085675</v>
      </c>
      <c r="AL5712">
        <v>90.113000991129994</v>
      </c>
      <c r="AM5712">
        <v>105.66104375827901</v>
      </c>
      <c r="AN5712">
        <v>0.99999996214588804</v>
      </c>
    </row>
    <row r="5713" spans="1:40" x14ac:dyDescent="0.25">
      <c r="A5713" t="str">
        <f>"20190312151648526"</f>
        <v>20190312151648526</v>
      </c>
      <c r="B5713" t="str">
        <f>"1552375008523708"</f>
        <v>1552375008523708</v>
      </c>
      <c r="C5713" t="s">
        <v>40</v>
      </c>
      <c r="D5713">
        <v>4.7329699999999999</v>
      </c>
      <c r="E5713">
        <v>0.44976549999999998</v>
      </c>
      <c r="F5713" t="s">
        <v>43</v>
      </c>
      <c r="G5713">
        <v>-276.28800000000001</v>
      </c>
      <c r="H5713" s="1">
        <v>-2.0658620000000002E-6</v>
      </c>
      <c r="I5713">
        <v>-61.346339999999998</v>
      </c>
      <c r="J5713">
        <v>-284.58150000000001</v>
      </c>
      <c r="K5713">
        <v>1.1152</v>
      </c>
      <c r="L5713">
        <v>-61.110689999999998</v>
      </c>
      <c r="M5713">
        <v>0.90392269999999997</v>
      </c>
      <c r="N5713">
        <v>0</v>
      </c>
      <c r="O5713">
        <v>-0.42753439999999998</v>
      </c>
      <c r="P5713">
        <v>0.98558159999999895</v>
      </c>
      <c r="Q5713">
        <v>-9.7889269999999994E-3</v>
      </c>
      <c r="R5713">
        <v>-0.1689177</v>
      </c>
      <c r="S5713">
        <v>3.0241699999999998</v>
      </c>
      <c r="T5713">
        <v>-0.4019315</v>
      </c>
      <c r="U5713">
        <v>-9.9822999999999995E-2</v>
      </c>
      <c r="V5713">
        <v>-0.26869609999999999</v>
      </c>
      <c r="W5713">
        <v>-2.1382490000000001E-3</v>
      </c>
      <c r="X5713">
        <v>0.96322260000000004</v>
      </c>
      <c r="Y5713">
        <v>-0.39053759999999998</v>
      </c>
      <c r="Z5713">
        <v>8.0863240000000003E-2</v>
      </c>
      <c r="AA5713">
        <v>0.91702859999999997</v>
      </c>
      <c r="AB5713">
        <v>23</v>
      </c>
      <c r="AC5713">
        <v>8.2934999999999892</v>
      </c>
      <c r="AD5713">
        <v>-1.1152020658620001</v>
      </c>
      <c r="AE5713">
        <v>-0.235649999999999</v>
      </c>
      <c r="AF5713">
        <v>-3.2738297069750399</v>
      </c>
      <c r="AG5713">
        <v>-1.1152020658620001</v>
      </c>
      <c r="AH5713">
        <v>7.4631213781460604</v>
      </c>
      <c r="AI5713">
        <v>97.792024862273195</v>
      </c>
      <c r="AJ5713">
        <v>113.68550561652999</v>
      </c>
      <c r="AK5713">
        <v>8.2255587836277702</v>
      </c>
      <c r="AL5713">
        <v>90.122512740071301</v>
      </c>
      <c r="AM5713">
        <v>105.58672892361599</v>
      </c>
      <c r="AN5713">
        <v>0.99999997170737698</v>
      </c>
    </row>
    <row r="5714" spans="1:40" x14ac:dyDescent="0.25">
      <c r="A5714" t="str">
        <f>"20190312151648538"</f>
        <v>20190312151648538</v>
      </c>
      <c r="B5714" t="str">
        <f>"1552375008533468"</f>
        <v>1552375008533468</v>
      </c>
      <c r="C5714" t="s">
        <v>40</v>
      </c>
      <c r="D5714">
        <v>4.7711009999999998</v>
      </c>
      <c r="E5714">
        <v>0.45026440000000001</v>
      </c>
      <c r="F5714" t="s">
        <v>43</v>
      </c>
      <c r="G5714">
        <v>-276.18110000000001</v>
      </c>
      <c r="H5714" s="1">
        <v>-2.0259189999999998E-6</v>
      </c>
      <c r="I5714">
        <v>-61.372919999999901</v>
      </c>
      <c r="J5714">
        <v>-284.4778</v>
      </c>
      <c r="K5714">
        <v>1.115189</v>
      </c>
      <c r="L5714">
        <v>-61.154209999999999</v>
      </c>
      <c r="M5714">
        <v>0.90588579999999996</v>
      </c>
      <c r="N5714">
        <v>0</v>
      </c>
      <c r="O5714">
        <v>-0.42335929999999999</v>
      </c>
      <c r="P5714">
        <v>0.98636789999999996</v>
      </c>
      <c r="Q5714">
        <v>-9.2956540000000004E-3</v>
      </c>
      <c r="R5714">
        <v>-0.1642931</v>
      </c>
      <c r="S5714">
        <v>3.0237729999999998</v>
      </c>
      <c r="T5714">
        <v>-0.40142319999999998</v>
      </c>
      <c r="U5714">
        <v>-9.4390870000000002E-2</v>
      </c>
      <c r="V5714">
        <v>-0.26877849999999998</v>
      </c>
      <c r="W5714">
        <v>-1.6411419999999999E-3</v>
      </c>
      <c r="X5714">
        <v>0.96320059999999996</v>
      </c>
      <c r="Y5714">
        <v>-0.3880112</v>
      </c>
      <c r="Z5714">
        <v>8.0107449999999997E-2</v>
      </c>
      <c r="AA5714">
        <v>0.91816679999999995</v>
      </c>
      <c r="AB5714">
        <v>23</v>
      </c>
      <c r="AC5714">
        <v>8.29669999999998</v>
      </c>
      <c r="AD5714">
        <v>-1.1151910259190001</v>
      </c>
      <c r="AE5714">
        <v>-0.21870999999999399</v>
      </c>
      <c r="AF5714">
        <v>-3.2558052207968098</v>
      </c>
      <c r="AG5714">
        <v>-1.1151910259190001</v>
      </c>
      <c r="AH5714">
        <v>7.4740397459037604</v>
      </c>
      <c r="AI5714">
        <v>97.789319778169002</v>
      </c>
      <c r="AJ5714">
        <v>113.538672699041</v>
      </c>
      <c r="AK5714">
        <v>8.2283162787660995</v>
      </c>
      <c r="AL5714">
        <v>90.094030553742797</v>
      </c>
      <c r="AM5714">
        <v>105.59161517472801</v>
      </c>
      <c r="AN5714">
        <v>0.99999998562483605</v>
      </c>
    </row>
    <row r="5715" spans="1:40" x14ac:dyDescent="0.25">
      <c r="A5715" t="str">
        <f>"20190312151648549"</f>
        <v>20190312151648549</v>
      </c>
      <c r="B5715" t="str">
        <f>"1552375008543227"</f>
        <v>1552375008543227</v>
      </c>
      <c r="C5715" t="s">
        <v>40</v>
      </c>
      <c r="D5715">
        <v>4.7662009999999997</v>
      </c>
      <c r="E5715">
        <v>0.45082830000000002</v>
      </c>
      <c r="F5715" t="s">
        <v>43</v>
      </c>
      <c r="G5715">
        <v>-276.03199999999998</v>
      </c>
      <c r="H5715" s="1">
        <v>-1.965714E-6</v>
      </c>
      <c r="I5715">
        <v>-61.38973</v>
      </c>
      <c r="J5715">
        <v>-284.36739999999998</v>
      </c>
      <c r="K5715">
        <v>1.115181</v>
      </c>
      <c r="L5715">
        <v>-61.199979999999996</v>
      </c>
      <c r="M5715">
        <v>0.9079469</v>
      </c>
      <c r="N5715">
        <v>0</v>
      </c>
      <c r="O5715">
        <v>-0.41892069999999998</v>
      </c>
      <c r="P5715">
        <v>0.98712060000000001</v>
      </c>
      <c r="Q5715">
        <v>-9.0732069999999998E-3</v>
      </c>
      <c r="R5715">
        <v>-0.15972140000000001</v>
      </c>
      <c r="S5715">
        <v>3.0236209999999999</v>
      </c>
      <c r="T5715">
        <v>-0.39924179999999998</v>
      </c>
      <c r="U5715">
        <v>-8.4320069999999997E-2</v>
      </c>
      <c r="V5715">
        <v>-0.26853059999999901</v>
      </c>
      <c r="W5715">
        <v>-1.410148E-3</v>
      </c>
      <c r="X5715">
        <v>0.96327010000000002</v>
      </c>
      <c r="Y5715">
        <v>-0.38668380000000002</v>
      </c>
      <c r="Z5715">
        <v>7.9070230000000005E-2</v>
      </c>
      <c r="AA5715">
        <v>0.91881639999999998</v>
      </c>
      <c r="AB5715">
        <v>23</v>
      </c>
      <c r="AC5715">
        <v>8.3353999999999893</v>
      </c>
      <c r="AD5715">
        <v>-1.115182965714</v>
      </c>
      <c r="AE5715">
        <v>-0.189750000000003</v>
      </c>
      <c r="AF5715">
        <v>-3.2614693179898002</v>
      </c>
      <c r="AG5715">
        <v>-1.115182965714</v>
      </c>
      <c r="AH5715">
        <v>7.5136967690289396</v>
      </c>
      <c r="AI5715">
        <v>97.752980329306396</v>
      </c>
      <c r="AJ5715">
        <v>113.464211767392</v>
      </c>
      <c r="AK5715">
        <v>8.2665866169854905</v>
      </c>
      <c r="AL5715">
        <v>90.080795557394694</v>
      </c>
      <c r="AM5715">
        <v>105.57686390937501</v>
      </c>
      <c r="AN5715">
        <v>0.99999997860387502</v>
      </c>
    </row>
    <row r="5716" spans="1:40" x14ac:dyDescent="0.25">
      <c r="A5716" t="str">
        <f>"20190312151648560"</f>
        <v>20190312151648560</v>
      </c>
      <c r="B5716" t="str">
        <f>"1552375008553963"</f>
        <v>1552375008553963</v>
      </c>
      <c r="C5716" t="s">
        <v>40</v>
      </c>
      <c r="D5716">
        <v>4.7662190000000004</v>
      </c>
      <c r="E5716">
        <v>0.45133610000000002</v>
      </c>
      <c r="F5716" t="s">
        <v>43</v>
      </c>
      <c r="G5716">
        <v>-275.88600000000002</v>
      </c>
      <c r="H5716" s="1">
        <v>-1.90764E-6</v>
      </c>
      <c r="I5716">
        <v>-61.410330000000002</v>
      </c>
      <c r="J5716">
        <v>-284.27050000000003</v>
      </c>
      <c r="K5716">
        <v>1.1151709999999999</v>
      </c>
      <c r="L5716">
        <v>-61.2395</v>
      </c>
      <c r="M5716">
        <v>0.9097248</v>
      </c>
      <c r="N5716">
        <v>0</v>
      </c>
      <c r="O5716">
        <v>-0.41504609999999897</v>
      </c>
      <c r="P5716">
        <v>0.98777159999999997</v>
      </c>
      <c r="Q5716">
        <v>-8.8009030000000005E-3</v>
      </c>
      <c r="R5716">
        <v>-0.1556601</v>
      </c>
      <c r="S5716">
        <v>3.0233460000000001</v>
      </c>
      <c r="T5716">
        <v>-0.39752409999999999</v>
      </c>
      <c r="U5716">
        <v>-7.4981690000000004E-2</v>
      </c>
      <c r="V5716">
        <v>-0.26839059999999998</v>
      </c>
      <c r="W5716">
        <v>-1.1300049999999999E-3</v>
      </c>
      <c r="X5716">
        <v>0.96330950000000004</v>
      </c>
      <c r="Y5716">
        <v>-0.38568940000000002</v>
      </c>
      <c r="Z5716">
        <v>7.8219830000000004E-2</v>
      </c>
      <c r="AA5716">
        <v>0.91930699999999999</v>
      </c>
      <c r="AB5716">
        <v>23</v>
      </c>
      <c r="AC5716">
        <v>8.3845000000000596</v>
      </c>
      <c r="AD5716">
        <v>-1.1151729076400001</v>
      </c>
      <c r="AE5716">
        <v>-0.17083000000000201</v>
      </c>
      <c r="AF5716">
        <v>-3.26700473081008</v>
      </c>
      <c r="AG5716">
        <v>-1.1151729076400001</v>
      </c>
      <c r="AH5716">
        <v>7.5652449814173304</v>
      </c>
      <c r="AI5716">
        <v>97.706897782288493</v>
      </c>
      <c r="AJ5716">
        <v>113.356805744352</v>
      </c>
      <c r="AK5716">
        <v>8.3156396118356302</v>
      </c>
      <c r="AL5716">
        <v>90.0647445316296</v>
      </c>
      <c r="AM5716">
        <v>105.56853091651899</v>
      </c>
      <c r="AN5716">
        <v>0.99999999193495503</v>
      </c>
    </row>
    <row r="5717" spans="1:40" x14ac:dyDescent="0.25">
      <c r="A5717" t="str">
        <f>"20190312151648571"</f>
        <v>20190312151648571</v>
      </c>
      <c r="B5717" t="str">
        <f>"1552375008563724"</f>
        <v>1552375008563724</v>
      </c>
      <c r="C5717" t="s">
        <v>40</v>
      </c>
      <c r="D5717">
        <v>4.7838900000000004</v>
      </c>
      <c r="E5717">
        <v>0.45182850000000002</v>
      </c>
      <c r="F5717" t="s">
        <v>43</v>
      </c>
      <c r="G5717">
        <v>-275.74059999999997</v>
      </c>
      <c r="H5717" s="1">
        <v>-1.8491410000000001E-6</v>
      </c>
      <c r="I5717">
        <v>-61.427729999999997</v>
      </c>
      <c r="J5717">
        <v>-284.1651</v>
      </c>
      <c r="K5717">
        <v>1.1151629999999999</v>
      </c>
      <c r="L5717">
        <v>-61.282290000000003</v>
      </c>
      <c r="M5717">
        <v>0.91163590000000005</v>
      </c>
      <c r="N5717">
        <v>0</v>
      </c>
      <c r="O5717">
        <v>-0.41083150000000002</v>
      </c>
      <c r="P5717">
        <v>0.98847600000000002</v>
      </c>
      <c r="Q5717">
        <v>-8.6930640000000003E-3</v>
      </c>
      <c r="R5717">
        <v>-0.15112919999999999</v>
      </c>
      <c r="S5717">
        <v>3.0231319999999999</v>
      </c>
      <c r="T5717">
        <v>-0.3952328</v>
      </c>
      <c r="U5717">
        <v>-6.6711430000000002E-2</v>
      </c>
      <c r="V5717">
        <v>-0.26835209999999998</v>
      </c>
      <c r="W5717">
        <v>-1.014785E-3</v>
      </c>
      <c r="X5717">
        <v>0.96332039999999997</v>
      </c>
      <c r="Y5717">
        <v>-0.38406220000000002</v>
      </c>
      <c r="Z5717">
        <v>7.7176120000000001E-2</v>
      </c>
      <c r="AA5717">
        <v>0.92007609999999995</v>
      </c>
      <c r="AB5717">
        <v>23</v>
      </c>
      <c r="AC5717">
        <v>8.4245000000000196</v>
      </c>
      <c r="AD5717">
        <v>-1.115164849141</v>
      </c>
      <c r="AE5717">
        <v>-0.14544000000000001</v>
      </c>
      <c r="AF5717">
        <v>-3.2713854873776098</v>
      </c>
      <c r="AG5717">
        <v>-1.115164849141</v>
      </c>
      <c r="AH5717">
        <v>7.6071061033110796</v>
      </c>
      <c r="AI5717">
        <v>97.669896160108095</v>
      </c>
      <c r="AJ5717">
        <v>113.26980156738</v>
      </c>
      <c r="AK5717">
        <v>8.3554544409515703</v>
      </c>
      <c r="AL5717">
        <v>90.058142905487003</v>
      </c>
      <c r="AM5717">
        <v>105.56623834517301</v>
      </c>
      <c r="AN5717">
        <v>1.00000003620958</v>
      </c>
    </row>
    <row r="5718" spans="1:40" x14ac:dyDescent="0.25">
      <c r="A5718" t="str">
        <f>"20190312151648582"</f>
        <v>20190312151648582</v>
      </c>
      <c r="B5718" t="str">
        <f>"1552375008573484"</f>
        <v>1552375008573484</v>
      </c>
      <c r="C5718" t="s">
        <v>40</v>
      </c>
      <c r="D5718">
        <v>4.7453699999999897</v>
      </c>
      <c r="E5718">
        <v>0.452297</v>
      </c>
      <c r="F5718" t="s">
        <v>43</v>
      </c>
      <c r="G5718">
        <v>-275.59769999999997</v>
      </c>
      <c r="H5718" s="1">
        <v>-1.791312E-6</v>
      </c>
      <c r="I5718">
        <v>-61.443339999999999</v>
      </c>
      <c r="J5718">
        <v>-284.06459999999998</v>
      </c>
      <c r="K5718">
        <v>1.1151439999999999</v>
      </c>
      <c r="L5718">
        <v>-61.322200000000002</v>
      </c>
      <c r="M5718">
        <v>0.91341910000000004</v>
      </c>
      <c r="N5718">
        <v>0</v>
      </c>
      <c r="O5718">
        <v>-0.40685120000000002</v>
      </c>
      <c r="P5718">
        <v>0.98905299999999996</v>
      </c>
      <c r="Q5718">
        <v>-8.6444950000000003E-3</v>
      </c>
      <c r="R5718">
        <v>-0.14730860000000001</v>
      </c>
      <c r="S5718">
        <v>3.0228269999999999</v>
      </c>
      <c r="T5718">
        <v>-0.39346249999999999</v>
      </c>
      <c r="U5718">
        <v>-5.6823730000000003E-2</v>
      </c>
      <c r="V5718">
        <v>-0.26787300000000003</v>
      </c>
      <c r="W5718">
        <v>-9.487648E-4</v>
      </c>
      <c r="X5718">
        <v>0.96345380000000003</v>
      </c>
      <c r="Y5718">
        <v>-0.38314500000000001</v>
      </c>
      <c r="Z5718">
        <v>7.6315859999999999E-2</v>
      </c>
      <c r="AA5718">
        <v>0.92053019999999997</v>
      </c>
      <c r="AB5718">
        <v>23</v>
      </c>
      <c r="AC5718">
        <v>8.4669000000000096</v>
      </c>
      <c r="AD5718">
        <v>-1.115145791312</v>
      </c>
      <c r="AE5718">
        <v>-0.121139999999996</v>
      </c>
      <c r="AF5718">
        <v>-3.2775043961044199</v>
      </c>
      <c r="AG5718">
        <v>-1.115145791312</v>
      </c>
      <c r="AH5718">
        <v>7.6509588721892898</v>
      </c>
      <c r="AI5718">
        <v>97.630874601628605</v>
      </c>
      <c r="AJ5718">
        <v>113.18923918967501</v>
      </c>
      <c r="AK5718">
        <v>8.3977828542000701</v>
      </c>
      <c r="AL5718">
        <v>90.054360225070099</v>
      </c>
      <c r="AM5718">
        <v>105.537743696473</v>
      </c>
      <c r="AN5718">
        <v>1.0000000345090401</v>
      </c>
    </row>
    <row r="5719" spans="1:40" x14ac:dyDescent="0.25">
      <c r="A5719" t="str">
        <f>"20190312151648594"</f>
        <v>20190312151648594</v>
      </c>
      <c r="B5719" t="str">
        <f>"1552375008583244"</f>
        <v>1552375008583244</v>
      </c>
      <c r="C5719" t="s">
        <v>40</v>
      </c>
      <c r="D5719">
        <v>4.7101509999999998</v>
      </c>
      <c r="E5719">
        <v>0.452297</v>
      </c>
      <c r="F5719" t="s">
        <v>43</v>
      </c>
      <c r="G5719">
        <v>-275.46730000000002</v>
      </c>
      <c r="H5719" s="1">
        <v>-1.739262E-6</v>
      </c>
      <c r="I5719">
        <v>-61.460830000000001</v>
      </c>
      <c r="J5719">
        <v>-283.95429999999999</v>
      </c>
      <c r="K5719">
        <v>1.1151230000000001</v>
      </c>
      <c r="L5719">
        <v>-61.365810000000003</v>
      </c>
      <c r="M5719">
        <v>0.91534979999999999</v>
      </c>
      <c r="N5719">
        <v>0</v>
      </c>
      <c r="O5719">
        <v>-0.40248879999999998</v>
      </c>
      <c r="P5719">
        <v>0.98971989999999999</v>
      </c>
      <c r="Q5719">
        <v>-9.0673100000000003E-3</v>
      </c>
      <c r="R5719">
        <v>-0.14273150000000001</v>
      </c>
      <c r="S5719">
        <v>3.0225219999999999</v>
      </c>
      <c r="T5719">
        <v>-0.39204929999999999</v>
      </c>
      <c r="U5719">
        <v>-4.873657E-2</v>
      </c>
      <c r="V5719">
        <v>-0.26772629999999997</v>
      </c>
      <c r="W5719">
        <v>-1.3578819999999999E-3</v>
      </c>
      <c r="X5719">
        <v>0.96349410000000002</v>
      </c>
      <c r="Y5719">
        <v>-0.38130120000000001</v>
      </c>
      <c r="Z5719">
        <v>7.5419109999999998E-2</v>
      </c>
      <c r="AA5719">
        <v>0.92136929999999995</v>
      </c>
      <c r="AB5719">
        <v>23</v>
      </c>
      <c r="AC5719">
        <v>8.4869999999999592</v>
      </c>
      <c r="AD5719">
        <v>-1.1151247392619901</v>
      </c>
      <c r="AE5719">
        <v>-9.5020000000005198E-2</v>
      </c>
      <c r="AF5719">
        <v>-3.2726826807059299</v>
      </c>
      <c r="AG5719">
        <v>-1.1151247392619901</v>
      </c>
      <c r="AH5719">
        <v>7.6748735333285598</v>
      </c>
      <c r="AI5719">
        <v>97.612569326273501</v>
      </c>
      <c r="AJ5719">
        <v>113.094136390652</v>
      </c>
      <c r="AK5719">
        <v>8.4176979552187507</v>
      </c>
      <c r="AL5719">
        <v>90.077800927839803</v>
      </c>
      <c r="AM5719">
        <v>105.529027051695</v>
      </c>
      <c r="AN5719">
        <v>1.00000004814501</v>
      </c>
    </row>
    <row r="5720" spans="1:40" x14ac:dyDescent="0.25">
      <c r="A5720" t="str">
        <f>"20190312151648605"</f>
        <v>20190312151648605</v>
      </c>
      <c r="B5720" t="str">
        <f>"1552375008593980"</f>
        <v>1552375008593980</v>
      </c>
      <c r="C5720" t="s">
        <v>40</v>
      </c>
      <c r="D5720">
        <v>5.1616949999999999</v>
      </c>
      <c r="E5720">
        <v>0.46459909999999999</v>
      </c>
      <c r="F5720" t="s">
        <v>43</v>
      </c>
      <c r="G5720">
        <v>-275.38389999999998</v>
      </c>
      <c r="H5720" s="1">
        <v>-1.704265E-6</v>
      </c>
      <c r="I5720">
        <v>-61.464289999999998</v>
      </c>
      <c r="J5720">
        <v>-283.84690000000001</v>
      </c>
      <c r="K5720">
        <v>1.115097</v>
      </c>
      <c r="L5720">
        <v>-61.407409999999999</v>
      </c>
      <c r="M5720">
        <v>0.91719059999999997</v>
      </c>
      <c r="N5720">
        <v>0</v>
      </c>
      <c r="O5720">
        <v>-0.39827600000000002</v>
      </c>
      <c r="P5720">
        <v>0.99027980000000004</v>
      </c>
      <c r="Q5720">
        <v>-9.0011919999999999E-3</v>
      </c>
      <c r="R5720">
        <v>-0.13879820000000001</v>
      </c>
      <c r="S5720">
        <v>3.0225219999999999</v>
      </c>
      <c r="T5720">
        <v>-0.39327050000000002</v>
      </c>
      <c r="U5720">
        <v>-3.4729000000000003E-2</v>
      </c>
      <c r="V5720">
        <v>-0.26712580000000002</v>
      </c>
      <c r="W5720">
        <v>-1.2677529999999999E-3</v>
      </c>
      <c r="X5720">
        <v>0.96366079999999998</v>
      </c>
      <c r="Y5720">
        <v>-0.38132070000000001</v>
      </c>
      <c r="Z5720">
        <v>7.5160560000000001E-2</v>
      </c>
      <c r="AA5720">
        <v>0.92138240000000005</v>
      </c>
      <c r="AB5720">
        <v>23</v>
      </c>
      <c r="AC5720">
        <v>8.4630000000000205</v>
      </c>
      <c r="AD5720">
        <v>-1.115098704265</v>
      </c>
      <c r="AE5720">
        <v>-5.6880000000006703E-2</v>
      </c>
      <c r="AF5720">
        <v>-3.26203826456294</v>
      </c>
      <c r="AG5720">
        <v>-1.115098704265</v>
      </c>
      <c r="AH5720">
        <v>7.6525233235997003</v>
      </c>
      <c r="AI5720">
        <v>97.634761042241493</v>
      </c>
      <c r="AJ5720">
        <v>113.087078898839</v>
      </c>
      <c r="AK5720">
        <v>8.3931788958632207</v>
      </c>
      <c r="AL5720">
        <v>90.072636918085394</v>
      </c>
      <c r="AM5720">
        <v>105.493319789832</v>
      </c>
      <c r="AN5720">
        <v>0.999999968839974</v>
      </c>
    </row>
    <row r="5721" spans="1:40" x14ac:dyDescent="0.25">
      <c r="A5721" t="str">
        <f>"20190312151648617"</f>
        <v>20190312151648617</v>
      </c>
      <c r="B5721" t="str">
        <f>"1552375008613459"</f>
        <v>1552375008613459</v>
      </c>
      <c r="C5721" t="s">
        <v>40</v>
      </c>
      <c r="D5721">
        <v>4.7646290000000002</v>
      </c>
      <c r="E5721">
        <v>0.46605170000000001</v>
      </c>
      <c r="F5721" t="s">
        <v>43</v>
      </c>
      <c r="G5721">
        <v>-272.57709999999997</v>
      </c>
      <c r="H5721" s="1">
        <v>-5.9097110000000002E-7</v>
      </c>
      <c r="I5721">
        <v>-61.872779999999999</v>
      </c>
      <c r="J5721">
        <v>-283.74200000000002</v>
      </c>
      <c r="K5721">
        <v>1.115067</v>
      </c>
      <c r="L5721">
        <v>-61.447719999999997</v>
      </c>
      <c r="M5721">
        <v>0.91896180000000005</v>
      </c>
      <c r="N5721">
        <v>0</v>
      </c>
      <c r="O5721">
        <v>-0.39417279999999999</v>
      </c>
      <c r="P5721">
        <v>0.99082579999999998</v>
      </c>
      <c r="Q5721">
        <v>-9.0000310000000004E-3</v>
      </c>
      <c r="R5721">
        <v>-0.1348461</v>
      </c>
      <c r="S5721">
        <v>3.009369</v>
      </c>
      <c r="T5721">
        <v>-0.297763</v>
      </c>
      <c r="U5721">
        <v>-0.12426760000000001</v>
      </c>
      <c r="V5721">
        <v>-0.2666635</v>
      </c>
      <c r="W5721">
        <v>-1.2446110000000001E-3</v>
      </c>
      <c r="X5721">
        <v>0.96378889999999995</v>
      </c>
      <c r="Y5721">
        <v>-0.35240310000000002</v>
      </c>
      <c r="Z5721">
        <v>5.5376399999999999E-2</v>
      </c>
      <c r="AA5721">
        <v>0.9342085</v>
      </c>
      <c r="AB5721">
        <v>23</v>
      </c>
      <c r="AC5721">
        <v>11.164899999999999</v>
      </c>
      <c r="AD5721">
        <v>-1.1150675909711001</v>
      </c>
      <c r="AE5721">
        <v>-0.42506000000000899</v>
      </c>
      <c r="AF5721">
        <v>-3.9710091050282101</v>
      </c>
      <c r="AG5721">
        <v>-1.1150675909711001</v>
      </c>
      <c r="AH5721">
        <v>10.325534773420101</v>
      </c>
      <c r="AI5721">
        <v>95.755650241138795</v>
      </c>
      <c r="AJ5721">
        <v>111.035817105578</v>
      </c>
      <c r="AK5721">
        <v>11.1188559394283</v>
      </c>
      <c r="AL5721">
        <v>90.071310975309601</v>
      </c>
      <c r="AM5721">
        <v>105.465833859079</v>
      </c>
      <c r="AN5721">
        <v>1.000000007526</v>
      </c>
    </row>
    <row r="5722" spans="1:40" x14ac:dyDescent="0.25">
      <c r="A5722" t="str">
        <f>"20190312151648630"</f>
        <v>20190312151648630</v>
      </c>
      <c r="B5722" t="str">
        <f>"1552375008624196"</f>
        <v>1552375008624196</v>
      </c>
      <c r="C5722" t="s">
        <v>40</v>
      </c>
      <c r="D5722">
        <v>4.790483</v>
      </c>
      <c r="E5722">
        <v>0.46665099999999998</v>
      </c>
      <c r="F5722" t="s">
        <v>43</v>
      </c>
      <c r="G5722">
        <v>-272.61559999999997</v>
      </c>
      <c r="H5722" s="1">
        <v>-6.1471580000000005E-7</v>
      </c>
      <c r="I5722">
        <v>-61.905320000000003</v>
      </c>
      <c r="J5722">
        <v>-283.62270000000001</v>
      </c>
      <c r="K5722">
        <v>1.1150329999999999</v>
      </c>
      <c r="L5722">
        <v>-61.49295</v>
      </c>
      <c r="M5722">
        <v>0.92093899999999995</v>
      </c>
      <c r="N5722">
        <v>0</v>
      </c>
      <c r="O5722">
        <v>-0.38953080000000001</v>
      </c>
      <c r="P5722">
        <v>0.99144209999999999</v>
      </c>
      <c r="Q5722">
        <v>-9.2224400000000002E-3</v>
      </c>
      <c r="R5722">
        <v>-0.1302218</v>
      </c>
      <c r="S5722">
        <v>3.0082089999999999</v>
      </c>
      <c r="T5722">
        <v>-0.30147639999999998</v>
      </c>
      <c r="U5722">
        <v>-0.1237183</v>
      </c>
      <c r="V5722">
        <v>-0.266293</v>
      </c>
      <c r="W5722">
        <v>-1.4435400000000001E-3</v>
      </c>
      <c r="X5722">
        <v>0.96389100000000005</v>
      </c>
      <c r="Y5722">
        <v>-0.34779019999999999</v>
      </c>
      <c r="Z5722">
        <v>5.5423769999999997E-2</v>
      </c>
      <c r="AA5722">
        <v>0.93593280000000001</v>
      </c>
      <c r="AB5722">
        <v>23</v>
      </c>
      <c r="AC5722">
        <v>11.007099999999999</v>
      </c>
      <c r="AD5722">
        <v>-1.1150336147158</v>
      </c>
      <c r="AE5722">
        <v>-0.41236999999999502</v>
      </c>
      <c r="AF5722">
        <v>-3.8684624440633399</v>
      </c>
      <c r="AG5722">
        <v>-1.1150336147158</v>
      </c>
      <c r="AH5722">
        <v>10.193743404551901</v>
      </c>
      <c r="AI5722">
        <v>95.839204727338796</v>
      </c>
      <c r="AJ5722">
        <v>110.781443348609</v>
      </c>
      <c r="AK5722">
        <v>10.9599592262435</v>
      </c>
      <c r="AL5722">
        <v>90.082708782189599</v>
      </c>
      <c r="AM5722">
        <v>105.443814469147</v>
      </c>
      <c r="AN5722">
        <v>0.999999952768864</v>
      </c>
    </row>
    <row r="5723" spans="1:40" x14ac:dyDescent="0.25">
      <c r="A5723" t="str">
        <f>"20190312151648641"</f>
        <v>20190312151648641</v>
      </c>
      <c r="B5723" t="str">
        <f>"1552375008633955"</f>
        <v>1552375008633955</v>
      </c>
      <c r="C5723" t="s">
        <v>40</v>
      </c>
      <c r="D5723">
        <v>4.7476050000000001</v>
      </c>
      <c r="E5723">
        <v>0.46731600000000001</v>
      </c>
      <c r="F5723" t="s">
        <v>43</v>
      </c>
      <c r="G5723">
        <v>-272.58210000000003</v>
      </c>
      <c r="H5723" s="1">
        <v>-6.0202610000000004E-7</v>
      </c>
      <c r="I5723">
        <v>-61.912880000000001</v>
      </c>
      <c r="J5723">
        <v>-283.51369999999997</v>
      </c>
      <c r="K5723">
        <v>1.114997</v>
      </c>
      <c r="L5723">
        <v>-61.533569999999997</v>
      </c>
      <c r="M5723">
        <v>0.922709</v>
      </c>
      <c r="N5723">
        <v>0</v>
      </c>
      <c r="O5723">
        <v>-0.38531929999999998</v>
      </c>
      <c r="P5723">
        <v>0.99197409999999997</v>
      </c>
      <c r="Q5723">
        <v>-9.1510510000000003E-3</v>
      </c>
      <c r="R5723">
        <v>-0.12611040000000001</v>
      </c>
      <c r="S5723">
        <v>3.008057</v>
      </c>
      <c r="T5723">
        <v>-0.30379440000000002</v>
      </c>
      <c r="U5723">
        <v>-0.1144104</v>
      </c>
      <c r="V5723">
        <v>-0.26588709999999999</v>
      </c>
      <c r="W5723">
        <v>-1.349175E-3</v>
      </c>
      <c r="X5723">
        <v>0.96400319999999995</v>
      </c>
      <c r="Y5723">
        <v>-0.34637079999999998</v>
      </c>
      <c r="Z5723">
        <v>5.5393089999999999E-2</v>
      </c>
      <c r="AA5723">
        <v>0.93646079999999998</v>
      </c>
      <c r="AB5723">
        <v>23</v>
      </c>
      <c r="AC5723">
        <v>10.9315999999999</v>
      </c>
      <c r="AD5723">
        <v>-1.1149976020261001</v>
      </c>
      <c r="AE5723">
        <v>-0.37931000000000298</v>
      </c>
      <c r="AF5723">
        <v>-3.8227067710145501</v>
      </c>
      <c r="AG5723">
        <v>-1.1149976020261001</v>
      </c>
      <c r="AH5723">
        <v>10.128299618133999</v>
      </c>
      <c r="AI5723">
        <v>95.880474350385995</v>
      </c>
      <c r="AJ5723">
        <v>110.677925222884</v>
      </c>
      <c r="AK5723">
        <v>10.8829573124394</v>
      </c>
      <c r="AL5723">
        <v>90.077302059101996</v>
      </c>
      <c r="AM5723">
        <v>105.419685938781</v>
      </c>
      <c r="AN5723">
        <v>0.99999996991491402</v>
      </c>
    </row>
    <row r="5724" spans="1:40" x14ac:dyDescent="0.25">
      <c r="A5724" t="str">
        <f>"20190312151648654"</f>
        <v>20190312151648654</v>
      </c>
      <c r="B5724" t="str">
        <f>"1552375008643716"</f>
        <v>1552375008643716</v>
      </c>
      <c r="C5724" t="s">
        <v>40</v>
      </c>
      <c r="D5724">
        <v>4.7674969999999997</v>
      </c>
      <c r="E5724">
        <v>0.4678813</v>
      </c>
      <c r="F5724" t="s">
        <v>43</v>
      </c>
      <c r="G5724">
        <v>-272.49189999999999</v>
      </c>
      <c r="H5724" s="1">
        <v>-5.663343E-7</v>
      </c>
      <c r="I5724">
        <v>-61.926419999999901</v>
      </c>
      <c r="J5724">
        <v>-283.39710000000002</v>
      </c>
      <c r="K5724">
        <v>1.1149610000000001</v>
      </c>
      <c r="L5724">
        <v>-61.576689999999999</v>
      </c>
      <c r="M5724">
        <v>0.92457239999999996</v>
      </c>
      <c r="N5724">
        <v>0</v>
      </c>
      <c r="O5724">
        <v>-0.38082700000000003</v>
      </c>
      <c r="P5724">
        <v>0.99250269999999996</v>
      </c>
      <c r="Q5724">
        <v>-9.1801490000000003E-3</v>
      </c>
      <c r="R5724">
        <v>-0.1218779</v>
      </c>
      <c r="S5724">
        <v>3.0078429999999998</v>
      </c>
      <c r="T5724">
        <v>-0.30428080000000002</v>
      </c>
      <c r="U5724">
        <v>-0.10720830000000001</v>
      </c>
      <c r="V5724">
        <v>-0.26530979999999998</v>
      </c>
      <c r="W5724">
        <v>-1.3510830000000001E-3</v>
      </c>
      <c r="X5724">
        <v>0.96416230000000003</v>
      </c>
      <c r="Y5724">
        <v>-0.34406890000000001</v>
      </c>
      <c r="Z5724">
        <v>5.4952830000000001E-2</v>
      </c>
      <c r="AA5724">
        <v>0.93733500000000003</v>
      </c>
      <c r="AB5724">
        <v>23</v>
      </c>
      <c r="AC5724">
        <v>10.905200000000001</v>
      </c>
      <c r="AD5724">
        <v>-1.1149615663343</v>
      </c>
      <c r="AE5724">
        <v>-0.34972999999999299</v>
      </c>
      <c r="AF5724">
        <v>-3.7903250115417602</v>
      </c>
      <c r="AG5724">
        <v>-1.1149615663343</v>
      </c>
      <c r="AH5724">
        <v>10.110947787962001</v>
      </c>
      <c r="AI5724">
        <v>95.895232435644402</v>
      </c>
      <c r="AJ5724">
        <v>110.549683790976</v>
      </c>
      <c r="AK5724">
        <v>10.855457989344099</v>
      </c>
      <c r="AL5724">
        <v>90.077411375050204</v>
      </c>
      <c r="AM5724">
        <v>105.38537591889001</v>
      </c>
      <c r="AN5724">
        <v>1.0000000280713</v>
      </c>
    </row>
    <row r="5725" spans="1:40" x14ac:dyDescent="0.25">
      <c r="A5725" t="str">
        <f>"20190312151648664"</f>
        <v>20190312151648664</v>
      </c>
      <c r="B5725" t="str">
        <f>"1552375008653475"</f>
        <v>1552375008653475</v>
      </c>
      <c r="C5725" t="s">
        <v>40</v>
      </c>
      <c r="D5725">
        <v>4.9824840000000004</v>
      </c>
      <c r="E5725">
        <v>0.46871600000000002</v>
      </c>
      <c r="F5725" t="s">
        <v>43</v>
      </c>
      <c r="G5725">
        <v>-272.25729999999999</v>
      </c>
      <c r="H5725" s="1">
        <v>-4.6952279999999998E-7</v>
      </c>
      <c r="I5725">
        <v>-61.94359</v>
      </c>
      <c r="J5725">
        <v>-283.29590000000002</v>
      </c>
      <c r="K5725">
        <v>1.1149290000000001</v>
      </c>
      <c r="L5725">
        <v>-61.613340000000001</v>
      </c>
      <c r="M5725">
        <v>0.92615199999999998</v>
      </c>
      <c r="N5725">
        <v>0</v>
      </c>
      <c r="O5725">
        <v>-0.376969</v>
      </c>
      <c r="P5725">
        <v>0.99296280000000003</v>
      </c>
      <c r="Q5725">
        <v>-9.3504859999999999E-3</v>
      </c>
      <c r="R5725">
        <v>-0.1180575</v>
      </c>
      <c r="S5725">
        <v>3.0076900000000002</v>
      </c>
      <c r="T5725">
        <v>-0.30103289999999999</v>
      </c>
      <c r="U5725">
        <v>-9.9060060000000005E-2</v>
      </c>
      <c r="V5725">
        <v>-0.26499800000000001</v>
      </c>
      <c r="W5725">
        <v>-1.501044E-3</v>
      </c>
      <c r="X5725">
        <v>0.96424779999999999</v>
      </c>
      <c r="Y5725">
        <v>-0.3427925</v>
      </c>
      <c r="Z5725">
        <v>5.3955339999999997E-2</v>
      </c>
      <c r="AA5725">
        <v>0.93786040000000004</v>
      </c>
      <c r="AB5725">
        <v>23</v>
      </c>
      <c r="AC5725">
        <v>11.038600000000001</v>
      </c>
      <c r="AD5725">
        <v>-1.1149294695228</v>
      </c>
      <c r="AE5725">
        <v>-0.33024999999999899</v>
      </c>
      <c r="AF5725">
        <v>-3.8167105264093601</v>
      </c>
      <c r="AG5725">
        <v>-1.1149294695228</v>
      </c>
      <c r="AH5725">
        <v>10.2442100708494</v>
      </c>
      <c r="AI5725">
        <v>95.823269313026302</v>
      </c>
      <c r="AJ5725">
        <v>110.4340079202</v>
      </c>
      <c r="AK5725">
        <v>10.988820998637999</v>
      </c>
      <c r="AL5725">
        <v>90.086003517803107</v>
      </c>
      <c r="AM5725">
        <v>105.36685159481399</v>
      </c>
      <c r="AN5725">
        <v>1.00000000647096</v>
      </c>
    </row>
    <row r="5726" spans="1:40" x14ac:dyDescent="0.25">
      <c r="A5726" t="str">
        <f>"20190312151648674"</f>
        <v>20190312151648674</v>
      </c>
      <c r="B5726" t="str">
        <f>"1552375008664211"</f>
        <v>1552375008664211</v>
      </c>
      <c r="C5726" t="s">
        <v>40</v>
      </c>
      <c r="D5726">
        <v>4.799525</v>
      </c>
      <c r="E5726">
        <v>0.46949160000000001</v>
      </c>
      <c r="F5726" t="s">
        <v>43</v>
      </c>
      <c r="G5726">
        <v>-271.935</v>
      </c>
      <c r="H5726" s="1">
        <v>-3.37128E-7</v>
      </c>
      <c r="I5726">
        <v>-61.969929999999998</v>
      </c>
      <c r="J5726">
        <v>-283.20119999999997</v>
      </c>
      <c r="K5726">
        <v>1.114903</v>
      </c>
      <c r="L5726">
        <v>-61.647489999999998</v>
      </c>
      <c r="M5726">
        <v>0.9276124</v>
      </c>
      <c r="N5726">
        <v>0</v>
      </c>
      <c r="O5726">
        <v>-0.373361</v>
      </c>
      <c r="P5726">
        <v>0.99331959999999997</v>
      </c>
      <c r="Q5726">
        <v>-9.2600159999999994E-3</v>
      </c>
      <c r="R5726">
        <v>-0.11502320000000001</v>
      </c>
      <c r="S5726">
        <v>3.007263</v>
      </c>
      <c r="T5726">
        <v>-0.29512549999999999</v>
      </c>
      <c r="U5726">
        <v>-9.4390870000000002E-2</v>
      </c>
      <c r="V5726">
        <v>-0.26419239999999999</v>
      </c>
      <c r="W5726">
        <v>-1.3832650000000001E-3</v>
      </c>
      <c r="X5726">
        <v>0.96446900000000002</v>
      </c>
      <c r="Y5726">
        <v>-0.34074959999999999</v>
      </c>
      <c r="Z5726">
        <v>5.2482220000000003E-2</v>
      </c>
      <c r="AA5726">
        <v>0.93868810000000003</v>
      </c>
      <c r="AB5726">
        <v>23</v>
      </c>
      <c r="AC5726">
        <v>11.2661999999999</v>
      </c>
      <c r="AD5726">
        <v>-1.1149033371279999</v>
      </c>
      <c r="AE5726">
        <v>-0.32244</v>
      </c>
      <c r="AF5726">
        <v>-3.8696627183432701</v>
      </c>
      <c r="AG5726">
        <v>-1.1149033371279999</v>
      </c>
      <c r="AH5726">
        <v>10.469333313773699</v>
      </c>
      <c r="AI5726">
        <v>95.704208047736799</v>
      </c>
      <c r="AJ5726">
        <v>110.285261636312</v>
      </c>
      <c r="AK5726">
        <v>11.2171404127686</v>
      </c>
      <c r="AL5726">
        <v>90.079255272135001</v>
      </c>
      <c r="AM5726">
        <v>105.318985702413</v>
      </c>
      <c r="AN5726">
        <v>0.99999999480041002</v>
      </c>
    </row>
    <row r="5727" spans="1:40" x14ac:dyDescent="0.25">
      <c r="A5727" t="str">
        <f>"20190312151648684"</f>
        <v>20190312151648684</v>
      </c>
      <c r="B5727" t="str">
        <f>"1552375008673972"</f>
        <v>1552375008673972</v>
      </c>
      <c r="C5727" t="s">
        <v>40</v>
      </c>
      <c r="D5727">
        <v>4.9749759999999998</v>
      </c>
      <c r="E5727">
        <v>0.46949160000000001</v>
      </c>
      <c r="F5727" t="s">
        <v>43</v>
      </c>
      <c r="G5727">
        <v>-271.59870000000001</v>
      </c>
      <c r="H5727" s="1">
        <v>-1.9987689999999999E-7</v>
      </c>
      <c r="I5727">
        <v>-62.00159</v>
      </c>
      <c r="J5727">
        <v>-283.09679999999997</v>
      </c>
      <c r="K5727">
        <v>1.1148750000000001</v>
      </c>
      <c r="L5727">
        <v>-61.684420000000003</v>
      </c>
      <c r="M5727">
        <v>0.92918730000000005</v>
      </c>
      <c r="N5727">
        <v>0</v>
      </c>
      <c r="O5727">
        <v>-0.36942419999999998</v>
      </c>
      <c r="P5727">
        <v>0.99374379999999995</v>
      </c>
      <c r="Q5727">
        <v>-9.2434270000000002E-3</v>
      </c>
      <c r="R5727">
        <v>-0.1113006</v>
      </c>
      <c r="S5727">
        <v>3.0068359999999998</v>
      </c>
      <c r="T5727">
        <v>-0.28893099999999999</v>
      </c>
      <c r="U5727">
        <v>-9.1766360000000005E-2</v>
      </c>
      <c r="V5727">
        <v>-0.26371640000000002</v>
      </c>
      <c r="W5727">
        <v>-1.3449880000000001E-3</v>
      </c>
      <c r="X5727">
        <v>0.96459930000000005</v>
      </c>
      <c r="Y5727">
        <v>-0.33774779999999999</v>
      </c>
      <c r="Z5727">
        <v>5.0897150000000002E-2</v>
      </c>
      <c r="AA5727">
        <v>0.93985949999999996</v>
      </c>
      <c r="AB5727">
        <v>23</v>
      </c>
      <c r="AC5727">
        <v>11.4980999999999</v>
      </c>
      <c r="AD5727">
        <v>-1.11487519987689</v>
      </c>
      <c r="AE5727">
        <v>-0.317170000000004</v>
      </c>
      <c r="AF5727">
        <v>-3.9164435948665499</v>
      </c>
      <c r="AG5727">
        <v>-1.11487519987689</v>
      </c>
      <c r="AH5727">
        <v>10.701265026513701</v>
      </c>
      <c r="AI5727">
        <v>95.587770997563297</v>
      </c>
      <c r="AJ5727">
        <v>110.10158983212099</v>
      </c>
      <c r="AK5727">
        <v>11.4498275231881</v>
      </c>
      <c r="AL5727">
        <v>90.077062160741093</v>
      </c>
      <c r="AM5727">
        <v>105.29070952102199</v>
      </c>
      <c r="AN5727">
        <v>0.99999997909108496</v>
      </c>
    </row>
    <row r="5728" spans="1:40" x14ac:dyDescent="0.25">
      <c r="A5728" t="str">
        <f>"20190312151648696"</f>
        <v>20190312151648696</v>
      </c>
      <c r="B5728" t="str">
        <f>"1552375008693492"</f>
        <v>1552375008693492</v>
      </c>
      <c r="C5728" t="s">
        <v>40</v>
      </c>
      <c r="D5728">
        <v>4.8377480000000004</v>
      </c>
      <c r="E5728">
        <v>0.47838370000000002</v>
      </c>
      <c r="F5728" t="s">
        <v>43</v>
      </c>
      <c r="G5728">
        <v>-271.49119999999999</v>
      </c>
      <c r="H5728" s="1">
        <v>-1.5226620000000001E-7</v>
      </c>
      <c r="I5728">
        <v>-61.994759999999999</v>
      </c>
      <c r="J5728">
        <v>-282.99599999999998</v>
      </c>
      <c r="K5728">
        <v>1.1148450000000001</v>
      </c>
      <c r="L5728">
        <v>-61.719880000000003</v>
      </c>
      <c r="M5728">
        <v>0.93068640000000002</v>
      </c>
      <c r="N5728">
        <v>0</v>
      </c>
      <c r="O5728">
        <v>-0.3656314</v>
      </c>
      <c r="P5728">
        <v>0.9940833</v>
      </c>
      <c r="Q5728">
        <v>-9.3600019999999992E-3</v>
      </c>
      <c r="R5728">
        <v>-0.1082163</v>
      </c>
      <c r="S5728">
        <v>3.0071720000000002</v>
      </c>
      <c r="T5728">
        <v>-0.28888019999999998</v>
      </c>
      <c r="U5728">
        <v>-8.0413819999999997E-2</v>
      </c>
      <c r="V5728">
        <v>-0.26277430000000002</v>
      </c>
      <c r="W5728">
        <v>-1.433176E-3</v>
      </c>
      <c r="X5728">
        <v>0.9648563</v>
      </c>
      <c r="Y5728">
        <v>-0.33747949999999999</v>
      </c>
      <c r="Z5728">
        <v>5.05368E-2</v>
      </c>
      <c r="AA5728">
        <v>0.93997529999999996</v>
      </c>
      <c r="AB5728">
        <v>23</v>
      </c>
      <c r="AC5728">
        <v>11.5047999999999</v>
      </c>
      <c r="AD5728">
        <v>-1.1148451522662</v>
      </c>
      <c r="AE5728">
        <v>-0.27487999999999602</v>
      </c>
      <c r="AF5728">
        <v>-3.9142246701008898</v>
      </c>
      <c r="AG5728">
        <v>-1.1148451522662</v>
      </c>
      <c r="AH5728">
        <v>10.708110358816599</v>
      </c>
      <c r="AI5728">
        <v>95.584861739706199</v>
      </c>
      <c r="AJ5728">
        <v>110.079294844638</v>
      </c>
      <c r="AK5728">
        <v>11.455464282959101</v>
      </c>
      <c r="AL5728">
        <v>90.082114961484507</v>
      </c>
      <c r="AM5728">
        <v>105.23475869434699</v>
      </c>
      <c r="AN5728">
        <v>1.00000003319181</v>
      </c>
    </row>
    <row r="5729" spans="1:40" x14ac:dyDescent="0.25">
      <c r="A5729" t="str">
        <f>"20190312151648706"</f>
        <v>20190312151648706</v>
      </c>
      <c r="B5729" t="str">
        <f>"1552375008693492"</f>
        <v>1552375008693492</v>
      </c>
      <c r="C5729" t="s">
        <v>40</v>
      </c>
      <c r="D5729">
        <v>4.8377480000000004</v>
      </c>
      <c r="E5729">
        <v>0.47838370000000002</v>
      </c>
      <c r="F5729" t="s">
        <v>43</v>
      </c>
      <c r="G5729">
        <v>-271.72460000000001</v>
      </c>
      <c r="H5729" s="1">
        <v>-3.0938679999999998E-7</v>
      </c>
      <c r="I5729">
        <v>-62.25103</v>
      </c>
      <c r="J5729">
        <v>-282.8974</v>
      </c>
      <c r="K5729">
        <v>1.114811</v>
      </c>
      <c r="L5729">
        <v>-61.75394</v>
      </c>
      <c r="M5729">
        <v>0.93212209999999995</v>
      </c>
      <c r="N5729">
        <v>0</v>
      </c>
      <c r="O5729">
        <v>-0.36195559999999899</v>
      </c>
      <c r="P5729">
        <v>0.99440249999999997</v>
      </c>
      <c r="Q5729">
        <v>-9.5087250000000009E-3</v>
      </c>
      <c r="R5729">
        <v>-0.1052295</v>
      </c>
      <c r="S5729">
        <v>2.999695</v>
      </c>
      <c r="T5729">
        <v>-0.2966994</v>
      </c>
      <c r="U5729">
        <v>-0.14135739999999999</v>
      </c>
      <c r="V5729">
        <v>-0.26186219999999999</v>
      </c>
      <c r="W5729">
        <v>-1.55523799999999E-3</v>
      </c>
      <c r="X5729">
        <v>0.96510399999999996</v>
      </c>
      <c r="Y5729">
        <v>-0.31448179999999998</v>
      </c>
      <c r="Z5729">
        <v>5.0499570000000001E-2</v>
      </c>
      <c r="AA5729">
        <v>0.94791930000000002</v>
      </c>
      <c r="AB5729">
        <v>23</v>
      </c>
      <c r="AC5729">
        <v>11.172799999999899</v>
      </c>
      <c r="AD5729">
        <v>-1.1148113093868</v>
      </c>
      <c r="AE5729">
        <v>-0.49709000000000703</v>
      </c>
      <c r="AF5729">
        <v>-3.5457224527143598</v>
      </c>
      <c r="AG5729">
        <v>-1.1148113093868</v>
      </c>
      <c r="AH5729">
        <v>10.490822824135799</v>
      </c>
      <c r="AI5729">
        <v>95.7486486458603</v>
      </c>
      <c r="AJ5729">
        <v>108.674392241286</v>
      </c>
      <c r="AK5729">
        <v>11.129794045472099</v>
      </c>
      <c r="AL5729">
        <v>90.089108611181601</v>
      </c>
      <c r="AM5729">
        <v>105.180606340827</v>
      </c>
      <c r="AN5729">
        <v>0.99999998068503804</v>
      </c>
    </row>
    <row r="5730" spans="1:40" x14ac:dyDescent="0.25">
      <c r="A5730" t="str">
        <f>"20190312151648716"</f>
        <v>20190312151648716</v>
      </c>
      <c r="B5730" t="str">
        <f>"1552375008713988"</f>
        <v>1552375008713988</v>
      </c>
      <c r="C5730" t="s">
        <v>40</v>
      </c>
      <c r="D5730">
        <v>4.8019509999999999</v>
      </c>
      <c r="E5730">
        <v>0.47822629999999999</v>
      </c>
      <c r="F5730" t="s">
        <v>43</v>
      </c>
      <c r="G5730">
        <v>-271.64260000000002</v>
      </c>
      <c r="H5730" s="1">
        <v>-2.7413840000000001E-7</v>
      </c>
      <c r="I5730">
        <v>-62.250709999999998</v>
      </c>
      <c r="J5730">
        <v>-282.80040000000002</v>
      </c>
      <c r="K5730">
        <v>1.1147819999999999</v>
      </c>
      <c r="L5730">
        <v>-61.787199999999999</v>
      </c>
      <c r="M5730">
        <v>0.93351340000000005</v>
      </c>
      <c r="N5730">
        <v>0</v>
      </c>
      <c r="O5730">
        <v>-0.35835250000000002</v>
      </c>
      <c r="P5730">
        <v>0.99471989999999999</v>
      </c>
      <c r="Q5730">
        <v>-9.5678050000000004E-3</v>
      </c>
      <c r="R5730">
        <v>-0.10218190000000001</v>
      </c>
      <c r="S5730">
        <v>3</v>
      </c>
      <c r="T5730">
        <v>-0.29715819999999998</v>
      </c>
      <c r="U5730">
        <v>-0.1324158</v>
      </c>
      <c r="V5730">
        <v>-0.2610903</v>
      </c>
      <c r="W5730">
        <v>-1.590094E-3</v>
      </c>
      <c r="X5730">
        <v>0.96531310000000004</v>
      </c>
      <c r="Y5730">
        <v>-0.3136525</v>
      </c>
      <c r="Z5730">
        <v>5.0204360000000003E-2</v>
      </c>
      <c r="AA5730">
        <v>0.94820970000000004</v>
      </c>
      <c r="AB5730">
        <v>23</v>
      </c>
      <c r="AC5730">
        <v>11.1578</v>
      </c>
      <c r="AD5730">
        <v>-1.1147822741383999</v>
      </c>
      <c r="AE5730">
        <v>-0.46350999999999898</v>
      </c>
      <c r="AF5730">
        <v>-3.5307915287942002</v>
      </c>
      <c r="AG5730">
        <v>-1.1147822741383999</v>
      </c>
      <c r="AH5730">
        <v>10.4783604820721</v>
      </c>
      <c r="AI5730">
        <v>95.757062963453194</v>
      </c>
      <c r="AJ5730">
        <v>108.621773954809</v>
      </c>
      <c r="AK5730">
        <v>11.113292344341</v>
      </c>
      <c r="AL5730">
        <v>90.091105711152693</v>
      </c>
      <c r="AM5730">
        <v>105.134785690087</v>
      </c>
      <c r="AN5730">
        <v>1.00000002709231</v>
      </c>
    </row>
    <row r="5731" spans="1:40" x14ac:dyDescent="0.25">
      <c r="A5731" t="str">
        <f>"20190312151648728"</f>
        <v>20190312151648728</v>
      </c>
      <c r="B5731" t="str">
        <f>"1552375008723747"</f>
        <v>1552375008723747</v>
      </c>
      <c r="C5731" t="s">
        <v>40</v>
      </c>
      <c r="D5731">
        <v>4.7705479999999998</v>
      </c>
      <c r="E5731">
        <v>0.4781436</v>
      </c>
      <c r="F5731" t="s">
        <v>43</v>
      </c>
      <c r="G5731">
        <v>-271.34269999999998</v>
      </c>
      <c r="H5731" s="1">
        <v>-1.4610509999999999E-7</v>
      </c>
      <c r="I5731">
        <v>-62.2536699999999</v>
      </c>
      <c r="J5731">
        <v>-282.68650000000002</v>
      </c>
      <c r="K5731">
        <v>1.114751</v>
      </c>
      <c r="L5731">
        <v>-61.825650000000003</v>
      </c>
      <c r="M5731">
        <v>0.93511310000000003</v>
      </c>
      <c r="N5731">
        <v>0</v>
      </c>
      <c r="O5731">
        <v>-0.35415740000000001</v>
      </c>
      <c r="P5731">
        <v>0.99504789999999999</v>
      </c>
      <c r="Q5731">
        <v>-9.545464E-3</v>
      </c>
      <c r="R5731">
        <v>-9.8938899999999996E-2</v>
      </c>
      <c r="S5731">
        <v>3.0005799999999998</v>
      </c>
      <c r="T5731">
        <v>-0.29194310000000001</v>
      </c>
      <c r="U5731">
        <v>-0.1221619</v>
      </c>
      <c r="V5731">
        <v>-0.25990350000000001</v>
      </c>
      <c r="W5731">
        <v>-1.53506E-3</v>
      </c>
      <c r="X5731">
        <v>0.96563339999999998</v>
      </c>
      <c r="Y5731">
        <v>-0.31276939999999998</v>
      </c>
      <c r="Z5731">
        <v>4.8900119999999998E-2</v>
      </c>
      <c r="AA5731">
        <v>0.94856949999999995</v>
      </c>
      <c r="AB5731">
        <v>23</v>
      </c>
      <c r="AC5731">
        <v>11.3438</v>
      </c>
      <c r="AD5731">
        <v>-1.1147511461051001</v>
      </c>
      <c r="AE5731">
        <v>-0.42801999999998902</v>
      </c>
      <c r="AF5731">
        <v>-3.5829386794207498</v>
      </c>
      <c r="AG5731">
        <v>-1.1147511461051001</v>
      </c>
      <c r="AH5731">
        <v>10.657284032430599</v>
      </c>
      <c r="AI5731">
        <v>95.662183895084695</v>
      </c>
      <c r="AJ5731">
        <v>108.58245035293299</v>
      </c>
      <c r="AK5731">
        <v>11.2985761335724</v>
      </c>
      <c r="AL5731">
        <v>90.087952491690203</v>
      </c>
      <c r="AM5731">
        <v>105.064354047614</v>
      </c>
      <c r="AN5731">
        <v>1.0000000244584999</v>
      </c>
    </row>
    <row r="5732" spans="1:40" x14ac:dyDescent="0.25">
      <c r="A5732" t="str">
        <f>"20190312151648739"</f>
        <v>20190312151648739</v>
      </c>
      <c r="B5732" t="str">
        <f>"1552375008733507"</f>
        <v>1552375008733507</v>
      </c>
      <c r="C5732" t="s">
        <v>40</v>
      </c>
      <c r="D5732">
        <v>4.8172709999999999</v>
      </c>
      <c r="E5732">
        <v>0.47840070000000001</v>
      </c>
      <c r="F5732" t="s">
        <v>43</v>
      </c>
      <c r="G5732">
        <v>-271.30110000000002</v>
      </c>
      <c r="H5732" s="1">
        <v>-1.2727649999999999E-7</v>
      </c>
      <c r="I5732">
        <v>-62.249180000000003</v>
      </c>
      <c r="J5732">
        <v>-282.58019999999999</v>
      </c>
      <c r="K5732">
        <v>1.1147210000000001</v>
      </c>
      <c r="L5732">
        <v>-61.861049999999999</v>
      </c>
      <c r="M5732">
        <v>0.93657760000000001</v>
      </c>
      <c r="N5732">
        <v>0</v>
      </c>
      <c r="O5732">
        <v>-0.35026639999999998</v>
      </c>
      <c r="P5732">
        <v>0.9953516</v>
      </c>
      <c r="Q5732">
        <v>-9.4792769999999995E-3</v>
      </c>
      <c r="R5732">
        <v>-9.5842670000000005E-2</v>
      </c>
      <c r="S5732">
        <v>3.001007</v>
      </c>
      <c r="T5732">
        <v>-0.29382979999999997</v>
      </c>
      <c r="U5732">
        <v>-0.1116333</v>
      </c>
      <c r="V5732">
        <v>-0.25889410000000002</v>
      </c>
      <c r="W5732">
        <v>-1.4396070000000001E-3</v>
      </c>
      <c r="X5732">
        <v>0.96590469999999895</v>
      </c>
      <c r="Y5732">
        <v>-0.31213229999999997</v>
      </c>
      <c r="Z5732">
        <v>4.882624E-2</v>
      </c>
      <c r="AA5732">
        <v>0.94878309999999999</v>
      </c>
      <c r="AB5732">
        <v>23</v>
      </c>
      <c r="AC5732">
        <v>11.2790999999999</v>
      </c>
      <c r="AD5732">
        <v>-1.1147211272765001</v>
      </c>
      <c r="AE5732">
        <v>-0.38813000000000297</v>
      </c>
      <c r="AF5732">
        <v>-3.55275902623434</v>
      </c>
      <c r="AG5732">
        <v>-1.1147211272765001</v>
      </c>
      <c r="AH5732">
        <v>10.5970439075231</v>
      </c>
      <c r="AI5732">
        <v>95.695607017891902</v>
      </c>
      <c r="AJ5732">
        <v>108.53421346782299</v>
      </c>
      <c r="AK5732">
        <v>11.2321876528154</v>
      </c>
      <c r="AL5732">
        <v>90.082483428924306</v>
      </c>
      <c r="AM5732">
        <v>105.004467089865</v>
      </c>
      <c r="AN5732">
        <v>1.0000000584826001</v>
      </c>
    </row>
    <row r="5733" spans="1:40" x14ac:dyDescent="0.25">
      <c r="A5733" t="str">
        <f>"20190312151648750"</f>
        <v>20190312151648750</v>
      </c>
      <c r="B5733" t="str">
        <f>"1552375008743267"</f>
        <v>1552375008743267</v>
      </c>
      <c r="C5733" t="s">
        <v>40</v>
      </c>
      <c r="D5733">
        <v>4.7910599999999999</v>
      </c>
      <c r="E5733">
        <v>0.47843390000000002</v>
      </c>
      <c r="F5733" t="s">
        <v>43</v>
      </c>
      <c r="G5733">
        <v>-271.20859999999999</v>
      </c>
      <c r="H5733" s="1">
        <v>-8.9265139999999898E-8</v>
      </c>
      <c r="I5733">
        <v>-62.256630000000001</v>
      </c>
      <c r="J5733">
        <v>-282.47340000000003</v>
      </c>
      <c r="K5733">
        <v>1.114689</v>
      </c>
      <c r="L5733">
        <v>-61.896270000000001</v>
      </c>
      <c r="M5733">
        <v>0.93802300000000005</v>
      </c>
      <c r="N5733">
        <v>0</v>
      </c>
      <c r="O5733">
        <v>-0.34637679999999998</v>
      </c>
      <c r="P5733">
        <v>0.99565919999999997</v>
      </c>
      <c r="Q5733">
        <v>-9.2095570000000002E-3</v>
      </c>
      <c r="R5733">
        <v>-9.2618039999999999E-2</v>
      </c>
      <c r="S5733">
        <v>3.0011290000000002</v>
      </c>
      <c r="T5733">
        <v>-0.29419240000000002</v>
      </c>
      <c r="U5733">
        <v>-0.1044006</v>
      </c>
      <c r="V5733">
        <v>-0.258019</v>
      </c>
      <c r="W5733">
        <v>-1.1423869999999999E-3</v>
      </c>
      <c r="X5733">
        <v>0.96613919999999998</v>
      </c>
      <c r="Y5733">
        <v>-0.31049510000000002</v>
      </c>
      <c r="Z5733">
        <v>4.8450050000000001E-2</v>
      </c>
      <c r="AA5733">
        <v>0.94933940000000006</v>
      </c>
      <c r="AB5733">
        <v>23</v>
      </c>
      <c r="AC5733">
        <v>11.264799999999999</v>
      </c>
      <c r="AD5733">
        <v>-1.11468908926513</v>
      </c>
      <c r="AE5733">
        <v>-0.36036000000000701</v>
      </c>
      <c r="AF5733">
        <v>-3.5295564896624301</v>
      </c>
      <c r="AG5733">
        <v>-1.11468908926513</v>
      </c>
      <c r="AH5733">
        <v>10.588613620417799</v>
      </c>
      <c r="AI5733">
        <v>95.703226489819201</v>
      </c>
      <c r="AJ5733">
        <v>108.43503948310899</v>
      </c>
      <c r="AK5733">
        <v>11.216908628581299</v>
      </c>
      <c r="AL5733">
        <v>90.065453965839495</v>
      </c>
      <c r="AM5733">
        <v>104.952558520712</v>
      </c>
      <c r="AN5733">
        <v>1.0000000315928399</v>
      </c>
    </row>
    <row r="5734" spans="1:40" x14ac:dyDescent="0.25">
      <c r="A5734" t="str">
        <f>"20190312151648761"</f>
        <v>20190312151648761</v>
      </c>
      <c r="B5734" t="str">
        <f>"1552375008754003"</f>
        <v>1552375008754003</v>
      </c>
      <c r="C5734" t="s">
        <v>40</v>
      </c>
      <c r="D5734">
        <v>4.8202049999999996</v>
      </c>
      <c r="E5734">
        <v>0.47860180000000002</v>
      </c>
      <c r="F5734" t="s">
        <v>43</v>
      </c>
      <c r="G5734">
        <v>-271.12869999999998</v>
      </c>
      <c r="H5734" s="1">
        <v>-5.4630159999999998E-8</v>
      </c>
      <c r="I5734">
        <v>-62.255110000000002</v>
      </c>
      <c r="J5734">
        <v>-282.3734</v>
      </c>
      <c r="K5734">
        <v>1.1146579999999999</v>
      </c>
      <c r="L5734">
        <v>-61.928649999999998</v>
      </c>
      <c r="M5734">
        <v>0.9393454</v>
      </c>
      <c r="N5734">
        <v>0</v>
      </c>
      <c r="O5734">
        <v>-0.3427751</v>
      </c>
      <c r="P5734">
        <v>0.99590590000000001</v>
      </c>
      <c r="Q5734">
        <v>-9.2960089999999992E-3</v>
      </c>
      <c r="R5734">
        <v>-8.9918509999999993E-2</v>
      </c>
      <c r="S5734">
        <v>3.0015260000000001</v>
      </c>
      <c r="T5734">
        <v>-0.29491899999999999</v>
      </c>
      <c r="U5734">
        <v>-9.4940189999999994E-2</v>
      </c>
      <c r="V5734">
        <v>-0.25692920000000002</v>
      </c>
      <c r="W5734">
        <v>-1.1986500000000001E-3</v>
      </c>
      <c r="X5734">
        <v>0.96642950000000005</v>
      </c>
      <c r="Y5734">
        <v>-0.30984810000000002</v>
      </c>
      <c r="Z5734">
        <v>4.8203610000000001E-2</v>
      </c>
      <c r="AA5734">
        <v>0.94956339999999995</v>
      </c>
      <c r="AB5734">
        <v>23</v>
      </c>
      <c r="AC5734">
        <v>11.2447</v>
      </c>
      <c r="AD5734">
        <v>-1.1146580546301601</v>
      </c>
      <c r="AE5734">
        <v>-0.32645999999999697</v>
      </c>
      <c r="AF5734">
        <v>-3.5134894324102302</v>
      </c>
      <c r="AG5734">
        <v>-1.1146580546301601</v>
      </c>
      <c r="AH5734">
        <v>10.5714920046783</v>
      </c>
      <c r="AI5734">
        <v>95.713910958075004</v>
      </c>
      <c r="AJ5734">
        <v>108.384490982977</v>
      </c>
      <c r="AK5734">
        <v>11.195691750641799</v>
      </c>
      <c r="AL5734">
        <v>90.068677601561504</v>
      </c>
      <c r="AM5734">
        <v>104.88794016014999</v>
      </c>
      <c r="AN5734">
        <v>1.00000001452235</v>
      </c>
    </row>
    <row r="5735" spans="1:40" x14ac:dyDescent="0.25">
      <c r="A5735" t="str">
        <f>"20190312151648772"</f>
        <v>20190312151648772</v>
      </c>
      <c r="B5735" t="str">
        <f>"1552375008763763"</f>
        <v>1552375008763763</v>
      </c>
      <c r="C5735" t="s">
        <v>40</v>
      </c>
      <c r="D5735">
        <v>4.9963889999999997</v>
      </c>
      <c r="E5735">
        <v>0.47889409999999999</v>
      </c>
      <c r="F5735" t="s">
        <v>43</v>
      </c>
      <c r="G5735">
        <v>-271.1662</v>
      </c>
      <c r="H5735" s="1">
        <v>-7.1199279999999998E-8</v>
      </c>
      <c r="I5735">
        <v>-62.257269999999998</v>
      </c>
      <c r="J5735">
        <v>-282.26639999999998</v>
      </c>
      <c r="K5735">
        <v>1.1146309999999999</v>
      </c>
      <c r="L5735">
        <v>-61.96313</v>
      </c>
      <c r="M5735">
        <v>0.94074170000000001</v>
      </c>
      <c r="N5735">
        <v>0</v>
      </c>
      <c r="O5735">
        <v>-0.33892420000000001</v>
      </c>
      <c r="P5735">
        <v>0.99618640000000003</v>
      </c>
      <c r="Q5735">
        <v>-9.1576299999999999E-3</v>
      </c>
      <c r="R5735">
        <v>-8.6768819999999997E-2</v>
      </c>
      <c r="S5735">
        <v>3.0015869999999998</v>
      </c>
      <c r="T5735">
        <v>-0.29853459999999898</v>
      </c>
      <c r="U5735">
        <v>-8.8012699999999999E-2</v>
      </c>
      <c r="V5735">
        <v>-0.2560288</v>
      </c>
      <c r="W5735">
        <v>-1.0318149999999999E-3</v>
      </c>
      <c r="X5735">
        <v>0.96666859999999999</v>
      </c>
      <c r="Y5735">
        <v>-0.30809629999999999</v>
      </c>
      <c r="Z5735">
        <v>4.834625E-2</v>
      </c>
      <c r="AA5735">
        <v>0.95012589999999997</v>
      </c>
      <c r="AB5735">
        <v>23</v>
      </c>
      <c r="AC5735">
        <v>11.1001999999999</v>
      </c>
      <c r="AD5735">
        <v>-1.11463107119928</v>
      </c>
      <c r="AE5735">
        <v>-0.29413999999999102</v>
      </c>
      <c r="AF5735">
        <v>-3.4508810066703801</v>
      </c>
      <c r="AG5735">
        <v>-1.11463107119928</v>
      </c>
      <c r="AH5735">
        <v>10.437654503287201</v>
      </c>
      <c r="AI5735">
        <v>95.789526529866393</v>
      </c>
      <c r="AJ5735">
        <v>108.294838039418</v>
      </c>
      <c r="AK5735">
        <v>11.049688397283999</v>
      </c>
      <c r="AL5735">
        <v>90.059118655426403</v>
      </c>
      <c r="AM5735">
        <v>104.834563057694</v>
      </c>
      <c r="AN5735">
        <v>0.99999999664879702</v>
      </c>
    </row>
    <row r="5736" spans="1:40" x14ac:dyDescent="0.25">
      <c r="A5736" t="str">
        <f>"20190312151648784"</f>
        <v>20190312151648784</v>
      </c>
      <c r="B5736" t="str">
        <f>"1552375008773524"</f>
        <v>1552375008773524</v>
      </c>
      <c r="C5736" t="s">
        <v>40</v>
      </c>
      <c r="D5736">
        <v>4.8227460000000004</v>
      </c>
      <c r="E5736">
        <v>0.47928080000000001</v>
      </c>
      <c r="F5736" t="s">
        <v>43</v>
      </c>
      <c r="G5736">
        <v>-270.93349999999998</v>
      </c>
      <c r="H5736" s="1">
        <v>2.5971989999999999E-8</v>
      </c>
      <c r="I5736">
        <v>-62.269269999999999</v>
      </c>
      <c r="J5736">
        <v>-282.15219999999999</v>
      </c>
      <c r="K5736">
        <v>1.114592</v>
      </c>
      <c r="L5736">
        <v>-61.99915</v>
      </c>
      <c r="M5736">
        <v>0.94219430000000004</v>
      </c>
      <c r="N5736">
        <v>0</v>
      </c>
      <c r="O5736">
        <v>-0.33486490000000002</v>
      </c>
      <c r="P5736">
        <v>0.99644089999999996</v>
      </c>
      <c r="Q5736">
        <v>-9.3152519999999996E-3</v>
      </c>
      <c r="R5736">
        <v>-8.3777679999999993E-2</v>
      </c>
      <c r="S5736">
        <v>3.001709</v>
      </c>
      <c r="T5736">
        <v>-0.29522730000000003</v>
      </c>
      <c r="U5736">
        <v>-8.1085210000000005E-2</v>
      </c>
      <c r="V5736">
        <v>-0.2547604</v>
      </c>
      <c r="W5736">
        <v>-1.153767E-3</v>
      </c>
      <c r="X5736">
        <v>0.96700350000000002</v>
      </c>
      <c r="Y5736">
        <v>-0.30628519999999998</v>
      </c>
      <c r="Z5736">
        <v>4.7348670000000002E-2</v>
      </c>
      <c r="AA5736">
        <v>0.95076159999999998</v>
      </c>
      <c r="AB5736">
        <v>23</v>
      </c>
      <c r="AC5736">
        <v>11.2187</v>
      </c>
      <c r="AD5736">
        <v>-1.1145919740280099</v>
      </c>
      <c r="AE5736">
        <v>-0.27011999999999797</v>
      </c>
      <c r="AF5736">
        <v>-3.4682661697139401</v>
      </c>
      <c r="AG5736">
        <v>-1.1145919740280099</v>
      </c>
      <c r="AH5736">
        <v>10.5572241706566</v>
      </c>
      <c r="AI5736">
        <v>95.727740791438606</v>
      </c>
      <c r="AJ5736">
        <v>108.186419865597</v>
      </c>
      <c r="AK5736">
        <v>11.168087019809899</v>
      </c>
      <c r="AL5736">
        <v>90.066105995577203</v>
      </c>
      <c r="AM5736">
        <v>104.759398530816</v>
      </c>
      <c r="AN5736">
        <v>0.99999998079934904</v>
      </c>
    </row>
    <row r="5737" spans="1:40" x14ac:dyDescent="0.25">
      <c r="A5737" t="str">
        <f>"20190312151648795"</f>
        <v>20190312151648795</v>
      </c>
      <c r="B5737" t="str">
        <f>"1552375008783283"</f>
        <v>1552375008783283</v>
      </c>
      <c r="C5737" t="s">
        <v>40</v>
      </c>
      <c r="D5737">
        <v>5.0291399999999999</v>
      </c>
      <c r="E5737">
        <v>0.47928080000000001</v>
      </c>
      <c r="F5737" t="s">
        <v>43</v>
      </c>
      <c r="G5737">
        <v>-270.71289999999999</v>
      </c>
      <c r="H5737" s="1">
        <v>1.1684759999999999E-7</v>
      </c>
      <c r="I5737">
        <v>-62.286189999999998</v>
      </c>
      <c r="J5737">
        <v>-282.0446</v>
      </c>
      <c r="K5737">
        <v>1.114555</v>
      </c>
      <c r="L5737">
        <v>-62.032809999999998</v>
      </c>
      <c r="M5737">
        <v>0.94353929999999997</v>
      </c>
      <c r="N5737">
        <v>0</v>
      </c>
      <c r="O5737">
        <v>-0.33105679999999998</v>
      </c>
      <c r="P5737">
        <v>0.99668950000000001</v>
      </c>
      <c r="Q5737">
        <v>-9.2111160000000001E-3</v>
      </c>
      <c r="R5737">
        <v>-8.077811E-2</v>
      </c>
      <c r="S5737">
        <v>3.001617</v>
      </c>
      <c r="T5737">
        <v>-0.29246339999999998</v>
      </c>
      <c r="U5737">
        <v>-7.5317380000000003E-2</v>
      </c>
      <c r="V5737">
        <v>-0.25376670000000001</v>
      </c>
      <c r="W5737">
        <v>-1.018924E-3</v>
      </c>
      <c r="X5737">
        <v>0.96726500000000004</v>
      </c>
      <c r="Y5737">
        <v>-0.3043498</v>
      </c>
      <c r="Z5737">
        <v>4.6466279999999999E-2</v>
      </c>
      <c r="AA5737">
        <v>0.95142629999999995</v>
      </c>
      <c r="AB5737">
        <v>23</v>
      </c>
      <c r="AC5737">
        <v>11.3317</v>
      </c>
      <c r="AD5737">
        <v>-1.1145548831523999</v>
      </c>
      <c r="AE5737">
        <v>-0.25338000000000699</v>
      </c>
      <c r="AF5737">
        <v>-3.4789602722430599</v>
      </c>
      <c r="AG5737">
        <v>-1.1145548831523999</v>
      </c>
      <c r="AH5737">
        <v>10.6733112085388</v>
      </c>
      <c r="AI5737">
        <v>95.669943346252495</v>
      </c>
      <c r="AJ5737">
        <v>108.053352051391</v>
      </c>
      <c r="AK5737">
        <v>11.2811776565093</v>
      </c>
      <c r="AL5737">
        <v>90.058380050379199</v>
      </c>
      <c r="AM5737">
        <v>104.700525251814</v>
      </c>
      <c r="AN5737">
        <v>1.00000007823</v>
      </c>
    </row>
    <row r="5738" spans="1:40" x14ac:dyDescent="0.25">
      <c r="A5738" t="str">
        <f>"20190312151648805"</f>
        <v>20190312151648805</v>
      </c>
      <c r="B5738" t="str">
        <f>"1552375008794019"</f>
        <v>1552375008794019</v>
      </c>
      <c r="C5738" t="s">
        <v>40</v>
      </c>
      <c r="D5738">
        <v>4.8406840000000004</v>
      </c>
      <c r="E5738">
        <v>0.47956959999999998</v>
      </c>
      <c r="F5738" t="s">
        <v>43</v>
      </c>
      <c r="G5738">
        <v>-270.59390000000002</v>
      </c>
      <c r="H5738" s="1">
        <v>1.6798319999999999E-7</v>
      </c>
      <c r="I5738">
        <v>-62.2857699999999</v>
      </c>
      <c r="J5738">
        <v>-281.94029999999998</v>
      </c>
      <c r="K5738">
        <v>1.1145210000000001</v>
      </c>
      <c r="L5738">
        <v>-62.064880000000002</v>
      </c>
      <c r="M5738">
        <v>0.94481400000000004</v>
      </c>
      <c r="N5738">
        <v>0</v>
      </c>
      <c r="O5738">
        <v>-0.3274012</v>
      </c>
      <c r="P5738">
        <v>0.99689760000000005</v>
      </c>
      <c r="Q5738">
        <v>-9.4731079999999992E-3</v>
      </c>
      <c r="R5738">
        <v>-7.8139529999999999E-2</v>
      </c>
      <c r="S5738">
        <v>3.0018919999999998</v>
      </c>
      <c r="T5738">
        <v>-0.29218840000000001</v>
      </c>
      <c r="U5738">
        <v>-6.6314699999999893E-2</v>
      </c>
      <c r="V5738">
        <v>-0.25257879999999999</v>
      </c>
      <c r="W5738">
        <v>-1.2477219999999999E-3</v>
      </c>
      <c r="X5738">
        <v>0.96757559999999998</v>
      </c>
      <c r="Y5738">
        <v>-0.30354409999999998</v>
      </c>
      <c r="Z5738">
        <v>4.6046629999999998E-2</v>
      </c>
      <c r="AA5738">
        <v>0.95170410000000005</v>
      </c>
      <c r="AB5738">
        <v>23</v>
      </c>
      <c r="AC5738">
        <v>11.3463999999999</v>
      </c>
      <c r="AD5738">
        <v>-1.1145208320168001</v>
      </c>
      <c r="AE5738">
        <v>-0.22088999999999001</v>
      </c>
      <c r="AF5738">
        <v>-3.4728663407256399</v>
      </c>
      <c r="AG5738">
        <v>-1.1145208320168001</v>
      </c>
      <c r="AH5738">
        <v>10.690180350691801</v>
      </c>
      <c r="AI5738">
        <v>95.662677330867496</v>
      </c>
      <c r="AJ5738">
        <v>107.99716971699</v>
      </c>
      <c r="AK5738">
        <v>11.295260653737101</v>
      </c>
      <c r="AL5738">
        <v>90.071489217838305</v>
      </c>
      <c r="AM5738">
        <v>104.63017544570199</v>
      </c>
      <c r="AN5738">
        <v>1.0000000743674899</v>
      </c>
    </row>
    <row r="5739" spans="1:40" x14ac:dyDescent="0.25">
      <c r="A5739" t="str">
        <f>"20190312151648818"</f>
        <v>20190312151648818</v>
      </c>
      <c r="B5739" t="str">
        <f>"1552375008813540"</f>
        <v>1552375008813540</v>
      </c>
      <c r="C5739" t="s">
        <v>40</v>
      </c>
      <c r="D5739">
        <v>5.0935600000000001</v>
      </c>
      <c r="E5739">
        <v>0.48010609999999998</v>
      </c>
      <c r="F5739" t="s">
        <v>43</v>
      </c>
      <c r="G5739">
        <v>-270.59620000000001</v>
      </c>
      <c r="H5739" s="1">
        <v>1.6510960000000001E-7</v>
      </c>
      <c r="I5739">
        <v>-62.294159999999998</v>
      </c>
      <c r="J5739">
        <v>-281.82569999999998</v>
      </c>
      <c r="K5739">
        <v>1.1144810000000001</v>
      </c>
      <c r="L5739">
        <v>-62.099730000000001</v>
      </c>
      <c r="M5739">
        <v>0.94618970000000002</v>
      </c>
      <c r="N5739">
        <v>0</v>
      </c>
      <c r="O5739">
        <v>-0.32340429999999998</v>
      </c>
      <c r="P5739">
        <v>0.99712449999999997</v>
      </c>
      <c r="Q5739">
        <v>-9.5560660000000002E-3</v>
      </c>
      <c r="R5739">
        <v>-7.517712E-2</v>
      </c>
      <c r="S5739">
        <v>3.0018009999999999</v>
      </c>
      <c r="T5739">
        <v>-0.29491699999999998</v>
      </c>
      <c r="U5739">
        <v>-6.0668949999999999E-2</v>
      </c>
      <c r="V5739">
        <v>-0.25136140000000001</v>
      </c>
      <c r="W5739">
        <v>-1.296279E-3</v>
      </c>
      <c r="X5739">
        <v>0.96789239999999999</v>
      </c>
      <c r="Y5739">
        <v>-0.30128090000000002</v>
      </c>
      <c r="Z5739">
        <v>4.5994479999999997E-2</v>
      </c>
      <c r="AA5739">
        <v>0.95242550000000004</v>
      </c>
      <c r="AB5739">
        <v>23</v>
      </c>
      <c r="AC5739">
        <v>11.2294999999999</v>
      </c>
      <c r="AD5739">
        <v>-1.1144808348903901</v>
      </c>
      <c r="AE5739">
        <v>-0.194429999999989</v>
      </c>
      <c r="AF5739">
        <v>-3.4143131797330399</v>
      </c>
      <c r="AG5739">
        <v>-1.1144808348903901</v>
      </c>
      <c r="AH5739">
        <v>10.584612366921</v>
      </c>
      <c r="AI5739">
        <v>95.7223948853525</v>
      </c>
      <c r="AJ5739">
        <v>107.878314625551</v>
      </c>
      <c r="AK5739">
        <v>11.177370933212</v>
      </c>
      <c r="AL5739">
        <v>90.0742713391069</v>
      </c>
      <c r="AM5739">
        <v>104.55810045955999</v>
      </c>
      <c r="AN5739">
        <v>0.99999996586348205</v>
      </c>
    </row>
    <row r="5740" spans="1:40" x14ac:dyDescent="0.25">
      <c r="A5740" t="str">
        <f>"20190312151648830"</f>
        <v>20190312151648830</v>
      </c>
      <c r="B5740" t="str">
        <f>"1552375008823300"</f>
        <v>1552375008823300</v>
      </c>
      <c r="C5740" t="s">
        <v>40</v>
      </c>
      <c r="D5740">
        <v>4.8647999999999998</v>
      </c>
      <c r="E5740">
        <v>0.48043609999999998</v>
      </c>
      <c r="F5740" t="s">
        <v>43</v>
      </c>
      <c r="G5740">
        <v>-270.48829999999998</v>
      </c>
      <c r="H5740" s="1">
        <v>2.075118E-7</v>
      </c>
      <c r="I5740">
        <v>-62.311599999999999</v>
      </c>
      <c r="J5740">
        <v>-281.7122</v>
      </c>
      <c r="K5740">
        <v>1.1144449999999999</v>
      </c>
      <c r="L5740">
        <v>-62.133819999999901</v>
      </c>
      <c r="M5740">
        <v>0.94752479999999994</v>
      </c>
      <c r="N5740">
        <v>0</v>
      </c>
      <c r="O5740">
        <v>-0.31947199999999998</v>
      </c>
      <c r="P5740">
        <v>0.99735209999999996</v>
      </c>
      <c r="Q5740">
        <v>-9.631021E-3</v>
      </c>
      <c r="R5740">
        <v>-7.2085899999999994E-2</v>
      </c>
      <c r="S5740">
        <v>3.0015869999999998</v>
      </c>
      <c r="T5740">
        <v>-0.29506080000000001</v>
      </c>
      <c r="U5740">
        <v>-5.6091309999999998E-2</v>
      </c>
      <c r="V5740">
        <v>-0.25034129999999999</v>
      </c>
      <c r="W5740">
        <v>-1.340918E-3</v>
      </c>
      <c r="X5740">
        <v>0.96815669999999998</v>
      </c>
      <c r="Y5740">
        <v>-0.2987998</v>
      </c>
      <c r="Z5740">
        <v>4.5532370000000003E-2</v>
      </c>
      <c r="AA5740">
        <v>0.95322899999999999</v>
      </c>
      <c r="AB5740">
        <v>23</v>
      </c>
      <c r="AC5740">
        <v>11.2239</v>
      </c>
      <c r="AD5740">
        <v>-1.1144447924881999</v>
      </c>
      <c r="AE5740">
        <v>-0.17778000000000499</v>
      </c>
      <c r="AF5740">
        <v>-3.3841448166135599</v>
      </c>
      <c r="AG5740">
        <v>-1.1144447924881999</v>
      </c>
      <c r="AH5740">
        <v>10.5880769930226</v>
      </c>
      <c r="AI5740">
        <v>95.725240572890399</v>
      </c>
      <c r="AJ5740">
        <v>107.724839166251</v>
      </c>
      <c r="AK5740">
        <v>11.1714724967433</v>
      </c>
      <c r="AL5740">
        <v>90.076828966621903</v>
      </c>
      <c r="AM5740">
        <v>104.497723087284</v>
      </c>
      <c r="AN5740">
        <v>0.99999998015083102</v>
      </c>
    </row>
    <row r="5741" spans="1:40" x14ac:dyDescent="0.25">
      <c r="A5741" t="str">
        <f>"20190312151648841"</f>
        <v>20190312151648841</v>
      </c>
      <c r="B5741" t="str">
        <f>"1552375008834035"</f>
        <v>1552375008834035</v>
      </c>
      <c r="C5741" t="s">
        <v>40</v>
      </c>
      <c r="D5741">
        <v>4.8301689999999997</v>
      </c>
      <c r="E5741">
        <v>0.48086659999999998</v>
      </c>
      <c r="F5741" t="s">
        <v>43</v>
      </c>
      <c r="G5741">
        <v>-270.3168</v>
      </c>
      <c r="H5741" s="1">
        <v>2.7872930000000001E-7</v>
      </c>
      <c r="I5741">
        <v>-62.322319999999998</v>
      </c>
      <c r="J5741">
        <v>-281.60219999999998</v>
      </c>
      <c r="K5741">
        <v>1.1144080000000001</v>
      </c>
      <c r="L5741">
        <v>-62.166260000000001</v>
      </c>
      <c r="M5741">
        <v>0.94878929999999995</v>
      </c>
      <c r="N5741">
        <v>0</v>
      </c>
      <c r="O5741">
        <v>-0.31569609999999998</v>
      </c>
      <c r="P5741">
        <v>0.9975617</v>
      </c>
      <c r="Q5741">
        <v>-9.5007049999999999E-3</v>
      </c>
      <c r="R5741">
        <v>-6.9140750000000001E-2</v>
      </c>
      <c r="S5741">
        <v>3.0015559999999999</v>
      </c>
      <c r="T5741">
        <v>-0.29354599999999997</v>
      </c>
      <c r="U5741">
        <v>-4.9652099999999998E-2</v>
      </c>
      <c r="V5741">
        <v>-0.24934629999999999</v>
      </c>
      <c r="W5741">
        <v>-1.182401E-3</v>
      </c>
      <c r="X5741">
        <v>0.96841370000000004</v>
      </c>
      <c r="Y5741">
        <v>-0.2971009</v>
      </c>
      <c r="Z5741">
        <v>4.4868180000000001E-2</v>
      </c>
      <c r="AA5741">
        <v>0.95379130000000001</v>
      </c>
      <c r="AB5741">
        <v>23</v>
      </c>
      <c r="AC5741">
        <v>11.2853999999999</v>
      </c>
      <c r="AD5741">
        <v>-1.1144077212707</v>
      </c>
      <c r="AE5741">
        <v>-0.15605999999999601</v>
      </c>
      <c r="AF5741">
        <v>-3.38194748830812</v>
      </c>
      <c r="AG5741">
        <v>-1.1144077212707</v>
      </c>
      <c r="AH5741">
        <v>10.6535949977879</v>
      </c>
      <c r="AI5741">
        <v>95.693626397770004</v>
      </c>
      <c r="AJ5741">
        <v>107.61186373959799</v>
      </c>
      <c r="AK5741">
        <v>11.2329230283035</v>
      </c>
      <c r="AL5741">
        <v>90.067746600415305</v>
      </c>
      <c r="AM5741">
        <v>104.438842767875</v>
      </c>
      <c r="AN5741">
        <v>1.0000000348717499</v>
      </c>
    </row>
    <row r="5742" spans="1:40" x14ac:dyDescent="0.25">
      <c r="A5742" t="str">
        <f>"20190312151648852"</f>
        <v>20190312151648852</v>
      </c>
      <c r="B5742" t="str">
        <f>"1552375008843796"</f>
        <v>1552375008843796</v>
      </c>
      <c r="C5742" t="s">
        <v>40</v>
      </c>
      <c r="D5742">
        <v>4.8479510000000001</v>
      </c>
      <c r="E5742">
        <v>0.48120770000000002</v>
      </c>
      <c r="F5742" t="s">
        <v>43</v>
      </c>
      <c r="G5742">
        <v>-270.17660000000001</v>
      </c>
      <c r="H5742" s="1">
        <v>3.360188E-7</v>
      </c>
      <c r="I5742">
        <v>-62.335169999999998</v>
      </c>
      <c r="J5742">
        <v>-281.48970000000003</v>
      </c>
      <c r="K5742">
        <v>1.114374</v>
      </c>
      <c r="L5742">
        <v>-62.199219999999997</v>
      </c>
      <c r="M5742">
        <v>0.95006109999999999</v>
      </c>
      <c r="N5742">
        <v>0</v>
      </c>
      <c r="O5742">
        <v>-0.31184840000000003</v>
      </c>
      <c r="P5742">
        <v>0.99776659999999995</v>
      </c>
      <c r="Q5742">
        <v>-9.582999E-3</v>
      </c>
      <c r="R5742">
        <v>-6.6110349999999998E-2</v>
      </c>
      <c r="S5742">
        <v>3.001465</v>
      </c>
      <c r="T5742">
        <v>-0.29275119999999999</v>
      </c>
      <c r="U5742">
        <v>-4.4372559999999998E-2</v>
      </c>
      <c r="V5742">
        <v>-0.24836269999999999</v>
      </c>
      <c r="W5742">
        <v>-1.236811E-3</v>
      </c>
      <c r="X5742">
        <v>0.96866629999999998</v>
      </c>
      <c r="Y5742">
        <v>-0.29495280000000001</v>
      </c>
      <c r="Z5742">
        <v>4.4287970000000003E-2</v>
      </c>
      <c r="AA5742">
        <v>0.95448489999999997</v>
      </c>
      <c r="AB5742">
        <v>23</v>
      </c>
      <c r="AC5742">
        <v>11.3131</v>
      </c>
      <c r="AD5742">
        <v>-1.1143736639812001</v>
      </c>
      <c r="AE5742">
        <v>-0.13595000000000099</v>
      </c>
      <c r="AF5742">
        <v>-3.3663811809881401</v>
      </c>
      <c r="AG5742">
        <v>-1.1143736639812001</v>
      </c>
      <c r="AH5742">
        <v>10.687572926580501</v>
      </c>
      <c r="AI5742">
        <v>95.679469260204002</v>
      </c>
      <c r="AJ5742">
        <v>107.483430981509</v>
      </c>
      <c r="AK5742">
        <v>11.260486933506201</v>
      </c>
      <c r="AL5742">
        <v>90.070864069796599</v>
      </c>
      <c r="AM5742">
        <v>104.380657858926</v>
      </c>
      <c r="AN5742">
        <v>0.99999998060421402</v>
      </c>
    </row>
    <row r="5743" spans="1:40" x14ac:dyDescent="0.25">
      <c r="A5743" t="str">
        <f>"20190312151648863"</f>
        <v>20190312151648863</v>
      </c>
      <c r="B5743" t="str">
        <f>"1552375008853557"</f>
        <v>1552375008853557</v>
      </c>
      <c r="C5743" t="s">
        <v>40</v>
      </c>
      <c r="D5743">
        <v>4.8409800000000001</v>
      </c>
      <c r="E5743">
        <v>0.48153400000000002</v>
      </c>
      <c r="F5743" t="s">
        <v>43</v>
      </c>
      <c r="G5743">
        <v>-270.0446</v>
      </c>
      <c r="H5743" s="1">
        <v>3.9050600000000002E-7</v>
      </c>
      <c r="I5743">
        <v>-62.344679999999997</v>
      </c>
      <c r="J5743">
        <v>-281.39139999999998</v>
      </c>
      <c r="K5743">
        <v>1.114347</v>
      </c>
      <c r="L5743">
        <v>-62.227330000000002</v>
      </c>
      <c r="M5743">
        <v>0.95114600000000005</v>
      </c>
      <c r="N5743">
        <v>0</v>
      </c>
      <c r="O5743">
        <v>-0.30852420000000003</v>
      </c>
      <c r="P5743">
        <v>0.99793010000000004</v>
      </c>
      <c r="Q5743">
        <v>-9.7607219999999995E-3</v>
      </c>
      <c r="R5743">
        <v>-6.3563839999999996E-2</v>
      </c>
      <c r="S5743">
        <v>3.0014340000000002</v>
      </c>
      <c r="T5743">
        <v>-0.29224</v>
      </c>
      <c r="U5743">
        <v>-3.8146970000000002E-2</v>
      </c>
      <c r="V5743">
        <v>-0.2474442</v>
      </c>
      <c r="W5743">
        <v>-1.3909059999999999E-3</v>
      </c>
      <c r="X5743">
        <v>0.96890120000000002</v>
      </c>
      <c r="Y5743">
        <v>-0.29362359999999998</v>
      </c>
      <c r="Z5743">
        <v>4.3840070000000002E-2</v>
      </c>
      <c r="AA5743">
        <v>0.95491530000000002</v>
      </c>
      <c r="AB5743">
        <v>23</v>
      </c>
      <c r="AC5743">
        <v>11.346799999999901</v>
      </c>
      <c r="AD5743">
        <v>-1.114346609494</v>
      </c>
      <c r="AE5743">
        <v>-0.117350000000001</v>
      </c>
      <c r="AF5743">
        <v>-3.3569985236664301</v>
      </c>
      <c r="AG5743">
        <v>-1.114346609494</v>
      </c>
      <c r="AH5743">
        <v>10.725956135648101</v>
      </c>
      <c r="AI5743">
        <v>95.6623585660912</v>
      </c>
      <c r="AJ5743">
        <v>107.379021765564</v>
      </c>
      <c r="AK5743">
        <v>11.2941286728032</v>
      </c>
      <c r="AL5743">
        <v>90.079693065127202</v>
      </c>
      <c r="AM5743">
        <v>104.326337899073</v>
      </c>
      <c r="AN5743">
        <v>1.00000005104728</v>
      </c>
    </row>
    <row r="5744" spans="1:40" x14ac:dyDescent="0.25">
      <c r="A5744" t="str">
        <f>"20190312151648873"</f>
        <v>20190312151648873</v>
      </c>
      <c r="B5744" t="str">
        <f>"1552375008863315"</f>
        <v>1552375008863315</v>
      </c>
      <c r="C5744" t="s">
        <v>40</v>
      </c>
      <c r="D5744">
        <v>4.89452</v>
      </c>
      <c r="E5744">
        <v>0.48153400000000002</v>
      </c>
      <c r="F5744" t="s">
        <v>43</v>
      </c>
      <c r="G5744">
        <v>-270.0598</v>
      </c>
      <c r="H5744" s="1">
        <v>3.8233680000000001E-7</v>
      </c>
      <c r="I5744">
        <v>-62.352229999999999</v>
      </c>
      <c r="J5744">
        <v>-281.29300000000001</v>
      </c>
      <c r="K5744">
        <v>1.114325</v>
      </c>
      <c r="L5744">
        <v>-62.255490000000002</v>
      </c>
      <c r="M5744">
        <v>0.95221940000000005</v>
      </c>
      <c r="N5744">
        <v>0</v>
      </c>
      <c r="O5744">
        <v>-0.30519499999999999</v>
      </c>
      <c r="P5744">
        <v>0.99807179999999995</v>
      </c>
      <c r="Q5744">
        <v>-1.011864E-2</v>
      </c>
      <c r="R5744">
        <v>-6.1240540000000003E-2</v>
      </c>
      <c r="S5744">
        <v>3.0011899999999998</v>
      </c>
      <c r="T5744">
        <v>-0.29513499999999998</v>
      </c>
      <c r="U5744">
        <v>-3.3081050000000001E-2</v>
      </c>
      <c r="V5744">
        <v>-0.2463051</v>
      </c>
      <c r="W5744">
        <v>-1.721981E-3</v>
      </c>
      <c r="X5744">
        <v>0.96919080000000002</v>
      </c>
      <c r="Y5744">
        <v>-0.2918597</v>
      </c>
      <c r="Z5744">
        <v>4.3877939999999997E-2</v>
      </c>
      <c r="AA5744">
        <v>0.95545420000000003</v>
      </c>
      <c r="AB5744">
        <v>23</v>
      </c>
      <c r="AC5744">
        <v>11.2332</v>
      </c>
      <c r="AD5744">
        <v>-1.1143246176632</v>
      </c>
      <c r="AE5744">
        <v>-9.6740000000004003E-2</v>
      </c>
      <c r="AF5744">
        <v>-3.3039130019767402</v>
      </c>
      <c r="AG5744">
        <v>-1.1143246176632</v>
      </c>
      <c r="AH5744">
        <v>10.622195659340001</v>
      </c>
      <c r="AI5744">
        <v>95.720327350880794</v>
      </c>
      <c r="AJ5744">
        <v>107.277711013721</v>
      </c>
      <c r="AK5744">
        <v>11.1798301017261</v>
      </c>
      <c r="AL5744">
        <v>90.098662293728296</v>
      </c>
      <c r="AM5744">
        <v>104.258995974844</v>
      </c>
      <c r="AN5744">
        <v>0.99999998715460703</v>
      </c>
    </row>
    <row r="5745" spans="1:40" x14ac:dyDescent="0.25">
      <c r="A5745" t="str">
        <f>"20190312151648883"</f>
        <v>20190312151648883</v>
      </c>
      <c r="B5745" t="str">
        <f>"1552375008874052"</f>
        <v>1552375008874052</v>
      </c>
      <c r="C5745" t="s">
        <v>40</v>
      </c>
      <c r="D5745">
        <v>4.8853739999999997</v>
      </c>
      <c r="E5745">
        <v>0.48938310000000002</v>
      </c>
      <c r="F5745" t="s">
        <v>43</v>
      </c>
      <c r="G5745">
        <v>-270.00259999999997</v>
      </c>
      <c r="H5745" s="1">
        <v>4.0656449999999997E-7</v>
      </c>
      <c r="I5745">
        <v>-62.353650000000002</v>
      </c>
      <c r="J5745">
        <v>-281.1814</v>
      </c>
      <c r="K5745">
        <v>1.1142970000000001</v>
      </c>
      <c r="L5745">
        <v>-62.2866199999999</v>
      </c>
      <c r="M5745">
        <v>0.95340659999999999</v>
      </c>
      <c r="N5745">
        <v>0</v>
      </c>
      <c r="O5745">
        <v>-0.30146650000000003</v>
      </c>
      <c r="P5745">
        <v>0.99823689999999998</v>
      </c>
      <c r="Q5745">
        <v>-1.0128140000000001E-2</v>
      </c>
      <c r="R5745">
        <v>-5.848896E-2</v>
      </c>
      <c r="S5745">
        <v>3.0011899999999998</v>
      </c>
      <c r="T5745">
        <v>-0.29620610000000003</v>
      </c>
      <c r="U5745">
        <v>-2.6092529999999999E-2</v>
      </c>
      <c r="V5745">
        <v>-0.24518419999999999</v>
      </c>
      <c r="W5745">
        <v>-1.705214E-3</v>
      </c>
      <c r="X5745">
        <v>0.96947499999999998</v>
      </c>
      <c r="Y5745">
        <v>-0.29034749999999998</v>
      </c>
      <c r="Z5745">
        <v>4.3611999999999998E-2</v>
      </c>
      <c r="AA5745">
        <v>0.95592699999999997</v>
      </c>
      <c r="AB5745">
        <v>23</v>
      </c>
      <c r="AC5745">
        <v>11.178800000000001</v>
      </c>
      <c r="AD5745">
        <v>-1.11429659343549</v>
      </c>
      <c r="AE5745">
        <v>-6.7030000000009596E-2</v>
      </c>
      <c r="AF5745">
        <v>-3.2738205895622601</v>
      </c>
      <c r="AG5745">
        <v>-1.11429659343549</v>
      </c>
      <c r="AH5745">
        <v>10.5738059887614</v>
      </c>
      <c r="AI5745">
        <v>95.748486116622701</v>
      </c>
      <c r="AJ5745">
        <v>107.203366722761</v>
      </c>
      <c r="AK5745">
        <v>11.1249688196754</v>
      </c>
      <c r="AL5745">
        <v>90.097701613921501</v>
      </c>
      <c r="AM5745">
        <v>104.192740879518</v>
      </c>
      <c r="AN5745">
        <v>0.99999998765471199</v>
      </c>
    </row>
    <row r="5746" spans="1:40" x14ac:dyDescent="0.25">
      <c r="A5746" t="str">
        <f>"20190312151648895"</f>
        <v>20190312151648895</v>
      </c>
      <c r="B5746" t="str">
        <f>"1552375008883812"</f>
        <v>1552375008883812</v>
      </c>
      <c r="C5746" t="s">
        <v>40</v>
      </c>
      <c r="D5746">
        <v>4.8606199999999999</v>
      </c>
      <c r="E5746">
        <v>0.48862519999999998</v>
      </c>
      <c r="F5746" t="s">
        <v>43</v>
      </c>
      <c r="G5746">
        <v>-272.36250000000001</v>
      </c>
      <c r="H5746" s="1">
        <v>-6.4137829999999996E-7</v>
      </c>
      <c r="I5746">
        <v>-62.513460000000002</v>
      </c>
      <c r="J5746">
        <v>-281.07139999999998</v>
      </c>
      <c r="K5746">
        <v>1.1142719999999999</v>
      </c>
      <c r="L5746">
        <v>-62.31711</v>
      </c>
      <c r="M5746">
        <v>0.95455889999999999</v>
      </c>
      <c r="N5746">
        <v>0</v>
      </c>
      <c r="O5746">
        <v>-0.2977979</v>
      </c>
      <c r="P5746">
        <v>0.99838720000000003</v>
      </c>
      <c r="Q5746">
        <v>-1.026783E-2</v>
      </c>
      <c r="R5746">
        <v>-5.5837049999999999E-2</v>
      </c>
      <c r="S5746">
        <v>2.9969790000000001</v>
      </c>
      <c r="T5746">
        <v>-0.37867859999999998</v>
      </c>
      <c r="U5746">
        <v>-7.7087399999999903E-2</v>
      </c>
      <c r="V5746">
        <v>-0.24402960000000001</v>
      </c>
      <c r="W5746">
        <v>-1.8187030000000001E-3</v>
      </c>
      <c r="X5746">
        <v>0.96976609999999996</v>
      </c>
      <c r="Y5746">
        <v>-0.268735</v>
      </c>
      <c r="Z5746">
        <v>5.3910659999999999E-2</v>
      </c>
      <c r="AA5746">
        <v>0.96170429999999996</v>
      </c>
      <c r="AB5746">
        <v>23</v>
      </c>
      <c r="AC5746">
        <v>8.7088999999999697</v>
      </c>
      <c r="AD5746">
        <v>-1.1142726413783</v>
      </c>
      <c r="AE5746">
        <v>-0.196349999999995</v>
      </c>
      <c r="AF5746">
        <v>-2.3674885933377001</v>
      </c>
      <c r="AG5746">
        <v>-1.1142726413783</v>
      </c>
      <c r="AH5746">
        <v>8.2374101262174406</v>
      </c>
      <c r="AI5746">
        <v>97.407297796879902</v>
      </c>
      <c r="AJ5746">
        <v>106.035016739418</v>
      </c>
      <c r="AK5746">
        <v>8.6430047637623098</v>
      </c>
      <c r="AL5746">
        <v>90.104204061341704</v>
      </c>
      <c r="AM5746">
        <v>104.124516908267</v>
      </c>
      <c r="AN5746">
        <v>1.00000002103298</v>
      </c>
    </row>
    <row r="5747" spans="1:40" x14ac:dyDescent="0.25">
      <c r="A5747" t="str">
        <f>"20190312151648906"</f>
        <v>20190312151648906</v>
      </c>
      <c r="B5747" t="str">
        <f>"1552375008903331"</f>
        <v>1552375008903331</v>
      </c>
      <c r="C5747" t="s">
        <v>40</v>
      </c>
      <c r="D5747">
        <v>4.8946009999999998</v>
      </c>
      <c r="E5747">
        <v>0.48764570000000002</v>
      </c>
      <c r="F5747" t="s">
        <v>43</v>
      </c>
      <c r="G5747">
        <v>-271.86810000000003</v>
      </c>
      <c r="H5747" s="1">
        <v>-4.2911289999999999E-7</v>
      </c>
      <c r="I5747">
        <v>-62.512650000000001</v>
      </c>
      <c r="J5747">
        <v>-280.96109999999999</v>
      </c>
      <c r="K5747">
        <v>1.1142459999999901</v>
      </c>
      <c r="L5747">
        <v>-62.347110000000001</v>
      </c>
      <c r="M5747">
        <v>0.95568909999999996</v>
      </c>
      <c r="N5747">
        <v>0</v>
      </c>
      <c r="O5747">
        <v>-0.29415049999999998</v>
      </c>
      <c r="P5747">
        <v>0.99852450000000004</v>
      </c>
      <c r="Q5747">
        <v>-1.0157630000000001E-2</v>
      </c>
      <c r="R5747">
        <v>-5.3344860000000001E-2</v>
      </c>
      <c r="S5747">
        <v>2.9975589999999999</v>
      </c>
      <c r="T5747">
        <v>-0.36292429999999998</v>
      </c>
      <c r="U5747">
        <v>-6.3690189999999994E-2</v>
      </c>
      <c r="V5747">
        <v>-0.24274860000000001</v>
      </c>
      <c r="W5747">
        <v>-1.6819350000000001E-3</v>
      </c>
      <c r="X5747">
        <v>0.97008779999999994</v>
      </c>
      <c r="Y5747">
        <v>-0.26974009999999998</v>
      </c>
      <c r="Z5747">
        <v>5.1320209999999998E-2</v>
      </c>
      <c r="AA5747">
        <v>0.96156459999999999</v>
      </c>
      <c r="AB5747">
        <v>23</v>
      </c>
      <c r="AC5747">
        <v>9.0929999999999591</v>
      </c>
      <c r="AD5747">
        <v>-1.1142464291128999</v>
      </c>
      <c r="AE5747">
        <v>-0.16553999999999999</v>
      </c>
      <c r="AF5747">
        <v>-2.4794554867499801</v>
      </c>
      <c r="AG5747">
        <v>-1.1142464291128999</v>
      </c>
      <c r="AH5747">
        <v>8.6101146448153099</v>
      </c>
      <c r="AI5747">
        <v>97.088780039082707</v>
      </c>
      <c r="AJ5747">
        <v>106.06481804658</v>
      </c>
      <c r="AK5747">
        <v>9.0290264598365493</v>
      </c>
      <c r="AL5747">
        <v>90.096367819873805</v>
      </c>
      <c r="AM5747">
        <v>104.04884184181699</v>
      </c>
      <c r="AN5747">
        <v>1.0000000257080699</v>
      </c>
    </row>
    <row r="5748" spans="1:40" x14ac:dyDescent="0.25">
      <c r="A5748" t="str">
        <f>"20190312151648917"</f>
        <v>20190312151648917</v>
      </c>
      <c r="B5748" t="str">
        <f>"1552375008914067"</f>
        <v>1552375008914067</v>
      </c>
      <c r="C5748" t="s">
        <v>40</v>
      </c>
      <c r="D5748">
        <v>4.8860340000000004</v>
      </c>
      <c r="E5748">
        <v>0.48741380000000001</v>
      </c>
      <c r="F5748" t="s">
        <v>43</v>
      </c>
      <c r="G5748">
        <v>-271.7672</v>
      </c>
      <c r="H5748" s="1">
        <v>-3.8200779999999998E-7</v>
      </c>
      <c r="I5748">
        <v>-62.495429999999999</v>
      </c>
      <c r="J5748">
        <v>-280.8501</v>
      </c>
      <c r="K5748">
        <v>1.1142219999999901</v>
      </c>
      <c r="L5748">
        <v>-62.376919999999998</v>
      </c>
      <c r="M5748">
        <v>0.95680750000000003</v>
      </c>
      <c r="N5748">
        <v>0</v>
      </c>
      <c r="O5748">
        <v>-0.29049229999999998</v>
      </c>
      <c r="P5748">
        <v>0.99865459999999995</v>
      </c>
      <c r="Q5748">
        <v>-1.00944E-2</v>
      </c>
      <c r="R5748">
        <v>-5.0864800000000002E-2</v>
      </c>
      <c r="S5748">
        <v>2.9981689999999999</v>
      </c>
      <c r="T5748">
        <v>-0.36336109999999999</v>
      </c>
      <c r="U5748">
        <v>-4.8370360000000001E-2</v>
      </c>
      <c r="V5748">
        <v>-0.2414472</v>
      </c>
      <c r="W5748">
        <v>-1.5927510000000001E-3</v>
      </c>
      <c r="X5748">
        <v>0.97041270000000002</v>
      </c>
      <c r="Y5748">
        <v>-0.27098270000000002</v>
      </c>
      <c r="Z5748">
        <v>5.1029280000000003E-2</v>
      </c>
      <c r="AA5748">
        <v>0.96123069999999999</v>
      </c>
      <c r="AB5748">
        <v>23</v>
      </c>
      <c r="AC5748">
        <v>9.0828999999999898</v>
      </c>
      <c r="AD5748">
        <v>-1.1142223820078001</v>
      </c>
      <c r="AE5748">
        <v>-0.118510000000007</v>
      </c>
      <c r="AF5748">
        <v>-2.4878577080534199</v>
      </c>
      <c r="AG5748">
        <v>-1.1142223820078001</v>
      </c>
      <c r="AH5748">
        <v>8.5962569174855901</v>
      </c>
      <c r="AI5748">
        <v>97.097240135591605</v>
      </c>
      <c r="AJ5748">
        <v>106.141064212646</v>
      </c>
      <c r="AK5748">
        <v>9.0181240002290295</v>
      </c>
      <c r="AL5748">
        <v>90.091257944339404</v>
      </c>
      <c r="AM5748">
        <v>103.971988423824</v>
      </c>
      <c r="AN5748">
        <v>1.00000004778243</v>
      </c>
    </row>
    <row r="5749" spans="1:40" x14ac:dyDescent="0.25">
      <c r="A5749" t="str">
        <f>"20190312151648928"</f>
        <v>20190312151648928</v>
      </c>
      <c r="B5749" t="str">
        <f>"1552375008923828"</f>
        <v>1552375008923828</v>
      </c>
      <c r="C5749" t="s">
        <v>40</v>
      </c>
      <c r="D5749">
        <v>4.9132379999999998</v>
      </c>
      <c r="E5749">
        <v>0.48770249999999998</v>
      </c>
      <c r="F5749" t="s">
        <v>43</v>
      </c>
      <c r="G5749">
        <v>-271.64460000000003</v>
      </c>
      <c r="H5749" s="1">
        <v>-3.296783E-7</v>
      </c>
      <c r="I5749">
        <v>-62.496760000000002</v>
      </c>
      <c r="J5749">
        <v>-280.74090000000001</v>
      </c>
      <c r="K5749">
        <v>1.1142019999999999</v>
      </c>
      <c r="L5749">
        <v>-62.405909999999999</v>
      </c>
      <c r="M5749">
        <v>0.95788850000000003</v>
      </c>
      <c r="N5749">
        <v>0</v>
      </c>
      <c r="O5749">
        <v>-0.28690749999999998</v>
      </c>
      <c r="P5749">
        <v>0.99878480000000003</v>
      </c>
      <c r="Q5749">
        <v>-1.004912E-2</v>
      </c>
      <c r="R5749">
        <v>-4.824813E-2</v>
      </c>
      <c r="S5749">
        <v>2.9984130000000002</v>
      </c>
      <c r="T5749">
        <v>-0.36292200000000002</v>
      </c>
      <c r="U5749">
        <v>-3.9031980000000001E-2</v>
      </c>
      <c r="V5749">
        <v>-0.24035690000000001</v>
      </c>
      <c r="W5749">
        <v>-1.5257490000000001E-3</v>
      </c>
      <c r="X5749">
        <v>0.97068339999999997</v>
      </c>
      <c r="Y5749">
        <v>-0.27041510000000002</v>
      </c>
      <c r="Z5749">
        <v>5.0517449999999998E-2</v>
      </c>
      <c r="AA5749">
        <v>0.96141750000000004</v>
      </c>
      <c r="AB5749">
        <v>23</v>
      </c>
      <c r="AC5749">
        <v>9.0962999999999798</v>
      </c>
      <c r="AD5749">
        <v>-1.1142023296782999</v>
      </c>
      <c r="AE5749">
        <v>-9.0849999999996101E-2</v>
      </c>
      <c r="AF5749">
        <v>-2.48565093780975</v>
      </c>
      <c r="AG5749">
        <v>-1.1142023296782999</v>
      </c>
      <c r="AH5749">
        <v>8.6107113214511308</v>
      </c>
      <c r="AI5749">
        <v>97.086709787090896</v>
      </c>
      <c r="AJ5749">
        <v>106.101823154253</v>
      </c>
      <c r="AK5749">
        <v>9.0312932007250097</v>
      </c>
      <c r="AL5749">
        <v>90.087419010888198</v>
      </c>
      <c r="AM5749">
        <v>103.907622137595</v>
      </c>
      <c r="AN5749">
        <v>1.00000001516159</v>
      </c>
    </row>
    <row r="5750" spans="1:40" x14ac:dyDescent="0.25">
      <c r="A5750" t="str">
        <f>"20190312151648940"</f>
        <v>20190312151648940</v>
      </c>
      <c r="B5750" t="str">
        <f>"1552375008933587"</f>
        <v>1552375008933587</v>
      </c>
      <c r="C5750" t="s">
        <v>40</v>
      </c>
      <c r="D5750">
        <v>4.9188660000000004</v>
      </c>
      <c r="E5750">
        <v>0.4877225</v>
      </c>
      <c r="F5750" t="s">
        <v>43</v>
      </c>
      <c r="G5750">
        <v>-271.4513</v>
      </c>
      <c r="H5750" s="1">
        <v>-2.4966820000000002E-7</v>
      </c>
      <c r="I5750">
        <v>-62.509819999999998</v>
      </c>
      <c r="J5750">
        <v>-280.63130000000001</v>
      </c>
      <c r="K5750">
        <v>1.114187</v>
      </c>
      <c r="L5750">
        <v>-62.434449999999998</v>
      </c>
      <c r="M5750">
        <v>0.95895260000000004</v>
      </c>
      <c r="N5750">
        <v>0</v>
      </c>
      <c r="O5750">
        <v>-0.28333069999999999</v>
      </c>
      <c r="P5750">
        <v>0.99890389999999996</v>
      </c>
      <c r="Q5750">
        <v>-9.8582419999999997E-3</v>
      </c>
      <c r="R5750">
        <v>-4.5760000000000002E-2</v>
      </c>
      <c r="S5750">
        <v>2.9984130000000002</v>
      </c>
      <c r="T5750">
        <v>-0.35963299999999998</v>
      </c>
      <c r="U5750">
        <v>-3.3538819999999997E-2</v>
      </c>
      <c r="V5750">
        <v>-0.2391547</v>
      </c>
      <c r="W5750">
        <v>-1.3130279999999999E-3</v>
      </c>
      <c r="X5750">
        <v>0.97098059999999997</v>
      </c>
      <c r="Y5750">
        <v>-0.26869510000000002</v>
      </c>
      <c r="Z5750">
        <v>4.9549830000000003E-2</v>
      </c>
      <c r="AA5750">
        <v>0.96194990000000002</v>
      </c>
      <c r="AB5750">
        <v>23</v>
      </c>
      <c r="AC5750">
        <v>9.18</v>
      </c>
      <c r="AD5750">
        <v>-1.1141872496681999</v>
      </c>
      <c r="AE5750">
        <v>-7.5369999999999396E-2</v>
      </c>
      <c r="AF5750">
        <v>-2.4921591166854902</v>
      </c>
      <c r="AG5750">
        <v>-1.1141872496681999</v>
      </c>
      <c r="AH5750">
        <v>8.6970223138513898</v>
      </c>
      <c r="AI5750">
        <v>97.020897273883406</v>
      </c>
      <c r="AJ5750">
        <v>105.98982186595499</v>
      </c>
      <c r="AK5750">
        <v>9.1153972715307798</v>
      </c>
      <c r="AL5750">
        <v>90.075230983641404</v>
      </c>
      <c r="AM5750">
        <v>103.83666747692099</v>
      </c>
      <c r="AN5750">
        <v>1.00000001007548</v>
      </c>
    </row>
    <row r="5751" spans="1:40" x14ac:dyDescent="0.25">
      <c r="A5751" t="str">
        <f>"20190312151648951"</f>
        <v>20190312151648951</v>
      </c>
      <c r="B5751" t="str">
        <f>"1552375008943347"</f>
        <v>1552375008943347</v>
      </c>
      <c r="C5751" t="s">
        <v>40</v>
      </c>
      <c r="D5751">
        <v>4.9252229999999999</v>
      </c>
      <c r="E5751">
        <v>0.48799409999999999</v>
      </c>
      <c r="F5751" t="s">
        <v>43</v>
      </c>
      <c r="G5751">
        <v>-271.3356</v>
      </c>
      <c r="H5751" s="1">
        <v>-2.0141389999999999E-7</v>
      </c>
      <c r="I5751">
        <v>-62.515999999999998</v>
      </c>
      <c r="J5751">
        <v>-280.52100000000002</v>
      </c>
      <c r="K5751">
        <v>1.1141719999999999</v>
      </c>
      <c r="L5751">
        <v>-62.462949999999999</v>
      </c>
      <c r="M5751">
        <v>0.96000790000000003</v>
      </c>
      <c r="N5751">
        <v>0</v>
      </c>
      <c r="O5751">
        <v>-0.27973480000000001</v>
      </c>
      <c r="P5751">
        <v>0.99900909999999998</v>
      </c>
      <c r="Q5751">
        <v>-1.012676E-2</v>
      </c>
      <c r="R5751">
        <v>-4.3339559999999999E-2</v>
      </c>
      <c r="S5751">
        <v>2.9985050000000002</v>
      </c>
      <c r="T5751">
        <v>-0.35940100000000003</v>
      </c>
      <c r="U5751">
        <v>-2.630615E-2</v>
      </c>
      <c r="V5751">
        <v>-0.23786450000000001</v>
      </c>
      <c r="W5751">
        <v>-1.5592570000000001E-3</v>
      </c>
      <c r="X5751">
        <v>0.97129710000000002</v>
      </c>
      <c r="Y5751">
        <v>-0.2674472</v>
      </c>
      <c r="Z5751">
        <v>4.9030039999999997E-2</v>
      </c>
      <c r="AA5751">
        <v>0.96232430000000002</v>
      </c>
      <c r="AB5751">
        <v>23</v>
      </c>
      <c r="AC5751">
        <v>9.1853999999999605</v>
      </c>
      <c r="AD5751">
        <v>-1.1141722014138999</v>
      </c>
      <c r="AE5751">
        <v>-5.3050000000006002E-2</v>
      </c>
      <c r="AF5751">
        <v>-2.4821955228739898</v>
      </c>
      <c r="AG5751">
        <v>-1.1141722014138999</v>
      </c>
      <c r="AH5751">
        <v>8.7054046642745</v>
      </c>
      <c r="AI5751">
        <v>97.016717542172003</v>
      </c>
      <c r="AJ5751">
        <v>105.91458357905201</v>
      </c>
      <c r="AK5751">
        <v>9.1206767663891792</v>
      </c>
      <c r="AL5751">
        <v>90.089338881115197</v>
      </c>
      <c r="AM5751">
        <v>103.760552625629</v>
      </c>
      <c r="AN5751">
        <v>1.0000000040555199</v>
      </c>
    </row>
    <row r="5752" spans="1:40" x14ac:dyDescent="0.25">
      <c r="A5752" t="str">
        <f>"20190312151648961"</f>
        <v>20190312151648961</v>
      </c>
      <c r="B5752" t="str">
        <f>"1552375008954083"</f>
        <v>1552375008954083</v>
      </c>
      <c r="C5752" t="s">
        <v>40</v>
      </c>
      <c r="D5752">
        <v>4.9182499999999996</v>
      </c>
      <c r="E5752">
        <v>0.48817579999999999</v>
      </c>
      <c r="F5752" t="s">
        <v>43</v>
      </c>
      <c r="G5752">
        <v>-271.23399999999998</v>
      </c>
      <c r="H5752" s="1">
        <v>-1.605982E-7</v>
      </c>
      <c r="I5752">
        <v>-62.528550000000003</v>
      </c>
      <c r="J5752">
        <v>-280.41640000000001</v>
      </c>
      <c r="K5752">
        <v>1.1141589999999999</v>
      </c>
      <c r="L5752">
        <v>-62.4893199999999</v>
      </c>
      <c r="M5752">
        <v>0.96098919999999999</v>
      </c>
      <c r="N5752">
        <v>0</v>
      </c>
      <c r="O5752">
        <v>-0.27634509999999901</v>
      </c>
      <c r="P5752">
        <v>0.99910410000000005</v>
      </c>
      <c r="Q5752">
        <v>-1.0083160000000001E-2</v>
      </c>
      <c r="R5752">
        <v>-4.1100610000000003E-2</v>
      </c>
      <c r="S5752">
        <v>2.9984130000000002</v>
      </c>
      <c r="T5752">
        <v>-0.35972179999999998</v>
      </c>
      <c r="U5752">
        <v>-2.1179199999999999E-2</v>
      </c>
      <c r="V5752">
        <v>-0.23661380000000001</v>
      </c>
      <c r="W5752">
        <v>-1.495466E-3</v>
      </c>
      <c r="X5752">
        <v>0.97160259999999998</v>
      </c>
      <c r="Y5752">
        <v>-0.26572279999999998</v>
      </c>
      <c r="Z5752">
        <v>4.8581770000000003E-2</v>
      </c>
      <c r="AA5752">
        <v>0.96282460000000003</v>
      </c>
      <c r="AB5752">
        <v>23</v>
      </c>
      <c r="AC5752">
        <v>9.1823999999999693</v>
      </c>
      <c r="AD5752">
        <v>-1.1141591605982</v>
      </c>
      <c r="AE5752">
        <v>-3.92300000000105E-2</v>
      </c>
      <c r="AF5752">
        <v>-2.4637067709271099</v>
      </c>
      <c r="AG5752">
        <v>-1.1141591605982</v>
      </c>
      <c r="AH5752">
        <v>8.7074236191097505</v>
      </c>
      <c r="AI5752">
        <v>97.019023274936202</v>
      </c>
      <c r="AJ5752">
        <v>105.798502790299</v>
      </c>
      <c r="AK5752">
        <v>9.1175889231138001</v>
      </c>
      <c r="AL5752">
        <v>90.085683924752104</v>
      </c>
      <c r="AM5752">
        <v>103.68678589762099</v>
      </c>
      <c r="AN5752">
        <v>0.99999996954787795</v>
      </c>
    </row>
    <row r="5753" spans="1:40" x14ac:dyDescent="0.25">
      <c r="A5753" t="str">
        <f>"20190312151648973"</f>
        <v>20190312151648973</v>
      </c>
      <c r="B5753" t="str">
        <f>"1552375008963844"</f>
        <v>1552375008963844</v>
      </c>
      <c r="C5753" t="s">
        <v>40</v>
      </c>
      <c r="D5753">
        <v>4.898129</v>
      </c>
      <c r="E5753">
        <v>0.48822589999999999</v>
      </c>
      <c r="F5753" t="s">
        <v>43</v>
      </c>
      <c r="G5753">
        <v>-271.08969999999999</v>
      </c>
      <c r="H5753" s="1">
        <v>-1.00998399999999E-7</v>
      </c>
      <c r="I5753">
        <v>-62.538870000000003</v>
      </c>
      <c r="J5753">
        <v>-280.30180000000001</v>
      </c>
      <c r="K5753">
        <v>1.114152</v>
      </c>
      <c r="L5753">
        <v>-62.518070000000002</v>
      </c>
      <c r="M5753">
        <v>0.96204880000000004</v>
      </c>
      <c r="N5753">
        <v>0</v>
      </c>
      <c r="O5753">
        <v>-0.27263330000000002</v>
      </c>
      <c r="P5753">
        <v>0.99919930000000001</v>
      </c>
      <c r="Q5753">
        <v>-1.0166690000000001E-2</v>
      </c>
      <c r="R5753">
        <v>-3.8700730000000003E-2</v>
      </c>
      <c r="S5753">
        <v>2.9984130000000002</v>
      </c>
      <c r="T5753">
        <v>-0.35818800000000001</v>
      </c>
      <c r="U5753">
        <v>-1.5930179999999999E-2</v>
      </c>
      <c r="V5753">
        <v>-0.23519590000000001</v>
      </c>
      <c r="W5753">
        <v>-1.556612E-3</v>
      </c>
      <c r="X5753">
        <v>0.9719468</v>
      </c>
      <c r="Y5753">
        <v>-0.26376129999999998</v>
      </c>
      <c r="Z5753">
        <v>4.7833290000000001E-2</v>
      </c>
      <c r="AA5753">
        <v>0.96340130000000002</v>
      </c>
      <c r="AB5753">
        <v>23</v>
      </c>
      <c r="AC5753">
        <v>9.2121000000000102</v>
      </c>
      <c r="AD5753">
        <v>-1.1141521009983999</v>
      </c>
      <c r="AE5753">
        <v>-2.0800000000001199E-2</v>
      </c>
      <c r="AF5753">
        <v>-2.4557589855355801</v>
      </c>
      <c r="AG5753">
        <v>-1.1141521009983999</v>
      </c>
      <c r="AH5753">
        <v>8.7408939208537006</v>
      </c>
      <c r="AI5753">
        <v>96.995973148974997</v>
      </c>
      <c r="AJ5753">
        <v>105.692737234116</v>
      </c>
      <c r="AK5753">
        <v>9.1474211466847297</v>
      </c>
      <c r="AL5753">
        <v>90.089187328763998</v>
      </c>
      <c r="AM5753">
        <v>103.603186675796</v>
      </c>
      <c r="AN5753">
        <v>1.0000000582239801</v>
      </c>
    </row>
    <row r="5754" spans="1:40" x14ac:dyDescent="0.25">
      <c r="A5754" t="str">
        <f>"20190312151648986"</f>
        <v>20190312151648986</v>
      </c>
      <c r="B5754" t="str">
        <f>"1552375008973604"</f>
        <v>1552375008973604</v>
      </c>
      <c r="C5754" t="s">
        <v>40</v>
      </c>
      <c r="D5754">
        <v>5.1307980000000004</v>
      </c>
      <c r="E5754">
        <v>0.4883749</v>
      </c>
      <c r="F5754" t="s">
        <v>43</v>
      </c>
      <c r="G5754">
        <v>-270.97789999999998</v>
      </c>
      <c r="H5754" s="1">
        <v>-5.4697350000000002E-8</v>
      </c>
      <c r="I5754">
        <v>-62.546250000000001</v>
      </c>
      <c r="J5754">
        <v>-280.1823</v>
      </c>
      <c r="K5754">
        <v>1.1141449999999999</v>
      </c>
      <c r="L5754">
        <v>-62.547269999999997</v>
      </c>
      <c r="M5754">
        <v>0.96313170000000004</v>
      </c>
      <c r="N5754">
        <v>0</v>
      </c>
      <c r="O5754">
        <v>-0.268783099999999</v>
      </c>
      <c r="P5754">
        <v>0.99930269999999999</v>
      </c>
      <c r="Q5754">
        <v>-1.01767E-2</v>
      </c>
      <c r="R5754">
        <v>-3.5928059999999998E-2</v>
      </c>
      <c r="S5754">
        <v>2.9984440000000001</v>
      </c>
      <c r="T5754">
        <v>-0.35829840000000002</v>
      </c>
      <c r="U5754">
        <v>-9.0637210000000003E-3</v>
      </c>
      <c r="V5754">
        <v>-0.23400550000000001</v>
      </c>
      <c r="W5754">
        <v>-1.5492289999999901E-3</v>
      </c>
      <c r="X5754">
        <v>0.97223400000000004</v>
      </c>
      <c r="Y5754">
        <v>-0.26214779999999999</v>
      </c>
      <c r="Z5754">
        <v>4.7309200000000003E-2</v>
      </c>
      <c r="AA5754">
        <v>0.96386740000000004</v>
      </c>
      <c r="AB5754">
        <v>23</v>
      </c>
      <c r="AC5754">
        <v>9.2044000000000192</v>
      </c>
      <c r="AD5754">
        <v>-1.1141450546973499</v>
      </c>
      <c r="AE5754">
        <v>1.0199999999969101E-3</v>
      </c>
      <c r="AF5754">
        <v>-2.43939251295504</v>
      </c>
      <c r="AG5754">
        <v>-1.1141450546973499</v>
      </c>
      <c r="AH5754">
        <v>8.73734641013192</v>
      </c>
      <c r="AI5754">
        <v>97.001907914495305</v>
      </c>
      <c r="AJ5754">
        <v>105.599279498467</v>
      </c>
      <c r="AK5754">
        <v>9.1396486434552209</v>
      </c>
      <c r="AL5754">
        <v>90.088764322039907</v>
      </c>
      <c r="AM5754">
        <v>103.533024729811</v>
      </c>
      <c r="AN5754">
        <v>0.99999996244837097</v>
      </c>
    </row>
    <row r="5755" spans="1:40" x14ac:dyDescent="0.25">
      <c r="A5755" t="str">
        <f>"20190312151648998"</f>
        <v>20190312151648998</v>
      </c>
      <c r="B5755" t="str">
        <f>"1552375008994101"</f>
        <v>1552375008994101</v>
      </c>
      <c r="C5755" t="s">
        <v>40</v>
      </c>
      <c r="D5755">
        <v>4.9992900000000002</v>
      </c>
      <c r="E5755">
        <v>0.48848069999999999</v>
      </c>
      <c r="F5755" t="s">
        <v>43</v>
      </c>
      <c r="G5755">
        <v>-270.74650000000003</v>
      </c>
      <c r="H5755" s="1">
        <v>4.2901719999999999E-8</v>
      </c>
      <c r="I5755">
        <v>-62.553899999999999</v>
      </c>
      <c r="J5755">
        <v>-280.0729</v>
      </c>
      <c r="K5755">
        <v>1.114139</v>
      </c>
      <c r="L5755">
        <v>-62.573790000000002</v>
      </c>
      <c r="M5755">
        <v>0.96410899999999999</v>
      </c>
      <c r="N5755">
        <v>0</v>
      </c>
      <c r="O5755">
        <v>-0.26525609999999999</v>
      </c>
      <c r="P5755">
        <v>0.99938490000000002</v>
      </c>
      <c r="Q5755">
        <v>-1.0242100000000001E-2</v>
      </c>
      <c r="R5755">
        <v>-3.3541300000000003E-2</v>
      </c>
      <c r="S5755">
        <v>2.9984739999999999</v>
      </c>
      <c r="T5755">
        <v>-0.35404590000000002</v>
      </c>
      <c r="U5755">
        <v>-2.1057129999999999E-3</v>
      </c>
      <c r="V5755">
        <v>-0.23276749999999999</v>
      </c>
      <c r="W5755">
        <v>-1.597247E-3</v>
      </c>
      <c r="X5755">
        <v>0.97253109999999998</v>
      </c>
      <c r="Y5755">
        <v>-0.26097480000000001</v>
      </c>
      <c r="Z5755">
        <v>4.628152E-2</v>
      </c>
      <c r="AA5755">
        <v>0.96423550000000002</v>
      </c>
      <c r="AB5755">
        <v>23</v>
      </c>
      <c r="AC5755">
        <v>9.3263999999999694</v>
      </c>
      <c r="AD5755">
        <v>-1.11413895709828</v>
      </c>
      <c r="AE5755">
        <v>1.98900000000037E-2</v>
      </c>
      <c r="AF5755">
        <v>-2.45814672245751</v>
      </c>
      <c r="AG5755">
        <v>-1.11413895709828</v>
      </c>
      <c r="AH5755">
        <v>8.8605409475706391</v>
      </c>
      <c r="AI5755">
        <v>96.9085832925457</v>
      </c>
      <c r="AJ5755">
        <v>105.50541146011</v>
      </c>
      <c r="AK5755">
        <v>9.2624498275795695</v>
      </c>
      <c r="AL5755">
        <v>90.091515550819295</v>
      </c>
      <c r="AM5755">
        <v>103.46007847810699</v>
      </c>
      <c r="AN5755">
        <v>1.0000000003607099</v>
      </c>
    </row>
    <row r="5756" spans="1:40" x14ac:dyDescent="0.25">
      <c r="A5756" t="str">
        <f>"20190312151649008"</f>
        <v>20190312151649008</v>
      </c>
      <c r="B5756" t="str">
        <f>"1552375009003860"</f>
        <v>1552375009003860</v>
      </c>
      <c r="C5756" t="s">
        <v>40</v>
      </c>
      <c r="D5756">
        <v>5.1635220000000004</v>
      </c>
      <c r="E5756">
        <v>0.49708649999999999</v>
      </c>
      <c r="F5756" t="s">
        <v>43</v>
      </c>
      <c r="G5756">
        <v>-270.64679999999998</v>
      </c>
      <c r="H5756" s="1">
        <v>8.4237739999999999E-8</v>
      </c>
      <c r="I5756">
        <v>-62.560360000000003</v>
      </c>
      <c r="J5756">
        <v>-279.95729999999998</v>
      </c>
      <c r="K5756">
        <v>1.114136</v>
      </c>
      <c r="L5756">
        <v>-62.601289999999999</v>
      </c>
      <c r="M5756">
        <v>0.96512410000000004</v>
      </c>
      <c r="N5756">
        <v>0</v>
      </c>
      <c r="O5756">
        <v>-0.26153910000000002</v>
      </c>
      <c r="P5756">
        <v>0.99946449999999998</v>
      </c>
      <c r="Q5756">
        <v>-1.011653E-2</v>
      </c>
      <c r="R5756">
        <v>-3.112417E-2</v>
      </c>
      <c r="S5756">
        <v>2.9983520000000001</v>
      </c>
      <c r="T5756">
        <v>-0.35439619999999999</v>
      </c>
      <c r="U5756">
        <v>4.272461E-3</v>
      </c>
      <c r="V5756">
        <v>-0.23137379999999999</v>
      </c>
      <c r="W5756">
        <v>-1.453167E-3</v>
      </c>
      <c r="X5756">
        <v>0.9728639</v>
      </c>
      <c r="Y5756">
        <v>-0.2593376</v>
      </c>
      <c r="Z5756">
        <v>4.5808880000000003E-2</v>
      </c>
      <c r="AA5756">
        <v>0.96469970000000005</v>
      </c>
      <c r="AB5756">
        <v>23</v>
      </c>
      <c r="AC5756">
        <v>9.3104999999999905</v>
      </c>
      <c r="AD5756">
        <v>-1.1141359157622599</v>
      </c>
      <c r="AE5756">
        <v>4.0930000000010097E-2</v>
      </c>
      <c r="AF5756">
        <v>-2.4397905060910099</v>
      </c>
      <c r="AG5756">
        <v>-1.1141359157622599</v>
      </c>
      <c r="AH5756">
        <v>8.8489679383114392</v>
      </c>
      <c r="AI5756">
        <v>96.920525422344497</v>
      </c>
      <c r="AJ5756">
        <v>105.41431431387301</v>
      </c>
      <c r="AK5756">
        <v>9.2465188111887304</v>
      </c>
      <c r="AL5756">
        <v>90.083260360545907</v>
      </c>
      <c r="AM5756">
        <v>103.377980194096</v>
      </c>
      <c r="AN5756">
        <v>1.0000000574719801</v>
      </c>
    </row>
    <row r="5757" spans="1:40" x14ac:dyDescent="0.25">
      <c r="A5757" t="str">
        <f>"20190312151649019"</f>
        <v>20190312151649019</v>
      </c>
      <c r="B5757" t="str">
        <f>"1552375009013620"</f>
        <v>1552375009013620</v>
      </c>
      <c r="C5757" t="s">
        <v>40</v>
      </c>
      <c r="D5757">
        <v>5.1354989999999896</v>
      </c>
      <c r="E5757">
        <v>0.49727060000000001</v>
      </c>
      <c r="F5757" t="s">
        <v>43</v>
      </c>
      <c r="G5757">
        <v>-271.36810000000003</v>
      </c>
      <c r="H5757" s="1">
        <v>-2.6981169999999998E-7</v>
      </c>
      <c r="I5757">
        <v>-62.760959999999997</v>
      </c>
      <c r="J5757">
        <v>-279.85180000000003</v>
      </c>
      <c r="K5757">
        <v>1.114134</v>
      </c>
      <c r="L5757">
        <v>-62.625889999999998</v>
      </c>
      <c r="M5757">
        <v>0.96603510000000004</v>
      </c>
      <c r="N5757">
        <v>0</v>
      </c>
      <c r="O5757">
        <v>-0.25815339999999998</v>
      </c>
      <c r="P5757">
        <v>0.99953029999999998</v>
      </c>
      <c r="Q5757">
        <v>-9.9495309999999993E-3</v>
      </c>
      <c r="R5757">
        <v>-2.8987160000000001E-2</v>
      </c>
      <c r="S5757">
        <v>2.9959410000000002</v>
      </c>
      <c r="T5757">
        <v>-0.38861440000000003</v>
      </c>
      <c r="U5757">
        <v>-5.569458E-2</v>
      </c>
      <c r="V5757">
        <v>-0.23004459999999999</v>
      </c>
      <c r="W5757">
        <v>-1.2692840000000001E-3</v>
      </c>
      <c r="X5757">
        <v>0.97317929999999997</v>
      </c>
      <c r="Y5757">
        <v>-0.23607249999999999</v>
      </c>
      <c r="Z5757">
        <v>4.8282909999999998E-2</v>
      </c>
      <c r="AA5757">
        <v>0.97053520000000004</v>
      </c>
      <c r="AB5757">
        <v>23</v>
      </c>
      <c r="AC5757">
        <v>8.48369999999999</v>
      </c>
      <c r="AD5757">
        <v>-1.1141342698117001</v>
      </c>
      <c r="AE5757">
        <v>-0.135069999999991</v>
      </c>
      <c r="AF5757">
        <v>-2.0248378281598698</v>
      </c>
      <c r="AG5757">
        <v>-1.1141342698117001</v>
      </c>
      <c r="AH5757">
        <v>8.0914531634286497</v>
      </c>
      <c r="AI5757">
        <v>97.608185385152595</v>
      </c>
      <c r="AJ5757">
        <v>104.049402003791</v>
      </c>
      <c r="AK5757">
        <v>8.4150387816976604</v>
      </c>
      <c r="AL5757">
        <v>90.0727246328577</v>
      </c>
      <c r="AM5757">
        <v>103.299707923914</v>
      </c>
      <c r="AN5757">
        <v>1.0000000395097599</v>
      </c>
    </row>
    <row r="5758" spans="1:40" x14ac:dyDescent="0.25">
      <c r="A5758" t="str">
        <f>"20190312151649032"</f>
        <v>20190312151649032</v>
      </c>
      <c r="B5758" t="str">
        <f>"1552375009023380"</f>
        <v>1552375009023380</v>
      </c>
      <c r="C5758" t="s">
        <v>40</v>
      </c>
      <c r="D5758">
        <v>5.0735650000000003</v>
      </c>
      <c r="E5758">
        <v>0.49711480000000002</v>
      </c>
      <c r="F5758" t="s">
        <v>43</v>
      </c>
      <c r="G5758">
        <v>-271.0197</v>
      </c>
      <c r="H5758" s="1">
        <v>-1.238367E-7</v>
      </c>
      <c r="I5758">
        <v>-62.77666</v>
      </c>
      <c r="J5758">
        <v>-279.73059999999998</v>
      </c>
      <c r="K5758">
        <v>1.114134</v>
      </c>
      <c r="L5758">
        <v>-62.653869999999998</v>
      </c>
      <c r="M5758">
        <v>0.9670668</v>
      </c>
      <c r="N5758">
        <v>0</v>
      </c>
      <c r="O5758">
        <v>-0.25426149999999997</v>
      </c>
      <c r="P5758">
        <v>0.9996062</v>
      </c>
      <c r="Q5758">
        <v>-9.7097750000000004E-3</v>
      </c>
      <c r="R5758">
        <v>-2.6329180000000001E-2</v>
      </c>
      <c r="S5758">
        <v>2.9961850000000001</v>
      </c>
      <c r="T5758">
        <v>-0.37795400000000001</v>
      </c>
      <c r="U5758">
        <v>-5.1147459999999999E-2</v>
      </c>
      <c r="V5758">
        <v>-0.22871730000000001</v>
      </c>
      <c r="W5758">
        <v>-1.0135039999999999E-3</v>
      </c>
      <c r="X5758">
        <v>0.97349240000000004</v>
      </c>
      <c r="Y5758">
        <v>-0.23390440000000001</v>
      </c>
      <c r="Z5758">
        <v>4.6355550000000002E-2</v>
      </c>
      <c r="AA5758">
        <v>0.97115390000000001</v>
      </c>
      <c r="AB5758">
        <v>23</v>
      </c>
      <c r="AC5758">
        <v>8.7108999999999792</v>
      </c>
      <c r="AD5758">
        <v>-1.1141341238367</v>
      </c>
      <c r="AE5758">
        <v>-0.122790000000001</v>
      </c>
      <c r="AF5758">
        <v>-2.0625064318743598</v>
      </c>
      <c r="AG5758">
        <v>-1.1141341238367</v>
      </c>
      <c r="AH5758">
        <v>8.3197318457366904</v>
      </c>
      <c r="AI5758">
        <v>97.405791904236693</v>
      </c>
      <c r="AJ5758">
        <v>103.92323556837999</v>
      </c>
      <c r="AK5758">
        <v>8.6436777827719702</v>
      </c>
      <c r="AL5758">
        <v>90.058069509240497</v>
      </c>
      <c r="AM5758">
        <v>103.221571952807</v>
      </c>
      <c r="AN5758">
        <v>1.0000000416837</v>
      </c>
    </row>
    <row r="5759" spans="1:40" x14ac:dyDescent="0.25">
      <c r="A5759" t="str">
        <f>"20190312151649043"</f>
        <v>20190312151649043</v>
      </c>
      <c r="B5759" t="str">
        <f>"1552375009034116"</f>
        <v>1552375009034116</v>
      </c>
      <c r="C5759" t="s">
        <v>40</v>
      </c>
      <c r="D5759">
        <v>5.087593</v>
      </c>
      <c r="E5759">
        <v>0.49732769999999998</v>
      </c>
      <c r="F5759" t="s">
        <v>43</v>
      </c>
      <c r="G5759">
        <v>-270.80290000000002</v>
      </c>
      <c r="H5759" s="1">
        <v>-3.1401269999999998E-8</v>
      </c>
      <c r="I5759">
        <v>-62.779260000000001</v>
      </c>
      <c r="J5759">
        <v>-279.6155</v>
      </c>
      <c r="K5759">
        <v>1.114141</v>
      </c>
      <c r="L5759">
        <v>-62.679749999999999</v>
      </c>
      <c r="M5759">
        <v>0.96802960000000005</v>
      </c>
      <c r="N5759">
        <v>0</v>
      </c>
      <c r="O5759">
        <v>-0.25057109999999999</v>
      </c>
      <c r="P5759">
        <v>0.99966829999999995</v>
      </c>
      <c r="Q5759">
        <v>-9.5204590000000002E-3</v>
      </c>
      <c r="R5759">
        <v>-2.392801E-2</v>
      </c>
      <c r="S5759">
        <v>2.9963989999999998</v>
      </c>
      <c r="T5759">
        <v>-0.37393330000000002</v>
      </c>
      <c r="U5759">
        <v>-4.2083740000000001E-2</v>
      </c>
      <c r="V5759">
        <v>-0.22734489999999999</v>
      </c>
      <c r="W5759">
        <v>-8.0842079999999996E-4</v>
      </c>
      <c r="X5759">
        <v>0.97381399999999996</v>
      </c>
      <c r="Y5759">
        <v>-0.2332504</v>
      </c>
      <c r="Z5759">
        <v>4.5379709999999997E-2</v>
      </c>
      <c r="AA5759">
        <v>0.97135720000000003</v>
      </c>
      <c r="AB5759">
        <v>23</v>
      </c>
      <c r="AC5759">
        <v>8.8125999999999696</v>
      </c>
      <c r="AD5759">
        <v>-1.1141410314012701</v>
      </c>
      <c r="AE5759">
        <v>-9.9510000000002194E-2</v>
      </c>
      <c r="AF5759">
        <v>-2.0787726572853802</v>
      </c>
      <c r="AG5759">
        <v>-1.1141410314012701</v>
      </c>
      <c r="AH5759">
        <v>8.4217679477018503</v>
      </c>
      <c r="AI5759">
        <v>97.318897292984403</v>
      </c>
      <c r="AJ5759">
        <v>103.86535020110701</v>
      </c>
      <c r="AK5759">
        <v>8.7457864919895894</v>
      </c>
      <c r="AL5759">
        <v>90.046319103480599</v>
      </c>
      <c r="AM5759">
        <v>103.14080908244701</v>
      </c>
      <c r="AN5759">
        <v>1.0000000318480899</v>
      </c>
    </row>
    <row r="5760" spans="1:40" x14ac:dyDescent="0.25">
      <c r="A5760" t="str">
        <f>"20190312151649056"</f>
        <v>20190312151649056</v>
      </c>
      <c r="B5760" t="str">
        <f>"1552375009043876"</f>
        <v>1552375009043876</v>
      </c>
      <c r="C5760" t="s">
        <v>40</v>
      </c>
      <c r="D5760">
        <v>4.8703760000000003</v>
      </c>
      <c r="E5760">
        <v>0.49627090000000001</v>
      </c>
      <c r="F5760" t="s">
        <v>43</v>
      </c>
      <c r="G5760">
        <v>-270.59350000000001</v>
      </c>
      <c r="H5760" s="1">
        <v>5.598946E-8</v>
      </c>
      <c r="I5760">
        <v>-62.790190000000003</v>
      </c>
      <c r="J5760">
        <v>-279.48860000000002</v>
      </c>
      <c r="K5760">
        <v>1.1141479999999999</v>
      </c>
      <c r="L5760">
        <v>-62.707949999999997</v>
      </c>
      <c r="M5760">
        <v>0.96907399999999999</v>
      </c>
      <c r="N5760">
        <v>0</v>
      </c>
      <c r="O5760">
        <v>-0.24650169999999999</v>
      </c>
      <c r="P5760">
        <v>0.99973120000000004</v>
      </c>
      <c r="Q5760">
        <v>-9.5869709999999997E-3</v>
      </c>
      <c r="R5760">
        <v>-2.1110770000000001E-2</v>
      </c>
      <c r="S5760">
        <v>2.9965820000000001</v>
      </c>
      <c r="T5760">
        <v>-0.37005149999999998</v>
      </c>
      <c r="U5760">
        <v>-3.668213E-2</v>
      </c>
      <c r="V5760">
        <v>-0.22599710000000001</v>
      </c>
      <c r="W5760">
        <v>-8.6014689999999998E-4</v>
      </c>
      <c r="X5760">
        <v>0.97412759999999998</v>
      </c>
      <c r="Y5760">
        <v>-0.2310421</v>
      </c>
      <c r="Z5760">
        <v>4.4287920000000001E-2</v>
      </c>
      <c r="AA5760">
        <v>0.97193529999999995</v>
      </c>
      <c r="AB5760">
        <v>23</v>
      </c>
      <c r="AC5760">
        <v>8.89510000000001</v>
      </c>
      <c r="AD5760">
        <v>-1.11414794401054</v>
      </c>
      <c r="AE5760">
        <v>-8.2240000000005795E-2</v>
      </c>
      <c r="AF5760">
        <v>-2.0804638522081502</v>
      </c>
      <c r="AG5760">
        <v>-1.11414794401054</v>
      </c>
      <c r="AH5760">
        <v>8.5073971862294293</v>
      </c>
      <c r="AI5760">
        <v>97.249859642278295</v>
      </c>
      <c r="AJ5760">
        <v>103.74184713091201</v>
      </c>
      <c r="AK5760">
        <v>8.82867274089101</v>
      </c>
      <c r="AL5760">
        <v>90.049282792958294</v>
      </c>
      <c r="AM5760">
        <v>103.06152299800701</v>
      </c>
      <c r="AN5760">
        <v>1.00000000507142</v>
      </c>
    </row>
    <row r="5761" spans="1:40" x14ac:dyDescent="0.25">
      <c r="A5761" t="str">
        <f>"20190312151649069"</f>
        <v>20190312151649069</v>
      </c>
      <c r="B5761" t="str">
        <f>"1552375009063396"</f>
        <v>1552375009063396</v>
      </c>
      <c r="C5761" t="s">
        <v>40</v>
      </c>
      <c r="D5761">
        <v>4.9855460000000003</v>
      </c>
      <c r="E5761">
        <v>0.49597249999999998</v>
      </c>
      <c r="F5761" t="s">
        <v>43</v>
      </c>
      <c r="G5761">
        <v>-270.39760000000001</v>
      </c>
      <c r="H5761" s="1">
        <v>1.448731E-7</v>
      </c>
      <c r="I5761">
        <v>-62.768300000000004</v>
      </c>
      <c r="J5761">
        <v>-279.35599999999999</v>
      </c>
      <c r="K5761">
        <v>1.1141540000000001</v>
      </c>
      <c r="L5761">
        <v>-62.736759999999997</v>
      </c>
      <c r="M5761">
        <v>0.97014590000000001</v>
      </c>
      <c r="N5761">
        <v>0</v>
      </c>
      <c r="O5761">
        <v>-0.24224799999999999</v>
      </c>
      <c r="P5761">
        <v>0.99979150000000006</v>
      </c>
      <c r="Q5761">
        <v>-9.1266390000000006E-3</v>
      </c>
      <c r="R5761">
        <v>-1.8262480000000001E-2</v>
      </c>
      <c r="S5761">
        <v>2.9968569999999999</v>
      </c>
      <c r="T5761">
        <v>-0.36728040000000001</v>
      </c>
      <c r="U5761">
        <v>-1.9897459999999999E-2</v>
      </c>
      <c r="V5761">
        <v>-0.22450500000000001</v>
      </c>
      <c r="W5761">
        <v>-3.8361059999999998E-4</v>
      </c>
      <c r="X5761">
        <v>0.97447289999999998</v>
      </c>
      <c r="Y5761">
        <v>-0.23229569999999999</v>
      </c>
      <c r="Z5761">
        <v>4.3530699999999999E-2</v>
      </c>
      <c r="AA5761">
        <v>0.97167060000000005</v>
      </c>
      <c r="AB5761">
        <v>23</v>
      </c>
      <c r="AC5761">
        <v>8.9583999999999797</v>
      </c>
      <c r="AD5761">
        <v>-1.1141538551268999</v>
      </c>
      <c r="AE5761">
        <v>-3.1540000000006702E-2</v>
      </c>
      <c r="AF5761">
        <v>-2.1071062436580399</v>
      </c>
      <c r="AG5761">
        <v>-1.1141538551268999</v>
      </c>
      <c r="AH5761">
        <v>8.5666672240602004</v>
      </c>
      <c r="AI5761">
        <v>97.197929278855298</v>
      </c>
      <c r="AJ5761">
        <v>103.818486051341</v>
      </c>
      <c r="AK5761">
        <v>8.8920764089578199</v>
      </c>
      <c r="AL5761">
        <v>90.021979268071107</v>
      </c>
      <c r="AM5761">
        <v>102.973772574894</v>
      </c>
      <c r="AN5761">
        <v>1.0000000375082501</v>
      </c>
    </row>
    <row r="5762" spans="1:40" x14ac:dyDescent="0.25">
      <c r="A5762" t="str">
        <f>"20190312151649080"</f>
        <v>20190312151649080</v>
      </c>
      <c r="B5762" t="str">
        <f>"1552375009074132"</f>
        <v>1552375009074132</v>
      </c>
      <c r="C5762" t="s">
        <v>40</v>
      </c>
      <c r="D5762">
        <v>4.9018059999999997</v>
      </c>
      <c r="E5762">
        <v>0.49565809999999999</v>
      </c>
      <c r="F5762" t="s">
        <v>43</v>
      </c>
      <c r="G5762">
        <v>-270.0342</v>
      </c>
      <c r="H5762" s="1">
        <v>3.0136520000000001E-7</v>
      </c>
      <c r="I5762">
        <v>-62.765610000000002</v>
      </c>
      <c r="J5762">
        <v>-279.2398</v>
      </c>
      <c r="K5762">
        <v>1.114161</v>
      </c>
      <c r="L5762">
        <v>-62.76144</v>
      </c>
      <c r="M5762">
        <v>0.97106919999999997</v>
      </c>
      <c r="N5762">
        <v>0</v>
      </c>
      <c r="O5762">
        <v>-0.23852000000000001</v>
      </c>
      <c r="P5762">
        <v>0.99983619999999995</v>
      </c>
      <c r="Q5762">
        <v>-8.7942819999999901E-3</v>
      </c>
      <c r="R5762">
        <v>-1.5825579999999999E-2</v>
      </c>
      <c r="S5762">
        <v>2.997223</v>
      </c>
      <c r="T5762">
        <v>-0.3582342</v>
      </c>
      <c r="U5762">
        <v>-9.2773439999999999E-3</v>
      </c>
      <c r="V5762">
        <v>-0.22314139999999999</v>
      </c>
      <c r="W5762" s="1">
        <v>-3.8431720000000001E-5</v>
      </c>
      <c r="X5762">
        <v>0.97478609999999999</v>
      </c>
      <c r="Y5762">
        <v>-0.23220389999999999</v>
      </c>
      <c r="Z5762">
        <v>4.2025260000000002E-2</v>
      </c>
      <c r="AA5762">
        <v>0.97175880000000003</v>
      </c>
      <c r="AB5762">
        <v>23</v>
      </c>
      <c r="AC5762">
        <v>9.2056000000000004</v>
      </c>
      <c r="AD5762">
        <v>-1.1141606986348001</v>
      </c>
      <c r="AE5762">
        <v>-4.1699999999949E-3</v>
      </c>
      <c r="AF5762">
        <v>-2.1601727537589701</v>
      </c>
      <c r="AG5762">
        <v>-1.1141606986348001</v>
      </c>
      <c r="AH5762">
        <v>8.8117841388099603</v>
      </c>
      <c r="AI5762">
        <v>97.001077591522602</v>
      </c>
      <c r="AJ5762">
        <v>103.774186513806</v>
      </c>
      <c r="AK5762">
        <v>9.1408555451581108</v>
      </c>
      <c r="AL5762">
        <v>90.002201975326599</v>
      </c>
      <c r="AM5762">
        <v>102.893609665794</v>
      </c>
      <c r="AN5762">
        <v>1.0000000133120801</v>
      </c>
    </row>
    <row r="5763" spans="1:40" x14ac:dyDescent="0.25">
      <c r="A5763" t="str">
        <f>"20190312151649090"</f>
        <v>20190312151649090</v>
      </c>
      <c r="B5763" t="str">
        <f>"1552375009083891"</f>
        <v>1552375009083891</v>
      </c>
      <c r="C5763" t="s">
        <v>40</v>
      </c>
      <c r="D5763">
        <v>4.9052309999999997</v>
      </c>
      <c r="E5763">
        <v>0.49558190000000002</v>
      </c>
      <c r="F5763" t="s">
        <v>43</v>
      </c>
      <c r="G5763">
        <v>-269.8193</v>
      </c>
      <c r="H5763" s="1">
        <v>-3.6515320000000001E-6</v>
      </c>
      <c r="I5763">
        <v>-62.760129999999997</v>
      </c>
      <c r="J5763">
        <v>-279.13670000000002</v>
      </c>
      <c r="K5763">
        <v>1.114169</v>
      </c>
      <c r="L5763">
        <v>-62.783110000000001</v>
      </c>
      <c r="M5763">
        <v>0.97187650000000003</v>
      </c>
      <c r="N5763">
        <v>0</v>
      </c>
      <c r="O5763">
        <v>-0.2352098</v>
      </c>
      <c r="P5763">
        <v>0.99986730000000001</v>
      </c>
      <c r="Q5763">
        <v>-8.6822210000000004E-3</v>
      </c>
      <c r="R5763">
        <v>-1.37939E-2</v>
      </c>
      <c r="S5763">
        <v>2.9974059999999998</v>
      </c>
      <c r="T5763">
        <v>-0.35450229999999999</v>
      </c>
      <c r="U5763">
        <v>3.9672850000000001E-4</v>
      </c>
      <c r="V5763">
        <v>-0.22180159999999999</v>
      </c>
      <c r="W5763" s="1">
        <v>8.5802980000000004E-5</v>
      </c>
      <c r="X5763">
        <v>0.97509179999999995</v>
      </c>
      <c r="Y5763">
        <v>-0.2321202</v>
      </c>
      <c r="Z5763">
        <v>4.1204339999999999E-2</v>
      </c>
      <c r="AA5763">
        <v>0.97181399999999996</v>
      </c>
      <c r="AB5763">
        <v>23</v>
      </c>
      <c r="AC5763">
        <v>9.3174000000000099</v>
      </c>
      <c r="AD5763">
        <v>-1.1141726515320001</v>
      </c>
      <c r="AE5763">
        <v>2.2979999999996802E-2</v>
      </c>
      <c r="AF5763">
        <v>-2.1828115664632999</v>
      </c>
      <c r="AG5763">
        <v>-1.1141726515320001</v>
      </c>
      <c r="AH5763">
        <v>8.9229646447305502</v>
      </c>
      <c r="AI5763">
        <v>96.915585731553705</v>
      </c>
      <c r="AJ5763">
        <v>103.74621955209599</v>
      </c>
      <c r="AK5763">
        <v>9.2533964079801105</v>
      </c>
      <c r="AL5763">
        <v>89.995083851310198</v>
      </c>
      <c r="AM5763">
        <v>102.81487190452</v>
      </c>
      <c r="AN5763">
        <v>0.99999998777597499</v>
      </c>
    </row>
    <row r="5764" spans="1:40" x14ac:dyDescent="0.25">
      <c r="A5764" t="str">
        <f>"20190312151649099"</f>
        <v>20190312151649099</v>
      </c>
      <c r="B5764" t="str">
        <f>"1552375009093652"</f>
        <v>1552375009093652</v>
      </c>
      <c r="C5764" t="s">
        <v>40</v>
      </c>
      <c r="D5764">
        <v>5.1864129999999999</v>
      </c>
      <c r="E5764">
        <v>0.49550250000000001</v>
      </c>
      <c r="F5764" t="s">
        <v>43</v>
      </c>
      <c r="G5764">
        <v>-269.59780000000001</v>
      </c>
      <c r="H5764" s="1">
        <v>-3.5763069999999999E-6</v>
      </c>
      <c r="I5764">
        <v>-62.761000000000003</v>
      </c>
      <c r="J5764">
        <v>-279.04169999999999</v>
      </c>
      <c r="K5764">
        <v>1.114174</v>
      </c>
      <c r="L5764">
        <v>-62.802549999999997</v>
      </c>
      <c r="M5764">
        <v>0.97260950000000002</v>
      </c>
      <c r="N5764">
        <v>0</v>
      </c>
      <c r="O5764">
        <v>-0.23216020000000001</v>
      </c>
      <c r="P5764">
        <v>0.99989680000000003</v>
      </c>
      <c r="Q5764">
        <v>-8.1855450000000007E-3</v>
      </c>
      <c r="R5764">
        <v>-1.181313E-2</v>
      </c>
      <c r="S5764">
        <v>2.9974980000000002</v>
      </c>
      <c r="T5764">
        <v>-0.35011490000000001</v>
      </c>
      <c r="U5764">
        <v>6.9274899999999997E-3</v>
      </c>
      <c r="V5764">
        <v>-0.2206814</v>
      </c>
      <c r="W5764">
        <v>5.9062640000000005E-4</v>
      </c>
      <c r="X5764">
        <v>0.97534580000000004</v>
      </c>
      <c r="Y5764">
        <v>-0.23129359999999999</v>
      </c>
      <c r="Z5764">
        <v>4.03028E-2</v>
      </c>
      <c r="AA5764">
        <v>0.97204880000000005</v>
      </c>
      <c r="AB5764">
        <v>23</v>
      </c>
      <c r="AC5764">
        <v>9.4438999999999798</v>
      </c>
      <c r="AD5764">
        <v>-1.1141775763070001</v>
      </c>
      <c r="AE5764">
        <v>4.1549999999993703E-2</v>
      </c>
      <c r="AF5764">
        <v>-2.2024029585284199</v>
      </c>
      <c r="AG5764">
        <v>-1.1141775763070001</v>
      </c>
      <c r="AH5764">
        <v>9.0502210756124306</v>
      </c>
      <c r="AI5764">
        <v>96.821280366165595</v>
      </c>
      <c r="AJ5764">
        <v>103.677271237897</v>
      </c>
      <c r="AK5764">
        <v>9.3807500755930793</v>
      </c>
      <c r="AL5764">
        <v>89.966159599037098</v>
      </c>
      <c r="AM5764">
        <v>102.7490599165</v>
      </c>
      <c r="AN5764">
        <v>1.0000000293615701</v>
      </c>
    </row>
    <row r="5765" spans="1:40" x14ac:dyDescent="0.25">
      <c r="A5765" t="str">
        <f>"20190312151649108"</f>
        <v>20190312151649108</v>
      </c>
      <c r="B5765" t="str">
        <f>"1552375009103783"</f>
        <v>1552375009103783</v>
      </c>
      <c r="C5765" t="s">
        <v>40</v>
      </c>
      <c r="D5765">
        <v>5.0207550000000003</v>
      </c>
      <c r="E5765">
        <v>0.4954421</v>
      </c>
      <c r="F5765" t="s">
        <v>43</v>
      </c>
      <c r="G5765">
        <v>-269.30990000000003</v>
      </c>
      <c r="H5765" s="1">
        <v>-3.4781549999999998E-6</v>
      </c>
      <c r="I5765">
        <v>-62.759880000000003</v>
      </c>
      <c r="J5765">
        <v>-278.95100000000002</v>
      </c>
      <c r="K5765">
        <v>1.1141760000000001</v>
      </c>
      <c r="L5765">
        <v>-62.821010000000001</v>
      </c>
      <c r="M5765">
        <v>0.97330139999999998</v>
      </c>
      <c r="N5765">
        <v>0</v>
      </c>
      <c r="O5765">
        <v>-0.22924249999999999</v>
      </c>
      <c r="P5765">
        <v>0.99991549999999996</v>
      </c>
      <c r="Q5765">
        <v>-8.0744630000000005E-3</v>
      </c>
      <c r="R5765">
        <v>-1.0184520000000001E-2</v>
      </c>
      <c r="S5765">
        <v>2.9976500000000001</v>
      </c>
      <c r="T5765">
        <v>-0.34319519999999998</v>
      </c>
      <c r="U5765">
        <v>1.312256E-2</v>
      </c>
      <c r="V5765">
        <v>-0.21934629999999999</v>
      </c>
      <c r="W5765">
        <v>7.1269669999999999E-4</v>
      </c>
      <c r="X5765">
        <v>0.97564680000000004</v>
      </c>
      <c r="Y5765">
        <v>-0.2305325</v>
      </c>
      <c r="Z5765">
        <v>3.914144E-2</v>
      </c>
      <c r="AA5765">
        <v>0.97227710000000001</v>
      </c>
      <c r="AB5765">
        <v>23</v>
      </c>
      <c r="AC5765">
        <v>9.6410999999999305</v>
      </c>
      <c r="AD5765">
        <v>-1.1141794781550001</v>
      </c>
      <c r="AE5765">
        <v>6.1129999999998498E-2</v>
      </c>
      <c r="AF5765">
        <v>-2.23988452176848</v>
      </c>
      <c r="AG5765">
        <v>-1.1141794781550001</v>
      </c>
      <c r="AH5765">
        <v>9.2468122381473901</v>
      </c>
      <c r="AI5765">
        <v>96.679292007106397</v>
      </c>
      <c r="AJ5765">
        <v>103.61665374213101</v>
      </c>
      <c r="AK5765">
        <v>9.5792491954198606</v>
      </c>
      <c r="AL5765">
        <v>89.959165483266403</v>
      </c>
      <c r="AM5765">
        <v>102.67064432467799</v>
      </c>
      <c r="AN5765">
        <v>0.99999999280525798</v>
      </c>
    </row>
    <row r="5766" spans="1:40" x14ac:dyDescent="0.25">
      <c r="A5766" t="str">
        <f>"20190312151649119"</f>
        <v>20190312151649119</v>
      </c>
      <c r="B5766" t="str">
        <f>"1552375009113543"</f>
        <v>1552375009113543</v>
      </c>
      <c r="C5766" t="s">
        <v>40</v>
      </c>
      <c r="D5766">
        <v>4.9632759999999996</v>
      </c>
      <c r="E5766">
        <v>0.49566830000000001</v>
      </c>
      <c r="F5766" t="s">
        <v>73</v>
      </c>
      <c r="G5766">
        <v>-269.0899</v>
      </c>
      <c r="H5766" s="1">
        <v>-3.4035320000000001E-6</v>
      </c>
      <c r="I5766">
        <v>-62.761310000000002</v>
      </c>
      <c r="J5766">
        <v>-278.85449999999997</v>
      </c>
      <c r="K5766">
        <v>1.1141829999999999</v>
      </c>
      <c r="L5766">
        <v>-62.840179999999997</v>
      </c>
      <c r="M5766">
        <v>0.97402639999999996</v>
      </c>
      <c r="N5766">
        <v>0</v>
      </c>
      <c r="O5766">
        <v>-0.2261426</v>
      </c>
      <c r="P5766">
        <v>0.99993480000000001</v>
      </c>
      <c r="Q5766">
        <v>-7.8082569999999999E-3</v>
      </c>
      <c r="R5766">
        <v>-8.3469419999999996E-3</v>
      </c>
      <c r="S5766">
        <v>2.9977109999999998</v>
      </c>
      <c r="T5766">
        <v>-0.33870450000000002</v>
      </c>
      <c r="U5766">
        <v>1.8127440000000002E-2</v>
      </c>
      <c r="V5766">
        <v>-0.21803690000000001</v>
      </c>
      <c r="W5766">
        <v>9.892620999999999E-4</v>
      </c>
      <c r="X5766">
        <v>0.97594000000000003</v>
      </c>
      <c r="Y5766">
        <v>-0.2291646</v>
      </c>
      <c r="Z5766">
        <v>3.8213629999999998E-2</v>
      </c>
      <c r="AA5766">
        <v>0.97263730000000004</v>
      </c>
      <c r="AB5766">
        <v>23</v>
      </c>
      <c r="AC5766">
        <v>9.7645999999999695</v>
      </c>
      <c r="AD5766">
        <v>-1.1141864035319999</v>
      </c>
      <c r="AE5766">
        <v>7.8870000000009099E-2</v>
      </c>
      <c r="AF5766">
        <v>-2.2557961636141299</v>
      </c>
      <c r="AG5766">
        <v>-1.1141864035319999</v>
      </c>
      <c r="AH5766">
        <v>9.3717582315912296</v>
      </c>
      <c r="AI5766">
        <v>96.593355325635898</v>
      </c>
      <c r="AJ5766">
        <v>103.533730607471</v>
      </c>
      <c r="AK5766">
        <v>9.70360139458489</v>
      </c>
      <c r="AL5766">
        <v>89.943319446232394</v>
      </c>
      <c r="AM5766">
        <v>102.5937633754</v>
      </c>
      <c r="AN5766">
        <v>0.99999997600055601</v>
      </c>
    </row>
    <row r="5767" spans="1:40" x14ac:dyDescent="0.25">
      <c r="A5767" t="str">
        <f>"20190312151649130"</f>
        <v>20190312151649130</v>
      </c>
      <c r="B5767" t="str">
        <f>"1552375009123303"</f>
        <v>1552375009123303</v>
      </c>
      <c r="C5767" t="s">
        <v>40</v>
      </c>
      <c r="D5767">
        <v>4.8686189999999998</v>
      </c>
      <c r="E5767">
        <v>0.49569259999999898</v>
      </c>
      <c r="F5767" t="s">
        <v>73</v>
      </c>
      <c r="G5767">
        <v>-268.9006</v>
      </c>
      <c r="H5767" s="1">
        <v>-3.3402760000000002E-6</v>
      </c>
      <c r="I5767">
        <v>-62.767859999999999</v>
      </c>
      <c r="J5767">
        <v>-278.74029999999999</v>
      </c>
      <c r="K5767">
        <v>1.1141920000000001</v>
      </c>
      <c r="L5767">
        <v>-62.862580000000001</v>
      </c>
      <c r="M5767">
        <v>0.97487179999999996</v>
      </c>
      <c r="N5767">
        <v>0</v>
      </c>
      <c r="O5767">
        <v>-0.2224701</v>
      </c>
      <c r="P5767">
        <v>0.99995049999999996</v>
      </c>
      <c r="Q5767">
        <v>-7.788751E-3</v>
      </c>
      <c r="R5767">
        <v>-6.1852679999999998E-3</v>
      </c>
      <c r="S5767">
        <v>2.9977420000000001</v>
      </c>
      <c r="T5767">
        <v>-0.3355513</v>
      </c>
      <c r="U5767">
        <v>2.1759029999999999E-2</v>
      </c>
      <c r="V5767">
        <v>-0.21646789999999999</v>
      </c>
      <c r="W5767">
        <v>1.020733E-3</v>
      </c>
      <c r="X5767">
        <v>0.97628919999999997</v>
      </c>
      <c r="Y5767">
        <v>-0.2267663</v>
      </c>
      <c r="Z5767">
        <v>3.732473E-2</v>
      </c>
      <c r="AA5767">
        <v>0.97323380000000004</v>
      </c>
      <c r="AB5767">
        <v>23</v>
      </c>
      <c r="AC5767">
        <v>9.8396999999999899</v>
      </c>
      <c r="AD5767">
        <v>-1.1141953402760001</v>
      </c>
      <c r="AE5767">
        <v>9.4720000000002302E-2</v>
      </c>
      <c r="AF5767">
        <v>-2.2526485228165098</v>
      </c>
      <c r="AG5767">
        <v>-1.1141953402760001</v>
      </c>
      <c r="AH5767">
        <v>9.4508372934776901</v>
      </c>
      <c r="AI5767">
        <v>96.542165096828398</v>
      </c>
      <c r="AJ5767">
        <v>103.40654845795</v>
      </c>
      <c r="AK5767">
        <v>9.7792730901345095</v>
      </c>
      <c r="AL5767">
        <v>89.941516296807805</v>
      </c>
      <c r="AM5767">
        <v>102.50166667205499</v>
      </c>
      <c r="AN5767">
        <v>0.99999999783145299</v>
      </c>
    </row>
    <row r="5768" spans="1:40" x14ac:dyDescent="0.25">
      <c r="A5768" t="str">
        <f>"20190312151649140"</f>
        <v>20190312151649140</v>
      </c>
      <c r="B5768" t="str">
        <f>"1552375009134039"</f>
        <v>1552375009134039</v>
      </c>
      <c r="C5768" t="s">
        <v>40</v>
      </c>
      <c r="D5768">
        <v>5.2493480000000003</v>
      </c>
      <c r="E5768">
        <v>0.49569259999999898</v>
      </c>
      <c r="F5768" t="s">
        <v>43</v>
      </c>
      <c r="G5768">
        <v>-268.77260000000001</v>
      </c>
      <c r="H5768" s="1">
        <v>-3.2969710000000002E-6</v>
      </c>
      <c r="I5768">
        <v>-62.769359999999999</v>
      </c>
      <c r="J5768">
        <v>-278.63389999999998</v>
      </c>
      <c r="K5768">
        <v>1.1142049999999999</v>
      </c>
      <c r="L5768">
        <v>-62.882930000000002</v>
      </c>
      <c r="M5768">
        <v>0.97564700000000004</v>
      </c>
      <c r="N5768">
        <v>0</v>
      </c>
      <c r="O5768">
        <v>-0.2190453</v>
      </c>
      <c r="P5768">
        <v>0.99996320000000005</v>
      </c>
      <c r="Q5768">
        <v>-7.3560569999999896E-3</v>
      </c>
      <c r="R5768">
        <v>-4.4274129999999998E-3</v>
      </c>
      <c r="S5768">
        <v>2.9977109999999998</v>
      </c>
      <c r="T5768">
        <v>-0.33508490000000002</v>
      </c>
      <c r="U5768">
        <v>2.8015140000000001E-2</v>
      </c>
      <c r="V5768">
        <v>-0.21476219999999999</v>
      </c>
      <c r="W5768">
        <v>1.4689600000000001E-3</v>
      </c>
      <c r="X5768">
        <v>0.97666529999999996</v>
      </c>
      <c r="Y5768">
        <v>-0.2254158</v>
      </c>
      <c r="Z5768">
        <v>3.6824870000000003E-2</v>
      </c>
      <c r="AA5768">
        <v>0.9735665</v>
      </c>
      <c r="AB5768">
        <v>23</v>
      </c>
      <c r="AC5768">
        <v>9.8612999999999698</v>
      </c>
      <c r="AD5768">
        <v>-1.1142082969710001</v>
      </c>
      <c r="AE5768">
        <v>0.113570000000002</v>
      </c>
      <c r="AF5768">
        <v>-2.2424022955473299</v>
      </c>
      <c r="AG5768">
        <v>-1.1142082969710001</v>
      </c>
      <c r="AH5768">
        <v>9.4759480430071807</v>
      </c>
      <c r="AI5768">
        <v>96.527545180353897</v>
      </c>
      <c r="AJ5768">
        <v>103.313645922223</v>
      </c>
      <c r="AK5768">
        <v>9.8011947995071793</v>
      </c>
      <c r="AL5768">
        <v>89.915834764344694</v>
      </c>
      <c r="AM5768">
        <v>102.401589641312</v>
      </c>
      <c r="AN5768">
        <v>1.0000000343082001</v>
      </c>
    </row>
    <row r="5769" spans="1:40" x14ac:dyDescent="0.25">
      <c r="A5769" t="str">
        <f>"20190312151649151"</f>
        <v>20190312151649151</v>
      </c>
      <c r="B5769" t="str">
        <f>"1552375009143799"</f>
        <v>1552375009143799</v>
      </c>
      <c r="C5769" t="s">
        <v>40</v>
      </c>
      <c r="D5769">
        <v>5.1511659999999999</v>
      </c>
      <c r="E5769">
        <v>0.50691140000000001</v>
      </c>
      <c r="F5769" t="s">
        <v>73</v>
      </c>
      <c r="G5769">
        <v>-268.62700000000001</v>
      </c>
      <c r="H5769" s="1">
        <v>-3.2478040000000002E-6</v>
      </c>
      <c r="I5769">
        <v>-62.771520000000002</v>
      </c>
      <c r="J5769">
        <v>-278.52269999999999</v>
      </c>
      <c r="K5769">
        <v>1.1142129999999999</v>
      </c>
      <c r="L5769">
        <v>-62.90399</v>
      </c>
      <c r="M5769">
        <v>0.97644390000000003</v>
      </c>
      <c r="N5769">
        <v>0</v>
      </c>
      <c r="O5769">
        <v>-0.21546560000000001</v>
      </c>
      <c r="P5769">
        <v>0.99997009999999997</v>
      </c>
      <c r="Q5769">
        <v>-7.3021800000000001E-3</v>
      </c>
      <c r="R5769">
        <v>-2.5189380000000001E-3</v>
      </c>
      <c r="S5769">
        <v>2.9978030000000002</v>
      </c>
      <c r="T5769">
        <v>-0.33378740000000001</v>
      </c>
      <c r="U5769">
        <v>3.3355709999999997E-2</v>
      </c>
      <c r="V5769">
        <v>-0.21304390000000001</v>
      </c>
      <c r="W5769">
        <v>1.5381010000000001E-3</v>
      </c>
      <c r="X5769">
        <v>0.97704139999999995</v>
      </c>
      <c r="Y5769">
        <v>-0.2236322</v>
      </c>
      <c r="Z5769">
        <v>3.6193660000000002E-2</v>
      </c>
      <c r="AA5769">
        <v>0.97400129999999996</v>
      </c>
      <c r="AB5769">
        <v>23</v>
      </c>
      <c r="AC5769">
        <v>9.8956999999999695</v>
      </c>
      <c r="AD5769">
        <v>-1.1142162478040001</v>
      </c>
      <c r="AE5769">
        <v>0.132470000000004</v>
      </c>
      <c r="AF5769">
        <v>-2.23337230056039</v>
      </c>
      <c r="AG5769">
        <v>-1.1142162478040001</v>
      </c>
      <c r="AH5769">
        <v>9.5140918235034899</v>
      </c>
      <c r="AI5769">
        <v>96.504377716406097</v>
      </c>
      <c r="AJ5769">
        <v>103.210629362942</v>
      </c>
      <c r="AK5769">
        <v>9.8360242428451201</v>
      </c>
      <c r="AL5769">
        <v>89.911873268006701</v>
      </c>
      <c r="AM5769">
        <v>102.300807459319</v>
      </c>
      <c r="AN5769">
        <v>0.99999998319792704</v>
      </c>
    </row>
    <row r="5770" spans="1:40" x14ac:dyDescent="0.25">
      <c r="A5770" t="str">
        <f>"20190312151649164"</f>
        <v>20190312151649164</v>
      </c>
      <c r="B5770" t="str">
        <f>"1552375009153561"</f>
        <v>1552375009153561</v>
      </c>
      <c r="C5770" t="s">
        <v>40</v>
      </c>
      <c r="D5770">
        <v>5.0058049999999996</v>
      </c>
      <c r="E5770">
        <v>0.50337670000000001</v>
      </c>
      <c r="F5770" t="s">
        <v>43</v>
      </c>
      <c r="G5770">
        <v>-267.03410000000002</v>
      </c>
      <c r="H5770" s="1">
        <v>-2.7465470000000001E-6</v>
      </c>
      <c r="I5770">
        <v>-63.103450000000002</v>
      </c>
      <c r="J5770">
        <v>-278.40379999999999</v>
      </c>
      <c r="K5770">
        <v>1.1142209999999999</v>
      </c>
      <c r="L5770">
        <v>-62.925780000000003</v>
      </c>
      <c r="M5770">
        <v>0.97728009999999998</v>
      </c>
      <c r="N5770">
        <v>0</v>
      </c>
      <c r="O5770">
        <v>-0.2116411</v>
      </c>
      <c r="P5770">
        <v>0.99997480000000005</v>
      </c>
      <c r="Q5770">
        <v>-7.0866180000000003E-3</v>
      </c>
      <c r="R5770">
        <v>-3.4697260000000001E-4</v>
      </c>
      <c r="S5770">
        <v>2.997833</v>
      </c>
      <c r="T5770">
        <v>-0.29074420000000001</v>
      </c>
      <c r="U5770">
        <v>-5.2062990000000003E-2</v>
      </c>
      <c r="V5770">
        <v>-0.21134339999999999</v>
      </c>
      <c r="W5770">
        <v>1.769844E-3</v>
      </c>
      <c r="X5770">
        <v>0.97741029999999995</v>
      </c>
      <c r="Y5770">
        <v>-0.19276850000000001</v>
      </c>
      <c r="Z5770">
        <v>2.9676009999999999E-2</v>
      </c>
      <c r="AA5770">
        <v>0.98079539999999998</v>
      </c>
      <c r="AB5770">
        <v>23</v>
      </c>
      <c r="AC5770">
        <v>11.3696999999999</v>
      </c>
      <c r="AD5770">
        <v>-1.114223746547</v>
      </c>
      <c r="AE5770">
        <v>-0.177669999999999</v>
      </c>
      <c r="AF5770">
        <v>-2.21157492089664</v>
      </c>
      <c r="AG5770">
        <v>-1.114223746547</v>
      </c>
      <c r="AH5770">
        <v>11.043681467834</v>
      </c>
      <c r="AI5770">
        <v>95.649788744400098</v>
      </c>
      <c r="AJ5770">
        <v>101.324092443769</v>
      </c>
      <c r="AK5770">
        <v>11.317926424530601</v>
      </c>
      <c r="AL5770">
        <v>89.898595358487</v>
      </c>
      <c r="AM5770">
        <v>102.201109569515</v>
      </c>
      <c r="AN5770">
        <v>1.0000000298087099</v>
      </c>
    </row>
    <row r="5771" spans="1:40" x14ac:dyDescent="0.25">
      <c r="A5771" t="str">
        <f>"20190312151649176"</f>
        <v>20190312151649176</v>
      </c>
      <c r="B5771" t="str">
        <f>"1552375009163319"</f>
        <v>1552375009163319</v>
      </c>
      <c r="C5771" t="s">
        <v>40</v>
      </c>
      <c r="D5771">
        <v>4.878501</v>
      </c>
      <c r="E5771">
        <v>0.50290990000000002</v>
      </c>
      <c r="F5771" t="s">
        <v>73</v>
      </c>
      <c r="G5771">
        <v>-265.83980000000003</v>
      </c>
      <c r="H5771" s="1">
        <v>-2.2073270000000001E-6</v>
      </c>
      <c r="I5771">
        <v>-63.00244</v>
      </c>
      <c r="J5771">
        <v>-278.28660000000002</v>
      </c>
      <c r="K5771">
        <v>1.1142259999999999</v>
      </c>
      <c r="L5771">
        <v>-62.94699</v>
      </c>
      <c r="M5771">
        <v>0.97809049999999997</v>
      </c>
      <c r="N5771">
        <v>0</v>
      </c>
      <c r="O5771">
        <v>-0.2078632</v>
      </c>
      <c r="P5771">
        <v>0.9999749</v>
      </c>
      <c r="Q5771">
        <v>-6.8381519999999897E-3</v>
      </c>
      <c r="R5771">
        <v>1.807887E-3</v>
      </c>
      <c r="S5771">
        <v>2.9981990000000001</v>
      </c>
      <c r="T5771">
        <v>-0.26589119999999999</v>
      </c>
      <c r="U5771">
        <v>-1.8310549999999998E-2</v>
      </c>
      <c r="V5771">
        <v>-0.2096759</v>
      </c>
      <c r="W5771">
        <v>2.0335349999999999E-3</v>
      </c>
      <c r="X5771">
        <v>0.97776879999999999</v>
      </c>
      <c r="Y5771">
        <v>-0.20030700000000001</v>
      </c>
      <c r="Z5771">
        <v>2.71588E-2</v>
      </c>
      <c r="AA5771">
        <v>0.97935660000000002</v>
      </c>
      <c r="AB5771">
        <v>23</v>
      </c>
      <c r="AC5771">
        <v>12.4467999999999</v>
      </c>
      <c r="AD5771">
        <v>-1.114228207327</v>
      </c>
      <c r="AE5771">
        <v>-5.5450000000000402E-2</v>
      </c>
      <c r="AF5771">
        <v>-2.5130253593215999</v>
      </c>
      <c r="AG5771">
        <v>-1.114228207327</v>
      </c>
      <c r="AH5771">
        <v>12.0895463223204</v>
      </c>
      <c r="AI5771">
        <v>95.156161571640297</v>
      </c>
      <c r="AJ5771">
        <v>101.742713734619</v>
      </c>
      <c r="AK5771">
        <v>12.3981422493101</v>
      </c>
      <c r="AL5771">
        <v>89.883486943475901</v>
      </c>
      <c r="AM5771">
        <v>102.103385584001</v>
      </c>
      <c r="AN5771">
        <v>0.99999997227942194</v>
      </c>
    </row>
    <row r="5772" spans="1:40" x14ac:dyDescent="0.25">
      <c r="A5772" t="str">
        <f>"20190312151649185"</f>
        <v>20190312151649185</v>
      </c>
      <c r="B5772" t="str">
        <f>"1552375009174055"</f>
        <v>1552375009174055</v>
      </c>
      <c r="C5772" t="s">
        <v>40</v>
      </c>
      <c r="D5772">
        <v>4.8927630000000004</v>
      </c>
      <c r="E5772">
        <v>0.50264489999999995</v>
      </c>
      <c r="F5772" t="s">
        <v>73</v>
      </c>
      <c r="G5772">
        <v>-264.86110000000002</v>
      </c>
      <c r="H5772" s="1">
        <v>-1.783349E-6</v>
      </c>
      <c r="I5772">
        <v>-62.987090000000002</v>
      </c>
      <c r="J5772">
        <v>-278.17779999999999</v>
      </c>
      <c r="K5772">
        <v>1.114228</v>
      </c>
      <c r="L5772">
        <v>-62.966090000000001</v>
      </c>
      <c r="M5772">
        <v>0.97882899999999995</v>
      </c>
      <c r="N5772">
        <v>0</v>
      </c>
      <c r="O5772">
        <v>-0.2043585</v>
      </c>
      <c r="P5772">
        <v>0.99997349999999996</v>
      </c>
      <c r="Q5772">
        <v>-6.4026880000000001E-3</v>
      </c>
      <c r="R5772">
        <v>3.5526730000000001E-3</v>
      </c>
      <c r="S5772">
        <v>2.998383</v>
      </c>
      <c r="T5772">
        <v>-0.24884429999999999</v>
      </c>
      <c r="U5772">
        <v>-8.9721680000000009E-3</v>
      </c>
      <c r="V5772">
        <v>-0.2078855</v>
      </c>
      <c r="W5772">
        <v>2.4846209999999998E-3</v>
      </c>
      <c r="X5772">
        <v>0.97814999999999996</v>
      </c>
      <c r="Y5772">
        <v>-0.20005919999999999</v>
      </c>
      <c r="Z5772">
        <v>2.5127989999999999E-2</v>
      </c>
      <c r="AA5772">
        <v>0.97946160000000004</v>
      </c>
      <c r="AB5772">
        <v>23</v>
      </c>
      <c r="AC5772">
        <v>13.3166999999999</v>
      </c>
      <c r="AD5772">
        <v>-1.114229783349</v>
      </c>
      <c r="AE5772">
        <v>-2.1000000000000799E-2</v>
      </c>
      <c r="AF5772">
        <v>-2.6822248334268499</v>
      </c>
      <c r="AG5772">
        <v>-1.114229783349</v>
      </c>
      <c r="AH5772">
        <v>12.9492635939688</v>
      </c>
      <c r="AI5772">
        <v>94.816211249406095</v>
      </c>
      <c r="AJ5772">
        <v>101.702381229754</v>
      </c>
      <c r="AK5772">
        <v>13.270993395116999</v>
      </c>
      <c r="AL5772">
        <v>89.857641554898393</v>
      </c>
      <c r="AM5772">
        <v>101.998503583095</v>
      </c>
      <c r="AN5772">
        <v>0.99999998847588101</v>
      </c>
    </row>
    <row r="5773" spans="1:40" x14ac:dyDescent="0.25">
      <c r="A5773" t="str">
        <f>"20190312151649197"</f>
        <v>20190312151649197</v>
      </c>
      <c r="B5773" t="str">
        <f>"1552375009193575"</f>
        <v>1552375009193575</v>
      </c>
      <c r="C5773" t="s">
        <v>40</v>
      </c>
      <c r="D5773">
        <v>4.8738890000000001</v>
      </c>
      <c r="E5773">
        <v>0.502274</v>
      </c>
      <c r="F5773" t="s">
        <v>43</v>
      </c>
      <c r="G5773">
        <v>-264.19409999999999</v>
      </c>
      <c r="H5773" s="1">
        <v>-1.4943659999999999E-6</v>
      </c>
      <c r="I5773">
        <v>-62.9762699999999</v>
      </c>
      <c r="J5773">
        <v>-278.07040000000001</v>
      </c>
      <c r="K5773">
        <v>1.1142319999999999</v>
      </c>
      <c r="L5773">
        <v>-62.98471</v>
      </c>
      <c r="M5773">
        <v>0.97954549999999996</v>
      </c>
      <c r="N5773">
        <v>0</v>
      </c>
      <c r="O5773">
        <v>-0.20089679999999999</v>
      </c>
      <c r="P5773">
        <v>0.99996609999999997</v>
      </c>
      <c r="Q5773">
        <v>-6.2202350000000002E-3</v>
      </c>
      <c r="R5773">
        <v>5.423916E-3</v>
      </c>
      <c r="S5773">
        <v>2.9985659999999998</v>
      </c>
      <c r="T5773">
        <v>-0.23892740000000001</v>
      </c>
      <c r="U5773">
        <v>-2.1972659999999998E-3</v>
      </c>
      <c r="V5773">
        <v>-0.20625959999999999</v>
      </c>
      <c r="W5773">
        <v>2.6806009999999999E-3</v>
      </c>
      <c r="X5773">
        <v>0.97849359999999996</v>
      </c>
      <c r="Y5773">
        <v>-0.19893140000000001</v>
      </c>
      <c r="Z5773">
        <v>2.381349E-2</v>
      </c>
      <c r="AA5773">
        <v>0.97972400000000004</v>
      </c>
      <c r="AB5773">
        <v>23</v>
      </c>
      <c r="AC5773">
        <v>13.876300000000001</v>
      </c>
      <c r="AD5773">
        <v>-1.1142334943659999</v>
      </c>
      <c r="AE5773">
        <v>8.4400000000073305E-3</v>
      </c>
      <c r="AF5773">
        <v>-2.7782416370069201</v>
      </c>
      <c r="AG5773">
        <v>-1.1142334943659999</v>
      </c>
      <c r="AH5773">
        <v>13.504588988393399</v>
      </c>
      <c r="AI5773">
        <v>94.620335182349095</v>
      </c>
      <c r="AJ5773">
        <v>101.625025661048</v>
      </c>
      <c r="AK5773">
        <v>13.8323557870307</v>
      </c>
      <c r="AL5773">
        <v>89.846412687094102</v>
      </c>
      <c r="AM5773">
        <v>101.903288569636</v>
      </c>
      <c r="AN5773">
        <v>0.99999996672741998</v>
      </c>
    </row>
    <row r="5774" spans="1:40" x14ac:dyDescent="0.25">
      <c r="A5774" t="str">
        <f>"20190312151649207"</f>
        <v>20190312151649207</v>
      </c>
      <c r="B5774" t="str">
        <f>"1552375009203842"</f>
        <v>1552375009203842</v>
      </c>
      <c r="C5774" t="s">
        <v>40</v>
      </c>
      <c r="D5774">
        <v>4.8905960000000004</v>
      </c>
      <c r="E5774">
        <v>0.50209589999999904</v>
      </c>
      <c r="F5774" t="s">
        <v>43</v>
      </c>
      <c r="G5774">
        <v>-263.30950000000001</v>
      </c>
      <c r="H5774" s="1">
        <v>-1.1094379999999999E-6</v>
      </c>
      <c r="I5774">
        <v>-62.955800000000004</v>
      </c>
      <c r="J5774">
        <v>-277.95440000000002</v>
      </c>
      <c r="K5774">
        <v>1.1142379999999901</v>
      </c>
      <c r="L5774">
        <v>-63.004300000000001</v>
      </c>
      <c r="M5774">
        <v>0.98030410000000001</v>
      </c>
      <c r="N5774">
        <v>0</v>
      </c>
      <c r="O5774">
        <v>-0.1971619</v>
      </c>
      <c r="P5774">
        <v>0.99995610000000001</v>
      </c>
      <c r="Q5774">
        <v>-5.7145449999999997E-3</v>
      </c>
      <c r="R5774">
        <v>7.4364649999999997E-3</v>
      </c>
      <c r="S5774">
        <v>2.9986269999999999</v>
      </c>
      <c r="T5774">
        <v>-0.22635379999999999</v>
      </c>
      <c r="U5774">
        <v>5.859375E-3</v>
      </c>
      <c r="V5774">
        <v>-0.20450599999999999</v>
      </c>
      <c r="W5774">
        <v>3.1993970000000001E-3</v>
      </c>
      <c r="X5774">
        <v>0.97886010000000001</v>
      </c>
      <c r="Y5774">
        <v>-0.19797139999999999</v>
      </c>
      <c r="Z5774">
        <v>2.2251079999999999E-2</v>
      </c>
      <c r="AA5774">
        <v>0.97995520000000003</v>
      </c>
      <c r="AB5774">
        <v>23</v>
      </c>
      <c r="AC5774">
        <v>14.6449</v>
      </c>
      <c r="AD5774">
        <v>-1.11423910943799</v>
      </c>
      <c r="AE5774">
        <v>4.8499999999997101E-2</v>
      </c>
      <c r="AF5774">
        <v>-2.9182605366907701</v>
      </c>
      <c r="AG5774">
        <v>-1.11423910943799</v>
      </c>
      <c r="AH5774">
        <v>14.2652564408661</v>
      </c>
      <c r="AI5774">
        <v>94.375960536540205</v>
      </c>
      <c r="AJ5774">
        <v>101.56154630107299</v>
      </c>
      <c r="AK5774">
        <v>14.6032638364401</v>
      </c>
      <c r="AL5774">
        <v>89.816687745435502</v>
      </c>
      <c r="AM5774">
        <v>101.80064334611301</v>
      </c>
      <c r="AN5774">
        <v>1.00000001777458</v>
      </c>
    </row>
    <row r="5775" spans="1:40" x14ac:dyDescent="0.25">
      <c r="A5775" t="str">
        <f>"20190312151649220"</f>
        <v>20190312151649220</v>
      </c>
      <c r="B5775" t="str">
        <f>"1552375009213602"</f>
        <v>1552375009213602</v>
      </c>
      <c r="C5775" t="s">
        <v>40</v>
      </c>
      <c r="D5775">
        <v>4.8237199999999998</v>
      </c>
      <c r="E5775">
        <v>0.50212449999999997</v>
      </c>
      <c r="F5775" t="s">
        <v>43</v>
      </c>
      <c r="G5775">
        <v>-262.82909999999998</v>
      </c>
      <c r="H5775" s="1">
        <v>-8.9877679999999999E-7</v>
      </c>
      <c r="I5775">
        <v>-62.938670000000002</v>
      </c>
      <c r="J5775">
        <v>-277.83460000000002</v>
      </c>
      <c r="K5775">
        <v>1.1142399999999999</v>
      </c>
      <c r="L5775">
        <v>-63.024050000000003</v>
      </c>
      <c r="M5775">
        <v>0.98107239999999996</v>
      </c>
      <c r="N5775">
        <v>0</v>
      </c>
      <c r="O5775">
        <v>-0.1933029</v>
      </c>
      <c r="P5775">
        <v>0.99993880000000002</v>
      </c>
      <c r="Q5775">
        <v>-5.6370250000000004E-3</v>
      </c>
      <c r="R5775">
        <v>9.5162059999999993E-3</v>
      </c>
      <c r="S5775">
        <v>2.9988100000000002</v>
      </c>
      <c r="T5775">
        <v>-0.22091359999999999</v>
      </c>
      <c r="U5775">
        <v>1.300049E-2</v>
      </c>
      <c r="V5775">
        <v>-0.20269039999999999</v>
      </c>
      <c r="W5775">
        <v>3.29095E-3</v>
      </c>
      <c r="X5775">
        <v>0.97923729999999998</v>
      </c>
      <c r="Y5775">
        <v>-0.19651560000000001</v>
      </c>
      <c r="Z5775">
        <v>2.1383900000000001E-2</v>
      </c>
      <c r="AA5775">
        <v>0.98026749999999996</v>
      </c>
      <c r="AB5775">
        <v>23</v>
      </c>
      <c r="AC5775">
        <v>15.0055</v>
      </c>
      <c r="AD5775">
        <v>-1.1142408987768</v>
      </c>
      <c r="AE5775">
        <v>8.53800000000077E-2</v>
      </c>
      <c r="AF5775">
        <v>-2.9682002577836202</v>
      </c>
      <c r="AG5775">
        <v>-1.1142408987768</v>
      </c>
      <c r="AH5775">
        <v>14.6253009556201</v>
      </c>
      <c r="AI5775">
        <v>94.269992830125105</v>
      </c>
      <c r="AJ5775">
        <v>101.472344374172</v>
      </c>
      <c r="AK5775">
        <v>14.964998282434699</v>
      </c>
      <c r="AL5775">
        <v>89.811442106351095</v>
      </c>
      <c r="AM5775">
        <v>101.694395273045</v>
      </c>
      <c r="AN5775">
        <v>0.99999995915767503</v>
      </c>
    </row>
    <row r="5776" spans="1:40" x14ac:dyDescent="0.25">
      <c r="A5776" t="str">
        <f>"20190312151649231"</f>
        <v>20190312151649231</v>
      </c>
      <c r="B5776" t="str">
        <f>"1552375009223362"</f>
        <v>1552375009223362</v>
      </c>
      <c r="C5776" t="s">
        <v>40</v>
      </c>
      <c r="D5776">
        <v>4.9490730000000003</v>
      </c>
      <c r="E5776">
        <v>0.50219480000000005</v>
      </c>
      <c r="F5776" t="s">
        <v>43</v>
      </c>
      <c r="G5776">
        <v>-262.51310000000001</v>
      </c>
      <c r="H5776" s="1">
        <v>-7.6039270000000005E-7</v>
      </c>
      <c r="I5776">
        <v>-62.928089999999997</v>
      </c>
      <c r="J5776">
        <v>-277.72149999999999</v>
      </c>
      <c r="K5776">
        <v>1.1142399999999999</v>
      </c>
      <c r="L5776">
        <v>-63.042389999999997</v>
      </c>
      <c r="M5776">
        <v>0.98178240000000006</v>
      </c>
      <c r="N5776">
        <v>0</v>
      </c>
      <c r="O5776">
        <v>-0.1896639</v>
      </c>
      <c r="P5776">
        <v>0.99992259999999999</v>
      </c>
      <c r="Q5776">
        <v>-5.1022669999999997E-3</v>
      </c>
      <c r="R5776">
        <v>1.1341E-2</v>
      </c>
      <c r="S5776">
        <v>2.9988100000000002</v>
      </c>
      <c r="T5776">
        <v>-0.2180859</v>
      </c>
      <c r="U5776">
        <v>1.876831E-2</v>
      </c>
      <c r="V5776">
        <v>-0.2008527</v>
      </c>
      <c r="W5776">
        <v>3.8407390000000001E-3</v>
      </c>
      <c r="X5776">
        <v>0.97961390000000004</v>
      </c>
      <c r="Y5776">
        <v>-0.19480639999999999</v>
      </c>
      <c r="Z5776">
        <v>2.0788750000000002E-2</v>
      </c>
      <c r="AA5776">
        <v>0.98062139999999998</v>
      </c>
      <c r="AB5776">
        <v>23</v>
      </c>
      <c r="AC5776">
        <v>15.2083999999999</v>
      </c>
      <c r="AD5776">
        <v>-1.11424076039269</v>
      </c>
      <c r="AE5776">
        <v>0.1143</v>
      </c>
      <c r="AF5776">
        <v>-2.9808986059099598</v>
      </c>
      <c r="AG5776">
        <v>-1.11424076039269</v>
      </c>
      <c r="AH5776">
        <v>14.8310324324028</v>
      </c>
      <c r="AI5776">
        <v>94.212570247359807</v>
      </c>
      <c r="AJ5776">
        <v>101.364498144896</v>
      </c>
      <c r="AK5776">
        <v>15.168612724366801</v>
      </c>
      <c r="AL5776">
        <v>89.779941318719693</v>
      </c>
      <c r="AM5776">
        <v>101.586913959396</v>
      </c>
      <c r="AN5776">
        <v>0.99999997572328203</v>
      </c>
    </row>
    <row r="5777" spans="1:40" x14ac:dyDescent="0.25">
      <c r="A5777" t="str">
        <f>"20190312151649243"</f>
        <v>20190312151649243</v>
      </c>
      <c r="B5777" t="str">
        <f>"1552375009234098"</f>
        <v>1552375009234098</v>
      </c>
      <c r="C5777" t="s">
        <v>40</v>
      </c>
      <c r="D5777">
        <v>5.0564349999999996</v>
      </c>
      <c r="E5777">
        <v>0.50234369999999995</v>
      </c>
      <c r="F5777" t="s">
        <v>73</v>
      </c>
      <c r="G5777">
        <v>-261.83550000000002</v>
      </c>
      <c r="H5777" s="1">
        <v>-4.6726729999999997E-7</v>
      </c>
      <c r="I5777">
        <v>-62.918970000000002</v>
      </c>
      <c r="J5777">
        <v>-277.60180000000003</v>
      </c>
      <c r="K5777">
        <v>1.114239</v>
      </c>
      <c r="L5777">
        <v>-63.061100000000003</v>
      </c>
      <c r="M5777">
        <v>0.98251719999999998</v>
      </c>
      <c r="N5777">
        <v>0</v>
      </c>
      <c r="O5777">
        <v>-0.1858206</v>
      </c>
      <c r="P5777">
        <v>0.99989740000000005</v>
      </c>
      <c r="Q5777">
        <v>-4.9863490000000002E-3</v>
      </c>
      <c r="R5777">
        <v>1.343194E-2</v>
      </c>
      <c r="S5777">
        <v>2.998901</v>
      </c>
      <c r="T5777">
        <v>-0.21034130000000001</v>
      </c>
      <c r="U5777">
        <v>2.3284909999999999E-2</v>
      </c>
      <c r="V5777">
        <v>-0.19906879999999999</v>
      </c>
      <c r="W5777">
        <v>3.972822E-3</v>
      </c>
      <c r="X5777">
        <v>0.9799774</v>
      </c>
      <c r="Y5777">
        <v>-0.19253029999999999</v>
      </c>
      <c r="Z5777">
        <v>1.9706709999999999E-2</v>
      </c>
      <c r="AA5777">
        <v>0.98109310000000005</v>
      </c>
      <c r="AB5777">
        <v>23</v>
      </c>
      <c r="AC5777">
        <v>15.766299999999999</v>
      </c>
      <c r="AD5777">
        <v>-1.1142394672672999</v>
      </c>
      <c r="AE5777">
        <v>0.142130000000008</v>
      </c>
      <c r="AF5777">
        <v>-3.0542953985219499</v>
      </c>
      <c r="AG5777">
        <v>-1.1142394672672999</v>
      </c>
      <c r="AH5777">
        <v>15.3884084671619</v>
      </c>
      <c r="AI5777">
        <v>94.062455793611093</v>
      </c>
      <c r="AJ5777">
        <v>101.22618269993799</v>
      </c>
      <c r="AK5777">
        <v>15.7281074870459</v>
      </c>
      <c r="AL5777">
        <v>89.772373453625605</v>
      </c>
      <c r="AM5777">
        <v>101.48260285881101</v>
      </c>
      <c r="AN5777">
        <v>0.99999993747941995</v>
      </c>
    </row>
    <row r="5778" spans="1:40" x14ac:dyDescent="0.25">
      <c r="A5778" t="str">
        <f>"20190312151649255"</f>
        <v>20190312151649255</v>
      </c>
      <c r="B5778" t="str">
        <f>"1552375009243859"</f>
        <v>1552375009243859</v>
      </c>
      <c r="C5778" t="s">
        <v>40</v>
      </c>
      <c r="D5778">
        <v>5.1082159999999996</v>
      </c>
      <c r="E5778">
        <v>0.50234120000000004</v>
      </c>
      <c r="F5778" t="s">
        <v>43</v>
      </c>
      <c r="G5778">
        <v>-261.18790000000001</v>
      </c>
      <c r="H5778" s="1">
        <v>-1.8646299999999999E-7</v>
      </c>
      <c r="I5778">
        <v>-62.907699999999998</v>
      </c>
      <c r="J5778">
        <v>-277.47829999999999</v>
      </c>
      <c r="K5778">
        <v>1.1142350000000001</v>
      </c>
      <c r="L5778">
        <v>-63.08014</v>
      </c>
      <c r="M5778">
        <v>0.98325899999999999</v>
      </c>
      <c r="N5778">
        <v>0</v>
      </c>
      <c r="O5778">
        <v>-0.18185509999999999</v>
      </c>
      <c r="P5778">
        <v>0.99987020000000004</v>
      </c>
      <c r="Q5778">
        <v>-4.6882209999999898E-3</v>
      </c>
      <c r="R5778">
        <v>1.541786E-2</v>
      </c>
      <c r="S5778">
        <v>2.9988709999999998</v>
      </c>
      <c r="T5778">
        <v>-0.2035749</v>
      </c>
      <c r="U5778">
        <v>2.8015140000000001E-2</v>
      </c>
      <c r="V5778">
        <v>-0.19706489999999999</v>
      </c>
      <c r="W5778">
        <v>4.2894389999999999E-3</v>
      </c>
      <c r="X5778">
        <v>0.98038110000000001</v>
      </c>
      <c r="Y5778">
        <v>-0.19019169999999999</v>
      </c>
      <c r="Z5778">
        <v>1.873E-2</v>
      </c>
      <c r="AA5778">
        <v>0.98156829999999995</v>
      </c>
      <c r="AB5778">
        <v>23</v>
      </c>
      <c r="AC5778">
        <v>16.290399999999899</v>
      </c>
      <c r="AD5778">
        <v>-1.114235186463</v>
      </c>
      <c r="AE5778">
        <v>0.17244000000000101</v>
      </c>
      <c r="AF5778">
        <v>-3.1176660129217102</v>
      </c>
      <c r="AG5778">
        <v>-1.114235186463</v>
      </c>
      <c r="AH5778">
        <v>15.912928735897699</v>
      </c>
      <c r="AI5778">
        <v>93.930864667642396</v>
      </c>
      <c r="AJ5778">
        <v>101.084998767842</v>
      </c>
      <c r="AK5778">
        <v>16.2536968832521</v>
      </c>
      <c r="AL5778">
        <v>89.754232504417104</v>
      </c>
      <c r="AM5778">
        <v>101.36548013276</v>
      </c>
      <c r="AN5778">
        <v>1.00000003766807</v>
      </c>
    </row>
    <row r="5779" spans="1:40" x14ac:dyDescent="0.25">
      <c r="A5779" t="str">
        <f>"20190312151649266"</f>
        <v>20190312151649266</v>
      </c>
      <c r="B5779" t="str">
        <f>"1552375009263379"</f>
        <v>1552375009263379</v>
      </c>
      <c r="C5779" t="s">
        <v>40</v>
      </c>
      <c r="D5779">
        <v>4.9261410000000003</v>
      </c>
      <c r="E5779">
        <v>0.50197460000000005</v>
      </c>
      <c r="F5779" t="s">
        <v>43</v>
      </c>
      <c r="G5779">
        <v>-260.63670000000002</v>
      </c>
      <c r="H5779" s="1">
        <v>5.4559340000000002E-8</v>
      </c>
      <c r="I5779">
        <v>-62.890529999999998</v>
      </c>
      <c r="J5779">
        <v>-277.36410000000001</v>
      </c>
      <c r="K5779">
        <v>1.1142299999999901</v>
      </c>
      <c r="L5779">
        <v>-63.097110000000001</v>
      </c>
      <c r="M5779">
        <v>0.98392829999999998</v>
      </c>
      <c r="N5779">
        <v>0</v>
      </c>
      <c r="O5779">
        <v>-0.178199</v>
      </c>
      <c r="P5779">
        <v>0.99984170000000006</v>
      </c>
      <c r="Q5779">
        <v>-4.4679020000000002E-3</v>
      </c>
      <c r="R5779">
        <v>1.721897E-2</v>
      </c>
      <c r="S5779">
        <v>2.9989319999999999</v>
      </c>
      <c r="T5779">
        <v>-0.19840859999999999</v>
      </c>
      <c r="U5779">
        <v>3.3752440000000002E-2</v>
      </c>
      <c r="V5779">
        <v>-0.1951888</v>
      </c>
      <c r="W5779">
        <v>4.5269020000000002E-3</v>
      </c>
      <c r="X5779">
        <v>0.9807553</v>
      </c>
      <c r="Y5779">
        <v>-0.18847439999999999</v>
      </c>
      <c r="Z5779">
        <v>1.7960210000000001E-2</v>
      </c>
      <c r="AA5779">
        <v>0.98191390000000001</v>
      </c>
      <c r="AB5779">
        <v>23</v>
      </c>
      <c r="AC5779">
        <v>16.7273999999999</v>
      </c>
      <c r="AD5779">
        <v>-1.1142299454406599</v>
      </c>
      <c r="AE5779">
        <v>0.20657999999999499</v>
      </c>
      <c r="AF5779">
        <v>-3.1702090100963201</v>
      </c>
      <c r="AG5779">
        <v>-1.1142299454406599</v>
      </c>
      <c r="AH5779">
        <v>16.350283492106701</v>
      </c>
      <c r="AI5779">
        <v>93.827468615822696</v>
      </c>
      <c r="AJ5779">
        <v>100.973105126899</v>
      </c>
      <c r="AK5779">
        <v>16.692019165195902</v>
      </c>
      <c r="AL5779">
        <v>89.740626750671296</v>
      </c>
      <c r="AM5779">
        <v>101.25586913255</v>
      </c>
      <c r="AN5779">
        <v>1.0000000594826199</v>
      </c>
    </row>
    <row r="5780" spans="1:40" x14ac:dyDescent="0.25">
      <c r="A5780" t="str">
        <f>"20190312151649275"</f>
        <v>20190312151649275</v>
      </c>
      <c r="B5780" t="str">
        <f>"1552375009263379"</f>
        <v>1552375009263379</v>
      </c>
      <c r="C5780" t="s">
        <v>40</v>
      </c>
      <c r="D5780">
        <v>4.9261410000000003</v>
      </c>
      <c r="E5780">
        <v>0.50197460000000005</v>
      </c>
      <c r="F5780" t="s">
        <v>43</v>
      </c>
      <c r="G5780">
        <v>-260.63929999999999</v>
      </c>
      <c r="H5780" s="1">
        <v>6.0753959999999897E-8</v>
      </c>
      <c r="I5780">
        <v>-62.863019999999999</v>
      </c>
      <c r="J5780">
        <v>-277.27409999999998</v>
      </c>
      <c r="K5780">
        <v>1.1142240000000001</v>
      </c>
      <c r="L5780">
        <v>-63.110320000000002</v>
      </c>
      <c r="M5780">
        <v>0.98444589999999998</v>
      </c>
      <c r="N5780">
        <v>0</v>
      </c>
      <c r="O5780">
        <v>-0.17531830000000001</v>
      </c>
      <c r="P5780">
        <v>0.9998283</v>
      </c>
      <c r="Q5780">
        <v>-3.6677680000000001E-3</v>
      </c>
      <c r="R5780">
        <v>1.816572E-2</v>
      </c>
      <c r="S5780">
        <v>2.99884</v>
      </c>
      <c r="T5780">
        <v>-0.1997871</v>
      </c>
      <c r="U5780">
        <v>4.196167E-2</v>
      </c>
      <c r="V5780">
        <v>-0.19325619999999999</v>
      </c>
      <c r="W5780">
        <v>5.3465750000000001E-3</v>
      </c>
      <c r="X5780">
        <v>0.98113379999999994</v>
      </c>
      <c r="Y5780">
        <v>-0.1882837</v>
      </c>
      <c r="Z5780">
        <v>1.7889829999999999E-2</v>
      </c>
      <c r="AA5780">
        <v>0.98195169999999998</v>
      </c>
      <c r="AB5780">
        <v>23</v>
      </c>
      <c r="AC5780">
        <v>16.634799999999899</v>
      </c>
      <c r="AD5780">
        <v>-1.11422393924603</v>
      </c>
      <c r="AE5780">
        <v>0.247299999999995</v>
      </c>
      <c r="AF5780">
        <v>-3.14593218866478</v>
      </c>
      <c r="AG5780">
        <v>-1.11422393924603</v>
      </c>
      <c r="AH5780">
        <v>16.260825807873498</v>
      </c>
      <c r="AI5780">
        <v>93.8487466900973</v>
      </c>
      <c r="AJ5780">
        <v>100.949564426767</v>
      </c>
      <c r="AK5780">
        <v>16.599784344275999</v>
      </c>
      <c r="AL5780">
        <v>89.693662370129005</v>
      </c>
      <c r="AM5780">
        <v>101.143034487949</v>
      </c>
      <c r="AN5780">
        <v>1.0000000391025501</v>
      </c>
    </row>
    <row r="5781" spans="1:40" x14ac:dyDescent="0.25">
      <c r="A5781" t="str">
        <f>"20190312151649285"</f>
        <v>20190312151649285</v>
      </c>
      <c r="B5781" t="str">
        <f>"1552375009283874"</f>
        <v>1552375009283874</v>
      </c>
      <c r="C5781" t="s">
        <v>40</v>
      </c>
      <c r="D5781">
        <v>5.0864479999999999</v>
      </c>
      <c r="E5781">
        <v>0.50210589999999999</v>
      </c>
      <c r="F5781" t="s">
        <v>73</v>
      </c>
      <c r="G5781">
        <v>-260.34519999999998</v>
      </c>
      <c r="H5781" s="1">
        <v>1.883286E-7</v>
      </c>
      <c r="I5781">
        <v>-62.857709999999997</v>
      </c>
      <c r="J5781">
        <v>-277.16140000000001</v>
      </c>
      <c r="K5781">
        <v>1.1142179999999999</v>
      </c>
      <c r="L5781">
        <v>-63.126339999999999</v>
      </c>
      <c r="M5781">
        <v>0.9850797</v>
      </c>
      <c r="N5781">
        <v>0</v>
      </c>
      <c r="O5781">
        <v>-0.1717224</v>
      </c>
      <c r="P5781">
        <v>0.99979649999999998</v>
      </c>
      <c r="Q5781">
        <v>-3.224116E-3</v>
      </c>
      <c r="R5781">
        <v>1.9919840000000001E-2</v>
      </c>
      <c r="S5781">
        <v>2.9990230000000002</v>
      </c>
      <c r="T5781">
        <v>-0.1973897</v>
      </c>
      <c r="U5781">
        <v>4.4738769999999997E-2</v>
      </c>
      <c r="V5781">
        <v>-0.19139990000000001</v>
      </c>
      <c r="W5781">
        <v>5.8057619999999999E-3</v>
      </c>
      <c r="X5781">
        <v>0.98149500000000001</v>
      </c>
      <c r="Y5781">
        <v>-0.1856381</v>
      </c>
      <c r="Z5781">
        <v>1.7353859999999999E-2</v>
      </c>
      <c r="AA5781">
        <v>0.98246489999999997</v>
      </c>
      <c r="AB5781">
        <v>23</v>
      </c>
      <c r="AC5781">
        <v>16.816199999999998</v>
      </c>
      <c r="AD5781">
        <v>-1.1142178116714001</v>
      </c>
      <c r="AE5781">
        <v>0.26863000000000098</v>
      </c>
      <c r="AF5781">
        <v>-3.1387678538047701</v>
      </c>
      <c r="AG5781">
        <v>-1.1142178116714001</v>
      </c>
      <c r="AH5781">
        <v>16.448044563414001</v>
      </c>
      <c r="AI5781">
        <v>93.806901981262399</v>
      </c>
      <c r="AJ5781">
        <v>100.803816672422</v>
      </c>
      <c r="AK5781">
        <v>16.781880554096901</v>
      </c>
      <c r="AL5781">
        <v>89.667352482354602</v>
      </c>
      <c r="AM5781">
        <v>101.03467999234</v>
      </c>
      <c r="AN5781">
        <v>1.0000000318086999</v>
      </c>
    </row>
    <row r="5782" spans="1:40" x14ac:dyDescent="0.25">
      <c r="A5782" t="str">
        <f>"20190312151649297"</f>
        <v>20190312151649297</v>
      </c>
      <c r="B5782" t="str">
        <f>"1552375009293634"</f>
        <v>1552375009293634</v>
      </c>
      <c r="C5782" t="s">
        <v>40</v>
      </c>
      <c r="D5782">
        <v>4.7870460000000001</v>
      </c>
      <c r="E5782">
        <v>0.50217979999999995</v>
      </c>
      <c r="F5782" t="s">
        <v>74</v>
      </c>
      <c r="G5782">
        <v>-259.899</v>
      </c>
      <c r="H5782" s="1">
        <v>-3.7208629999999999E-6</v>
      </c>
      <c r="I5782">
        <v>-62.845649999999999</v>
      </c>
      <c r="J5782">
        <v>-277.0489</v>
      </c>
      <c r="K5782">
        <v>1.1142110000000001</v>
      </c>
      <c r="L5782">
        <v>-63.142029999999998</v>
      </c>
      <c r="M5782">
        <v>0.98569790000000002</v>
      </c>
      <c r="N5782">
        <v>0</v>
      </c>
      <c r="O5782">
        <v>-0.16813819999999999</v>
      </c>
      <c r="P5782">
        <v>0.99976330000000002</v>
      </c>
      <c r="Q5782">
        <v>-2.6173949999999998E-3</v>
      </c>
      <c r="R5782">
        <v>2.160161E-2</v>
      </c>
      <c r="S5782">
        <v>2.9990540000000001</v>
      </c>
      <c r="T5782">
        <v>-0.19357730000000001</v>
      </c>
      <c r="U5782">
        <v>4.8767089999999999E-2</v>
      </c>
      <c r="V5782">
        <v>-0.1894874</v>
      </c>
      <c r="W5782">
        <v>6.4294529999999999E-3</v>
      </c>
      <c r="X5782">
        <v>0.98186209999999996</v>
      </c>
      <c r="Y5782">
        <v>-0.18342459999999999</v>
      </c>
      <c r="Z5782">
        <v>1.6719299999999999E-2</v>
      </c>
      <c r="AA5782">
        <v>0.98289159999999998</v>
      </c>
      <c r="AB5782">
        <v>23</v>
      </c>
      <c r="AC5782">
        <v>17.149899999999999</v>
      </c>
      <c r="AD5782">
        <v>-1.114214720863</v>
      </c>
      <c r="AE5782">
        <v>0.29638000000000603</v>
      </c>
      <c r="AF5782">
        <v>-3.1625544888544002</v>
      </c>
      <c r="AG5782">
        <v>-1.114214720863</v>
      </c>
      <c r="AH5782">
        <v>16.785048091725798</v>
      </c>
      <c r="AI5782">
        <v>93.732320566427504</v>
      </c>
      <c r="AJ5782">
        <v>100.67029087050101</v>
      </c>
      <c r="AK5782">
        <v>17.116689656026001</v>
      </c>
      <c r="AL5782">
        <v>89.631616939734997</v>
      </c>
      <c r="AM5782">
        <v>100.92309953643399</v>
      </c>
      <c r="AN5782">
        <v>0.99999999802052397</v>
      </c>
    </row>
    <row r="5783" spans="1:40" x14ac:dyDescent="0.25">
      <c r="A5783" t="str">
        <f>"20190312151649308"</f>
        <v>20190312151649308</v>
      </c>
      <c r="B5783" t="str">
        <f>"1552375009303394"</f>
        <v>1552375009303394</v>
      </c>
      <c r="C5783" t="s">
        <v>40</v>
      </c>
      <c r="D5783">
        <v>4.7771819999999998</v>
      </c>
      <c r="E5783">
        <v>0.50229109999999999</v>
      </c>
      <c r="F5783" t="s">
        <v>74</v>
      </c>
      <c r="G5783">
        <v>-259.37889999999999</v>
      </c>
      <c r="H5783" s="1">
        <v>-3.5416959999999998E-6</v>
      </c>
      <c r="I5783">
        <v>-62.829349999999998</v>
      </c>
      <c r="J5783">
        <v>-276.93380000000002</v>
      </c>
      <c r="K5783">
        <v>1.1142049999999999</v>
      </c>
      <c r="L5783">
        <v>-63.157620000000001</v>
      </c>
      <c r="M5783">
        <v>0.98631460000000004</v>
      </c>
      <c r="N5783">
        <v>0</v>
      </c>
      <c r="O5783">
        <v>-0.164483399999999</v>
      </c>
      <c r="P5783">
        <v>0.99972419999999995</v>
      </c>
      <c r="Q5783">
        <v>-1.758412E-3</v>
      </c>
      <c r="R5783">
        <v>2.3426949999999998E-2</v>
      </c>
      <c r="S5783">
        <v>2.9990839999999999</v>
      </c>
      <c r="T5783">
        <v>-0.18911339999999999</v>
      </c>
      <c r="U5783">
        <v>5.3070069999999997E-2</v>
      </c>
      <c r="V5783">
        <v>-0.18764980000000001</v>
      </c>
      <c r="W5783">
        <v>7.3044299999999998E-3</v>
      </c>
      <c r="X5783">
        <v>0.98220879999999999</v>
      </c>
      <c r="Y5783">
        <v>-0.18123520000000001</v>
      </c>
      <c r="Z5783">
        <v>1.6037570000000001E-2</v>
      </c>
      <c r="AA5783">
        <v>0.98330899999999999</v>
      </c>
      <c r="AB5783">
        <v>23</v>
      </c>
      <c r="AC5783">
        <v>17.5549</v>
      </c>
      <c r="AD5783">
        <v>-1.1142085416959999</v>
      </c>
      <c r="AE5783">
        <v>0.32826999999999601</v>
      </c>
      <c r="AF5783">
        <v>-3.1985930144601</v>
      </c>
      <c r="AG5783">
        <v>-1.1142085416959999</v>
      </c>
      <c r="AH5783">
        <v>17.192535433644299</v>
      </c>
      <c r="AI5783">
        <v>93.645638449633097</v>
      </c>
      <c r="AJ5783">
        <v>100.53912501109799</v>
      </c>
      <c r="AK5783">
        <v>17.5230058090402</v>
      </c>
      <c r="AL5783">
        <v>89.581483252684805</v>
      </c>
      <c r="AM5783">
        <v>100.81595329026599</v>
      </c>
      <c r="AN5783">
        <v>0.99999996446755102</v>
      </c>
    </row>
    <row r="5784" spans="1:40" x14ac:dyDescent="0.25">
      <c r="A5784" t="str">
        <f>"20190312151649319"</f>
        <v>20190312151649319</v>
      </c>
      <c r="B5784" t="str">
        <f>"1552375009314130"</f>
        <v>1552375009314130</v>
      </c>
      <c r="C5784" t="s">
        <v>40</v>
      </c>
      <c r="D5784">
        <v>4.7984689999999999</v>
      </c>
      <c r="E5784">
        <v>0.50240509999999905</v>
      </c>
      <c r="F5784" t="s">
        <v>74</v>
      </c>
      <c r="G5784">
        <v>-259.17110000000002</v>
      </c>
      <c r="H5784" s="1">
        <v>-3.4692199999999999E-6</v>
      </c>
      <c r="I5784">
        <v>-62.816380000000002</v>
      </c>
      <c r="J5784">
        <v>-276.82260000000002</v>
      </c>
      <c r="K5784">
        <v>1.114196</v>
      </c>
      <c r="L5784">
        <v>-63.172269999999997</v>
      </c>
      <c r="M5784">
        <v>0.98689510000000003</v>
      </c>
      <c r="N5784">
        <v>0</v>
      </c>
      <c r="O5784">
        <v>-0.16096440000000001</v>
      </c>
      <c r="P5784">
        <v>0.99969039999999998</v>
      </c>
      <c r="Q5784">
        <v>-9.2710459999999998E-4</v>
      </c>
      <c r="R5784">
        <v>2.4871569999999999E-2</v>
      </c>
      <c r="S5784">
        <v>2.9991460000000001</v>
      </c>
      <c r="T5784">
        <v>-0.18812789999999999</v>
      </c>
      <c r="U5784">
        <v>5.7617189999999999E-2</v>
      </c>
      <c r="V5784">
        <v>-0.18557470000000001</v>
      </c>
      <c r="W5784">
        <v>8.156511E-3</v>
      </c>
      <c r="X5784">
        <v>0.98259629999999998</v>
      </c>
      <c r="Y5784">
        <v>-0.17923539999999999</v>
      </c>
      <c r="Z5784">
        <v>1.567284E-2</v>
      </c>
      <c r="AA5784">
        <v>0.98368140000000004</v>
      </c>
      <c r="AB5784">
        <v>23</v>
      </c>
      <c r="AC5784">
        <v>17.651499999999999</v>
      </c>
      <c r="AD5784">
        <v>-1.1141994692199999</v>
      </c>
      <c r="AE5784">
        <v>0.35588999999999499</v>
      </c>
      <c r="AF5784">
        <v>-3.1800290273136298</v>
      </c>
      <c r="AG5784">
        <v>-1.1141994692199999</v>
      </c>
      <c r="AH5784">
        <v>17.2951264575001</v>
      </c>
      <c r="AI5784">
        <v>93.625449102211604</v>
      </c>
      <c r="AJ5784">
        <v>100.418520910251</v>
      </c>
      <c r="AK5784">
        <v>17.620312830727102</v>
      </c>
      <c r="AL5784">
        <v>89.532661159043002</v>
      </c>
      <c r="AM5784">
        <v>100.695000526127</v>
      </c>
      <c r="AN5784">
        <v>0.99999999336273604</v>
      </c>
    </row>
    <row r="5785" spans="1:40" x14ac:dyDescent="0.25">
      <c r="A5785" t="str">
        <f>"20190312151649330"</f>
        <v>20190312151649330</v>
      </c>
      <c r="B5785" t="str">
        <f>"1552375009323891"</f>
        <v>1552375009323891</v>
      </c>
      <c r="C5785" t="s">
        <v>40</v>
      </c>
      <c r="D5785">
        <v>4.753336</v>
      </c>
      <c r="E5785">
        <v>0.50271869999999996</v>
      </c>
      <c r="F5785" t="s">
        <v>74</v>
      </c>
      <c r="G5785">
        <v>-258.8347</v>
      </c>
      <c r="H5785" s="1">
        <v>-3.3534540000000002E-6</v>
      </c>
      <c r="I5785">
        <v>-62.806579999999997</v>
      </c>
      <c r="J5785">
        <v>-276.71170000000001</v>
      </c>
      <c r="K5785">
        <v>1.114187</v>
      </c>
      <c r="L5785">
        <v>-63.186579999999999</v>
      </c>
      <c r="M5785">
        <v>0.9874598</v>
      </c>
      <c r="N5785">
        <v>0</v>
      </c>
      <c r="O5785">
        <v>-0.1574634</v>
      </c>
      <c r="P5785">
        <v>0.99965349999999997</v>
      </c>
      <c r="Q5785">
        <v>-2.4610659999999999E-4</v>
      </c>
      <c r="R5785">
        <v>2.6321859999999999E-2</v>
      </c>
      <c r="S5785">
        <v>2.9992679999999998</v>
      </c>
      <c r="T5785">
        <v>-0.18577969999999999</v>
      </c>
      <c r="U5785">
        <v>6.097412E-2</v>
      </c>
      <c r="V5785">
        <v>-0.1835224</v>
      </c>
      <c r="W5785">
        <v>8.858866E-3</v>
      </c>
      <c r="X5785">
        <v>0.98297559999999995</v>
      </c>
      <c r="Y5785">
        <v>-0.176873799999999</v>
      </c>
      <c r="Z5785">
        <v>1.518925E-2</v>
      </c>
      <c r="AA5785">
        <v>0.98411630000000005</v>
      </c>
      <c r="AB5785">
        <v>23</v>
      </c>
      <c r="AC5785">
        <v>17.876999999999999</v>
      </c>
      <c r="AD5785">
        <v>-1.1141903534540001</v>
      </c>
      <c r="AE5785">
        <v>0.380000000000002</v>
      </c>
      <c r="AF5785">
        <v>-3.1780732997987098</v>
      </c>
      <c r="AG5785">
        <v>-1.1141903534540001</v>
      </c>
      <c r="AH5785">
        <v>17.526064147005801</v>
      </c>
      <c r="AI5785">
        <v>93.579371448117996</v>
      </c>
      <c r="AJ5785">
        <v>100.277996616669</v>
      </c>
      <c r="AK5785">
        <v>17.8466942184704</v>
      </c>
      <c r="AL5785">
        <v>89.492417722824797</v>
      </c>
      <c r="AM5785">
        <v>100.575417144269</v>
      </c>
      <c r="AN5785">
        <v>0.99999999050196298</v>
      </c>
    </row>
    <row r="5786" spans="1:40" x14ac:dyDescent="0.25">
      <c r="A5786" t="str">
        <f>"20190312151649341"</f>
        <v>20190312151649341</v>
      </c>
      <c r="B5786" t="str">
        <f>"1552375009333650"</f>
        <v>1552375009333650</v>
      </c>
      <c r="C5786" t="s">
        <v>40</v>
      </c>
      <c r="D5786">
        <v>4.8988250000000004</v>
      </c>
      <c r="E5786">
        <v>0.50279280000000004</v>
      </c>
      <c r="F5786" t="s">
        <v>74</v>
      </c>
      <c r="G5786">
        <v>-258.43759999999997</v>
      </c>
      <c r="H5786" s="1">
        <v>-3.2180299999999999E-6</v>
      </c>
      <c r="I5786">
        <v>-62.804490000000001</v>
      </c>
      <c r="J5786">
        <v>-276.59679999999997</v>
      </c>
      <c r="K5786">
        <v>1.114174</v>
      </c>
      <c r="L5786">
        <v>-63.200839999999999</v>
      </c>
      <c r="M5786">
        <v>0.98802730000000005</v>
      </c>
      <c r="N5786">
        <v>0</v>
      </c>
      <c r="O5786">
        <v>-0.15386279999999999</v>
      </c>
      <c r="P5786">
        <v>0.99962010000000001</v>
      </c>
      <c r="Q5786">
        <v>6.4408219999999999E-4</v>
      </c>
      <c r="R5786">
        <v>2.7555260000000002E-2</v>
      </c>
      <c r="S5786">
        <v>2.9993289999999999</v>
      </c>
      <c r="T5786">
        <v>-0.1828719</v>
      </c>
      <c r="U5786">
        <v>6.2713619999999998E-2</v>
      </c>
      <c r="V5786">
        <v>-0.1811603</v>
      </c>
      <c r="W5786">
        <v>9.7757850000000004E-3</v>
      </c>
      <c r="X5786">
        <v>0.98340499999999997</v>
      </c>
      <c r="Y5786">
        <v>-0.1738876</v>
      </c>
      <c r="Z5786">
        <v>1.464326E-2</v>
      </c>
      <c r="AA5786">
        <v>0.98465659999999999</v>
      </c>
      <c r="AB5786">
        <v>23</v>
      </c>
      <c r="AC5786">
        <v>18.159199999999998</v>
      </c>
      <c r="AD5786">
        <v>-1.11417721802999</v>
      </c>
      <c r="AE5786">
        <v>0.39634999999999798</v>
      </c>
      <c r="AF5786">
        <v>-3.1738917039949999</v>
      </c>
      <c r="AG5786">
        <v>-1.11417721802999</v>
      </c>
      <c r="AH5786">
        <v>17.814915405816699</v>
      </c>
      <c r="AI5786">
        <v>93.523383634838297</v>
      </c>
      <c r="AJ5786">
        <v>100.101782902774</v>
      </c>
      <c r="AK5786">
        <v>18.129704640127699</v>
      </c>
      <c r="AL5786">
        <v>89.439879860429897</v>
      </c>
      <c r="AM5786">
        <v>100.43785556809</v>
      </c>
      <c r="AN5786">
        <v>1.0000000071467201</v>
      </c>
    </row>
    <row r="5787" spans="1:40" x14ac:dyDescent="0.25">
      <c r="A5787" t="str">
        <f>"20190312151649353"</f>
        <v>20190312151649353</v>
      </c>
      <c r="B5787" t="str">
        <f>"1552375009343410"</f>
        <v>1552375009343410</v>
      </c>
      <c r="C5787" t="s">
        <v>40</v>
      </c>
      <c r="D5787">
        <v>4.7494189999999996</v>
      </c>
      <c r="E5787">
        <v>0.50286589999999998</v>
      </c>
      <c r="F5787" t="s">
        <v>74</v>
      </c>
      <c r="G5787">
        <v>-257.94409999999999</v>
      </c>
      <c r="H5787" s="1">
        <v>-3.048388E-6</v>
      </c>
      <c r="I5787">
        <v>-62.79166</v>
      </c>
      <c r="J5787">
        <v>-276.48</v>
      </c>
      <c r="K5787">
        <v>1.11416</v>
      </c>
      <c r="L5787">
        <v>-63.215150000000001</v>
      </c>
      <c r="M5787">
        <v>0.98859039999999998</v>
      </c>
      <c r="N5787">
        <v>0</v>
      </c>
      <c r="O5787">
        <v>-0.15020430000000001</v>
      </c>
      <c r="P5787">
        <v>0.99958530000000001</v>
      </c>
      <c r="Q5787">
        <v>1.531379E-3</v>
      </c>
      <c r="R5787">
        <v>2.8761999999999999E-2</v>
      </c>
      <c r="S5787">
        <v>2.9994200000000002</v>
      </c>
      <c r="T5787">
        <v>-0.17916360000000001</v>
      </c>
      <c r="U5787">
        <v>6.5795899999999893E-2</v>
      </c>
      <c r="V5787">
        <v>-0.1787164</v>
      </c>
      <c r="W5787">
        <v>1.0691259999999999E-2</v>
      </c>
      <c r="X5787">
        <v>0.98384260000000001</v>
      </c>
      <c r="Y5787">
        <v>-0.1712882</v>
      </c>
      <c r="Z5787">
        <v>1.405231E-2</v>
      </c>
      <c r="AA5787">
        <v>0.98512080000000002</v>
      </c>
      <c r="AB5787">
        <v>23</v>
      </c>
      <c r="AC5787">
        <v>18.535900000000002</v>
      </c>
      <c r="AD5787">
        <v>-1.1141630483880001</v>
      </c>
      <c r="AE5787">
        <v>0.42349000000000098</v>
      </c>
      <c r="AF5787">
        <v>-3.1915095697923999</v>
      </c>
      <c r="AG5787">
        <v>-1.1141630483880001</v>
      </c>
      <c r="AH5787">
        <v>18.1962596250141</v>
      </c>
      <c r="AI5787">
        <v>93.451311338013099</v>
      </c>
      <c r="AJ5787">
        <v>99.948131918482304</v>
      </c>
      <c r="AK5787">
        <v>18.5075918739686</v>
      </c>
      <c r="AL5787">
        <v>89.387424289672097</v>
      </c>
      <c r="AM5787">
        <v>100.295596899545</v>
      </c>
      <c r="AN5787">
        <v>1.0000000581220501</v>
      </c>
    </row>
    <row r="5788" spans="1:40" x14ac:dyDescent="0.25">
      <c r="A5788" t="str">
        <f>"20190312151649364"</f>
        <v>20190312151649364</v>
      </c>
      <c r="B5788" t="str">
        <f>"1552375009354146"</f>
        <v>1552375009354146</v>
      </c>
      <c r="C5788" t="s">
        <v>40</v>
      </c>
      <c r="D5788">
        <v>4.7233739999999997</v>
      </c>
      <c r="E5788">
        <v>0.50305999999999995</v>
      </c>
      <c r="F5788" t="s">
        <v>74</v>
      </c>
      <c r="G5788">
        <v>-257.75080000000003</v>
      </c>
      <c r="H5788" s="1">
        <v>-2.9817880000000001E-6</v>
      </c>
      <c r="I5788">
        <v>-62.785640000000001</v>
      </c>
      <c r="J5788">
        <v>-276.35559999999998</v>
      </c>
      <c r="K5788">
        <v>1.114139</v>
      </c>
      <c r="L5788">
        <v>-63.229680000000002</v>
      </c>
      <c r="M5788">
        <v>0.98916859999999995</v>
      </c>
      <c r="N5788">
        <v>0</v>
      </c>
      <c r="O5788">
        <v>-0.14634929999999999</v>
      </c>
      <c r="P5788">
        <v>0.99954240000000005</v>
      </c>
      <c r="Q5788">
        <v>2.5836869999999999E-3</v>
      </c>
      <c r="R5788">
        <v>3.014557E-2</v>
      </c>
      <c r="S5788">
        <v>2.9995419999999999</v>
      </c>
      <c r="T5788">
        <v>-0.17843689999999901</v>
      </c>
      <c r="U5788">
        <v>6.8786620000000007E-2</v>
      </c>
      <c r="V5788">
        <v>-0.1762522</v>
      </c>
      <c r="W5788">
        <v>1.1774089999999999E-2</v>
      </c>
      <c r="X5788">
        <v>0.9842746</v>
      </c>
      <c r="Y5788">
        <v>-0.16844429999999999</v>
      </c>
      <c r="Z5788">
        <v>1.3682969999999999E-2</v>
      </c>
      <c r="AA5788">
        <v>0.98561620000000005</v>
      </c>
      <c r="AB5788">
        <v>23</v>
      </c>
      <c r="AC5788">
        <v>18.604799999999901</v>
      </c>
      <c r="AD5788">
        <v>-1.1141419817880001</v>
      </c>
      <c r="AE5788">
        <v>0.44404000000000099</v>
      </c>
      <c r="AF5788">
        <v>-3.1509378931671099</v>
      </c>
      <c r="AG5788">
        <v>-1.1141419817880001</v>
      </c>
      <c r="AH5788">
        <v>18.273970663740901</v>
      </c>
      <c r="AI5788">
        <v>93.438321839534595</v>
      </c>
      <c r="AJ5788">
        <v>99.783178281644993</v>
      </c>
      <c r="AK5788">
        <v>18.5770752752268</v>
      </c>
      <c r="AL5788">
        <v>89.325378732703996</v>
      </c>
      <c r="AM5788">
        <v>100.152248053246</v>
      </c>
      <c r="AN5788">
        <v>0.99999997770266302</v>
      </c>
    </row>
    <row r="5789" spans="1:40" x14ac:dyDescent="0.25">
      <c r="A5789" t="str">
        <f>"20190312151649398"</f>
        <v>20190312151649398</v>
      </c>
      <c r="B5789" t="str">
        <f>"1552375009394162"</f>
        <v>1552375009394162</v>
      </c>
      <c r="C5789" t="s">
        <v>40</v>
      </c>
      <c r="D5789">
        <v>4.8325500000000003</v>
      </c>
      <c r="E5789">
        <v>0.50305999999999995</v>
      </c>
      <c r="F5789" t="s">
        <v>74</v>
      </c>
      <c r="G5789">
        <v>-257.14269999999999</v>
      </c>
      <c r="H5789" s="1">
        <v>-2.731707E-6</v>
      </c>
      <c r="I5789">
        <v>-62.773269999999997</v>
      </c>
      <c r="J5789">
        <v>-276.02289999999999</v>
      </c>
      <c r="K5789">
        <v>1.11407099999999</v>
      </c>
      <c r="L5789">
        <v>-63.266570000000002</v>
      </c>
      <c r="M5789">
        <v>0.99062550000000005</v>
      </c>
      <c r="N5789">
        <v>0</v>
      </c>
      <c r="O5789">
        <v>-0.1361406</v>
      </c>
      <c r="P5789">
        <v>0.99947019999999998</v>
      </c>
      <c r="Q5789">
        <v>6.4513340000000004E-3</v>
      </c>
      <c r="R5789">
        <v>3.1900419999999999E-2</v>
      </c>
      <c r="S5789">
        <v>2.999695</v>
      </c>
      <c r="T5789">
        <v>-0.17394999999999999</v>
      </c>
      <c r="U5789">
        <v>7.1258539999999995E-2</v>
      </c>
      <c r="V5789">
        <v>-0.16786039999999999</v>
      </c>
      <c r="W5789">
        <v>1.574863E-2</v>
      </c>
      <c r="X5789">
        <v>0.98568500000000003</v>
      </c>
      <c r="Y5789">
        <v>-0.15914310000000001</v>
      </c>
      <c r="Z5789">
        <v>1.248195E-2</v>
      </c>
      <c r="AA5789">
        <v>0.98717659999999996</v>
      </c>
      <c r="AB5789">
        <v>23</v>
      </c>
      <c r="AC5789">
        <v>18.880199999999999</v>
      </c>
      <c r="AD5789">
        <v>-1.11407373170699</v>
      </c>
      <c r="AE5789">
        <v>0.49329999999999702</v>
      </c>
      <c r="AF5789">
        <v>-3.04862364017329</v>
      </c>
      <c r="AG5789">
        <v>-1.11407373170699</v>
      </c>
      <c r="AH5789">
        <v>18.572607956882301</v>
      </c>
      <c r="AI5789">
        <v>93.387535408586501</v>
      </c>
      <c r="AJ5789">
        <v>99.321757826854096</v>
      </c>
      <c r="AK5789">
        <v>18.854098565011</v>
      </c>
      <c r="AL5789">
        <v>89.097632688176901</v>
      </c>
      <c r="AM5789">
        <v>99.664651252541901</v>
      </c>
      <c r="AN5789">
        <v>1.0000000262300099</v>
      </c>
    </row>
    <row r="5790" spans="1:40" x14ac:dyDescent="0.25">
      <c r="A5790" t="str">
        <f>"20190312151649443"</f>
        <v>20190312151649443</v>
      </c>
      <c r="B5790" t="str">
        <f>"1552375009434179"</f>
        <v>1552375009434179</v>
      </c>
      <c r="C5790" t="s">
        <v>40</v>
      </c>
      <c r="D5790">
        <v>4.7189560000000004</v>
      </c>
      <c r="E5790">
        <v>0.50416930000000004</v>
      </c>
      <c r="F5790" t="s">
        <v>74</v>
      </c>
      <c r="G5790">
        <v>-255.42740000000001</v>
      </c>
      <c r="H5790" s="1">
        <v>-1.9895199999999999E-6</v>
      </c>
      <c r="I5790">
        <v>-62.744720000000001</v>
      </c>
      <c r="J5790">
        <v>-275.55590000000001</v>
      </c>
      <c r="K5790">
        <v>1.1139540000000001</v>
      </c>
      <c r="L5790">
        <v>-63.312930000000001</v>
      </c>
      <c r="M5790">
        <v>0.99244299999999996</v>
      </c>
      <c r="N5790">
        <v>0</v>
      </c>
      <c r="O5790">
        <v>-0.1221923</v>
      </c>
      <c r="P5790">
        <v>0.99938769999999999</v>
      </c>
      <c r="Q5790">
        <v>1.04507E-2</v>
      </c>
      <c r="R5790">
        <v>3.3391879999999999E-2</v>
      </c>
      <c r="S5790">
        <v>3.0002140000000002</v>
      </c>
      <c r="T5790">
        <v>-0.16229070000000001</v>
      </c>
      <c r="U5790">
        <v>7.6019290000000003E-2</v>
      </c>
      <c r="V5790">
        <v>-0.15548409999999999</v>
      </c>
      <c r="W5790">
        <v>1.9913139999999999E-2</v>
      </c>
      <c r="X5790">
        <v>0.9876376</v>
      </c>
      <c r="Y5790">
        <v>-0.14690799999999901</v>
      </c>
      <c r="Z5790">
        <v>1.0564230000000001E-2</v>
      </c>
      <c r="AA5790">
        <v>0.98909369999999996</v>
      </c>
      <c r="AB5790">
        <v>23</v>
      </c>
      <c r="AC5790">
        <v>20.128499999999999</v>
      </c>
      <c r="AD5790">
        <v>-1.11395598952</v>
      </c>
      <c r="AE5790">
        <v>0.56821000000000699</v>
      </c>
      <c r="AF5790">
        <v>-3.0144290162403502</v>
      </c>
      <c r="AG5790">
        <v>-1.11395598952</v>
      </c>
      <c r="AH5790">
        <v>19.8474719549783</v>
      </c>
      <c r="AI5790">
        <v>93.176056238231794</v>
      </c>
      <c r="AJ5790">
        <v>98.6360680537707</v>
      </c>
      <c r="AK5790">
        <v>20.105964867277301</v>
      </c>
      <c r="AL5790">
        <v>88.858985628700296</v>
      </c>
      <c r="AM5790">
        <v>98.946662689934399</v>
      </c>
      <c r="AN5790">
        <v>0.99999993371561202</v>
      </c>
    </row>
    <row r="5791" spans="1:40" x14ac:dyDescent="0.25">
      <c r="A5791" t="str">
        <f>"20190312151649454"</f>
        <v>20190312151649454</v>
      </c>
      <c r="B5791" t="str">
        <f>"1552375009443939"</f>
        <v>1552375009443939</v>
      </c>
      <c r="C5791" t="s">
        <v>40</v>
      </c>
      <c r="D5791">
        <v>4.6980500000000003</v>
      </c>
      <c r="E5791">
        <v>0.50517829999999997</v>
      </c>
      <c r="F5791" t="s">
        <v>74</v>
      </c>
      <c r="G5791">
        <v>-252.19900000000001</v>
      </c>
      <c r="H5791" s="1">
        <v>-6.0771399999999998E-7</v>
      </c>
      <c r="I5791">
        <v>-62.759030000000003</v>
      </c>
      <c r="J5791">
        <v>-275.44029999999998</v>
      </c>
      <c r="K5791">
        <v>1.113912</v>
      </c>
      <c r="L5791">
        <v>-63.32358</v>
      </c>
      <c r="M5791">
        <v>0.99285319999999999</v>
      </c>
      <c r="N5791">
        <v>0</v>
      </c>
      <c r="O5791">
        <v>-0.1188138</v>
      </c>
      <c r="P5791">
        <v>0.9993438</v>
      </c>
      <c r="Q5791">
        <v>1.16261E-2</v>
      </c>
      <c r="R5791">
        <v>3.4305639999999998E-2</v>
      </c>
      <c r="S5791">
        <v>3.0009459999999999</v>
      </c>
      <c r="T5791">
        <v>-0.14312339999999901</v>
      </c>
      <c r="U5791">
        <v>7.1166989999999999E-2</v>
      </c>
      <c r="V5791">
        <v>-0.1530338</v>
      </c>
      <c r="W5791">
        <v>2.1123570000000001E-2</v>
      </c>
      <c r="X5791">
        <v>0.98799510000000001</v>
      </c>
      <c r="Y5791">
        <v>-0.14203199999999999</v>
      </c>
      <c r="Z5791">
        <v>9.039376E-3</v>
      </c>
      <c r="AA5791">
        <v>0.98982079999999995</v>
      </c>
      <c r="AB5791">
        <v>23</v>
      </c>
      <c r="AC5791">
        <v>23.241299999999899</v>
      </c>
      <c r="AD5791">
        <v>-1.113912607714</v>
      </c>
      <c r="AE5791">
        <v>0.56455000000000399</v>
      </c>
      <c r="AF5791">
        <v>-3.31450213889917</v>
      </c>
      <c r="AG5791">
        <v>-1.113912607714</v>
      </c>
      <c r="AH5791">
        <v>22.956866837748102</v>
      </c>
      <c r="AI5791">
        <v>92.749461218014403</v>
      </c>
      <c r="AJ5791">
        <v>98.215567115660704</v>
      </c>
      <c r="AK5791">
        <v>23.221637770245401</v>
      </c>
      <c r="AL5791">
        <v>88.789618485646798</v>
      </c>
      <c r="AM5791">
        <v>98.804761646631803</v>
      </c>
      <c r="AN5791">
        <v>0.99999993338799498</v>
      </c>
    </row>
    <row r="5792" spans="1:40" x14ac:dyDescent="0.25">
      <c r="A5792" t="str">
        <f>"20190312151649466"</f>
        <v>20190312151649466</v>
      </c>
      <c r="B5792" t="str">
        <f>"1552375009463458"</f>
        <v>1552375009463458</v>
      </c>
      <c r="C5792" t="s">
        <v>40</v>
      </c>
      <c r="D5792">
        <v>4.6632189999999998</v>
      </c>
      <c r="E5792">
        <v>0.50630600000000003</v>
      </c>
      <c r="F5792" t="s">
        <v>75</v>
      </c>
      <c r="G5792">
        <v>-249.69130000000001</v>
      </c>
      <c r="H5792" s="1">
        <v>-3.5939340000000001E-6</v>
      </c>
      <c r="I5792">
        <v>-62.76191</v>
      </c>
      <c r="J5792">
        <v>-275.31790000000001</v>
      </c>
      <c r="K5792">
        <v>1.113866</v>
      </c>
      <c r="L5792">
        <v>-63.33426</v>
      </c>
      <c r="M5792">
        <v>0.99326769999999998</v>
      </c>
      <c r="N5792">
        <v>0</v>
      </c>
      <c r="O5792">
        <v>-0.11529880000000001</v>
      </c>
      <c r="P5792">
        <v>0.9993225</v>
      </c>
      <c r="Q5792">
        <v>1.344859E-2</v>
      </c>
      <c r="R5792">
        <v>3.4263380000000003E-2</v>
      </c>
      <c r="S5792">
        <v>3.0012509999999999</v>
      </c>
      <c r="T5792">
        <v>-0.1298358</v>
      </c>
      <c r="U5792">
        <v>6.5460210000000005E-2</v>
      </c>
      <c r="V5792">
        <v>-0.14950649999999999</v>
      </c>
      <c r="W5792">
        <v>2.299518E-2</v>
      </c>
      <c r="X5792">
        <v>0.98849330000000002</v>
      </c>
      <c r="Y5792">
        <v>-0.13670360000000001</v>
      </c>
      <c r="Z5792">
        <v>7.9337060000000004E-3</v>
      </c>
      <c r="AA5792">
        <v>0.99058029999999997</v>
      </c>
      <c r="AB5792">
        <v>23</v>
      </c>
      <c r="AC5792">
        <v>25.6266</v>
      </c>
      <c r="AD5792">
        <v>-1.113869593934</v>
      </c>
      <c r="AE5792">
        <v>0.57235000000000003</v>
      </c>
      <c r="AF5792">
        <v>-3.5167932854712101</v>
      </c>
      <c r="AG5792">
        <v>-1.113869593934</v>
      </c>
      <c r="AH5792">
        <v>25.341822683652701</v>
      </c>
      <c r="AI5792">
        <v>92.492888405100103</v>
      </c>
      <c r="AJ5792">
        <v>97.900720466797395</v>
      </c>
      <c r="AK5792">
        <v>25.6089148035351</v>
      </c>
      <c r="AL5792">
        <v>88.682357080136597</v>
      </c>
      <c r="AM5792">
        <v>98.6006201487683</v>
      </c>
      <c r="AN5792">
        <v>0.99999998799518597</v>
      </c>
    </row>
    <row r="5793" spans="1:40" x14ac:dyDescent="0.25">
      <c r="A5793" t="str">
        <f>"20190312151649477"</f>
        <v>20190312151649477</v>
      </c>
      <c r="B5793" t="str">
        <f>"1552375009474194"</f>
        <v>1552375009474194</v>
      </c>
      <c r="C5793" t="s">
        <v>40</v>
      </c>
      <c r="D5793">
        <v>4.6834989999999896</v>
      </c>
      <c r="E5793">
        <v>0.50668040000000003</v>
      </c>
      <c r="F5793" t="s">
        <v>75</v>
      </c>
      <c r="G5793">
        <v>-245.0684</v>
      </c>
      <c r="H5793" s="1">
        <v>-1.7966920000000001E-6</v>
      </c>
      <c r="I5793">
        <v>-62.771070000000002</v>
      </c>
      <c r="J5793">
        <v>-275.2097</v>
      </c>
      <c r="K5793">
        <v>1.113826</v>
      </c>
      <c r="L5793">
        <v>-63.343510000000002</v>
      </c>
      <c r="M5793">
        <v>0.99362090000000003</v>
      </c>
      <c r="N5793">
        <v>0</v>
      </c>
      <c r="O5793">
        <v>-0.112215</v>
      </c>
      <c r="P5793">
        <v>0.99930039999999998</v>
      </c>
      <c r="Q5793">
        <v>1.463193E-2</v>
      </c>
      <c r="R5793">
        <v>3.4422269999999998E-2</v>
      </c>
      <c r="S5793">
        <v>3.001617</v>
      </c>
      <c r="T5793">
        <v>-0.1105275</v>
      </c>
      <c r="U5793">
        <v>5.5877690000000001E-2</v>
      </c>
      <c r="V5793">
        <v>-0.14660239999999999</v>
      </c>
      <c r="W5793">
        <v>2.4219350000000001E-2</v>
      </c>
      <c r="X5793">
        <v>0.98889899999999997</v>
      </c>
      <c r="Y5793">
        <v>-0.13053339999999999</v>
      </c>
      <c r="Z5793">
        <v>6.5273609999999998E-3</v>
      </c>
      <c r="AA5793">
        <v>0.99142240000000004</v>
      </c>
      <c r="AB5793">
        <v>23</v>
      </c>
      <c r="AC5793">
        <v>30.141300000000001</v>
      </c>
      <c r="AD5793">
        <v>-1.113827796692</v>
      </c>
      <c r="AE5793">
        <v>0.57243999999999995</v>
      </c>
      <c r="AF5793">
        <v>-3.9459553757163399</v>
      </c>
      <c r="AG5793">
        <v>-1.113827796692</v>
      </c>
      <c r="AH5793">
        <v>29.8459199228122</v>
      </c>
      <c r="AI5793">
        <v>92.118823581538194</v>
      </c>
      <c r="AJ5793">
        <v>97.531445685700007</v>
      </c>
      <c r="AK5793">
        <v>30.1262362771513</v>
      </c>
      <c r="AL5793">
        <v>88.612197814962002</v>
      </c>
      <c r="AM5793">
        <v>98.432572889789498</v>
      </c>
      <c r="AN5793">
        <v>1.0000000364005901</v>
      </c>
    </row>
    <row r="5794" spans="1:40" x14ac:dyDescent="0.25">
      <c r="A5794" t="str">
        <f>"20190312151649487"</f>
        <v>20190312151649487</v>
      </c>
      <c r="B5794" t="str">
        <f>"1552375009483954"</f>
        <v>1552375009483954</v>
      </c>
      <c r="C5794" t="s">
        <v>40</v>
      </c>
      <c r="D5794">
        <v>4.7258740000000001</v>
      </c>
      <c r="E5794">
        <v>0.50697930000000002</v>
      </c>
      <c r="F5794" t="s">
        <v>75</v>
      </c>
      <c r="G5794">
        <v>-242.55279999999999</v>
      </c>
      <c r="H5794" s="1">
        <v>-7.1600540000000001E-7</v>
      </c>
      <c r="I5794">
        <v>-62.765419999999999</v>
      </c>
      <c r="J5794">
        <v>-275.0958</v>
      </c>
      <c r="K5794">
        <v>1.11378</v>
      </c>
      <c r="L5794">
        <v>-63.35284</v>
      </c>
      <c r="M5794">
        <v>0.99397749999999996</v>
      </c>
      <c r="N5794">
        <v>0</v>
      </c>
      <c r="O5794">
        <v>-0.109011999999999</v>
      </c>
      <c r="P5794">
        <v>0.99928410000000001</v>
      </c>
      <c r="Q5794">
        <v>1.539338E-2</v>
      </c>
      <c r="R5794">
        <v>3.4556469999999999E-2</v>
      </c>
      <c r="S5794">
        <v>3.00177</v>
      </c>
      <c r="T5794">
        <v>-0.1023811</v>
      </c>
      <c r="U5794">
        <v>5.3131100000000001E-2</v>
      </c>
      <c r="V5794">
        <v>-0.14354979999999901</v>
      </c>
      <c r="W5794">
        <v>2.502306E-2</v>
      </c>
      <c r="X5794">
        <v>0.9893267</v>
      </c>
      <c r="Y5794">
        <v>-0.12645670000000001</v>
      </c>
      <c r="Z5794">
        <v>5.8679939999999996E-3</v>
      </c>
      <c r="AA5794">
        <v>0.99195469999999997</v>
      </c>
      <c r="AB5794">
        <v>23</v>
      </c>
      <c r="AC5794">
        <v>32.542999999999999</v>
      </c>
      <c r="AD5794">
        <v>-1.1137807160054001</v>
      </c>
      <c r="AE5794">
        <v>0.58742000000000105</v>
      </c>
      <c r="AF5794">
        <v>-4.1268858279392697</v>
      </c>
      <c r="AG5794">
        <v>-1.1137807160054001</v>
      </c>
      <c r="AH5794">
        <v>32.2472333793121</v>
      </c>
      <c r="AI5794">
        <v>91.962150973212502</v>
      </c>
      <c r="AJ5794">
        <v>97.292867652011694</v>
      </c>
      <c r="AK5794">
        <v>32.529306090662502</v>
      </c>
      <c r="AL5794">
        <v>88.566134621163002</v>
      </c>
      <c r="AM5794">
        <v>98.255913427238596</v>
      </c>
      <c r="AN5794">
        <v>1.00000000897234</v>
      </c>
    </row>
    <row r="5795" spans="1:40" x14ac:dyDescent="0.25">
      <c r="A5795" t="str">
        <f>"20190312151649498"</f>
        <v>20190312151649498</v>
      </c>
      <c r="B5795" t="str">
        <f>"1552375009493714"</f>
        <v>1552375009493714</v>
      </c>
      <c r="C5795" t="s">
        <v>40</v>
      </c>
      <c r="D5795">
        <v>4.7546780000000002</v>
      </c>
      <c r="E5795">
        <v>0.50725799999999999</v>
      </c>
      <c r="F5795" t="s">
        <v>75</v>
      </c>
      <c r="G5795">
        <v>-240.43430000000001</v>
      </c>
      <c r="H5795" s="1">
        <v>1.931849E-7</v>
      </c>
      <c r="I5795">
        <v>-62.763950000000001</v>
      </c>
      <c r="J5795">
        <v>-274.9769</v>
      </c>
      <c r="K5795">
        <v>1.1137300000000001</v>
      </c>
      <c r="L5795">
        <v>-63.362270000000002</v>
      </c>
      <c r="M5795">
        <v>0.99433439999999995</v>
      </c>
      <c r="N5795">
        <v>0</v>
      </c>
      <c r="O5795">
        <v>-0.105708</v>
      </c>
      <c r="P5795">
        <v>0.99925810000000004</v>
      </c>
      <c r="Q5795">
        <v>1.6239590000000002E-2</v>
      </c>
      <c r="R5795">
        <v>3.4919150000000003E-2</v>
      </c>
      <c r="S5795">
        <v>3.0018310000000001</v>
      </c>
      <c r="T5795">
        <v>-9.6458080000000002E-2</v>
      </c>
      <c r="U5795">
        <v>5.0994869999999998E-2</v>
      </c>
      <c r="V5795">
        <v>-0.14062349999999901</v>
      </c>
      <c r="W5795">
        <v>2.5910639999999999E-2</v>
      </c>
      <c r="X5795">
        <v>0.98972400000000005</v>
      </c>
      <c r="Y5795">
        <v>-0.122472</v>
      </c>
      <c r="Z5795">
        <v>5.3588580000000002E-3</v>
      </c>
      <c r="AA5795">
        <v>0.99245749999999999</v>
      </c>
      <c r="AB5795">
        <v>23</v>
      </c>
      <c r="AC5795">
        <v>34.542599999999901</v>
      </c>
      <c r="AD5795">
        <v>-1.11372980681509</v>
      </c>
      <c r="AE5795">
        <v>0.59831999999999397</v>
      </c>
      <c r="AF5795">
        <v>-4.24221585486797</v>
      </c>
      <c r="AG5795">
        <v>-1.11372980681509</v>
      </c>
      <c r="AH5795">
        <v>34.250195327017401</v>
      </c>
      <c r="AI5795">
        <v>91.848343676145305</v>
      </c>
      <c r="AJ5795">
        <v>97.060673066296303</v>
      </c>
      <c r="AK5795">
        <v>34.529880819092398</v>
      </c>
      <c r="AL5795">
        <v>88.515263464673794</v>
      </c>
      <c r="AM5795">
        <v>98.086660555704697</v>
      </c>
      <c r="AN5795">
        <v>0.99999996309672901</v>
      </c>
    </row>
    <row r="5796" spans="1:40" x14ac:dyDescent="0.25">
      <c r="A5796" t="str">
        <f>"20190312151649509"</f>
        <v>20190312151649509</v>
      </c>
      <c r="B5796" t="str">
        <f>"1552375009503477"</f>
        <v>1552375009503477</v>
      </c>
      <c r="C5796" t="s">
        <v>40</v>
      </c>
      <c r="D5796">
        <v>4.7485080000000002</v>
      </c>
      <c r="E5796">
        <v>0.50708690000000001</v>
      </c>
      <c r="F5796" t="s">
        <v>76</v>
      </c>
      <c r="G5796">
        <v>-238.2225</v>
      </c>
      <c r="H5796" s="1">
        <v>-3.0926639999999999E-6</v>
      </c>
      <c r="I5796">
        <v>-62.753929999999997</v>
      </c>
      <c r="J5796">
        <v>-274.86279999999999</v>
      </c>
      <c r="K5796">
        <v>1.113683</v>
      </c>
      <c r="L5796">
        <v>-63.371029999999998</v>
      </c>
      <c r="M5796">
        <v>0.99466290000000002</v>
      </c>
      <c r="N5796">
        <v>0</v>
      </c>
      <c r="O5796">
        <v>-0.1025722</v>
      </c>
      <c r="P5796">
        <v>0.99924100000000005</v>
      </c>
      <c r="Q5796">
        <v>1.6971549999999998E-2</v>
      </c>
      <c r="R5796">
        <v>3.5064529999999997E-2</v>
      </c>
      <c r="S5796">
        <v>3.0019840000000002</v>
      </c>
      <c r="T5796">
        <v>-9.096622E-2</v>
      </c>
      <c r="U5796">
        <v>4.9682619999999997E-2</v>
      </c>
      <c r="V5796">
        <v>-0.1376483</v>
      </c>
      <c r="W5796">
        <v>2.6683809999999999E-2</v>
      </c>
      <c r="X5796">
        <v>0.99012169999999999</v>
      </c>
      <c r="Y5796">
        <v>-0.1189234</v>
      </c>
      <c r="Z5796">
        <v>4.9052399999999999E-3</v>
      </c>
      <c r="AA5796">
        <v>0.99289130000000003</v>
      </c>
      <c r="AB5796">
        <v>24</v>
      </c>
      <c r="AC5796">
        <v>36.640300000000003</v>
      </c>
      <c r="AD5796">
        <v>-1.113686092664</v>
      </c>
      <c r="AE5796">
        <v>0.61709999999999998</v>
      </c>
      <c r="AF5796">
        <v>-4.3683206056603803</v>
      </c>
      <c r="AG5796">
        <v>-1.113686092664</v>
      </c>
      <c r="AH5796">
        <v>36.350144573999799</v>
      </c>
      <c r="AI5796">
        <v>91.742335769799993</v>
      </c>
      <c r="AJ5796">
        <v>96.852567485619005</v>
      </c>
      <c r="AK5796">
        <v>36.628616301704902</v>
      </c>
      <c r="AL5796">
        <v>88.470948861752504</v>
      </c>
      <c r="AM5796">
        <v>97.914622286224301</v>
      </c>
      <c r="AN5796">
        <v>1.0000000305099399</v>
      </c>
    </row>
    <row r="5797" spans="1:40" x14ac:dyDescent="0.25">
      <c r="A5797" t="str">
        <f>"20190312151649521"</f>
        <v>20190312151649521</v>
      </c>
      <c r="B5797" t="str">
        <f>"1552375009514210"</f>
        <v>1552375009514210</v>
      </c>
      <c r="C5797" t="s">
        <v>40</v>
      </c>
      <c r="D5797">
        <v>4.6897640000000003</v>
      </c>
      <c r="E5797">
        <v>0.50718370000000002</v>
      </c>
      <c r="F5797" t="s">
        <v>76</v>
      </c>
      <c r="G5797">
        <v>-236.6131</v>
      </c>
      <c r="H5797" s="1">
        <v>-2.444468E-6</v>
      </c>
      <c r="I5797">
        <v>-62.71499</v>
      </c>
      <c r="J5797">
        <v>-274.75049999999999</v>
      </c>
      <c r="K5797">
        <v>1.113629</v>
      </c>
      <c r="L5797">
        <v>-63.379269999999998</v>
      </c>
      <c r="M5797">
        <v>0.99497060000000004</v>
      </c>
      <c r="N5797">
        <v>0</v>
      </c>
      <c r="O5797">
        <v>-9.9545289999999995E-2</v>
      </c>
      <c r="P5797">
        <v>0.99923629999999997</v>
      </c>
      <c r="Q5797">
        <v>1.7699380000000001E-2</v>
      </c>
      <c r="R5797">
        <v>3.483961E-2</v>
      </c>
      <c r="S5797">
        <v>3.0019529999999999</v>
      </c>
      <c r="T5797">
        <v>-8.7405440000000001E-2</v>
      </c>
      <c r="U5797">
        <v>5.1483149999999998E-2</v>
      </c>
      <c r="V5797">
        <v>-0.13441400000000001</v>
      </c>
      <c r="W5797">
        <v>2.7456000000000001E-2</v>
      </c>
      <c r="X5797">
        <v>0.9905448</v>
      </c>
      <c r="Y5797">
        <v>-0.1165076</v>
      </c>
      <c r="Z5797">
        <v>4.5903879999999999E-3</v>
      </c>
      <c r="AA5797">
        <v>0.99317920000000004</v>
      </c>
      <c r="AB5797">
        <v>24</v>
      </c>
      <c r="AC5797">
        <v>38.1373999999999</v>
      </c>
      <c r="AD5797">
        <v>-1.113631444468</v>
      </c>
      <c r="AE5797">
        <v>0.66427999999999698</v>
      </c>
      <c r="AF5797">
        <v>-4.45381804578843</v>
      </c>
      <c r="AG5797">
        <v>-1.113631444468</v>
      </c>
      <c r="AH5797">
        <v>37.849555734792098</v>
      </c>
      <c r="AI5797">
        <v>91.673761759807903</v>
      </c>
      <c r="AJ5797">
        <v>96.711224106623007</v>
      </c>
      <c r="AK5797">
        <v>38.126966041113597</v>
      </c>
      <c r="AL5797">
        <v>88.426689332307603</v>
      </c>
      <c r="AM5797">
        <v>97.727666907910205</v>
      </c>
      <c r="AN5797">
        <v>0.99999997806951901</v>
      </c>
    </row>
    <row r="5798" spans="1:40" x14ac:dyDescent="0.25">
      <c r="A5798" t="str">
        <f>"20190312151649531"</f>
        <v>20190312151649531</v>
      </c>
      <c r="B5798" t="str">
        <f>"1552375009523970"</f>
        <v>1552375009523970</v>
      </c>
      <c r="C5798" t="s">
        <v>40</v>
      </c>
      <c r="D5798">
        <v>4.6351959999999996</v>
      </c>
      <c r="E5798">
        <v>0.50735140000000001</v>
      </c>
      <c r="F5798" t="s">
        <v>76</v>
      </c>
      <c r="G5798">
        <v>-235.26339999999999</v>
      </c>
      <c r="H5798" s="1">
        <v>-1.867227E-6</v>
      </c>
      <c r="I5798">
        <v>-62.721710000000002</v>
      </c>
      <c r="J5798">
        <v>-274.63619999999997</v>
      </c>
      <c r="K5798">
        <v>1.113577</v>
      </c>
      <c r="L5798">
        <v>-63.387450000000001</v>
      </c>
      <c r="M5798">
        <v>0.99527220000000005</v>
      </c>
      <c r="N5798">
        <v>0</v>
      </c>
      <c r="O5798">
        <v>-9.6483680000000002E-2</v>
      </c>
      <c r="P5798">
        <v>0.99922500000000003</v>
      </c>
      <c r="Q5798">
        <v>1.8279340000000002E-2</v>
      </c>
      <c r="R5798">
        <v>3.4862709999999998E-2</v>
      </c>
      <c r="S5798">
        <v>3.002075</v>
      </c>
      <c r="T5798">
        <v>-8.4665660000000004E-2</v>
      </c>
      <c r="U5798">
        <v>4.9987789999999997E-2</v>
      </c>
      <c r="V5798">
        <v>-0.13138910000000001</v>
      </c>
      <c r="W5798">
        <v>2.8077080000000001E-2</v>
      </c>
      <c r="X5798">
        <v>0.99093319999999996</v>
      </c>
      <c r="Y5798">
        <v>-0.1129642</v>
      </c>
      <c r="Z5798">
        <v>4.3103760000000003E-3</v>
      </c>
      <c r="AA5798">
        <v>0.99358970000000002</v>
      </c>
      <c r="AB5798">
        <v>24</v>
      </c>
      <c r="AC5798">
        <v>39.372799999999899</v>
      </c>
      <c r="AD5798">
        <v>-1.1135788672269999</v>
      </c>
      <c r="AE5798">
        <v>0.66574000000000599</v>
      </c>
      <c r="AF5798">
        <v>-4.4581369566317397</v>
      </c>
      <c r="AG5798">
        <v>-1.1135788672269999</v>
      </c>
      <c r="AH5798">
        <v>39.093585925538399</v>
      </c>
      <c r="AI5798">
        <v>91.621124951959999</v>
      </c>
      <c r="AJ5798">
        <v>96.505766197878302</v>
      </c>
      <c r="AK5798">
        <v>39.362717176727898</v>
      </c>
      <c r="AL5798">
        <v>88.391090397814494</v>
      </c>
      <c r="AM5798">
        <v>97.552865358651005</v>
      </c>
      <c r="AN5798">
        <v>1.0000000124411801</v>
      </c>
    </row>
    <row r="5799" spans="1:40" x14ac:dyDescent="0.25">
      <c r="A5799" t="str">
        <f>"20190312151649543"</f>
        <v>20190312151649543</v>
      </c>
      <c r="B5799" t="str">
        <f>"1552375009533731"</f>
        <v>1552375009533731</v>
      </c>
      <c r="C5799" t="s">
        <v>40</v>
      </c>
      <c r="D5799">
        <v>4.6560249999999996</v>
      </c>
      <c r="E5799">
        <v>0.50752180000000002</v>
      </c>
      <c r="F5799" t="s">
        <v>76</v>
      </c>
      <c r="G5799">
        <v>-235.22069999999999</v>
      </c>
      <c r="H5799" s="1">
        <v>-1.855458E-6</v>
      </c>
      <c r="I5799">
        <v>-62.746319999999997</v>
      </c>
      <c r="J5799">
        <v>-274.52100000000002</v>
      </c>
      <c r="K5799">
        <v>1.1135120000000001</v>
      </c>
      <c r="L5799">
        <v>-63.395229999999998</v>
      </c>
      <c r="M5799">
        <v>0.99555890000000002</v>
      </c>
      <c r="N5799">
        <v>0</v>
      </c>
      <c r="O5799">
        <v>-9.3481209999999995E-2</v>
      </c>
      <c r="P5799">
        <v>0.99919619999999998</v>
      </c>
      <c r="Q5799">
        <v>1.9299819999999999E-2</v>
      </c>
      <c r="R5799">
        <v>3.5134619999999998E-2</v>
      </c>
      <c r="S5799">
        <v>3.002167</v>
      </c>
      <c r="T5799">
        <v>-8.4818119999999997E-2</v>
      </c>
      <c r="U5799">
        <v>4.8828129999999997E-2</v>
      </c>
      <c r="V5799">
        <v>-0.1286716</v>
      </c>
      <c r="W5799">
        <v>2.91357E-2</v>
      </c>
      <c r="X5799">
        <v>0.99125920000000001</v>
      </c>
      <c r="Y5799">
        <v>-0.1095846</v>
      </c>
      <c r="Z5799">
        <v>4.1857250000000004E-3</v>
      </c>
      <c r="AA5799">
        <v>0.99396870000000004</v>
      </c>
      <c r="AB5799">
        <v>24</v>
      </c>
      <c r="AC5799">
        <v>39.300299999999901</v>
      </c>
      <c r="AD5799">
        <v>-1.113513855458</v>
      </c>
      <c r="AE5799">
        <v>0.64891000000000698</v>
      </c>
      <c r="AF5799">
        <v>-4.3166706021460897</v>
      </c>
      <c r="AG5799">
        <v>-1.113513855458</v>
      </c>
      <c r="AH5799">
        <v>39.0361905816331</v>
      </c>
      <c r="AI5799">
        <v>91.624034608483001</v>
      </c>
      <c r="AJ5799">
        <v>96.310201214448796</v>
      </c>
      <c r="AK5799">
        <v>39.289918978273697</v>
      </c>
      <c r="AL5799">
        <v>88.330411143545604</v>
      </c>
      <c r="AM5799">
        <v>97.395993043923397</v>
      </c>
      <c r="AN5799">
        <v>1.00000003562284</v>
      </c>
    </row>
    <row r="5800" spans="1:40" x14ac:dyDescent="0.25">
      <c r="A5800" t="str">
        <f>"20190312151649555"</f>
        <v>20190312151649555</v>
      </c>
      <c r="B5800" t="str">
        <f>"1552375009543491"</f>
        <v>1552375009543491</v>
      </c>
      <c r="C5800" t="s">
        <v>40</v>
      </c>
      <c r="D5800">
        <v>4.8187740000000003</v>
      </c>
      <c r="E5800">
        <v>0.50751159999999995</v>
      </c>
      <c r="F5800" t="s">
        <v>76</v>
      </c>
      <c r="G5800">
        <v>-234.5694</v>
      </c>
      <c r="H5800" s="1">
        <v>-1.57755E-6</v>
      </c>
      <c r="I5800">
        <v>-62.751919999999998</v>
      </c>
      <c r="J5800">
        <v>-274.39890000000003</v>
      </c>
      <c r="K5800">
        <v>1.1134459999999999</v>
      </c>
      <c r="L5800">
        <v>-63.403320000000001</v>
      </c>
      <c r="M5800">
        <v>0.99585009999999996</v>
      </c>
      <c r="N5800">
        <v>0</v>
      </c>
      <c r="O5800">
        <v>-9.0324989999999994E-2</v>
      </c>
      <c r="P5800">
        <v>0.99915350000000003</v>
      </c>
      <c r="Q5800">
        <v>2.0381219999999999E-2</v>
      </c>
      <c r="R5800">
        <v>3.5729709999999998E-2</v>
      </c>
      <c r="S5800">
        <v>3.002319</v>
      </c>
      <c r="T5800">
        <v>-8.3679439999999994E-2</v>
      </c>
      <c r="U5800">
        <v>4.8339840000000002E-2</v>
      </c>
      <c r="V5800">
        <v>-0.1261226</v>
      </c>
      <c r="W5800">
        <v>3.0254340000000001E-2</v>
      </c>
      <c r="X5800">
        <v>0.99155320000000002</v>
      </c>
      <c r="Y5800">
        <v>-0.10627549999999999</v>
      </c>
      <c r="Z5800">
        <v>3.9955370000000004E-3</v>
      </c>
      <c r="AA5800">
        <v>0.99432869999999995</v>
      </c>
      <c r="AB5800">
        <v>24</v>
      </c>
      <c r="AC5800">
        <v>39.829500000000003</v>
      </c>
      <c r="AD5800">
        <v>-1.1134475775499999</v>
      </c>
      <c r="AE5800">
        <v>0.65139999999999498</v>
      </c>
      <c r="AF5800">
        <v>-4.2432439700820801</v>
      </c>
      <c r="AG5800">
        <v>-1.1134475775499999</v>
      </c>
      <c r="AH5800">
        <v>39.576907972188003</v>
      </c>
      <c r="AI5800">
        <v>91.602342732966406</v>
      </c>
      <c r="AJ5800">
        <v>96.119598379433498</v>
      </c>
      <c r="AK5800">
        <v>39.819298456108299</v>
      </c>
      <c r="AL5800">
        <v>88.266289438537498</v>
      </c>
      <c r="AM5800">
        <v>97.248925314335807</v>
      </c>
      <c r="AN5800">
        <v>0.99999999187491695</v>
      </c>
    </row>
    <row r="5801" spans="1:40" x14ac:dyDescent="0.25">
      <c r="A5801" t="str">
        <f>"20190312151649564"</f>
        <v>20190312151649564</v>
      </c>
      <c r="B5801" t="str">
        <f>"1552375009554227"</f>
        <v>1552375009554227</v>
      </c>
      <c r="C5801" t="s">
        <v>40</v>
      </c>
      <c r="D5801">
        <v>4.8989989999999999</v>
      </c>
      <c r="E5801">
        <v>0.50742370000000003</v>
      </c>
      <c r="F5801" t="s">
        <v>76</v>
      </c>
      <c r="G5801">
        <v>-233.07380000000001</v>
      </c>
      <c r="H5801" s="1">
        <v>-9.2560369999999995E-7</v>
      </c>
      <c r="I5801">
        <v>-62.71313</v>
      </c>
      <c r="J5801">
        <v>-274.28559999999999</v>
      </c>
      <c r="K5801">
        <v>1.1133900000000001</v>
      </c>
      <c r="L5801">
        <v>-63.410400000000003</v>
      </c>
      <c r="M5801">
        <v>0.99610469999999895</v>
      </c>
      <c r="N5801">
        <v>0</v>
      </c>
      <c r="O5801">
        <v>-8.7473720000000005E-2</v>
      </c>
      <c r="P5801">
        <v>0.99912800000000002</v>
      </c>
      <c r="Q5801">
        <v>2.1276059999999999E-2</v>
      </c>
      <c r="R5801">
        <v>3.5918169999999999E-2</v>
      </c>
      <c r="S5801">
        <v>3.0024109999999999</v>
      </c>
      <c r="T5801">
        <v>-8.0895659999999994E-2</v>
      </c>
      <c r="U5801">
        <v>5.0140379999999998E-2</v>
      </c>
      <c r="V5801">
        <v>-0.12347180000000001</v>
      </c>
      <c r="W5801">
        <v>3.1186120000000001E-2</v>
      </c>
      <c r="X5801">
        <v>0.99185789999999996</v>
      </c>
      <c r="Y5801">
        <v>-0.1040312</v>
      </c>
      <c r="Z5801">
        <v>3.7557089999999999E-3</v>
      </c>
      <c r="AA5801">
        <v>0.99456690000000003</v>
      </c>
      <c r="AB5801">
        <v>24</v>
      </c>
      <c r="AC5801">
        <v>41.211799999999897</v>
      </c>
      <c r="AD5801">
        <v>-1.11339092560369</v>
      </c>
      <c r="AE5801">
        <v>0.69726999999999595</v>
      </c>
      <c r="AF5801">
        <v>-4.2966343529186997</v>
      </c>
      <c r="AG5801">
        <v>-1.11339092560369</v>
      </c>
      <c r="AH5801">
        <v>40.962922383269898</v>
      </c>
      <c r="AI5801">
        <v>91.548451475919606</v>
      </c>
      <c r="AJ5801">
        <v>95.987905312253702</v>
      </c>
      <c r="AK5801">
        <v>41.202690643860699</v>
      </c>
      <c r="AL5801">
        <v>88.212877138085005</v>
      </c>
      <c r="AM5801">
        <v>97.095982150693899</v>
      </c>
      <c r="AN5801">
        <v>0.99999997663415197</v>
      </c>
    </row>
    <row r="5802" spans="1:40" x14ac:dyDescent="0.25">
      <c r="A5802" t="str">
        <f>"20190312151649576"</f>
        <v>20190312151649576</v>
      </c>
      <c r="B5802" t="str">
        <f>"1552375009573747"</f>
        <v>1552375009573747</v>
      </c>
      <c r="C5802" t="s">
        <v>40</v>
      </c>
      <c r="D5802">
        <v>4.7369890000000003</v>
      </c>
      <c r="E5802">
        <v>0.50752269999999999</v>
      </c>
      <c r="F5802" t="s">
        <v>76</v>
      </c>
      <c r="G5802">
        <v>-231.78550000000001</v>
      </c>
      <c r="H5802" s="1">
        <v>-3.647707E-7</v>
      </c>
      <c r="I5802">
        <v>-62.682450000000003</v>
      </c>
      <c r="J5802">
        <v>-274.1703</v>
      </c>
      <c r="K5802">
        <v>1.1133230000000001</v>
      </c>
      <c r="L5802">
        <v>-63.417450000000002</v>
      </c>
      <c r="M5802">
        <v>0.99635240000000003</v>
      </c>
      <c r="N5802">
        <v>0</v>
      </c>
      <c r="O5802">
        <v>-8.4606619999999993E-2</v>
      </c>
      <c r="P5802">
        <v>0.99909570000000003</v>
      </c>
      <c r="Q5802">
        <v>2.1801299999999999E-2</v>
      </c>
      <c r="R5802">
        <v>3.6502850000000003E-2</v>
      </c>
      <c r="S5802">
        <v>3.0024410000000001</v>
      </c>
      <c r="T5802">
        <v>-7.8656080000000003E-2</v>
      </c>
      <c r="U5802">
        <v>5.1422120000000002E-2</v>
      </c>
      <c r="V5802">
        <v>-0.12119539999999999</v>
      </c>
      <c r="W5802">
        <v>3.1744219999999997E-2</v>
      </c>
      <c r="X5802">
        <v>0.99212089999999997</v>
      </c>
      <c r="Y5802">
        <v>-0.10159849999999999</v>
      </c>
      <c r="Z5802">
        <v>3.5449570000000001E-3</v>
      </c>
      <c r="AA5802">
        <v>0.99481920000000001</v>
      </c>
      <c r="AB5802">
        <v>24</v>
      </c>
      <c r="AC5802">
        <v>42.384799999999899</v>
      </c>
      <c r="AD5802">
        <v>-1.1133233647706999</v>
      </c>
      <c r="AE5802">
        <v>0.73499999999999899</v>
      </c>
      <c r="AF5802">
        <v>-4.3156438965381003</v>
      </c>
      <c r="AG5802">
        <v>-1.1133233647706999</v>
      </c>
      <c r="AH5802">
        <v>42.1415507358873</v>
      </c>
      <c r="AI5802">
        <v>91.505455837978403</v>
      </c>
      <c r="AJ5802">
        <v>95.847178637306797</v>
      </c>
      <c r="AK5802">
        <v>42.376580437567497</v>
      </c>
      <c r="AL5802">
        <v>88.180884473367698</v>
      </c>
      <c r="AM5802">
        <v>96.964625240704194</v>
      </c>
      <c r="AN5802">
        <v>0.99999995035068701</v>
      </c>
    </row>
    <row r="5803" spans="1:40" x14ac:dyDescent="0.25">
      <c r="A5803" t="str">
        <f>"20190312151649587"</f>
        <v>20190312151649587</v>
      </c>
      <c r="B5803" t="str">
        <f>"1552375009583506"</f>
        <v>1552375009583506</v>
      </c>
      <c r="C5803" t="s">
        <v>40</v>
      </c>
      <c r="D5803">
        <v>4.7091139999999996</v>
      </c>
      <c r="E5803">
        <v>0.50757280000000005</v>
      </c>
      <c r="F5803" t="s">
        <v>76</v>
      </c>
      <c r="G5803">
        <v>-231.15530000000001</v>
      </c>
      <c r="H5803" s="1">
        <v>-9.0214939999999998E-8</v>
      </c>
      <c r="I5803">
        <v>-62.666710000000002</v>
      </c>
      <c r="J5803">
        <v>-274.04930000000002</v>
      </c>
      <c r="K5803">
        <v>1.113251</v>
      </c>
      <c r="L5803">
        <v>-63.4244699999999</v>
      </c>
      <c r="M5803">
        <v>0.99659869999999995</v>
      </c>
      <c r="N5803">
        <v>0</v>
      </c>
      <c r="O5803">
        <v>-8.1658709999999995E-2</v>
      </c>
      <c r="P5803">
        <v>0.99907939999999995</v>
      </c>
      <c r="Q5803">
        <v>2.188263E-2</v>
      </c>
      <c r="R5803">
        <v>3.6900460000000003E-2</v>
      </c>
      <c r="S5803">
        <v>3.0025019999999998</v>
      </c>
      <c r="T5803">
        <v>-7.7711219999999998E-2</v>
      </c>
      <c r="U5803">
        <v>5.2398680000000003E-2</v>
      </c>
      <c r="V5803">
        <v>-0.1186494</v>
      </c>
      <c r="W5803">
        <v>3.1860989999999999E-2</v>
      </c>
      <c r="X5803">
        <v>0.99242490000000005</v>
      </c>
      <c r="Y5803">
        <v>-9.8981589999999994E-2</v>
      </c>
      <c r="Z5803">
        <v>3.3923439999999998E-3</v>
      </c>
      <c r="AA5803">
        <v>0.99508350000000001</v>
      </c>
      <c r="AB5803">
        <v>24</v>
      </c>
      <c r="AC5803">
        <v>42.893999999999998</v>
      </c>
      <c r="AD5803">
        <v>-1.11325109021494</v>
      </c>
      <c r="AE5803">
        <v>0.75775999999999699</v>
      </c>
      <c r="AF5803">
        <v>-4.2552475957317499</v>
      </c>
      <c r="AG5803">
        <v>-1.11325109021494</v>
      </c>
      <c r="AH5803">
        <v>42.660123646002397</v>
      </c>
      <c r="AI5803">
        <v>91.487463157901601</v>
      </c>
      <c r="AJ5803">
        <v>95.696278027164993</v>
      </c>
      <c r="AK5803">
        <v>42.886275305545702</v>
      </c>
      <c r="AL5803">
        <v>88.174190735851894</v>
      </c>
      <c r="AM5803">
        <v>96.817639746862199</v>
      </c>
      <c r="AN5803">
        <v>0.99999999247207505</v>
      </c>
    </row>
    <row r="5804" spans="1:40" x14ac:dyDescent="0.25">
      <c r="A5804" t="str">
        <f>"20190312151649600"</f>
        <v>20190312151649600</v>
      </c>
      <c r="B5804" t="str">
        <f>"1552375009593266"</f>
        <v>1552375009593266</v>
      </c>
      <c r="C5804" t="s">
        <v>40</v>
      </c>
      <c r="D5804">
        <v>4.7511919999999996</v>
      </c>
      <c r="E5804">
        <v>0.50763309999999995</v>
      </c>
      <c r="F5804" t="s">
        <v>76</v>
      </c>
      <c r="G5804">
        <v>-231.08420000000001</v>
      </c>
      <c r="H5804" s="1">
        <v>-5.8594199999999999E-8</v>
      </c>
      <c r="I5804">
        <v>-62.66236</v>
      </c>
      <c r="J5804">
        <v>-273.92840000000001</v>
      </c>
      <c r="K5804">
        <v>1.113181</v>
      </c>
      <c r="L5804">
        <v>-63.431179999999998</v>
      </c>
      <c r="M5804">
        <v>0.99683109999999997</v>
      </c>
      <c r="N5804">
        <v>0</v>
      </c>
      <c r="O5804">
        <v>-7.8770069999999998E-2</v>
      </c>
      <c r="P5804">
        <v>0.99905999999999995</v>
      </c>
      <c r="Q5804">
        <v>2.2020649999999999E-2</v>
      </c>
      <c r="R5804">
        <v>3.7342090000000001E-2</v>
      </c>
      <c r="S5804">
        <v>3.0025019999999998</v>
      </c>
      <c r="T5804">
        <v>-7.7796580000000004E-2</v>
      </c>
      <c r="U5804">
        <v>5.3253170000000002E-2</v>
      </c>
      <c r="V5804">
        <v>-0.11620610000000001</v>
      </c>
      <c r="W5804">
        <v>3.2033039999999999E-2</v>
      </c>
      <c r="X5804">
        <v>0.99270840000000005</v>
      </c>
      <c r="Y5804">
        <v>-9.6382140000000005E-2</v>
      </c>
      <c r="Z5804">
        <v>3.2877200000000001E-3</v>
      </c>
      <c r="AA5804">
        <v>0.99533899999999997</v>
      </c>
      <c r="AB5804">
        <v>24</v>
      </c>
      <c r="AC5804">
        <v>42.844200000000001</v>
      </c>
      <c r="AD5804">
        <v>-1.1131810585941999</v>
      </c>
      <c r="AE5804">
        <v>0.76882000000000505</v>
      </c>
      <c r="AF5804">
        <v>-4.1386861035990199</v>
      </c>
      <c r="AG5804">
        <v>-1.1131810585941999</v>
      </c>
      <c r="AH5804">
        <v>42.621731517417899</v>
      </c>
      <c r="AI5804">
        <v>91.489092505684795</v>
      </c>
      <c r="AJ5804">
        <v>95.546188150838404</v>
      </c>
      <c r="AK5804">
        <v>42.836665279596502</v>
      </c>
      <c r="AL5804">
        <v>88.1643279220159</v>
      </c>
      <c r="AM5804">
        <v>96.676638092365707</v>
      </c>
      <c r="AN5804">
        <v>0.99999997037970501</v>
      </c>
    </row>
    <row r="5805" spans="1:40" x14ac:dyDescent="0.25">
      <c r="A5805" t="str">
        <f>"20190312151649609"</f>
        <v>20190312151649609</v>
      </c>
      <c r="B5805" t="str">
        <f>"1552375009604003"</f>
        <v>1552375009604003</v>
      </c>
      <c r="C5805" t="s">
        <v>40</v>
      </c>
      <c r="D5805">
        <v>4.7379639999999998</v>
      </c>
      <c r="E5805">
        <v>0.50767019999999996</v>
      </c>
      <c r="F5805" t="s">
        <v>76</v>
      </c>
      <c r="G5805">
        <v>-230.84880000000001</v>
      </c>
      <c r="H5805" s="1">
        <v>4.477545E-8</v>
      </c>
      <c r="I5805">
        <v>-62.653480000000002</v>
      </c>
      <c r="J5805">
        <v>-273.81990000000002</v>
      </c>
      <c r="K5805">
        <v>1.1131169999999999</v>
      </c>
      <c r="L5805">
        <v>-63.437040000000003</v>
      </c>
      <c r="M5805">
        <v>0.99702999999999997</v>
      </c>
      <c r="N5805">
        <v>0</v>
      </c>
      <c r="O5805">
        <v>-7.6212119999999994E-2</v>
      </c>
      <c r="P5805">
        <v>0.99905219999999995</v>
      </c>
      <c r="Q5805">
        <v>2.2152450000000001E-2</v>
      </c>
      <c r="R5805">
        <v>3.7469839999999997E-2</v>
      </c>
      <c r="S5805">
        <v>3.0025019999999998</v>
      </c>
      <c r="T5805">
        <v>-7.7584860000000005E-2</v>
      </c>
      <c r="U5805">
        <v>5.4199219999999999E-2</v>
      </c>
      <c r="V5805">
        <v>-0.1137811</v>
      </c>
      <c r="W5805">
        <v>3.2196990000000002E-2</v>
      </c>
      <c r="X5805">
        <v>0.99298399999999998</v>
      </c>
      <c r="Y5805">
        <v>-9.4143470000000007E-2</v>
      </c>
      <c r="Z5805">
        <v>3.1838980000000001E-3</v>
      </c>
      <c r="AA5805">
        <v>0.99555360000000004</v>
      </c>
      <c r="AB5805">
        <v>24</v>
      </c>
      <c r="AC5805">
        <v>42.9711</v>
      </c>
      <c r="AD5805">
        <v>-1.1131169552245499</v>
      </c>
      <c r="AE5805">
        <v>0.78356000000000103</v>
      </c>
      <c r="AF5805">
        <v>-4.0536815588917703</v>
      </c>
      <c r="AG5805">
        <v>-1.1131169552245499</v>
      </c>
      <c r="AH5805">
        <v>42.7577069045429</v>
      </c>
      <c r="AI5805">
        <v>91.484597697801107</v>
      </c>
      <c r="AJ5805">
        <v>95.415788895593494</v>
      </c>
      <c r="AK5805">
        <v>42.963855312014303</v>
      </c>
      <c r="AL5805">
        <v>88.1549294938484</v>
      </c>
      <c r="AM5805">
        <v>96.536729519415502</v>
      </c>
      <c r="AN5805">
        <v>1.00000000456913</v>
      </c>
    </row>
    <row r="5806" spans="1:40" x14ac:dyDescent="0.25">
      <c r="A5806" t="str">
        <f>"20190312151649621"</f>
        <v>20190312151649621</v>
      </c>
      <c r="B5806" t="str">
        <f>"1552375009613763"</f>
        <v>1552375009613763</v>
      </c>
      <c r="C5806" t="s">
        <v>40</v>
      </c>
      <c r="D5806">
        <v>4.9190149999999999</v>
      </c>
      <c r="E5806">
        <v>0.5075617</v>
      </c>
      <c r="F5806" t="s">
        <v>76</v>
      </c>
      <c r="G5806">
        <v>-230.52850000000001</v>
      </c>
      <c r="H5806" s="1">
        <v>1.8223939999999999E-7</v>
      </c>
      <c r="I5806">
        <v>-62.653309999999998</v>
      </c>
      <c r="J5806">
        <v>-273.70389999999998</v>
      </c>
      <c r="K5806">
        <v>1.113048</v>
      </c>
      <c r="L5806">
        <v>-63.442929999999997</v>
      </c>
      <c r="M5806">
        <v>0.99722949999999999</v>
      </c>
      <c r="N5806">
        <v>0</v>
      </c>
      <c r="O5806">
        <v>-7.3558819999999997E-2</v>
      </c>
      <c r="P5806">
        <v>0.99905529999999998</v>
      </c>
      <c r="Q5806">
        <v>2.2075310000000001E-2</v>
      </c>
      <c r="R5806">
        <v>3.743747E-2</v>
      </c>
      <c r="S5806">
        <v>3.0025019999999998</v>
      </c>
      <c r="T5806">
        <v>-7.7200889999999994E-2</v>
      </c>
      <c r="U5806">
        <v>5.435181E-2</v>
      </c>
      <c r="V5806">
        <v>-0.1110994</v>
      </c>
      <c r="W5806">
        <v>3.2155040000000003E-2</v>
      </c>
      <c r="X5806">
        <v>0.99328899999999998</v>
      </c>
      <c r="Y5806">
        <v>-9.1546920000000004E-2</v>
      </c>
      <c r="Z5806">
        <v>3.0666830000000002E-3</v>
      </c>
      <c r="AA5806">
        <v>0.99579600000000001</v>
      </c>
      <c r="AB5806">
        <v>24</v>
      </c>
      <c r="AC5806">
        <v>43.175399999999897</v>
      </c>
      <c r="AD5806">
        <v>-1.1130478177606</v>
      </c>
      <c r="AE5806">
        <v>0.78962000000000598</v>
      </c>
      <c r="AF5806">
        <v>-3.9609749123606299</v>
      </c>
      <c r="AG5806">
        <v>-1.1130478177606</v>
      </c>
      <c r="AH5806">
        <v>42.971782122532503</v>
      </c>
      <c r="AI5806">
        <v>91.477473246986705</v>
      </c>
      <c r="AJ5806">
        <v>95.266424678466905</v>
      </c>
      <c r="AK5806">
        <v>43.168301524236199</v>
      </c>
      <c r="AL5806">
        <v>88.157334344564902</v>
      </c>
      <c r="AM5806">
        <v>96.382008723295499</v>
      </c>
      <c r="AN5806">
        <v>1.0000000303993799</v>
      </c>
    </row>
    <row r="5807" spans="1:40" x14ac:dyDescent="0.25">
      <c r="A5807" t="str">
        <f>"20190312151649632"</f>
        <v>20190312151649632</v>
      </c>
      <c r="B5807" t="str">
        <f>"1552375009623523"</f>
        <v>1552375009623523</v>
      </c>
      <c r="C5807" t="s">
        <v>40</v>
      </c>
      <c r="D5807">
        <v>4.7513339999999999</v>
      </c>
      <c r="E5807">
        <v>0.50765340000000003</v>
      </c>
      <c r="F5807" t="s">
        <v>76</v>
      </c>
      <c r="G5807">
        <v>-230.4776</v>
      </c>
      <c r="H5807" s="1">
        <v>2.0523210000000001E-7</v>
      </c>
      <c r="I5807">
        <v>-62.648949999999999</v>
      </c>
      <c r="J5807">
        <v>-273.58819999999997</v>
      </c>
      <c r="K5807">
        <v>1.1129770000000001</v>
      </c>
      <c r="L5807">
        <v>-63.448700000000002</v>
      </c>
      <c r="M5807">
        <v>0.99741959999999996</v>
      </c>
      <c r="N5807">
        <v>0</v>
      </c>
      <c r="O5807">
        <v>-7.0935830000000005E-2</v>
      </c>
      <c r="P5807">
        <v>0.99904349999999997</v>
      </c>
      <c r="Q5807">
        <v>2.2431710000000001E-2</v>
      </c>
      <c r="R5807">
        <v>3.7533070000000002E-2</v>
      </c>
      <c r="S5807">
        <v>3.002472</v>
      </c>
      <c r="T5807">
        <v>-7.7311640000000001E-2</v>
      </c>
      <c r="U5807">
        <v>5.5145260000000001E-2</v>
      </c>
      <c r="V5807">
        <v>-0.1085779</v>
      </c>
      <c r="W5807">
        <v>3.254394E-2</v>
      </c>
      <c r="X5807">
        <v>0.99355510000000002</v>
      </c>
      <c r="Y5807">
        <v>-8.9192419999999994E-2</v>
      </c>
      <c r="Z5807">
        <v>2.9733860000000002E-3</v>
      </c>
      <c r="AA5807">
        <v>0.99600999999999995</v>
      </c>
      <c r="AB5807">
        <v>24</v>
      </c>
      <c r="AC5807">
        <v>43.110599999999899</v>
      </c>
      <c r="AD5807">
        <v>-1.1129767947678999</v>
      </c>
      <c r="AE5807">
        <v>0.79975000000000296</v>
      </c>
      <c r="AF5807">
        <v>-3.8534407648126501</v>
      </c>
      <c r="AG5807">
        <v>-1.1129767947678999</v>
      </c>
      <c r="AH5807">
        <v>42.916657206626503</v>
      </c>
      <c r="AI5807">
        <v>91.479594360831499</v>
      </c>
      <c r="AJ5807">
        <v>95.1307681278725</v>
      </c>
      <c r="AK5807">
        <v>43.1036795281412</v>
      </c>
      <c r="AL5807">
        <v>88.135040296255696</v>
      </c>
      <c r="AM5807">
        <v>96.236660834052699</v>
      </c>
      <c r="AN5807">
        <v>1.0000000025675699</v>
      </c>
    </row>
    <row r="5808" spans="1:40" x14ac:dyDescent="0.25">
      <c r="A5808" t="str">
        <f>"20190312151649644"</f>
        <v>20190312151649644</v>
      </c>
      <c r="B5808" t="str">
        <f>"1552375009633283"</f>
        <v>1552375009633283</v>
      </c>
      <c r="C5808" t="s">
        <v>40</v>
      </c>
      <c r="D5808">
        <v>4.7217409999999997</v>
      </c>
      <c r="E5808">
        <v>0.50774339999999996</v>
      </c>
      <c r="F5808" t="s">
        <v>77</v>
      </c>
      <c r="G5808">
        <v>-229.56639999999999</v>
      </c>
      <c r="H5808" s="1">
        <v>-3.5664989999999998E-6</v>
      </c>
      <c r="I5808">
        <v>-62.645099999999999</v>
      </c>
      <c r="J5808">
        <v>-273.459</v>
      </c>
      <c r="K5808">
        <v>1.112894</v>
      </c>
      <c r="L5808">
        <v>-63.454680000000003</v>
      </c>
      <c r="M5808">
        <v>0.99761529999999998</v>
      </c>
      <c r="N5808">
        <v>0</v>
      </c>
      <c r="O5808">
        <v>-6.812812E-2</v>
      </c>
      <c r="P5808">
        <v>0.99901070000000003</v>
      </c>
      <c r="Q5808">
        <v>2.286852E-2</v>
      </c>
      <c r="R5808">
        <v>3.8138699999999998E-2</v>
      </c>
      <c r="S5808">
        <v>3.0025019999999998</v>
      </c>
      <c r="T5808">
        <v>-7.5910809999999995E-2</v>
      </c>
      <c r="U5808">
        <v>5.4809570000000002E-2</v>
      </c>
      <c r="V5808">
        <v>-0.10637870000000001</v>
      </c>
      <c r="W5808">
        <v>3.3011459999999999E-2</v>
      </c>
      <c r="X5808">
        <v>0.99377760000000004</v>
      </c>
      <c r="Y5808">
        <v>-8.6280809999999999E-2</v>
      </c>
      <c r="Z5808">
        <v>2.8118359999999998E-3</v>
      </c>
      <c r="AA5808">
        <v>0.99626689999999996</v>
      </c>
      <c r="AB5808">
        <v>24</v>
      </c>
      <c r="AC5808">
        <v>43.892600000000002</v>
      </c>
      <c r="AD5808">
        <v>-1.112897566499</v>
      </c>
      <c r="AE5808">
        <v>0.80958000000000396</v>
      </c>
      <c r="AF5808">
        <v>-3.7957625514517801</v>
      </c>
      <c r="AG5808">
        <v>-1.112897566499</v>
      </c>
      <c r="AH5808">
        <v>43.707359163342602</v>
      </c>
      <c r="AI5808">
        <v>91.453110168463795</v>
      </c>
      <c r="AJ5808">
        <v>94.963394920106296</v>
      </c>
      <c r="AK5808">
        <v>43.885984088020102</v>
      </c>
      <c r="AL5808">
        <v>88.108239064193199</v>
      </c>
      <c r="AM5808">
        <v>96.109947618617795</v>
      </c>
      <c r="AN5808">
        <v>1.00000005128338</v>
      </c>
    </row>
    <row r="5809" spans="1:40" x14ac:dyDescent="0.25">
      <c r="A5809" t="str">
        <f>"20190312151649655"</f>
        <v>20190312151649655</v>
      </c>
      <c r="B5809" t="str">
        <f>"1552375009644018"</f>
        <v>1552375009644018</v>
      </c>
      <c r="C5809" t="s">
        <v>40</v>
      </c>
      <c r="D5809">
        <v>4.7612930000000002</v>
      </c>
      <c r="E5809">
        <v>0.5078222</v>
      </c>
      <c r="F5809" t="s">
        <v>77</v>
      </c>
      <c r="G5809">
        <v>-228.43389999999999</v>
      </c>
      <c r="H5809" s="1">
        <v>-3.177307E-6</v>
      </c>
      <c r="I5809">
        <v>-62.616759999999999</v>
      </c>
      <c r="J5809">
        <v>-273.34910000000002</v>
      </c>
      <c r="K5809">
        <v>1.112819</v>
      </c>
      <c r="L5809">
        <v>-63.45966</v>
      </c>
      <c r="M5809">
        <v>0.9977741</v>
      </c>
      <c r="N5809">
        <v>0</v>
      </c>
      <c r="O5809">
        <v>-6.5765519999999994E-2</v>
      </c>
      <c r="P5809">
        <v>0.99899910000000003</v>
      </c>
      <c r="Q5809">
        <v>2.3433760000000001E-2</v>
      </c>
      <c r="R5809">
        <v>3.8102200000000003E-2</v>
      </c>
      <c r="S5809">
        <v>3.0025330000000001</v>
      </c>
      <c r="T5809">
        <v>-7.4214340000000004E-2</v>
      </c>
      <c r="U5809">
        <v>5.5877690000000001E-2</v>
      </c>
      <c r="V5809">
        <v>-0.1039866</v>
      </c>
      <c r="W5809">
        <v>3.360718E-2</v>
      </c>
      <c r="X5809">
        <v>0.99401070000000002</v>
      </c>
      <c r="Y5809">
        <v>-8.4279019999999996E-2</v>
      </c>
      <c r="Z5809">
        <v>2.665944E-3</v>
      </c>
      <c r="AA5809">
        <v>0.99643859999999995</v>
      </c>
      <c r="AB5809">
        <v>24</v>
      </c>
      <c r="AC5809">
        <v>44.915199999999999</v>
      </c>
      <c r="AD5809">
        <v>-1.1128221773069999</v>
      </c>
      <c r="AE5809">
        <v>0.84289999999999998</v>
      </c>
      <c r="AF5809">
        <v>-3.7927988885665398</v>
      </c>
      <c r="AG5809">
        <v>-1.1128221773069999</v>
      </c>
      <c r="AH5809">
        <v>44.7350632001056</v>
      </c>
      <c r="AI5809">
        <v>91.419894589110299</v>
      </c>
      <c r="AJ5809">
        <v>94.846151789165006</v>
      </c>
      <c r="AK5809">
        <v>44.9093484268572</v>
      </c>
      <c r="AL5809">
        <v>88.074087703957204</v>
      </c>
      <c r="AM5809">
        <v>95.972169443890905</v>
      </c>
      <c r="AN5809">
        <v>0.99999996362080001</v>
      </c>
    </row>
    <row r="5810" spans="1:40" x14ac:dyDescent="0.25">
      <c r="A5810" t="str">
        <f>"20190312151649667"</f>
        <v>20190312151649667</v>
      </c>
      <c r="B5810" t="str">
        <f>"1552375009663539"</f>
        <v>1552375009663539</v>
      </c>
      <c r="C5810" t="s">
        <v>40</v>
      </c>
      <c r="D5810">
        <v>4.7430289999999999</v>
      </c>
      <c r="E5810">
        <v>0.50792859999999995</v>
      </c>
      <c r="F5810" t="s">
        <v>77</v>
      </c>
      <c r="G5810">
        <v>-227.31659999999999</v>
      </c>
      <c r="H5810" s="1">
        <v>-2.7529400000000002E-6</v>
      </c>
      <c r="I5810">
        <v>-62.614690000000003</v>
      </c>
      <c r="J5810">
        <v>-273.2217</v>
      </c>
      <c r="K5810">
        <v>1.1127290000000001</v>
      </c>
      <c r="L5810">
        <v>-63.465060000000001</v>
      </c>
      <c r="M5810">
        <v>0.99794450000000001</v>
      </c>
      <c r="N5810">
        <v>0</v>
      </c>
      <c r="O5810">
        <v>-6.3127749999999996E-2</v>
      </c>
      <c r="P5810">
        <v>0.99897219999999998</v>
      </c>
      <c r="Q5810">
        <v>2.3653919999999998E-2</v>
      </c>
      <c r="R5810">
        <v>3.8667310000000003E-2</v>
      </c>
      <c r="S5810">
        <v>3.0025629999999999</v>
      </c>
      <c r="T5810">
        <v>-7.2586059999999994E-2</v>
      </c>
      <c r="U5810">
        <v>5.5114749999999997E-2</v>
      </c>
      <c r="V5810">
        <v>-0.1019143</v>
      </c>
      <c r="W5810">
        <v>3.385643E-2</v>
      </c>
      <c r="X5810">
        <v>0.99421689999999996</v>
      </c>
      <c r="Y5810">
        <v>-8.1394949999999994E-2</v>
      </c>
      <c r="Z5810">
        <v>2.5089169999999998E-3</v>
      </c>
      <c r="AA5810">
        <v>0.99667879999999998</v>
      </c>
      <c r="AB5810">
        <v>24</v>
      </c>
      <c r="AC5810">
        <v>45.905099999999997</v>
      </c>
      <c r="AD5810">
        <v>-1.11273175294</v>
      </c>
      <c r="AE5810">
        <v>0.85036999999999796</v>
      </c>
      <c r="AF5810">
        <v>-3.7445362460409402</v>
      </c>
      <c r="AG5810">
        <v>-1.11273175294</v>
      </c>
      <c r="AH5810">
        <v>45.732981748627502</v>
      </c>
      <c r="AI5810">
        <v>91.389145000113203</v>
      </c>
      <c r="AJ5810">
        <v>94.680836277472395</v>
      </c>
      <c r="AK5810">
        <v>45.899513540692404</v>
      </c>
      <c r="AL5810">
        <v>88.059798695188604</v>
      </c>
      <c r="AM5810">
        <v>95.852782061586694</v>
      </c>
      <c r="AN5810">
        <v>1.0000000133212199</v>
      </c>
    </row>
    <row r="5811" spans="1:40" x14ac:dyDescent="0.25">
      <c r="A5811" t="str">
        <f>"20190312151649678"</f>
        <v>20190312151649678</v>
      </c>
      <c r="B5811" t="str">
        <f>"1552375009673298"</f>
        <v>1552375009673298</v>
      </c>
      <c r="C5811" t="s">
        <v>40</v>
      </c>
      <c r="D5811">
        <v>4.7865830000000003</v>
      </c>
      <c r="E5811">
        <v>0.50794830000000002</v>
      </c>
      <c r="F5811" t="s">
        <v>77</v>
      </c>
      <c r="G5811">
        <v>-226.73779999999999</v>
      </c>
      <c r="H5811" s="1">
        <v>-2.5012470000000001E-6</v>
      </c>
      <c r="I5811">
        <v>-62.599530000000001</v>
      </c>
      <c r="J5811">
        <v>-273.1096</v>
      </c>
      <c r="K5811">
        <v>1.11264599999999</v>
      </c>
      <c r="L5811">
        <v>-63.469670000000001</v>
      </c>
      <c r="M5811">
        <v>0.99808569999999996</v>
      </c>
      <c r="N5811">
        <v>0</v>
      </c>
      <c r="O5811">
        <v>-6.0857120000000001E-2</v>
      </c>
      <c r="P5811">
        <v>0.99896910000000005</v>
      </c>
      <c r="Q5811">
        <v>2.3812880000000002E-2</v>
      </c>
      <c r="R5811">
        <v>3.8648879999999997E-2</v>
      </c>
      <c r="S5811">
        <v>3.0026250000000001</v>
      </c>
      <c r="T5811">
        <v>-7.1876759999999998E-2</v>
      </c>
      <c r="U5811">
        <v>5.5908199999999998E-2</v>
      </c>
      <c r="V5811">
        <v>-9.962733E-2</v>
      </c>
      <c r="W5811">
        <v>3.4044659999999997E-2</v>
      </c>
      <c r="X5811">
        <v>0.99444219999999905</v>
      </c>
      <c r="Y5811">
        <v>-7.9392149999999995E-2</v>
      </c>
      <c r="Z5811">
        <v>2.4061059999999999E-3</v>
      </c>
      <c r="AA5811">
        <v>0.99684050000000002</v>
      </c>
      <c r="AB5811">
        <v>24</v>
      </c>
      <c r="AC5811">
        <v>46.3718</v>
      </c>
      <c r="AD5811">
        <v>-1.11264850124699</v>
      </c>
      <c r="AE5811">
        <v>0.87013999999999203</v>
      </c>
      <c r="AF5811">
        <v>-3.6886295703112202</v>
      </c>
      <c r="AG5811">
        <v>-1.11264850124699</v>
      </c>
      <c r="AH5811">
        <v>46.206289108426297</v>
      </c>
      <c r="AI5811">
        <v>91.375044337044002</v>
      </c>
      <c r="AJ5811">
        <v>94.564220006631899</v>
      </c>
      <c r="AK5811">
        <v>46.366638092121498</v>
      </c>
      <c r="AL5811">
        <v>88.049007598393601</v>
      </c>
      <c r="AM5811">
        <v>95.721038556200497</v>
      </c>
      <c r="AN5811">
        <v>0.99999996644914102</v>
      </c>
    </row>
    <row r="5812" spans="1:40" x14ac:dyDescent="0.25">
      <c r="A5812" t="str">
        <f>"20190312151649689"</f>
        <v>20190312151649689</v>
      </c>
      <c r="B5812" t="str">
        <f>"1552375009684034"</f>
        <v>1552375009684034</v>
      </c>
      <c r="C5812" t="s">
        <v>40</v>
      </c>
      <c r="D5812">
        <v>4.7619899999999999</v>
      </c>
      <c r="E5812">
        <v>0.50802449999999999</v>
      </c>
      <c r="F5812" t="s">
        <v>77</v>
      </c>
      <c r="G5812">
        <v>-225.98249999999999</v>
      </c>
      <c r="H5812" s="1">
        <v>-2.1766480000000001E-6</v>
      </c>
      <c r="I5812">
        <v>-62.59695</v>
      </c>
      <c r="J5812">
        <v>-272.9855</v>
      </c>
      <c r="K5812">
        <v>1.1125579999999999</v>
      </c>
      <c r="L5812">
        <v>-63.474550000000001</v>
      </c>
      <c r="M5812">
        <v>0.99823240000000002</v>
      </c>
      <c r="N5812">
        <v>0</v>
      </c>
      <c r="O5812">
        <v>-5.8403690000000001E-2</v>
      </c>
      <c r="P5812">
        <v>0.99896529999999994</v>
      </c>
      <c r="Q5812">
        <v>2.3745369999999998E-2</v>
      </c>
      <c r="R5812">
        <v>3.8791949999999999E-2</v>
      </c>
      <c r="S5812">
        <v>3.0026250000000001</v>
      </c>
      <c r="T5812">
        <v>-7.0890430000000004E-2</v>
      </c>
      <c r="U5812">
        <v>5.5603029999999998E-2</v>
      </c>
      <c r="V5812">
        <v>-9.7317429999999996E-2</v>
      </c>
      <c r="W5812">
        <v>3.4006540000000002E-2</v>
      </c>
      <c r="X5812">
        <v>0.99467220000000001</v>
      </c>
      <c r="Y5812">
        <v>-7.6842899999999895E-2</v>
      </c>
      <c r="Z5812">
        <v>2.2851579999999998E-3</v>
      </c>
      <c r="AA5812">
        <v>0.99704060000000005</v>
      </c>
      <c r="AB5812">
        <v>24</v>
      </c>
      <c r="AC5812">
        <v>47.003</v>
      </c>
      <c r="AD5812">
        <v>-1.112560176648</v>
      </c>
      <c r="AE5812">
        <v>0.87760000000000105</v>
      </c>
      <c r="AF5812">
        <v>-3.6193895291389802</v>
      </c>
      <c r="AG5812">
        <v>-1.112560176648</v>
      </c>
      <c r="AH5812">
        <v>46.845263454364897</v>
      </c>
      <c r="AI5812">
        <v>91.356459703346601</v>
      </c>
      <c r="AJ5812">
        <v>94.418046915440399</v>
      </c>
      <c r="AK5812">
        <v>46.998047606460901</v>
      </c>
      <c r="AL5812">
        <v>88.051192959017499</v>
      </c>
      <c r="AM5812">
        <v>95.587959503287607</v>
      </c>
      <c r="AN5812">
        <v>0.99999995619870696</v>
      </c>
    </row>
    <row r="5813" spans="1:40" x14ac:dyDescent="0.25">
      <c r="A5813" t="str">
        <f>"20190312151649700"</f>
        <v>20190312151649700</v>
      </c>
      <c r="B5813" t="str">
        <f>"1552375009693794"</f>
        <v>1552375009693794</v>
      </c>
      <c r="C5813" t="s">
        <v>40</v>
      </c>
      <c r="D5813">
        <v>4.9562489999999997</v>
      </c>
      <c r="E5813">
        <v>0.50813319999999995</v>
      </c>
      <c r="F5813" t="s">
        <v>77</v>
      </c>
      <c r="G5813">
        <v>-225.83250000000001</v>
      </c>
      <c r="H5813" s="1">
        <v>-2.1140649999999999E-6</v>
      </c>
      <c r="I5813">
        <v>-62.604719999999901</v>
      </c>
      <c r="J5813">
        <v>-272.87270000000001</v>
      </c>
      <c r="K5813">
        <v>1.112476</v>
      </c>
      <c r="L5813">
        <v>-63.478729999999999</v>
      </c>
      <c r="M5813">
        <v>0.99835629999999997</v>
      </c>
      <c r="N5813">
        <v>0</v>
      </c>
      <c r="O5813">
        <v>-5.6247310000000002E-2</v>
      </c>
      <c r="P5813">
        <v>0.99897559999999996</v>
      </c>
      <c r="Q5813">
        <v>2.3696890000000002E-2</v>
      </c>
      <c r="R5813">
        <v>3.8554039999999998E-2</v>
      </c>
      <c r="S5813">
        <v>3.0026549999999999</v>
      </c>
      <c r="T5813">
        <v>-7.0846679999999995E-2</v>
      </c>
      <c r="U5813">
        <v>5.5389399999999998E-2</v>
      </c>
      <c r="V5813">
        <v>-9.4923919999999995E-2</v>
      </c>
      <c r="W5813">
        <v>3.3986049999999997E-2</v>
      </c>
      <c r="X5813">
        <v>0.99490420000000002</v>
      </c>
      <c r="Y5813">
        <v>-7.4619199999999997E-2</v>
      </c>
      <c r="Z5813">
        <v>2.2066770000000002E-3</v>
      </c>
      <c r="AA5813">
        <v>0.99720969999999998</v>
      </c>
      <c r="AB5813">
        <v>24</v>
      </c>
      <c r="AC5813">
        <v>47.040199999999999</v>
      </c>
      <c r="AD5813">
        <v>-1.112478114065</v>
      </c>
      <c r="AE5813">
        <v>0.87401000000001206</v>
      </c>
      <c r="AF5813">
        <v>-3.5167046659157801</v>
      </c>
      <c r="AG5813">
        <v>-1.112478114065</v>
      </c>
      <c r="AH5813">
        <v>46.890339698300799</v>
      </c>
      <c r="AI5813">
        <v>91.355288450956195</v>
      </c>
      <c r="AJ5813">
        <v>94.289067287557302</v>
      </c>
      <c r="AK5813">
        <v>47.035186576472597</v>
      </c>
      <c r="AL5813">
        <v>88.052367684091394</v>
      </c>
      <c r="AM5813">
        <v>95.450099049328898</v>
      </c>
      <c r="AN5813">
        <v>0.99999998468020401</v>
      </c>
    </row>
    <row r="5814" spans="1:40" x14ac:dyDescent="0.25">
      <c r="A5814" t="str">
        <f>"20190312151649711"</f>
        <v>20190312151649711</v>
      </c>
      <c r="B5814" t="str">
        <f>"1552375009703554"</f>
        <v>1552375009703554</v>
      </c>
      <c r="C5814" t="s">
        <v>40</v>
      </c>
      <c r="D5814">
        <v>4.7873169999999998</v>
      </c>
      <c r="E5814">
        <v>0.5082255</v>
      </c>
      <c r="F5814" t="s">
        <v>77</v>
      </c>
      <c r="G5814">
        <v>-225.07919999999999</v>
      </c>
      <c r="H5814" s="1">
        <v>-1.794909E-6</v>
      </c>
      <c r="I5814">
        <v>-62.62283</v>
      </c>
      <c r="J5814">
        <v>-272.7602</v>
      </c>
      <c r="K5814">
        <v>1.112393</v>
      </c>
      <c r="L5814">
        <v>-63.482790000000001</v>
      </c>
      <c r="M5814">
        <v>0.99847350000000001</v>
      </c>
      <c r="N5814">
        <v>0</v>
      </c>
      <c r="O5814">
        <v>-5.4130159999999997E-2</v>
      </c>
      <c r="P5814">
        <v>0.99899179999999999</v>
      </c>
      <c r="Q5814">
        <v>2.3203720000000001E-2</v>
      </c>
      <c r="R5814">
        <v>3.8435039999999997E-2</v>
      </c>
      <c r="S5814">
        <v>3.0026250000000001</v>
      </c>
      <c r="T5814">
        <v>-6.9891449999999994E-2</v>
      </c>
      <c r="U5814">
        <v>5.3771970000000002E-2</v>
      </c>
      <c r="V5814">
        <v>-9.268593E-2</v>
      </c>
      <c r="W5814">
        <v>3.3519970000000003E-2</v>
      </c>
      <c r="X5814">
        <v>0.99513099999999999</v>
      </c>
      <c r="Y5814">
        <v>-7.19698E-2</v>
      </c>
      <c r="Z5814">
        <v>2.0969040000000001E-3</v>
      </c>
      <c r="AA5814">
        <v>0.99740459999999997</v>
      </c>
      <c r="AB5814">
        <v>24</v>
      </c>
      <c r="AC5814">
        <v>47.680999999999997</v>
      </c>
      <c r="AD5814">
        <v>-1.1123947949089901</v>
      </c>
      <c r="AE5814">
        <v>0.85995999999999295</v>
      </c>
      <c r="AF5814">
        <v>-3.4379642233052801</v>
      </c>
      <c r="AG5814">
        <v>-1.1123947949089901</v>
      </c>
      <c r="AH5814">
        <v>47.538667085381903</v>
      </c>
      <c r="AI5814">
        <v>91.336974136700306</v>
      </c>
      <c r="AJ5814">
        <v>94.136390794713805</v>
      </c>
      <c r="AK5814">
        <v>47.6757998195651</v>
      </c>
      <c r="AL5814">
        <v>88.079087333885894</v>
      </c>
      <c r="AM5814">
        <v>95.321144549947803</v>
      </c>
      <c r="AN5814">
        <v>0.99999998858488204</v>
      </c>
    </row>
    <row r="5815" spans="1:40" x14ac:dyDescent="0.25">
      <c r="A5815" t="str">
        <f>"20190312151649723"</f>
        <v>20190312151649723</v>
      </c>
      <c r="B5815" t="str">
        <f>"1552375009713315"</f>
        <v>1552375009713315</v>
      </c>
      <c r="C5815" t="s">
        <v>40</v>
      </c>
      <c r="D5815">
        <v>4.7798100000000003</v>
      </c>
      <c r="E5815">
        <v>0.50831300000000001</v>
      </c>
      <c r="F5815" t="s">
        <v>77</v>
      </c>
      <c r="G5815">
        <v>-225.8485</v>
      </c>
      <c r="H5815" s="1">
        <v>-2.133277E-6</v>
      </c>
      <c r="I5815">
        <v>-62.660319999999999</v>
      </c>
      <c r="J5815">
        <v>-272.64299999999997</v>
      </c>
      <c r="K5815">
        <v>1.112309</v>
      </c>
      <c r="L5815">
        <v>-63.486719999999998</v>
      </c>
      <c r="M5815">
        <v>0.99858559999999996</v>
      </c>
      <c r="N5815">
        <v>0</v>
      </c>
      <c r="O5815">
        <v>-5.202093E-2</v>
      </c>
      <c r="P5815">
        <v>0.99900409999999995</v>
      </c>
      <c r="Q5815">
        <v>2.2688010000000002E-2</v>
      </c>
      <c r="R5815">
        <v>3.8422060000000001E-2</v>
      </c>
      <c r="S5815">
        <v>3.0026549999999999</v>
      </c>
      <c r="T5815">
        <v>-7.1200490000000005E-2</v>
      </c>
      <c r="U5815">
        <v>5.264282E-2</v>
      </c>
      <c r="V5815">
        <v>-9.0560429999999997E-2</v>
      </c>
      <c r="W5815">
        <v>3.3029570000000001E-2</v>
      </c>
      <c r="X5815">
        <v>0.99534310000000004</v>
      </c>
      <c r="Y5815">
        <v>-6.9487590000000002E-2</v>
      </c>
      <c r="Z5815">
        <v>2.056759E-3</v>
      </c>
      <c r="AA5815">
        <v>0.99758069999999999</v>
      </c>
      <c r="AB5815">
        <v>24</v>
      </c>
      <c r="AC5815">
        <v>46.7944999999999</v>
      </c>
      <c r="AD5815">
        <v>-1.1123111332769999</v>
      </c>
      <c r="AE5815">
        <v>0.82639999999999902</v>
      </c>
      <c r="AF5815">
        <v>-3.25788096193918</v>
      </c>
      <c r="AG5815">
        <v>-1.1123111332769999</v>
      </c>
      <c r="AH5815">
        <v>46.661783095878597</v>
      </c>
      <c r="AI5815">
        <v>91.362227955610095</v>
      </c>
      <c r="AJ5815">
        <v>93.993855198313994</v>
      </c>
      <c r="AK5815">
        <v>46.788599317635096</v>
      </c>
      <c r="AL5815">
        <v>88.107200803480794</v>
      </c>
      <c r="AM5815">
        <v>95.198693288989503</v>
      </c>
      <c r="AN5815">
        <v>1.00000001534688</v>
      </c>
    </row>
    <row r="5816" spans="1:40" x14ac:dyDescent="0.25">
      <c r="A5816" t="str">
        <f>"20190312151649733"</f>
        <v>20190312151649733</v>
      </c>
      <c r="B5816" t="str">
        <f>"1552375009724051"</f>
        <v>1552375009724051</v>
      </c>
      <c r="C5816" t="s">
        <v>40</v>
      </c>
      <c r="D5816">
        <v>4.9383480000000004</v>
      </c>
      <c r="E5816">
        <v>0.50839849999999998</v>
      </c>
      <c r="F5816" t="s">
        <v>77</v>
      </c>
      <c r="G5816">
        <v>-226.61019999999999</v>
      </c>
      <c r="H5816" s="1">
        <v>-2.4668529999999998E-6</v>
      </c>
      <c r="I5816">
        <v>-62.690910000000002</v>
      </c>
      <c r="J5816">
        <v>-272.52370000000002</v>
      </c>
      <c r="K5816">
        <v>1.112223</v>
      </c>
      <c r="L5816">
        <v>-63.490659999999998</v>
      </c>
      <c r="M5816">
        <v>0.99869399999999997</v>
      </c>
      <c r="N5816">
        <v>0</v>
      </c>
      <c r="O5816">
        <v>-4.9901460000000002E-2</v>
      </c>
      <c r="P5816">
        <v>0.99900979999999995</v>
      </c>
      <c r="Q5816">
        <v>2.2308979999999999E-2</v>
      </c>
      <c r="R5816">
        <v>3.8498530000000003E-2</v>
      </c>
      <c r="S5816">
        <v>3.0026549999999999</v>
      </c>
      <c r="T5816">
        <v>-7.2554590000000002E-2</v>
      </c>
      <c r="U5816">
        <v>5.1910400000000002E-2</v>
      </c>
      <c r="V5816">
        <v>-8.8515199999999905E-2</v>
      </c>
      <c r="W5816">
        <v>3.2674519999999999E-2</v>
      </c>
      <c r="X5816">
        <v>0.99553879999999995</v>
      </c>
      <c r="Y5816">
        <v>-6.7126889999999995E-2</v>
      </c>
      <c r="Z5816">
        <v>2.0161839999999999E-3</v>
      </c>
      <c r="AA5816">
        <v>0.99774240000000003</v>
      </c>
      <c r="AB5816">
        <v>24</v>
      </c>
      <c r="AC5816">
        <v>45.913499999999999</v>
      </c>
      <c r="AD5816">
        <v>-1.1122254668529901</v>
      </c>
      <c r="AE5816">
        <v>0.79975000000000296</v>
      </c>
      <c r="AF5816">
        <v>-3.0882301471423901</v>
      </c>
      <c r="AG5816">
        <v>-1.1122254668529901</v>
      </c>
      <c r="AH5816">
        <v>45.789518465465903</v>
      </c>
      <c r="AI5816">
        <v>91.388285827564104</v>
      </c>
      <c r="AJ5816">
        <v>93.858415708252906</v>
      </c>
      <c r="AK5816">
        <v>45.907017026050397</v>
      </c>
      <c r="AL5816">
        <v>88.127554690458595</v>
      </c>
      <c r="AM5816">
        <v>95.080913321388906</v>
      </c>
      <c r="AN5816">
        <v>1.00000003359685</v>
      </c>
    </row>
    <row r="5817" spans="1:40" x14ac:dyDescent="0.25">
      <c r="A5817" t="str">
        <f>"20190312151649744"</f>
        <v>20190312151649744</v>
      </c>
      <c r="B5817" t="str">
        <f>"1552375009733811"</f>
        <v>1552375009733811</v>
      </c>
      <c r="C5817" t="s">
        <v>40</v>
      </c>
      <c r="D5817">
        <v>4.8204640000000003</v>
      </c>
      <c r="E5817">
        <v>0.50846429999999998</v>
      </c>
      <c r="F5817" t="s">
        <v>77</v>
      </c>
      <c r="G5817">
        <v>-226.64879999999999</v>
      </c>
      <c r="H5817" s="1">
        <v>-2.486451E-6</v>
      </c>
      <c r="I5817">
        <v>-62.704560000000001</v>
      </c>
      <c r="J5817">
        <v>-272.40280000000001</v>
      </c>
      <c r="K5817">
        <v>1.1121449999999999</v>
      </c>
      <c r="L5817">
        <v>-63.49438</v>
      </c>
      <c r="M5817">
        <v>0.99879370000000001</v>
      </c>
      <c r="N5817">
        <v>0</v>
      </c>
      <c r="O5817">
        <v>-4.7866659999999998E-2</v>
      </c>
      <c r="P5817">
        <v>0.99900299999999997</v>
      </c>
      <c r="Q5817">
        <v>2.1996229999999999E-2</v>
      </c>
      <c r="R5817">
        <v>3.8852669999999999E-2</v>
      </c>
      <c r="S5817">
        <v>3.0026250000000001</v>
      </c>
      <c r="T5817">
        <v>-7.2797890000000004E-2</v>
      </c>
      <c r="U5817">
        <v>5.1452640000000001E-2</v>
      </c>
      <c r="V5817">
        <v>-8.6830679999999993E-2</v>
      </c>
      <c r="W5817">
        <v>3.2382849999999998E-2</v>
      </c>
      <c r="X5817">
        <v>0.99569660000000004</v>
      </c>
      <c r="Y5817">
        <v>-6.4943109999999998E-2</v>
      </c>
      <c r="Z5817">
        <v>1.9472070000000001E-3</v>
      </c>
      <c r="AA5817">
        <v>0.99788710000000003</v>
      </c>
      <c r="AB5817">
        <v>24</v>
      </c>
      <c r="AC5817">
        <v>45.753999999999998</v>
      </c>
      <c r="AD5817">
        <v>-1.1121474864509999</v>
      </c>
      <c r="AE5817">
        <v>0.78982000000000596</v>
      </c>
      <c r="AF5817">
        <v>-2.9773784306207198</v>
      </c>
      <c r="AG5817">
        <v>-1.1121474864509999</v>
      </c>
      <c r="AH5817">
        <v>45.6367833576832</v>
      </c>
      <c r="AI5817">
        <v>91.393035263285796</v>
      </c>
      <c r="AJ5817">
        <v>93.732730254530793</v>
      </c>
      <c r="AK5817">
        <v>45.747323960936299</v>
      </c>
      <c r="AL5817">
        <v>88.144274875814105</v>
      </c>
      <c r="AM5817">
        <v>94.983925048378694</v>
      </c>
      <c r="AN5817">
        <v>0.99999996760747201</v>
      </c>
    </row>
    <row r="5818" spans="1:40" x14ac:dyDescent="0.25">
      <c r="A5818" t="str">
        <f>"20190312151649757"</f>
        <v>20190312151649757</v>
      </c>
      <c r="B5818" t="str">
        <f>"1552375009753330"</f>
        <v>1552375009753330</v>
      </c>
      <c r="C5818" t="s">
        <v>40</v>
      </c>
      <c r="D5818">
        <v>4.9693860000000001</v>
      </c>
      <c r="E5818">
        <v>0.50862309999999999</v>
      </c>
      <c r="F5818" t="s">
        <v>77</v>
      </c>
      <c r="G5818">
        <v>-227.03360000000001</v>
      </c>
      <c r="H5818" s="1">
        <v>-2.6525200000000001E-6</v>
      </c>
      <c r="I5818">
        <v>-62.70908</v>
      </c>
      <c r="J5818">
        <v>-272.28440000000001</v>
      </c>
      <c r="K5818">
        <v>1.112061</v>
      </c>
      <c r="L5818">
        <v>-63.497889999999998</v>
      </c>
      <c r="M5818">
        <v>0.99888589999999999</v>
      </c>
      <c r="N5818">
        <v>0</v>
      </c>
      <c r="O5818">
        <v>-4.5905179999999997E-2</v>
      </c>
      <c r="P5818">
        <v>0.99899130000000003</v>
      </c>
      <c r="Q5818">
        <v>2.1633010000000001E-2</v>
      </c>
      <c r="R5818">
        <v>3.9351700000000003E-2</v>
      </c>
      <c r="S5818">
        <v>3.0025330000000001</v>
      </c>
      <c r="T5818">
        <v>-7.3601840000000002E-2</v>
      </c>
      <c r="U5818">
        <v>5.1971440000000001E-2</v>
      </c>
      <c r="V5818">
        <v>-8.5363980000000006E-2</v>
      </c>
      <c r="W5818">
        <v>3.203781E-2</v>
      </c>
      <c r="X5818">
        <v>0.99583460000000001</v>
      </c>
      <c r="Y5818">
        <v>-6.3156680000000007E-2</v>
      </c>
      <c r="Z5818">
        <v>1.898828E-3</v>
      </c>
      <c r="AA5818">
        <v>0.99800180000000005</v>
      </c>
      <c r="AB5818">
        <v>24</v>
      </c>
      <c r="AC5818">
        <v>45.250799999999998</v>
      </c>
      <c r="AD5818">
        <v>-1.1120636525200001</v>
      </c>
      <c r="AE5818">
        <v>0.78880999999999701</v>
      </c>
      <c r="AF5818">
        <v>-2.8636197830151202</v>
      </c>
      <c r="AG5818">
        <v>-1.1120636525200001</v>
      </c>
      <c r="AH5818">
        <v>45.139624175394502</v>
      </c>
      <c r="AI5818">
        <v>91.408428130565795</v>
      </c>
      <c r="AJ5818">
        <v>93.629931680249797</v>
      </c>
      <c r="AK5818">
        <v>45.244034684417699</v>
      </c>
      <c r="AL5818">
        <v>88.164054517659594</v>
      </c>
      <c r="AM5818">
        <v>94.899476761382502</v>
      </c>
      <c r="AN5818">
        <v>0.99999999045409804</v>
      </c>
    </row>
    <row r="5819" spans="1:40" x14ac:dyDescent="0.25">
      <c r="A5819" t="str">
        <f>"20190312151649766"</f>
        <v>20190312151649766</v>
      </c>
      <c r="B5819" t="str">
        <f>"1552375009764066"</f>
        <v>1552375009764066</v>
      </c>
      <c r="C5819" t="s">
        <v>40</v>
      </c>
      <c r="D5819">
        <v>5.0446549999999997</v>
      </c>
      <c r="E5819">
        <v>0.50867949999999995</v>
      </c>
      <c r="F5819" t="s">
        <v>77</v>
      </c>
      <c r="G5819">
        <v>-226.93729999999999</v>
      </c>
      <c r="H5819" s="1">
        <v>-2.6112410000000002E-6</v>
      </c>
      <c r="I5819">
        <v>-62.709299999999999</v>
      </c>
      <c r="J5819">
        <v>-272.1678</v>
      </c>
      <c r="K5819">
        <v>1.1119829999999999</v>
      </c>
      <c r="L5819">
        <v>-63.501190000000001</v>
      </c>
      <c r="M5819">
        <v>0.99896949999999995</v>
      </c>
      <c r="N5819">
        <v>0</v>
      </c>
      <c r="O5819">
        <v>-4.4046929999999998E-2</v>
      </c>
      <c r="P5819">
        <v>0.9989941</v>
      </c>
      <c r="Q5819">
        <v>2.1100319999999999E-2</v>
      </c>
      <c r="R5819">
        <v>3.9570000000000001E-2</v>
      </c>
      <c r="S5819">
        <v>3.0025629999999999</v>
      </c>
      <c r="T5819">
        <v>-7.3632959999999997E-2</v>
      </c>
      <c r="U5819">
        <v>5.2215579999999998E-2</v>
      </c>
      <c r="V5819">
        <v>-8.3720340000000004E-2</v>
      </c>
      <c r="W5819">
        <v>3.1523549999999997E-2</v>
      </c>
      <c r="X5819">
        <v>0.99599059999999995</v>
      </c>
      <c r="Y5819">
        <v>-6.1382060000000002E-2</v>
      </c>
      <c r="Z5819">
        <v>1.8323180000000001E-3</v>
      </c>
      <c r="AA5819">
        <v>0.99811269999999996</v>
      </c>
      <c r="AB5819">
        <v>24</v>
      </c>
      <c r="AC5819">
        <v>45.230499999999999</v>
      </c>
      <c r="AD5819">
        <v>-1.111985611241</v>
      </c>
      <c r="AE5819">
        <v>0.79189000000000198</v>
      </c>
      <c r="AF5819">
        <v>-2.7818245075878099</v>
      </c>
      <c r="AG5819">
        <v>-1.111985611241</v>
      </c>
      <c r="AH5819">
        <v>45.124448894598999</v>
      </c>
      <c r="AI5819">
        <v>91.408959925759405</v>
      </c>
      <c r="AJ5819">
        <v>93.527696239165294</v>
      </c>
      <c r="AK5819">
        <v>45.2237874091932</v>
      </c>
      <c r="AL5819">
        <v>88.193534449041394</v>
      </c>
      <c r="AM5819">
        <v>94.804836769164694</v>
      </c>
      <c r="AN5819">
        <v>1.0000000524113299</v>
      </c>
    </row>
    <row r="5820" spans="1:40" x14ac:dyDescent="0.25">
      <c r="A5820" t="str">
        <f>"20190312151649778"</f>
        <v>20190312151649778</v>
      </c>
      <c r="B5820" t="str">
        <f>"1552375009773826"</f>
        <v>1552375009773826</v>
      </c>
      <c r="C5820" t="s">
        <v>40</v>
      </c>
      <c r="D5820">
        <v>5.0482060000000004</v>
      </c>
      <c r="E5820">
        <v>0.50850289999999998</v>
      </c>
      <c r="F5820" t="s">
        <v>77</v>
      </c>
      <c r="G5820">
        <v>-227.61250000000001</v>
      </c>
      <c r="H5820" s="1">
        <v>-2.9039109999999999E-6</v>
      </c>
      <c r="I5820">
        <v>-62.722720000000002</v>
      </c>
      <c r="J5820">
        <v>-272.05259999999998</v>
      </c>
      <c r="K5820">
        <v>1.1119079999999999</v>
      </c>
      <c r="L5820">
        <v>-63.504269999999998</v>
      </c>
      <c r="M5820">
        <v>0.99904660000000001</v>
      </c>
      <c r="N5820">
        <v>0</v>
      </c>
      <c r="O5820">
        <v>-4.226187E-2</v>
      </c>
      <c r="P5820">
        <v>0.99898980000000004</v>
      </c>
      <c r="Q5820">
        <v>2.0708540000000001E-2</v>
      </c>
      <c r="R5820">
        <v>3.9881819999999998E-2</v>
      </c>
      <c r="S5820">
        <v>3.0025019999999998</v>
      </c>
      <c r="T5820">
        <v>-7.4934840000000003E-2</v>
      </c>
      <c r="U5820">
        <v>5.2459720000000001E-2</v>
      </c>
      <c r="V5820">
        <v>-8.2243730000000001E-2</v>
      </c>
      <c r="W5820">
        <v>3.1148470000000001E-2</v>
      </c>
      <c r="X5820">
        <v>0.99612529999999999</v>
      </c>
      <c r="Y5820">
        <v>-5.9679940000000001E-2</v>
      </c>
      <c r="Z5820">
        <v>1.798986E-3</v>
      </c>
      <c r="AA5820">
        <v>0.99821590000000004</v>
      </c>
      <c r="AB5820">
        <v>24</v>
      </c>
      <c r="AC5820">
        <v>44.440099999999902</v>
      </c>
      <c r="AD5820">
        <v>-1.111910903911</v>
      </c>
      <c r="AE5820">
        <v>0.78155000000000197</v>
      </c>
      <c r="AF5820">
        <v>-2.6574228249385201</v>
      </c>
      <c r="AG5820">
        <v>-1.111910903911</v>
      </c>
      <c r="AH5820">
        <v>44.339610281474698</v>
      </c>
      <c r="AI5820">
        <v>91.433941604260696</v>
      </c>
      <c r="AJ5820">
        <v>93.429827139897398</v>
      </c>
      <c r="AK5820">
        <v>44.433087691964403</v>
      </c>
      <c r="AL5820">
        <v>88.215035299839599</v>
      </c>
      <c r="AM5820">
        <v>94.719842831037099</v>
      </c>
      <c r="AN5820">
        <v>0.99999993580386903</v>
      </c>
    </row>
    <row r="5821" spans="1:40" x14ac:dyDescent="0.25">
      <c r="A5821" t="str">
        <f>"20190312151649789"</f>
        <v>20190312151649789</v>
      </c>
      <c r="B5821" t="str">
        <f>"1552375009783587"</f>
        <v>1552375009783587</v>
      </c>
      <c r="C5821" t="s">
        <v>40</v>
      </c>
      <c r="D5821">
        <v>4.8434689999999998</v>
      </c>
      <c r="E5821">
        <v>0.50808469999999994</v>
      </c>
      <c r="F5821" t="s">
        <v>77</v>
      </c>
      <c r="G5821">
        <v>-228.5361</v>
      </c>
      <c r="H5821" s="1">
        <v>-3.2245249999999998E-6</v>
      </c>
      <c r="I5821">
        <v>-62.709859999999999</v>
      </c>
      <c r="J5821">
        <v>-271.93189999999998</v>
      </c>
      <c r="K5821">
        <v>1.1118319999999999</v>
      </c>
      <c r="L5821">
        <v>-63.507390000000001</v>
      </c>
      <c r="M5821">
        <v>0.99912199999999995</v>
      </c>
      <c r="N5821">
        <v>0</v>
      </c>
      <c r="O5821">
        <v>-4.0442619999999999E-2</v>
      </c>
      <c r="P5821">
        <v>0.998969</v>
      </c>
      <c r="Q5821">
        <v>2.0424689999999999E-2</v>
      </c>
      <c r="R5821">
        <v>4.0544450000000003E-2</v>
      </c>
      <c r="S5821">
        <v>3.00238</v>
      </c>
      <c r="T5821">
        <v>-7.6715229999999995E-2</v>
      </c>
      <c r="U5821">
        <v>5.4809570000000002E-2</v>
      </c>
      <c r="V5821">
        <v>-8.1082989999999994E-2</v>
      </c>
      <c r="W5821">
        <v>3.087871E-2</v>
      </c>
      <c r="X5821">
        <v>0.99622889999999997</v>
      </c>
      <c r="Y5821">
        <v>-5.8643359999999999E-2</v>
      </c>
      <c r="Z5821">
        <v>1.7820869999999999E-3</v>
      </c>
      <c r="AA5821">
        <v>0.99827739999999998</v>
      </c>
      <c r="AB5821">
        <v>24</v>
      </c>
      <c r="AC5821">
        <v>43.395799999999902</v>
      </c>
      <c r="AD5821">
        <v>-1.1118352245249901</v>
      </c>
      <c r="AE5821">
        <v>0.79753000000000096</v>
      </c>
      <c r="AF5821">
        <v>-2.5503487145230102</v>
      </c>
      <c r="AG5821">
        <v>-1.1118352245249901</v>
      </c>
      <c r="AH5821">
        <v>43.299622509536498</v>
      </c>
      <c r="AI5821">
        <v>91.468357588947498</v>
      </c>
      <c r="AJ5821">
        <v>93.370828228422795</v>
      </c>
      <c r="AK5821">
        <v>43.388912934072501</v>
      </c>
      <c r="AL5821">
        <v>88.230498933498495</v>
      </c>
      <c r="AM5821">
        <v>94.653042557868901</v>
      </c>
      <c r="AN5821">
        <v>0.99999998359690601</v>
      </c>
    </row>
    <row r="5822" spans="1:40" x14ac:dyDescent="0.25">
      <c r="A5822" t="str">
        <f>"20190312151649802"</f>
        <v>20190312151649802</v>
      </c>
      <c r="B5822" t="str">
        <f>"1552375009793347"</f>
        <v>1552375009793347</v>
      </c>
      <c r="C5822" t="s">
        <v>40</v>
      </c>
      <c r="D5822">
        <v>4.7911830000000002</v>
      </c>
      <c r="E5822">
        <v>0.50808469999999994</v>
      </c>
      <c r="F5822" t="s">
        <v>77</v>
      </c>
      <c r="G5822">
        <v>-229.9624</v>
      </c>
      <c r="H5822" s="1">
        <v>-3.70383E-6</v>
      </c>
      <c r="I5822">
        <v>-62.664409999999997</v>
      </c>
      <c r="J5822">
        <v>-271.80829999999997</v>
      </c>
      <c r="K5822">
        <v>1.111761</v>
      </c>
      <c r="L5822">
        <v>-63.510350000000003</v>
      </c>
      <c r="M5822">
        <v>0.99919290000000005</v>
      </c>
      <c r="N5822">
        <v>0</v>
      </c>
      <c r="O5822">
        <v>-3.8656160000000002E-2</v>
      </c>
      <c r="P5822">
        <v>0.99894570000000005</v>
      </c>
      <c r="Q5822">
        <v>2.0499839999999998E-2</v>
      </c>
      <c r="R5822">
        <v>4.1079579999999997E-2</v>
      </c>
      <c r="S5822">
        <v>3.002319</v>
      </c>
      <c r="T5822">
        <v>-7.9535960000000003E-2</v>
      </c>
      <c r="U5822">
        <v>6.0302729999999999E-2</v>
      </c>
      <c r="V5822">
        <v>-7.9830520000000002E-2</v>
      </c>
      <c r="W5822">
        <v>3.0967829999999998E-2</v>
      </c>
      <c r="X5822">
        <v>0.99632730000000003</v>
      </c>
      <c r="Y5822">
        <v>-5.8682860000000003E-2</v>
      </c>
      <c r="Z5822">
        <v>1.80083E-3</v>
      </c>
      <c r="AA5822">
        <v>0.99827500000000002</v>
      </c>
      <c r="AB5822">
        <v>24</v>
      </c>
      <c r="AC5822">
        <v>41.845899999999901</v>
      </c>
      <c r="AD5822">
        <v>-1.11176470382999</v>
      </c>
      <c r="AE5822">
        <v>0.84594000000000502</v>
      </c>
      <c r="AF5822">
        <v>-2.46126930121746</v>
      </c>
      <c r="AG5822">
        <v>-1.11176470382999</v>
      </c>
      <c r="AH5822">
        <v>41.752457257744801</v>
      </c>
      <c r="AI5822">
        <v>91.522642478787304</v>
      </c>
      <c r="AJ5822">
        <v>93.373629813971903</v>
      </c>
      <c r="AK5822">
        <v>41.839712647072602</v>
      </c>
      <c r="AL5822">
        <v>88.225390325851095</v>
      </c>
      <c r="AM5822">
        <v>94.581025907727494</v>
      </c>
      <c r="AN5822">
        <v>1.0000000035718299</v>
      </c>
    </row>
    <row r="5823" spans="1:40" x14ac:dyDescent="0.25">
      <c r="A5823" t="str">
        <f>"20190312151649811"</f>
        <v>20190312151649811</v>
      </c>
      <c r="B5823" t="str">
        <f>"1552375009804082"</f>
        <v>1552375009804082</v>
      </c>
      <c r="C5823" t="s">
        <v>40</v>
      </c>
      <c r="D5823">
        <v>4.8343249999999998</v>
      </c>
      <c r="E5823">
        <v>0.47488560000000002</v>
      </c>
      <c r="F5823" t="s">
        <v>77</v>
      </c>
      <c r="G5823">
        <v>-229.7388</v>
      </c>
      <c r="H5823" s="1">
        <v>-3.6247619999999998E-6</v>
      </c>
      <c r="I5823">
        <v>-62.642249999999997</v>
      </c>
      <c r="J5823">
        <v>-271.69150000000002</v>
      </c>
      <c r="K5823">
        <v>1.111693</v>
      </c>
      <c r="L5823">
        <v>-63.513089999999998</v>
      </c>
      <c r="M5823">
        <v>0.99925600000000003</v>
      </c>
      <c r="N5823">
        <v>0</v>
      </c>
      <c r="O5823">
        <v>-3.6993289999999998E-2</v>
      </c>
      <c r="P5823">
        <v>0.99891030000000003</v>
      </c>
      <c r="Q5823">
        <v>2.0448649999999999E-2</v>
      </c>
      <c r="R5823">
        <v>4.195832E-2</v>
      </c>
      <c r="S5823">
        <v>3.0022579999999999</v>
      </c>
      <c r="T5823">
        <v>-7.9340099999999997E-2</v>
      </c>
      <c r="U5823">
        <v>6.1950680000000001E-2</v>
      </c>
      <c r="V5823">
        <v>-7.9042899999999999E-2</v>
      </c>
      <c r="W5823">
        <v>3.0927320000000001E-2</v>
      </c>
      <c r="X5823">
        <v>0.99639140000000004</v>
      </c>
      <c r="Y5823">
        <v>-5.757081E-2</v>
      </c>
      <c r="Z5823">
        <v>1.737817E-3</v>
      </c>
      <c r="AA5823">
        <v>0.99833989999999995</v>
      </c>
      <c r="AB5823">
        <v>24</v>
      </c>
      <c r="AC5823">
        <v>41.9527</v>
      </c>
      <c r="AD5823">
        <v>-1.1116966247619999</v>
      </c>
      <c r="AE5823">
        <v>0.87084000000000805</v>
      </c>
      <c r="AF5823">
        <v>-2.4206055692102701</v>
      </c>
      <c r="AG5823">
        <v>-1.1116966247619999</v>
      </c>
      <c r="AH5823">
        <v>41.862380837481801</v>
      </c>
      <c r="AI5823">
        <v>91.518652664309997</v>
      </c>
      <c r="AJ5823">
        <v>93.309324969319505</v>
      </c>
      <c r="AK5823">
        <v>41.9470395867165</v>
      </c>
      <c r="AL5823">
        <v>88.227712573502401</v>
      </c>
      <c r="AM5823">
        <v>94.535727767911695</v>
      </c>
      <c r="AN5823">
        <v>1.0000000505783699</v>
      </c>
    </row>
    <row r="5824" spans="1:40" x14ac:dyDescent="0.25">
      <c r="A5824" t="str">
        <f>"20190312151649823"</f>
        <v>20190312151649823</v>
      </c>
      <c r="B5824" t="str">
        <f>"1552375009813843"</f>
        <v>1552375009813843</v>
      </c>
      <c r="C5824" t="s">
        <v>40</v>
      </c>
      <c r="D5824">
        <v>4.8407999999999998</v>
      </c>
      <c r="E5824">
        <v>0.47542190000000001</v>
      </c>
      <c r="F5824" t="s">
        <v>74</v>
      </c>
      <c r="G5824">
        <v>-256.46210000000002</v>
      </c>
      <c r="H5824" s="1">
        <v>-2.228166E-6</v>
      </c>
      <c r="I5824">
        <v>-61.821860000000001</v>
      </c>
      <c r="J5824">
        <v>-271.57749999999999</v>
      </c>
      <c r="K5824">
        <v>1.111626</v>
      </c>
      <c r="L5824">
        <v>-63.515500000000003</v>
      </c>
      <c r="M5824">
        <v>0.99931170000000002</v>
      </c>
      <c r="N5824">
        <v>0</v>
      </c>
      <c r="O5824">
        <v>-3.5460129999999999E-2</v>
      </c>
      <c r="P5824">
        <v>0.99888469999999996</v>
      </c>
      <c r="Q5824">
        <v>2.053294E-2</v>
      </c>
      <c r="R5824">
        <v>4.2522879999999999E-2</v>
      </c>
      <c r="S5824">
        <v>2.9937740000000002</v>
      </c>
      <c r="T5824">
        <v>-0.21853449999999999</v>
      </c>
      <c r="U5824">
        <v>0.33245849999999999</v>
      </c>
      <c r="V5824">
        <v>-7.8072909999999995E-2</v>
      </c>
      <c r="W5824">
        <v>3.1022640000000001E-2</v>
      </c>
      <c r="X5824">
        <v>0.99646480000000004</v>
      </c>
      <c r="Y5824">
        <v>-0.1450727</v>
      </c>
      <c r="Z5824">
        <v>7.8498530000000004E-3</v>
      </c>
      <c r="AA5824">
        <v>0.98938979999999999</v>
      </c>
      <c r="AB5824">
        <v>24</v>
      </c>
      <c r="AC5824">
        <v>15.1153999999999</v>
      </c>
      <c r="AD5824">
        <v>-1.1116282281659999</v>
      </c>
      <c r="AE5824">
        <v>1.69364</v>
      </c>
      <c r="AF5824">
        <v>-2.2167598215836302</v>
      </c>
      <c r="AG5824">
        <v>-1.1116282281659999</v>
      </c>
      <c r="AH5824">
        <v>14.965892437295301</v>
      </c>
      <c r="AI5824">
        <v>94.202301525927297</v>
      </c>
      <c r="AJ5824">
        <v>98.425435213687294</v>
      </c>
      <c r="AK5824">
        <v>15.169959718764501</v>
      </c>
      <c r="AL5824">
        <v>88.222248322543095</v>
      </c>
      <c r="AM5824">
        <v>94.479966061824001</v>
      </c>
      <c r="AN5824">
        <v>0.99999994055373698</v>
      </c>
    </row>
    <row r="5825" spans="1:40" x14ac:dyDescent="0.25">
      <c r="A5825" t="str">
        <f>"20190312151649844"</f>
        <v>20190312151649844</v>
      </c>
      <c r="B5825" t="str">
        <f>"1552375009833363"</f>
        <v>1552375009833363</v>
      </c>
      <c r="C5825" t="s">
        <v>40</v>
      </c>
      <c r="D5825">
        <v>4.8492610000000003</v>
      </c>
      <c r="E5825">
        <v>0.47565809999999997</v>
      </c>
      <c r="F5825" t="s">
        <v>74</v>
      </c>
      <c r="G5825">
        <v>-256.16890000000001</v>
      </c>
      <c r="H5825" s="1">
        <v>-2.1012139999999999E-6</v>
      </c>
      <c r="I5825">
        <v>-61.816609999999997</v>
      </c>
      <c r="J5825">
        <v>-271.36430000000001</v>
      </c>
      <c r="K5825">
        <v>1.111505</v>
      </c>
      <c r="L5825">
        <v>-63.519840000000002</v>
      </c>
      <c r="M5825">
        <v>0.99940600000000002</v>
      </c>
      <c r="N5825">
        <v>0</v>
      </c>
      <c r="O5825">
        <v>-3.2694170000000002E-2</v>
      </c>
      <c r="P5825">
        <v>0.99880709999999995</v>
      </c>
      <c r="Q5825">
        <v>2.0297340000000001E-2</v>
      </c>
      <c r="R5825">
        <v>4.4411890000000002E-2</v>
      </c>
      <c r="S5825">
        <v>2.993744</v>
      </c>
      <c r="T5825">
        <v>-0.21597859999999999</v>
      </c>
      <c r="U5825">
        <v>0.33007809999999999</v>
      </c>
      <c r="V5825">
        <v>-7.7189149999999998E-2</v>
      </c>
      <c r="W5825">
        <v>3.0802449999999999E-2</v>
      </c>
      <c r="X5825">
        <v>0.99654050000000005</v>
      </c>
      <c r="Y5825">
        <v>-0.1415845</v>
      </c>
      <c r="Z5825">
        <v>7.434609E-3</v>
      </c>
      <c r="AA5825">
        <v>0.98989830000000001</v>
      </c>
      <c r="AB5825">
        <v>24</v>
      </c>
      <c r="AC5825">
        <v>15.195399999999999</v>
      </c>
      <c r="AD5825">
        <v>-1.1115071012140001</v>
      </c>
      <c r="AE5825">
        <v>1.70323</v>
      </c>
      <c r="AF5825">
        <v>-2.1875902122543698</v>
      </c>
      <c r="AG5825">
        <v>-1.1115071012140001</v>
      </c>
      <c r="AH5825">
        <v>15.0520488472593</v>
      </c>
      <c r="AI5825">
        <v>94.179545846274493</v>
      </c>
      <c r="AJ5825">
        <v>98.269187757925593</v>
      </c>
      <c r="AK5825">
        <v>15.2507433744418</v>
      </c>
      <c r="AL5825">
        <v>88.234870350964897</v>
      </c>
      <c r="AM5825">
        <v>94.429122128258001</v>
      </c>
      <c r="AN5825">
        <v>0.99999996197198604</v>
      </c>
    </row>
    <row r="5826" spans="1:40" x14ac:dyDescent="0.25">
      <c r="A5826" t="str">
        <f>"20190312151649857"</f>
        <v>20190312151649857</v>
      </c>
      <c r="B5826" t="str">
        <f>"1552375009853859"</f>
        <v>1552375009853859</v>
      </c>
      <c r="C5826" t="s">
        <v>40</v>
      </c>
      <c r="D5826">
        <v>4.8050259999999998</v>
      </c>
      <c r="E5826">
        <v>0.47633239999999999</v>
      </c>
      <c r="F5826" t="s">
        <v>74</v>
      </c>
      <c r="G5826">
        <v>-256.46350000000001</v>
      </c>
      <c r="H5826" s="1">
        <v>-2.2365609999999999E-6</v>
      </c>
      <c r="I5826">
        <v>-61.856780000000001</v>
      </c>
      <c r="J5826">
        <v>-271.21879999999999</v>
      </c>
      <c r="K5826">
        <v>1.1114250000000001</v>
      </c>
      <c r="L5826">
        <v>-63.522579999999998</v>
      </c>
      <c r="M5826">
        <v>0.9994632</v>
      </c>
      <c r="N5826">
        <v>0</v>
      </c>
      <c r="O5826">
        <v>-3.0896880000000002E-2</v>
      </c>
      <c r="P5826">
        <v>0.99881889999999995</v>
      </c>
      <c r="Q5826">
        <v>2.0100150000000001E-2</v>
      </c>
      <c r="R5826">
        <v>4.4237640000000002E-2</v>
      </c>
      <c r="S5826">
        <v>2.9932859999999999</v>
      </c>
      <c r="T5826">
        <v>-0.22328149999999999</v>
      </c>
      <c r="U5826">
        <v>0.33407589999999998</v>
      </c>
      <c r="V5826">
        <v>-7.5215959999999998E-2</v>
      </c>
      <c r="W5826">
        <v>3.0623239999999999E-2</v>
      </c>
      <c r="X5826">
        <v>0.9966969</v>
      </c>
      <c r="Y5826">
        <v>-0.14110239999999999</v>
      </c>
      <c r="Z5826">
        <v>7.5344899999999996E-3</v>
      </c>
      <c r="AA5826">
        <v>0.98996629999999997</v>
      </c>
      <c r="AB5826">
        <v>24</v>
      </c>
      <c r="AC5826">
        <v>14.755299999999901</v>
      </c>
      <c r="AD5826">
        <v>-1.1114272365610001</v>
      </c>
      <c r="AE5826">
        <v>1.66579999999999</v>
      </c>
      <c r="AF5826">
        <v>-2.1091085646147101</v>
      </c>
      <c r="AG5826">
        <v>-1.1114272365610001</v>
      </c>
      <c r="AH5826">
        <v>14.6149065965728</v>
      </c>
      <c r="AI5826">
        <v>94.304410103047502</v>
      </c>
      <c r="AJ5826">
        <v>98.211784004217904</v>
      </c>
      <c r="AK5826">
        <v>14.8080756435821</v>
      </c>
      <c r="AL5826">
        <v>88.245143182998007</v>
      </c>
      <c r="AM5826">
        <v>94.315658977388196</v>
      </c>
      <c r="AN5826">
        <v>0.99999996696821403</v>
      </c>
    </row>
    <row r="5827" spans="1:40" x14ac:dyDescent="0.25">
      <c r="A5827" t="str">
        <f>"20190312151649868"</f>
        <v>20190312151649868</v>
      </c>
      <c r="B5827" t="str">
        <f>"1552375009863619"</f>
        <v>1552375009863619</v>
      </c>
      <c r="C5827" t="s">
        <v>40</v>
      </c>
      <c r="D5827">
        <v>4.8153100000000002</v>
      </c>
      <c r="E5827">
        <v>0.476717</v>
      </c>
      <c r="F5827" t="s">
        <v>74</v>
      </c>
      <c r="G5827">
        <v>-256.40949999999998</v>
      </c>
      <c r="H5827" s="1">
        <v>-2.222364E-6</v>
      </c>
      <c r="I5827">
        <v>-61.897199999999998</v>
      </c>
      <c r="J5827">
        <v>-271.09429999999998</v>
      </c>
      <c r="K5827">
        <v>1.1113630000000001</v>
      </c>
      <c r="L5827">
        <v>-63.524749999999997</v>
      </c>
      <c r="M5827">
        <v>0.9995079</v>
      </c>
      <c r="N5827">
        <v>0</v>
      </c>
      <c r="O5827">
        <v>-2.9421119999999999E-2</v>
      </c>
      <c r="P5827">
        <v>0.99878769999999994</v>
      </c>
      <c r="Q5827">
        <v>2.0311679999999999E-2</v>
      </c>
      <c r="R5827">
        <v>4.4841319999999997E-2</v>
      </c>
      <c r="S5827">
        <v>2.9935299999999998</v>
      </c>
      <c r="T5827">
        <v>-0.22466169999999999</v>
      </c>
      <c r="U5827">
        <v>0.32855220000000002</v>
      </c>
      <c r="V5827">
        <v>-7.4341900000000002E-2</v>
      </c>
      <c r="W5827">
        <v>3.0844860000000002E-2</v>
      </c>
      <c r="X5827">
        <v>0.99675570000000002</v>
      </c>
      <c r="Y5827">
        <v>-0.13783380000000001</v>
      </c>
      <c r="Z5827">
        <v>7.3486239999999998E-3</v>
      </c>
      <c r="AA5827">
        <v>0.99042810000000003</v>
      </c>
      <c r="AB5827">
        <v>24</v>
      </c>
      <c r="AC5827">
        <v>14.6847999999999</v>
      </c>
      <c r="AD5827">
        <v>-1.11136522236399</v>
      </c>
      <c r="AE5827">
        <v>1.6275499999999901</v>
      </c>
      <c r="AF5827">
        <v>-2.0473300694398699</v>
      </c>
      <c r="AG5827">
        <v>-1.11136522236399</v>
      </c>
      <c r="AH5827">
        <v>14.5482388278163</v>
      </c>
      <c r="AI5827">
        <v>94.325977807705797</v>
      </c>
      <c r="AJ5827">
        <v>98.010459863420493</v>
      </c>
      <c r="AK5827">
        <v>14.7335652868508</v>
      </c>
      <c r="AL5827">
        <v>88.232439392239499</v>
      </c>
      <c r="AM5827">
        <v>94.265443605474204</v>
      </c>
      <c r="AN5827">
        <v>1.0000000244832501</v>
      </c>
    </row>
    <row r="5828" spans="1:40" x14ac:dyDescent="0.25">
      <c r="A5828" t="str">
        <f>"20190312151649879"</f>
        <v>20190312151649879</v>
      </c>
      <c r="B5828" t="str">
        <f>"1552375009873379"</f>
        <v>1552375009873379</v>
      </c>
      <c r="C5828" t="s">
        <v>40</v>
      </c>
      <c r="D5828">
        <v>4.8265789999999997</v>
      </c>
      <c r="E5828">
        <v>0.47729830000000001</v>
      </c>
      <c r="F5828" t="s">
        <v>74</v>
      </c>
      <c r="G5828">
        <v>-256.13420000000002</v>
      </c>
      <c r="H5828" s="1">
        <v>-2.102278E-6</v>
      </c>
      <c r="I5828">
        <v>-61.888269999999999</v>
      </c>
      <c r="J5828">
        <v>-270.98009999999999</v>
      </c>
      <c r="K5828">
        <v>1.1113059999999999</v>
      </c>
      <c r="L5828">
        <v>-63.52664</v>
      </c>
      <c r="M5828">
        <v>0.99954560000000003</v>
      </c>
      <c r="N5828">
        <v>0</v>
      </c>
      <c r="O5828">
        <v>-2.81134E-2</v>
      </c>
      <c r="P5828">
        <v>0.99875270000000005</v>
      </c>
      <c r="Q5828">
        <v>2.076149E-2</v>
      </c>
      <c r="R5828">
        <v>4.5414339999999997E-2</v>
      </c>
      <c r="S5828">
        <v>2.9934690000000002</v>
      </c>
      <c r="T5828">
        <v>-0.22238050000000001</v>
      </c>
      <c r="U5828">
        <v>0.32745360000000001</v>
      </c>
      <c r="V5828">
        <v>-7.3606500000000005E-2</v>
      </c>
      <c r="W5828">
        <v>3.130289E-2</v>
      </c>
      <c r="X5828">
        <v>0.99679600000000002</v>
      </c>
      <c r="Y5828">
        <v>-0.13619829999999999</v>
      </c>
      <c r="Z5828">
        <v>7.1172319999999898E-3</v>
      </c>
      <c r="AA5828">
        <v>0.99065599999999998</v>
      </c>
      <c r="AB5828">
        <v>24</v>
      </c>
      <c r="AC5828">
        <v>14.845899999999901</v>
      </c>
      <c r="AD5828">
        <v>-1.11130810227799</v>
      </c>
      <c r="AE5828">
        <v>1.6383700000000001</v>
      </c>
      <c r="AF5828">
        <v>-2.04380119311217</v>
      </c>
      <c r="AG5828">
        <v>-1.11130810227799</v>
      </c>
      <c r="AH5828">
        <v>14.7125194676898</v>
      </c>
      <c r="AI5828">
        <v>94.278693731842694</v>
      </c>
      <c r="AJ5828">
        <v>97.908674574294693</v>
      </c>
      <c r="AK5828">
        <v>14.895313293190799</v>
      </c>
      <c r="AL5828">
        <v>88.206183531516999</v>
      </c>
      <c r="AM5828">
        <v>94.223232569653604</v>
      </c>
      <c r="AN5828">
        <v>1.0000000266903</v>
      </c>
    </row>
    <row r="5829" spans="1:40" x14ac:dyDescent="0.25">
      <c r="A5829" t="str">
        <f>"20190312151649888"</f>
        <v>20190312151649888</v>
      </c>
      <c r="B5829" t="str">
        <f>"1552375009884115"</f>
        <v>1552375009884115</v>
      </c>
      <c r="C5829" t="s">
        <v>40</v>
      </c>
      <c r="D5829">
        <v>5.0584959999999999</v>
      </c>
      <c r="E5829">
        <v>0.47829250000000001</v>
      </c>
      <c r="F5829" t="s">
        <v>74</v>
      </c>
      <c r="G5829">
        <v>-256.18799999999999</v>
      </c>
      <c r="H5829" s="1">
        <v>-2.1329220000000001E-6</v>
      </c>
      <c r="I5829">
        <v>-61.922359999999998</v>
      </c>
      <c r="J5829">
        <v>-270.86849999999998</v>
      </c>
      <c r="K5829">
        <v>1.111253</v>
      </c>
      <c r="L5829">
        <v>-63.528410000000001</v>
      </c>
      <c r="M5829">
        <v>0.99958000000000002</v>
      </c>
      <c r="N5829">
        <v>0</v>
      </c>
      <c r="O5829">
        <v>-2.686502E-2</v>
      </c>
      <c r="P5829">
        <v>0.99871390000000004</v>
      </c>
      <c r="Q5829">
        <v>2.0999429999999999E-2</v>
      </c>
      <c r="R5829">
        <v>4.615205E-2</v>
      </c>
      <c r="S5829">
        <v>2.993652</v>
      </c>
      <c r="T5829">
        <v>-0.22490760000000001</v>
      </c>
      <c r="U5829">
        <v>0.32467649999999998</v>
      </c>
      <c r="V5829">
        <v>-7.309496E-2</v>
      </c>
      <c r="W5829">
        <v>3.1547859999999997E-2</v>
      </c>
      <c r="X5829">
        <v>0.99682590000000004</v>
      </c>
      <c r="Y5829">
        <v>-0.13404530000000001</v>
      </c>
      <c r="Z5829">
        <v>7.0238439999999996E-3</v>
      </c>
      <c r="AA5829">
        <v>0.99095029999999995</v>
      </c>
      <c r="AB5829">
        <v>24</v>
      </c>
      <c r="AC5829">
        <v>14.680499999999901</v>
      </c>
      <c r="AD5829">
        <v>-1.111255132922</v>
      </c>
      <c r="AE5829">
        <v>1.60605</v>
      </c>
      <c r="AF5829">
        <v>-1.9886256432387099</v>
      </c>
      <c r="AG5829">
        <v>-1.111255132922</v>
      </c>
      <c r="AH5829">
        <v>14.549669685593701</v>
      </c>
      <c r="AI5829">
        <v>94.3275016724008</v>
      </c>
      <c r="AJ5829">
        <v>97.782870938082596</v>
      </c>
      <c r="AK5829">
        <v>14.7269279851325</v>
      </c>
      <c r="AL5829">
        <v>88.192140814882094</v>
      </c>
      <c r="AM5829">
        <v>94.1938622889258</v>
      </c>
      <c r="AN5829">
        <v>1.00000000777939</v>
      </c>
    </row>
    <row r="5830" spans="1:40" x14ac:dyDescent="0.25">
      <c r="A5830" t="str">
        <f>"20190312151649901"</f>
        <v>20190312151649901</v>
      </c>
      <c r="B5830" t="str">
        <f>"1552375009893874"</f>
        <v>1552375009893874</v>
      </c>
      <c r="C5830" t="s">
        <v>40</v>
      </c>
      <c r="D5830">
        <v>4.8144669999999996</v>
      </c>
      <c r="E5830">
        <v>0.47847840000000003</v>
      </c>
      <c r="F5830" t="s">
        <v>74</v>
      </c>
      <c r="G5830">
        <v>-256.10939999999999</v>
      </c>
      <c r="H5830" s="1">
        <v>-2.1067999999999999E-6</v>
      </c>
      <c r="I5830">
        <v>-61.956409999999998</v>
      </c>
      <c r="J5830">
        <v>-270.74520000000001</v>
      </c>
      <c r="K5830">
        <v>1.111199</v>
      </c>
      <c r="L5830">
        <v>-63.530209999999997</v>
      </c>
      <c r="M5830">
        <v>0.99961449999999996</v>
      </c>
      <c r="N5830">
        <v>0</v>
      </c>
      <c r="O5830">
        <v>-2.5549579999999999E-2</v>
      </c>
      <c r="P5830">
        <v>0.99866779999999999</v>
      </c>
      <c r="Q5830">
        <v>2.1458109999999999E-2</v>
      </c>
      <c r="R5830">
        <v>4.6928299999999999E-2</v>
      </c>
      <c r="S5830">
        <v>2.9938660000000001</v>
      </c>
      <c r="T5830">
        <v>-0.2254168</v>
      </c>
      <c r="U5830">
        <v>0.3188782</v>
      </c>
      <c r="V5830">
        <v>-7.2554400000000005E-2</v>
      </c>
      <c r="W5830">
        <v>3.2014439999999998E-2</v>
      </c>
      <c r="X5830">
        <v>0.99685049999999997</v>
      </c>
      <c r="Y5830">
        <v>-0.1308462</v>
      </c>
      <c r="Z5830">
        <v>6.8213129999999999E-3</v>
      </c>
      <c r="AA5830">
        <v>0.99137920000000002</v>
      </c>
      <c r="AB5830">
        <v>24</v>
      </c>
      <c r="AC5830">
        <v>14.6358</v>
      </c>
      <c r="AD5830">
        <v>-1.1112011068000001</v>
      </c>
      <c r="AE5830">
        <v>1.5737999999999901</v>
      </c>
      <c r="AF5830">
        <v>-1.93621331734921</v>
      </c>
      <c r="AG5830">
        <v>-1.1112011068000001</v>
      </c>
      <c r="AH5830">
        <v>14.508134957455701</v>
      </c>
      <c r="AI5830">
        <v>94.341480880059393</v>
      </c>
      <c r="AJ5830">
        <v>97.601609531696695</v>
      </c>
      <c r="AK5830">
        <v>14.6788851706723</v>
      </c>
      <c r="AL5830">
        <v>88.165394210716698</v>
      </c>
      <c r="AM5830">
        <v>94.162854441947303</v>
      </c>
      <c r="AN5830">
        <v>0.99999999233906101</v>
      </c>
    </row>
    <row r="5831" spans="1:40" x14ac:dyDescent="0.25">
      <c r="A5831" t="str">
        <f>"20190312151649912"</f>
        <v>20190312151649912</v>
      </c>
      <c r="B5831" t="str">
        <f>"1552375009903635"</f>
        <v>1552375009903635</v>
      </c>
      <c r="C5831" t="s">
        <v>40</v>
      </c>
      <c r="D5831">
        <v>4.8378649999999999</v>
      </c>
      <c r="E5831">
        <v>0.47861429999999999</v>
      </c>
      <c r="F5831" t="s">
        <v>74</v>
      </c>
      <c r="G5831">
        <v>-255.6489</v>
      </c>
      <c r="H5831" s="1">
        <v>-1.900921E-6</v>
      </c>
      <c r="I5831">
        <v>-61.918979999999998</v>
      </c>
      <c r="J5831">
        <v>-270.63150000000002</v>
      </c>
      <c r="K5831">
        <v>1.111146</v>
      </c>
      <c r="L5831">
        <v>-63.531829999999999</v>
      </c>
      <c r="M5831">
        <v>0.99964430000000004</v>
      </c>
      <c r="N5831">
        <v>0</v>
      </c>
      <c r="O5831">
        <v>-2.4356650000000001E-2</v>
      </c>
      <c r="P5831">
        <v>0.99860610000000005</v>
      </c>
      <c r="Q5831">
        <v>2.2006270000000001E-2</v>
      </c>
      <c r="R5831">
        <v>4.7971159999999999E-2</v>
      </c>
      <c r="S5831">
        <v>2.9937130000000001</v>
      </c>
      <c r="T5831">
        <v>-0.2203591</v>
      </c>
      <c r="U5831">
        <v>0.319519</v>
      </c>
      <c r="V5831">
        <v>-7.240336E-2</v>
      </c>
      <c r="W5831">
        <v>3.2567770000000003E-2</v>
      </c>
      <c r="X5831">
        <v>0.99684360000000005</v>
      </c>
      <c r="Y5831">
        <v>-0.129903399999999</v>
      </c>
      <c r="Z5831">
        <v>6.5469009999999999E-3</v>
      </c>
      <c r="AA5831">
        <v>0.99150499999999997</v>
      </c>
      <c r="AB5831">
        <v>24</v>
      </c>
      <c r="AC5831">
        <v>14.9826</v>
      </c>
      <c r="AD5831">
        <v>-1.1111479009209999</v>
      </c>
      <c r="AE5831">
        <v>1.6128499999999999</v>
      </c>
      <c r="AF5831">
        <v>-1.9666262433364601</v>
      </c>
      <c r="AG5831">
        <v>-1.1111479009209999</v>
      </c>
      <c r="AH5831">
        <v>14.8580841107133</v>
      </c>
      <c r="AI5831">
        <v>94.240006866053903</v>
      </c>
      <c r="AJ5831">
        <v>97.539881388608293</v>
      </c>
      <c r="AK5831">
        <v>15.0288034081138</v>
      </c>
      <c r="AL5831">
        <v>88.1336742733547</v>
      </c>
      <c r="AM5831">
        <v>94.154247451656502</v>
      </c>
      <c r="AN5831">
        <v>1.0000000345215101</v>
      </c>
    </row>
    <row r="5832" spans="1:40" x14ac:dyDescent="0.25">
      <c r="A5832" t="str">
        <f>"20190312151649924"</f>
        <v>20190312151649924</v>
      </c>
      <c r="B5832" t="str">
        <f>"1552375009913396"</f>
        <v>1552375009913396</v>
      </c>
      <c r="C5832" t="s">
        <v>40</v>
      </c>
      <c r="D5832">
        <v>4.8063710000000004</v>
      </c>
      <c r="E5832">
        <v>0.47881629999999997</v>
      </c>
      <c r="F5832" t="s">
        <v>74</v>
      </c>
      <c r="G5832">
        <v>-255.1361</v>
      </c>
      <c r="H5832" s="1">
        <v>-1.6696310000000001E-6</v>
      </c>
      <c r="I5832">
        <v>-61.868229999999997</v>
      </c>
      <c r="J5832">
        <v>-270.51130000000001</v>
      </c>
      <c r="K5832">
        <v>1.111092</v>
      </c>
      <c r="L5832">
        <v>-63.533360000000002</v>
      </c>
      <c r="M5832">
        <v>0.99967260000000002</v>
      </c>
      <c r="N5832">
        <v>0</v>
      </c>
      <c r="O5832">
        <v>-2.3171480000000001E-2</v>
      </c>
      <c r="P5832">
        <v>0.99855919999999998</v>
      </c>
      <c r="Q5832">
        <v>2.2415259999999999E-2</v>
      </c>
      <c r="R5832">
        <v>4.8757839999999997E-2</v>
      </c>
      <c r="S5832">
        <v>2.9934690000000002</v>
      </c>
      <c r="T5832">
        <v>-0.2146554</v>
      </c>
      <c r="U5832">
        <v>0.32138060000000002</v>
      </c>
      <c r="V5832">
        <v>-7.2003570000000003E-2</v>
      </c>
      <c r="W5832">
        <v>3.2983819999999997E-2</v>
      </c>
      <c r="X5832">
        <v>0.99685880000000004</v>
      </c>
      <c r="Y5832">
        <v>-0.1293715</v>
      </c>
      <c r="Z5832">
        <v>6.2745190000000001E-3</v>
      </c>
      <c r="AA5832">
        <v>0.99157640000000002</v>
      </c>
      <c r="AB5832">
        <v>24</v>
      </c>
      <c r="AC5832">
        <v>15.3752</v>
      </c>
      <c r="AD5832">
        <v>-1.1110936696310001</v>
      </c>
      <c r="AE5832">
        <v>1.66512999999999</v>
      </c>
      <c r="AF5832">
        <v>-2.0105918478832399</v>
      </c>
      <c r="AG5832">
        <v>-1.1110936696310001</v>
      </c>
      <c r="AH5832">
        <v>15.253749745657201</v>
      </c>
      <c r="AI5832">
        <v>94.1305049310334</v>
      </c>
      <c r="AJ5832">
        <v>97.508852182709703</v>
      </c>
      <c r="AK5832">
        <v>15.4257541152647</v>
      </c>
      <c r="AL5832">
        <v>88.1098234036956</v>
      </c>
      <c r="AM5832">
        <v>94.131325792101293</v>
      </c>
      <c r="AN5832">
        <v>0.99999995680598697</v>
      </c>
    </row>
    <row r="5833" spans="1:40" x14ac:dyDescent="0.25">
      <c r="A5833" t="str">
        <f>"20190312151649935"</f>
        <v>20190312151649935</v>
      </c>
      <c r="B5833" t="str">
        <f>"1552375009924131"</f>
        <v>1552375009924131</v>
      </c>
      <c r="C5833" t="s">
        <v>40</v>
      </c>
      <c r="D5833">
        <v>4.7952640000000004</v>
      </c>
      <c r="E5833">
        <v>0.47897410000000001</v>
      </c>
      <c r="F5833" t="s">
        <v>74</v>
      </c>
      <c r="G5833">
        <v>-254.7629</v>
      </c>
      <c r="H5833" s="1">
        <v>-1.5029409999999999E-6</v>
      </c>
      <c r="I5833">
        <v>-61.838520000000003</v>
      </c>
      <c r="J5833">
        <v>-270.38479999999998</v>
      </c>
      <c r="K5833">
        <v>1.1110370000000001</v>
      </c>
      <c r="L5833">
        <v>-63.534939999999999</v>
      </c>
      <c r="M5833">
        <v>0.99970020000000004</v>
      </c>
      <c r="N5833">
        <v>0</v>
      </c>
      <c r="O5833">
        <v>-2.1947129999999999E-2</v>
      </c>
      <c r="P5833">
        <v>0.99850749999999999</v>
      </c>
      <c r="Q5833">
        <v>2.2516970000000001E-2</v>
      </c>
      <c r="R5833">
        <v>4.9755830000000001E-2</v>
      </c>
      <c r="S5833">
        <v>2.993347</v>
      </c>
      <c r="T5833">
        <v>-0.21118960000000001</v>
      </c>
      <c r="U5833">
        <v>0.32214359999999997</v>
      </c>
      <c r="V5833">
        <v>-7.1774199999999996E-2</v>
      </c>
      <c r="W5833">
        <v>3.3092000000000003E-2</v>
      </c>
      <c r="X5833">
        <v>0.99687179999999997</v>
      </c>
      <c r="Y5833">
        <v>-0.12842890000000001</v>
      </c>
      <c r="Z5833">
        <v>6.0544479999999996E-3</v>
      </c>
      <c r="AA5833">
        <v>0.99170020000000003</v>
      </c>
      <c r="AB5833">
        <v>24</v>
      </c>
      <c r="AC5833">
        <v>15.621899999999901</v>
      </c>
      <c r="AD5833">
        <v>-1.1110385029409999</v>
      </c>
      <c r="AE5833">
        <v>1.69642</v>
      </c>
      <c r="AF5833">
        <v>-2.0287453401160498</v>
      </c>
      <c r="AG5833">
        <v>-1.1110385029409999</v>
      </c>
      <c r="AH5833">
        <v>15.5033986630217</v>
      </c>
      <c r="AI5833">
        <v>94.064513254026494</v>
      </c>
      <c r="AJ5833">
        <v>97.455255406628694</v>
      </c>
      <c r="AK5833">
        <v>15.6749987022214</v>
      </c>
      <c r="AL5833">
        <v>88.103621844245097</v>
      </c>
      <c r="AM5833">
        <v>94.118157134739107</v>
      </c>
      <c r="AN5833">
        <v>1.0000000009424399</v>
      </c>
    </row>
    <row r="5834" spans="1:40" x14ac:dyDescent="0.25">
      <c r="A5834" t="str">
        <f>"20190312151649945"</f>
        <v>20190312151649945</v>
      </c>
      <c r="B5834" t="str">
        <f>"1552375009933891"</f>
        <v>1552375009933891</v>
      </c>
      <c r="C5834" t="s">
        <v>40</v>
      </c>
      <c r="D5834">
        <v>4.7340309999999999</v>
      </c>
      <c r="E5834">
        <v>0.47916920000000002</v>
      </c>
      <c r="F5834" t="s">
        <v>74</v>
      </c>
      <c r="G5834">
        <v>-254.62039999999999</v>
      </c>
      <c r="H5834" s="1">
        <v>-1.4397529999999999E-6</v>
      </c>
      <c r="I5834">
        <v>-61.829230000000003</v>
      </c>
      <c r="J5834">
        <v>-270.27</v>
      </c>
      <c r="K5834">
        <v>1.1109869999999999</v>
      </c>
      <c r="L5834">
        <v>-63.536219999999901</v>
      </c>
      <c r="M5834">
        <v>0.99972280000000002</v>
      </c>
      <c r="N5834">
        <v>0</v>
      </c>
      <c r="O5834">
        <v>-2.08951E-2</v>
      </c>
      <c r="P5834">
        <v>0.99845779999999995</v>
      </c>
      <c r="Q5834">
        <v>2.286268E-2</v>
      </c>
      <c r="R5834">
        <v>5.0591820000000003E-2</v>
      </c>
      <c r="S5834">
        <v>2.9930729999999999</v>
      </c>
      <c r="T5834">
        <v>-0.21094560000000001</v>
      </c>
      <c r="U5834">
        <v>0.32385249999999999</v>
      </c>
      <c r="V5834">
        <v>-7.1557079999999995E-2</v>
      </c>
      <c r="W5834">
        <v>3.3442760000000002E-2</v>
      </c>
      <c r="X5834">
        <v>0.99687570000000003</v>
      </c>
      <c r="Y5834">
        <v>-0.1279593</v>
      </c>
      <c r="Z5834">
        <v>5.9574859999999997E-3</v>
      </c>
      <c r="AA5834">
        <v>0.99176149999999996</v>
      </c>
      <c r="AB5834">
        <v>24</v>
      </c>
      <c r="AC5834">
        <v>15.6495999999999</v>
      </c>
      <c r="AD5834">
        <v>-1.1109884397530001</v>
      </c>
      <c r="AE5834">
        <v>1.70698999999999</v>
      </c>
      <c r="AF5834">
        <v>-2.0235580769287602</v>
      </c>
      <c r="AG5834">
        <v>-1.1109884397530001</v>
      </c>
      <c r="AH5834">
        <v>15.533149640263099</v>
      </c>
      <c r="AI5834">
        <v>94.056875663588897</v>
      </c>
      <c r="AJ5834">
        <v>97.422322671075605</v>
      </c>
      <c r="AK5834">
        <v>15.703751792192</v>
      </c>
      <c r="AL5834">
        <v>88.083513639939397</v>
      </c>
      <c r="AM5834">
        <v>94.105726193834499</v>
      </c>
      <c r="AN5834">
        <v>0.99999999757251701</v>
      </c>
    </row>
    <row r="5835" spans="1:40" x14ac:dyDescent="0.25">
      <c r="A5835" t="str">
        <f>"20190312151649957"</f>
        <v>20190312151649957</v>
      </c>
      <c r="B5835" t="str">
        <f>"1552375009953413"</f>
        <v>1552375009953413</v>
      </c>
      <c r="C5835" t="s">
        <v>40</v>
      </c>
      <c r="D5835">
        <v>4.7905980000000001</v>
      </c>
      <c r="E5835">
        <v>0.47964440000000003</v>
      </c>
      <c r="F5835" t="s">
        <v>74</v>
      </c>
      <c r="G5835">
        <v>-254.69200000000001</v>
      </c>
      <c r="H5835" s="1">
        <v>-1.4739570000000001E-6</v>
      </c>
      <c r="I5835">
        <v>-61.844940000000001</v>
      </c>
      <c r="J5835">
        <v>-270.1567</v>
      </c>
      <c r="K5835">
        <v>1.1109439999999999</v>
      </c>
      <c r="L5835">
        <v>-63.537480000000002</v>
      </c>
      <c r="M5835">
        <v>0.99974359999999995</v>
      </c>
      <c r="N5835">
        <v>0</v>
      </c>
      <c r="O5835">
        <v>-1.9878690000000001E-2</v>
      </c>
      <c r="P5835">
        <v>0.99840669999999998</v>
      </c>
      <c r="Q5835">
        <v>2.2682750000000002E-2</v>
      </c>
      <c r="R5835">
        <v>5.1670300000000002E-2</v>
      </c>
      <c r="S5835">
        <v>2.993042</v>
      </c>
      <c r="T5835">
        <v>-0.2134578</v>
      </c>
      <c r="U5835">
        <v>0.3249512</v>
      </c>
      <c r="V5835">
        <v>-7.1615490000000004E-2</v>
      </c>
      <c r="W5835">
        <v>3.3267379999999999E-2</v>
      </c>
      <c r="X5835">
        <v>0.99687740000000002</v>
      </c>
      <c r="Y5835">
        <v>-0.12730730000000001</v>
      </c>
      <c r="Z5835">
        <v>5.932835E-3</v>
      </c>
      <c r="AA5835">
        <v>0.99184550000000005</v>
      </c>
      <c r="AB5835">
        <v>24</v>
      </c>
      <c r="AC5835">
        <v>15.464699999999899</v>
      </c>
      <c r="AD5835">
        <v>-1.1109454739569999</v>
      </c>
      <c r="AE5835">
        <v>1.6925399999999999</v>
      </c>
      <c r="AF5835">
        <v>-1.9894960428936601</v>
      </c>
      <c r="AG5835">
        <v>-1.1109454739569999</v>
      </c>
      <c r="AH5835">
        <v>15.3497197870833</v>
      </c>
      <c r="AI5835">
        <v>94.105378758847493</v>
      </c>
      <c r="AJ5835">
        <v>97.385006280661102</v>
      </c>
      <c r="AK5835">
        <v>15.517931301973601</v>
      </c>
      <c r="AL5835">
        <v>88.093567818287895</v>
      </c>
      <c r="AM5835">
        <v>94.109059122568297</v>
      </c>
      <c r="AN5835">
        <v>1.0000000238053799</v>
      </c>
    </row>
    <row r="5836" spans="1:40" x14ac:dyDescent="0.25">
      <c r="A5836" t="str">
        <f>"20190312151649968"</f>
        <v>20190312151649968</v>
      </c>
      <c r="B5836" t="str">
        <f>"1552375009964147"</f>
        <v>1552375009964147</v>
      </c>
      <c r="C5836" t="s">
        <v>40</v>
      </c>
      <c r="D5836">
        <v>5.0600360000000002</v>
      </c>
      <c r="E5836">
        <v>0.47988399999999998</v>
      </c>
      <c r="F5836" t="s">
        <v>74</v>
      </c>
      <c r="G5836">
        <v>-254.74160000000001</v>
      </c>
      <c r="H5836" s="1">
        <v>-1.5000940000000001E-6</v>
      </c>
      <c r="I5836">
        <v>-61.866759999999999</v>
      </c>
      <c r="J5836">
        <v>-270.03469999999999</v>
      </c>
      <c r="K5836">
        <v>1.1109039999999999</v>
      </c>
      <c r="L5836">
        <v>-63.538699999999999</v>
      </c>
      <c r="M5836">
        <v>0.99976410000000004</v>
      </c>
      <c r="N5836">
        <v>0</v>
      </c>
      <c r="O5836">
        <v>-1.8825700000000001E-2</v>
      </c>
      <c r="P5836">
        <v>0.9983554</v>
      </c>
      <c r="Q5836">
        <v>2.308029E-2</v>
      </c>
      <c r="R5836">
        <v>5.2476490000000001E-2</v>
      </c>
      <c r="S5836">
        <v>2.9928590000000002</v>
      </c>
      <c r="T5836">
        <v>-0.2156911</v>
      </c>
      <c r="U5836">
        <v>0.32437129999999997</v>
      </c>
      <c r="V5836">
        <v>-7.1367819999999998E-2</v>
      </c>
      <c r="W5836">
        <v>3.3670079999999998E-2</v>
      </c>
      <c r="X5836">
        <v>0.99688160000000003</v>
      </c>
      <c r="Y5836">
        <v>-0.1260772</v>
      </c>
      <c r="Z5836">
        <v>5.8754300000000001E-3</v>
      </c>
      <c r="AA5836">
        <v>0.99200299999999997</v>
      </c>
      <c r="AB5836">
        <v>24</v>
      </c>
      <c r="AC5836">
        <v>15.2930999999999</v>
      </c>
      <c r="AD5836">
        <v>-1.110905500094</v>
      </c>
      <c r="AE5836">
        <v>1.67193999999999</v>
      </c>
      <c r="AF5836">
        <v>-1.9493989524794799</v>
      </c>
      <c r="AG5836">
        <v>-1.110905500094</v>
      </c>
      <c r="AH5836">
        <v>15.179759045465101</v>
      </c>
      <c r="AI5836">
        <v>94.151661012288798</v>
      </c>
      <c r="AJ5836">
        <v>97.317924453661007</v>
      </c>
      <c r="AK5836">
        <v>15.3446848121571</v>
      </c>
      <c r="AL5836">
        <v>88.070481794447801</v>
      </c>
      <c r="AM5836">
        <v>94.094879870619906</v>
      </c>
      <c r="AN5836">
        <v>0.99999998221865904</v>
      </c>
    </row>
    <row r="5837" spans="1:40" x14ac:dyDescent="0.25">
      <c r="A5837" t="str">
        <f>"20190312151649979"</f>
        <v>20190312151649979</v>
      </c>
      <c r="B5837" t="str">
        <f>"1552375009973906"</f>
        <v>1552375009973906</v>
      </c>
      <c r="C5837" t="s">
        <v>40</v>
      </c>
      <c r="D5837">
        <v>4.9143239999999997</v>
      </c>
      <c r="E5837">
        <v>0.48034460000000001</v>
      </c>
      <c r="F5837" t="s">
        <v>74</v>
      </c>
      <c r="G5837">
        <v>-254.46109999999999</v>
      </c>
      <c r="H5837" s="1">
        <v>-1.375721E-6</v>
      </c>
      <c r="I5837">
        <v>-61.848689999999998</v>
      </c>
      <c r="J5837">
        <v>-269.91250000000002</v>
      </c>
      <c r="K5837">
        <v>1.1108610000000001</v>
      </c>
      <c r="L5837">
        <v>-63.539830000000002</v>
      </c>
      <c r="M5837">
        <v>0.99978279999999997</v>
      </c>
      <c r="N5837">
        <v>0</v>
      </c>
      <c r="O5837">
        <v>-1.780582E-2</v>
      </c>
      <c r="P5837">
        <v>0.99830649999999999</v>
      </c>
      <c r="Q5837">
        <v>2.298387E-2</v>
      </c>
      <c r="R5837">
        <v>5.3441929999999999E-2</v>
      </c>
      <c r="S5837">
        <v>2.9927670000000002</v>
      </c>
      <c r="T5837">
        <v>-0.21348200000000001</v>
      </c>
      <c r="U5837">
        <v>0.324768099999999</v>
      </c>
      <c r="V5837">
        <v>-7.1311470000000002E-2</v>
      </c>
      <c r="W5837">
        <v>3.3578110000000001E-2</v>
      </c>
      <c r="X5837">
        <v>0.99688880000000002</v>
      </c>
      <c r="Y5837">
        <v>-0.12521079999999901</v>
      </c>
      <c r="Z5837">
        <v>5.7122919999999999E-3</v>
      </c>
      <c r="AA5837">
        <v>0.99211369999999999</v>
      </c>
      <c r="AB5837">
        <v>24</v>
      </c>
      <c r="AC5837">
        <v>15.4514</v>
      </c>
      <c r="AD5837">
        <v>-1.1108623757209899</v>
      </c>
      <c r="AE5837">
        <v>1.6911399999999901</v>
      </c>
      <c r="AF5837">
        <v>-1.95602234941608</v>
      </c>
      <c r="AG5837">
        <v>-1.1108623757209899</v>
      </c>
      <c r="AH5837">
        <v>15.3404837946839</v>
      </c>
      <c r="AI5837">
        <v>94.108625184609096</v>
      </c>
      <c r="AJ5837">
        <v>97.266415164227297</v>
      </c>
      <c r="AK5837">
        <v>15.504531005617901</v>
      </c>
      <c r="AL5837">
        <v>88.075754394167205</v>
      </c>
      <c r="AM5837">
        <v>94.091628204044198</v>
      </c>
      <c r="AN5837">
        <v>1.0000000473950801</v>
      </c>
    </row>
    <row r="5838" spans="1:40" x14ac:dyDescent="0.25">
      <c r="A5838" t="str">
        <f>"20190312151649991"</f>
        <v>20190312151649991</v>
      </c>
      <c r="B5838" t="str">
        <f>"1552375009983667"</f>
        <v>1552375009983667</v>
      </c>
      <c r="C5838" t="s">
        <v>40</v>
      </c>
      <c r="D5838">
        <v>4.8403939999999999</v>
      </c>
      <c r="E5838">
        <v>0.48034460000000001</v>
      </c>
      <c r="F5838" t="s">
        <v>74</v>
      </c>
      <c r="G5838">
        <v>-254.51570000000001</v>
      </c>
      <c r="H5838" s="1">
        <v>-1.404473E-6</v>
      </c>
      <c r="I5838">
        <v>-61.872579999999999</v>
      </c>
      <c r="J5838">
        <v>-269.78390000000002</v>
      </c>
      <c r="K5838">
        <v>1.110816</v>
      </c>
      <c r="L5838">
        <v>-63.540990000000001</v>
      </c>
      <c r="M5838">
        <v>0.99980089999999999</v>
      </c>
      <c r="N5838">
        <v>0</v>
      </c>
      <c r="O5838">
        <v>-1.6759489999999998E-2</v>
      </c>
      <c r="P5838">
        <v>0.99825079999999999</v>
      </c>
      <c r="Q5838">
        <v>2.297136E-2</v>
      </c>
      <c r="R5838">
        <v>5.4474889999999998E-2</v>
      </c>
      <c r="S5838">
        <v>2.9927060000000001</v>
      </c>
      <c r="T5838">
        <v>-0.215921</v>
      </c>
      <c r="U5838">
        <v>0.32406620000000003</v>
      </c>
      <c r="V5838">
        <v>-7.1295319999999995E-2</v>
      </c>
      <c r="W5838">
        <v>3.3570000000000003E-2</v>
      </c>
      <c r="X5838">
        <v>0.99689019999999995</v>
      </c>
      <c r="Y5838">
        <v>-0.12394230000000001</v>
      </c>
      <c r="Z5838">
        <v>5.6568010000000004E-3</v>
      </c>
      <c r="AA5838">
        <v>0.99227330000000002</v>
      </c>
      <c r="AB5838">
        <v>24</v>
      </c>
      <c r="AC5838">
        <v>15.2682</v>
      </c>
      <c r="AD5838">
        <v>-1.1108174044729999</v>
      </c>
      <c r="AE5838">
        <v>1.66840999999999</v>
      </c>
      <c r="AF5838">
        <v>-1.9140661102926599</v>
      </c>
      <c r="AG5838">
        <v>-1.1108174044729999</v>
      </c>
      <c r="AH5838">
        <v>15.158801793397</v>
      </c>
      <c r="AI5838">
        <v>94.158170035867997</v>
      </c>
      <c r="AJ5838">
        <v>97.196518122406601</v>
      </c>
      <c r="AK5838">
        <v>15.3194920344033</v>
      </c>
      <c r="AL5838">
        <v>88.076219270777898</v>
      </c>
      <c r="AM5838">
        <v>94.090698988531301</v>
      </c>
      <c r="AN5838">
        <v>1.0000000192049701</v>
      </c>
    </row>
    <row r="5839" spans="1:40" x14ac:dyDescent="0.25">
      <c r="A5839" t="str">
        <f>"20190312151650003"</f>
        <v>20190312151650003</v>
      </c>
      <c r="B5839" t="str">
        <f>"1552375009993427"</f>
        <v>1552375009993427</v>
      </c>
      <c r="C5839" t="s">
        <v>40</v>
      </c>
      <c r="D5839">
        <v>5.0555389999999996</v>
      </c>
      <c r="E5839">
        <v>0.48294350000000003</v>
      </c>
      <c r="F5839" t="s">
        <v>74</v>
      </c>
      <c r="G5839">
        <v>-254.39709999999999</v>
      </c>
      <c r="H5839" s="1">
        <v>-1.3507269999999999E-6</v>
      </c>
      <c r="I5839">
        <v>-61.859720000000003</v>
      </c>
      <c r="J5839">
        <v>-269.66539999999998</v>
      </c>
      <c r="K5839">
        <v>1.1107769999999999</v>
      </c>
      <c r="L5839">
        <v>-63.541870000000003</v>
      </c>
      <c r="M5839">
        <v>0.99981589999999998</v>
      </c>
      <c r="N5839">
        <v>0</v>
      </c>
      <c r="O5839">
        <v>-1.584313E-2</v>
      </c>
      <c r="P5839">
        <v>0.99820969999999998</v>
      </c>
      <c r="Q5839">
        <v>2.2826430000000002E-2</v>
      </c>
      <c r="R5839">
        <v>5.52845E-2</v>
      </c>
      <c r="S5839">
        <v>2.9923709999999999</v>
      </c>
      <c r="T5839">
        <v>-0.21602740000000001</v>
      </c>
      <c r="U5839">
        <v>0.32696530000000001</v>
      </c>
      <c r="V5839">
        <v>-7.1186819999999998E-2</v>
      </c>
      <c r="W5839">
        <v>3.3428939999999997E-2</v>
      </c>
      <c r="X5839">
        <v>0.99690270000000003</v>
      </c>
      <c r="Y5839">
        <v>-0.1239967</v>
      </c>
      <c r="Z5839">
        <v>5.5959740000000001E-3</v>
      </c>
      <c r="AA5839">
        <v>0.9922668</v>
      </c>
      <c r="AB5839">
        <v>24</v>
      </c>
      <c r="AC5839">
        <v>15.268299999999901</v>
      </c>
      <c r="AD5839">
        <v>-1.1107783507269999</v>
      </c>
      <c r="AE5839">
        <v>1.68215</v>
      </c>
      <c r="AF5839">
        <v>-1.9138428504123799</v>
      </c>
      <c r="AG5839">
        <v>-1.1107783507269999</v>
      </c>
      <c r="AH5839">
        <v>15.160454598423</v>
      </c>
      <c r="AI5839">
        <v>94.157587305118497</v>
      </c>
      <c r="AJ5839">
        <v>97.194911249380993</v>
      </c>
      <c r="AK5839">
        <v>15.3210967829122</v>
      </c>
      <c r="AL5839">
        <v>88.084305963774</v>
      </c>
      <c r="AM5839">
        <v>94.084443647701306</v>
      </c>
      <c r="AN5839">
        <v>1.00000002531926</v>
      </c>
    </row>
    <row r="5840" spans="1:40" x14ac:dyDescent="0.25">
      <c r="A5840" t="str">
        <f>"20190312151650011"</f>
        <v>20190312151650011</v>
      </c>
      <c r="B5840" t="str">
        <f>"1552375010004163"</f>
        <v>1552375010004163</v>
      </c>
      <c r="C5840" t="s">
        <v>40</v>
      </c>
      <c r="D5840">
        <v>4.9806359999999996</v>
      </c>
      <c r="E5840">
        <v>0.48592299999999999</v>
      </c>
      <c r="F5840" t="s">
        <v>74</v>
      </c>
      <c r="G5840">
        <v>-259.1576</v>
      </c>
      <c r="H5840" s="1">
        <v>-3.4157390000000002E-6</v>
      </c>
      <c r="I5840">
        <v>-62.450650000000003</v>
      </c>
      <c r="J5840">
        <v>-269.55689999999998</v>
      </c>
      <c r="K5840">
        <v>1.110743</v>
      </c>
      <c r="L5840">
        <v>-63.542720000000003</v>
      </c>
      <c r="M5840">
        <v>0.99982870000000001</v>
      </c>
      <c r="N5840">
        <v>0</v>
      </c>
      <c r="O5840">
        <v>-1.5010310000000001E-2</v>
      </c>
      <c r="P5840">
        <v>0.99817900000000004</v>
      </c>
      <c r="Q5840">
        <v>2.2387009999999999E-2</v>
      </c>
      <c r="R5840">
        <v>5.6015599999999902E-2</v>
      </c>
      <c r="S5840">
        <v>2.9953919999999998</v>
      </c>
      <c r="T5840">
        <v>-0.31664249999999999</v>
      </c>
      <c r="U5840">
        <v>0.3110657</v>
      </c>
      <c r="V5840">
        <v>-7.1083279999999999E-2</v>
      </c>
      <c r="W5840">
        <v>3.2992880000000002E-2</v>
      </c>
      <c r="X5840">
        <v>0.99692460000000005</v>
      </c>
      <c r="Y5840">
        <v>-0.11748119999999999</v>
      </c>
      <c r="Z5840">
        <v>7.7542219999999999E-3</v>
      </c>
      <c r="AA5840">
        <v>0.99304490000000001</v>
      </c>
      <c r="AB5840">
        <v>24</v>
      </c>
      <c r="AC5840">
        <v>10.399299999999901</v>
      </c>
      <c r="AD5840">
        <v>-1.1107464157389999</v>
      </c>
      <c r="AE5840">
        <v>1.0920699999999901</v>
      </c>
      <c r="AF5840">
        <v>-1.2341270786768399</v>
      </c>
      <c r="AG5840">
        <v>-1.1107464157389999</v>
      </c>
      <c r="AH5840">
        <v>10.265895851616101</v>
      </c>
      <c r="AI5840">
        <v>96.131442710890894</v>
      </c>
      <c r="AJ5840">
        <v>96.854985096088001</v>
      </c>
      <c r="AK5840">
        <v>10.3993002111983</v>
      </c>
      <c r="AL5840">
        <v>88.109304122701801</v>
      </c>
      <c r="AM5840">
        <v>94.078433664622906</v>
      </c>
      <c r="AN5840">
        <v>1.0000000104557001</v>
      </c>
    </row>
    <row r="5841" spans="1:40" x14ac:dyDescent="0.25">
      <c r="A5841" t="str">
        <f>"20190312151650024"</f>
        <v>20190312151650024</v>
      </c>
      <c r="B5841" t="str">
        <f>"1552375010013923"</f>
        <v>1552375010013923</v>
      </c>
      <c r="C5841" t="s">
        <v>40</v>
      </c>
      <c r="D5841">
        <v>4.729565</v>
      </c>
      <c r="E5841">
        <v>0.4860893</v>
      </c>
      <c r="F5841" t="s">
        <v>74</v>
      </c>
      <c r="G5841">
        <v>-258.1361</v>
      </c>
      <c r="H5841" s="1">
        <v>-3.066901E-6</v>
      </c>
      <c r="I5841">
        <v>-62.441319999999997</v>
      </c>
      <c r="J5841">
        <v>-269.4316</v>
      </c>
      <c r="K5841">
        <v>1.1107049999999901</v>
      </c>
      <c r="L5841">
        <v>-63.543550000000003</v>
      </c>
      <c r="M5841">
        <v>0.99984200000000001</v>
      </c>
      <c r="N5841">
        <v>0</v>
      </c>
      <c r="O5841">
        <v>-1.4105400000000001E-2</v>
      </c>
      <c r="P5841">
        <v>0.99814720000000001</v>
      </c>
      <c r="Q5841">
        <v>2.2197789999999998E-2</v>
      </c>
      <c r="R5841">
        <v>5.6652929999999997E-2</v>
      </c>
      <c r="S5841">
        <v>2.9957889999999998</v>
      </c>
      <c r="T5841">
        <v>-0.29136129999999999</v>
      </c>
      <c r="U5841">
        <v>0.2889099</v>
      </c>
      <c r="V5841">
        <v>-7.0814160000000001E-2</v>
      </c>
      <c r="W5841">
        <v>3.2807959999999997E-2</v>
      </c>
      <c r="X5841">
        <v>0.99694989999999994</v>
      </c>
      <c r="Y5841">
        <v>-0.10944710000000001</v>
      </c>
      <c r="Z5841">
        <v>6.663268E-3</v>
      </c>
      <c r="AA5841">
        <v>0.99397029999999997</v>
      </c>
      <c r="AB5841">
        <v>24</v>
      </c>
      <c r="AC5841">
        <v>11.295500000000001</v>
      </c>
      <c r="AD5841">
        <v>-1.1107080669010001</v>
      </c>
      <c r="AE5841">
        <v>1.10223</v>
      </c>
      <c r="AF5841">
        <v>-1.2494896349784701</v>
      </c>
      <c r="AG5841">
        <v>-1.1107080669010001</v>
      </c>
      <c r="AH5841">
        <v>11.171824511656901</v>
      </c>
      <c r="AI5841">
        <v>95.642762145784403</v>
      </c>
      <c r="AJ5841">
        <v>96.381607446634206</v>
      </c>
      <c r="AK5841">
        <v>11.296218822112801</v>
      </c>
      <c r="AL5841">
        <v>88.119905081447101</v>
      </c>
      <c r="AM5841">
        <v>94.062941836015696</v>
      </c>
      <c r="AN5841">
        <v>1.00000005530293</v>
      </c>
    </row>
    <row r="5842" spans="1:40" x14ac:dyDescent="0.25">
      <c r="A5842" t="str">
        <f>"20190312151650036"</f>
        <v>20190312151650036</v>
      </c>
      <c r="B5842" t="str">
        <f>"1552375010023684"</f>
        <v>1552375010023684</v>
      </c>
      <c r="C5842" t="s">
        <v>40</v>
      </c>
      <c r="D5842">
        <v>4.7966309999999996</v>
      </c>
      <c r="E5842">
        <v>0.48710399999999998</v>
      </c>
      <c r="F5842" t="s">
        <v>74</v>
      </c>
      <c r="G5842">
        <v>-257.25380000000001</v>
      </c>
      <c r="H5842" s="1">
        <v>-2.6894340000000001E-6</v>
      </c>
      <c r="I5842">
        <v>-62.3688</v>
      </c>
      <c r="J5842">
        <v>-269.30520000000001</v>
      </c>
      <c r="K5842">
        <v>1.110673</v>
      </c>
      <c r="L5842">
        <v>-63.544339999999998</v>
      </c>
      <c r="M5842">
        <v>0.99985420000000003</v>
      </c>
      <c r="N5842">
        <v>0</v>
      </c>
      <c r="O5842">
        <v>-1.320753E-2</v>
      </c>
      <c r="P5842">
        <v>0.99809619999999999</v>
      </c>
      <c r="Q5842">
        <v>2.217535E-2</v>
      </c>
      <c r="R5842">
        <v>5.7553069999999998E-2</v>
      </c>
      <c r="S5842">
        <v>2.9952390000000002</v>
      </c>
      <c r="T5842">
        <v>-0.27318750000000003</v>
      </c>
      <c r="U5842">
        <v>0.28894039999999999</v>
      </c>
      <c r="V5842">
        <v>-7.0815149999999993E-2</v>
      </c>
      <c r="W5842">
        <v>3.2788900000000003E-2</v>
      </c>
      <c r="X5842">
        <v>0.99695040000000001</v>
      </c>
      <c r="Y5842">
        <v>-0.1086584</v>
      </c>
      <c r="Z5842">
        <v>6.1331669999999897E-3</v>
      </c>
      <c r="AA5842">
        <v>0.99406019999999995</v>
      </c>
      <c r="AB5842">
        <v>24</v>
      </c>
      <c r="AC5842">
        <v>12.051399999999999</v>
      </c>
      <c r="AD5842">
        <v>-1.110675689434</v>
      </c>
      <c r="AE5842">
        <v>1.17554</v>
      </c>
      <c r="AF5842">
        <v>-1.3234806396766099</v>
      </c>
      <c r="AG5842">
        <v>-1.110675689434</v>
      </c>
      <c r="AH5842">
        <v>11.9344093286191</v>
      </c>
      <c r="AI5842">
        <v>95.284705198165597</v>
      </c>
      <c r="AJ5842">
        <v>96.328028104671603</v>
      </c>
      <c r="AK5842">
        <v>12.0588277835671</v>
      </c>
      <c r="AL5842">
        <v>88.120997620493995</v>
      </c>
      <c r="AM5842">
        <v>94.062996415861505</v>
      </c>
      <c r="AN5842">
        <v>0.99999999874644596</v>
      </c>
    </row>
    <row r="5843" spans="1:40" x14ac:dyDescent="0.25">
      <c r="A5843" t="str">
        <f>"20190312151650048"</f>
        <v>20190312151650048</v>
      </c>
      <c r="B5843" t="str">
        <f>"1552375010043204"</f>
        <v>1552375010043204</v>
      </c>
      <c r="C5843" t="s">
        <v>40</v>
      </c>
      <c r="D5843">
        <v>4.7319209999999998</v>
      </c>
      <c r="E5843">
        <v>0.48701</v>
      </c>
      <c r="F5843" t="s">
        <v>74</v>
      </c>
      <c r="G5843">
        <v>-257.13900000000001</v>
      </c>
      <c r="H5843" s="1">
        <v>-2.6455549999999999E-6</v>
      </c>
      <c r="I5843">
        <v>-62.392859999999999</v>
      </c>
      <c r="J5843">
        <v>-269.17970000000003</v>
      </c>
      <c r="K5843">
        <v>1.110638</v>
      </c>
      <c r="L5843">
        <v>-63.545009999999998</v>
      </c>
      <c r="M5843">
        <v>0.99986520000000001</v>
      </c>
      <c r="N5843">
        <v>0</v>
      </c>
      <c r="O5843">
        <v>-1.23559E-2</v>
      </c>
      <c r="P5843">
        <v>0.99806819999999896</v>
      </c>
      <c r="Q5843">
        <v>2.217384E-2</v>
      </c>
      <c r="R5843">
        <v>5.8037610000000003E-2</v>
      </c>
      <c r="S5843">
        <v>2.9954529999999999</v>
      </c>
      <c r="T5843">
        <v>-0.27346189999999998</v>
      </c>
      <c r="U5843">
        <v>0.28350829999999999</v>
      </c>
      <c r="V5843">
        <v>-7.0446720000000004E-2</v>
      </c>
      <c r="W5843">
        <v>3.279224E-2</v>
      </c>
      <c r="X5843">
        <v>0.99697639999999998</v>
      </c>
      <c r="Y5843">
        <v>-0.1060315</v>
      </c>
      <c r="Z5843">
        <v>5.9425609999999999E-3</v>
      </c>
      <c r="AA5843">
        <v>0.99434500000000003</v>
      </c>
      <c r="AB5843">
        <v>24</v>
      </c>
      <c r="AC5843">
        <v>12.040699999999999</v>
      </c>
      <c r="AD5843">
        <v>-1.110640645555</v>
      </c>
      <c r="AE5843">
        <v>1.15214999999999</v>
      </c>
      <c r="AF5843">
        <v>-1.28996854121125</v>
      </c>
      <c r="AG5843">
        <v>-1.110640645555</v>
      </c>
      <c r="AH5843">
        <v>11.925002928538699</v>
      </c>
      <c r="AI5843">
        <v>95.290234165876697</v>
      </c>
      <c r="AJ5843">
        <v>96.173874841684693</v>
      </c>
      <c r="AK5843">
        <v>12.0458804712038</v>
      </c>
      <c r="AL5843">
        <v>88.120806164689995</v>
      </c>
      <c r="AM5843">
        <v>94.041823048233795</v>
      </c>
      <c r="AN5843">
        <v>1.0000000067599599</v>
      </c>
    </row>
    <row r="5844" spans="1:40" x14ac:dyDescent="0.25">
      <c r="A5844" t="str">
        <f>"20190312151650060"</f>
        <v>20190312151650060</v>
      </c>
      <c r="B5844" t="str">
        <f>"1552375010053940"</f>
        <v>1552375010053940</v>
      </c>
      <c r="C5844" t="s">
        <v>40</v>
      </c>
      <c r="D5844">
        <v>4.6944530000000002</v>
      </c>
      <c r="E5844">
        <v>0.48695569999999999</v>
      </c>
      <c r="F5844" t="s">
        <v>74</v>
      </c>
      <c r="G5844">
        <v>-255.89250000000001</v>
      </c>
      <c r="H5844" s="1">
        <v>-2.0857939999999998E-6</v>
      </c>
      <c r="I5844">
        <v>-62.280380000000001</v>
      </c>
      <c r="J5844">
        <v>-269.04640000000001</v>
      </c>
      <c r="K5844">
        <v>1.1106</v>
      </c>
      <c r="L5844">
        <v>-63.545650000000002</v>
      </c>
      <c r="M5844">
        <v>0.99987570000000003</v>
      </c>
      <c r="N5844">
        <v>0</v>
      </c>
      <c r="O5844">
        <v>-1.1480570000000001E-2</v>
      </c>
      <c r="P5844">
        <v>0.99802939999999996</v>
      </c>
      <c r="Q5844">
        <v>2.2086850000000002E-2</v>
      </c>
      <c r="R5844">
        <v>5.8735799999999998E-2</v>
      </c>
      <c r="S5844">
        <v>2.9947810000000001</v>
      </c>
      <c r="T5844">
        <v>-0.25032599999999999</v>
      </c>
      <c r="U5844">
        <v>0.28503420000000002</v>
      </c>
      <c r="V5844">
        <v>-7.0268150000000001E-2</v>
      </c>
      <c r="W5844">
        <v>3.2709790000000002E-2</v>
      </c>
      <c r="X5844">
        <v>0.99699170000000004</v>
      </c>
      <c r="Y5844">
        <v>-0.10576679999999999</v>
      </c>
      <c r="Z5844">
        <v>5.3587770000000003E-3</v>
      </c>
      <c r="AA5844">
        <v>0.9943765</v>
      </c>
      <c r="AB5844">
        <v>24</v>
      </c>
      <c r="AC5844">
        <v>13.153899999999901</v>
      </c>
      <c r="AD5844">
        <v>-1.110602085794</v>
      </c>
      <c r="AE5844">
        <v>1.2652699999999899</v>
      </c>
      <c r="AF5844">
        <v>-1.4062767281228601</v>
      </c>
      <c r="AG5844">
        <v>-1.110602085794</v>
      </c>
      <c r="AH5844">
        <v>13.0463557211182</v>
      </c>
      <c r="AI5844">
        <v>94.837819220555005</v>
      </c>
      <c r="AJ5844">
        <v>96.152202394941597</v>
      </c>
      <c r="AK5844">
        <v>13.1688438684261</v>
      </c>
      <c r="AL5844">
        <v>88.125532718177595</v>
      </c>
      <c r="AM5844">
        <v>94.031549901567899</v>
      </c>
      <c r="AN5844">
        <v>0.99999999656757799</v>
      </c>
    </row>
    <row r="5845" spans="1:40" x14ac:dyDescent="0.25">
      <c r="A5845" t="str">
        <f>"20190312151650072"</f>
        <v>20190312151650072</v>
      </c>
      <c r="B5845" t="str">
        <f>"1552375010063699"</f>
        <v>1552375010063699</v>
      </c>
      <c r="C5845" t="s">
        <v>40</v>
      </c>
      <c r="D5845">
        <v>4.9449820000000004</v>
      </c>
      <c r="E5845">
        <v>0.48693750000000002</v>
      </c>
      <c r="F5845" t="s">
        <v>74</v>
      </c>
      <c r="G5845">
        <v>-255.60740000000001</v>
      </c>
      <c r="H5845" s="1">
        <v>-1.958063E-6</v>
      </c>
      <c r="I5845">
        <v>-62.256010000000003</v>
      </c>
      <c r="J5845">
        <v>-268.923</v>
      </c>
      <c r="K5845">
        <v>1.1105700000000001</v>
      </c>
      <c r="L5845">
        <v>-63.546199999999999</v>
      </c>
      <c r="M5845">
        <v>0.99988429999999995</v>
      </c>
      <c r="N5845">
        <v>0</v>
      </c>
      <c r="O5845">
        <v>-1.068889E-2</v>
      </c>
      <c r="P5845">
        <v>0.99798790000000004</v>
      </c>
      <c r="Q5845">
        <v>2.209175E-2</v>
      </c>
      <c r="R5845">
        <v>5.9430910000000003E-2</v>
      </c>
      <c r="S5845">
        <v>2.994415</v>
      </c>
      <c r="T5845">
        <v>-0.2474594</v>
      </c>
      <c r="U5845">
        <v>0.28735349999999998</v>
      </c>
      <c r="V5845">
        <v>-7.0170689999999994E-2</v>
      </c>
      <c r="W5845">
        <v>3.2717889999999999E-2</v>
      </c>
      <c r="X5845">
        <v>0.9969983</v>
      </c>
      <c r="Y5845">
        <v>-0.105766</v>
      </c>
      <c r="Z5845">
        <v>5.2328569999999996E-3</v>
      </c>
      <c r="AA5845">
        <v>0.99437730000000002</v>
      </c>
      <c r="AB5845">
        <v>24</v>
      </c>
      <c r="AC5845">
        <v>13.3155999999999</v>
      </c>
      <c r="AD5845">
        <v>-1.110571958063</v>
      </c>
      <c r="AE5845">
        <v>1.2901899999999999</v>
      </c>
      <c r="AF5845">
        <v>-1.4226494194241599</v>
      </c>
      <c r="AG5845">
        <v>-1.110571958063</v>
      </c>
      <c r="AH5845">
        <v>13.2100109416669</v>
      </c>
      <c r="AI5845">
        <v>94.778083618589605</v>
      </c>
      <c r="AJ5845">
        <v>96.146766534186099</v>
      </c>
      <c r="AK5845">
        <v>13.332730047652801</v>
      </c>
      <c r="AL5845">
        <v>88.125068376760197</v>
      </c>
      <c r="AM5845">
        <v>94.025950088399895</v>
      </c>
      <c r="AN5845">
        <v>0.99999999813200902</v>
      </c>
    </row>
    <row r="5846" spans="1:40" x14ac:dyDescent="0.25">
      <c r="A5846" t="str">
        <f>"20190312151650086"</f>
        <v>20190312151650086</v>
      </c>
      <c r="B5846" t="str">
        <f>"1552375010073459"</f>
        <v>1552375010073459</v>
      </c>
      <c r="C5846" t="s">
        <v>40</v>
      </c>
      <c r="D5846">
        <v>4.6874690000000001</v>
      </c>
      <c r="E5846">
        <v>0.48702640000000003</v>
      </c>
      <c r="F5846" t="s">
        <v>74</v>
      </c>
      <c r="G5846">
        <v>-255.13849999999999</v>
      </c>
      <c r="H5846" s="1">
        <v>-1.747622E-6</v>
      </c>
      <c r="I5846">
        <v>-62.214300000000001</v>
      </c>
      <c r="J5846">
        <v>-268.77980000000002</v>
      </c>
      <c r="K5846">
        <v>1.1105339999999999</v>
      </c>
      <c r="L5846">
        <v>-63.546689999999998</v>
      </c>
      <c r="M5846">
        <v>0.99989329999999998</v>
      </c>
      <c r="N5846">
        <v>0</v>
      </c>
      <c r="O5846">
        <v>-9.8190710000000004E-3</v>
      </c>
      <c r="P5846">
        <v>0.99794680000000002</v>
      </c>
      <c r="Q5846">
        <v>2.2026069999999998E-2</v>
      </c>
      <c r="R5846">
        <v>6.0138589999999999E-2</v>
      </c>
      <c r="S5846">
        <v>2.9941710000000001</v>
      </c>
      <c r="T5846">
        <v>-0.2412301</v>
      </c>
      <c r="U5846">
        <v>0.28930660000000002</v>
      </c>
      <c r="V5846">
        <v>-7.0007280000000005E-2</v>
      </c>
      <c r="W5846">
        <v>3.2657360000000003E-2</v>
      </c>
      <c r="X5846">
        <v>0.9970118</v>
      </c>
      <c r="Y5846">
        <v>-0.1055743</v>
      </c>
      <c r="Z5846">
        <v>5.024298E-3</v>
      </c>
      <c r="AA5846">
        <v>0.99439869999999997</v>
      </c>
      <c r="AB5846">
        <v>24</v>
      </c>
      <c r="AC5846">
        <v>13.641299999999999</v>
      </c>
      <c r="AD5846">
        <v>-1.1105357476219999</v>
      </c>
      <c r="AE5846">
        <v>1.33239</v>
      </c>
      <c r="AF5846">
        <v>-1.4567152566332899</v>
      </c>
      <c r="AG5846">
        <v>-1.1105357476219999</v>
      </c>
      <c r="AH5846">
        <v>13.5386782466213</v>
      </c>
      <c r="AI5846">
        <v>94.662504936679298</v>
      </c>
      <c r="AJ5846">
        <v>96.141202770837396</v>
      </c>
      <c r="AK5846">
        <v>13.662031973728901</v>
      </c>
      <c r="AL5846">
        <v>88.128538396536101</v>
      </c>
      <c r="AM5846">
        <v>94.0165511701681</v>
      </c>
      <c r="AN5846">
        <v>1.0000000258771999</v>
      </c>
    </row>
    <row r="5847" spans="1:40" x14ac:dyDescent="0.25">
      <c r="A5847" t="str">
        <f>"20190312151650095"</f>
        <v>20190312151650095</v>
      </c>
      <c r="B5847" t="str">
        <f>"1552375010093955"</f>
        <v>1552375010093955</v>
      </c>
      <c r="C5847" t="s">
        <v>40</v>
      </c>
      <c r="D5847">
        <v>4.6932879999999999</v>
      </c>
      <c r="E5847">
        <v>0.48722929999999998</v>
      </c>
      <c r="F5847" t="s">
        <v>74</v>
      </c>
      <c r="G5847">
        <v>-254.6524</v>
      </c>
      <c r="H5847" s="1">
        <v>-1.5305340000000001E-6</v>
      </c>
      <c r="I5847">
        <v>-62.175879999999999</v>
      </c>
      <c r="J5847">
        <v>-268.6601</v>
      </c>
      <c r="K5847">
        <v>1.110501</v>
      </c>
      <c r="L5847">
        <v>-63.547089999999997</v>
      </c>
      <c r="M5847">
        <v>0.99990000000000001</v>
      </c>
      <c r="N5847">
        <v>0</v>
      </c>
      <c r="O5847">
        <v>-9.1100039999999997E-3</v>
      </c>
      <c r="P5847">
        <v>0.99790509999999999</v>
      </c>
      <c r="Q5847">
        <v>2.2073990000000002E-2</v>
      </c>
      <c r="R5847">
        <v>6.0813770000000003E-2</v>
      </c>
      <c r="S5847">
        <v>2.9938349999999998</v>
      </c>
      <c r="T5847">
        <v>-0.23533979999999999</v>
      </c>
      <c r="U5847">
        <v>0.2904968</v>
      </c>
      <c r="V5847">
        <v>-6.9972439999999997E-2</v>
      </c>
      <c r="W5847">
        <v>3.2708830000000001E-2</v>
      </c>
      <c r="X5847">
        <v>0.99701260000000003</v>
      </c>
      <c r="Y5847">
        <v>-0.10529230000000001</v>
      </c>
      <c r="Z5847">
        <v>4.8358689999999996E-3</v>
      </c>
      <c r="AA5847">
        <v>0.99442949999999997</v>
      </c>
      <c r="AB5847">
        <v>24</v>
      </c>
      <c r="AC5847">
        <v>14.0077</v>
      </c>
      <c r="AD5847">
        <v>-1.1105025305339999</v>
      </c>
      <c r="AE5847">
        <v>1.37120999999999</v>
      </c>
      <c r="AF5847">
        <v>-1.48949811615699</v>
      </c>
      <c r="AG5847">
        <v>-1.1105025305339999</v>
      </c>
      <c r="AH5847">
        <v>13.908043775991001</v>
      </c>
      <c r="AI5847">
        <v>94.539308893196093</v>
      </c>
      <c r="AJ5847">
        <v>96.112858510700306</v>
      </c>
      <c r="AK5847">
        <v>14.031589438949499</v>
      </c>
      <c r="AL5847">
        <v>88.125587884089001</v>
      </c>
      <c r="AM5847">
        <v>94.014555609869504</v>
      </c>
      <c r="AN5847">
        <v>1.00000006723913</v>
      </c>
    </row>
    <row r="5848" spans="1:40" x14ac:dyDescent="0.25">
      <c r="A5848" t="str">
        <f>"20190312151650104"</f>
        <v>20190312151650104</v>
      </c>
      <c r="B5848" t="str">
        <f>"1552375010093955"</f>
        <v>1552375010093955</v>
      </c>
      <c r="C5848" t="s">
        <v>40</v>
      </c>
      <c r="D5848">
        <v>4.6932879999999999</v>
      </c>
      <c r="E5848">
        <v>0.48722929999999998</v>
      </c>
      <c r="F5848" t="s">
        <v>74</v>
      </c>
      <c r="G5848">
        <v>-254.0428</v>
      </c>
      <c r="H5848" s="1">
        <v>-1.2583369999999901E-6</v>
      </c>
      <c r="I5848">
        <v>-62.127749999999999</v>
      </c>
      <c r="J5848">
        <v>-268.56369999999998</v>
      </c>
      <c r="K5848">
        <v>1.110468</v>
      </c>
      <c r="L5848">
        <v>-63.547330000000002</v>
      </c>
      <c r="M5848">
        <v>0.99990489999999999</v>
      </c>
      <c r="N5848">
        <v>0</v>
      </c>
      <c r="O5848">
        <v>-8.5672969999999998E-3</v>
      </c>
      <c r="P5848">
        <v>0.99787879999999995</v>
      </c>
      <c r="Q5848">
        <v>2.2328210000000001E-2</v>
      </c>
      <c r="R5848">
        <v>6.1148599999999997E-2</v>
      </c>
      <c r="S5848">
        <v>2.9936219999999998</v>
      </c>
      <c r="T5848">
        <v>-0.22743089999999999</v>
      </c>
      <c r="U5848">
        <v>0.29067989999999999</v>
      </c>
      <c r="V5848">
        <v>-6.9764110000000004E-2</v>
      </c>
      <c r="W5848">
        <v>3.2966670000000003E-2</v>
      </c>
      <c r="X5848">
        <v>0.99701859999999998</v>
      </c>
      <c r="Y5848">
        <v>-0.10484549999999999</v>
      </c>
      <c r="Z5848">
        <v>4.6161509999999998E-3</v>
      </c>
      <c r="AA5848">
        <v>0.99447779999999997</v>
      </c>
      <c r="AB5848">
        <v>24</v>
      </c>
      <c r="AC5848">
        <v>14.5208999999999</v>
      </c>
      <c r="AD5848">
        <v>-1.1104692583369999</v>
      </c>
      <c r="AE5848">
        <v>1.4195800000000001</v>
      </c>
      <c r="AF5848">
        <v>-1.53504766602456</v>
      </c>
      <c r="AG5848">
        <v>-1.1104692583369999</v>
      </c>
      <c r="AH5848">
        <v>14.424644013771699</v>
      </c>
      <c r="AI5848">
        <v>94.377564155530905</v>
      </c>
      <c r="AJ5848">
        <v>96.074463686655804</v>
      </c>
      <c r="AK5848">
        <v>14.548534917122</v>
      </c>
      <c r="AL5848">
        <v>88.110806568123905</v>
      </c>
      <c r="AM5848">
        <v>94.002617911674804</v>
      </c>
      <c r="AN5848">
        <v>0.99999996056046903</v>
      </c>
    </row>
    <row r="5849" spans="1:40" x14ac:dyDescent="0.25">
      <c r="A5849" t="str">
        <f>"20190312151650114"</f>
        <v>20190312151650114</v>
      </c>
      <c r="B5849" t="str">
        <f>"1552375010103715"</f>
        <v>1552375010103715</v>
      </c>
      <c r="C5849" t="s">
        <v>40</v>
      </c>
      <c r="D5849">
        <v>4.7047379999999999</v>
      </c>
      <c r="E5849">
        <v>0.48729519999999998</v>
      </c>
      <c r="F5849" t="s">
        <v>74</v>
      </c>
      <c r="G5849">
        <v>-253.9</v>
      </c>
      <c r="H5849" s="1">
        <v>-1.195131E-6</v>
      </c>
      <c r="I5849">
        <v>-62.1190199999999</v>
      </c>
      <c r="J5849">
        <v>-268.47399999999999</v>
      </c>
      <c r="K5849">
        <v>1.1104449999999999</v>
      </c>
      <c r="L5849">
        <v>-63.547580000000004</v>
      </c>
      <c r="M5849">
        <v>0.99990900000000005</v>
      </c>
      <c r="N5849">
        <v>0</v>
      </c>
      <c r="O5849">
        <v>-8.0642690000000006E-3</v>
      </c>
      <c r="P5849">
        <v>0.9978747</v>
      </c>
      <c r="Q5849">
        <v>2.2136119999999999E-2</v>
      </c>
      <c r="R5849">
        <v>6.1287340000000003E-2</v>
      </c>
      <c r="S5849">
        <v>2.993652</v>
      </c>
      <c r="T5849">
        <v>-0.2267063</v>
      </c>
      <c r="U5849">
        <v>0.29159550000000001</v>
      </c>
      <c r="V5849">
        <v>-6.9398940000000006E-2</v>
      </c>
      <c r="W5849">
        <v>3.27789E-2</v>
      </c>
      <c r="X5849">
        <v>0.99705029999999994</v>
      </c>
      <c r="Y5849">
        <v>-0.1046496</v>
      </c>
      <c r="Z5849">
        <v>4.5560219999999998E-3</v>
      </c>
      <c r="AA5849">
        <v>0.99449869999999996</v>
      </c>
      <c r="AB5849">
        <v>24</v>
      </c>
      <c r="AC5849">
        <v>14.5739999999999</v>
      </c>
      <c r="AD5849">
        <v>-1.1104461951310001</v>
      </c>
      <c r="AE5849">
        <v>1.42856000000001</v>
      </c>
      <c r="AF5849">
        <v>-1.5372097739292001</v>
      </c>
      <c r="AG5849">
        <v>-1.1104461951310001</v>
      </c>
      <c r="AH5849">
        <v>14.4787490479894</v>
      </c>
      <c r="AI5849">
        <v>94.361292219678504</v>
      </c>
      <c r="AJ5849">
        <v>96.060393776842304</v>
      </c>
      <c r="AK5849">
        <v>14.6024066042553</v>
      </c>
      <c r="AL5849">
        <v>88.1215708605054</v>
      </c>
      <c r="AM5849">
        <v>93.981608174571093</v>
      </c>
      <c r="AN5849">
        <v>0.99999998494421105</v>
      </c>
    </row>
    <row r="5850" spans="1:40" x14ac:dyDescent="0.25">
      <c r="A5850" t="str">
        <f>"20190312151650124"</f>
        <v>20190312151650124</v>
      </c>
      <c r="B5850" t="str">
        <f>"1552375010113475"</f>
        <v>1552375010113475</v>
      </c>
      <c r="C5850" t="s">
        <v>40</v>
      </c>
      <c r="D5850">
        <v>4.6955939999999998</v>
      </c>
      <c r="E5850">
        <v>0.48736550000000001</v>
      </c>
      <c r="F5850" t="s">
        <v>74</v>
      </c>
      <c r="G5850">
        <v>-253.857</v>
      </c>
      <c r="H5850" s="1">
        <v>-1.17787E-6</v>
      </c>
      <c r="I5850">
        <v>-62.12435</v>
      </c>
      <c r="J5850">
        <v>-268.35300000000001</v>
      </c>
      <c r="K5850">
        <v>1.110409</v>
      </c>
      <c r="L5850">
        <v>-63.547789999999999</v>
      </c>
      <c r="M5850">
        <v>0.99991410000000003</v>
      </c>
      <c r="N5850">
        <v>0</v>
      </c>
      <c r="O5850">
        <v>-7.4311669999999998E-3</v>
      </c>
      <c r="P5850">
        <v>0.99783069999999896</v>
      </c>
      <c r="Q5850">
        <v>2.2386690000000001E-2</v>
      </c>
      <c r="R5850">
        <v>6.1910439999999997E-2</v>
      </c>
      <c r="S5850">
        <v>2.9935299999999998</v>
      </c>
      <c r="T5850">
        <v>-0.22741700000000001</v>
      </c>
      <c r="U5850">
        <v>0.29147339999999999</v>
      </c>
      <c r="V5850">
        <v>-6.938743E-2</v>
      </c>
      <c r="W5850">
        <v>3.3033390000000003E-2</v>
      </c>
      <c r="X5850">
        <v>0.99704269999999995</v>
      </c>
      <c r="Y5850">
        <v>-0.1039853</v>
      </c>
      <c r="Z5850">
        <v>4.4973959999999999E-3</v>
      </c>
      <c r="AA5850">
        <v>0.99456860000000002</v>
      </c>
      <c r="AB5850">
        <v>24</v>
      </c>
      <c r="AC5850">
        <v>14.496</v>
      </c>
      <c r="AD5850">
        <v>-1.11041017787</v>
      </c>
      <c r="AE5850">
        <v>1.42343999999999</v>
      </c>
      <c r="AF5850">
        <v>-1.52228212576878</v>
      </c>
      <c r="AG5850">
        <v>-1.11041017787</v>
      </c>
      <c r="AH5850">
        <v>14.401325123384501</v>
      </c>
      <c r="AI5850">
        <v>94.384719507165201</v>
      </c>
      <c r="AJ5850">
        <v>96.034003925289198</v>
      </c>
      <c r="AK5850">
        <v>14.524066887169599</v>
      </c>
      <c r="AL5850">
        <v>88.106981752775297</v>
      </c>
      <c r="AM5850">
        <v>93.980980184998401</v>
      </c>
      <c r="AN5850">
        <v>0.99999998296009296</v>
      </c>
    </row>
    <row r="5851" spans="1:40" x14ac:dyDescent="0.25">
      <c r="A5851" t="str">
        <f>"20190312151650135"</f>
        <v>20190312151650135</v>
      </c>
      <c r="B5851" t="str">
        <f>"1552375010123235"</f>
        <v>1552375010123235</v>
      </c>
      <c r="C5851" t="s">
        <v>40</v>
      </c>
      <c r="D5851">
        <v>4.6724189999999997</v>
      </c>
      <c r="E5851">
        <v>0.48743700000000001</v>
      </c>
      <c r="F5851" t="s">
        <v>74</v>
      </c>
      <c r="G5851">
        <v>-253.637</v>
      </c>
      <c r="H5851" s="1">
        <v>-1.0800039999999999E-6</v>
      </c>
      <c r="I5851">
        <v>-62.108719999999998</v>
      </c>
      <c r="J5851">
        <v>-268.23590000000002</v>
      </c>
      <c r="K5851">
        <v>1.1103799999999999</v>
      </c>
      <c r="L5851">
        <v>-63.548000000000002</v>
      </c>
      <c r="M5851">
        <v>0.99991830000000004</v>
      </c>
      <c r="N5851">
        <v>0</v>
      </c>
      <c r="O5851">
        <v>-6.8298839999999996E-3</v>
      </c>
      <c r="P5851">
        <v>0.99780740000000001</v>
      </c>
      <c r="Q5851">
        <v>2.268715E-2</v>
      </c>
      <c r="R5851">
        <v>6.2178419999999998E-2</v>
      </c>
      <c r="S5851">
        <v>2.9934080000000001</v>
      </c>
      <c r="T5851">
        <v>-0.2258703</v>
      </c>
      <c r="U5851">
        <v>0.292724599999999</v>
      </c>
      <c r="V5851">
        <v>-6.9053929999999999E-2</v>
      </c>
      <c r="W5851">
        <v>3.333887E-2</v>
      </c>
      <c r="X5851">
        <v>0.99705569999999999</v>
      </c>
      <c r="Y5851">
        <v>-0.1038095</v>
      </c>
      <c r="Z5851">
        <v>4.4151670000000002E-3</v>
      </c>
      <c r="AA5851">
        <v>0.99458740000000001</v>
      </c>
      <c r="AB5851">
        <v>24</v>
      </c>
      <c r="AC5851">
        <v>14.5989</v>
      </c>
      <c r="AD5851">
        <v>-1.1103810800039999</v>
      </c>
      <c r="AE5851">
        <v>1.4392799999999999</v>
      </c>
      <c r="AF5851">
        <v>-1.5301940701891601</v>
      </c>
      <c r="AG5851">
        <v>-1.1103810800039999</v>
      </c>
      <c r="AH5851">
        <v>14.5056214290244</v>
      </c>
      <c r="AI5851">
        <v>94.353298273876007</v>
      </c>
      <c r="AJ5851">
        <v>96.021844945732795</v>
      </c>
      <c r="AK5851">
        <v>14.6283113542694</v>
      </c>
      <c r="AL5851">
        <v>88.089469418895703</v>
      </c>
      <c r="AM5851">
        <v>93.961855804922294</v>
      </c>
      <c r="AN5851">
        <v>0.99999999720190502</v>
      </c>
    </row>
    <row r="5852" spans="1:40" x14ac:dyDescent="0.25">
      <c r="A5852" t="str">
        <f>"20190312151650146"</f>
        <v>20190312151650146</v>
      </c>
      <c r="B5852" t="str">
        <f>"1552375010143731"</f>
        <v>1552375010143731</v>
      </c>
      <c r="C5852" t="s">
        <v>40</v>
      </c>
      <c r="D5852">
        <v>4.8940939999999999</v>
      </c>
      <c r="E5852">
        <v>0.48760340000000002</v>
      </c>
      <c r="F5852" t="s">
        <v>74</v>
      </c>
      <c r="G5852">
        <v>-253.45689999999999</v>
      </c>
      <c r="H5852" s="1">
        <v>-1.0010400000000001E-6</v>
      </c>
      <c r="I5852">
        <v>-62.100990000000003</v>
      </c>
      <c r="J5852">
        <v>-268.11270000000002</v>
      </c>
      <c r="K5852">
        <v>1.1103459999999901</v>
      </c>
      <c r="L5852">
        <v>-63.548160000000003</v>
      </c>
      <c r="M5852">
        <v>0.99992230000000004</v>
      </c>
      <c r="N5852">
        <v>0</v>
      </c>
      <c r="O5852">
        <v>-6.2332719999999998E-3</v>
      </c>
      <c r="P5852">
        <v>0.99777780000000005</v>
      </c>
      <c r="Q5852">
        <v>2.2803239999999999E-2</v>
      </c>
      <c r="R5852">
        <v>6.2608469999999999E-2</v>
      </c>
      <c r="S5852">
        <v>2.9934690000000002</v>
      </c>
      <c r="T5852">
        <v>-0.2249061</v>
      </c>
      <c r="U5852">
        <v>0.29309079999999998</v>
      </c>
      <c r="V5852">
        <v>-6.8885810000000006E-2</v>
      </c>
      <c r="W5852">
        <v>3.3459450000000002E-2</v>
      </c>
      <c r="X5852">
        <v>0.99706329999999999</v>
      </c>
      <c r="Y5852">
        <v>-0.1033403</v>
      </c>
      <c r="Z5852">
        <v>4.3340330000000002E-3</v>
      </c>
      <c r="AA5852">
        <v>0.99463659999999998</v>
      </c>
      <c r="AB5852">
        <v>24</v>
      </c>
      <c r="AC5852">
        <v>14.655799999999999</v>
      </c>
      <c r="AD5852">
        <v>-1.1103470010399901</v>
      </c>
      <c r="AE5852">
        <v>1.4471699999999901</v>
      </c>
      <c r="AF5852">
        <v>-1.5298047767387599</v>
      </c>
      <c r="AG5852">
        <v>-1.1103470010399901</v>
      </c>
      <c r="AH5852">
        <v>14.5637082235113</v>
      </c>
      <c r="AI5852">
        <v>94.336070319793393</v>
      </c>
      <c r="AJ5852">
        <v>95.996487663469793</v>
      </c>
      <c r="AK5852">
        <v>14.685869750791801</v>
      </c>
      <c r="AL5852">
        <v>88.082556855819007</v>
      </c>
      <c r="AM5852">
        <v>93.952210771131803</v>
      </c>
      <c r="AN5852">
        <v>1.0000000069102699</v>
      </c>
    </row>
    <row r="5853" spans="1:40" x14ac:dyDescent="0.25">
      <c r="A5853" t="str">
        <f>"20190312151650158"</f>
        <v>20190312151650158</v>
      </c>
      <c r="B5853" t="str">
        <f>"1552375010153491"</f>
        <v>1552375010153491</v>
      </c>
      <c r="C5853" t="s">
        <v>40</v>
      </c>
      <c r="D5853">
        <v>4.8811419999999996</v>
      </c>
      <c r="E5853">
        <v>0.4877339</v>
      </c>
      <c r="F5853" t="s">
        <v>74</v>
      </c>
      <c r="G5853">
        <v>-253.0205</v>
      </c>
      <c r="H5853" s="1">
        <v>-8.0717310000000002E-7</v>
      </c>
      <c r="I5853">
        <v>-62.071019999999997</v>
      </c>
      <c r="J5853">
        <v>-267.99590000000001</v>
      </c>
      <c r="K5853">
        <v>1.110311</v>
      </c>
      <c r="L5853">
        <v>-63.548310000000001</v>
      </c>
      <c r="M5853">
        <v>0.99992550000000002</v>
      </c>
      <c r="N5853">
        <v>0</v>
      </c>
      <c r="O5853">
        <v>-5.6881369999999898E-3</v>
      </c>
      <c r="P5853">
        <v>0.99773840000000003</v>
      </c>
      <c r="Q5853">
        <v>2.288331E-2</v>
      </c>
      <c r="R5853">
        <v>6.3201179999999996E-2</v>
      </c>
      <c r="S5853">
        <v>2.9933169999999998</v>
      </c>
      <c r="T5853">
        <v>-0.22022149999999999</v>
      </c>
      <c r="U5853">
        <v>0.29296879999999997</v>
      </c>
      <c r="V5853">
        <v>-6.8931740000000005E-2</v>
      </c>
      <c r="W5853">
        <v>3.3544270000000001E-2</v>
      </c>
      <c r="X5853">
        <v>0.99705730000000004</v>
      </c>
      <c r="Y5853">
        <v>-0.1027783</v>
      </c>
      <c r="Z5853">
        <v>4.1836659999999999E-3</v>
      </c>
      <c r="AA5853">
        <v>0.99469549999999995</v>
      </c>
      <c r="AB5853">
        <v>24</v>
      </c>
      <c r="AC5853">
        <v>14.9754</v>
      </c>
      <c r="AD5853">
        <v>-1.1103118071731</v>
      </c>
      <c r="AE5853">
        <v>1.47729</v>
      </c>
      <c r="AF5853">
        <v>-1.55399307807381</v>
      </c>
      <c r="AG5853">
        <v>-1.1103118071731</v>
      </c>
      <c r="AH5853">
        <v>14.8857146627363</v>
      </c>
      <c r="AI5853">
        <v>94.242768544394593</v>
      </c>
      <c r="AJ5853">
        <v>95.959800650653804</v>
      </c>
      <c r="AK5853">
        <v>15.007737598194201</v>
      </c>
      <c r="AL5853">
        <v>88.077694344886893</v>
      </c>
      <c r="AM5853">
        <v>93.954861294060905</v>
      </c>
      <c r="AN5853">
        <v>1.00000003115627</v>
      </c>
    </row>
    <row r="5854" spans="1:40" x14ac:dyDescent="0.25">
      <c r="A5854" t="str">
        <f>"20190312151650169"</f>
        <v>20190312151650169</v>
      </c>
      <c r="B5854" t="str">
        <f>"1552375010163251"</f>
        <v>1552375010163251</v>
      </c>
      <c r="C5854" t="s">
        <v>40</v>
      </c>
      <c r="D5854">
        <v>4.6953579999999997</v>
      </c>
      <c r="E5854">
        <v>0.48786289999999999</v>
      </c>
      <c r="F5854" t="s">
        <v>74</v>
      </c>
      <c r="G5854">
        <v>-252.74160000000001</v>
      </c>
      <c r="H5854" s="1">
        <v>-6.8314719999999998E-7</v>
      </c>
      <c r="I5854">
        <v>-62.051479999999998</v>
      </c>
      <c r="J5854">
        <v>-267.8723</v>
      </c>
      <c r="K5854">
        <v>1.1102780000000001</v>
      </c>
      <c r="L5854">
        <v>-63.548369999999998</v>
      </c>
      <c r="M5854">
        <v>0.9999285</v>
      </c>
      <c r="N5854">
        <v>0</v>
      </c>
      <c r="O5854">
        <v>-5.1381329999999996E-3</v>
      </c>
      <c r="P5854">
        <v>0.9977125</v>
      </c>
      <c r="Q5854">
        <v>2.2920300000000001E-2</v>
      </c>
      <c r="R5854">
        <v>6.3596689999999997E-2</v>
      </c>
      <c r="S5854">
        <v>2.993134</v>
      </c>
      <c r="T5854">
        <v>-0.21786030000000001</v>
      </c>
      <c r="U5854">
        <v>0.2937012</v>
      </c>
      <c r="V5854">
        <v>-6.8776180000000006E-2</v>
      </c>
      <c r="W5854">
        <v>3.3585740000000003E-2</v>
      </c>
      <c r="X5854">
        <v>0.99706660000000003</v>
      </c>
      <c r="Y5854">
        <v>-0.10248649999999999</v>
      </c>
      <c r="Z5854">
        <v>4.08866E-3</v>
      </c>
      <c r="AA5854">
        <v>0.994726</v>
      </c>
      <c r="AB5854">
        <v>24</v>
      </c>
      <c r="AC5854">
        <v>15.1306999999999</v>
      </c>
      <c r="AD5854">
        <v>-1.11027868314719</v>
      </c>
      <c r="AE5854">
        <v>1.4968899999999901</v>
      </c>
      <c r="AF5854">
        <v>-1.5662664883958599</v>
      </c>
      <c r="AG5854">
        <v>-1.11027868314719</v>
      </c>
      <c r="AH5854">
        <v>15.0425966645837</v>
      </c>
      <c r="AI5854">
        <v>94.198671919988797</v>
      </c>
      <c r="AJ5854">
        <v>95.944335968656802</v>
      </c>
      <c r="AK5854">
        <v>15.1646174986469</v>
      </c>
      <c r="AL5854">
        <v>88.075316860252499</v>
      </c>
      <c r="AM5854">
        <v>93.945927795892501</v>
      </c>
      <c r="AN5854">
        <v>0.99999998485114905</v>
      </c>
    </row>
    <row r="5855" spans="1:40" x14ac:dyDescent="0.25">
      <c r="A5855" t="str">
        <f>"20190312151650179"</f>
        <v>20190312151650179</v>
      </c>
      <c r="B5855" t="str">
        <f>"1552375010173987"</f>
        <v>1552375010173987</v>
      </c>
      <c r="C5855" t="s">
        <v>40</v>
      </c>
      <c r="D5855">
        <v>4.7358019999999996</v>
      </c>
      <c r="E5855">
        <v>0.48797259999999998</v>
      </c>
      <c r="F5855" t="s">
        <v>74</v>
      </c>
      <c r="G5855">
        <v>-252.5061</v>
      </c>
      <c r="H5855" s="1">
        <v>-5.7958309999999897E-7</v>
      </c>
      <c r="I5855">
        <v>-62.040080000000003</v>
      </c>
      <c r="J5855">
        <v>-267.75459999999998</v>
      </c>
      <c r="K5855">
        <v>1.1102459999999901</v>
      </c>
      <c r="L5855">
        <v>-63.548400000000001</v>
      </c>
      <c r="M5855">
        <v>0.99993089999999996</v>
      </c>
      <c r="N5855">
        <v>0</v>
      </c>
      <c r="O5855">
        <v>-4.6449719999999998E-3</v>
      </c>
      <c r="P5855">
        <v>0.99767519999999998</v>
      </c>
      <c r="Q5855">
        <v>2.2797370000000001E-2</v>
      </c>
      <c r="R5855">
        <v>6.4223160000000001E-2</v>
      </c>
      <c r="S5855">
        <v>2.993134</v>
      </c>
      <c r="T5855">
        <v>-0.21626690000000001</v>
      </c>
      <c r="U5855">
        <v>0.29379270000000002</v>
      </c>
      <c r="V5855">
        <v>-6.8907659999999996E-2</v>
      </c>
      <c r="W5855">
        <v>3.3467070000000002E-2</v>
      </c>
      <c r="X5855">
        <v>0.99706159999999999</v>
      </c>
      <c r="Y5855">
        <v>-0.1020326</v>
      </c>
      <c r="Z5855">
        <v>4.0069800000000003E-3</v>
      </c>
      <c r="AA5855">
        <v>0.99477300000000002</v>
      </c>
      <c r="AB5855">
        <v>24</v>
      </c>
      <c r="AC5855">
        <v>15.2484999999999</v>
      </c>
      <c r="AD5855">
        <v>-1.11024657958309</v>
      </c>
      <c r="AE5855">
        <v>1.5083199999999899</v>
      </c>
      <c r="AF5855">
        <v>-1.57088960471816</v>
      </c>
      <c r="AG5855">
        <v>-1.11024657958309</v>
      </c>
      <c r="AH5855">
        <v>15.161730489160901</v>
      </c>
      <c r="AI5855">
        <v>94.165896200250799</v>
      </c>
      <c r="AJ5855">
        <v>95.915244311501695</v>
      </c>
      <c r="AK5855">
        <v>15.2832723277327</v>
      </c>
      <c r="AL5855">
        <v>88.082120142763102</v>
      </c>
      <c r="AM5855">
        <v>93.953467123845897</v>
      </c>
      <c r="AN5855">
        <v>1.0000000722878</v>
      </c>
    </row>
    <row r="5856" spans="1:40" x14ac:dyDescent="0.25">
      <c r="A5856" t="str">
        <f>"20190312151650190"</f>
        <v>20190312151650190</v>
      </c>
      <c r="B5856" t="str">
        <f>"1552375010183747"</f>
        <v>1552375010183747</v>
      </c>
      <c r="C5856" t="s">
        <v>40</v>
      </c>
      <c r="D5856">
        <v>4.6587909999999999</v>
      </c>
      <c r="E5856">
        <v>0.48805150000000003</v>
      </c>
      <c r="F5856" t="s">
        <v>74</v>
      </c>
      <c r="G5856">
        <v>-252.5128</v>
      </c>
      <c r="H5856" s="1">
        <v>-5.840384E-7</v>
      </c>
      <c r="I5856">
        <v>-62.047139999999999</v>
      </c>
      <c r="J5856">
        <v>-267.6397</v>
      </c>
      <c r="K5856">
        <v>1.110214</v>
      </c>
      <c r="L5856">
        <v>-63.548400000000001</v>
      </c>
      <c r="M5856">
        <v>0.99993290000000001</v>
      </c>
      <c r="N5856">
        <v>0</v>
      </c>
      <c r="O5856">
        <v>-4.1788629999999997E-3</v>
      </c>
      <c r="P5856">
        <v>0.99764750000000002</v>
      </c>
      <c r="Q5856">
        <v>2.2768920000000002E-2</v>
      </c>
      <c r="R5856">
        <v>6.4661670000000004E-2</v>
      </c>
      <c r="S5856">
        <v>2.9930110000000001</v>
      </c>
      <c r="T5856">
        <v>-0.21801719999999999</v>
      </c>
      <c r="U5856">
        <v>0.2947998</v>
      </c>
      <c r="V5856">
        <v>-6.8879209999999996E-2</v>
      </c>
      <c r="W5856">
        <v>3.3443229999999997E-2</v>
      </c>
      <c r="X5856">
        <v>0.99706430000000001</v>
      </c>
      <c r="Y5856">
        <v>-0.10190150000000001</v>
      </c>
      <c r="Z5856">
        <v>4.0008329999999996E-3</v>
      </c>
      <c r="AA5856">
        <v>0.99478639999999996</v>
      </c>
      <c r="AB5856">
        <v>24</v>
      </c>
      <c r="AC5856">
        <v>15.126899999999999</v>
      </c>
      <c r="AD5856">
        <v>-1.1102145840383999</v>
      </c>
      <c r="AE5856">
        <v>1.50126</v>
      </c>
      <c r="AF5856">
        <v>-1.5561631655274499</v>
      </c>
      <c r="AG5856">
        <v>-1.1102145840383999</v>
      </c>
      <c r="AH5856">
        <v>15.040268384950201</v>
      </c>
      <c r="AI5856">
        <v>94.199359696262803</v>
      </c>
      <c r="AJ5856">
        <v>95.907171345078197</v>
      </c>
      <c r="AK5856">
        <v>15.161262919417</v>
      </c>
      <c r="AL5856">
        <v>88.0834867134825</v>
      </c>
      <c r="AM5856">
        <v>93.951829355844694</v>
      </c>
      <c r="AN5856">
        <v>1.00000000676877</v>
      </c>
    </row>
    <row r="5857" spans="1:40" x14ac:dyDescent="0.25">
      <c r="A5857" t="str">
        <f>"20190312151650202"</f>
        <v>20190312151650202</v>
      </c>
      <c r="B5857" t="str">
        <f>"1552375010193507"</f>
        <v>1552375010193507</v>
      </c>
      <c r="C5857" t="s">
        <v>40</v>
      </c>
      <c r="D5857">
        <v>4.7043460000000001</v>
      </c>
      <c r="E5857">
        <v>0.4881317</v>
      </c>
      <c r="F5857" t="s">
        <v>74</v>
      </c>
      <c r="G5857">
        <v>-252.4068</v>
      </c>
      <c r="H5857" s="1">
        <v>-5.3801689999999997E-7</v>
      </c>
      <c r="I5857">
        <v>-62.044539999999998</v>
      </c>
      <c r="J5857">
        <v>-267.5154</v>
      </c>
      <c r="K5857">
        <v>1.110179</v>
      </c>
      <c r="L5857">
        <v>-63.548400000000001</v>
      </c>
      <c r="M5857">
        <v>0.99993480000000001</v>
      </c>
      <c r="N5857">
        <v>0</v>
      </c>
      <c r="O5857">
        <v>-3.7142120000000002E-3</v>
      </c>
      <c r="P5857">
        <v>0.9976254</v>
      </c>
      <c r="Q5857">
        <v>2.2583329999999999E-2</v>
      </c>
      <c r="R5857">
        <v>6.5065919999999999E-2</v>
      </c>
      <c r="S5857">
        <v>2.9928889999999999</v>
      </c>
      <c r="T5857">
        <v>-0.21812989999999999</v>
      </c>
      <c r="U5857">
        <v>0.29547119999999999</v>
      </c>
      <c r="V5857">
        <v>-6.8816379999999996E-2</v>
      </c>
      <c r="W5857">
        <v>3.3262140000000003E-2</v>
      </c>
      <c r="X5857">
        <v>0.99707469999999998</v>
      </c>
      <c r="Y5857">
        <v>-0.1016657</v>
      </c>
      <c r="Z5857">
        <v>3.9607109999999996E-3</v>
      </c>
      <c r="AA5857">
        <v>0.9948108</v>
      </c>
      <c r="AB5857">
        <v>24</v>
      </c>
      <c r="AC5857">
        <v>15.1085999999999</v>
      </c>
      <c r="AD5857">
        <v>-1.1101795380168999</v>
      </c>
      <c r="AE5857">
        <v>1.50385999999999</v>
      </c>
      <c r="AF5857">
        <v>-1.55167366980439</v>
      </c>
      <c r="AG5857">
        <v>-1.1101795380168999</v>
      </c>
      <c r="AH5857">
        <v>15.0225939354487</v>
      </c>
      <c r="AI5857">
        <v>94.204226292210294</v>
      </c>
      <c r="AJ5857">
        <v>95.897130494209406</v>
      </c>
      <c r="AK5857">
        <v>15.143266435402101</v>
      </c>
      <c r="AL5857">
        <v>88.093868189511795</v>
      </c>
      <c r="AM5857">
        <v>93.948194943856393</v>
      </c>
      <c r="AN5857">
        <v>1.0000000107468801</v>
      </c>
    </row>
    <row r="5858" spans="1:40" x14ac:dyDescent="0.25">
      <c r="A5858" t="str">
        <f>"20190312151650214"</f>
        <v>20190312151650214</v>
      </c>
      <c r="B5858" t="str">
        <f>"1552375010203267"</f>
        <v>1552375010203267</v>
      </c>
      <c r="C5858" t="s">
        <v>40</v>
      </c>
      <c r="D5858">
        <v>4.6389009999999997</v>
      </c>
      <c r="E5858">
        <v>0.48820629999999998</v>
      </c>
      <c r="F5858" t="s">
        <v>74</v>
      </c>
      <c r="G5858">
        <v>-252.38560000000001</v>
      </c>
      <c r="H5858" s="1">
        <v>-5.3038869999999896E-7</v>
      </c>
      <c r="I5858">
        <v>-62.051270000000002</v>
      </c>
      <c r="J5858">
        <v>-267.3963</v>
      </c>
      <c r="K5858">
        <v>1.110147</v>
      </c>
      <c r="L5858">
        <v>-63.548340000000003</v>
      </c>
      <c r="M5858">
        <v>0.99993639999999995</v>
      </c>
      <c r="N5858">
        <v>0</v>
      </c>
      <c r="O5858">
        <v>-3.2797080000000001E-3</v>
      </c>
      <c r="P5858">
        <v>0.9975929</v>
      </c>
      <c r="Q5858">
        <v>2.2610640000000001E-2</v>
      </c>
      <c r="R5858">
        <v>6.5553780000000006E-2</v>
      </c>
      <c r="S5858">
        <v>2.9927670000000002</v>
      </c>
      <c r="T5858">
        <v>-0.21960089999999999</v>
      </c>
      <c r="U5858">
        <v>0.29614259999999998</v>
      </c>
      <c r="V5858">
        <v>-6.8868120000000005E-2</v>
      </c>
      <c r="W5858">
        <v>3.3293589999999998E-2</v>
      </c>
      <c r="X5858">
        <v>0.99707009999999996</v>
      </c>
      <c r="Y5858">
        <v>-0.1014564</v>
      </c>
      <c r="Z5858">
        <v>3.9480499999999998E-3</v>
      </c>
      <c r="AA5858">
        <v>0.99483220000000006</v>
      </c>
      <c r="AB5858">
        <v>24</v>
      </c>
      <c r="AC5858">
        <v>15.0106999999999</v>
      </c>
      <c r="AD5858">
        <v>-1.1101475303886901</v>
      </c>
      <c r="AE5858">
        <v>1.4970699999999999</v>
      </c>
      <c r="AF5858">
        <v>-1.5379662399103899</v>
      </c>
      <c r="AG5858">
        <v>-1.1101475303886901</v>
      </c>
      <c r="AH5858">
        <v>14.9248791583555</v>
      </c>
      <c r="AI5858">
        <v>94.231634821384802</v>
      </c>
      <c r="AJ5858">
        <v>95.883400628380002</v>
      </c>
      <c r="AK5858">
        <v>15.044925575949</v>
      </c>
      <c r="AL5858">
        <v>88.092065280582204</v>
      </c>
      <c r="AM5858">
        <v>93.951172189693096</v>
      </c>
      <c r="AN5858">
        <v>1.0000000327007099</v>
      </c>
    </row>
    <row r="5859" spans="1:40" x14ac:dyDescent="0.25">
      <c r="A5859" t="str">
        <f>"20190312151650224"</f>
        <v>20190312151650224</v>
      </c>
      <c r="B5859" t="str">
        <f>"1552375010214003"</f>
        <v>1552375010214003</v>
      </c>
      <c r="C5859" t="s">
        <v>40</v>
      </c>
      <c r="D5859">
        <v>4.6748070000000004</v>
      </c>
      <c r="E5859">
        <v>0.4882629</v>
      </c>
      <c r="F5859" t="s">
        <v>74</v>
      </c>
      <c r="G5859">
        <v>-252.2655</v>
      </c>
      <c r="H5859" s="1">
        <v>-4.7764980000000001E-7</v>
      </c>
      <c r="I5859">
        <v>-62.0458</v>
      </c>
      <c r="J5859">
        <v>-267.26990000000001</v>
      </c>
      <c r="K5859">
        <v>1.110115</v>
      </c>
      <c r="L5859">
        <v>-63.548250000000003</v>
      </c>
      <c r="M5859">
        <v>0.99993759999999998</v>
      </c>
      <c r="N5859">
        <v>0</v>
      </c>
      <c r="O5859">
        <v>-2.8647719999999998E-3</v>
      </c>
      <c r="P5859">
        <v>0.99756679999999998</v>
      </c>
      <c r="Q5859">
        <v>2.244983E-2</v>
      </c>
      <c r="R5859">
        <v>6.6005220000000003E-2</v>
      </c>
      <c r="S5859">
        <v>2.992645</v>
      </c>
      <c r="T5859">
        <v>-0.21957080000000001</v>
      </c>
      <c r="U5859">
        <v>0.29718020000000001</v>
      </c>
      <c r="V5859">
        <v>-6.8903190000000003E-2</v>
      </c>
      <c r="W5859">
        <v>3.3137760000000002E-2</v>
      </c>
      <c r="X5859">
        <v>0.99707279999999998</v>
      </c>
      <c r="Y5859">
        <v>-0.10139049999999999</v>
      </c>
      <c r="Z5859">
        <v>3.91486E-3</v>
      </c>
      <c r="AA5859">
        <v>0.99483900000000003</v>
      </c>
      <c r="AB5859">
        <v>24</v>
      </c>
      <c r="AC5859">
        <v>15.0044</v>
      </c>
      <c r="AD5859">
        <v>-1.1101154776497999</v>
      </c>
      <c r="AE5859">
        <v>1.5024500000000001</v>
      </c>
      <c r="AF5859">
        <v>-1.5371000782573101</v>
      </c>
      <c r="AG5859">
        <v>-1.1101154776497999</v>
      </c>
      <c r="AH5859">
        <v>14.9191782192577</v>
      </c>
      <c r="AI5859">
        <v>94.233132195876493</v>
      </c>
      <c r="AJ5859">
        <v>95.882341564473805</v>
      </c>
      <c r="AK5859">
        <v>15.0391792250199</v>
      </c>
      <c r="AL5859">
        <v>88.100998481625297</v>
      </c>
      <c r="AM5859">
        <v>93.953167212734996</v>
      </c>
      <c r="AN5859">
        <v>0.99999996461491603</v>
      </c>
    </row>
    <row r="5860" spans="1:40" x14ac:dyDescent="0.25">
      <c r="A5860" t="str">
        <f>"20190312151650236"</f>
        <v>20190312151650236</v>
      </c>
      <c r="B5860" t="str">
        <f>"1552375010223763"</f>
        <v>1552375010223763</v>
      </c>
      <c r="C5860" t="s">
        <v>40</v>
      </c>
      <c r="D5860">
        <v>4.9024910000000004</v>
      </c>
      <c r="E5860">
        <v>0.48828719999999998</v>
      </c>
      <c r="F5860" t="s">
        <v>74</v>
      </c>
      <c r="G5860">
        <v>-252.22659999999999</v>
      </c>
      <c r="H5860" s="1">
        <v>-4.6181809999999998E-7</v>
      </c>
      <c r="I5860">
        <v>-62.049590000000002</v>
      </c>
      <c r="J5860">
        <v>-267.15010000000001</v>
      </c>
      <c r="K5860">
        <v>1.1100840000000001</v>
      </c>
      <c r="L5860">
        <v>-63.548160000000003</v>
      </c>
      <c r="M5860">
        <v>0.99993860000000001</v>
      </c>
      <c r="N5860">
        <v>0</v>
      </c>
      <c r="O5860">
        <v>-2.482475E-3</v>
      </c>
      <c r="P5860">
        <v>0.99753800000000004</v>
      </c>
      <c r="Q5860">
        <v>2.2313099999999999E-2</v>
      </c>
      <c r="R5860">
        <v>6.6484150000000006E-2</v>
      </c>
      <c r="S5860">
        <v>2.9925540000000002</v>
      </c>
      <c r="T5860">
        <v>-0.2208349</v>
      </c>
      <c r="U5860">
        <v>0.29812620000000001</v>
      </c>
      <c r="V5860">
        <v>-6.8998110000000001E-2</v>
      </c>
      <c r="W5860">
        <v>3.3005739999999999E-2</v>
      </c>
      <c r="X5860">
        <v>0.99707069999999998</v>
      </c>
      <c r="Y5860">
        <v>-0.1013226</v>
      </c>
      <c r="Z5860">
        <v>3.9067930000000004E-3</v>
      </c>
      <c r="AA5860">
        <v>0.99484600000000001</v>
      </c>
      <c r="AB5860">
        <v>24</v>
      </c>
      <c r="AC5860">
        <v>14.923500000000001</v>
      </c>
      <c r="AD5860">
        <v>-1.1100844618181001</v>
      </c>
      <c r="AE5860">
        <v>1.49856999999999</v>
      </c>
      <c r="AF5860">
        <v>-1.52724865668376</v>
      </c>
      <c r="AG5860">
        <v>-1.1100844618181001</v>
      </c>
      <c r="AH5860">
        <v>14.838450219485701</v>
      </c>
      <c r="AI5860">
        <v>94.256004183028693</v>
      </c>
      <c r="AJ5860">
        <v>95.876479942435694</v>
      </c>
      <c r="AK5860">
        <v>14.9580874742684</v>
      </c>
      <c r="AL5860">
        <v>88.108566971212596</v>
      </c>
      <c r="AM5860">
        <v>93.958604045454805</v>
      </c>
      <c r="AN5860">
        <v>1.0000000494275001</v>
      </c>
    </row>
    <row r="5861" spans="1:40" x14ac:dyDescent="0.25">
      <c r="A5861" t="str">
        <f>"20190312151650247"</f>
        <v>20190312151650247</v>
      </c>
      <c r="B5861" t="str">
        <f>"1552375010243283"</f>
        <v>1552375010243283</v>
      </c>
      <c r="C5861" t="s">
        <v>40</v>
      </c>
      <c r="D5861">
        <v>4.6725339999999997</v>
      </c>
      <c r="E5861">
        <v>0.4884464</v>
      </c>
      <c r="F5861" t="s">
        <v>74</v>
      </c>
      <c r="G5861">
        <v>-252.02770000000001</v>
      </c>
      <c r="H5861" s="1">
        <v>-3.7330399999999999E-7</v>
      </c>
      <c r="I5861">
        <v>-62.035209999999999</v>
      </c>
      <c r="J5861">
        <v>-267.02820000000003</v>
      </c>
      <c r="K5861">
        <v>1.1100540000000001</v>
      </c>
      <c r="L5861">
        <v>-63.548029999999997</v>
      </c>
      <c r="M5861">
        <v>0.99993960000000004</v>
      </c>
      <c r="N5861">
        <v>0</v>
      </c>
      <c r="O5861">
        <v>-2.1217409999999999E-3</v>
      </c>
      <c r="P5861">
        <v>0.99749370000000004</v>
      </c>
      <c r="Q5861">
        <v>2.2054589999999999E-2</v>
      </c>
      <c r="R5861">
        <v>6.7231840000000001E-2</v>
      </c>
      <c r="S5861">
        <v>2.9923709999999999</v>
      </c>
      <c r="T5861">
        <v>-0.21966050000000001</v>
      </c>
      <c r="U5861">
        <v>0.29937740000000002</v>
      </c>
      <c r="V5861">
        <v>-6.9382830000000006E-2</v>
      </c>
      <c r="W5861">
        <v>3.2750769999999998E-2</v>
      </c>
      <c r="X5861">
        <v>0.99705239999999995</v>
      </c>
      <c r="Y5861">
        <v>-0.1013853</v>
      </c>
      <c r="Z5861">
        <v>3.8621409999999999E-3</v>
      </c>
      <c r="AA5861">
        <v>0.99483969999999999</v>
      </c>
      <c r="AB5861">
        <v>24</v>
      </c>
      <c r="AC5861">
        <v>15.000500000000001</v>
      </c>
      <c r="AD5861">
        <v>-1.110054373304</v>
      </c>
      <c r="AE5861">
        <v>1.5128200000000001</v>
      </c>
      <c r="AF5861">
        <v>-1.5363171931295401</v>
      </c>
      <c r="AG5861">
        <v>-1.110054373304</v>
      </c>
      <c r="AH5861">
        <v>14.9163939516187</v>
      </c>
      <c r="AI5861">
        <v>94.233701568747804</v>
      </c>
      <c r="AJ5861">
        <v>95.880456269629505</v>
      </c>
      <c r="AK5861">
        <v>15.0363326562524</v>
      </c>
      <c r="AL5861">
        <v>88.123183558474594</v>
      </c>
      <c r="AM5861">
        <v>93.980678514079798</v>
      </c>
      <c r="AN5861">
        <v>1.0000000391900801</v>
      </c>
    </row>
    <row r="5862" spans="1:40" x14ac:dyDescent="0.25">
      <c r="A5862" t="str">
        <f>"20190312151650259"</f>
        <v>20190312151650259</v>
      </c>
      <c r="B5862" t="str">
        <f>"1552375010254019"</f>
        <v>1552375010254019</v>
      </c>
      <c r="C5862" t="s">
        <v>40</v>
      </c>
      <c r="D5862">
        <v>4.9901439999999999</v>
      </c>
      <c r="E5862">
        <v>0.48850690000000002</v>
      </c>
      <c r="F5862" t="s">
        <v>74</v>
      </c>
      <c r="G5862">
        <v>-251.84450000000001</v>
      </c>
      <c r="H5862" s="1">
        <v>-2.9230019999999997E-7</v>
      </c>
      <c r="I5862">
        <v>-62.024509999999999</v>
      </c>
      <c r="J5862">
        <v>-266.90170000000001</v>
      </c>
      <c r="K5862">
        <v>1.110025</v>
      </c>
      <c r="L5862">
        <v>-63.547879999999999</v>
      </c>
      <c r="M5862">
        <v>0.99994019999999995</v>
      </c>
      <c r="N5862">
        <v>0</v>
      </c>
      <c r="O5862">
        <v>-1.766964E-3</v>
      </c>
      <c r="P5862">
        <v>0.99743959999999998</v>
      </c>
      <c r="Q5862">
        <v>2.1937140000000001E-2</v>
      </c>
      <c r="R5862">
        <v>6.8066310000000005E-2</v>
      </c>
      <c r="S5862">
        <v>2.9921570000000002</v>
      </c>
      <c r="T5862">
        <v>-0.2187511</v>
      </c>
      <c r="U5862">
        <v>0.3002319</v>
      </c>
      <c r="V5862">
        <v>-6.9861370000000006E-2</v>
      </c>
      <c r="W5862">
        <v>3.2636390000000001E-2</v>
      </c>
      <c r="X5862">
        <v>0.99702270000000004</v>
      </c>
      <c r="Y5862">
        <v>-0.101324</v>
      </c>
      <c r="Z5862">
        <v>3.818339E-3</v>
      </c>
      <c r="AA5862">
        <v>0.99484620000000001</v>
      </c>
      <c r="AB5862">
        <v>24</v>
      </c>
      <c r="AC5862">
        <v>15.0571999999999</v>
      </c>
      <c r="AD5862">
        <v>-1.1100252923002001</v>
      </c>
      <c r="AE5862">
        <v>1.5233699999999999</v>
      </c>
      <c r="AF5862">
        <v>-1.5416809872973101</v>
      </c>
      <c r="AG5862">
        <v>-1.1100252923002001</v>
      </c>
      <c r="AH5862">
        <v>14.9739299943963</v>
      </c>
      <c r="AI5862">
        <v>94.217398728403793</v>
      </c>
      <c r="AJ5862">
        <v>95.878327873391797</v>
      </c>
      <c r="AK5862">
        <v>15.093956270415701</v>
      </c>
      <c r="AL5862">
        <v>88.129740490072393</v>
      </c>
      <c r="AM5862">
        <v>94.008163463639093</v>
      </c>
      <c r="AN5862">
        <v>1.0000000046428901</v>
      </c>
    </row>
    <row r="5863" spans="1:40" x14ac:dyDescent="0.25">
      <c r="A5863" t="str">
        <f>"20190312151650270"</f>
        <v>20190312151650270</v>
      </c>
      <c r="B5863" t="str">
        <f>"1552375010263779"</f>
        <v>1552375010263779</v>
      </c>
      <c r="C5863" t="s">
        <v>40</v>
      </c>
      <c r="D5863">
        <v>4.864401</v>
      </c>
      <c r="E5863">
        <v>0.48860340000000002</v>
      </c>
      <c r="F5863" t="s">
        <v>74</v>
      </c>
      <c r="G5863">
        <v>-251.6241</v>
      </c>
      <c r="H5863" s="1">
        <v>-1.9358210000000001E-7</v>
      </c>
      <c r="I5863">
        <v>-62.005619999999901</v>
      </c>
      <c r="J5863">
        <v>-266.779</v>
      </c>
      <c r="K5863">
        <v>1.1100049999999999</v>
      </c>
      <c r="L5863">
        <v>-63.547730000000001</v>
      </c>
      <c r="M5863">
        <v>0.99994079999999996</v>
      </c>
      <c r="N5863">
        <v>0</v>
      </c>
      <c r="O5863">
        <v>-1.4405349999999999E-3</v>
      </c>
      <c r="P5863">
        <v>0.99739960000000005</v>
      </c>
      <c r="Q5863">
        <v>2.1934499999999999E-2</v>
      </c>
      <c r="R5863">
        <v>6.8652729999999995E-2</v>
      </c>
      <c r="S5863">
        <v>2.9919129999999998</v>
      </c>
      <c r="T5863">
        <v>-0.21738460000000001</v>
      </c>
      <c r="U5863">
        <v>0.30203249999999998</v>
      </c>
      <c r="V5863">
        <v>-7.0119989999999993E-2</v>
      </c>
      <c r="W5863">
        <v>3.263783E-2</v>
      </c>
      <c r="X5863">
        <v>0.99700449999999996</v>
      </c>
      <c r="Y5863">
        <v>-0.1016034</v>
      </c>
      <c r="Z5863">
        <v>3.7812269999999999E-3</v>
      </c>
      <c r="AA5863">
        <v>0.99481779999999997</v>
      </c>
      <c r="AB5863">
        <v>24</v>
      </c>
      <c r="AC5863">
        <v>15.1548999999999</v>
      </c>
      <c r="AD5863">
        <v>-1.11000519358209</v>
      </c>
      <c r="AE5863">
        <v>1.5421100000000001</v>
      </c>
      <c r="AF5863">
        <v>-1.55568063306856</v>
      </c>
      <c r="AG5863">
        <v>-1.11000519358209</v>
      </c>
      <c r="AH5863">
        <v>15.0726315013072</v>
      </c>
      <c r="AI5863">
        <v>94.189696205800402</v>
      </c>
      <c r="AJ5863">
        <v>95.892762281490604</v>
      </c>
      <c r="AK5863">
        <v>15.1933035952054</v>
      </c>
      <c r="AL5863">
        <v>88.129657944550601</v>
      </c>
      <c r="AM5863">
        <v>94.023025862397901</v>
      </c>
      <c r="AN5863">
        <v>1.0000000069824699</v>
      </c>
    </row>
    <row r="5864" spans="1:40" x14ac:dyDescent="0.25">
      <c r="A5864" t="str">
        <f>"20190312151650280"</f>
        <v>20190312151650280</v>
      </c>
      <c r="B5864" t="str">
        <f>"1552375010273539"</f>
        <v>1552375010273539</v>
      </c>
      <c r="C5864" t="s">
        <v>40</v>
      </c>
      <c r="D5864">
        <v>4.932391</v>
      </c>
      <c r="E5864">
        <v>0.48892540000000001</v>
      </c>
      <c r="F5864" t="s">
        <v>74</v>
      </c>
      <c r="G5864">
        <v>-251.47300000000001</v>
      </c>
      <c r="H5864" s="1">
        <v>-1.2688939999999999E-7</v>
      </c>
      <c r="I5864">
        <v>-61.997329999999998</v>
      </c>
      <c r="J5864">
        <v>-266.66910000000001</v>
      </c>
      <c r="K5864">
        <v>1.109982</v>
      </c>
      <c r="L5864">
        <v>-63.547580000000004</v>
      </c>
      <c r="M5864">
        <v>0.99994099999999997</v>
      </c>
      <c r="N5864">
        <v>0</v>
      </c>
      <c r="O5864">
        <v>-1.1711530000000001E-3</v>
      </c>
      <c r="P5864">
        <v>0.99733939999999999</v>
      </c>
      <c r="Q5864">
        <v>2.190897E-2</v>
      </c>
      <c r="R5864">
        <v>6.9527950000000005E-2</v>
      </c>
      <c r="S5864">
        <v>2.9916990000000001</v>
      </c>
      <c r="T5864">
        <v>-0.21696009999999999</v>
      </c>
      <c r="U5864">
        <v>0.30303960000000002</v>
      </c>
      <c r="V5864">
        <v>-7.0724759999999998E-2</v>
      </c>
      <c r="W5864">
        <v>3.261447E-2</v>
      </c>
      <c r="X5864">
        <v>0.99696249999999997</v>
      </c>
      <c r="Y5864">
        <v>-0.1016756</v>
      </c>
      <c r="Z5864">
        <v>3.7572090000000001E-3</v>
      </c>
      <c r="AA5864">
        <v>0.99481050000000004</v>
      </c>
      <c r="AB5864">
        <v>24</v>
      </c>
      <c r="AC5864">
        <v>15.196099999999999</v>
      </c>
      <c r="AD5864">
        <v>-1.1099821268893999</v>
      </c>
      <c r="AE5864">
        <v>1.5502499999999899</v>
      </c>
      <c r="AF5864">
        <v>-1.55981042671126</v>
      </c>
      <c r="AG5864">
        <v>-1.1099821268893999</v>
      </c>
      <c r="AH5864">
        <v>15.1144626784446</v>
      </c>
      <c r="AI5864">
        <v>94.1780605770997</v>
      </c>
      <c r="AJ5864">
        <v>95.892058258482905</v>
      </c>
      <c r="AK5864">
        <v>15.235224020256</v>
      </c>
      <c r="AL5864">
        <v>88.130997000657899</v>
      </c>
      <c r="AM5864">
        <v>94.057778569249095</v>
      </c>
      <c r="AN5864">
        <v>0.99999996086834297</v>
      </c>
    </row>
    <row r="5865" spans="1:40" x14ac:dyDescent="0.25">
      <c r="A5865" t="str">
        <f>"20190312151650291"</f>
        <v>20190312151650291</v>
      </c>
      <c r="B5865" t="str">
        <f>"1552375010283299"</f>
        <v>1552375010283299</v>
      </c>
      <c r="C5865" t="s">
        <v>40</v>
      </c>
      <c r="D5865">
        <v>4.6752200000000004</v>
      </c>
      <c r="E5865">
        <v>0.48902970000000001</v>
      </c>
      <c r="F5865" t="s">
        <v>74</v>
      </c>
      <c r="G5865">
        <v>-251.45160000000001</v>
      </c>
      <c r="H5865" s="1">
        <v>-1.196573E-7</v>
      </c>
      <c r="I5865">
        <v>-62.005969999999998</v>
      </c>
      <c r="J5865">
        <v>-266.54989999999998</v>
      </c>
      <c r="K5865">
        <v>1.1099600000000001</v>
      </c>
      <c r="L5865">
        <v>-63.547359999999998</v>
      </c>
      <c r="M5865">
        <v>0.99994130000000003</v>
      </c>
      <c r="N5865">
        <v>0</v>
      </c>
      <c r="O5865">
        <v>-8.8748339999999905E-4</v>
      </c>
      <c r="P5865">
        <v>0.99727710000000003</v>
      </c>
      <c r="Q5865">
        <v>2.1938849999999999E-2</v>
      </c>
      <c r="R5865">
        <v>7.0406449999999995E-2</v>
      </c>
      <c r="S5865">
        <v>2.9916689999999999</v>
      </c>
      <c r="T5865">
        <v>-0.21821589999999999</v>
      </c>
      <c r="U5865">
        <v>0.30307009999999901</v>
      </c>
      <c r="V5865">
        <v>-7.1318430000000002E-2</v>
      </c>
      <c r="W5865">
        <v>3.264736E-2</v>
      </c>
      <c r="X5865">
        <v>0.99691920000000001</v>
      </c>
      <c r="Y5865">
        <v>-0.1014028</v>
      </c>
      <c r="Z5865">
        <v>3.7484139999999998E-3</v>
      </c>
      <c r="AA5865">
        <v>0.99483840000000001</v>
      </c>
      <c r="AB5865">
        <v>24</v>
      </c>
      <c r="AC5865">
        <v>15.098299999999901</v>
      </c>
      <c r="AD5865">
        <v>-1.1099601196572999</v>
      </c>
      <c r="AE5865">
        <v>1.54138999999999</v>
      </c>
      <c r="AF5865">
        <v>-1.54651766427281</v>
      </c>
      <c r="AG5865">
        <v>-1.1099601196572999</v>
      </c>
      <c r="AH5865">
        <v>15.0166053243258</v>
      </c>
      <c r="AI5865">
        <v>94.205197844498798</v>
      </c>
      <c r="AJ5865">
        <v>95.880000117466594</v>
      </c>
      <c r="AK5865">
        <v>15.1367818184615</v>
      </c>
      <c r="AL5865">
        <v>88.129111667621601</v>
      </c>
      <c r="AM5865">
        <v>94.091901832321994</v>
      </c>
      <c r="AN5865">
        <v>1.00000002995063</v>
      </c>
    </row>
    <row r="5866" spans="1:40" x14ac:dyDescent="0.25">
      <c r="A5866" t="str">
        <f>"20190312151650303"</f>
        <v>20190312151650303</v>
      </c>
      <c r="B5866" t="str">
        <f>"1552375010294035"</f>
        <v>1552375010294035</v>
      </c>
      <c r="C5866" t="s">
        <v>40</v>
      </c>
      <c r="D5866">
        <v>4.6644779999999999</v>
      </c>
      <c r="E5866">
        <v>0.48907010000000001</v>
      </c>
      <c r="F5866" t="s">
        <v>74</v>
      </c>
      <c r="G5866">
        <v>-251.3792</v>
      </c>
      <c r="H5866" s="1">
        <v>-8.7465309999999996E-8</v>
      </c>
      <c r="I5866">
        <v>-62.000970000000002</v>
      </c>
      <c r="J5866">
        <v>-266.41899999999998</v>
      </c>
      <c r="K5866">
        <v>1.1099410000000001</v>
      </c>
      <c r="L5866">
        <v>-63.547150000000002</v>
      </c>
      <c r="M5866">
        <v>0.99994170000000004</v>
      </c>
      <c r="N5866">
        <v>0</v>
      </c>
      <c r="O5866">
        <v>-6.0680049999999996E-4</v>
      </c>
      <c r="P5866">
        <v>0.9972067</v>
      </c>
      <c r="Q5866">
        <v>2.1986039999999998E-2</v>
      </c>
      <c r="R5866">
        <v>7.1384530000000002E-2</v>
      </c>
      <c r="S5866">
        <v>2.9914860000000001</v>
      </c>
      <c r="T5866">
        <v>-0.2188716</v>
      </c>
      <c r="U5866">
        <v>0.30493160000000002</v>
      </c>
      <c r="V5866">
        <v>-7.2014699999999904E-2</v>
      </c>
      <c r="W5866">
        <v>3.2697400000000001E-2</v>
      </c>
      <c r="X5866">
        <v>0.99686750000000002</v>
      </c>
      <c r="Y5866">
        <v>-0.1017406</v>
      </c>
      <c r="Z5866">
        <v>3.7516089999999999E-3</v>
      </c>
      <c r="AA5866">
        <v>0.99480389999999996</v>
      </c>
      <c r="AB5866">
        <v>24</v>
      </c>
      <c r="AC5866">
        <v>15.0398</v>
      </c>
      <c r="AD5866">
        <v>-1.10994108746531</v>
      </c>
      <c r="AE5866">
        <v>1.5461800000000001</v>
      </c>
      <c r="AF5866">
        <v>-1.54696899022379</v>
      </c>
      <c r="AG5866">
        <v>-1.10994108746531</v>
      </c>
      <c r="AH5866">
        <v>14.958241277348501</v>
      </c>
      <c r="AI5866">
        <v>94.221288800969702</v>
      </c>
      <c r="AJ5866">
        <v>95.904491474366694</v>
      </c>
      <c r="AK5866">
        <v>15.078927826133</v>
      </c>
      <c r="AL5866">
        <v>88.126243045680596</v>
      </c>
      <c r="AM5866">
        <v>94.131926246738999</v>
      </c>
      <c r="AN5866">
        <v>1.00000002476954</v>
      </c>
    </row>
    <row r="5867" spans="1:40" x14ac:dyDescent="0.25">
      <c r="A5867" t="str">
        <f>"20190312151650314"</f>
        <v>20190312151650314</v>
      </c>
      <c r="B5867" t="str">
        <f>"1552375010303795"</f>
        <v>1552375010303795</v>
      </c>
      <c r="C5867" t="s">
        <v>40</v>
      </c>
      <c r="D5867">
        <v>4.9129019999999999</v>
      </c>
      <c r="E5867">
        <v>0.489176</v>
      </c>
      <c r="F5867" t="s">
        <v>74</v>
      </c>
      <c r="G5867">
        <v>-251.26779999999999</v>
      </c>
      <c r="H5867" s="1">
        <v>-3.7209699999999997E-8</v>
      </c>
      <c r="I5867">
        <v>-61.989789999999999</v>
      </c>
      <c r="J5867">
        <v>-266.29790000000003</v>
      </c>
      <c r="K5867">
        <v>1.109918</v>
      </c>
      <c r="L5867">
        <v>-63.546909999999997</v>
      </c>
      <c r="M5867">
        <v>0.99994159999999999</v>
      </c>
      <c r="N5867">
        <v>0</v>
      </c>
      <c r="O5867">
        <v>-3.5470050000000001E-4</v>
      </c>
      <c r="P5867">
        <v>0.99714829999999999</v>
      </c>
      <c r="Q5867">
        <v>2.202113E-2</v>
      </c>
      <c r="R5867">
        <v>7.2183650000000002E-2</v>
      </c>
      <c r="S5867">
        <v>2.991241</v>
      </c>
      <c r="T5867">
        <v>-0.21913170000000001</v>
      </c>
      <c r="U5867">
        <v>0.30746459999999998</v>
      </c>
      <c r="V5867">
        <v>-7.2560310000000003E-2</v>
      </c>
      <c r="W5867">
        <v>3.2735050000000002E-2</v>
      </c>
      <c r="X5867">
        <v>0.99682660000000001</v>
      </c>
      <c r="Y5867">
        <v>-0.10233009999999999</v>
      </c>
      <c r="Z5867">
        <v>3.7593100000000001E-3</v>
      </c>
      <c r="AA5867">
        <v>0.99474340000000006</v>
      </c>
      <c r="AB5867">
        <v>24</v>
      </c>
      <c r="AC5867">
        <v>15.030099999999999</v>
      </c>
      <c r="AD5867">
        <v>-1.1099180372096999</v>
      </c>
      <c r="AE5867">
        <v>1.5571199999999901</v>
      </c>
      <c r="AF5867">
        <v>-1.5540666247358601</v>
      </c>
      <c r="AG5867">
        <v>-1.1099180372096999</v>
      </c>
      <c r="AH5867">
        <v>14.9488918327647</v>
      </c>
      <c r="AI5867">
        <v>94.223599051570801</v>
      </c>
      <c r="AJ5867">
        <v>95.935072300862203</v>
      </c>
      <c r="AK5867">
        <v>15.0703818183595</v>
      </c>
      <c r="AL5867">
        <v>88.124084519403894</v>
      </c>
      <c r="AM5867">
        <v>94.163291805786301</v>
      </c>
      <c r="AN5867">
        <v>0.999999926276676</v>
      </c>
    </row>
    <row r="5868" spans="1:40" x14ac:dyDescent="0.25">
      <c r="A5868" t="str">
        <f>"20190312151650325"</f>
        <v>20190312151650325</v>
      </c>
      <c r="B5868" t="str">
        <f>"1552375010313556"</f>
        <v>1552375010313556</v>
      </c>
      <c r="C5868" t="s">
        <v>40</v>
      </c>
      <c r="D5868">
        <v>4.9538080000000004</v>
      </c>
      <c r="E5868">
        <v>0.48931550000000001</v>
      </c>
      <c r="F5868" t="s">
        <v>74</v>
      </c>
      <c r="G5868">
        <v>-251.04409999999999</v>
      </c>
      <c r="H5868" s="1">
        <v>6.29490299999999E-8</v>
      </c>
      <c r="I5868">
        <v>-61.970939999999999</v>
      </c>
      <c r="J5868">
        <v>-266.18209999999999</v>
      </c>
      <c r="K5868">
        <v>1.109899</v>
      </c>
      <c r="L5868">
        <v>-63.546689999999998</v>
      </c>
      <c r="M5868">
        <v>0.99994179999999999</v>
      </c>
      <c r="N5868">
        <v>0</v>
      </c>
      <c r="O5868">
        <v>-1.364228E-4</v>
      </c>
      <c r="P5868">
        <v>0.99709360000000002</v>
      </c>
      <c r="Q5868">
        <v>2.219138E-2</v>
      </c>
      <c r="R5868">
        <v>7.2885569999999997E-2</v>
      </c>
      <c r="S5868">
        <v>2.9909970000000001</v>
      </c>
      <c r="T5868">
        <v>-0.2176363</v>
      </c>
      <c r="U5868">
        <v>0.30902099999999999</v>
      </c>
      <c r="V5868">
        <v>-7.3043289999999997E-2</v>
      </c>
      <c r="W5868">
        <v>3.2907569999999997E-2</v>
      </c>
      <c r="X5868">
        <v>0.9967857</v>
      </c>
      <c r="Y5868">
        <v>-0.1026369</v>
      </c>
      <c r="Z5868">
        <v>3.7292219999999999E-3</v>
      </c>
      <c r="AA5868">
        <v>0.99471189999999998</v>
      </c>
      <c r="AB5868">
        <v>24</v>
      </c>
      <c r="AC5868">
        <v>15.138</v>
      </c>
      <c r="AD5868">
        <v>-1.10989893705097</v>
      </c>
      <c r="AE5868">
        <v>1.57575</v>
      </c>
      <c r="AF5868">
        <v>-1.5694688161763899</v>
      </c>
      <c r="AG5868">
        <v>-1.10989893705097</v>
      </c>
      <c r="AH5868">
        <v>15.057707772373799</v>
      </c>
      <c r="AI5868">
        <v>94.192997315512201</v>
      </c>
      <c r="AJ5868">
        <v>95.950467623930095</v>
      </c>
      <c r="AK5868">
        <v>15.179910124029799</v>
      </c>
      <c r="AL5868">
        <v>88.114194625733703</v>
      </c>
      <c r="AM5868">
        <v>94.191076677220494</v>
      </c>
      <c r="AN5868">
        <v>0.99999998105090904</v>
      </c>
    </row>
    <row r="5869" spans="1:40" x14ac:dyDescent="0.25">
      <c r="A5869" t="str">
        <f>"20190312151650336"</f>
        <v>20190312151650336</v>
      </c>
      <c r="B5869" t="str">
        <f>"1552375010334051"</f>
        <v>1552375010334051</v>
      </c>
      <c r="C5869" t="s">
        <v>40</v>
      </c>
      <c r="D5869">
        <v>4.9724579999999996</v>
      </c>
      <c r="E5869">
        <v>0.50730750000000002</v>
      </c>
      <c r="F5869" t="s">
        <v>74</v>
      </c>
      <c r="G5869">
        <v>-250.81549999999999</v>
      </c>
      <c r="H5869" s="1">
        <v>1.647117E-7</v>
      </c>
      <c r="I5869">
        <v>-61.954320000000003</v>
      </c>
      <c r="J5869">
        <v>-266.06270000000001</v>
      </c>
      <c r="K5869">
        <v>1.1098749999999999</v>
      </c>
      <c r="L5869">
        <v>-63.546419999999998</v>
      </c>
      <c r="M5869">
        <v>0.99994179999999999</v>
      </c>
      <c r="N5869">
        <v>0</v>
      </c>
      <c r="O5869" s="1">
        <v>8.2333869999999898E-5</v>
      </c>
      <c r="P5869">
        <v>0.99703569999999997</v>
      </c>
      <c r="Q5869">
        <v>2.2149249999999999E-2</v>
      </c>
      <c r="R5869">
        <v>7.3682549999999999E-2</v>
      </c>
      <c r="S5869">
        <v>2.9909059999999998</v>
      </c>
      <c r="T5869">
        <v>-0.2160282</v>
      </c>
      <c r="U5869">
        <v>0.3099365</v>
      </c>
      <c r="V5869">
        <v>-7.3620389999999994E-2</v>
      </c>
      <c r="W5869">
        <v>3.2867529999999999E-2</v>
      </c>
      <c r="X5869">
        <v>0.99674459999999998</v>
      </c>
      <c r="Y5869">
        <v>-0.1027279</v>
      </c>
      <c r="Z5869">
        <v>3.6893289999999999E-3</v>
      </c>
      <c r="AA5869">
        <v>0.99470259999999999</v>
      </c>
      <c r="AB5869">
        <v>24</v>
      </c>
      <c r="AC5869">
        <v>15.247199999999999</v>
      </c>
      <c r="AD5869">
        <v>-1.1098748352883001</v>
      </c>
      <c r="AE5869">
        <v>1.5921000000000001</v>
      </c>
      <c r="AF5869">
        <v>-1.5825495776062199</v>
      </c>
      <c r="AG5869">
        <v>-1.1098748352883001</v>
      </c>
      <c r="AH5869">
        <v>15.1678283942631</v>
      </c>
      <c r="AI5869">
        <v>94.162527653123306</v>
      </c>
      <c r="AJ5869">
        <v>95.956457218667595</v>
      </c>
      <c r="AK5869">
        <v>15.290497163709301</v>
      </c>
      <c r="AL5869">
        <v>88.116490058164899</v>
      </c>
      <c r="AM5869">
        <v>94.224243670998206</v>
      </c>
      <c r="AN5869">
        <v>1.0000000169906</v>
      </c>
    </row>
    <row r="5870" spans="1:40" x14ac:dyDescent="0.25">
      <c r="A5870" t="str">
        <f>"20190312151650347"</f>
        <v>20190312151650347</v>
      </c>
      <c r="B5870" t="str">
        <f>"1552375010343811"</f>
        <v>1552375010343811</v>
      </c>
      <c r="C5870" t="s">
        <v>40</v>
      </c>
      <c r="D5870">
        <v>4.8562430000000001</v>
      </c>
      <c r="E5870">
        <v>0.50730750000000002</v>
      </c>
      <c r="F5870" t="s">
        <v>75</v>
      </c>
      <c r="G5870">
        <v>-245.78210000000001</v>
      </c>
      <c r="H5870" s="1">
        <v>-2.0070279999999999E-6</v>
      </c>
      <c r="I5870">
        <v>-62.410899999999998</v>
      </c>
      <c r="J5870">
        <v>-265.94099999999997</v>
      </c>
      <c r="K5870">
        <v>1.109858</v>
      </c>
      <c r="L5870">
        <v>-63.546169999999996</v>
      </c>
      <c r="M5870">
        <v>0.99994179999999999</v>
      </c>
      <c r="N5870">
        <v>0</v>
      </c>
      <c r="O5870">
        <v>2.9032180000000002E-4</v>
      </c>
      <c r="P5870">
        <v>0.99698799999999999</v>
      </c>
      <c r="Q5870">
        <v>2.1890840000000002E-2</v>
      </c>
      <c r="R5870">
        <v>7.4405540000000006E-2</v>
      </c>
      <c r="S5870">
        <v>3.0001220000000002</v>
      </c>
      <c r="T5870">
        <v>-0.16418460000000001</v>
      </c>
      <c r="U5870">
        <v>0.167968799999999</v>
      </c>
      <c r="V5870">
        <v>-7.4134779999999997E-2</v>
      </c>
      <c r="W5870">
        <v>3.2611609999999999E-2</v>
      </c>
      <c r="X5870">
        <v>0.99671489999999996</v>
      </c>
      <c r="Y5870">
        <v>-5.5527479999999997E-2</v>
      </c>
      <c r="Z5870">
        <v>1.501212E-3</v>
      </c>
      <c r="AA5870">
        <v>0.99845600000000001</v>
      </c>
      <c r="AB5870">
        <v>24</v>
      </c>
      <c r="AC5870">
        <v>20.1588999999999</v>
      </c>
      <c r="AD5870">
        <v>-1.109860007028</v>
      </c>
      <c r="AE5870">
        <v>1.13526999999999</v>
      </c>
      <c r="AF5870">
        <v>-1.12601475119948</v>
      </c>
      <c r="AG5870">
        <v>-1.109860007028</v>
      </c>
      <c r="AH5870">
        <v>20.0985004505205</v>
      </c>
      <c r="AI5870">
        <v>93.155783405463694</v>
      </c>
      <c r="AJ5870">
        <v>93.206633226951297</v>
      </c>
      <c r="AK5870">
        <v>20.160590735757001</v>
      </c>
      <c r="AL5870">
        <v>88.131161096692097</v>
      </c>
      <c r="AM5870">
        <v>94.253777037733101</v>
      </c>
      <c r="AN5870">
        <v>1.00000003729722</v>
      </c>
    </row>
    <row r="5871" spans="1:40" x14ac:dyDescent="0.25">
      <c r="A5871" t="str">
        <f>"20190312151650359"</f>
        <v>20190312151650359</v>
      </c>
      <c r="B5871" t="str">
        <f>"1552375010353571"</f>
        <v>1552375010353571</v>
      </c>
      <c r="C5871" t="s">
        <v>40</v>
      </c>
      <c r="D5871">
        <v>4.6580339999999998</v>
      </c>
      <c r="E5871">
        <v>0.53221770000000002</v>
      </c>
      <c r="F5871" t="s">
        <v>75</v>
      </c>
      <c r="G5871">
        <v>-245.7576</v>
      </c>
      <c r="H5871" s="1">
        <v>-1.993944E-6</v>
      </c>
      <c r="I5871">
        <v>-62.401069999999997</v>
      </c>
      <c r="J5871">
        <v>-265.81439999999998</v>
      </c>
      <c r="K5871">
        <v>1.1098399999999999</v>
      </c>
      <c r="L5871">
        <v>-63.545900000000003</v>
      </c>
      <c r="M5871">
        <v>0.99994159999999999</v>
      </c>
      <c r="N5871">
        <v>0</v>
      </c>
      <c r="O5871">
        <v>4.9742949999999895E-4</v>
      </c>
      <c r="P5871">
        <v>0.99694499999999997</v>
      </c>
      <c r="Q5871">
        <v>2.1988239999999999E-2</v>
      </c>
      <c r="R5871">
        <v>7.4947319999999998E-2</v>
      </c>
      <c r="S5871">
        <v>3</v>
      </c>
      <c r="T5871">
        <v>-0.1649668</v>
      </c>
      <c r="U5871">
        <v>0.1701965</v>
      </c>
      <c r="V5871">
        <v>-7.446912E-2</v>
      </c>
      <c r="W5871">
        <v>3.2711690000000002E-2</v>
      </c>
      <c r="X5871">
        <v>0.99668659999999998</v>
      </c>
      <c r="Y5871">
        <v>-5.6060760000000001E-2</v>
      </c>
      <c r="Z5871">
        <v>1.5116509999999999E-3</v>
      </c>
      <c r="AA5871">
        <v>0.99842620000000004</v>
      </c>
      <c r="AB5871">
        <v>24</v>
      </c>
      <c r="AC5871">
        <v>20.0567999999999</v>
      </c>
      <c r="AD5871">
        <v>-1.1098419939439901</v>
      </c>
      <c r="AE5871">
        <v>1.14483</v>
      </c>
      <c r="AF5871">
        <v>-1.1313993873945001</v>
      </c>
      <c r="AG5871">
        <v>-1.1098419939439901</v>
      </c>
      <c r="AH5871">
        <v>19.996337942642501</v>
      </c>
      <c r="AI5871">
        <v>93.171723594558003</v>
      </c>
      <c r="AJ5871">
        <v>93.238361330947797</v>
      </c>
      <c r="AK5871">
        <v>20.059046461426899</v>
      </c>
      <c r="AL5871">
        <v>88.125423694752001</v>
      </c>
      <c r="AM5871">
        <v>94.273011105152506</v>
      </c>
      <c r="AN5871">
        <v>0.99999994155789296</v>
      </c>
    </row>
    <row r="5872" spans="1:40" x14ac:dyDescent="0.25">
      <c r="A5872" t="str">
        <f>"20190312151650370"</f>
        <v>20190312151650370</v>
      </c>
      <c r="B5872" t="str">
        <f>"1552375010363331"</f>
        <v>1552375010363331</v>
      </c>
      <c r="C5872" t="s">
        <v>40</v>
      </c>
      <c r="D5872">
        <v>4.6537660000000001</v>
      </c>
      <c r="E5872">
        <v>0.53152929999999998</v>
      </c>
      <c r="F5872" t="s">
        <v>75</v>
      </c>
      <c r="G5872">
        <v>-249.5659</v>
      </c>
      <c r="H5872" s="1">
        <v>-3.7146E-6</v>
      </c>
      <c r="I5872">
        <v>-63.682810000000003</v>
      </c>
      <c r="J5872">
        <v>-265.69420000000002</v>
      </c>
      <c r="K5872">
        <v>1.1098330000000001</v>
      </c>
      <c r="L5872">
        <v>-63.5456199999999</v>
      </c>
      <c r="M5872">
        <v>0.99994139999999998</v>
      </c>
      <c r="N5872">
        <v>0</v>
      </c>
      <c r="O5872">
        <v>6.8573129999999996E-4</v>
      </c>
      <c r="P5872">
        <v>0.99691099999999999</v>
      </c>
      <c r="Q5872">
        <v>2.1812330000000001E-2</v>
      </c>
      <c r="R5872">
        <v>7.5451199999999996E-2</v>
      </c>
      <c r="S5872">
        <v>3.015625</v>
      </c>
      <c r="T5872">
        <v>-0.20598089999999999</v>
      </c>
      <c r="U5872">
        <v>-2.5421139999999998E-2</v>
      </c>
      <c r="V5872">
        <v>-7.4784169999999997E-2</v>
      </c>
      <c r="W5872">
        <v>3.2537749999999997E-2</v>
      </c>
      <c r="X5872">
        <v>0.99666880000000002</v>
      </c>
      <c r="Y5872">
        <v>9.0924720000000007E-3</v>
      </c>
      <c r="Z5872">
        <v>-3.5694779999999998E-4</v>
      </c>
      <c r="AA5872">
        <v>0.99995860000000003</v>
      </c>
      <c r="AB5872">
        <v>24</v>
      </c>
      <c r="AC5872">
        <v>16.128299999999999</v>
      </c>
      <c r="AD5872">
        <v>-1.1098367145999899</v>
      </c>
      <c r="AE5872">
        <v>-0.137190000000003</v>
      </c>
      <c r="AF5872">
        <v>0.14755165308076901</v>
      </c>
      <c r="AG5872">
        <v>-1.1098367145999899</v>
      </c>
      <c r="AH5872">
        <v>16.052196797749001</v>
      </c>
      <c r="AI5872">
        <v>93.954926125018801</v>
      </c>
      <c r="AJ5872">
        <v>89.473352526298896</v>
      </c>
      <c r="AK5872">
        <v>16.091194208543499</v>
      </c>
      <c r="AL5872">
        <v>88.135395209422001</v>
      </c>
      <c r="AM5872">
        <v>94.291097530141698</v>
      </c>
      <c r="AN5872">
        <v>1.00000003707554</v>
      </c>
    </row>
    <row r="5873" spans="1:40" x14ac:dyDescent="0.25">
      <c r="A5873" t="str">
        <f>"20190312151650380"</f>
        <v>20190312151650380</v>
      </c>
      <c r="B5873" t="str">
        <f>"1552375010374067"</f>
        <v>1552375010374067</v>
      </c>
      <c r="C5873" t="s">
        <v>40</v>
      </c>
      <c r="D5873">
        <v>4.6506400000000001</v>
      </c>
      <c r="E5873">
        <v>0.53052080000000001</v>
      </c>
      <c r="F5873" t="s">
        <v>75</v>
      </c>
      <c r="G5873">
        <v>-249.5729</v>
      </c>
      <c r="H5873" s="1">
        <v>-3.7101260000000001E-6</v>
      </c>
      <c r="I5873">
        <v>-63.644120000000001</v>
      </c>
      <c r="J5873">
        <v>-265.5788</v>
      </c>
      <c r="K5873">
        <v>1.1098220000000001</v>
      </c>
      <c r="L5873">
        <v>-63.545319999999997</v>
      </c>
      <c r="M5873">
        <v>0.99994130000000003</v>
      </c>
      <c r="N5873">
        <v>0</v>
      </c>
      <c r="O5873">
        <v>8.5678429999999997E-4</v>
      </c>
      <c r="P5873">
        <v>0.99688089999999996</v>
      </c>
      <c r="Q5873">
        <v>2.1600149999999999E-2</v>
      </c>
      <c r="R5873">
        <v>7.5909149999999995E-2</v>
      </c>
      <c r="S5873">
        <v>3.015228</v>
      </c>
      <c r="T5873">
        <v>-0.20757790000000001</v>
      </c>
      <c r="U5873">
        <v>-1.843262E-2</v>
      </c>
      <c r="V5873">
        <v>-7.5071260000000001E-2</v>
      </c>
      <c r="W5873">
        <v>3.2327090000000003E-2</v>
      </c>
      <c r="X5873">
        <v>0.99665400000000004</v>
      </c>
      <c r="Y5873">
        <v>6.9513960000000003E-3</v>
      </c>
      <c r="Z5873">
        <v>-2.9791010000000001E-4</v>
      </c>
      <c r="AA5873">
        <v>0.99997579999999997</v>
      </c>
      <c r="AB5873">
        <v>24</v>
      </c>
      <c r="AC5873">
        <v>16.005899999999901</v>
      </c>
      <c r="AD5873">
        <v>-1.1098257101259901</v>
      </c>
      <c r="AE5873">
        <v>-9.8799999999997098E-2</v>
      </c>
      <c r="AF5873">
        <v>0.111976026051961</v>
      </c>
      <c r="AG5873">
        <v>-1.1098257101259901</v>
      </c>
      <c r="AH5873">
        <v>15.9292273241673</v>
      </c>
      <c r="AI5873">
        <v>93.985389392761604</v>
      </c>
      <c r="AJ5873">
        <v>89.597240475424101</v>
      </c>
      <c r="AK5873">
        <v>15.9682351837097</v>
      </c>
      <c r="AL5873">
        <v>88.147471357803198</v>
      </c>
      <c r="AM5873">
        <v>94.3075725255093</v>
      </c>
      <c r="AN5873">
        <v>0.99999996527092705</v>
      </c>
    </row>
    <row r="5874" spans="1:40" x14ac:dyDescent="0.25">
      <c r="A5874" t="str">
        <f>"20190312151650391"</f>
        <v>20190312151650391</v>
      </c>
      <c r="B5874" t="str">
        <f>"1552375010383827"</f>
        <v>1552375010383827</v>
      </c>
      <c r="C5874" t="s">
        <v>40</v>
      </c>
      <c r="D5874">
        <v>4.6320649999999999</v>
      </c>
      <c r="E5874">
        <v>0.53014810000000001</v>
      </c>
      <c r="F5874" t="s">
        <v>75</v>
      </c>
      <c r="G5874">
        <v>-248.65350000000001</v>
      </c>
      <c r="H5874" s="1">
        <v>-3.3889529999999998E-6</v>
      </c>
      <c r="I5874">
        <v>-63.597349999999999</v>
      </c>
      <c r="J5874">
        <v>-265.45740000000001</v>
      </c>
      <c r="K5874">
        <v>1.1098079999999999</v>
      </c>
      <c r="L5874">
        <v>-63.545009999999998</v>
      </c>
      <c r="M5874">
        <v>0.99994130000000003</v>
      </c>
      <c r="N5874">
        <v>0</v>
      </c>
      <c r="O5874">
        <v>1.0329079999999999E-3</v>
      </c>
      <c r="P5874">
        <v>0.99686859999999999</v>
      </c>
      <c r="Q5874">
        <v>2.1610170000000001E-2</v>
      </c>
      <c r="R5874">
        <v>7.6067889999999999E-2</v>
      </c>
      <c r="S5874">
        <v>3.0143740000000001</v>
      </c>
      <c r="T5874">
        <v>-0.19765869999999999</v>
      </c>
      <c r="U5874">
        <v>-9.2773439999999999E-3</v>
      </c>
      <c r="V5874">
        <v>-7.5053170000000002E-2</v>
      </c>
      <c r="W5874">
        <v>3.2339489999999999E-2</v>
      </c>
      <c r="X5874">
        <v>0.99665499999999996</v>
      </c>
      <c r="Y5874">
        <v>4.0996260000000003E-3</v>
      </c>
      <c r="Z5874">
        <v>-2.0192699999999999E-4</v>
      </c>
      <c r="AA5874">
        <v>0.99999159999999998</v>
      </c>
      <c r="AB5874">
        <v>24</v>
      </c>
      <c r="AC5874">
        <v>16.803899999999999</v>
      </c>
      <c r="AD5874">
        <v>-1.1098113889529999</v>
      </c>
      <c r="AE5874">
        <v>-5.23400000000009E-2</v>
      </c>
      <c r="AF5874">
        <v>6.9395170882562002E-2</v>
      </c>
      <c r="AG5874">
        <v>-1.1098113889529999</v>
      </c>
      <c r="AH5874">
        <v>16.730858928275399</v>
      </c>
      <c r="AI5874">
        <v>93.795020096807406</v>
      </c>
      <c r="AJ5874">
        <v>89.762353646844701</v>
      </c>
      <c r="AK5874">
        <v>16.767770796580098</v>
      </c>
      <c r="AL5874">
        <v>88.146760592066101</v>
      </c>
      <c r="AM5874">
        <v>94.306534126038699</v>
      </c>
      <c r="AN5874">
        <v>1.00000000498275</v>
      </c>
    </row>
    <row r="5875" spans="1:40" x14ac:dyDescent="0.25">
      <c r="A5875" t="str">
        <f>"20190312151650403"</f>
        <v>20190312151650403</v>
      </c>
      <c r="B5875" t="str">
        <f>"1552375010393587"</f>
        <v>1552375010393587</v>
      </c>
      <c r="C5875" t="s">
        <v>40</v>
      </c>
      <c r="D5875">
        <v>4.6409209999999996</v>
      </c>
      <c r="E5875">
        <v>0.52967039999999999</v>
      </c>
      <c r="F5875" t="s">
        <v>75</v>
      </c>
      <c r="G5875">
        <v>-248.24979999999999</v>
      </c>
      <c r="H5875" s="1">
        <v>-3.2482699999999999E-6</v>
      </c>
      <c r="I5875">
        <v>-63.578749999999999</v>
      </c>
      <c r="J5875">
        <v>-265.33390000000003</v>
      </c>
      <c r="K5875">
        <v>1.1098030000000001</v>
      </c>
      <c r="L5875">
        <v>-63.544710000000002</v>
      </c>
      <c r="M5875">
        <v>0.99994110000000003</v>
      </c>
      <c r="N5875">
        <v>0</v>
      </c>
      <c r="O5875">
        <v>1.202512E-3</v>
      </c>
      <c r="P5875">
        <v>0.99686459999999999</v>
      </c>
      <c r="Q5875">
        <v>2.1276010000000001E-2</v>
      </c>
      <c r="R5875">
        <v>7.6215710000000006E-2</v>
      </c>
      <c r="S5875">
        <v>3.0140989999999999</v>
      </c>
      <c r="T5875">
        <v>-0.1943957</v>
      </c>
      <c r="U5875">
        <v>-5.9204100000000001E-3</v>
      </c>
      <c r="V5875">
        <v>-7.5031619999999993E-2</v>
      </c>
      <c r="W5875">
        <v>3.2006819999999998E-2</v>
      </c>
      <c r="X5875">
        <v>0.99666739999999998</v>
      </c>
      <c r="Y5875">
        <v>3.157754E-3</v>
      </c>
      <c r="Z5875">
        <v>-1.792051E-4</v>
      </c>
      <c r="AA5875">
        <v>0.99999499999999997</v>
      </c>
      <c r="AB5875">
        <v>24</v>
      </c>
      <c r="AC5875">
        <v>17.084099999999999</v>
      </c>
      <c r="AD5875">
        <v>-1.10980624827</v>
      </c>
      <c r="AE5875">
        <v>-3.4040000000004497E-2</v>
      </c>
      <c r="AF5875">
        <v>5.4355627285690003E-2</v>
      </c>
      <c r="AG5875">
        <v>-1.10980624827</v>
      </c>
      <c r="AH5875">
        <v>17.012255661766499</v>
      </c>
      <c r="AI5875">
        <v>93.732422037348002</v>
      </c>
      <c r="AJ5875">
        <v>89.816935655062295</v>
      </c>
      <c r="AK5875">
        <v>17.048503369628101</v>
      </c>
      <c r="AL5875">
        <v>88.165831122056304</v>
      </c>
      <c r="AM5875">
        <v>94.305248878943502</v>
      </c>
      <c r="AN5875">
        <v>1.00000004337454</v>
      </c>
    </row>
    <row r="5876" spans="1:40" x14ac:dyDescent="0.25">
      <c r="A5876" t="str">
        <f>"20190312151650414"</f>
        <v>20190312151650414</v>
      </c>
      <c r="B5876" t="str">
        <f>"1552375010403348"</f>
        <v>1552375010403348</v>
      </c>
      <c r="C5876" t="s">
        <v>40</v>
      </c>
      <c r="D5876">
        <v>4.6589460000000003</v>
      </c>
      <c r="E5876">
        <v>0.52931039999999996</v>
      </c>
      <c r="F5876" t="s">
        <v>75</v>
      </c>
      <c r="G5876">
        <v>-248.089</v>
      </c>
      <c r="H5876" s="1">
        <v>-3.1891539999999999E-6</v>
      </c>
      <c r="I5876">
        <v>-63.554079999999999</v>
      </c>
      <c r="J5876">
        <v>-265.2079</v>
      </c>
      <c r="K5876">
        <v>1.109796</v>
      </c>
      <c r="L5876">
        <v>-63.544339999999998</v>
      </c>
      <c r="M5876">
        <v>0.99994079999999996</v>
      </c>
      <c r="N5876">
        <v>0</v>
      </c>
      <c r="O5876">
        <v>1.3739119999999999E-3</v>
      </c>
      <c r="P5876">
        <v>0.99686090000000005</v>
      </c>
      <c r="Q5876">
        <v>2.0940090000000001E-2</v>
      </c>
      <c r="R5876">
        <v>7.6353710000000005E-2</v>
      </c>
      <c r="S5876">
        <v>3.0137019999999999</v>
      </c>
      <c r="T5876">
        <v>-0.1939478</v>
      </c>
      <c r="U5876">
        <v>-1.6479489999999999E-3</v>
      </c>
      <c r="V5876">
        <v>-7.4997739999999993E-2</v>
      </c>
      <c r="W5876">
        <v>3.1672730000000003E-2</v>
      </c>
      <c r="X5876">
        <v>0.99668060000000003</v>
      </c>
      <c r="Y5876">
        <v>1.914008E-3</v>
      </c>
      <c r="Z5876">
        <v>-1.4985700000000001E-4</v>
      </c>
      <c r="AA5876">
        <v>0.99999819999999995</v>
      </c>
      <c r="AB5876">
        <v>24</v>
      </c>
      <c r="AC5876">
        <v>17.118899999999901</v>
      </c>
      <c r="AD5876">
        <v>-1.109799189154</v>
      </c>
      <c r="AE5876">
        <v>-9.7400000000007394E-3</v>
      </c>
      <c r="AF5876">
        <v>3.3122018545964999E-2</v>
      </c>
      <c r="AG5876">
        <v>-1.109799189154</v>
      </c>
      <c r="AH5876">
        <v>17.047224674099901</v>
      </c>
      <c r="AI5876">
        <v>93.724775609206304</v>
      </c>
      <c r="AJ5876">
        <v>89.888676924257794</v>
      </c>
      <c r="AK5876">
        <v>17.083343361227598</v>
      </c>
      <c r="AL5876">
        <v>88.184982737145901</v>
      </c>
      <c r="AM5876">
        <v>94.303255399516601</v>
      </c>
      <c r="AN5876">
        <v>1.00000002062356</v>
      </c>
    </row>
    <row r="5877" spans="1:40" x14ac:dyDescent="0.25">
      <c r="A5877" t="str">
        <f>"20190312151650425"</f>
        <v>20190312151650425</v>
      </c>
      <c r="B5877" t="str">
        <f>"1552375010413683"</f>
        <v>1552375010413683</v>
      </c>
      <c r="C5877" t="s">
        <v>40</v>
      </c>
      <c r="D5877">
        <v>4.644234</v>
      </c>
      <c r="E5877">
        <v>0.52881119999999904</v>
      </c>
      <c r="F5877" t="s">
        <v>75</v>
      </c>
      <c r="G5877">
        <v>-247.7698</v>
      </c>
      <c r="H5877" s="1">
        <v>-3.0773039999999999E-6</v>
      </c>
      <c r="I5877">
        <v>-63.535800000000002</v>
      </c>
      <c r="J5877">
        <v>-265.0865</v>
      </c>
      <c r="K5877">
        <v>1.109791</v>
      </c>
      <c r="L5877">
        <v>-63.54401</v>
      </c>
      <c r="M5877">
        <v>0.99994059999999996</v>
      </c>
      <c r="N5877">
        <v>0</v>
      </c>
      <c r="O5877">
        <v>1.5332480000000001E-3</v>
      </c>
      <c r="P5877">
        <v>0.99686030000000003</v>
      </c>
      <c r="Q5877">
        <v>2.0929779999999999E-2</v>
      </c>
      <c r="R5877">
        <v>7.6366119999999996E-2</v>
      </c>
      <c r="S5877">
        <v>3.0133359999999998</v>
      </c>
      <c r="T5877">
        <v>-0.19177540000000001</v>
      </c>
      <c r="U5877">
        <v>1.4648440000000001E-3</v>
      </c>
      <c r="V5877">
        <v>-7.4850910000000007E-2</v>
      </c>
      <c r="W5877">
        <v>3.1662719999999998E-2</v>
      </c>
      <c r="X5877">
        <v>0.99669189999999996</v>
      </c>
      <c r="Y5877">
        <v>1.042007E-3</v>
      </c>
      <c r="Z5877">
        <v>-1.3061069999999999E-4</v>
      </c>
      <c r="AA5877">
        <v>0.99999950000000004</v>
      </c>
      <c r="AB5877">
        <v>24</v>
      </c>
      <c r="AC5877">
        <v>17.316699999999901</v>
      </c>
      <c r="AD5877">
        <v>-1.109794077304</v>
      </c>
      <c r="AE5877">
        <v>8.2099999999982708E-3</v>
      </c>
      <c r="AF5877">
        <v>1.8267322259916299E-2</v>
      </c>
      <c r="AG5877">
        <v>-1.109794077304</v>
      </c>
      <c r="AH5877">
        <v>17.245858640171701</v>
      </c>
      <c r="AI5877">
        <v>93.6819811298015</v>
      </c>
      <c r="AJ5877">
        <v>89.939310642693698</v>
      </c>
      <c r="AK5877">
        <v>17.281539770109202</v>
      </c>
      <c r="AL5877">
        <v>88.185556454807895</v>
      </c>
      <c r="AM5877">
        <v>94.294813562743798</v>
      </c>
      <c r="AN5877">
        <v>0.99999996504561695</v>
      </c>
    </row>
    <row r="5878" spans="1:40" x14ac:dyDescent="0.25">
      <c r="A5878" t="str">
        <f>"20190312151650437"</f>
        <v>20190312151650437</v>
      </c>
      <c r="B5878" t="str">
        <f>"1552375010433202"</f>
        <v>1552375010433202</v>
      </c>
      <c r="C5878" t="s">
        <v>40</v>
      </c>
      <c r="D5878">
        <v>4.6577869999999999</v>
      </c>
      <c r="E5878">
        <v>0.52834769999999998</v>
      </c>
      <c r="F5878" t="s">
        <v>75</v>
      </c>
      <c r="G5878">
        <v>-247.42420000000001</v>
      </c>
      <c r="H5878" s="1">
        <v>-2.9555089999999999E-6</v>
      </c>
      <c r="I5878">
        <v>-63.512279999999997</v>
      </c>
      <c r="J5878">
        <v>-264.96899999999999</v>
      </c>
      <c r="K5878">
        <v>1.1097870000000001</v>
      </c>
      <c r="L5878">
        <v>-63.543640000000003</v>
      </c>
      <c r="M5878">
        <v>0.99994039999999995</v>
      </c>
      <c r="N5878">
        <v>0</v>
      </c>
      <c r="O5878">
        <v>1.686695E-3</v>
      </c>
      <c r="P5878">
        <v>0.99686180000000002</v>
      </c>
      <c r="Q5878">
        <v>2.0667149999999999E-2</v>
      </c>
      <c r="R5878">
        <v>7.6418570000000005E-2</v>
      </c>
      <c r="S5878">
        <v>3.0129999999999999</v>
      </c>
      <c r="T5878">
        <v>-0.18931880000000001</v>
      </c>
      <c r="U5878">
        <v>5.4016109999999997E-3</v>
      </c>
      <c r="V5878">
        <v>-7.4750300000000006E-2</v>
      </c>
      <c r="W5878">
        <v>3.1401539999999999E-2</v>
      </c>
      <c r="X5878">
        <v>0.99670769999999997</v>
      </c>
      <c r="Y5878">
        <v>-1.0908409999999999E-4</v>
      </c>
      <c r="Z5878">
        <v>-1.024596E-4</v>
      </c>
      <c r="AA5878">
        <v>1</v>
      </c>
      <c r="AB5878">
        <v>24</v>
      </c>
      <c r="AC5878">
        <v>17.544799999999899</v>
      </c>
      <c r="AD5878">
        <v>-1.1097899555090001</v>
      </c>
      <c r="AE5878">
        <v>3.1359999999999298E-2</v>
      </c>
      <c r="AF5878">
        <v>-1.75847133716459E-3</v>
      </c>
      <c r="AG5878">
        <v>-1.1097899555090001</v>
      </c>
      <c r="AH5878">
        <v>17.474908447068898</v>
      </c>
      <c r="AI5878">
        <v>93.633838824056298</v>
      </c>
      <c r="AJ5878">
        <v>90.005765580173403</v>
      </c>
      <c r="AK5878">
        <v>17.510113137013398</v>
      </c>
      <c r="AL5878">
        <v>88.200528387931996</v>
      </c>
      <c r="AM5878">
        <v>94.288994557184594</v>
      </c>
      <c r="AN5878">
        <v>0.99999995165187405</v>
      </c>
    </row>
    <row r="5879" spans="1:40" x14ac:dyDescent="0.25">
      <c r="A5879" t="str">
        <f>"20190312151650447"</f>
        <v>20190312151650447</v>
      </c>
      <c r="B5879" t="str">
        <f>"1552375010443939"</f>
        <v>1552375010443939</v>
      </c>
      <c r="C5879" t="s">
        <v>40</v>
      </c>
      <c r="D5879">
        <v>4.6605730000000003</v>
      </c>
      <c r="E5879">
        <v>0.52819039999999995</v>
      </c>
      <c r="F5879" t="s">
        <v>75</v>
      </c>
      <c r="G5879">
        <v>-247.2509</v>
      </c>
      <c r="H5879" s="1">
        <v>-2.8925249999999999E-6</v>
      </c>
      <c r="I5879">
        <v>-63.489559999999997</v>
      </c>
      <c r="J5879">
        <v>-264.84140000000002</v>
      </c>
      <c r="K5879">
        <v>1.1097840000000001</v>
      </c>
      <c r="L5879">
        <v>-63.543239999999997</v>
      </c>
      <c r="M5879">
        <v>0.99994000000000005</v>
      </c>
      <c r="N5879">
        <v>0</v>
      </c>
      <c r="O5879">
        <v>1.8515459999999999E-3</v>
      </c>
      <c r="P5879">
        <v>0.99685990000000002</v>
      </c>
      <c r="Q5879">
        <v>2.0337600000000001E-2</v>
      </c>
      <c r="R5879">
        <v>7.6528830000000006E-2</v>
      </c>
      <c r="S5879">
        <v>3.0126949999999999</v>
      </c>
      <c r="T5879">
        <v>-0.18870329999999999</v>
      </c>
      <c r="U5879">
        <v>9.1857910000000004E-3</v>
      </c>
      <c r="V5879">
        <v>-7.4695929999999994E-2</v>
      </c>
      <c r="W5879">
        <v>3.107269E-2</v>
      </c>
      <c r="X5879">
        <v>0.99672210000000006</v>
      </c>
      <c r="Y5879">
        <v>-1.1986430000000001E-3</v>
      </c>
      <c r="Z5879" s="1">
        <v>-7.8364069999999894E-5</v>
      </c>
      <c r="AA5879">
        <v>0.99999930000000004</v>
      </c>
      <c r="AB5879">
        <v>24</v>
      </c>
      <c r="AC5879">
        <v>17.590499999999999</v>
      </c>
      <c r="AD5879">
        <v>-1.1097868925250001</v>
      </c>
      <c r="AE5879">
        <v>5.3680000000007E-2</v>
      </c>
      <c r="AF5879">
        <v>-2.10247044042494E-2</v>
      </c>
      <c r="AG5879">
        <v>-1.1097868925250001</v>
      </c>
      <c r="AH5879">
        <v>17.520830603339299</v>
      </c>
      <c r="AI5879">
        <v>93.624327379583605</v>
      </c>
      <c r="AJ5879">
        <v>90.068753946484605</v>
      </c>
      <c r="AK5879">
        <v>17.555955514181701</v>
      </c>
      <c r="AL5879">
        <v>88.219379336707107</v>
      </c>
      <c r="AM5879">
        <v>94.285824875128597</v>
      </c>
      <c r="AN5879">
        <v>0.99999996932540502</v>
      </c>
    </row>
    <row r="5880" spans="1:40" x14ac:dyDescent="0.25">
      <c r="A5880" t="str">
        <f>"20190312151650460"</f>
        <v>20190312151650460</v>
      </c>
      <c r="B5880" t="str">
        <f>"1552375010453698"</f>
        <v>1552375010453698</v>
      </c>
      <c r="C5880" t="s">
        <v>40</v>
      </c>
      <c r="D5880">
        <v>4.6616369999999998</v>
      </c>
      <c r="E5880">
        <v>0.52807419999999905</v>
      </c>
      <c r="F5880" t="s">
        <v>75</v>
      </c>
      <c r="G5880">
        <v>-247.17500000000001</v>
      </c>
      <c r="H5880" s="1">
        <v>-2.865005E-6</v>
      </c>
      <c r="I5880">
        <v>-63.48</v>
      </c>
      <c r="J5880">
        <v>-264.71170000000001</v>
      </c>
      <c r="K5880">
        <v>1.109782</v>
      </c>
      <c r="L5880">
        <v>-63.542819999999899</v>
      </c>
      <c r="M5880">
        <v>0.99993969999999999</v>
      </c>
      <c r="N5880">
        <v>0</v>
      </c>
      <c r="O5880">
        <v>2.018976E-3</v>
      </c>
      <c r="P5880">
        <v>0.99686940000000002</v>
      </c>
      <c r="Q5880">
        <v>1.9917839999999999E-2</v>
      </c>
      <c r="R5880">
        <v>7.6518089999999997E-2</v>
      </c>
      <c r="S5880">
        <v>3.012451</v>
      </c>
      <c r="T5880">
        <v>-0.18923999999999999</v>
      </c>
      <c r="U5880">
        <v>1.077271E-2</v>
      </c>
      <c r="V5880">
        <v>-7.4518200000000007E-2</v>
      </c>
      <c r="W5880">
        <v>3.065375E-2</v>
      </c>
      <c r="X5880">
        <v>0.99674839999999998</v>
      </c>
      <c r="Y5880">
        <v>-1.5578580000000001E-3</v>
      </c>
      <c r="Z5880" s="1">
        <v>-7.7829109999999997E-5</v>
      </c>
      <c r="AA5880">
        <v>0.99999879999999997</v>
      </c>
      <c r="AB5880">
        <v>24</v>
      </c>
      <c r="AC5880">
        <v>17.5366999999999</v>
      </c>
      <c r="AD5880">
        <v>-1.109784865005</v>
      </c>
      <c r="AE5880">
        <v>6.2819999999994894E-2</v>
      </c>
      <c r="AF5880">
        <v>-2.73022935061271E-2</v>
      </c>
      <c r="AG5880">
        <v>-1.109784865005</v>
      </c>
      <c r="AH5880">
        <v>17.466840623469199</v>
      </c>
      <c r="AI5880">
        <v>93.635491728895602</v>
      </c>
      <c r="AJ5880">
        <v>90.089558549748602</v>
      </c>
      <c r="AK5880">
        <v>17.5020824254572</v>
      </c>
      <c r="AL5880">
        <v>88.243394314637897</v>
      </c>
      <c r="AM5880">
        <v>94.275552732453306</v>
      </c>
      <c r="AN5880">
        <v>0.999999993711431</v>
      </c>
    </row>
    <row r="5881" spans="1:40" x14ac:dyDescent="0.25">
      <c r="A5881" t="str">
        <f>"20190312151650472"</f>
        <v>20190312151650472</v>
      </c>
      <c r="B5881" t="str">
        <f>"1552375010463459"</f>
        <v>1552375010463459</v>
      </c>
      <c r="C5881" t="s">
        <v>40</v>
      </c>
      <c r="D5881">
        <v>4.6662509999999999</v>
      </c>
      <c r="E5881">
        <v>0.52793990000000002</v>
      </c>
      <c r="F5881" t="s">
        <v>75</v>
      </c>
      <c r="G5881">
        <v>-247.12110000000001</v>
      </c>
      <c r="H5881" s="1">
        <v>-2.8457020000000002E-6</v>
      </c>
      <c r="I5881">
        <v>-63.474679999999999</v>
      </c>
      <c r="J5881">
        <v>-264.58229999999998</v>
      </c>
      <c r="K5881">
        <v>1.1097809999999999</v>
      </c>
      <c r="L5881">
        <v>-63.542389999999997</v>
      </c>
      <c r="M5881">
        <v>0.99993929999999998</v>
      </c>
      <c r="N5881">
        <v>0</v>
      </c>
      <c r="O5881">
        <v>2.1860579999999998E-3</v>
      </c>
      <c r="P5881">
        <v>0.99687579999999998</v>
      </c>
      <c r="Q5881">
        <v>1.976203E-2</v>
      </c>
      <c r="R5881">
        <v>7.647292E-2</v>
      </c>
      <c r="S5881">
        <v>3.0123600000000001</v>
      </c>
      <c r="T5881">
        <v>-0.19004879999999999</v>
      </c>
      <c r="U5881">
        <v>1.165771E-2</v>
      </c>
      <c r="V5881">
        <v>-7.4306090000000005E-2</v>
      </c>
      <c r="W5881">
        <v>3.049789E-2</v>
      </c>
      <c r="X5881">
        <v>0.99676900000000002</v>
      </c>
      <c r="Y5881">
        <v>-1.68475E-3</v>
      </c>
      <c r="Z5881" s="1">
        <v>-8.4695840000000006E-5</v>
      </c>
      <c r="AA5881">
        <v>0.99999859999999896</v>
      </c>
      <c r="AB5881">
        <v>24</v>
      </c>
      <c r="AC5881">
        <v>17.461199999999899</v>
      </c>
      <c r="AD5881">
        <v>-1.1097838457019999</v>
      </c>
      <c r="AE5881">
        <v>6.7709999999998105E-2</v>
      </c>
      <c r="AF5881">
        <v>-2.9417585507998001E-2</v>
      </c>
      <c r="AG5881">
        <v>-1.1097838457019999</v>
      </c>
      <c r="AH5881">
        <v>17.3910560213798</v>
      </c>
      <c r="AI5881">
        <v>93.651287156939603</v>
      </c>
      <c r="AJ5881">
        <v>90.096917742282699</v>
      </c>
      <c r="AK5881">
        <v>17.4264544620324</v>
      </c>
      <c r="AL5881">
        <v>88.252328584367604</v>
      </c>
      <c r="AM5881">
        <v>94.263339869982303</v>
      </c>
      <c r="AN5881">
        <v>0.99999997783326899</v>
      </c>
    </row>
    <row r="5882" spans="1:40" x14ac:dyDescent="0.25">
      <c r="A5882" t="str">
        <f>"20190312151650482"</f>
        <v>20190312151650482</v>
      </c>
      <c r="B5882" t="str">
        <f>"1552375010474195"</f>
        <v>1552375010474195</v>
      </c>
      <c r="C5882" t="s">
        <v>40</v>
      </c>
      <c r="D5882">
        <v>4.6512719999999996</v>
      </c>
      <c r="E5882">
        <v>0.52787969999999995</v>
      </c>
      <c r="F5882" t="s">
        <v>75</v>
      </c>
      <c r="G5882">
        <v>-247.0359</v>
      </c>
      <c r="H5882" s="1">
        <v>-2.815746E-6</v>
      </c>
      <c r="I5882">
        <v>-63.469270000000002</v>
      </c>
      <c r="J5882">
        <v>-264.46949999999998</v>
      </c>
      <c r="K5882">
        <v>1.109782</v>
      </c>
      <c r="L5882">
        <v>-63.541930000000001</v>
      </c>
      <c r="M5882">
        <v>0.99993900000000002</v>
      </c>
      <c r="N5882">
        <v>0</v>
      </c>
      <c r="O5882">
        <v>2.3328860000000002E-3</v>
      </c>
      <c r="P5882">
        <v>0.99688259999999995</v>
      </c>
      <c r="Q5882">
        <v>1.9248700000000001E-2</v>
      </c>
      <c r="R5882">
        <v>7.6515340000000001E-2</v>
      </c>
      <c r="S5882">
        <v>3.0122070000000001</v>
      </c>
      <c r="T5882">
        <v>-0.19051770000000001</v>
      </c>
      <c r="U5882">
        <v>1.254272E-2</v>
      </c>
      <c r="V5882">
        <v>-7.4202190000000001E-2</v>
      </c>
      <c r="W5882">
        <v>2.998553E-2</v>
      </c>
      <c r="X5882">
        <v>0.99679229999999996</v>
      </c>
      <c r="Y5882">
        <v>-1.831917E-3</v>
      </c>
      <c r="Z5882" s="1">
        <v>-8.9537049999999997E-5</v>
      </c>
      <c r="AA5882">
        <v>0.99999830000000001</v>
      </c>
      <c r="AB5882">
        <v>24</v>
      </c>
      <c r="AC5882">
        <v>17.433599999999899</v>
      </c>
      <c r="AD5882">
        <v>-1.109784815746</v>
      </c>
      <c r="AE5882">
        <v>7.26600000000132E-2</v>
      </c>
      <c r="AF5882">
        <v>-3.1857735123560597E-2</v>
      </c>
      <c r="AG5882">
        <v>-1.109784815746</v>
      </c>
      <c r="AH5882">
        <v>17.3633614507436</v>
      </c>
      <c r="AI5882">
        <v>93.657097436481607</v>
      </c>
      <c r="AJ5882">
        <v>90.105124328856405</v>
      </c>
      <c r="AK5882">
        <v>17.398820595710401</v>
      </c>
      <c r="AL5882">
        <v>88.281698110473599</v>
      </c>
      <c r="AM5882">
        <v>94.257301351548193</v>
      </c>
      <c r="AN5882">
        <v>0.99999999317473298</v>
      </c>
    </row>
    <row r="5883" spans="1:40" x14ac:dyDescent="0.25">
      <c r="A5883" t="str">
        <f>"20190312151650492"</f>
        <v>20190312151650492</v>
      </c>
      <c r="B5883" t="str">
        <f>"1552375010483955"</f>
        <v>1552375010483955</v>
      </c>
      <c r="C5883" t="s">
        <v>40</v>
      </c>
      <c r="D5883">
        <v>4.6528790000000004</v>
      </c>
      <c r="E5883">
        <v>0.52788109999999999</v>
      </c>
      <c r="F5883" t="s">
        <v>75</v>
      </c>
      <c r="G5883">
        <v>-247.13910000000001</v>
      </c>
      <c r="H5883" s="1">
        <v>-2.8503690000000001E-6</v>
      </c>
      <c r="I5883">
        <v>-63.466369999999998</v>
      </c>
      <c r="J5883">
        <v>-264.35410000000002</v>
      </c>
      <c r="K5883">
        <v>1.1097790000000001</v>
      </c>
      <c r="L5883">
        <v>-63.541530000000002</v>
      </c>
      <c r="M5883">
        <v>0.99993869999999896</v>
      </c>
      <c r="N5883">
        <v>0</v>
      </c>
      <c r="O5883">
        <v>2.4832919999999998E-3</v>
      </c>
      <c r="P5883">
        <v>0.99687389999999998</v>
      </c>
      <c r="Q5883">
        <v>1.9215510000000002E-2</v>
      </c>
      <c r="R5883">
        <v>7.6638629999999999E-2</v>
      </c>
      <c r="S5883">
        <v>3.0120849999999999</v>
      </c>
      <c r="T5883">
        <v>-0.19288469999999999</v>
      </c>
      <c r="U5883">
        <v>1.312256E-2</v>
      </c>
      <c r="V5883">
        <v>-7.4175660000000004E-2</v>
      </c>
      <c r="W5883">
        <v>2.9952639999999999E-2</v>
      </c>
      <c r="X5883">
        <v>0.99679530000000005</v>
      </c>
      <c r="Y5883">
        <v>-1.874417E-3</v>
      </c>
      <c r="Z5883" s="1">
        <v>-9.8913599999999994E-5</v>
      </c>
      <c r="AA5883">
        <v>0.99999819999999995</v>
      </c>
      <c r="AB5883">
        <v>24</v>
      </c>
      <c r="AC5883">
        <v>17.215</v>
      </c>
      <c r="AD5883">
        <v>-1.109781850369</v>
      </c>
      <c r="AE5883">
        <v>7.5160000000003793E-2</v>
      </c>
      <c r="AF5883">
        <v>-3.2273286766807303E-2</v>
      </c>
      <c r="AG5883">
        <v>-1.109781850369</v>
      </c>
      <c r="AH5883">
        <v>17.1438872864878</v>
      </c>
      <c r="AI5883">
        <v>93.7037755024066</v>
      </c>
      <c r="AJ5883">
        <v>90.107858906650407</v>
      </c>
      <c r="AK5883">
        <v>17.1798000166546</v>
      </c>
      <c r="AL5883">
        <v>88.283583478114195</v>
      </c>
      <c r="AM5883">
        <v>94.255772042479094</v>
      </c>
      <c r="AN5883">
        <v>1.0000000296407401</v>
      </c>
    </row>
    <row r="5884" spans="1:40" x14ac:dyDescent="0.25">
      <c r="A5884" t="str">
        <f>"20190312151650504"</f>
        <v>20190312151650504</v>
      </c>
      <c r="B5884" t="str">
        <f>"1552375010493715"</f>
        <v>1552375010493715</v>
      </c>
      <c r="C5884" t="s">
        <v>40</v>
      </c>
      <c r="D5884">
        <v>4.6566140000000003</v>
      </c>
      <c r="E5884">
        <v>0.5278233</v>
      </c>
      <c r="F5884" t="s">
        <v>75</v>
      </c>
      <c r="G5884">
        <v>-246.95820000000001</v>
      </c>
      <c r="H5884" s="1">
        <v>-2.7883250000000001E-6</v>
      </c>
      <c r="I5884">
        <v>-63.463749999999997</v>
      </c>
      <c r="J5884">
        <v>-264.22710000000001</v>
      </c>
      <c r="K5884">
        <v>1.1097790000000001</v>
      </c>
      <c r="L5884">
        <v>-63.541020000000003</v>
      </c>
      <c r="M5884">
        <v>0.99993810000000005</v>
      </c>
      <c r="N5884">
        <v>0</v>
      </c>
      <c r="O5884">
        <v>2.65117E-3</v>
      </c>
      <c r="P5884">
        <v>0.99688010000000005</v>
      </c>
      <c r="Q5884">
        <v>1.8883810000000001E-2</v>
      </c>
      <c r="R5884">
        <v>7.6639689999999996E-2</v>
      </c>
      <c r="S5884">
        <v>3.0120849999999999</v>
      </c>
      <c r="T5884">
        <v>-0.1921573</v>
      </c>
      <c r="U5884">
        <v>1.345825E-2</v>
      </c>
      <c r="V5884">
        <v>-7.4009549999999993E-2</v>
      </c>
      <c r="W5884">
        <v>2.962091E-2</v>
      </c>
      <c r="X5884">
        <v>0.99681750000000002</v>
      </c>
      <c r="Y5884">
        <v>-1.8184200000000001E-3</v>
      </c>
      <c r="Z5884">
        <v>-1.110251E-4</v>
      </c>
      <c r="AA5884">
        <v>0.99999830000000001</v>
      </c>
      <c r="AB5884">
        <v>24</v>
      </c>
      <c r="AC5884">
        <v>17.268899999999999</v>
      </c>
      <c r="AD5884">
        <v>-1.1097817883249901</v>
      </c>
      <c r="AE5884">
        <v>7.7269999999998604E-2</v>
      </c>
      <c r="AF5884">
        <v>-3.13547742279877E-2</v>
      </c>
      <c r="AG5884">
        <v>-1.1097817883249901</v>
      </c>
      <c r="AH5884">
        <v>17.1980184665567</v>
      </c>
      <c r="AI5884">
        <v>93.692150274779607</v>
      </c>
      <c r="AJ5884">
        <v>90.104459373844506</v>
      </c>
      <c r="AK5884">
        <v>17.2338166961237</v>
      </c>
      <c r="AL5884">
        <v>88.302598542896007</v>
      </c>
      <c r="AM5884">
        <v>94.246182283177205</v>
      </c>
      <c r="AN5884">
        <v>0.99999997005333896</v>
      </c>
    </row>
    <row r="5885" spans="1:40" x14ac:dyDescent="0.25">
      <c r="A5885" t="str">
        <f>"20190312151650515"</f>
        <v>20190312151650515</v>
      </c>
      <c r="B5885" t="str">
        <f>"1552375010503475"</f>
        <v>1552375010503475</v>
      </c>
      <c r="C5885" t="s">
        <v>40</v>
      </c>
      <c r="D5885">
        <v>4.6658220000000004</v>
      </c>
      <c r="E5885">
        <v>0.52775229999999995</v>
      </c>
      <c r="F5885" t="s">
        <v>75</v>
      </c>
      <c r="G5885">
        <v>-246.96680000000001</v>
      </c>
      <c r="H5885" s="1">
        <v>-2.7907580000000001E-6</v>
      </c>
      <c r="I5885">
        <v>-63.460859999999997</v>
      </c>
      <c r="J5885">
        <v>-264.10489999999999</v>
      </c>
      <c r="K5885">
        <v>1.1097809999999999</v>
      </c>
      <c r="L5885">
        <v>-63.540529999999997</v>
      </c>
      <c r="M5885">
        <v>0.99993770000000004</v>
      </c>
      <c r="N5885">
        <v>0</v>
      </c>
      <c r="O5885">
        <v>2.8131459999999999E-3</v>
      </c>
      <c r="P5885">
        <v>0.99686220000000003</v>
      </c>
      <c r="Q5885">
        <v>1.845024E-2</v>
      </c>
      <c r="R5885">
        <v>7.697859E-2</v>
      </c>
      <c r="S5885">
        <v>3.0119929999999999</v>
      </c>
      <c r="T5885">
        <v>-0.19366220000000001</v>
      </c>
      <c r="U5885">
        <v>1.397705E-2</v>
      </c>
      <c r="V5885">
        <v>-7.4186840000000004E-2</v>
      </c>
      <c r="W5885">
        <v>2.918718E-2</v>
      </c>
      <c r="X5885">
        <v>0.99681719999999896</v>
      </c>
      <c r="Y5885">
        <v>-1.8291500000000001E-3</v>
      </c>
      <c r="Z5885">
        <v>-1.219559E-4</v>
      </c>
      <c r="AA5885">
        <v>0.99999830000000001</v>
      </c>
      <c r="AB5885">
        <v>24</v>
      </c>
      <c r="AC5885">
        <v>17.138099999999898</v>
      </c>
      <c r="AD5885">
        <v>-1.1097837907579999</v>
      </c>
      <c r="AE5885">
        <v>7.9670000000007193E-2</v>
      </c>
      <c r="AF5885">
        <v>-3.1323549432120901E-2</v>
      </c>
      <c r="AG5885">
        <v>-1.1097837907579999</v>
      </c>
      <c r="AH5885">
        <v>17.066692843720499</v>
      </c>
      <c r="AI5885">
        <v>93.720487933133398</v>
      </c>
      <c r="AJ5885">
        <v>90.105158344564998</v>
      </c>
      <c r="AK5885">
        <v>17.102766029180199</v>
      </c>
      <c r="AL5885">
        <v>88.327460333487807</v>
      </c>
      <c r="AM5885">
        <v>94.256317959888307</v>
      </c>
      <c r="AN5885">
        <v>1.00000005446068</v>
      </c>
    </row>
    <row r="5886" spans="1:40" x14ac:dyDescent="0.25">
      <c r="A5886" t="str">
        <f>"20190312151650525"</f>
        <v>20190312151650525</v>
      </c>
      <c r="B5886" t="str">
        <f>"1552375010514171"</f>
        <v>1552375010514171</v>
      </c>
      <c r="C5886" t="s">
        <v>40</v>
      </c>
      <c r="D5886">
        <v>4.6783669999999997</v>
      </c>
      <c r="E5886">
        <v>0.52779989999999999</v>
      </c>
      <c r="F5886" t="s">
        <v>75</v>
      </c>
      <c r="G5886">
        <v>-246.9956</v>
      </c>
      <c r="H5886" s="1">
        <v>-2.7991079999999998E-6</v>
      </c>
      <c r="I5886">
        <v>-63.452750000000002</v>
      </c>
      <c r="J5886">
        <v>-263.9862</v>
      </c>
      <c r="K5886">
        <v>1.10978</v>
      </c>
      <c r="L5886">
        <v>-63.540010000000002</v>
      </c>
      <c r="M5886">
        <v>0.99993719999999997</v>
      </c>
      <c r="N5886">
        <v>0</v>
      </c>
      <c r="O5886">
        <v>2.9722609999999999E-3</v>
      </c>
      <c r="P5886">
        <v>0.99684490000000003</v>
      </c>
      <c r="Q5886">
        <v>1.836631E-2</v>
      </c>
      <c r="R5886">
        <v>7.7220639999999993E-2</v>
      </c>
      <c r="S5886">
        <v>3.0118710000000002</v>
      </c>
      <c r="T5886">
        <v>-0.1953635</v>
      </c>
      <c r="U5886">
        <v>1.544189E-2</v>
      </c>
      <c r="V5886">
        <v>-7.4270199999999995E-2</v>
      </c>
      <c r="W5886">
        <v>2.910329E-2</v>
      </c>
      <c r="X5886">
        <v>0.99681339999999996</v>
      </c>
      <c r="Y5886">
        <v>-2.1562399999999998E-3</v>
      </c>
      <c r="Z5886">
        <v>-1.227434E-4</v>
      </c>
      <c r="AA5886">
        <v>0.99999769999999999</v>
      </c>
      <c r="AB5886">
        <v>25</v>
      </c>
      <c r="AC5886">
        <v>16.990600000000001</v>
      </c>
      <c r="AD5886">
        <v>-1.109782799108</v>
      </c>
      <c r="AE5886">
        <v>8.7259999999993398E-2</v>
      </c>
      <c r="AF5886">
        <v>-3.6600023111767598E-2</v>
      </c>
      <c r="AG5886">
        <v>-1.109782799108</v>
      </c>
      <c r="AH5886">
        <v>16.918605184546902</v>
      </c>
      <c r="AI5886">
        <v>93.752954705877599</v>
      </c>
      <c r="AJ5886">
        <v>90.123947781761601</v>
      </c>
      <c r="AK5886">
        <v>16.955003946135399</v>
      </c>
      <c r="AL5886">
        <v>88.3322688435114</v>
      </c>
      <c r="AM5886">
        <v>94.261099147771802</v>
      </c>
      <c r="AN5886">
        <v>1.00000000925821</v>
      </c>
    </row>
    <row r="5887" spans="1:40" x14ac:dyDescent="0.25">
      <c r="A5887" t="str">
        <f>"20190312151650537"</f>
        <v>20190312151650537</v>
      </c>
      <c r="B5887" t="str">
        <f>"1552375010533691"</f>
        <v>1552375010533691</v>
      </c>
      <c r="C5887" t="s">
        <v>40</v>
      </c>
      <c r="D5887">
        <v>4.7174199999999997</v>
      </c>
      <c r="E5887">
        <v>0.52785629999999994</v>
      </c>
      <c r="F5887" t="s">
        <v>75</v>
      </c>
      <c r="G5887">
        <v>-246.88749999999999</v>
      </c>
      <c r="H5887" s="1">
        <v>-2.7579849999999999E-6</v>
      </c>
      <c r="I5887">
        <v>-63.450899999999997</v>
      </c>
      <c r="J5887">
        <v>-263.86599999999999</v>
      </c>
      <c r="K5887">
        <v>1.1097809999999999</v>
      </c>
      <c r="L5887">
        <v>-63.539490000000001</v>
      </c>
      <c r="M5887">
        <v>0.99993679999999996</v>
      </c>
      <c r="N5887">
        <v>0</v>
      </c>
      <c r="O5887">
        <v>3.134235E-3</v>
      </c>
      <c r="P5887">
        <v>0.9968146</v>
      </c>
      <c r="Q5887">
        <v>1.8125490000000001E-2</v>
      </c>
      <c r="R5887">
        <v>7.7669530000000001E-2</v>
      </c>
      <c r="S5887">
        <v>3.011841</v>
      </c>
      <c r="T5887">
        <v>-0.19548189999999999</v>
      </c>
      <c r="U5887">
        <v>1.5686039999999998E-2</v>
      </c>
      <c r="V5887">
        <v>-7.4558280000000005E-2</v>
      </c>
      <c r="W5887">
        <v>2.886211E-2</v>
      </c>
      <c r="X5887">
        <v>0.99679890000000004</v>
      </c>
      <c r="Y5887">
        <v>-2.0758780000000002E-3</v>
      </c>
      <c r="Z5887">
        <v>-1.3592620000000001E-4</v>
      </c>
      <c r="AA5887">
        <v>0.9999979</v>
      </c>
      <c r="AB5887">
        <v>25</v>
      </c>
      <c r="AC5887">
        <v>16.978499999999901</v>
      </c>
      <c r="AD5887">
        <v>-1.1097837579849901</v>
      </c>
      <c r="AE5887">
        <v>8.8590000000003499E-2</v>
      </c>
      <c r="AF5887">
        <v>-3.5221376065404798E-2</v>
      </c>
      <c r="AG5887">
        <v>-1.1097837579849901</v>
      </c>
      <c r="AH5887">
        <v>16.906464035499798</v>
      </c>
      <c r="AI5887">
        <v>93.755646000871394</v>
      </c>
      <c r="AJ5887">
        <v>90.119364597672103</v>
      </c>
      <c r="AK5887">
        <v>16.942886020937198</v>
      </c>
      <c r="AL5887">
        <v>88.346093236243306</v>
      </c>
      <c r="AM5887">
        <v>94.277627905880195</v>
      </c>
      <c r="AN5887">
        <v>1.0000000027757101</v>
      </c>
    </row>
    <row r="5888" spans="1:40" x14ac:dyDescent="0.25">
      <c r="A5888" t="str">
        <f>"20190312151650548"</f>
        <v>20190312151650548</v>
      </c>
      <c r="B5888" t="str">
        <f>"1552375010543450"</f>
        <v>1552375010543450</v>
      </c>
      <c r="C5888" t="s">
        <v>40</v>
      </c>
      <c r="D5888">
        <v>4.6956150000000001</v>
      </c>
      <c r="E5888">
        <v>0.52785539999999997</v>
      </c>
      <c r="F5888" t="s">
        <v>75</v>
      </c>
      <c r="G5888">
        <v>-246.8742</v>
      </c>
      <c r="H5888" s="1">
        <v>-2.7508890000000001E-6</v>
      </c>
      <c r="I5888">
        <v>-63.445770000000003</v>
      </c>
      <c r="J5888">
        <v>-263.73939999999999</v>
      </c>
      <c r="K5888">
        <v>1.109782</v>
      </c>
      <c r="L5888">
        <v>-63.538879999999999</v>
      </c>
      <c r="M5888">
        <v>0.9999363</v>
      </c>
      <c r="N5888">
        <v>0</v>
      </c>
      <c r="O5888">
        <v>3.3062809999999999E-3</v>
      </c>
      <c r="P5888">
        <v>0.99678730000000004</v>
      </c>
      <c r="Q5888">
        <v>1.7709249999999999E-2</v>
      </c>
      <c r="R5888">
        <v>7.8114840000000005E-2</v>
      </c>
      <c r="S5888">
        <v>3.0118710000000002</v>
      </c>
      <c r="T5888">
        <v>-0.1967132</v>
      </c>
      <c r="U5888">
        <v>1.6601560000000001E-2</v>
      </c>
      <c r="V5888">
        <v>-7.4831999999999996E-2</v>
      </c>
      <c r="W5888">
        <v>2.844553E-2</v>
      </c>
      <c r="X5888">
        <v>0.99679030000000002</v>
      </c>
      <c r="Y5888">
        <v>-2.2078459999999999E-3</v>
      </c>
      <c r="Z5888">
        <v>-1.4369940000000001E-4</v>
      </c>
      <c r="AA5888">
        <v>0.99999760000000004</v>
      </c>
      <c r="AB5888">
        <v>25</v>
      </c>
      <c r="AC5888">
        <v>16.865199999999898</v>
      </c>
      <c r="AD5888">
        <v>-1.109784750889</v>
      </c>
      <c r="AE5888">
        <v>9.3110000000010004E-2</v>
      </c>
      <c r="AF5888">
        <v>-3.7184148417562402E-2</v>
      </c>
      <c r="AG5888">
        <v>-1.109784750889</v>
      </c>
      <c r="AH5888">
        <v>16.792704372046799</v>
      </c>
      <c r="AI5888">
        <v>93.7810168221352</v>
      </c>
      <c r="AJ5888">
        <v>90.126870052606407</v>
      </c>
      <c r="AK5888">
        <v>16.8293768447069</v>
      </c>
      <c r="AL5888">
        <v>88.369971213123407</v>
      </c>
      <c r="AM5888">
        <v>94.293310319614406</v>
      </c>
      <c r="AN5888">
        <v>0.99999993928753295</v>
      </c>
    </row>
    <row r="5889" spans="1:40" x14ac:dyDescent="0.25">
      <c r="A5889" t="str">
        <f>"20190312151650560"</f>
        <v>20190312151650560</v>
      </c>
      <c r="B5889" t="str">
        <f>"1552375010553210"</f>
        <v>1552375010553210</v>
      </c>
      <c r="C5889" t="s">
        <v>40</v>
      </c>
      <c r="D5889">
        <v>4.7089559999999997</v>
      </c>
      <c r="E5889">
        <v>0.52786069999999996</v>
      </c>
      <c r="F5889" t="s">
        <v>75</v>
      </c>
      <c r="G5889">
        <v>-246.87540000000001</v>
      </c>
      <c r="H5889" s="1">
        <v>-2.7496010000000001E-6</v>
      </c>
      <c r="I5889">
        <v>-63.438859999999998</v>
      </c>
      <c r="J5889">
        <v>-263.61720000000003</v>
      </c>
      <c r="K5889">
        <v>1.109782</v>
      </c>
      <c r="L5889">
        <v>-63.5383</v>
      </c>
      <c r="M5889">
        <v>0.99993560000000004</v>
      </c>
      <c r="N5889">
        <v>0</v>
      </c>
      <c r="O5889">
        <v>3.4737320000000002E-3</v>
      </c>
      <c r="P5889">
        <v>0.99674529999999995</v>
      </c>
      <c r="Q5889">
        <v>1.7503399999999999E-2</v>
      </c>
      <c r="R5889">
        <v>7.8693929999999995E-2</v>
      </c>
      <c r="S5889">
        <v>3.0117799999999999</v>
      </c>
      <c r="T5889">
        <v>-0.19819890000000001</v>
      </c>
      <c r="U5889">
        <v>1.7852779999999999E-2</v>
      </c>
      <c r="V5889">
        <v>-7.5244549999999993E-2</v>
      </c>
      <c r="W5889">
        <v>2.823962E-2</v>
      </c>
      <c r="X5889">
        <v>0.99676509999999996</v>
      </c>
      <c r="Y5889">
        <v>-2.4558409999999998E-3</v>
      </c>
      <c r="Z5889">
        <v>-1.476436E-4</v>
      </c>
      <c r="AA5889">
        <v>0.99999700000000002</v>
      </c>
      <c r="AB5889">
        <v>25</v>
      </c>
      <c r="AC5889">
        <v>16.741800000000001</v>
      </c>
      <c r="AD5889">
        <v>-1.109784749601</v>
      </c>
      <c r="AE5889">
        <v>9.9440000000001305E-2</v>
      </c>
      <c r="AF5889">
        <v>-4.1098891366373902E-2</v>
      </c>
      <c r="AG5889">
        <v>-1.109784749601</v>
      </c>
      <c r="AH5889">
        <v>16.6688020751421</v>
      </c>
      <c r="AI5889">
        <v>93.809037151451506</v>
      </c>
      <c r="AJ5889">
        <v>90.141269194724003</v>
      </c>
      <c r="AK5889">
        <v>16.705755712615399</v>
      </c>
      <c r="AL5889">
        <v>88.381773732860594</v>
      </c>
      <c r="AM5889">
        <v>94.316998903855804</v>
      </c>
      <c r="AN5889">
        <v>0.99999994151022598</v>
      </c>
    </row>
    <row r="5890" spans="1:40" x14ac:dyDescent="0.25">
      <c r="A5890" t="str">
        <f>"20190312151650569"</f>
        <v>20190312151650569</v>
      </c>
      <c r="B5890" t="str">
        <f>"1552375010563947"</f>
        <v>1552375010563947</v>
      </c>
      <c r="C5890" t="s">
        <v>40</v>
      </c>
      <c r="D5890">
        <v>4.7191340000000004</v>
      </c>
      <c r="E5890">
        <v>0.5278661</v>
      </c>
      <c r="F5890" t="s">
        <v>75</v>
      </c>
      <c r="G5890">
        <v>-246.79069999999999</v>
      </c>
      <c r="H5890" s="1">
        <v>-2.7107569999999998E-6</v>
      </c>
      <c r="I5890">
        <v>-63.429459999999999</v>
      </c>
      <c r="J5890">
        <v>-263.49900000000002</v>
      </c>
      <c r="K5890">
        <v>1.1097889999999999</v>
      </c>
      <c r="L5890">
        <v>-63.537719999999901</v>
      </c>
      <c r="M5890">
        <v>0.99993509999999997</v>
      </c>
      <c r="N5890">
        <v>0</v>
      </c>
      <c r="O5890">
        <v>3.6359949999999999E-3</v>
      </c>
      <c r="P5890">
        <v>0.99670950000000003</v>
      </c>
      <c r="Q5890">
        <v>1.6975750000000001E-2</v>
      </c>
      <c r="R5890">
        <v>7.9260819999999996E-2</v>
      </c>
      <c r="S5890">
        <v>3.011749</v>
      </c>
      <c r="T5890">
        <v>-0.19863939999999999</v>
      </c>
      <c r="U5890">
        <v>1.9470210000000002E-2</v>
      </c>
      <c r="V5890">
        <v>-7.5649659999999994E-2</v>
      </c>
      <c r="W5890">
        <v>2.7711960000000001E-2</v>
      </c>
      <c r="X5890">
        <v>0.99674929999999995</v>
      </c>
      <c r="Y5890">
        <v>-2.8301950000000002E-3</v>
      </c>
      <c r="Z5890">
        <v>-1.463313E-4</v>
      </c>
      <c r="AA5890">
        <v>0.999996</v>
      </c>
      <c r="AB5890">
        <v>25</v>
      </c>
      <c r="AC5890">
        <v>16.708300000000001</v>
      </c>
      <c r="AD5890">
        <v>-1.1097917107569999</v>
      </c>
      <c r="AE5890">
        <v>0.108259999999994</v>
      </c>
      <c r="AF5890">
        <v>-4.72957955872828E-2</v>
      </c>
      <c r="AG5890">
        <v>-1.1097917107569999</v>
      </c>
      <c r="AH5890">
        <v>16.635194685237799</v>
      </c>
      <c r="AI5890">
        <v>93.816729725080094</v>
      </c>
      <c r="AJ5890">
        <v>90.162898134085907</v>
      </c>
      <c r="AK5890">
        <v>16.672239704050199</v>
      </c>
      <c r="AL5890">
        <v>88.412018349305598</v>
      </c>
      <c r="AM5890">
        <v>94.340221206946396</v>
      </c>
      <c r="AN5890">
        <v>0.99999999541782303</v>
      </c>
    </row>
    <row r="5891" spans="1:40" x14ac:dyDescent="0.25">
      <c r="A5891" t="str">
        <f>"20190312151650581"</f>
        <v>20190312151650581</v>
      </c>
      <c r="B5891" t="str">
        <f>"1552375010573707"</f>
        <v>1552375010573707</v>
      </c>
      <c r="C5891" t="s">
        <v>40</v>
      </c>
      <c r="D5891">
        <v>4.737425</v>
      </c>
      <c r="E5891">
        <v>0.52789509999999995</v>
      </c>
      <c r="F5891" t="s">
        <v>75</v>
      </c>
      <c r="G5891">
        <v>-246.80770000000001</v>
      </c>
      <c r="H5891" s="1">
        <v>-2.715703E-6</v>
      </c>
      <c r="I5891">
        <v>-63.4206199999999</v>
      </c>
      <c r="J5891">
        <v>-263.3784</v>
      </c>
      <c r="K5891">
        <v>1.1097889999999999</v>
      </c>
      <c r="L5891">
        <v>-63.537109999999998</v>
      </c>
      <c r="M5891">
        <v>0.9999344</v>
      </c>
      <c r="N5891">
        <v>0</v>
      </c>
      <c r="O5891">
        <v>3.802438E-3</v>
      </c>
      <c r="P5891">
        <v>0.99667249999999996</v>
      </c>
      <c r="Q5891">
        <v>1.6744419999999999E-2</v>
      </c>
      <c r="R5891">
        <v>7.9773469999999999E-2</v>
      </c>
      <c r="S5891">
        <v>3.0116580000000002</v>
      </c>
      <c r="T5891">
        <v>-0.20024339999999999</v>
      </c>
      <c r="U5891">
        <v>2.111816E-2</v>
      </c>
      <c r="V5891">
        <v>-7.5996129999999995E-2</v>
      </c>
      <c r="W5891">
        <v>2.74784E-2</v>
      </c>
      <c r="X5891">
        <v>0.99672939999999999</v>
      </c>
      <c r="Y5891">
        <v>-3.210657E-3</v>
      </c>
      <c r="Z5891">
        <v>-1.4593510000000001E-4</v>
      </c>
      <c r="AA5891">
        <v>0.99999479999999996</v>
      </c>
      <c r="AB5891">
        <v>25</v>
      </c>
      <c r="AC5891">
        <v>16.570699999999899</v>
      </c>
      <c r="AD5891">
        <v>-1.1097917157029999</v>
      </c>
      <c r="AE5891">
        <v>0.11649000000000501</v>
      </c>
      <c r="AF5891">
        <v>-5.3237639975398099E-2</v>
      </c>
      <c r="AG5891">
        <v>-1.1097917157029999</v>
      </c>
      <c r="AH5891">
        <v>16.497031025357</v>
      </c>
      <c r="AI5891">
        <v>93.848594952932999</v>
      </c>
      <c r="AJ5891">
        <v>90.184898815333398</v>
      </c>
      <c r="AK5891">
        <v>16.5344036647877</v>
      </c>
      <c r="AL5891">
        <v>88.425405434160794</v>
      </c>
      <c r="AM5891">
        <v>94.360109345586196</v>
      </c>
      <c r="AN5891">
        <v>0.999999985532948</v>
      </c>
    </row>
    <row r="5892" spans="1:40" x14ac:dyDescent="0.25">
      <c r="A5892" t="str">
        <f>"20190312151650593"</f>
        <v>20190312151650593</v>
      </c>
      <c r="B5892" t="str">
        <f>"1552375010583467"</f>
        <v>1552375010583467</v>
      </c>
      <c r="C5892" t="s">
        <v>40</v>
      </c>
      <c r="D5892">
        <v>4.7997259999999997</v>
      </c>
      <c r="E5892">
        <v>0.52774009999999905</v>
      </c>
      <c r="F5892" t="s">
        <v>75</v>
      </c>
      <c r="G5892">
        <v>-246.74019999999999</v>
      </c>
      <c r="H5892" s="1">
        <v>-2.6847720000000002E-6</v>
      </c>
      <c r="I5892">
        <v>-63.4133</v>
      </c>
      <c r="J5892">
        <v>-263.25279999999998</v>
      </c>
      <c r="K5892">
        <v>1.109788</v>
      </c>
      <c r="L5892">
        <v>-63.536409999999997</v>
      </c>
      <c r="M5892">
        <v>0.99993370000000004</v>
      </c>
      <c r="N5892">
        <v>0</v>
      </c>
      <c r="O5892">
        <v>3.9762759999999999E-3</v>
      </c>
      <c r="P5892">
        <v>0.99662910000000005</v>
      </c>
      <c r="Q5892">
        <v>1.661781E-2</v>
      </c>
      <c r="R5892">
        <v>8.0338690000000004E-2</v>
      </c>
      <c r="S5892">
        <v>3.0115970000000001</v>
      </c>
      <c r="T5892">
        <v>-0.200877</v>
      </c>
      <c r="U5892">
        <v>2.23999E-2</v>
      </c>
      <c r="V5892">
        <v>-7.6388040000000004E-2</v>
      </c>
      <c r="W5892">
        <v>2.7348750000000002E-2</v>
      </c>
      <c r="X5892">
        <v>0.99670300000000001</v>
      </c>
      <c r="Y5892">
        <v>-3.4623620000000001E-3</v>
      </c>
      <c r="Z5892">
        <v>-1.4959620000000001E-4</v>
      </c>
      <c r="AA5892">
        <v>0.99999400000000005</v>
      </c>
      <c r="AB5892">
        <v>25</v>
      </c>
      <c r="AC5892">
        <v>16.5125999999999</v>
      </c>
      <c r="AD5892">
        <v>-1.109790684772</v>
      </c>
      <c r="AE5892">
        <v>0.123109999999996</v>
      </c>
      <c r="AF5892">
        <v>-5.7188231707621197E-2</v>
      </c>
      <c r="AG5892">
        <v>-1.109790684772</v>
      </c>
      <c r="AH5892">
        <v>16.438709276416599</v>
      </c>
      <c r="AI5892">
        <v>93.862201035275206</v>
      </c>
      <c r="AJ5892">
        <v>90.199324110004397</v>
      </c>
      <c r="AK5892">
        <v>16.476227375597801</v>
      </c>
      <c r="AL5892">
        <v>88.432836613865405</v>
      </c>
      <c r="AM5892">
        <v>94.382622566561906</v>
      </c>
      <c r="AN5892">
        <v>0.99999997849530098</v>
      </c>
    </row>
    <row r="5893" spans="1:40" x14ac:dyDescent="0.25">
      <c r="A5893" t="str">
        <f>"20190312151650604"</f>
        <v>20190312151650604</v>
      </c>
      <c r="B5893" t="str">
        <f>"1552375010593226"</f>
        <v>1552375010593226</v>
      </c>
      <c r="C5893" t="s">
        <v>40</v>
      </c>
      <c r="D5893">
        <v>4.8298940000000004</v>
      </c>
      <c r="E5893">
        <v>0.52758830000000001</v>
      </c>
      <c r="F5893" t="s">
        <v>75</v>
      </c>
      <c r="G5893">
        <v>-247.0145</v>
      </c>
      <c r="H5893" s="1">
        <v>-2.7961720000000001E-6</v>
      </c>
      <c r="I5893">
        <v>-63.399929999999998</v>
      </c>
      <c r="J5893">
        <v>-263.12079999999997</v>
      </c>
      <c r="K5893">
        <v>1.109785</v>
      </c>
      <c r="L5893">
        <v>-63.535710000000002</v>
      </c>
      <c r="M5893">
        <v>0.99993310000000002</v>
      </c>
      <c r="N5893">
        <v>0</v>
      </c>
      <c r="O5893">
        <v>4.159182E-3</v>
      </c>
      <c r="P5893">
        <v>0.99658550000000001</v>
      </c>
      <c r="Q5893">
        <v>1.622032E-2</v>
      </c>
      <c r="R5893">
        <v>8.0957489999999993E-2</v>
      </c>
      <c r="S5893">
        <v>3.011536</v>
      </c>
      <c r="T5893">
        <v>-0.20582039999999999</v>
      </c>
      <c r="U5893">
        <v>2.529907E-2</v>
      </c>
      <c r="V5893">
        <v>-7.6824680000000006E-2</v>
      </c>
      <c r="W5893">
        <v>2.694645E-2</v>
      </c>
      <c r="X5893">
        <v>0.99668040000000002</v>
      </c>
      <c r="Y5893">
        <v>-4.2408849999999998E-3</v>
      </c>
      <c r="Z5893">
        <v>-1.3918549999999901E-4</v>
      </c>
      <c r="AA5893">
        <v>0.99999099999999996</v>
      </c>
      <c r="AB5893">
        <v>25</v>
      </c>
      <c r="AC5893">
        <v>16.106299999999901</v>
      </c>
      <c r="AD5893">
        <v>-1.109787796172</v>
      </c>
      <c r="AE5893">
        <v>0.13577999999998899</v>
      </c>
      <c r="AF5893">
        <v>-6.8460877661685696E-2</v>
      </c>
      <c r="AG5893">
        <v>-1.109787796172</v>
      </c>
      <c r="AH5893">
        <v>16.030621382055799</v>
      </c>
      <c r="AI5893">
        <v>93.960188849021307</v>
      </c>
      <c r="AJ5893">
        <v>90.244687676906906</v>
      </c>
      <c r="AK5893">
        <v>16.069136185219399</v>
      </c>
      <c r="AL5893">
        <v>88.455895209335793</v>
      </c>
      <c r="AM5893">
        <v>94.407675092641995</v>
      </c>
      <c r="AN5893">
        <v>0.99999998118443201</v>
      </c>
    </row>
    <row r="5894" spans="1:40" x14ac:dyDescent="0.25">
      <c r="A5894" t="str">
        <f>"20190312151650615"</f>
        <v>20190312151650615</v>
      </c>
      <c r="B5894" t="str">
        <f>"1552375010603964"</f>
        <v>1552375010603964</v>
      </c>
      <c r="C5894" t="s">
        <v>40</v>
      </c>
      <c r="D5894">
        <v>4.6915659999999999</v>
      </c>
      <c r="E5894">
        <v>0.52761389999999997</v>
      </c>
      <c r="F5894" t="s">
        <v>75</v>
      </c>
      <c r="G5894">
        <v>-247.27889999999999</v>
      </c>
      <c r="H5894" s="1">
        <v>-2.883753E-6</v>
      </c>
      <c r="I5894">
        <v>-63.386339999999997</v>
      </c>
      <c r="J5894">
        <v>-263.00420000000003</v>
      </c>
      <c r="K5894">
        <v>1.109782</v>
      </c>
      <c r="L5894">
        <v>-63.535060000000001</v>
      </c>
      <c r="M5894">
        <v>0.99993240000000005</v>
      </c>
      <c r="N5894">
        <v>0</v>
      </c>
      <c r="O5894">
        <v>4.3211020000000003E-3</v>
      </c>
      <c r="P5894">
        <v>0.99653939999999996</v>
      </c>
      <c r="Q5894">
        <v>1.6148800000000001E-2</v>
      </c>
      <c r="R5894">
        <v>8.1538509999999995E-2</v>
      </c>
      <c r="S5894">
        <v>3.0113530000000002</v>
      </c>
      <c r="T5894">
        <v>-0.21095720000000001</v>
      </c>
      <c r="U5894">
        <v>2.838135E-2</v>
      </c>
      <c r="V5894">
        <v>-7.7244969999999996E-2</v>
      </c>
      <c r="W5894">
        <v>2.68697E-2</v>
      </c>
      <c r="X5894">
        <v>0.99665000000000004</v>
      </c>
      <c r="Y5894">
        <v>-5.1012050000000001E-3</v>
      </c>
      <c r="Z5894">
        <v>-1.2389129999999999E-4</v>
      </c>
      <c r="AA5894">
        <v>0.99998699999999996</v>
      </c>
      <c r="AB5894">
        <v>25</v>
      </c>
      <c r="AC5894">
        <v>15.725300000000001</v>
      </c>
      <c r="AD5894">
        <v>-1.109784883753</v>
      </c>
      <c r="AE5894">
        <v>0.14871999999999</v>
      </c>
      <c r="AF5894">
        <v>-8.0363804452100396E-2</v>
      </c>
      <c r="AG5894">
        <v>-1.109784883753</v>
      </c>
      <c r="AH5894">
        <v>15.6478673917814</v>
      </c>
      <c r="AI5894">
        <v>94.056710241616997</v>
      </c>
      <c r="AJ5894">
        <v>90.294255199324695</v>
      </c>
      <c r="AK5894">
        <v>15.687378198413199</v>
      </c>
      <c r="AL5894">
        <v>88.460294273589099</v>
      </c>
      <c r="AM5894">
        <v>94.431827298249601</v>
      </c>
      <c r="AN5894">
        <v>0.99999999433419495</v>
      </c>
    </row>
    <row r="5895" spans="1:40" x14ac:dyDescent="0.25">
      <c r="A5895" t="str">
        <f>"20190312151650626"</f>
        <v>20190312151650626</v>
      </c>
      <c r="B5895" t="str">
        <f>"1552375010623212"</f>
        <v>1552375010623212</v>
      </c>
      <c r="C5895" t="s">
        <v>40</v>
      </c>
      <c r="D5895">
        <v>4.7918969999999996</v>
      </c>
      <c r="E5895">
        <v>0.52743079999999998</v>
      </c>
      <c r="F5895" t="s">
        <v>75</v>
      </c>
      <c r="G5895">
        <v>-247.13120000000001</v>
      </c>
      <c r="H5895" s="1">
        <v>-2.83201E-6</v>
      </c>
      <c r="I5895">
        <v>-63.378010000000003</v>
      </c>
      <c r="J5895">
        <v>-262.87849999999997</v>
      </c>
      <c r="K5895">
        <v>1.10978</v>
      </c>
      <c r="L5895">
        <v>-63.534300000000002</v>
      </c>
      <c r="M5895">
        <v>0.99993180000000004</v>
      </c>
      <c r="N5895">
        <v>0</v>
      </c>
      <c r="O5895">
        <v>4.4953600000000003E-3</v>
      </c>
      <c r="P5895">
        <v>0.99650309999999998</v>
      </c>
      <c r="Q5895">
        <v>1.5966919999999999E-2</v>
      </c>
      <c r="R5895">
        <v>8.2018140000000003E-2</v>
      </c>
      <c r="S5895">
        <v>3.0114139999999998</v>
      </c>
      <c r="T5895">
        <v>-0.21054800000000001</v>
      </c>
      <c r="U5895">
        <v>2.9785160000000001E-2</v>
      </c>
      <c r="V5895">
        <v>-7.7550930000000004E-2</v>
      </c>
      <c r="W5895">
        <v>2.668237E-2</v>
      </c>
      <c r="X5895">
        <v>0.9966313</v>
      </c>
      <c r="Y5895">
        <v>-5.3925800000000001E-3</v>
      </c>
      <c r="Z5895">
        <v>-1.256443E-4</v>
      </c>
      <c r="AA5895">
        <v>0.99998549999999997</v>
      </c>
      <c r="AB5895">
        <v>25</v>
      </c>
      <c r="AC5895">
        <v>15.7472999999999</v>
      </c>
      <c r="AD5895">
        <v>-1.1097828320100001</v>
      </c>
      <c r="AE5895">
        <v>0.15629000000000501</v>
      </c>
      <c r="AF5895">
        <v>-8.5072043629741204E-2</v>
      </c>
      <c r="AG5895">
        <v>-1.1097828320100001</v>
      </c>
      <c r="AH5895">
        <v>15.6700235874381</v>
      </c>
      <c r="AI5895">
        <v>94.050979760939995</v>
      </c>
      <c r="AJ5895">
        <v>90.311053850087006</v>
      </c>
      <c r="AK5895">
        <v>15.7095033154361</v>
      </c>
      <c r="AL5895">
        <v>88.471031383855802</v>
      </c>
      <c r="AM5895">
        <v>94.449394146187402</v>
      </c>
      <c r="AN5895">
        <v>1.00000002187618</v>
      </c>
    </row>
    <row r="5896" spans="1:40" x14ac:dyDescent="0.25">
      <c r="A5896" t="str">
        <f>"20190312151650637"</f>
        <v>20190312151650637</v>
      </c>
      <c r="B5896" t="str">
        <f>"1552375010633948"</f>
        <v>1552375010633948</v>
      </c>
      <c r="C5896" t="s">
        <v>40</v>
      </c>
      <c r="D5896">
        <v>4.7250690000000004</v>
      </c>
      <c r="E5896">
        <v>0.52749690000000005</v>
      </c>
      <c r="F5896" t="s">
        <v>75</v>
      </c>
      <c r="G5896">
        <v>-247.3151</v>
      </c>
      <c r="H5896" s="1">
        <v>-2.8922969999999999E-6</v>
      </c>
      <c r="I5896">
        <v>-63.365160000000003</v>
      </c>
      <c r="J5896">
        <v>-262.75990000000002</v>
      </c>
      <c r="K5896">
        <v>1.1097790000000001</v>
      </c>
      <c r="L5896">
        <v>-63.533569999999997</v>
      </c>
      <c r="M5896">
        <v>0.99993100000000001</v>
      </c>
      <c r="N5896">
        <v>0</v>
      </c>
      <c r="O5896">
        <v>4.659898E-3</v>
      </c>
      <c r="P5896">
        <v>0.99644949999999999</v>
      </c>
      <c r="Q5896">
        <v>1.5851460000000001E-2</v>
      </c>
      <c r="R5896">
        <v>8.2687979999999994E-2</v>
      </c>
      <c r="S5896">
        <v>3.0113219999999998</v>
      </c>
      <c r="T5896">
        <v>-0.21472849999999999</v>
      </c>
      <c r="U5896">
        <v>3.2714840000000002E-2</v>
      </c>
      <c r="V5896">
        <v>-7.8056810000000004E-2</v>
      </c>
      <c r="W5896">
        <v>2.656178E-2</v>
      </c>
      <c r="X5896">
        <v>0.99659500000000001</v>
      </c>
      <c r="Y5896">
        <v>-6.1993869999999998E-3</v>
      </c>
      <c r="Z5896">
        <v>-1.1112560000000001E-4</v>
      </c>
      <c r="AA5896">
        <v>0.99998069999999895</v>
      </c>
      <c r="AB5896">
        <v>25</v>
      </c>
      <c r="AC5896">
        <v>15.444800000000001</v>
      </c>
      <c r="AD5896">
        <v>-1.109781892297</v>
      </c>
      <c r="AE5896">
        <v>0.168410000000001</v>
      </c>
      <c r="AF5896">
        <v>-9.5937517587345603E-2</v>
      </c>
      <c r="AG5896">
        <v>-1.109781892297</v>
      </c>
      <c r="AH5896">
        <v>15.366089854468299</v>
      </c>
      <c r="AI5896">
        <v>94.130808407311903</v>
      </c>
      <c r="AJ5896">
        <v>90.357719073955707</v>
      </c>
      <c r="AK5896">
        <v>15.4064122128205</v>
      </c>
      <c r="AL5896">
        <v>88.477943088877893</v>
      </c>
      <c r="AM5896">
        <v>94.478463190486195</v>
      </c>
      <c r="AN5896">
        <v>0.99999999388457195</v>
      </c>
    </row>
    <row r="5897" spans="1:40" x14ac:dyDescent="0.25">
      <c r="A5897" t="str">
        <f>"20190312151650648"</f>
        <v>20190312151650648</v>
      </c>
      <c r="B5897" t="str">
        <f>"1552375010643707"</f>
        <v>1552375010643707</v>
      </c>
      <c r="C5897" t="s">
        <v>40</v>
      </c>
      <c r="D5897">
        <v>4.8210030000000001</v>
      </c>
      <c r="E5897">
        <v>0.52737919999999905</v>
      </c>
      <c r="F5897" t="s">
        <v>75</v>
      </c>
      <c r="G5897">
        <v>-247.1935</v>
      </c>
      <c r="H5897" s="1">
        <v>-2.8495859999999998E-6</v>
      </c>
      <c r="I5897">
        <v>-63.357610000000001</v>
      </c>
      <c r="J5897">
        <v>-262.6327</v>
      </c>
      <c r="K5897">
        <v>1.109777</v>
      </c>
      <c r="L5897">
        <v>-63.532809999999998</v>
      </c>
      <c r="M5897">
        <v>0.99993019999999999</v>
      </c>
      <c r="N5897">
        <v>0</v>
      </c>
      <c r="O5897">
        <v>4.836356E-3</v>
      </c>
      <c r="P5897">
        <v>0.99641570000000002</v>
      </c>
      <c r="Q5897">
        <v>1.556719E-2</v>
      </c>
      <c r="R5897">
        <v>8.3146830000000005E-2</v>
      </c>
      <c r="S5897">
        <v>3.0112920000000001</v>
      </c>
      <c r="T5897">
        <v>-0.21468499999999999</v>
      </c>
      <c r="U5897">
        <v>3.4027099999999998E-2</v>
      </c>
      <c r="V5897">
        <v>-7.8339699999999998E-2</v>
      </c>
      <c r="W5897">
        <v>2.6273390000000001E-2</v>
      </c>
      <c r="X5897">
        <v>0.99658049999999998</v>
      </c>
      <c r="Y5897">
        <v>-6.4585379999999998E-3</v>
      </c>
      <c r="Z5897">
        <v>-1.1444229999999999E-4</v>
      </c>
      <c r="AA5897">
        <v>0.99997910000000001</v>
      </c>
      <c r="AB5897">
        <v>25</v>
      </c>
      <c r="AC5897">
        <v>15.4392</v>
      </c>
      <c r="AD5897">
        <v>-1.1097798495860001</v>
      </c>
      <c r="AE5897">
        <v>0.175199999999996</v>
      </c>
      <c r="AF5897">
        <v>-0.10000748928794401</v>
      </c>
      <c r="AG5897">
        <v>-1.1097798495860001</v>
      </c>
      <c r="AH5897">
        <v>15.360511873980199</v>
      </c>
      <c r="AI5897">
        <v>94.132288666891</v>
      </c>
      <c r="AJ5897">
        <v>90.373029632201295</v>
      </c>
      <c r="AK5897">
        <v>15.400874580462901</v>
      </c>
      <c r="AL5897">
        <v>88.494472466632899</v>
      </c>
      <c r="AM5897">
        <v>94.494692578874904</v>
      </c>
      <c r="AN5897">
        <v>1.00000004629921</v>
      </c>
    </row>
    <row r="5898" spans="1:40" x14ac:dyDescent="0.25">
      <c r="A5898" t="str">
        <f>"20190312151650660"</f>
        <v>20190312151650660</v>
      </c>
      <c r="B5898" t="str">
        <f>"1552375010653467"</f>
        <v>1552375010653467</v>
      </c>
      <c r="C5898" t="s">
        <v>40</v>
      </c>
      <c r="D5898">
        <v>4.7072830000000003</v>
      </c>
      <c r="E5898">
        <v>0.52746179999999998</v>
      </c>
      <c r="F5898" t="s">
        <v>75</v>
      </c>
      <c r="G5898">
        <v>-247.33619999999999</v>
      </c>
      <c r="H5898" s="1">
        <v>-2.8964520000000001E-6</v>
      </c>
      <c r="I5898">
        <v>-63.348109999999998</v>
      </c>
      <c r="J5898">
        <v>-262.50979999999998</v>
      </c>
      <c r="K5898">
        <v>1.1097729999999999</v>
      </c>
      <c r="L5898">
        <v>-63.53201</v>
      </c>
      <c r="M5898">
        <v>0.99992959999999997</v>
      </c>
      <c r="N5898">
        <v>0</v>
      </c>
      <c r="O5898">
        <v>5.0064410000000004E-3</v>
      </c>
      <c r="P5898">
        <v>0.99636040000000003</v>
      </c>
      <c r="Q5898">
        <v>1.535839E-2</v>
      </c>
      <c r="R5898">
        <v>8.3848279999999997E-2</v>
      </c>
      <c r="S5898">
        <v>3.0111690000000002</v>
      </c>
      <c r="T5898">
        <v>-0.21846370000000001</v>
      </c>
      <c r="U5898">
        <v>3.6346440000000001E-2</v>
      </c>
      <c r="V5898">
        <v>-7.8871869999999997E-2</v>
      </c>
      <c r="W5898">
        <v>2.6058410000000001E-2</v>
      </c>
      <c r="X5898">
        <v>0.99654410000000004</v>
      </c>
      <c r="Y5898">
        <v>-7.0577519999999996E-3</v>
      </c>
      <c r="Z5898">
        <v>-1.070715E-4</v>
      </c>
      <c r="AA5898">
        <v>0.99997510000000001</v>
      </c>
      <c r="AB5898">
        <v>25</v>
      </c>
      <c r="AC5898">
        <v>15.173599999999899</v>
      </c>
      <c r="AD5898">
        <v>-1.1097758964519999</v>
      </c>
      <c r="AE5898">
        <v>0.18390000000000101</v>
      </c>
      <c r="AF5898">
        <v>-0.107353389391947</v>
      </c>
      <c r="AG5898">
        <v>-1.1097758964519999</v>
      </c>
      <c r="AH5898">
        <v>15.093602880548699</v>
      </c>
      <c r="AI5898">
        <v>94.205070378418696</v>
      </c>
      <c r="AJ5898">
        <v>90.407509887488999</v>
      </c>
      <c r="AK5898">
        <v>15.1347274572841</v>
      </c>
      <c r="AL5898">
        <v>88.506794029411495</v>
      </c>
      <c r="AM5898">
        <v>94.525263723932497</v>
      </c>
      <c r="AN5898">
        <v>0.99999997792691697</v>
      </c>
    </row>
    <row r="5899" spans="1:40" x14ac:dyDescent="0.25">
      <c r="A5899" t="str">
        <f>"20190312151650683"</f>
        <v>20190312151650683</v>
      </c>
      <c r="B5899" t="str">
        <f>"1552375010673963"</f>
        <v>1552375010673963</v>
      </c>
      <c r="C5899" t="s">
        <v>40</v>
      </c>
      <c r="D5899">
        <v>4.7072820000000002</v>
      </c>
      <c r="E5899">
        <v>0.52739569999999902</v>
      </c>
      <c r="F5899" t="s">
        <v>75</v>
      </c>
      <c r="G5899">
        <v>-247.244</v>
      </c>
      <c r="H5899" s="1">
        <v>-2.8638579999999999E-6</v>
      </c>
      <c r="I5899">
        <v>-63.341189999999997</v>
      </c>
      <c r="J5899">
        <v>-262.25599999999997</v>
      </c>
      <c r="K5899">
        <v>1.109774</v>
      </c>
      <c r="L5899">
        <v>-63.530329999999999</v>
      </c>
      <c r="M5899">
        <v>0.99992780000000003</v>
      </c>
      <c r="N5899">
        <v>0</v>
      </c>
      <c r="O5899">
        <v>5.3574159999999899E-3</v>
      </c>
      <c r="P5899">
        <v>0.99628070000000002</v>
      </c>
      <c r="Q5899">
        <v>1.4769529999999999E-2</v>
      </c>
      <c r="R5899">
        <v>8.4892880000000004E-2</v>
      </c>
      <c r="S5899">
        <v>3.0111690000000002</v>
      </c>
      <c r="T5899">
        <v>-0.2189034</v>
      </c>
      <c r="U5899">
        <v>3.7628170000000002E-2</v>
      </c>
      <c r="V5899">
        <v>-7.9566869999999998E-2</v>
      </c>
      <c r="W5899">
        <v>2.54535E-2</v>
      </c>
      <c r="X5899">
        <v>0.99650450000000002</v>
      </c>
      <c r="Y5899">
        <v>-7.1330530000000003E-3</v>
      </c>
      <c r="Z5899">
        <v>-1.3003379999999999E-4</v>
      </c>
      <c r="AA5899">
        <v>0.99997449999999999</v>
      </c>
      <c r="AB5899">
        <v>25</v>
      </c>
      <c r="AC5899">
        <v>15.011999999999899</v>
      </c>
      <c r="AD5899">
        <v>-1.1097768638579999</v>
      </c>
      <c r="AE5899">
        <v>0.189140000000001</v>
      </c>
      <c r="AF5899">
        <v>-0.108116336085923</v>
      </c>
      <c r="AG5899">
        <v>-1.1097768638579999</v>
      </c>
      <c r="AH5899">
        <v>14.931211018315</v>
      </c>
      <c r="AI5899">
        <v>94.250637787298501</v>
      </c>
      <c r="AJ5899">
        <v>90.414869328793799</v>
      </c>
      <c r="AK5899">
        <v>14.9727871922075</v>
      </c>
      <c r="AL5899">
        <v>88.541464344180199</v>
      </c>
      <c r="AM5899">
        <v>94.565152096950797</v>
      </c>
      <c r="AN5899">
        <v>0.999999992992048</v>
      </c>
    </row>
    <row r="5900" spans="1:40" x14ac:dyDescent="0.25">
      <c r="A5900" t="str">
        <f>"20190312151650693"</f>
        <v>20190312151650693</v>
      </c>
      <c r="B5900" t="str">
        <f>"1552375010683724"</f>
        <v>1552375010683724</v>
      </c>
      <c r="C5900" t="s">
        <v>40</v>
      </c>
      <c r="D5900">
        <v>4.871969</v>
      </c>
      <c r="E5900">
        <v>0.52731539999999999</v>
      </c>
      <c r="F5900" t="s">
        <v>75</v>
      </c>
      <c r="G5900">
        <v>-247.27109999999999</v>
      </c>
      <c r="H5900" s="1">
        <v>-2.8701260000000001E-6</v>
      </c>
      <c r="I5900">
        <v>-63.324480000000001</v>
      </c>
      <c r="J5900">
        <v>-262.14510000000001</v>
      </c>
      <c r="K5900">
        <v>1.1097709999999901</v>
      </c>
      <c r="L5900">
        <v>-63.529600000000002</v>
      </c>
      <c r="M5900">
        <v>0.99992700000000001</v>
      </c>
      <c r="N5900">
        <v>0</v>
      </c>
      <c r="O5900">
        <v>5.5106419999999996E-3</v>
      </c>
      <c r="P5900">
        <v>0.99622860000000002</v>
      </c>
      <c r="Q5900">
        <v>1.4730760000000001E-2</v>
      </c>
      <c r="R5900">
        <v>8.5508169999999994E-2</v>
      </c>
      <c r="S5900">
        <v>3.0109859999999999</v>
      </c>
      <c r="T5900">
        <v>-0.22299359999999999</v>
      </c>
      <c r="U5900">
        <v>4.1351319999999997E-2</v>
      </c>
      <c r="V5900">
        <v>-8.0029779999999995E-2</v>
      </c>
      <c r="W5900">
        <v>2.540632E-2</v>
      </c>
      <c r="X5900">
        <v>0.99646869999999999</v>
      </c>
      <c r="Y5900">
        <v>-8.2141339999999997E-3</v>
      </c>
      <c r="Z5900">
        <v>-1.0381980000000001E-4</v>
      </c>
      <c r="AA5900">
        <v>0.99996629999999997</v>
      </c>
      <c r="AB5900">
        <v>25</v>
      </c>
      <c r="AC5900">
        <v>14.874000000000001</v>
      </c>
      <c r="AD5900">
        <v>-1.10977387012599</v>
      </c>
      <c r="AE5900">
        <v>0.20512</v>
      </c>
      <c r="AF5900">
        <v>-0.122465234808336</v>
      </c>
      <c r="AG5900">
        <v>-1.10977387012599</v>
      </c>
      <c r="AH5900">
        <v>14.7925714288049</v>
      </c>
      <c r="AI5900">
        <v>94.290281786782799</v>
      </c>
      <c r="AJ5900">
        <v>90.474331378081104</v>
      </c>
      <c r="AK5900">
        <v>14.8346474596751</v>
      </c>
      <c r="AL5900">
        <v>88.544168528847905</v>
      </c>
      <c r="AM5900">
        <v>94.591762590601405</v>
      </c>
      <c r="AN5900">
        <v>1.0000000584312301</v>
      </c>
    </row>
    <row r="5901" spans="1:40" x14ac:dyDescent="0.25">
      <c r="A5901" t="str">
        <f>"20190312151650705"</f>
        <v>20190312151650705</v>
      </c>
      <c r="B5901" t="str">
        <f>"1552375010693484"</f>
        <v>1552375010693484</v>
      </c>
      <c r="C5901" t="s">
        <v>40</v>
      </c>
      <c r="D5901">
        <v>4.8440279999999998</v>
      </c>
      <c r="E5901">
        <v>0.52722329999999995</v>
      </c>
      <c r="F5901" t="s">
        <v>41</v>
      </c>
      <c r="G5901">
        <v>-261.20089999999999</v>
      </c>
      <c r="H5901">
        <v>1.0389489999999999</v>
      </c>
      <c r="I5901">
        <v>-63.51596</v>
      </c>
      <c r="J5901">
        <v>-262.01530000000002</v>
      </c>
      <c r="K5901">
        <v>1.109764</v>
      </c>
      <c r="L5901">
        <v>-63.528660000000002</v>
      </c>
      <c r="M5901">
        <v>0.99992630000000005</v>
      </c>
      <c r="N5901">
        <v>0</v>
      </c>
      <c r="O5901">
        <v>5.6895749999999997E-3</v>
      </c>
      <c r="P5901">
        <v>0.99618119999999999</v>
      </c>
      <c r="Q5901">
        <v>1.4500839999999999E-2</v>
      </c>
      <c r="R5901">
        <v>8.6098049999999995E-2</v>
      </c>
      <c r="S5901">
        <v>3.0109249999999999</v>
      </c>
      <c r="T5901">
        <v>-0.2258048</v>
      </c>
      <c r="U5901">
        <v>4.3884279999999998E-2</v>
      </c>
      <c r="V5901">
        <v>-8.0441260000000001E-2</v>
      </c>
      <c r="W5901">
        <v>2.5164160000000001E-2</v>
      </c>
      <c r="X5901">
        <v>0.99644169999999999</v>
      </c>
      <c r="Y5901">
        <v>-8.8749889999999998E-3</v>
      </c>
      <c r="Z5901" s="1">
        <v>-9.3781770000000002E-5</v>
      </c>
      <c r="AA5901">
        <v>0.99996059999999998</v>
      </c>
      <c r="AB5901">
        <v>25</v>
      </c>
      <c r="AC5901">
        <v>0.81440000000003399</v>
      </c>
      <c r="AD5901">
        <v>-7.0815000000000003E-2</v>
      </c>
      <c r="AE5901">
        <v>1.26999999999952E-2</v>
      </c>
      <c r="AF5901">
        <v>-8.0054243235131196E-3</v>
      </c>
      <c r="AG5901">
        <v>-7.0815000000000003E-2</v>
      </c>
      <c r="AH5901">
        <v>0.80834869977161805</v>
      </c>
      <c r="AI5901">
        <v>95.006343356399896</v>
      </c>
      <c r="AJ5901">
        <v>90.567406160977896</v>
      </c>
      <c r="AK5901">
        <v>0.811484116582737</v>
      </c>
      <c r="AL5901">
        <v>88.558047694145898</v>
      </c>
      <c r="AM5901">
        <v>94.615394316068205</v>
      </c>
      <c r="AN5901">
        <v>1.0000000463788901</v>
      </c>
    </row>
    <row r="5902" spans="1:40" x14ac:dyDescent="0.25">
      <c r="A5902" t="str">
        <f>"20190312151650716"</f>
        <v>20190312151650716</v>
      </c>
      <c r="B5902" t="str">
        <f>"1552375010704220"</f>
        <v>1552375010704220</v>
      </c>
      <c r="C5902" t="s">
        <v>40</v>
      </c>
      <c r="D5902">
        <v>4.8457869999999996</v>
      </c>
      <c r="E5902">
        <v>0.52711580000000002</v>
      </c>
      <c r="F5902" t="s">
        <v>75</v>
      </c>
      <c r="G5902">
        <v>-247.42689999999999</v>
      </c>
      <c r="H5902" s="1">
        <v>-2.9195460000000002E-6</v>
      </c>
      <c r="I5902">
        <v>-63.304279999999999</v>
      </c>
      <c r="J5902">
        <v>-261.89690000000002</v>
      </c>
      <c r="K5902">
        <v>1.1097589999999999</v>
      </c>
      <c r="L5902">
        <v>-63.527830000000002</v>
      </c>
      <c r="M5902">
        <v>0.99992539999999996</v>
      </c>
      <c r="N5902">
        <v>0</v>
      </c>
      <c r="O5902">
        <v>5.8528290000000004E-3</v>
      </c>
      <c r="P5902">
        <v>0.99611810000000001</v>
      </c>
      <c r="Q5902">
        <v>1.451217E-2</v>
      </c>
      <c r="R5902">
        <v>8.6824799999999994E-2</v>
      </c>
      <c r="S5902">
        <v>3.010834</v>
      </c>
      <c r="T5902">
        <v>-0.22903989999999999</v>
      </c>
      <c r="U5902">
        <v>4.6295169999999997E-2</v>
      </c>
      <c r="V5902">
        <v>-8.1005709999999995E-2</v>
      </c>
      <c r="W5902">
        <v>2.5163680000000001E-2</v>
      </c>
      <c r="X5902">
        <v>0.9963959</v>
      </c>
      <c r="Y5902">
        <v>-9.5110739999999996E-3</v>
      </c>
      <c r="Z5902" s="1">
        <v>-8.3366410000000003E-5</v>
      </c>
      <c r="AA5902">
        <v>0.99995480000000003</v>
      </c>
      <c r="AB5902">
        <v>25</v>
      </c>
      <c r="AC5902">
        <v>14.47</v>
      </c>
      <c r="AD5902">
        <v>-1.109761919546</v>
      </c>
      <c r="AE5902">
        <v>0.223549999999995</v>
      </c>
      <c r="AF5902">
        <v>-0.138039119664216</v>
      </c>
      <c r="AG5902">
        <v>-1.109761919546</v>
      </c>
      <c r="AH5902">
        <v>14.386460115612</v>
      </c>
      <c r="AI5902">
        <v>94.410820518663897</v>
      </c>
      <c r="AJ5902">
        <v>90.549740255587807</v>
      </c>
      <c r="AK5902">
        <v>14.429860046955699</v>
      </c>
      <c r="AL5902">
        <v>88.558075084132199</v>
      </c>
      <c r="AM5902">
        <v>94.647851484976897</v>
      </c>
      <c r="AN5902">
        <v>0.99999996269027702</v>
      </c>
    </row>
    <row r="5903" spans="1:40" x14ac:dyDescent="0.25">
      <c r="A5903" t="str">
        <f>"20190312151650727"</f>
        <v>20190312151650727</v>
      </c>
      <c r="B5903" t="str">
        <f>"1552375010724148"</f>
        <v>1552375010724148</v>
      </c>
      <c r="C5903" t="s">
        <v>40</v>
      </c>
      <c r="D5903">
        <v>4.871791</v>
      </c>
      <c r="E5903">
        <v>0.5269933</v>
      </c>
      <c r="F5903" t="s">
        <v>41</v>
      </c>
      <c r="G5903">
        <v>-260.97930000000002</v>
      </c>
      <c r="H5903">
        <v>1.0392380000000001</v>
      </c>
      <c r="I5903">
        <v>-63.513190000000002</v>
      </c>
      <c r="J5903">
        <v>-261.77280000000002</v>
      </c>
      <c r="K5903">
        <v>1.1097539999999999</v>
      </c>
      <c r="L5903">
        <v>-63.526890000000002</v>
      </c>
      <c r="M5903">
        <v>0.99992449999999999</v>
      </c>
      <c r="N5903">
        <v>0</v>
      </c>
      <c r="O5903">
        <v>6.0240169999999996E-3</v>
      </c>
      <c r="P5903">
        <v>0.9960791</v>
      </c>
      <c r="Q5903">
        <v>1.452373E-2</v>
      </c>
      <c r="R5903">
        <v>8.7268730000000003E-2</v>
      </c>
      <c r="S5903">
        <v>3.0107729999999999</v>
      </c>
      <c r="T5903">
        <v>-0.2313566</v>
      </c>
      <c r="U5903">
        <v>4.9224850000000001E-2</v>
      </c>
      <c r="V5903">
        <v>-8.1279870000000004E-2</v>
      </c>
      <c r="W5903">
        <v>2.5162250000000001E-2</v>
      </c>
      <c r="X5903">
        <v>0.99637370000000003</v>
      </c>
      <c r="Y5903">
        <v>-1.03109E-2</v>
      </c>
      <c r="Z5903" s="1">
        <v>-6.6659299999999994E-5</v>
      </c>
      <c r="AA5903">
        <v>0.99994680000000002</v>
      </c>
      <c r="AB5903">
        <v>25</v>
      </c>
      <c r="AC5903">
        <v>0.79349999999999399</v>
      </c>
      <c r="AD5903">
        <v>-7.0516000000000204E-2</v>
      </c>
      <c r="AE5903">
        <v>1.37E-2</v>
      </c>
      <c r="AF5903">
        <v>-8.8495525270446702E-3</v>
      </c>
      <c r="AG5903">
        <v>-7.0516000000000204E-2</v>
      </c>
      <c r="AH5903">
        <v>0.78735199183540905</v>
      </c>
      <c r="AI5903">
        <v>95.117489025777004</v>
      </c>
      <c r="AJ5903">
        <v>90.643956789086801</v>
      </c>
      <c r="AK5903">
        <v>0.79055295830394201</v>
      </c>
      <c r="AL5903">
        <v>88.558157173395003</v>
      </c>
      <c r="AM5903">
        <v>94.663616100166394</v>
      </c>
      <c r="AN5903">
        <v>1.0000000530719799</v>
      </c>
    </row>
    <row r="5904" spans="1:40" x14ac:dyDescent="0.25">
      <c r="A5904" t="str">
        <f>"20190312151650738"</f>
        <v>20190312151650738</v>
      </c>
      <c r="B5904" t="str">
        <f>"1552375010733907"</f>
        <v>1552375010733907</v>
      </c>
      <c r="C5904" t="s">
        <v>40</v>
      </c>
      <c r="D5904">
        <v>4.8689</v>
      </c>
      <c r="E5904">
        <v>0.52695649999999905</v>
      </c>
      <c r="F5904" t="s">
        <v>75</v>
      </c>
      <c r="G5904">
        <v>-247.6019</v>
      </c>
      <c r="H5904" s="1">
        <v>-2.975604E-6</v>
      </c>
      <c r="I5904">
        <v>-63.284649999999999</v>
      </c>
      <c r="J5904">
        <v>-261.64890000000003</v>
      </c>
      <c r="K5904">
        <v>1.10975</v>
      </c>
      <c r="L5904">
        <v>-63.525970000000001</v>
      </c>
      <c r="M5904">
        <v>0.99992349999999997</v>
      </c>
      <c r="N5904">
        <v>0</v>
      </c>
      <c r="O5904">
        <v>6.1948460000000004E-3</v>
      </c>
      <c r="P5904">
        <v>0.99602590000000002</v>
      </c>
      <c r="Q5904">
        <v>1.4518319999999999E-2</v>
      </c>
      <c r="R5904">
        <v>8.7872580000000006E-2</v>
      </c>
      <c r="S5904">
        <v>3.0107729999999999</v>
      </c>
      <c r="T5904">
        <v>-0.2357802</v>
      </c>
      <c r="U5904">
        <v>5.1452640000000001E-2</v>
      </c>
      <c r="V5904">
        <v>-8.1713190000000005E-2</v>
      </c>
      <c r="W5904">
        <v>2.5143660000000002E-2</v>
      </c>
      <c r="X5904">
        <v>0.99633870000000002</v>
      </c>
      <c r="Y5904">
        <v>-1.087806E-2</v>
      </c>
      <c r="Z5904" s="1">
        <v>-5.9113870000000001E-5</v>
      </c>
      <c r="AA5904">
        <v>0.99994079999999996</v>
      </c>
      <c r="AB5904">
        <v>25</v>
      </c>
      <c r="AC5904">
        <v>14.047000000000001</v>
      </c>
      <c r="AD5904">
        <v>-1.1097529756039901</v>
      </c>
      <c r="AE5904">
        <v>0.24131999999999401</v>
      </c>
      <c r="AF5904">
        <v>-0.15333463178329801</v>
      </c>
      <c r="AG5904">
        <v>-1.1097529756039901</v>
      </c>
      <c r="AH5904">
        <v>13.961113579973899</v>
      </c>
      <c r="AI5904">
        <v>94.544547105407005</v>
      </c>
      <c r="AJ5904">
        <v>90.629253102178197</v>
      </c>
      <c r="AK5904">
        <v>14.0059899888975</v>
      </c>
      <c r="AL5904">
        <v>88.559222601532497</v>
      </c>
      <c r="AM5904">
        <v>94.688532232999194</v>
      </c>
      <c r="AN5904">
        <v>1.0000000270879299</v>
      </c>
    </row>
    <row r="5905" spans="1:40" x14ac:dyDescent="0.25">
      <c r="A5905" t="str">
        <f>"20190312151650749"</f>
        <v>20190312151650749</v>
      </c>
      <c r="B5905" t="str">
        <f>"1552375010743667"</f>
        <v>1552375010743667</v>
      </c>
      <c r="C5905" t="s">
        <v>40</v>
      </c>
      <c r="D5905">
        <v>4.7436920000000002</v>
      </c>
      <c r="E5905">
        <v>0.52704219999999902</v>
      </c>
      <c r="F5905" t="s">
        <v>41</v>
      </c>
      <c r="G5905">
        <v>-260.75549999999998</v>
      </c>
      <c r="H5905">
        <v>1.039086</v>
      </c>
      <c r="I5905">
        <v>-63.510119999999901</v>
      </c>
      <c r="J5905">
        <v>-261.52510000000001</v>
      </c>
      <c r="K5905">
        <v>1.1097459999999999</v>
      </c>
      <c r="L5905">
        <v>-63.524990000000003</v>
      </c>
      <c r="M5905">
        <v>0.99992259999999999</v>
      </c>
      <c r="N5905">
        <v>0</v>
      </c>
      <c r="O5905">
        <v>6.3653149999999999E-3</v>
      </c>
      <c r="P5905">
        <v>0.99596819999999997</v>
      </c>
      <c r="Q5905">
        <v>1.4268100000000001E-2</v>
      </c>
      <c r="R5905">
        <v>8.8565770000000002E-2</v>
      </c>
      <c r="S5905">
        <v>3.0107119999999998</v>
      </c>
      <c r="T5905">
        <v>-0.23812759999999999</v>
      </c>
      <c r="U5905">
        <v>5.3619380000000001E-2</v>
      </c>
      <c r="V5905">
        <v>-8.2236799999999999E-2</v>
      </c>
      <c r="W5905">
        <v>2.4880530000000001E-2</v>
      </c>
      <c r="X5905">
        <v>0.99630220000000003</v>
      </c>
      <c r="Y5905">
        <v>-1.1425889999999999E-2</v>
      </c>
      <c r="Z5905" s="1">
        <v>-5.1532810000000003E-5</v>
      </c>
      <c r="AA5905">
        <v>0.99993469999999995</v>
      </c>
      <c r="AB5905">
        <v>25</v>
      </c>
      <c r="AC5905">
        <v>0.76960000000002504</v>
      </c>
      <c r="AD5905">
        <v>-7.0659999999999903E-2</v>
      </c>
      <c r="AE5905">
        <v>1.4870000000008999E-2</v>
      </c>
      <c r="AF5905">
        <v>-9.8873550650364593E-3</v>
      </c>
      <c r="AG5905">
        <v>-7.0659999999999903E-2</v>
      </c>
      <c r="AH5905">
        <v>0.76324744429543001</v>
      </c>
      <c r="AI5905">
        <v>95.28881679589</v>
      </c>
      <c r="AJ5905">
        <v>90.742186605424493</v>
      </c>
      <c r="AK5905">
        <v>0.76657501695117103</v>
      </c>
      <c r="AL5905">
        <v>88.574303523217196</v>
      </c>
      <c r="AM5905">
        <v>94.718612740732496</v>
      </c>
      <c r="AN5905">
        <v>1.00000000288608</v>
      </c>
    </row>
    <row r="5906" spans="1:40" x14ac:dyDescent="0.25">
      <c r="A5906" t="str">
        <f>"20190312151650761"</f>
        <v>20190312151650761</v>
      </c>
      <c r="B5906" t="str">
        <f>"1552375010753427"</f>
        <v>1552375010753427</v>
      </c>
      <c r="C5906" t="s">
        <v>40</v>
      </c>
      <c r="D5906">
        <v>4.7262389999999996</v>
      </c>
      <c r="E5906">
        <v>0.52709259999999902</v>
      </c>
      <c r="F5906" t="s">
        <v>75</v>
      </c>
      <c r="G5906">
        <v>-247.53219999999999</v>
      </c>
      <c r="H5906" s="1">
        <v>-2.9491299999999998E-6</v>
      </c>
      <c r="I5906">
        <v>-63.26905</v>
      </c>
      <c r="J5906">
        <v>-261.40379999999999</v>
      </c>
      <c r="K5906">
        <v>1.1097440000000001</v>
      </c>
      <c r="L5906">
        <v>-63.524050000000003</v>
      </c>
      <c r="M5906">
        <v>0.99992159999999997</v>
      </c>
      <c r="N5906">
        <v>0</v>
      </c>
      <c r="O5906">
        <v>6.5323819999999998E-3</v>
      </c>
      <c r="P5906">
        <v>0.99593469999999995</v>
      </c>
      <c r="Q5906">
        <v>1.385548E-2</v>
      </c>
      <c r="R5906">
        <v>8.9006950000000001E-2</v>
      </c>
      <c r="S5906">
        <v>3.0106809999999999</v>
      </c>
      <c r="T5906">
        <v>-0.2387707</v>
      </c>
      <c r="U5906">
        <v>5.5053709999999999E-2</v>
      </c>
      <c r="V5906">
        <v>-8.2511310000000004E-2</v>
      </c>
      <c r="W5906">
        <v>2.4456749999999999E-2</v>
      </c>
      <c r="X5906">
        <v>0.99629000000000001</v>
      </c>
      <c r="Y5906">
        <v>-1.1734690000000001E-2</v>
      </c>
      <c r="Z5906" s="1">
        <v>-5.2674560000000003E-5</v>
      </c>
      <c r="AA5906">
        <v>0.99993120000000002</v>
      </c>
      <c r="AB5906">
        <v>25</v>
      </c>
      <c r="AC5906">
        <v>13.871600000000001</v>
      </c>
      <c r="AD5906">
        <v>-1.1097469491299901</v>
      </c>
      <c r="AE5906">
        <v>0.255000000000002</v>
      </c>
      <c r="AF5906">
        <v>-0.16332980418305901</v>
      </c>
      <c r="AG5906">
        <v>-1.1097469491299901</v>
      </c>
      <c r="AH5906">
        <v>13.7847740879273</v>
      </c>
      <c r="AI5906">
        <v>94.602364135511195</v>
      </c>
      <c r="AJ5906">
        <v>90.6788410533199</v>
      </c>
      <c r="AK5906">
        <v>13.8303366398374</v>
      </c>
      <c r="AL5906">
        <v>88.598591725151906</v>
      </c>
      <c r="AM5906">
        <v>94.734349906894295</v>
      </c>
      <c r="AN5906">
        <v>1.00000000649923</v>
      </c>
    </row>
    <row r="5907" spans="1:40" x14ac:dyDescent="0.25">
      <c r="A5907" t="str">
        <f>"20190312151650770"</f>
        <v>20190312151650770</v>
      </c>
      <c r="B5907" t="str">
        <f>"1552375010764164"</f>
        <v>1552375010764164</v>
      </c>
      <c r="C5907" t="s">
        <v>40</v>
      </c>
      <c r="D5907">
        <v>4.8563340000000004</v>
      </c>
      <c r="E5907">
        <v>0.52703049999999996</v>
      </c>
      <c r="F5907" t="s">
        <v>41</v>
      </c>
      <c r="G5907">
        <v>-260.5258</v>
      </c>
      <c r="H5907">
        <v>1.0398499999999999</v>
      </c>
      <c r="I5907">
        <v>-63.507930000000002</v>
      </c>
      <c r="J5907">
        <v>-261.28149999999999</v>
      </c>
      <c r="K5907">
        <v>1.109748</v>
      </c>
      <c r="L5907">
        <v>-63.523069999999997</v>
      </c>
      <c r="M5907">
        <v>0.9999207</v>
      </c>
      <c r="N5907">
        <v>0</v>
      </c>
      <c r="O5907">
        <v>6.7006399999999999E-3</v>
      </c>
      <c r="P5907">
        <v>0.99588790000000005</v>
      </c>
      <c r="Q5907">
        <v>1.3533959999999999E-2</v>
      </c>
      <c r="R5907">
        <v>8.9579030000000004E-2</v>
      </c>
      <c r="S5907">
        <v>3.0105900000000001</v>
      </c>
      <c r="T5907">
        <v>-0.2396297</v>
      </c>
      <c r="U5907">
        <v>5.5999760000000003E-2</v>
      </c>
      <c r="V5907">
        <v>-8.2916260000000006E-2</v>
      </c>
      <c r="W5907">
        <v>2.4124019999999999E-2</v>
      </c>
      <c r="X5907">
        <v>0.9962645</v>
      </c>
      <c r="Y5907">
        <v>-1.1881050000000001E-2</v>
      </c>
      <c r="Z5907" s="1">
        <v>-6.0420049999999998E-5</v>
      </c>
      <c r="AA5907">
        <v>0.99992939999999997</v>
      </c>
      <c r="AB5907">
        <v>25</v>
      </c>
      <c r="AC5907">
        <v>0.75569999999999005</v>
      </c>
      <c r="AD5907">
        <v>-6.9898000000000002E-2</v>
      </c>
      <c r="AE5907">
        <v>1.5139999999995201E-2</v>
      </c>
      <c r="AF5907">
        <v>-9.9902640338872199E-3</v>
      </c>
      <c r="AG5907">
        <v>-6.9898000000000002E-2</v>
      </c>
      <c r="AH5907">
        <v>0.74937598996856603</v>
      </c>
      <c r="AI5907">
        <v>95.3283712749882</v>
      </c>
      <c r="AJ5907">
        <v>90.763790228476694</v>
      </c>
      <c r="AK5907">
        <v>0.75269509771276899</v>
      </c>
      <c r="AL5907">
        <v>88.617661387126105</v>
      </c>
      <c r="AM5907">
        <v>94.757600025083306</v>
      </c>
      <c r="AN5907">
        <v>1.00000001423679</v>
      </c>
    </row>
    <row r="5908" spans="1:40" x14ac:dyDescent="0.25">
      <c r="A5908" t="str">
        <f>"20190312151650783"</f>
        <v>20190312151650783</v>
      </c>
      <c r="B5908" t="str">
        <f>"1552375010773924"</f>
        <v>1552375010773924</v>
      </c>
      <c r="C5908" t="s">
        <v>40</v>
      </c>
      <c r="D5908">
        <v>4.840668</v>
      </c>
      <c r="E5908">
        <v>0.5269547</v>
      </c>
      <c r="F5908" t="s">
        <v>75</v>
      </c>
      <c r="G5908">
        <v>-247.5412</v>
      </c>
      <c r="H5908" s="1">
        <v>-2.9501029999999998E-6</v>
      </c>
      <c r="I5908">
        <v>-63.257249999999999</v>
      </c>
      <c r="J5908">
        <v>-261.14870000000002</v>
      </c>
      <c r="K5908">
        <v>1.1097429999999999</v>
      </c>
      <c r="L5908">
        <v>-63.521970000000003</v>
      </c>
      <c r="M5908">
        <v>0.99991949999999996</v>
      </c>
      <c r="N5908">
        <v>0</v>
      </c>
      <c r="O5908">
        <v>6.8835149999999998E-3</v>
      </c>
      <c r="P5908">
        <v>0.99582559999999998</v>
      </c>
      <c r="Q5908">
        <v>1.344149E-2</v>
      </c>
      <c r="R5908">
        <v>9.0282539999999994E-2</v>
      </c>
      <c r="S5908">
        <v>3.0104679999999999</v>
      </c>
      <c r="T5908">
        <v>-0.243144</v>
      </c>
      <c r="U5908">
        <v>5.8227540000000001E-2</v>
      </c>
      <c r="V5908">
        <v>-8.3437600000000001E-2</v>
      </c>
      <c r="W5908">
        <v>2.4016760000000002E-2</v>
      </c>
      <c r="X5908">
        <v>0.99622359999999999</v>
      </c>
      <c r="Y5908">
        <v>-1.2436930000000001E-2</v>
      </c>
      <c r="Z5908" s="1">
        <v>-5.3640510000000003E-5</v>
      </c>
      <c r="AA5908">
        <v>0.99992259999999999</v>
      </c>
      <c r="AB5908">
        <v>25</v>
      </c>
      <c r="AC5908">
        <v>13.6075</v>
      </c>
      <c r="AD5908">
        <v>-1.109745950103</v>
      </c>
      <c r="AE5908">
        <v>0.26471999999999601</v>
      </c>
      <c r="AF5908">
        <v>-0.16991131425980199</v>
      </c>
      <c r="AG5908">
        <v>-1.109745950103</v>
      </c>
      <c r="AH5908">
        <v>13.5191175271195</v>
      </c>
      <c r="AI5908">
        <v>94.692357368013404</v>
      </c>
      <c r="AJ5908">
        <v>90.720068350314506</v>
      </c>
      <c r="AK5908">
        <v>13.565653122520599</v>
      </c>
      <c r="AL5908">
        <v>88.623808762014093</v>
      </c>
      <c r="AM5908">
        <v>94.7875706950215</v>
      </c>
      <c r="AN5908">
        <v>1.0000000495257999</v>
      </c>
    </row>
    <row r="5909" spans="1:40" x14ac:dyDescent="0.25">
      <c r="A5909" t="str">
        <f>"20190312151650794"</f>
        <v>20190312151650794</v>
      </c>
      <c r="B5909" t="str">
        <f>"1552375010783685"</f>
        <v>1552375010783685</v>
      </c>
      <c r="C5909" t="s">
        <v>40</v>
      </c>
      <c r="D5909">
        <v>4.8802810000000001</v>
      </c>
      <c r="E5909">
        <v>0.5269625</v>
      </c>
      <c r="F5909" t="s">
        <v>75</v>
      </c>
      <c r="G5909">
        <v>-247.4761</v>
      </c>
      <c r="H5909" s="1">
        <v>-2.9257549999999998E-6</v>
      </c>
      <c r="I5909">
        <v>-63.244979999999998</v>
      </c>
      <c r="J5909">
        <v>-261.03070000000002</v>
      </c>
      <c r="K5909">
        <v>1.1097410000000001</v>
      </c>
      <c r="L5909">
        <v>-63.521000000000001</v>
      </c>
      <c r="M5909">
        <v>0.99991859999999999</v>
      </c>
      <c r="N5909">
        <v>0</v>
      </c>
      <c r="O5909">
        <v>7.0458219999999898E-3</v>
      </c>
      <c r="P5909">
        <v>0.99575749999999996</v>
      </c>
      <c r="Q5909">
        <v>1.3227589999999999E-2</v>
      </c>
      <c r="R5909">
        <v>9.1061749999999997E-2</v>
      </c>
      <c r="S5909">
        <v>3.0103759999999999</v>
      </c>
      <c r="T5909">
        <v>-0.24433779999999999</v>
      </c>
      <c r="U5909">
        <v>6.097412E-2</v>
      </c>
      <c r="V5909">
        <v>-8.4055580000000005E-2</v>
      </c>
      <c r="W5909">
        <v>2.3789370000000001E-2</v>
      </c>
      <c r="X5909">
        <v>0.99617710000000004</v>
      </c>
      <c r="Y5909">
        <v>-1.318504E-2</v>
      </c>
      <c r="Z5909" s="1">
        <v>-3.674673E-5</v>
      </c>
      <c r="AA5909">
        <v>0.9999131</v>
      </c>
      <c r="AB5909">
        <v>25</v>
      </c>
      <c r="AC5909">
        <v>13.554600000000001</v>
      </c>
      <c r="AD5909">
        <v>-1.1097439257549999</v>
      </c>
      <c r="AE5909">
        <v>0.27601999999999499</v>
      </c>
      <c r="AF5909">
        <v>-0.17930306703472701</v>
      </c>
      <c r="AG5909">
        <v>-1.1097439257549999</v>
      </c>
      <c r="AH5909">
        <v>13.4659827307578</v>
      </c>
      <c r="AI5909">
        <v>94.710735671578703</v>
      </c>
      <c r="AJ5909">
        <v>90.762863143774993</v>
      </c>
      <c r="AK5909">
        <v>13.512822505889201</v>
      </c>
      <c r="AL5909">
        <v>88.636840965547904</v>
      </c>
      <c r="AM5909">
        <v>94.823087218336397</v>
      </c>
      <c r="AN5909">
        <v>1.0000000446092701</v>
      </c>
    </row>
    <row r="5910" spans="1:40" x14ac:dyDescent="0.25">
      <c r="A5910" t="str">
        <f>"20190312151650805"</f>
        <v>20190312151650805</v>
      </c>
      <c r="B5910" t="str">
        <f>"1552375010793444"</f>
        <v>1552375010793444</v>
      </c>
      <c r="C5910" t="s">
        <v>40</v>
      </c>
      <c r="D5910">
        <v>4.8435750000000004</v>
      </c>
      <c r="E5910">
        <v>0.52694079999999999</v>
      </c>
      <c r="F5910" t="s">
        <v>41</v>
      </c>
      <c r="G5910">
        <v>-260.0967</v>
      </c>
      <c r="H5910">
        <v>1.033104</v>
      </c>
      <c r="I5910">
        <v>-63.501840000000001</v>
      </c>
      <c r="J5910">
        <v>-260.9067</v>
      </c>
      <c r="K5910">
        <v>1.1097360000000001</v>
      </c>
      <c r="L5910">
        <v>-63.519930000000002</v>
      </c>
      <c r="M5910">
        <v>0.99991759999999996</v>
      </c>
      <c r="N5910">
        <v>0</v>
      </c>
      <c r="O5910">
        <v>7.2162579999999997E-3</v>
      </c>
      <c r="P5910">
        <v>0.99570270000000005</v>
      </c>
      <c r="Q5910">
        <v>1.329441E-2</v>
      </c>
      <c r="R5910">
        <v>9.1649179999999997E-2</v>
      </c>
      <c r="S5910">
        <v>3.0102540000000002</v>
      </c>
      <c r="T5910">
        <v>-0.24692359999999999</v>
      </c>
      <c r="U5910">
        <v>6.3201900000000005E-2</v>
      </c>
      <c r="V5910">
        <v>-8.4473489999999998E-2</v>
      </c>
      <c r="W5910">
        <v>2.383847E-2</v>
      </c>
      <c r="X5910">
        <v>0.99614049999999998</v>
      </c>
      <c r="Y5910">
        <v>-1.3753349999999999E-2</v>
      </c>
      <c r="Z5910" s="1">
        <v>-2.7823789999999999E-5</v>
      </c>
      <c r="AA5910">
        <v>0.99990540000000006</v>
      </c>
      <c r="AB5910">
        <v>25</v>
      </c>
      <c r="AC5910">
        <v>0.81000000000000205</v>
      </c>
      <c r="AD5910">
        <v>-7.6632000000000006E-2</v>
      </c>
      <c r="AE5910">
        <v>1.80900000000008E-2</v>
      </c>
      <c r="AF5910">
        <v>-1.21354654097747E-2</v>
      </c>
      <c r="AG5910">
        <v>-7.6632000000000006E-2</v>
      </c>
      <c r="AH5910">
        <v>0.80292639731135695</v>
      </c>
      <c r="AI5910">
        <v>95.451227109577403</v>
      </c>
      <c r="AJ5910">
        <v>90.865905038979903</v>
      </c>
      <c r="AK5910">
        <v>0.80666630798869199</v>
      </c>
      <c r="AL5910">
        <v>88.634026842184795</v>
      </c>
      <c r="AM5910">
        <v>94.847130062045593</v>
      </c>
      <c r="AN5910">
        <v>0.99999996945248504</v>
      </c>
    </row>
    <row r="5911" spans="1:40" x14ac:dyDescent="0.25">
      <c r="A5911" t="str">
        <f>"20190312151650816"</f>
        <v>20190312151650816</v>
      </c>
      <c r="B5911" t="str">
        <f>"1552375010813433"</f>
        <v>1552375010813433</v>
      </c>
      <c r="C5911" t="s">
        <v>40</v>
      </c>
      <c r="D5911">
        <v>4.8494400000000004</v>
      </c>
      <c r="E5911">
        <v>0.52699370000000001</v>
      </c>
      <c r="F5911" t="s">
        <v>75</v>
      </c>
      <c r="G5911">
        <v>-247.37559999999999</v>
      </c>
      <c r="H5911" s="1">
        <v>-2.8884409999999998E-6</v>
      </c>
      <c r="I5911">
        <v>-63.227269999999997</v>
      </c>
      <c r="J5911">
        <v>-260.78309999999999</v>
      </c>
      <c r="K5911">
        <v>1.1097330000000001</v>
      </c>
      <c r="L5911">
        <v>-63.518830000000001</v>
      </c>
      <c r="M5911">
        <v>0.99991640000000004</v>
      </c>
      <c r="N5911">
        <v>0</v>
      </c>
      <c r="O5911">
        <v>7.386157E-3</v>
      </c>
      <c r="P5911">
        <v>0.99564180000000002</v>
      </c>
      <c r="Q5911">
        <v>1.31217E-2</v>
      </c>
      <c r="R5911">
        <v>9.2331360000000001E-2</v>
      </c>
      <c r="S5911">
        <v>3.010284</v>
      </c>
      <c r="T5911">
        <v>-0.2468854</v>
      </c>
      <c r="U5911">
        <v>6.5093990000000004E-2</v>
      </c>
      <c r="V5911">
        <v>-8.498638E-2</v>
      </c>
      <c r="W5911">
        <v>2.3647789999999998E-2</v>
      </c>
      <c r="X5911">
        <v>0.99610140000000003</v>
      </c>
      <c r="Y5911">
        <v>-1.4210479999999999E-2</v>
      </c>
      <c r="Z5911" s="1">
        <v>-2.3015769999999999E-5</v>
      </c>
      <c r="AA5911">
        <v>0.99989899999999998</v>
      </c>
      <c r="AB5911">
        <v>25</v>
      </c>
      <c r="AC5911">
        <v>13.407500000000001</v>
      </c>
      <c r="AD5911">
        <v>-1.109735888441</v>
      </c>
      <c r="AE5911">
        <v>0.29156000000000398</v>
      </c>
      <c r="AF5911">
        <v>-0.191207257578627</v>
      </c>
      <c r="AG5911">
        <v>-1.109735888441</v>
      </c>
      <c r="AH5911">
        <v>13.318090910538899</v>
      </c>
      <c r="AI5911">
        <v>94.762704430254203</v>
      </c>
      <c r="AJ5911">
        <v>90.822536527437194</v>
      </c>
      <c r="AK5911">
        <v>13.3656133214613</v>
      </c>
      <c r="AL5911">
        <v>88.644955057412105</v>
      </c>
      <c r="AM5911">
        <v>94.876608942693906</v>
      </c>
      <c r="AN5911">
        <v>0.99999995091967298</v>
      </c>
    </row>
    <row r="5912" spans="1:40" x14ac:dyDescent="0.25">
      <c r="A5912" t="str">
        <f>"20190312151650827"</f>
        <v>20190312151650827</v>
      </c>
      <c r="B5912" t="str">
        <f>"1552375010824169"</f>
        <v>1552375010824169</v>
      </c>
      <c r="C5912" t="s">
        <v>40</v>
      </c>
      <c r="D5912">
        <v>4.8682569999999998</v>
      </c>
      <c r="E5912">
        <v>0.52705089999999999</v>
      </c>
      <c r="F5912" t="s">
        <v>41</v>
      </c>
      <c r="G5912">
        <v>-259.8734</v>
      </c>
      <c r="H5912">
        <v>1.0340009999999999</v>
      </c>
      <c r="I5912">
        <v>-63.498730000000002</v>
      </c>
      <c r="J5912">
        <v>-260.65769999999998</v>
      </c>
      <c r="K5912">
        <v>1.1097300000000001</v>
      </c>
      <c r="L5912">
        <v>-63.51773</v>
      </c>
      <c r="M5912">
        <v>0.99991540000000001</v>
      </c>
      <c r="N5912">
        <v>0</v>
      </c>
      <c r="O5912">
        <v>7.5579089999999998E-3</v>
      </c>
      <c r="P5912">
        <v>0.99557969999999896</v>
      </c>
      <c r="Q5912">
        <v>1.2990099999999999E-2</v>
      </c>
      <c r="R5912">
        <v>9.3018290000000003E-2</v>
      </c>
      <c r="S5912">
        <v>3.0102540000000002</v>
      </c>
      <c r="T5912">
        <v>-0.25062040000000002</v>
      </c>
      <c r="U5912">
        <v>6.6802979999999998E-2</v>
      </c>
      <c r="V5912">
        <v>-8.5502969999999998E-2</v>
      </c>
      <c r="W5912">
        <v>2.3496679999999999E-2</v>
      </c>
      <c r="X5912">
        <v>0.99606079999999997</v>
      </c>
      <c r="Y5912">
        <v>-1.4604880000000001E-2</v>
      </c>
      <c r="Z5912" s="1">
        <v>-2.1247720000000001E-5</v>
      </c>
      <c r="AA5912">
        <v>0.99989340000000004</v>
      </c>
      <c r="AB5912">
        <v>25</v>
      </c>
      <c r="AC5912">
        <v>0.78429999999997302</v>
      </c>
      <c r="AD5912">
        <v>-7.5728999999999894E-2</v>
      </c>
      <c r="AE5912">
        <v>1.9000000000005401E-2</v>
      </c>
      <c r="AF5912">
        <v>-1.29507864884057E-2</v>
      </c>
      <c r="AG5912">
        <v>-7.5728999999999894E-2</v>
      </c>
      <c r="AH5912">
        <v>0.77717973599340195</v>
      </c>
      <c r="AI5912">
        <v>95.564608282697705</v>
      </c>
      <c r="AJ5912">
        <v>90.954678437453595</v>
      </c>
      <c r="AK5912">
        <v>0.78096795475258995</v>
      </c>
      <c r="AL5912">
        <v>88.653615474810096</v>
      </c>
      <c r="AM5912">
        <v>94.906306177749101</v>
      </c>
      <c r="AN5912">
        <v>0.99999998457324102</v>
      </c>
    </row>
    <row r="5913" spans="1:40" x14ac:dyDescent="0.25">
      <c r="A5913" t="str">
        <f>"20190312151650839"</f>
        <v>20190312151650839</v>
      </c>
      <c r="B5913" t="str">
        <f>"1552375010833929"</f>
        <v>1552375010833929</v>
      </c>
      <c r="C5913" t="s">
        <v>40</v>
      </c>
      <c r="D5913">
        <v>4.8363449999999997</v>
      </c>
      <c r="E5913">
        <v>0.52707179999999998</v>
      </c>
      <c r="F5913" t="s">
        <v>75</v>
      </c>
      <c r="G5913">
        <v>-247.4237</v>
      </c>
      <c r="H5913" s="1">
        <v>-2.902984E-6</v>
      </c>
      <c r="I5913">
        <v>-63.217010000000002</v>
      </c>
      <c r="J5913">
        <v>-260.5283</v>
      </c>
      <c r="K5913">
        <v>1.1097330000000001</v>
      </c>
      <c r="L5913">
        <v>-63.516539999999999</v>
      </c>
      <c r="M5913">
        <v>0.99991430000000003</v>
      </c>
      <c r="N5913">
        <v>0</v>
      </c>
      <c r="O5913">
        <v>7.7348590000000002E-3</v>
      </c>
      <c r="P5913">
        <v>0.99551339999999999</v>
      </c>
      <c r="Q5913">
        <v>1.300482E-2</v>
      </c>
      <c r="R5913">
        <v>9.3725240000000001E-2</v>
      </c>
      <c r="S5913">
        <v>3.0102540000000002</v>
      </c>
      <c r="T5913">
        <v>-0.2524247</v>
      </c>
      <c r="U5913">
        <v>6.8389889999999995E-2</v>
      </c>
      <c r="V5913">
        <v>-8.6033990000000005E-2</v>
      </c>
      <c r="W5913">
        <v>2.348857E-2</v>
      </c>
      <c r="X5913">
        <v>0.99601530000000005</v>
      </c>
      <c r="Y5913">
        <v>-1.495382E-2</v>
      </c>
      <c r="Z5913" s="1">
        <v>-2.160674E-5</v>
      </c>
      <c r="AA5913">
        <v>0.9998882</v>
      </c>
      <c r="AB5913">
        <v>25</v>
      </c>
      <c r="AC5913">
        <v>13.1046</v>
      </c>
      <c r="AD5913">
        <v>-1.1097359029839999</v>
      </c>
      <c r="AE5913">
        <v>0.29953000000000402</v>
      </c>
      <c r="AF5913">
        <v>-0.19674300437739201</v>
      </c>
      <c r="AG5913">
        <v>-1.1097359029839999</v>
      </c>
      <c r="AH5913">
        <v>13.013253000744699</v>
      </c>
      <c r="AI5913">
        <v>94.873686013780002</v>
      </c>
      <c r="AJ5913">
        <v>90.86616966922</v>
      </c>
      <c r="AK5913">
        <v>13.0619667449253</v>
      </c>
      <c r="AL5913">
        <v>88.654080318340505</v>
      </c>
      <c r="AM5913">
        <v>94.936851293556799</v>
      </c>
      <c r="AN5913">
        <v>1.00000001909502</v>
      </c>
    </row>
    <row r="5914" spans="1:40" x14ac:dyDescent="0.25">
      <c r="A5914" t="str">
        <f>"20190312151650850"</f>
        <v>20190312151650850</v>
      </c>
      <c r="B5914" t="str">
        <f>"1552375010843689"</f>
        <v>1552375010843689</v>
      </c>
      <c r="C5914" t="s">
        <v>40</v>
      </c>
      <c r="D5914">
        <v>4.8616039999999998</v>
      </c>
      <c r="E5914">
        <v>0.52706489999999995</v>
      </c>
      <c r="F5914" t="s">
        <v>41</v>
      </c>
      <c r="G5914">
        <v>-259.64920000000001</v>
      </c>
      <c r="H5914">
        <v>1.035703</v>
      </c>
      <c r="I5914">
        <v>-63.496189999999999</v>
      </c>
      <c r="J5914">
        <v>-260.404</v>
      </c>
      <c r="K5914">
        <v>1.109728</v>
      </c>
      <c r="L5914">
        <v>-63.515410000000003</v>
      </c>
      <c r="M5914">
        <v>0.9999133</v>
      </c>
      <c r="N5914">
        <v>0</v>
      </c>
      <c r="O5914">
        <v>7.9044219999999995E-3</v>
      </c>
      <c r="P5914">
        <v>0.99547759999999996</v>
      </c>
      <c r="Q5914">
        <v>1.290694E-2</v>
      </c>
      <c r="R5914">
        <v>9.4116829999999999E-2</v>
      </c>
      <c r="S5914">
        <v>3.0101930000000001</v>
      </c>
      <c r="T5914">
        <v>-0.25350789999999901</v>
      </c>
      <c r="U5914">
        <v>7.0373539999999998E-2</v>
      </c>
      <c r="V5914">
        <v>-8.62565E-2</v>
      </c>
      <c r="W5914">
        <v>2.3368440000000001E-2</v>
      </c>
      <c r="X5914">
        <v>0.99599890000000002</v>
      </c>
      <c r="Y5914">
        <v>-1.544193E-2</v>
      </c>
      <c r="Z5914" s="1">
        <v>-1.5437079999999899E-5</v>
      </c>
      <c r="AA5914">
        <v>0.99988080000000001</v>
      </c>
      <c r="AB5914">
        <v>25</v>
      </c>
      <c r="AC5914">
        <v>0.75479999999998804</v>
      </c>
      <c r="AD5914">
        <v>-7.4024999999999994E-2</v>
      </c>
      <c r="AE5914">
        <v>1.9219999999989999E-2</v>
      </c>
      <c r="AF5914">
        <v>-1.31266382700075E-2</v>
      </c>
      <c r="AG5914">
        <v>-7.4024999999999994E-2</v>
      </c>
      <c r="AH5914">
        <v>0.74774109780190701</v>
      </c>
      <c r="AI5914">
        <v>95.652889842243695</v>
      </c>
      <c r="AJ5914">
        <v>91.005727420519705</v>
      </c>
      <c r="AK5914">
        <v>0.75151098368504998</v>
      </c>
      <c r="AL5914">
        <v>88.660965175698095</v>
      </c>
      <c r="AM5914">
        <v>94.949637236441404</v>
      </c>
      <c r="AN5914">
        <v>1.0000000382907399</v>
      </c>
    </row>
    <row r="5915" spans="1:40" x14ac:dyDescent="0.25">
      <c r="A5915" t="str">
        <f>"20190312151650862"</f>
        <v>20190312151650862</v>
      </c>
      <c r="B5915" t="str">
        <f>"1552375010853451"</f>
        <v>1552375010853451</v>
      </c>
      <c r="C5915" t="s">
        <v>40</v>
      </c>
      <c r="D5915">
        <v>4.8674720000000002</v>
      </c>
      <c r="E5915">
        <v>0.52710279999999998</v>
      </c>
      <c r="F5915" t="s">
        <v>75</v>
      </c>
      <c r="G5915">
        <v>-247.24930000000001</v>
      </c>
      <c r="H5915" s="1">
        <v>-2.8410419999999999E-6</v>
      </c>
      <c r="I5915">
        <v>-63.202480000000001</v>
      </c>
      <c r="J5915">
        <v>-260.28050000000002</v>
      </c>
      <c r="K5915">
        <v>1.109723</v>
      </c>
      <c r="L5915">
        <v>-63.514249999999997</v>
      </c>
      <c r="M5915">
        <v>0.99991209999999997</v>
      </c>
      <c r="N5915">
        <v>0</v>
      </c>
      <c r="O5915">
        <v>8.0725729999999996E-3</v>
      </c>
      <c r="P5915">
        <v>0.99540189999999995</v>
      </c>
      <c r="Q5915">
        <v>1.274317E-2</v>
      </c>
      <c r="R5915">
        <v>9.4935950000000005E-2</v>
      </c>
      <c r="S5915">
        <v>3.0101930000000001</v>
      </c>
      <c r="T5915">
        <v>-0.25393919999999998</v>
      </c>
      <c r="U5915">
        <v>7.1594240000000003E-2</v>
      </c>
      <c r="V5915">
        <v>-8.6908929999999995E-2</v>
      </c>
      <c r="W5915">
        <v>2.3176329999999998E-2</v>
      </c>
      <c r="X5915">
        <v>0.99594660000000002</v>
      </c>
      <c r="Y5915">
        <v>-1.56787E-2</v>
      </c>
      <c r="Z5915" s="1">
        <v>-1.965271E-5</v>
      </c>
      <c r="AA5915">
        <v>0.99987709999999996</v>
      </c>
      <c r="AB5915">
        <v>25</v>
      </c>
      <c r="AC5915">
        <v>13.0312</v>
      </c>
      <c r="AD5915">
        <v>-1.1097258410419999</v>
      </c>
      <c r="AE5915">
        <v>0.311769999999995</v>
      </c>
      <c r="AF5915">
        <v>-0.205072357495094</v>
      </c>
      <c r="AG5915">
        <v>-1.1097258410419999</v>
      </c>
      <c r="AH5915">
        <v>12.939507612848701</v>
      </c>
      <c r="AI5915">
        <v>94.901228070636094</v>
      </c>
      <c r="AJ5915">
        <v>90.907978674564106</v>
      </c>
      <c r="AK5915">
        <v>12.9886259233629</v>
      </c>
      <c r="AL5915">
        <v>88.671975155046695</v>
      </c>
      <c r="AM5915">
        <v>94.987147947150206</v>
      </c>
      <c r="AN5915">
        <v>0.99999996721878603</v>
      </c>
    </row>
    <row r="5916" spans="1:40" x14ac:dyDescent="0.25">
      <c r="A5916" t="str">
        <f>"20190312151650872"</f>
        <v>20190312151650872</v>
      </c>
      <c r="B5916" t="str">
        <f>"1552375010864185"</f>
        <v>1552375010864185</v>
      </c>
      <c r="C5916" t="s">
        <v>40</v>
      </c>
      <c r="D5916">
        <v>4.8352009999999996</v>
      </c>
      <c r="E5916">
        <v>0.52713699999999997</v>
      </c>
      <c r="F5916" t="s">
        <v>41</v>
      </c>
      <c r="G5916">
        <v>-259.42340000000002</v>
      </c>
      <c r="H5916">
        <v>1.03691</v>
      </c>
      <c r="I5916">
        <v>-63.493270000000003</v>
      </c>
      <c r="J5916">
        <v>-260.15390000000002</v>
      </c>
      <c r="K5916">
        <v>1.1097170000000001</v>
      </c>
      <c r="L5916">
        <v>-63.513060000000003</v>
      </c>
      <c r="M5916">
        <v>0.99991090000000005</v>
      </c>
      <c r="N5916">
        <v>0</v>
      </c>
      <c r="O5916">
        <v>8.2448439999999994E-3</v>
      </c>
      <c r="P5916">
        <v>0.99532770000000004</v>
      </c>
      <c r="Q5916">
        <v>1.28314E-2</v>
      </c>
      <c r="R5916">
        <v>9.5698329999999998E-2</v>
      </c>
      <c r="S5916">
        <v>3.0101010000000001</v>
      </c>
      <c r="T5916">
        <v>-0.25568590000000002</v>
      </c>
      <c r="U5916">
        <v>7.3669429999999994E-2</v>
      </c>
      <c r="V5916">
        <v>-8.7500540000000002E-2</v>
      </c>
      <c r="W5916">
        <v>2.323544E-2</v>
      </c>
      <c r="X5916">
        <v>0.99589349999999999</v>
      </c>
      <c r="Y5916">
        <v>-1.6194480000000001E-2</v>
      </c>
      <c r="Z5916" s="1">
        <v>-1.252862E-5</v>
      </c>
      <c r="AA5916">
        <v>0.99986889999999995</v>
      </c>
      <c r="AB5916">
        <v>25</v>
      </c>
      <c r="AC5916">
        <v>0.73050000000000603</v>
      </c>
      <c r="AD5916">
        <v>-7.2806999999999997E-2</v>
      </c>
      <c r="AE5916">
        <v>1.9790000000000401E-2</v>
      </c>
      <c r="AF5916">
        <v>-1.36308331239121E-2</v>
      </c>
      <c r="AG5916">
        <v>-7.2806999999999997E-2</v>
      </c>
      <c r="AH5916">
        <v>0.72345709347141596</v>
      </c>
      <c r="AI5916">
        <v>95.745749133698098</v>
      </c>
      <c r="AJ5916">
        <v>91.079396167174593</v>
      </c>
      <c r="AK5916">
        <v>0.72723918001903698</v>
      </c>
      <c r="AL5916">
        <v>88.668587595051605</v>
      </c>
      <c r="AM5916">
        <v>95.021190052072598</v>
      </c>
      <c r="AN5916">
        <v>1.0000000467572601</v>
      </c>
    </row>
    <row r="5917" spans="1:40" x14ac:dyDescent="0.25">
      <c r="A5917" t="str">
        <f>"20190312151650884"</f>
        <v>20190312151650884</v>
      </c>
      <c r="B5917" t="str">
        <f>"1552375010873945"</f>
        <v>1552375010873945</v>
      </c>
      <c r="C5917" t="s">
        <v>40</v>
      </c>
      <c r="D5917">
        <v>4.811121</v>
      </c>
      <c r="E5917">
        <v>0.52718989999999999</v>
      </c>
      <c r="F5917" t="s">
        <v>41</v>
      </c>
      <c r="G5917">
        <v>-259.20819999999998</v>
      </c>
      <c r="H5917">
        <v>1.0290729999999999</v>
      </c>
      <c r="I5917">
        <v>-63.489440000000002</v>
      </c>
      <c r="J5917">
        <v>-260.02929999999998</v>
      </c>
      <c r="K5917">
        <v>1.1097109999999999</v>
      </c>
      <c r="L5917">
        <v>-63.511809999999997</v>
      </c>
      <c r="M5917">
        <v>0.99991010000000002</v>
      </c>
      <c r="N5917">
        <v>0</v>
      </c>
      <c r="O5917">
        <v>8.4131989999999997E-3</v>
      </c>
      <c r="P5917">
        <v>0.99527690000000002</v>
      </c>
      <c r="Q5917">
        <v>1.273471E-2</v>
      </c>
      <c r="R5917">
        <v>9.6239030000000003E-2</v>
      </c>
      <c r="S5917">
        <v>3.0101010000000001</v>
      </c>
      <c r="T5917">
        <v>-0.25663910000000001</v>
      </c>
      <c r="U5917">
        <v>7.5683589999999995E-2</v>
      </c>
      <c r="V5917">
        <v>-8.7873580000000007E-2</v>
      </c>
      <c r="W5917">
        <v>2.3106729999999999E-2</v>
      </c>
      <c r="X5917">
        <v>0.99586359999999996</v>
      </c>
      <c r="Y5917">
        <v>-1.6693349999999999E-2</v>
      </c>
      <c r="Z5917" s="1">
        <v>-5.6744899999999998E-6</v>
      </c>
      <c r="AA5917">
        <v>0.99986059999999999</v>
      </c>
      <c r="AB5917">
        <v>25</v>
      </c>
      <c r="AC5917">
        <v>0.82110000000000105</v>
      </c>
      <c r="AD5917">
        <v>-8.0638000000000196E-2</v>
      </c>
      <c r="AE5917">
        <v>2.2369999999995099E-2</v>
      </c>
      <c r="AF5917">
        <v>-1.53131729823681E-2</v>
      </c>
      <c r="AG5917">
        <v>-8.0638000000000196E-2</v>
      </c>
      <c r="AH5917">
        <v>0.81341980302776495</v>
      </c>
      <c r="AI5917">
        <v>95.660496386226299</v>
      </c>
      <c r="AJ5917">
        <v>91.078504054183696</v>
      </c>
      <c r="AK5917">
        <v>0.81755046099217399</v>
      </c>
      <c r="AL5917">
        <v>88.675964050969597</v>
      </c>
      <c r="AM5917">
        <v>95.042637314548003</v>
      </c>
      <c r="AN5917">
        <v>0.99999999841913401</v>
      </c>
    </row>
    <row r="5918" spans="1:40" x14ac:dyDescent="0.25">
      <c r="A5918" t="str">
        <f>"20190312151650895"</f>
        <v>20190312151650895</v>
      </c>
      <c r="B5918" t="str">
        <f>"1552375010883705"</f>
        <v>1552375010883705</v>
      </c>
      <c r="C5918" t="s">
        <v>40</v>
      </c>
      <c r="D5918">
        <v>4.8265890000000002</v>
      </c>
      <c r="E5918">
        <v>0.52722139999999995</v>
      </c>
      <c r="F5918" t="s">
        <v>41</v>
      </c>
      <c r="G5918">
        <v>-259.1909</v>
      </c>
      <c r="H5918">
        <v>1.0378069999999999</v>
      </c>
      <c r="I5918">
        <v>-63.490580000000001</v>
      </c>
      <c r="J5918">
        <v>-259.90519999999998</v>
      </c>
      <c r="K5918">
        <v>1.1097049999999999</v>
      </c>
      <c r="L5918">
        <v>-63.510620000000003</v>
      </c>
      <c r="M5918">
        <v>0.99990900000000005</v>
      </c>
      <c r="N5918">
        <v>0</v>
      </c>
      <c r="O5918">
        <v>8.5803600000000004E-3</v>
      </c>
      <c r="P5918">
        <v>0.99521110000000002</v>
      </c>
      <c r="Q5918">
        <v>1.2609459999999999E-2</v>
      </c>
      <c r="R5918">
        <v>9.6932699999999997E-2</v>
      </c>
      <c r="S5918">
        <v>3.0100709999999999</v>
      </c>
      <c r="T5918">
        <v>-0.25813639999999999</v>
      </c>
      <c r="U5918">
        <v>7.6812740000000004E-2</v>
      </c>
      <c r="V5918">
        <v>-8.8400989999999999E-2</v>
      </c>
      <c r="W5918">
        <v>2.294846E-2</v>
      </c>
      <c r="X5918">
        <v>0.99582059999999994</v>
      </c>
      <c r="Y5918">
        <v>-1.6900789999999999E-2</v>
      </c>
      <c r="Z5918" s="1">
        <v>-1.1136060000000001E-5</v>
      </c>
      <c r="AA5918">
        <v>0.9998572</v>
      </c>
      <c r="AB5918">
        <v>25</v>
      </c>
      <c r="AC5918">
        <v>0.71429999999997995</v>
      </c>
      <c r="AD5918">
        <v>-7.1898000000000004E-2</v>
      </c>
      <c r="AE5918">
        <v>2.00399999999945E-2</v>
      </c>
      <c r="AF5918">
        <v>-1.37705725697417E-2</v>
      </c>
      <c r="AG5918">
        <v>-7.1898000000000004E-2</v>
      </c>
      <c r="AH5918">
        <v>0.70728545890706196</v>
      </c>
      <c r="AI5918">
        <v>95.803282566304802</v>
      </c>
      <c r="AJ5918">
        <v>91.115385603807496</v>
      </c>
      <c r="AK5918">
        <v>0.71106376047037601</v>
      </c>
      <c r="AL5918">
        <v>88.685034683863407</v>
      </c>
      <c r="AM5918">
        <v>95.0729632642133</v>
      </c>
      <c r="AN5918">
        <v>1.0000000171168499</v>
      </c>
    </row>
    <row r="5919" spans="1:40" x14ac:dyDescent="0.25">
      <c r="A5919" t="str">
        <f>"20190312151650906"</f>
        <v>20190312151650906</v>
      </c>
      <c r="B5919" t="str">
        <f>"1552375010893465"</f>
        <v>1552375010893465</v>
      </c>
      <c r="C5919" t="s">
        <v>40</v>
      </c>
      <c r="D5919">
        <v>4.7998890000000003</v>
      </c>
      <c r="E5919">
        <v>0.52723850000000005</v>
      </c>
      <c r="F5919" t="s">
        <v>41</v>
      </c>
      <c r="G5919">
        <v>-258.98349999999999</v>
      </c>
      <c r="H5919">
        <v>1.030224</v>
      </c>
      <c r="I5919">
        <v>-63.486539999999998</v>
      </c>
      <c r="J5919">
        <v>-259.78500000000003</v>
      </c>
      <c r="K5919">
        <v>1.1096980000000001</v>
      </c>
      <c r="L5919">
        <v>-63.509399999999999</v>
      </c>
      <c r="M5919">
        <v>0.99990780000000001</v>
      </c>
      <c r="N5919">
        <v>0</v>
      </c>
      <c r="O5919">
        <v>8.7416739999999996E-3</v>
      </c>
      <c r="P5919">
        <v>0.9951622</v>
      </c>
      <c r="Q5919">
        <v>1.244586E-2</v>
      </c>
      <c r="R5919">
        <v>9.7454860000000004E-2</v>
      </c>
      <c r="S5919">
        <v>3.01004</v>
      </c>
      <c r="T5919">
        <v>-0.25958700000000001</v>
      </c>
      <c r="U5919">
        <v>7.8704830000000003E-2</v>
      </c>
      <c r="V5919">
        <v>-8.8762729999999998E-2</v>
      </c>
      <c r="W5919">
        <v>2.2753010000000001E-2</v>
      </c>
      <c r="X5919">
        <v>0.99579289999999998</v>
      </c>
      <c r="Y5919">
        <v>-1.7366360000000001E-2</v>
      </c>
      <c r="Z5919" s="1">
        <v>-5.046313E-6</v>
      </c>
      <c r="AA5919">
        <v>0.99984919999999999</v>
      </c>
      <c r="AB5919">
        <v>25</v>
      </c>
      <c r="AC5919">
        <v>0.80150000000003196</v>
      </c>
      <c r="AD5919">
        <v>-7.9473999999999795E-2</v>
      </c>
      <c r="AE5919">
        <v>2.2859999999994302E-2</v>
      </c>
      <c r="AF5919">
        <v>-1.56980779599326E-2</v>
      </c>
      <c r="AG5919">
        <v>-7.9473999999999795E-2</v>
      </c>
      <c r="AH5919">
        <v>0.793870207998008</v>
      </c>
      <c r="AI5919">
        <v>95.715698488891505</v>
      </c>
      <c r="AJ5919">
        <v>91.132825493618299</v>
      </c>
      <c r="AK5919">
        <v>0.79799276530206498</v>
      </c>
      <c r="AL5919">
        <v>88.696236060239798</v>
      </c>
      <c r="AM5919">
        <v>95.093753973189806</v>
      </c>
      <c r="AN5919">
        <v>1.0000000106957601</v>
      </c>
    </row>
    <row r="5920" spans="1:40" x14ac:dyDescent="0.25">
      <c r="A5920" t="str">
        <f>"20190312151650917"</f>
        <v>20190312151650917</v>
      </c>
      <c r="B5920" t="str">
        <f>"1552375010913961"</f>
        <v>1552375010913961</v>
      </c>
      <c r="C5920" t="s">
        <v>40</v>
      </c>
      <c r="D5920">
        <v>4.7979979999999998</v>
      </c>
      <c r="E5920">
        <v>0.52735259999999995</v>
      </c>
      <c r="F5920" t="s">
        <v>75</v>
      </c>
      <c r="G5920">
        <v>-246.99539999999999</v>
      </c>
      <c r="H5920" s="1">
        <v>-2.7293069999999998E-6</v>
      </c>
      <c r="I5920">
        <v>-63.16921</v>
      </c>
      <c r="J5920">
        <v>-259.66239999999999</v>
      </c>
      <c r="K5920">
        <v>1.1096900000000001</v>
      </c>
      <c r="L5920">
        <v>-63.508119999999998</v>
      </c>
      <c r="M5920">
        <v>0.99990670000000004</v>
      </c>
      <c r="N5920">
        <v>0</v>
      </c>
      <c r="O5920">
        <v>8.9049560000000003E-3</v>
      </c>
      <c r="P5920">
        <v>0.99510189999999998</v>
      </c>
      <c r="Q5920">
        <v>1.2508689999999999E-2</v>
      </c>
      <c r="R5920">
        <v>9.8060030000000006E-2</v>
      </c>
      <c r="S5920">
        <v>3.0100099999999999</v>
      </c>
      <c r="T5920">
        <v>-0.26116620000000002</v>
      </c>
      <c r="U5920">
        <v>8.0047610000000005E-2</v>
      </c>
      <c r="V5920">
        <v>-8.9206140000000003E-2</v>
      </c>
      <c r="W5920">
        <v>2.2783520000000002E-2</v>
      </c>
      <c r="X5920">
        <v>0.99575259999999999</v>
      </c>
      <c r="Y5920">
        <v>-1.7648239999999999E-2</v>
      </c>
      <c r="Z5920" s="1">
        <v>-7.0106469999999997E-6</v>
      </c>
      <c r="AA5920">
        <v>0.99984430000000002</v>
      </c>
      <c r="AB5920">
        <v>25</v>
      </c>
      <c r="AC5920">
        <v>12.667</v>
      </c>
      <c r="AD5920">
        <v>-1.109692729307</v>
      </c>
      <c r="AE5920">
        <v>0.33890999999999799</v>
      </c>
      <c r="AF5920">
        <v>-0.22437069912086299</v>
      </c>
      <c r="AG5920">
        <v>-1.109692729307</v>
      </c>
      <c r="AH5920">
        <v>12.5730909364935</v>
      </c>
      <c r="AI5920">
        <v>95.043019465436103</v>
      </c>
      <c r="AJ5920">
        <v>91.022352403176399</v>
      </c>
      <c r="AK5920">
        <v>12.6239603873522</v>
      </c>
      <c r="AL5920">
        <v>88.694487540960694</v>
      </c>
      <c r="AM5920">
        <v>95.119270793640695</v>
      </c>
      <c r="AN5920">
        <v>1.0000000323020199</v>
      </c>
    </row>
    <row r="5921" spans="1:40" x14ac:dyDescent="0.25">
      <c r="A5921" t="str">
        <f>"20190312151650927"</f>
        <v>20190312151650927</v>
      </c>
      <c r="B5921" t="str">
        <f>"1552375010923721"</f>
        <v>1552375010923721</v>
      </c>
      <c r="C5921" t="s">
        <v>40</v>
      </c>
      <c r="D5921">
        <v>4.8049429999999997</v>
      </c>
      <c r="E5921">
        <v>0.52741119999999997</v>
      </c>
      <c r="F5921" t="s">
        <v>41</v>
      </c>
      <c r="G5921">
        <v>-258.75900000000001</v>
      </c>
      <c r="H5921">
        <v>1.0307740000000001</v>
      </c>
      <c r="I5921">
        <v>-63.483910000000002</v>
      </c>
      <c r="J5921">
        <v>-259.53480000000002</v>
      </c>
      <c r="K5921">
        <v>1.109683</v>
      </c>
      <c r="L5921">
        <v>-63.506839999999997</v>
      </c>
      <c r="M5921">
        <v>0.9999055</v>
      </c>
      <c r="N5921">
        <v>0</v>
      </c>
      <c r="O5921">
        <v>9.0736069999999992E-3</v>
      </c>
      <c r="P5921">
        <v>0.99504530000000002</v>
      </c>
      <c r="Q5921">
        <v>1.2228609999999999E-2</v>
      </c>
      <c r="R5921">
        <v>9.8668099999999995E-2</v>
      </c>
      <c r="S5921">
        <v>3.0100709999999999</v>
      </c>
      <c r="T5921">
        <v>-0.2629454</v>
      </c>
      <c r="U5921">
        <v>8.0963129999999994E-2</v>
      </c>
      <c r="V5921">
        <v>-8.9646459999999997E-2</v>
      </c>
      <c r="W5921">
        <v>2.2469840000000001E-2</v>
      </c>
      <c r="X5921">
        <v>0.9957201</v>
      </c>
      <c r="Y5921">
        <v>-1.7782639999999999E-2</v>
      </c>
      <c r="Z5921" s="1">
        <v>-1.5900409999999998E-5</v>
      </c>
      <c r="AA5921">
        <v>0.99984189999999995</v>
      </c>
      <c r="AB5921">
        <v>25</v>
      </c>
      <c r="AC5921">
        <v>0.77580000000000304</v>
      </c>
      <c r="AD5921">
        <v>-7.8908999999999896E-2</v>
      </c>
      <c r="AE5921">
        <v>2.2930000000009401E-2</v>
      </c>
      <c r="AF5921">
        <v>-1.57268156873831E-2</v>
      </c>
      <c r="AG5921">
        <v>-7.8908999999999896E-2</v>
      </c>
      <c r="AH5921">
        <v>0.76803729695104705</v>
      </c>
      <c r="AI5921">
        <v>95.864828445867801</v>
      </c>
      <c r="AJ5921">
        <v>91.173060554004607</v>
      </c>
      <c r="AK5921">
        <v>0.77224041109005404</v>
      </c>
      <c r="AL5921">
        <v>88.712464576409005</v>
      </c>
      <c r="AM5921">
        <v>95.144571182598199</v>
      </c>
      <c r="AN5921">
        <v>0.99999994952208204</v>
      </c>
    </row>
    <row r="5922" spans="1:40" x14ac:dyDescent="0.25">
      <c r="A5922" t="str">
        <f>"20190312151650940"</f>
        <v>20190312151650940</v>
      </c>
      <c r="B5922" t="str">
        <f>"1552375010933481"</f>
        <v>1552375010933481</v>
      </c>
      <c r="C5922" t="s">
        <v>40</v>
      </c>
      <c r="D5922">
        <v>4.8214199999999998</v>
      </c>
      <c r="E5922">
        <v>0.52748189999999995</v>
      </c>
      <c r="F5922" t="s">
        <v>75</v>
      </c>
      <c r="G5922">
        <v>-246.91990000000001</v>
      </c>
      <c r="H5922" s="1">
        <v>-2.6949759999999998E-6</v>
      </c>
      <c r="I5922">
        <v>-63.161839999999998</v>
      </c>
      <c r="J5922">
        <v>-259.40449999999998</v>
      </c>
      <c r="K5922">
        <v>1.109675</v>
      </c>
      <c r="L5922">
        <v>-63.505429999999997</v>
      </c>
      <c r="M5922">
        <v>0.99990449999999997</v>
      </c>
      <c r="N5922">
        <v>0</v>
      </c>
      <c r="O5922">
        <v>9.2432069999999998E-3</v>
      </c>
      <c r="P5922">
        <v>0.99499139999999997</v>
      </c>
      <c r="Q5922">
        <v>1.2012729999999999E-2</v>
      </c>
      <c r="R5922">
        <v>9.9237290000000006E-2</v>
      </c>
      <c r="S5922">
        <v>3.01004</v>
      </c>
      <c r="T5922">
        <v>-0.2647835</v>
      </c>
      <c r="U5922">
        <v>8.2305909999999996E-2</v>
      </c>
      <c r="V5922">
        <v>-9.0046730000000005E-2</v>
      </c>
      <c r="W5922">
        <v>2.2219559999999999E-2</v>
      </c>
      <c r="X5922">
        <v>0.99568959999999995</v>
      </c>
      <c r="Y5922">
        <v>-1.8058149999999999E-2</v>
      </c>
      <c r="Z5922" s="1">
        <v>-1.880538E-5</v>
      </c>
      <c r="AA5922">
        <v>0.99983690000000003</v>
      </c>
      <c r="AB5922">
        <v>25</v>
      </c>
      <c r="AC5922">
        <v>12.484599999999901</v>
      </c>
      <c r="AD5922">
        <v>-1.1096776949760001</v>
      </c>
      <c r="AE5922">
        <v>0.34358999999999801</v>
      </c>
      <c r="AF5922">
        <v>-0.226384333464968</v>
      </c>
      <c r="AG5922">
        <v>-1.1096776949760001</v>
      </c>
      <c r="AH5922">
        <v>12.3894362720585</v>
      </c>
      <c r="AI5922">
        <v>95.117272350538101</v>
      </c>
      <c r="AJ5922">
        <v>91.046813050348902</v>
      </c>
      <c r="AK5922">
        <v>12.4410918167404</v>
      </c>
      <c r="AL5922">
        <v>88.726808147951601</v>
      </c>
      <c r="AM5922">
        <v>95.167574957788801</v>
      </c>
      <c r="AN5922">
        <v>0.99999995098922201</v>
      </c>
    </row>
    <row r="5923" spans="1:40" x14ac:dyDescent="0.25">
      <c r="A5923" t="str">
        <f>"20190312151650950"</f>
        <v>20190312151650950</v>
      </c>
      <c r="B5923" t="str">
        <f>"1552375010944217"</f>
        <v>1552375010944217</v>
      </c>
      <c r="C5923" t="s">
        <v>40</v>
      </c>
      <c r="D5923">
        <v>4.7559469999999999</v>
      </c>
      <c r="E5923">
        <v>0.52753019999999995</v>
      </c>
      <c r="F5923" t="s">
        <v>41</v>
      </c>
      <c r="G5923">
        <v>-258.53320000000002</v>
      </c>
      <c r="H5923">
        <v>1.032608</v>
      </c>
      <c r="I5923">
        <v>-63.481279999999998</v>
      </c>
      <c r="J5923">
        <v>-259.28289999999998</v>
      </c>
      <c r="K5923">
        <v>1.1096649999999999</v>
      </c>
      <c r="L5923">
        <v>-63.504179999999998</v>
      </c>
      <c r="M5923">
        <v>0.99990319999999999</v>
      </c>
      <c r="N5923">
        <v>0</v>
      </c>
      <c r="O5923">
        <v>9.4003960000000001E-3</v>
      </c>
      <c r="P5923">
        <v>0.99491819999999997</v>
      </c>
      <c r="Q5923">
        <v>1.202144E-2</v>
      </c>
      <c r="R5923">
        <v>9.9966189999999996E-2</v>
      </c>
      <c r="S5923">
        <v>3.0100099999999999</v>
      </c>
      <c r="T5923">
        <v>-0.26621440000000002</v>
      </c>
      <c r="U5923">
        <v>8.3435060000000005E-2</v>
      </c>
      <c r="V5923">
        <v>-9.0619340000000007E-2</v>
      </c>
      <c r="W5923">
        <v>2.2196199999999999E-2</v>
      </c>
      <c r="X5923">
        <v>0.99563820000000003</v>
      </c>
      <c r="Y5923">
        <v>-1.827544E-2</v>
      </c>
      <c r="Z5923" s="1">
        <v>-2.3189699999999999E-5</v>
      </c>
      <c r="AA5923">
        <v>0.99983299999999997</v>
      </c>
      <c r="AB5923">
        <v>25</v>
      </c>
      <c r="AC5923">
        <v>0.74969999999996095</v>
      </c>
      <c r="AD5923">
        <v>-7.7056999999999903E-2</v>
      </c>
      <c r="AE5923">
        <v>2.28999999999999E-2</v>
      </c>
      <c r="AF5923">
        <v>-1.5685584401112999E-2</v>
      </c>
      <c r="AG5923">
        <v>-7.7056999999999903E-2</v>
      </c>
      <c r="AH5923">
        <v>0.74205006722313305</v>
      </c>
      <c r="AI5923">
        <v>95.927224665641901</v>
      </c>
      <c r="AJ5923">
        <v>91.210947893118103</v>
      </c>
      <c r="AK5923">
        <v>0.74620514677457195</v>
      </c>
      <c r="AL5923">
        <v>88.728146945377304</v>
      </c>
      <c r="AM5923">
        <v>95.200523119573504</v>
      </c>
      <c r="AN5923">
        <v>0.999999980687857</v>
      </c>
    </row>
    <row r="5924" spans="1:40" x14ac:dyDescent="0.25">
      <c r="A5924" t="str">
        <f>"20190312151650962"</f>
        <v>20190312151650962</v>
      </c>
      <c r="B5924" t="str">
        <f>"1552375010953978"</f>
        <v>1552375010953978</v>
      </c>
      <c r="C5924" t="s">
        <v>40</v>
      </c>
      <c r="D5924">
        <v>4.7327409999999999</v>
      </c>
      <c r="E5924">
        <v>0.52743949999999995</v>
      </c>
      <c r="F5924" t="s">
        <v>75</v>
      </c>
      <c r="G5924">
        <v>-246.7782</v>
      </c>
      <c r="H5924" s="1">
        <v>-2.6310720000000002E-6</v>
      </c>
      <c r="I5924">
        <v>-63.15014</v>
      </c>
      <c r="J5924">
        <v>-259.15589999999997</v>
      </c>
      <c r="K5924">
        <v>1.1096569999999999</v>
      </c>
      <c r="L5924">
        <v>-63.502780000000001</v>
      </c>
      <c r="M5924">
        <v>0.99990210000000002</v>
      </c>
      <c r="N5924">
        <v>0</v>
      </c>
      <c r="O5924">
        <v>9.5597849999999995E-3</v>
      </c>
      <c r="P5924">
        <v>0.99488279999999996</v>
      </c>
      <c r="Q5924">
        <v>1.18101E-2</v>
      </c>
      <c r="R5924">
        <v>0.10034360000000001</v>
      </c>
      <c r="S5924">
        <v>3.009979</v>
      </c>
      <c r="T5924">
        <v>-0.2671055</v>
      </c>
      <c r="U5924">
        <v>8.5205080000000002E-2</v>
      </c>
      <c r="V5924">
        <v>-9.0838699999999994E-2</v>
      </c>
      <c r="W5924">
        <v>2.1951169999999999E-2</v>
      </c>
      <c r="X5924">
        <v>0.99562360000000005</v>
      </c>
      <c r="Y5924">
        <v>-1.8702549999999998E-2</v>
      </c>
      <c r="Z5924" s="1">
        <v>-1.846906E-5</v>
      </c>
      <c r="AA5924">
        <v>0.99982510000000002</v>
      </c>
      <c r="AB5924">
        <v>25</v>
      </c>
      <c r="AC5924">
        <v>12.3776999999999</v>
      </c>
      <c r="AD5924">
        <v>-1.1096596310719999</v>
      </c>
      <c r="AE5924">
        <v>0.35264000000000001</v>
      </c>
      <c r="AF5924">
        <v>-0.23242306241004801</v>
      </c>
      <c r="AG5924">
        <v>-1.1096596310719999</v>
      </c>
      <c r="AH5924">
        <v>12.281875001932301</v>
      </c>
      <c r="AI5924">
        <v>95.161701172130506</v>
      </c>
      <c r="AJ5924">
        <v>91.084139937678501</v>
      </c>
      <c r="AK5924">
        <v>12.3340917192901</v>
      </c>
      <c r="AL5924">
        <v>88.742189498465805</v>
      </c>
      <c r="AM5924">
        <v>95.213118644106899</v>
      </c>
      <c r="AN5924">
        <v>0.99999993807950704</v>
      </c>
    </row>
    <row r="5925" spans="1:40" x14ac:dyDescent="0.25">
      <c r="A5925" t="str">
        <f>"20190312151650973"</f>
        <v>20190312151650973</v>
      </c>
      <c r="B5925" t="str">
        <f>"1552375010963738"</f>
        <v>1552375010963738</v>
      </c>
      <c r="C5925" t="s">
        <v>40</v>
      </c>
      <c r="D5925">
        <v>4.7267010000000003</v>
      </c>
      <c r="E5925">
        <v>0.52743949999999995</v>
      </c>
      <c r="F5925" t="s">
        <v>41</v>
      </c>
      <c r="G5925">
        <v>-258.3075</v>
      </c>
      <c r="H5925">
        <v>1.0339419999999999</v>
      </c>
      <c r="I5925">
        <v>-63.4784199999999</v>
      </c>
      <c r="J5925">
        <v>-259.03109999999998</v>
      </c>
      <c r="K5925">
        <v>1.109648</v>
      </c>
      <c r="L5925">
        <v>-63.501460000000002</v>
      </c>
      <c r="M5925">
        <v>0.99990100000000004</v>
      </c>
      <c r="N5925">
        <v>0</v>
      </c>
      <c r="O5925">
        <v>9.7154159999999993E-3</v>
      </c>
      <c r="P5925">
        <v>0.99481450000000005</v>
      </c>
      <c r="Q5925">
        <v>1.191912E-2</v>
      </c>
      <c r="R5925">
        <v>0.1010075</v>
      </c>
      <c r="S5925">
        <v>3.0098569999999998</v>
      </c>
      <c r="T5925">
        <v>-0.268571</v>
      </c>
      <c r="U5925">
        <v>8.7066649999999995E-2</v>
      </c>
      <c r="V5925">
        <v>-9.1347940000000002E-2</v>
      </c>
      <c r="W5925">
        <v>2.202697E-2</v>
      </c>
      <c r="X5925">
        <v>0.9955754</v>
      </c>
      <c r="Y5925">
        <v>-1.916435E-2</v>
      </c>
      <c r="Z5925" s="1">
        <v>-1.186749E-5</v>
      </c>
      <c r="AA5925">
        <v>0.99981640000000005</v>
      </c>
      <c r="AB5925">
        <v>25</v>
      </c>
      <c r="AC5925">
        <v>0.72359999999997604</v>
      </c>
      <c r="AD5925">
        <v>-7.5705999999999996E-2</v>
      </c>
      <c r="AE5925">
        <v>2.3040000000001701E-2</v>
      </c>
      <c r="AF5925">
        <v>-1.5835312309104801E-2</v>
      </c>
      <c r="AG5925">
        <v>-7.5705999999999996E-2</v>
      </c>
      <c r="AH5925">
        <v>0.715960588128979</v>
      </c>
      <c r="AI5925">
        <v>96.034587210762396</v>
      </c>
      <c r="AJ5925">
        <v>91.267037145752695</v>
      </c>
      <c r="AK5925">
        <v>0.72012618290541397</v>
      </c>
      <c r="AL5925">
        <v>88.737845512639197</v>
      </c>
      <c r="AM5925">
        <v>95.242433297788907</v>
      </c>
      <c r="AN5925">
        <v>1.0000000053173901</v>
      </c>
    </row>
    <row r="5926" spans="1:40" x14ac:dyDescent="0.25">
      <c r="A5926" t="str">
        <f>"20190312151650985"</f>
        <v>20190312151650985</v>
      </c>
      <c r="B5926" t="str">
        <f>"1552375010973498"</f>
        <v>1552375010973498</v>
      </c>
      <c r="C5926" t="s">
        <v>40</v>
      </c>
      <c r="D5926">
        <v>4.760586</v>
      </c>
      <c r="E5926">
        <v>0.51563369999999997</v>
      </c>
      <c r="F5926" t="s">
        <v>41</v>
      </c>
      <c r="G5926">
        <v>-258.089</v>
      </c>
      <c r="H5926">
        <v>1.0256730000000001</v>
      </c>
      <c r="I5926">
        <v>-63.473700000000001</v>
      </c>
      <c r="J5926">
        <v>-258.89589999999998</v>
      </c>
      <c r="K5926">
        <v>1.1096379999999999</v>
      </c>
      <c r="L5926">
        <v>-63.499940000000002</v>
      </c>
      <c r="M5926">
        <v>0.99989969999999995</v>
      </c>
      <c r="N5926">
        <v>0</v>
      </c>
      <c r="O5926">
        <v>9.8758619999999991E-3</v>
      </c>
      <c r="P5926">
        <v>0.99477260000000001</v>
      </c>
      <c r="Q5926">
        <v>1.178892E-2</v>
      </c>
      <c r="R5926">
        <v>0.1014332</v>
      </c>
      <c r="S5926">
        <v>3.0097960000000001</v>
      </c>
      <c r="T5926">
        <v>-0.26825670000000001</v>
      </c>
      <c r="U5926">
        <v>8.9080809999999996E-2</v>
      </c>
      <c r="V5926">
        <v>-9.161366E-2</v>
      </c>
      <c r="W5926">
        <v>2.1862019999999999E-2</v>
      </c>
      <c r="X5926">
        <v>0.99555459999999996</v>
      </c>
      <c r="Y5926">
        <v>-1.967172E-2</v>
      </c>
      <c r="Z5926" s="1">
        <v>-3.5599809999999999E-6</v>
      </c>
      <c r="AA5926">
        <v>0.99980650000000004</v>
      </c>
      <c r="AB5926">
        <v>25</v>
      </c>
      <c r="AC5926">
        <v>0.80689999999998396</v>
      </c>
      <c r="AD5926">
        <v>-8.3964999999999804E-2</v>
      </c>
      <c r="AE5926">
        <v>2.62400000000013E-2</v>
      </c>
      <c r="AF5926">
        <v>-1.8073974246459901E-2</v>
      </c>
      <c r="AG5926">
        <v>-8.3964999999999804E-2</v>
      </c>
      <c r="AH5926">
        <v>0.79848278629346103</v>
      </c>
      <c r="AI5926">
        <v>96.001389300060595</v>
      </c>
      <c r="AJ5926">
        <v>91.296691243461296</v>
      </c>
      <c r="AK5926">
        <v>0.80308875585269601</v>
      </c>
      <c r="AL5926">
        <v>88.747298703775101</v>
      </c>
      <c r="AM5926">
        <v>95.257706789044406</v>
      </c>
      <c r="AN5926">
        <v>0.999999986099117</v>
      </c>
    </row>
    <row r="5927" spans="1:40" x14ac:dyDescent="0.25">
      <c r="A5927" t="str">
        <f>"20190312151650997"</f>
        <v>20190312151650997</v>
      </c>
      <c r="B5927" t="str">
        <f>"1552375010993993"</f>
        <v>1552375010993993</v>
      </c>
      <c r="C5927" t="s">
        <v>40</v>
      </c>
      <c r="D5927">
        <v>4.7658120000000004</v>
      </c>
      <c r="E5927">
        <v>0.50691209999999998</v>
      </c>
      <c r="F5927" t="s">
        <v>75</v>
      </c>
      <c r="G5927">
        <v>-240.5352</v>
      </c>
      <c r="H5927" s="1">
        <v>2.5215829999999998E-7</v>
      </c>
      <c r="I5927">
        <v>-62.3797</v>
      </c>
      <c r="J5927">
        <v>-258.76549999999997</v>
      </c>
      <c r="K5927">
        <v>1.1096269999999999</v>
      </c>
      <c r="L5927">
        <v>-63.498469999999998</v>
      </c>
      <c r="M5927">
        <v>0.99989839999999997</v>
      </c>
      <c r="N5927">
        <v>0</v>
      </c>
      <c r="O5927">
        <v>1.002777E-2</v>
      </c>
      <c r="P5927">
        <v>0.99470219999999998</v>
      </c>
      <c r="Q5927">
        <v>1.1741659999999999E-2</v>
      </c>
      <c r="R5927">
        <v>0.1021268</v>
      </c>
      <c r="S5927">
        <v>2.9992519999999998</v>
      </c>
      <c r="T5927">
        <v>-0.1812607</v>
      </c>
      <c r="U5927">
        <v>0.18298339999999999</v>
      </c>
      <c r="V5927">
        <v>-9.2156399999999999E-2</v>
      </c>
      <c r="W5927">
        <v>2.1781459999999999E-2</v>
      </c>
      <c r="X5927">
        <v>0.99550629999999996</v>
      </c>
      <c r="Y5927">
        <v>-5.0809590000000002E-2</v>
      </c>
      <c r="Z5927">
        <v>9.2763090000000002E-4</v>
      </c>
      <c r="AA5927">
        <v>0.99870800000000004</v>
      </c>
      <c r="AB5927">
        <v>25</v>
      </c>
      <c r="AC5927">
        <v>18.2302999999999</v>
      </c>
      <c r="AD5927">
        <v>-1.1096267478416999</v>
      </c>
      <c r="AE5927">
        <v>1.1187699999999901</v>
      </c>
      <c r="AF5927">
        <v>-0.93245350220606205</v>
      </c>
      <c r="AG5927">
        <v>-1.1096267478416999</v>
      </c>
      <c r="AH5927">
        <v>18.173525761075801</v>
      </c>
      <c r="AI5927">
        <v>93.489410463625504</v>
      </c>
      <c r="AJ5927">
        <v>92.937175925753294</v>
      </c>
      <c r="AK5927">
        <v>18.231230886634901</v>
      </c>
      <c r="AL5927">
        <v>88.751915585667405</v>
      </c>
      <c r="AM5927">
        <v>95.288933664946697</v>
      </c>
      <c r="AN5927">
        <v>1.0000000137001901</v>
      </c>
    </row>
    <row r="5928" spans="1:40" x14ac:dyDescent="0.25">
      <c r="A5928" t="str">
        <f>"20190312151651009"</f>
        <v>20190312151651009</v>
      </c>
      <c r="B5928" t="str">
        <f>"1552375011003753"</f>
        <v>1552375011003753</v>
      </c>
      <c r="C5928" t="s">
        <v>40</v>
      </c>
      <c r="D5928">
        <v>4.9726129999999999</v>
      </c>
      <c r="E5928">
        <v>0.50764880000000001</v>
      </c>
      <c r="F5928" t="s">
        <v>76</v>
      </c>
      <c r="G5928">
        <v>-235.03450000000001</v>
      </c>
      <c r="H5928" s="1">
        <v>-1.4403020000000001E-6</v>
      </c>
      <c r="I5928">
        <v>-61.486229999999999</v>
      </c>
      <c r="J5928">
        <v>-258.62799999999999</v>
      </c>
      <c r="K5928">
        <v>1.10961</v>
      </c>
      <c r="L5928">
        <v>-63.496920000000003</v>
      </c>
      <c r="M5928">
        <v>0.99989720000000004</v>
      </c>
      <c r="N5928">
        <v>0</v>
      </c>
      <c r="O5928">
        <v>1.0181870000000001E-2</v>
      </c>
      <c r="P5928">
        <v>0.99464799999999998</v>
      </c>
      <c r="Q5928">
        <v>1.159229E-2</v>
      </c>
      <c r="R5928">
        <v>0.1026707</v>
      </c>
      <c r="S5928">
        <v>2.9916079999999998</v>
      </c>
      <c r="T5928">
        <v>-0.13988339999999999</v>
      </c>
      <c r="U5928">
        <v>0.2536621</v>
      </c>
      <c r="V5928">
        <v>-9.2546950000000003E-2</v>
      </c>
      <c r="W5928">
        <v>2.159935E-2</v>
      </c>
      <c r="X5928">
        <v>0.99547399999999997</v>
      </c>
      <c r="Y5928">
        <v>-7.4268200000000006E-2</v>
      </c>
      <c r="Z5928">
        <v>1.2573409999999999E-3</v>
      </c>
      <c r="AA5928">
        <v>0.9972375</v>
      </c>
      <c r="AB5928">
        <v>25</v>
      </c>
      <c r="AC5928">
        <v>23.593499999999899</v>
      </c>
      <c r="AD5928">
        <v>-1.1096114403020001</v>
      </c>
      <c r="AE5928">
        <v>2.0106899999999799</v>
      </c>
      <c r="AF5928">
        <v>-1.7664685656032499</v>
      </c>
      <c r="AG5928">
        <v>-1.1096114403020001</v>
      </c>
      <c r="AH5928">
        <v>23.561012660939301</v>
      </c>
      <c r="AI5928">
        <v>92.6888305035434</v>
      </c>
      <c r="AJ5928">
        <v>94.287684548728095</v>
      </c>
      <c r="AK5928">
        <v>23.653180892866398</v>
      </c>
      <c r="AL5928">
        <v>88.762352130216897</v>
      </c>
      <c r="AM5928">
        <v>95.311391092882701</v>
      </c>
      <c r="AN5928">
        <v>0.99999997727536205</v>
      </c>
    </row>
    <row r="5929" spans="1:40" x14ac:dyDescent="0.25">
      <c r="A5929" t="str">
        <f>"20190312151651019"</f>
        <v>20190312151651019</v>
      </c>
      <c r="B5929" t="str">
        <f>"1552375011014024"</f>
        <v>1552375011014024</v>
      </c>
      <c r="C5929" t="s">
        <v>40</v>
      </c>
      <c r="D5929">
        <v>4.7336109999999998</v>
      </c>
      <c r="E5929">
        <v>0.50814669999999995</v>
      </c>
      <c r="F5929" t="s">
        <v>76</v>
      </c>
      <c r="G5929">
        <v>-232.304</v>
      </c>
      <c r="H5929" s="1">
        <v>-2.20435E-7</v>
      </c>
      <c r="I5929">
        <v>-61.303959999999996</v>
      </c>
      <c r="J5929">
        <v>-258.51569999999998</v>
      </c>
      <c r="K5929">
        <v>1.1096010000000001</v>
      </c>
      <c r="L5929">
        <v>-63.495669999999997</v>
      </c>
      <c r="M5929">
        <v>0.99989629999999996</v>
      </c>
      <c r="N5929">
        <v>0</v>
      </c>
      <c r="O5929">
        <v>1.0301660000000001E-2</v>
      </c>
      <c r="P5929">
        <v>0.99459529999999996</v>
      </c>
      <c r="Q5929">
        <v>1.16968E-2</v>
      </c>
      <c r="R5929">
        <v>0.1031681</v>
      </c>
      <c r="S5929">
        <v>2.9918819999999999</v>
      </c>
      <c r="T5929">
        <v>-0.126114</v>
      </c>
      <c r="U5929">
        <v>0.24923709999999999</v>
      </c>
      <c r="V5929">
        <v>-9.2925110000000005E-2</v>
      </c>
      <c r="W5929">
        <v>2.167848E-2</v>
      </c>
      <c r="X5929">
        <v>0.99543709999999996</v>
      </c>
      <c r="Y5929">
        <v>-7.2690840000000007E-2</v>
      </c>
      <c r="Z5929">
        <v>1.0954459999999999E-3</v>
      </c>
      <c r="AA5929">
        <v>0.99735390000000002</v>
      </c>
      <c r="AB5929">
        <v>25</v>
      </c>
      <c r="AC5929">
        <v>26.211699999999901</v>
      </c>
      <c r="AD5929">
        <v>-1.1096012204350001</v>
      </c>
      <c r="AE5929">
        <v>2.19171</v>
      </c>
      <c r="AF5929">
        <v>-1.9181425049977601</v>
      </c>
      <c r="AG5929">
        <v>-1.1096012204350001</v>
      </c>
      <c r="AH5929">
        <v>26.1862877625619</v>
      </c>
      <c r="AI5929">
        <v>92.419888105160595</v>
      </c>
      <c r="AJ5929">
        <v>94.189426961704001</v>
      </c>
      <c r="AK5929">
        <v>26.279881132181099</v>
      </c>
      <c r="AL5929">
        <v>88.757817314163603</v>
      </c>
      <c r="AM5929">
        <v>95.3331658605847</v>
      </c>
      <c r="AN5929">
        <v>1.0000000263100099</v>
      </c>
    </row>
    <row r="5930" spans="1:40" x14ac:dyDescent="0.25">
      <c r="A5930" t="str">
        <f>"20190312151651030"</f>
        <v>20190312151651030</v>
      </c>
      <c r="B5930" t="str">
        <f>"1552375011023783"</f>
        <v>1552375011023783</v>
      </c>
      <c r="C5930" t="s">
        <v>40</v>
      </c>
      <c r="D5930">
        <v>4.8778480000000002</v>
      </c>
      <c r="E5930">
        <v>0.50857140000000001</v>
      </c>
      <c r="F5930" t="s">
        <v>76</v>
      </c>
      <c r="G5930">
        <v>-230.32419999999999</v>
      </c>
      <c r="H5930" s="1">
        <v>6.6443889999999896E-7</v>
      </c>
      <c r="I5930">
        <v>-61.17033</v>
      </c>
      <c r="J5930">
        <v>-258.3922</v>
      </c>
      <c r="K5930">
        <v>1.1095900000000001</v>
      </c>
      <c r="L5930">
        <v>-63.494259999999997</v>
      </c>
      <c r="M5930">
        <v>0.99989539999999999</v>
      </c>
      <c r="N5930">
        <v>0</v>
      </c>
      <c r="O5930">
        <v>1.0429320000000001E-2</v>
      </c>
      <c r="P5930">
        <v>0.99455789999999999</v>
      </c>
      <c r="Q5930">
        <v>1.1651460000000001E-2</v>
      </c>
      <c r="R5930">
        <v>0.1035326</v>
      </c>
      <c r="S5930">
        <v>2.9921259999999998</v>
      </c>
      <c r="T5930">
        <v>-0.1177684</v>
      </c>
      <c r="U5930">
        <v>0.24679570000000001</v>
      </c>
      <c r="V5930">
        <v>-9.3162579999999995E-2</v>
      </c>
      <c r="W5930">
        <v>2.160745E-2</v>
      </c>
      <c r="X5930">
        <v>0.99541639999999998</v>
      </c>
      <c r="Y5930">
        <v>-7.175637E-2</v>
      </c>
      <c r="Z5930">
        <v>9.9959909999999992E-4</v>
      </c>
      <c r="AA5930">
        <v>0.99742169999999997</v>
      </c>
      <c r="AB5930">
        <v>25</v>
      </c>
      <c r="AC5930">
        <v>28.068000000000001</v>
      </c>
      <c r="AD5930">
        <v>-1.1095893355611</v>
      </c>
      <c r="AE5930">
        <v>2.3239299999999901</v>
      </c>
      <c r="AF5930">
        <v>-2.02791111484692</v>
      </c>
      <c r="AG5930">
        <v>-1.1095893355611</v>
      </c>
      <c r="AH5930">
        <v>28.0471780274897</v>
      </c>
      <c r="AI5930">
        <v>92.259634751413401</v>
      </c>
      <c r="AJ5930">
        <v>94.135492935806695</v>
      </c>
      <c r="AK5930">
        <v>28.142277933547099</v>
      </c>
      <c r="AL5930">
        <v>88.761887927941999</v>
      </c>
      <c r="AM5930">
        <v>95.3468264166072</v>
      </c>
      <c r="AN5930">
        <v>0.999999978798359</v>
      </c>
    </row>
    <row r="5931" spans="1:40" x14ac:dyDescent="0.25">
      <c r="A5931" t="str">
        <f>"20190312151651042"</f>
        <v>20190312151651042</v>
      </c>
      <c r="B5931" t="str">
        <f>"1552375011033543"</f>
        <v>1552375011033543</v>
      </c>
      <c r="C5931" t="s">
        <v>40</v>
      </c>
      <c r="D5931">
        <v>4.7118440000000001</v>
      </c>
      <c r="E5931">
        <v>0.5088452</v>
      </c>
      <c r="F5931" t="s">
        <v>77</v>
      </c>
      <c r="G5931">
        <v>-229.7062</v>
      </c>
      <c r="H5931" s="1">
        <v>-3.4142510000000002E-6</v>
      </c>
      <c r="I5931">
        <v>-61.150289999999998</v>
      </c>
      <c r="J5931">
        <v>-258.25319999999999</v>
      </c>
      <c r="K5931">
        <v>1.109575</v>
      </c>
      <c r="L5931">
        <v>-63.492649999999998</v>
      </c>
      <c r="M5931">
        <v>0.99989410000000001</v>
      </c>
      <c r="N5931">
        <v>0</v>
      </c>
      <c r="O5931">
        <v>1.0561299999999999E-2</v>
      </c>
      <c r="P5931">
        <v>0.99451449999999997</v>
      </c>
      <c r="Q5931">
        <v>1.1630049999999999E-2</v>
      </c>
      <c r="R5931">
        <v>0.103950399999999</v>
      </c>
      <c r="S5931">
        <v>2.9923250000000001</v>
      </c>
      <c r="T5931">
        <v>-0.1157451</v>
      </c>
      <c r="U5931">
        <v>0.2445068</v>
      </c>
      <c r="V5931">
        <v>-9.3448409999999996E-2</v>
      </c>
      <c r="W5931">
        <v>2.15593E-2</v>
      </c>
      <c r="X5931">
        <v>0.99539069999999996</v>
      </c>
      <c r="Y5931">
        <v>-7.0863830000000003E-2</v>
      </c>
      <c r="Z5931">
        <v>9.6008319999999999E-4</v>
      </c>
      <c r="AA5931">
        <v>0.99748550000000002</v>
      </c>
      <c r="AB5931">
        <v>25</v>
      </c>
      <c r="AC5931">
        <v>28.547000000000001</v>
      </c>
      <c r="AD5931">
        <v>-1.1095784142509999</v>
      </c>
      <c r="AE5931">
        <v>2.34235999999999</v>
      </c>
      <c r="AF5931">
        <v>-2.0376629749844901</v>
      </c>
      <c r="AG5931">
        <v>-1.1095784142509999</v>
      </c>
      <c r="AH5931">
        <v>28.527337626295601</v>
      </c>
      <c r="AI5931">
        <v>92.221757035094001</v>
      </c>
      <c r="AJ5931">
        <v>94.085608790301094</v>
      </c>
      <c r="AK5931">
        <v>28.621534317741499</v>
      </c>
      <c r="AL5931">
        <v>88.764647422388506</v>
      </c>
      <c r="AM5931">
        <v>95.363273048035097</v>
      </c>
      <c r="AN5931">
        <v>1.00000002719725</v>
      </c>
    </row>
    <row r="5932" spans="1:40" x14ac:dyDescent="0.25">
      <c r="A5932" t="str">
        <f>"20190312151651052"</f>
        <v>20190312151651052</v>
      </c>
      <c r="B5932" t="str">
        <f>"1552375011044280"</f>
        <v>1552375011044280</v>
      </c>
      <c r="C5932" t="s">
        <v>40</v>
      </c>
      <c r="D5932">
        <v>4.794365</v>
      </c>
      <c r="E5932">
        <v>0.50898869999999996</v>
      </c>
      <c r="F5932" t="s">
        <v>76</v>
      </c>
      <c r="G5932">
        <v>-230.54689999999999</v>
      </c>
      <c r="H5932" s="1">
        <v>5.5132009999999998E-7</v>
      </c>
      <c r="I5932">
        <v>-61.236420000000003</v>
      </c>
      <c r="J5932">
        <v>-258.13889999999998</v>
      </c>
      <c r="K5932">
        <v>1.1095630000000001</v>
      </c>
      <c r="L5932">
        <v>-63.491329999999998</v>
      </c>
      <c r="M5932">
        <v>0.99989320000000004</v>
      </c>
      <c r="N5932">
        <v>0</v>
      </c>
      <c r="O5932">
        <v>1.0666800000000001E-2</v>
      </c>
      <c r="P5932">
        <v>0.99447589999999997</v>
      </c>
      <c r="Q5932">
        <v>1.1805299999999999E-2</v>
      </c>
      <c r="R5932">
        <v>0.1043004</v>
      </c>
      <c r="S5932">
        <v>2.9924770000000001</v>
      </c>
      <c r="T5932">
        <v>-0.1198422</v>
      </c>
      <c r="U5932">
        <v>0.24368290000000001</v>
      </c>
      <c r="V5932">
        <v>-9.3693970000000001E-2</v>
      </c>
      <c r="W5932">
        <v>2.171329E-2</v>
      </c>
      <c r="X5932">
        <v>0.99536420000000003</v>
      </c>
      <c r="Y5932">
        <v>-7.0478789999999999E-2</v>
      </c>
      <c r="Z5932">
        <v>9.820918000000001E-4</v>
      </c>
      <c r="AA5932">
        <v>0.99751279999999998</v>
      </c>
      <c r="AB5932">
        <v>25</v>
      </c>
      <c r="AC5932">
        <v>27.591999999999899</v>
      </c>
      <c r="AD5932">
        <v>-1.1095624486798901</v>
      </c>
      <c r="AE5932">
        <v>2.2549100000000002</v>
      </c>
      <c r="AF5932">
        <v>-1.95730450654543</v>
      </c>
      <c r="AG5932">
        <v>-1.1095624486798901</v>
      </c>
      <c r="AH5932">
        <v>27.570195951320901</v>
      </c>
      <c r="AI5932">
        <v>92.298845100876903</v>
      </c>
      <c r="AJ5932">
        <v>94.060814381886701</v>
      </c>
      <c r="AK5932">
        <v>27.661848719004599</v>
      </c>
      <c r="AL5932">
        <v>88.755822294560303</v>
      </c>
      <c r="AM5932">
        <v>95.377426261113698</v>
      </c>
      <c r="AN5932">
        <v>0.99999995880931103</v>
      </c>
    </row>
    <row r="5933" spans="1:40" x14ac:dyDescent="0.25">
      <c r="A5933" t="str">
        <f>"20190312151651063"</f>
        <v>20190312151651063</v>
      </c>
      <c r="B5933" t="str">
        <f>"1552375011054040"</f>
        <v>1552375011054040</v>
      </c>
      <c r="C5933" t="s">
        <v>40</v>
      </c>
      <c r="D5933">
        <v>4.6858389999999996</v>
      </c>
      <c r="E5933">
        <v>0.50922330000000005</v>
      </c>
      <c r="F5933" t="s">
        <v>76</v>
      </c>
      <c r="G5933">
        <v>-231.54839999999999</v>
      </c>
      <c r="H5933" s="1">
        <v>9.7926549999999996E-8</v>
      </c>
      <c r="I5933">
        <v>-61.325760000000002</v>
      </c>
      <c r="J5933">
        <v>-258.01940000000002</v>
      </c>
      <c r="K5933">
        <v>1.1095489999999999</v>
      </c>
      <c r="L5933">
        <v>-63.489960000000004</v>
      </c>
      <c r="M5933">
        <v>0.99989240000000001</v>
      </c>
      <c r="N5933">
        <v>0</v>
      </c>
      <c r="O5933">
        <v>1.07627E-2</v>
      </c>
      <c r="P5933">
        <v>0.99443760000000003</v>
      </c>
      <c r="Q5933">
        <v>1.187306E-2</v>
      </c>
      <c r="R5933">
        <v>0.1046562</v>
      </c>
      <c r="S5933">
        <v>2.9925839999999999</v>
      </c>
      <c r="T5933">
        <v>-0.12487379999999999</v>
      </c>
      <c r="U5933">
        <v>0.2437134</v>
      </c>
      <c r="V5933">
        <v>-9.3953969999999998E-2</v>
      </c>
      <c r="W5933">
        <v>2.1759529999999999E-2</v>
      </c>
      <c r="X5933">
        <v>0.99533870000000002</v>
      </c>
      <c r="Y5933">
        <v>-7.0386420000000005E-2</v>
      </c>
      <c r="Z5933">
        <v>1.017338E-3</v>
      </c>
      <c r="AA5933">
        <v>0.9975193</v>
      </c>
      <c r="AB5933">
        <v>25</v>
      </c>
      <c r="AC5933">
        <v>26.471</v>
      </c>
      <c r="AD5933">
        <v>-1.1095489020734499</v>
      </c>
      <c r="AE5933">
        <v>2.1642000000000001</v>
      </c>
      <c r="AF5933">
        <v>-1.8758871509471799</v>
      </c>
      <c r="AG5933">
        <v>-1.1095489020734499</v>
      </c>
      <c r="AH5933">
        <v>26.446604380946599</v>
      </c>
      <c r="AI5933">
        <v>92.396381966687201</v>
      </c>
      <c r="AJ5933">
        <v>94.057258337592401</v>
      </c>
      <c r="AK5933">
        <v>26.536256982692201</v>
      </c>
      <c r="AL5933">
        <v>88.753172333785699</v>
      </c>
      <c r="AM5933">
        <v>95.392398070484205</v>
      </c>
      <c r="AN5933">
        <v>0.99999997667113505</v>
      </c>
    </row>
    <row r="5934" spans="1:40" x14ac:dyDescent="0.25">
      <c r="A5934" t="str">
        <f>"20190312151651075"</f>
        <v>20190312151651075</v>
      </c>
      <c r="B5934" t="str">
        <f>"1552375011063800"</f>
        <v>1552375011063800</v>
      </c>
      <c r="C5934" t="s">
        <v>40</v>
      </c>
      <c r="D5934">
        <v>4.6876049999999996</v>
      </c>
      <c r="E5934">
        <v>0.50938459999999997</v>
      </c>
      <c r="F5934" t="s">
        <v>76</v>
      </c>
      <c r="G5934">
        <v>-231.67240000000001</v>
      </c>
      <c r="H5934" s="1">
        <v>3.7987319999999997E-8</v>
      </c>
      <c r="I5934">
        <v>-61.351039999999998</v>
      </c>
      <c r="J5934">
        <v>-257.8843</v>
      </c>
      <c r="K5934">
        <v>1.1095349999999999</v>
      </c>
      <c r="L5934">
        <v>-63.488370000000003</v>
      </c>
      <c r="M5934">
        <v>0.99989159999999999</v>
      </c>
      <c r="N5934">
        <v>0</v>
      </c>
      <c r="O5934">
        <v>1.0867460000000001E-2</v>
      </c>
      <c r="P5934">
        <v>0.99438720000000003</v>
      </c>
      <c r="Q5934">
        <v>1.177867E-2</v>
      </c>
      <c r="R5934">
        <v>0.1051438</v>
      </c>
      <c r="S5934">
        <v>2.9927220000000001</v>
      </c>
      <c r="T5934">
        <v>-0.12603210000000001</v>
      </c>
      <c r="U5934">
        <v>0.24295040000000001</v>
      </c>
      <c r="V5934">
        <v>-9.4337210000000005E-2</v>
      </c>
      <c r="W5934">
        <v>2.1640340000000001E-2</v>
      </c>
      <c r="X5934">
        <v>0.99530510000000005</v>
      </c>
      <c r="Y5934">
        <v>-7.0025030000000002E-2</v>
      </c>
      <c r="Z5934">
        <v>1.0147349999999999E-3</v>
      </c>
      <c r="AA5934">
        <v>0.99754469999999995</v>
      </c>
      <c r="AB5934">
        <v>25</v>
      </c>
      <c r="AC5934">
        <v>26.211899999999901</v>
      </c>
      <c r="AD5934">
        <v>-1.10953496201268</v>
      </c>
      <c r="AE5934">
        <v>2.1373299999999902</v>
      </c>
      <c r="AF5934">
        <v>-1.84904174548183</v>
      </c>
      <c r="AG5934">
        <v>-1.10953496201268</v>
      </c>
      <c r="AH5934">
        <v>26.186969054037402</v>
      </c>
      <c r="AI5934">
        <v>92.420137627610799</v>
      </c>
      <c r="AJ5934">
        <v>94.0389076166705</v>
      </c>
      <c r="AK5934">
        <v>26.275604111905299</v>
      </c>
      <c r="AL5934">
        <v>88.760003089745894</v>
      </c>
      <c r="AM5934">
        <v>95.414445008558502</v>
      </c>
      <c r="AN5934">
        <v>1.00000002779595</v>
      </c>
    </row>
    <row r="5935" spans="1:40" x14ac:dyDescent="0.25">
      <c r="A5935" t="str">
        <f>"20190312151651089"</f>
        <v>20190312151651089</v>
      </c>
      <c r="B5935" t="str">
        <f>"1552375011084296"</f>
        <v>1552375011084296</v>
      </c>
      <c r="C5935" t="s">
        <v>40</v>
      </c>
      <c r="D5935">
        <v>4.6811590000000001</v>
      </c>
      <c r="E5935">
        <v>0.50973329999999994</v>
      </c>
      <c r="F5935" t="s">
        <v>76</v>
      </c>
      <c r="G5935">
        <v>-232.0538</v>
      </c>
      <c r="H5935" s="1">
        <v>-1.35852799999999E-7</v>
      </c>
      <c r="I5935">
        <v>-61.38955</v>
      </c>
      <c r="J5935">
        <v>-257.72370000000001</v>
      </c>
      <c r="K5935">
        <v>1.1095139999999999</v>
      </c>
      <c r="L5935">
        <v>-63.486510000000003</v>
      </c>
      <c r="M5935">
        <v>0.99989079999999997</v>
      </c>
      <c r="N5935">
        <v>0</v>
      </c>
      <c r="O5935">
        <v>1.0974899999999999E-2</v>
      </c>
      <c r="P5935">
        <v>0.99435260000000003</v>
      </c>
      <c r="Q5935">
        <v>1.171911E-2</v>
      </c>
      <c r="R5935">
        <v>0.1054797</v>
      </c>
      <c r="S5935">
        <v>2.992737</v>
      </c>
      <c r="T5935">
        <v>-0.1285512</v>
      </c>
      <c r="U5935">
        <v>0.24316409999999999</v>
      </c>
      <c r="V5935">
        <v>-9.4565670000000004E-2</v>
      </c>
      <c r="W5935">
        <v>2.155263E-2</v>
      </c>
      <c r="X5935">
        <v>0.99528530000000004</v>
      </c>
      <c r="Y5935">
        <v>-6.9986209999999993E-2</v>
      </c>
      <c r="Z5935">
        <v>1.0295549999999999E-3</v>
      </c>
      <c r="AA5935">
        <v>0.99754739999999997</v>
      </c>
      <c r="AB5935">
        <v>25</v>
      </c>
      <c r="AC5935">
        <v>25.669899999999998</v>
      </c>
      <c r="AD5935">
        <v>-1.10951413585279</v>
      </c>
      <c r="AE5935">
        <v>2.0969599999999899</v>
      </c>
      <c r="AF5935">
        <v>-1.8117331173015301</v>
      </c>
      <c r="AG5935">
        <v>-1.10951413585279</v>
      </c>
      <c r="AH5935">
        <v>25.643779435990801</v>
      </c>
      <c r="AI5935">
        <v>92.471284970213404</v>
      </c>
      <c r="AJ5935">
        <v>94.041232139682606</v>
      </c>
      <c r="AK5935">
        <v>25.731630773577699</v>
      </c>
      <c r="AL5935">
        <v>88.765029646751699</v>
      </c>
      <c r="AM5935">
        <v>95.427586497533994</v>
      </c>
      <c r="AN5935">
        <v>1.0000000050992699</v>
      </c>
    </row>
    <row r="5936" spans="1:40" x14ac:dyDescent="0.25">
      <c r="A5936" t="str">
        <f>"20190312151651100"</f>
        <v>20190312151651100</v>
      </c>
      <c r="B5936" t="str">
        <f>"1552375011094055"</f>
        <v>1552375011094055</v>
      </c>
      <c r="C5936" t="s">
        <v>40</v>
      </c>
      <c r="D5936">
        <v>4.6806020000000004</v>
      </c>
      <c r="E5936">
        <v>0.50979810000000003</v>
      </c>
      <c r="F5936" t="s">
        <v>76</v>
      </c>
      <c r="G5936">
        <v>-232.3382</v>
      </c>
      <c r="H5936" s="1">
        <v>-2.7108579999999999E-7</v>
      </c>
      <c r="I5936">
        <v>-61.439279999999997</v>
      </c>
      <c r="J5936">
        <v>-257.5949</v>
      </c>
      <c r="K5936">
        <v>1.1094980000000001</v>
      </c>
      <c r="L5936">
        <v>-63.484990000000003</v>
      </c>
      <c r="M5936">
        <v>0.9998901</v>
      </c>
      <c r="N5936">
        <v>0</v>
      </c>
      <c r="O5936">
        <v>1.1051160000000001E-2</v>
      </c>
      <c r="P5936">
        <v>0.99433260000000001</v>
      </c>
      <c r="Q5936">
        <v>1.172639E-2</v>
      </c>
      <c r="R5936">
        <v>0.1056638</v>
      </c>
      <c r="S5936">
        <v>2.9929809999999999</v>
      </c>
      <c r="T5936">
        <v>-0.1308126</v>
      </c>
      <c r="U5936">
        <v>0.24136350000000001</v>
      </c>
      <c r="V5936">
        <v>-9.4673430000000003E-2</v>
      </c>
      <c r="W5936">
        <v>2.1537850000000001E-2</v>
      </c>
      <c r="X5936">
        <v>0.99527540000000003</v>
      </c>
      <c r="Y5936">
        <v>-6.9306149999999997E-2</v>
      </c>
      <c r="Z5936">
        <v>1.029433E-3</v>
      </c>
      <c r="AA5936">
        <v>0.99759489999999995</v>
      </c>
      <c r="AB5936">
        <v>25</v>
      </c>
      <c r="AC5936">
        <v>25.256699999999899</v>
      </c>
      <c r="AD5936">
        <v>-1.1094982710857999</v>
      </c>
      <c r="AE5936">
        <v>2.0457100000000001</v>
      </c>
      <c r="AF5936">
        <v>-1.7630754896821501</v>
      </c>
      <c r="AG5936">
        <v>-1.1094982710857999</v>
      </c>
      <c r="AH5936">
        <v>25.229397104434</v>
      </c>
      <c r="AI5936">
        <v>92.5119221067757</v>
      </c>
      <c r="AJ5936">
        <v>93.997433110946105</v>
      </c>
      <c r="AK5936">
        <v>25.315250341426299</v>
      </c>
      <c r="AL5936">
        <v>88.765876705212193</v>
      </c>
      <c r="AM5936">
        <v>95.433788100146998</v>
      </c>
      <c r="AN5936">
        <v>1.0000000295878699</v>
      </c>
    </row>
    <row r="5937" spans="1:40" x14ac:dyDescent="0.25">
      <c r="A5937" t="str">
        <f>"20190312151651111"</f>
        <v>20190312151651111</v>
      </c>
      <c r="B5937" t="str">
        <f>"1552375011103815"</f>
        <v>1552375011103815</v>
      </c>
      <c r="C5937" t="s">
        <v>40</v>
      </c>
      <c r="D5937">
        <v>4.7820070000000001</v>
      </c>
      <c r="E5937">
        <v>0.50958809999999999</v>
      </c>
      <c r="F5937" t="s">
        <v>76</v>
      </c>
      <c r="G5937">
        <v>-232.35820000000001</v>
      </c>
      <c r="H5937" s="1">
        <v>-2.823572E-7</v>
      </c>
      <c r="I5937">
        <v>-61.449260000000002</v>
      </c>
      <c r="J5937">
        <v>-257.46789999999999</v>
      </c>
      <c r="K5937">
        <v>1.10948</v>
      </c>
      <c r="L5937">
        <v>-63.483490000000003</v>
      </c>
      <c r="M5937">
        <v>0.99988969999999999</v>
      </c>
      <c r="N5937">
        <v>0</v>
      </c>
      <c r="O5937">
        <v>1.112105E-2</v>
      </c>
      <c r="P5937">
        <v>0.99430859999999999</v>
      </c>
      <c r="Q5937">
        <v>1.1537820000000001E-2</v>
      </c>
      <c r="R5937">
        <v>0.1059148</v>
      </c>
      <c r="S5937">
        <v>2.9929960000000002</v>
      </c>
      <c r="T5937">
        <v>-0.13158320000000001</v>
      </c>
      <c r="U5937">
        <v>0.24142459999999999</v>
      </c>
      <c r="V5937">
        <v>-9.4854659999999993E-2</v>
      </c>
      <c r="W5937">
        <v>2.132856E-2</v>
      </c>
      <c r="X5937">
        <v>0.9952626</v>
      </c>
      <c r="Y5937">
        <v>-6.9255700000000003E-2</v>
      </c>
      <c r="Z5937">
        <v>1.031314E-3</v>
      </c>
      <c r="AA5937">
        <v>0.9975984</v>
      </c>
      <c r="AB5937">
        <v>25</v>
      </c>
      <c r="AC5937">
        <v>25.109699999999901</v>
      </c>
      <c r="AD5937">
        <v>-1.1094802823571901</v>
      </c>
      <c r="AE5937">
        <v>2.03423</v>
      </c>
      <c r="AF5937">
        <v>-1.7514472985342799</v>
      </c>
      <c r="AG5937">
        <v>-1.1094802823571901</v>
      </c>
      <c r="AH5937">
        <v>25.0821213088077</v>
      </c>
      <c r="AI5937">
        <v>92.526620844618904</v>
      </c>
      <c r="AJ5937">
        <v>93.994395399737797</v>
      </c>
      <c r="AK5937">
        <v>25.167664243751901</v>
      </c>
      <c r="AL5937">
        <v>88.777870831375296</v>
      </c>
      <c r="AM5937">
        <v>95.444196969275794</v>
      </c>
      <c r="AN5937">
        <v>0.999999978477074</v>
      </c>
    </row>
    <row r="5938" spans="1:40" x14ac:dyDescent="0.25">
      <c r="A5938" t="str">
        <f>"20190312151651120"</f>
        <v>20190312151651120</v>
      </c>
      <c r="B5938" t="str">
        <f>"1552375011114082"</f>
        <v>1552375011114082</v>
      </c>
      <c r="C5938" t="s">
        <v>40</v>
      </c>
      <c r="D5938">
        <v>4.684126</v>
      </c>
      <c r="E5938">
        <v>0.50963530000000001</v>
      </c>
      <c r="F5938" t="s">
        <v>76</v>
      </c>
      <c r="G5938">
        <v>-232.52600000000001</v>
      </c>
      <c r="H5938" s="1">
        <v>-3.5496229999999998E-7</v>
      </c>
      <c r="I5938">
        <v>-61.45158</v>
      </c>
      <c r="J5938">
        <v>-257.36720000000003</v>
      </c>
      <c r="K5938">
        <v>1.109467</v>
      </c>
      <c r="L5938">
        <v>-63.48236</v>
      </c>
      <c r="M5938">
        <v>0.99988920000000003</v>
      </c>
      <c r="N5938">
        <v>0</v>
      </c>
      <c r="O5938">
        <v>1.116698E-2</v>
      </c>
      <c r="P5938">
        <v>0.99429409999999896</v>
      </c>
      <c r="Q5938">
        <v>1.1404890000000001E-2</v>
      </c>
      <c r="R5938">
        <v>0.1060619</v>
      </c>
      <c r="S5938">
        <v>2.9928129999999999</v>
      </c>
      <c r="T5938">
        <v>-0.1331282</v>
      </c>
      <c r="U5938">
        <v>0.24380489999999999</v>
      </c>
      <c r="V5938">
        <v>-9.4955100000000001E-2</v>
      </c>
      <c r="W5938">
        <v>2.118126E-2</v>
      </c>
      <c r="X5938">
        <v>0.99525620000000004</v>
      </c>
      <c r="Y5938">
        <v>-7.0001010000000002E-2</v>
      </c>
      <c r="Z5938">
        <v>1.0579439999999999E-3</v>
      </c>
      <c r="AA5938">
        <v>0.99754640000000006</v>
      </c>
      <c r="AB5938">
        <v>25</v>
      </c>
      <c r="AC5938">
        <v>24.841200000000001</v>
      </c>
      <c r="AD5938">
        <v>-1.1094673549623</v>
      </c>
      <c r="AE5938">
        <v>2.0307799999999898</v>
      </c>
      <c r="AF5938">
        <v>-1.74977159166064</v>
      </c>
      <c r="AG5938">
        <v>-1.1094673549623</v>
      </c>
      <c r="AH5938">
        <v>24.813162766142</v>
      </c>
      <c r="AI5938">
        <v>92.553819207619796</v>
      </c>
      <c r="AJ5938">
        <v>94.033699427608099</v>
      </c>
      <c r="AK5938">
        <v>24.899511338453301</v>
      </c>
      <c r="AL5938">
        <v>88.786312445458094</v>
      </c>
      <c r="AM5938">
        <v>95.449961881703402</v>
      </c>
      <c r="AN5938">
        <v>1.0000000102148101</v>
      </c>
    </row>
    <row r="5939" spans="1:40" x14ac:dyDescent="0.25">
      <c r="A5939" t="str">
        <f>"20190312151651130"</f>
        <v>20190312151651130</v>
      </c>
      <c r="B5939" t="str">
        <f>"1552375011123843"</f>
        <v>1552375011123843</v>
      </c>
      <c r="C5939" t="s">
        <v>40</v>
      </c>
      <c r="D5939">
        <v>4.6907300000000003</v>
      </c>
      <c r="E5939">
        <v>0.50977209999999995</v>
      </c>
      <c r="F5939" t="s">
        <v>76</v>
      </c>
      <c r="G5939">
        <v>-232.62729999999999</v>
      </c>
      <c r="H5939" s="1">
        <v>-4.0219409999999997E-7</v>
      </c>
      <c r="I5939">
        <v>-61.465859999999999</v>
      </c>
      <c r="J5939">
        <v>-257.2516</v>
      </c>
      <c r="K5939">
        <v>1.1094520000000001</v>
      </c>
      <c r="L5939">
        <v>-63.480989999999998</v>
      </c>
      <c r="M5939">
        <v>0.99988909999999998</v>
      </c>
      <c r="N5939">
        <v>0</v>
      </c>
      <c r="O5939">
        <v>1.1217370000000001E-2</v>
      </c>
      <c r="P5939">
        <v>0.99427509999999997</v>
      </c>
      <c r="Q5939">
        <v>1.143069E-2</v>
      </c>
      <c r="R5939">
        <v>0.10623730000000001</v>
      </c>
      <c r="S5939">
        <v>2.9927670000000002</v>
      </c>
      <c r="T5939">
        <v>-0.1342111</v>
      </c>
      <c r="U5939">
        <v>0.243927</v>
      </c>
      <c r="V5939">
        <v>-9.5079899999999995E-2</v>
      </c>
      <c r="W5939">
        <v>2.119031E-2</v>
      </c>
      <c r="X5939">
        <v>0.99524409999999996</v>
      </c>
      <c r="Y5939">
        <v>-6.9991490000000003E-2</v>
      </c>
      <c r="Z5939">
        <v>1.0640879999999999E-3</v>
      </c>
      <c r="AA5939">
        <v>0.99754699999999996</v>
      </c>
      <c r="AB5939">
        <v>25</v>
      </c>
      <c r="AC5939">
        <v>24.624300000000002</v>
      </c>
      <c r="AD5939">
        <v>-1.1094524021940999</v>
      </c>
      <c r="AE5939">
        <v>2.0151300000000001</v>
      </c>
      <c r="AF5939">
        <v>-1.73527095066686</v>
      </c>
      <c r="AG5939">
        <v>-1.1094524021940999</v>
      </c>
      <c r="AH5939">
        <v>24.595759614394002</v>
      </c>
      <c r="AI5939">
        <v>92.576321489971605</v>
      </c>
      <c r="AJ5939">
        <v>94.035623728835702</v>
      </c>
      <c r="AK5939">
        <v>24.681844358029998</v>
      </c>
      <c r="AL5939">
        <v>88.785793811225105</v>
      </c>
      <c r="AM5939">
        <v>95.457147529759297</v>
      </c>
      <c r="AN5939">
        <v>1.0000000176033501</v>
      </c>
    </row>
    <row r="5940" spans="1:40" x14ac:dyDescent="0.25">
      <c r="A5940" t="str">
        <f>"20190312151651140"</f>
        <v>20190312151651140</v>
      </c>
      <c r="B5940" t="str">
        <f>"1552375011133602"</f>
        <v>1552375011133602</v>
      </c>
      <c r="C5940" t="s">
        <v>40</v>
      </c>
      <c r="D5940">
        <v>4.6782370000000002</v>
      </c>
      <c r="E5940">
        <v>0.50984909999999894</v>
      </c>
      <c r="F5940" t="s">
        <v>76</v>
      </c>
      <c r="G5940">
        <v>-232.5583</v>
      </c>
      <c r="H5940" s="1">
        <v>-3.7461749999999999E-7</v>
      </c>
      <c r="I5940">
        <v>-61.473350000000003</v>
      </c>
      <c r="J5940">
        <v>-257.13639999999998</v>
      </c>
      <c r="K5940">
        <v>1.1094469999999901</v>
      </c>
      <c r="L5940">
        <v>-63.479640000000003</v>
      </c>
      <c r="M5940">
        <v>0.99988860000000002</v>
      </c>
      <c r="N5940">
        <v>0</v>
      </c>
      <c r="O5940">
        <v>1.125841E-2</v>
      </c>
      <c r="P5940">
        <v>0.99427379999999999</v>
      </c>
      <c r="Q5940">
        <v>1.112076E-2</v>
      </c>
      <c r="R5940">
        <v>0.1062833</v>
      </c>
      <c r="S5940">
        <v>2.9927980000000001</v>
      </c>
      <c r="T5940">
        <v>-0.13446459999999999</v>
      </c>
      <c r="U5940">
        <v>0.2433167</v>
      </c>
      <c r="V5940">
        <v>-9.508482E-2</v>
      </c>
      <c r="W5940">
        <v>2.0866139999999998E-2</v>
      </c>
      <c r="X5940">
        <v>0.99525050000000004</v>
      </c>
      <c r="Y5940">
        <v>-6.9747699999999996E-2</v>
      </c>
      <c r="Z5940">
        <v>1.05879E-3</v>
      </c>
      <c r="AA5940">
        <v>0.99756409999999995</v>
      </c>
      <c r="AB5940">
        <v>25</v>
      </c>
      <c r="AC5940">
        <v>24.5780999999999</v>
      </c>
      <c r="AD5940">
        <v>-1.10944737461749</v>
      </c>
      <c r="AE5940">
        <v>2.0062899999999999</v>
      </c>
      <c r="AF5940">
        <v>-1.7259457270124301</v>
      </c>
      <c r="AG5940">
        <v>-1.10944737461749</v>
      </c>
      <c r="AH5940">
        <v>24.549440272437401</v>
      </c>
      <c r="AI5940">
        <v>92.581208760121299</v>
      </c>
      <c r="AJ5940">
        <v>94.021556368498807</v>
      </c>
      <c r="AK5940">
        <v>24.6350315571061</v>
      </c>
      <c r="AL5940">
        <v>88.804371516390802</v>
      </c>
      <c r="AM5940">
        <v>95.457393327877497</v>
      </c>
      <c r="AN5940">
        <v>1.0000000382715899</v>
      </c>
    </row>
    <row r="5941" spans="1:40" x14ac:dyDescent="0.25">
      <c r="A5941" t="str">
        <f>"20190312151651151"</f>
        <v>20190312151651151</v>
      </c>
      <c r="B5941" t="str">
        <f>"1552375011143362"</f>
        <v>1552375011143362</v>
      </c>
      <c r="C5941" t="s">
        <v>40</v>
      </c>
      <c r="D5941">
        <v>4.6523519999999996</v>
      </c>
      <c r="E5941">
        <v>0.50998160000000003</v>
      </c>
      <c r="F5941" t="s">
        <v>76</v>
      </c>
      <c r="G5941">
        <v>-232.69200000000001</v>
      </c>
      <c r="H5941" s="1">
        <v>-4.3791869999999999E-7</v>
      </c>
      <c r="I5941">
        <v>-61.495750000000001</v>
      </c>
      <c r="J5941">
        <v>-257.01319999999998</v>
      </c>
      <c r="K5941">
        <v>1.1094349999999999</v>
      </c>
      <c r="L5941">
        <v>-63.478209999999997</v>
      </c>
      <c r="M5941">
        <v>0.99988829999999995</v>
      </c>
      <c r="N5941">
        <v>0</v>
      </c>
      <c r="O5941">
        <v>1.1299460000000001E-2</v>
      </c>
      <c r="P5941">
        <v>0.99424939999999995</v>
      </c>
      <c r="Q5941">
        <v>1.094058E-2</v>
      </c>
      <c r="R5941">
        <v>0.1065287</v>
      </c>
      <c r="S5941">
        <v>2.9928279999999998</v>
      </c>
      <c r="T5941">
        <v>-0.13583429999999999</v>
      </c>
      <c r="U5941">
        <v>0.24288940000000001</v>
      </c>
      <c r="V5941">
        <v>-9.5288800000000007E-2</v>
      </c>
      <c r="W5941">
        <v>2.06702E-2</v>
      </c>
      <c r="X5941">
        <v>0.99523499999999998</v>
      </c>
      <c r="Y5941">
        <v>-6.9563490000000006E-2</v>
      </c>
      <c r="Z5941">
        <v>1.06353E-3</v>
      </c>
      <c r="AA5941">
        <v>0.99757700000000005</v>
      </c>
      <c r="AB5941">
        <v>25</v>
      </c>
      <c r="AC5941">
        <v>24.321199999999902</v>
      </c>
      <c r="AD5941">
        <v>-1.1094354379186999</v>
      </c>
      <c r="AE5941">
        <v>1.9824599999999899</v>
      </c>
      <c r="AF5941">
        <v>-1.70398157414416</v>
      </c>
      <c r="AG5941">
        <v>-1.1094354379186999</v>
      </c>
      <c r="AH5941">
        <v>24.291835700787601</v>
      </c>
      <c r="AI5941">
        <v>92.608544616881701</v>
      </c>
      <c r="AJ5941">
        <v>94.012512429109194</v>
      </c>
      <c r="AK5941">
        <v>24.3767857173581</v>
      </c>
      <c r="AL5941">
        <v>88.815600378875303</v>
      </c>
      <c r="AM5941">
        <v>95.469114511793606</v>
      </c>
      <c r="AN5941">
        <v>0.99999995889923898</v>
      </c>
    </row>
    <row r="5942" spans="1:40" x14ac:dyDescent="0.25">
      <c r="A5942" t="str">
        <f>"20190312151651162"</f>
        <v>20190312151651162</v>
      </c>
      <c r="B5942" t="str">
        <f>"1552375011154098"</f>
        <v>1552375011154098</v>
      </c>
      <c r="C5942" t="s">
        <v>40</v>
      </c>
      <c r="D5942">
        <v>5.1739470000000001</v>
      </c>
      <c r="E5942">
        <v>0.51013920000000001</v>
      </c>
      <c r="F5942" t="s">
        <v>76</v>
      </c>
      <c r="G5942">
        <v>-232.7396</v>
      </c>
      <c r="H5942" s="1">
        <v>-4.6235600000000001E-7</v>
      </c>
      <c r="I5942">
        <v>-61.510930000000002</v>
      </c>
      <c r="J5942">
        <v>-256.88069999999999</v>
      </c>
      <c r="K5942">
        <v>1.109423</v>
      </c>
      <c r="L5942">
        <v>-63.476649999999999</v>
      </c>
      <c r="M5942">
        <v>0.9998882</v>
      </c>
      <c r="N5942">
        <v>0</v>
      </c>
      <c r="O5942">
        <v>1.1332999999999999E-2</v>
      </c>
      <c r="P5942">
        <v>0.99425419999999998</v>
      </c>
      <c r="Q5942">
        <v>1.0865649999999999E-2</v>
      </c>
      <c r="R5942">
        <v>0.10649459999999999</v>
      </c>
      <c r="S5942">
        <v>2.992874</v>
      </c>
      <c r="T5942">
        <v>-0.13679040000000001</v>
      </c>
      <c r="U5942">
        <v>0.24255370000000001</v>
      </c>
      <c r="V5942">
        <v>-9.5221120000000006E-2</v>
      </c>
      <c r="W5942">
        <v>2.05801E-2</v>
      </c>
      <c r="X5942">
        <v>0.9952434</v>
      </c>
      <c r="Y5942">
        <v>-6.9416969999999995E-2</v>
      </c>
      <c r="Z5942">
        <v>1.0661259999999999E-3</v>
      </c>
      <c r="AA5942">
        <v>0.99758709999999995</v>
      </c>
      <c r="AB5942">
        <v>25</v>
      </c>
      <c r="AC5942">
        <v>24.141099999999899</v>
      </c>
      <c r="AD5942">
        <v>-1.109423462356</v>
      </c>
      <c r="AE5942">
        <v>1.9657199999999899</v>
      </c>
      <c r="AF5942">
        <v>-1.68844724092169</v>
      </c>
      <c r="AG5942">
        <v>-1.109423462356</v>
      </c>
      <c r="AH5942">
        <v>24.111242080539199</v>
      </c>
      <c r="AI5942">
        <v>92.628048801303393</v>
      </c>
      <c r="AJ5942">
        <v>94.005734352913606</v>
      </c>
      <c r="AK5942">
        <v>24.195736590783198</v>
      </c>
      <c r="AL5942">
        <v>88.820763891861205</v>
      </c>
      <c r="AM5942">
        <v>95.465207687954702</v>
      </c>
      <c r="AN5942">
        <v>1.0000000137268099</v>
      </c>
    </row>
    <row r="5943" spans="1:40" x14ac:dyDescent="0.25">
      <c r="A5943" t="str">
        <f>"20190312151651174"</f>
        <v>20190312151651174</v>
      </c>
      <c r="B5943" t="str">
        <f>"1552375011163859"</f>
        <v>1552375011163859</v>
      </c>
      <c r="C5943" t="s">
        <v>40</v>
      </c>
      <c r="D5943">
        <v>4.6927760000000003</v>
      </c>
      <c r="E5943">
        <v>0.51028419999999997</v>
      </c>
      <c r="F5943" t="s">
        <v>76</v>
      </c>
      <c r="G5943">
        <v>-232.1688</v>
      </c>
      <c r="H5943" s="1">
        <v>-2.108129E-7</v>
      </c>
      <c r="I5943">
        <v>-61.485759999999999</v>
      </c>
      <c r="J5943">
        <v>-256.75490000000002</v>
      </c>
      <c r="K5943">
        <v>1.1094170000000001</v>
      </c>
      <c r="L5943">
        <v>-63.475189999999998</v>
      </c>
      <c r="M5943">
        <v>0.99988779999999999</v>
      </c>
      <c r="N5943">
        <v>0</v>
      </c>
      <c r="O5943">
        <v>1.1362779999999999E-2</v>
      </c>
      <c r="P5943">
        <v>0.99425410000000003</v>
      </c>
      <c r="Q5943">
        <v>1.049718E-2</v>
      </c>
      <c r="R5943">
        <v>0.10652979999999999</v>
      </c>
      <c r="S5943">
        <v>2.9929809999999999</v>
      </c>
      <c r="T5943">
        <v>-0.13436770000000001</v>
      </c>
      <c r="U5943">
        <v>0.24111940000000001</v>
      </c>
      <c r="V5943">
        <v>-9.5226119999999997E-2</v>
      </c>
      <c r="W5943">
        <v>2.0197280000000001E-2</v>
      </c>
      <c r="X5943">
        <v>0.99525079999999999</v>
      </c>
      <c r="Y5943">
        <v>-6.8912050000000002E-2</v>
      </c>
      <c r="Z5943">
        <v>1.034601E-3</v>
      </c>
      <c r="AA5943">
        <v>0.99762220000000001</v>
      </c>
      <c r="AB5943">
        <v>26</v>
      </c>
      <c r="AC5943">
        <v>24.586099999999998</v>
      </c>
      <c r="AD5943">
        <v>-1.1094172108128999</v>
      </c>
      <c r="AE5943">
        <v>1.98943</v>
      </c>
      <c r="AF5943">
        <v>-1.70646976659049</v>
      </c>
      <c r="AG5943">
        <v>-1.1094172108128999</v>
      </c>
      <c r="AH5943">
        <v>24.5574416848795</v>
      </c>
      <c r="AI5943">
        <v>92.580445073295195</v>
      </c>
      <c r="AJ5943">
        <v>93.975031188839495</v>
      </c>
      <c r="AK5943">
        <v>24.6416474229746</v>
      </c>
      <c r="AL5943">
        <v>88.842702463767594</v>
      </c>
      <c r="AM5943">
        <v>95.465452533276704</v>
      </c>
      <c r="AN5943">
        <v>1.00000004947514</v>
      </c>
    </row>
    <row r="5944" spans="1:40" x14ac:dyDescent="0.25">
      <c r="A5944" t="str">
        <f>"20190312151651185"</f>
        <v>20190312151651185</v>
      </c>
      <c r="B5944" t="str">
        <f>"1552375011173619"</f>
        <v>1552375011173619</v>
      </c>
      <c r="C5944" t="s">
        <v>40</v>
      </c>
      <c r="D5944">
        <v>4.7199059999999999</v>
      </c>
      <c r="E5944">
        <v>0.51041590000000003</v>
      </c>
      <c r="F5944" t="s">
        <v>76</v>
      </c>
      <c r="G5944">
        <v>-232.32069999999999</v>
      </c>
      <c r="H5944" s="1">
        <v>-2.8373340000000001E-7</v>
      </c>
      <c r="I5944">
        <v>-61.51491</v>
      </c>
      <c r="J5944">
        <v>-256.6241</v>
      </c>
      <c r="K5944">
        <v>1.1094079999999999</v>
      </c>
      <c r="L5944">
        <v>-63.473660000000002</v>
      </c>
      <c r="M5944">
        <v>0.99988790000000005</v>
      </c>
      <c r="N5944">
        <v>0</v>
      </c>
      <c r="O5944">
        <v>1.138579E-2</v>
      </c>
      <c r="P5944">
        <v>0.99421579999999998</v>
      </c>
      <c r="Q5944">
        <v>1.0669669999999999E-2</v>
      </c>
      <c r="R5944">
        <v>0.1068713</v>
      </c>
      <c r="S5944">
        <v>2.9930110000000001</v>
      </c>
      <c r="T5944">
        <v>-0.13589560000000001</v>
      </c>
      <c r="U5944">
        <v>0.2401123</v>
      </c>
      <c r="V5944">
        <v>-9.5545199999999997E-2</v>
      </c>
      <c r="W5944">
        <v>2.0356030000000001E-2</v>
      </c>
      <c r="X5944">
        <v>0.99521689999999996</v>
      </c>
      <c r="Y5944">
        <v>-6.8553840000000005E-2</v>
      </c>
      <c r="Z5944">
        <v>1.0372000000000001E-3</v>
      </c>
      <c r="AA5944">
        <v>0.9976469</v>
      </c>
      <c r="AB5944">
        <v>26</v>
      </c>
      <c r="AC5944">
        <v>24.3034</v>
      </c>
      <c r="AD5944">
        <v>-1.1094082837334001</v>
      </c>
      <c r="AE5944">
        <v>1.95874999999999</v>
      </c>
      <c r="AF5944">
        <v>-1.6784216652566</v>
      </c>
      <c r="AG5944">
        <v>-1.1094082837334001</v>
      </c>
      <c r="AH5944">
        <v>24.273872860849099</v>
      </c>
      <c r="AI5944">
        <v>92.610589360365694</v>
      </c>
      <c r="AJ5944">
        <v>93.955432130427099</v>
      </c>
      <c r="AK5944">
        <v>24.357109633351101</v>
      </c>
      <c r="AL5944">
        <v>88.833604790999004</v>
      </c>
      <c r="AM5944">
        <v>95.483840166379593</v>
      </c>
      <c r="AN5944">
        <v>0.99999996562300397</v>
      </c>
    </row>
    <row r="5945" spans="1:40" x14ac:dyDescent="0.25">
      <c r="A5945" t="str">
        <f>"20190312151651196"</f>
        <v>20190312151651196</v>
      </c>
      <c r="B5945" t="str">
        <f>"1552375011194114"</f>
        <v>1552375011194114</v>
      </c>
      <c r="C5945" t="s">
        <v>40</v>
      </c>
      <c r="D5945">
        <v>4.9948069999999998</v>
      </c>
      <c r="E5945">
        <v>0.51039179999999995</v>
      </c>
      <c r="F5945" t="s">
        <v>76</v>
      </c>
      <c r="G5945">
        <v>-232.2448</v>
      </c>
      <c r="H5945" s="1">
        <v>-2.5179569999999998E-7</v>
      </c>
      <c r="I5945">
        <v>-61.51735</v>
      </c>
      <c r="J5945">
        <v>-256.5009</v>
      </c>
      <c r="K5945">
        <v>1.1094010000000001</v>
      </c>
      <c r="L5945">
        <v>-63.472230000000003</v>
      </c>
      <c r="M5945">
        <v>0.99988759999999999</v>
      </c>
      <c r="N5945">
        <v>0</v>
      </c>
      <c r="O5945">
        <v>1.140624E-2</v>
      </c>
      <c r="P5945">
        <v>0.99425339999999995</v>
      </c>
      <c r="Q5945">
        <v>1.034407E-2</v>
      </c>
      <c r="R5945">
        <v>0.10655100000000001</v>
      </c>
      <c r="S5945">
        <v>2.9931030000000001</v>
      </c>
      <c r="T5945">
        <v>-0.13620450000000001</v>
      </c>
      <c r="U5945">
        <v>0.24017330000000001</v>
      </c>
      <c r="V5945">
        <v>-9.5203679999999999E-2</v>
      </c>
      <c r="W5945">
        <v>2.0018970000000001E-2</v>
      </c>
      <c r="X5945">
        <v>0.99525649999999999</v>
      </c>
      <c r="Y5945">
        <v>-6.8550990000000006E-2</v>
      </c>
      <c r="Z5945">
        <v>1.03853E-3</v>
      </c>
      <c r="AA5945">
        <v>0.99764699999999995</v>
      </c>
      <c r="AB5945">
        <v>26</v>
      </c>
      <c r="AC5945">
        <v>24.2561</v>
      </c>
      <c r="AD5945">
        <v>-1.1094012517956999</v>
      </c>
      <c r="AE5945">
        <v>1.95488</v>
      </c>
      <c r="AF5945">
        <v>-1.6745883990683701</v>
      </c>
      <c r="AG5945">
        <v>-1.1094012517956999</v>
      </c>
      <c r="AH5945">
        <v>24.2264691451083</v>
      </c>
      <c r="AI5945">
        <v>92.615677954448799</v>
      </c>
      <c r="AJ5945">
        <v>93.954124554389495</v>
      </c>
      <c r="AK5945">
        <v>24.309603548447001</v>
      </c>
      <c r="AL5945">
        <v>88.852920883387995</v>
      </c>
      <c r="AM5945">
        <v>95.464141292472803</v>
      </c>
      <c r="AN5945">
        <v>1.0000000003188201</v>
      </c>
    </row>
    <row r="5946" spans="1:40" x14ac:dyDescent="0.25">
      <c r="A5946" t="str">
        <f>"20190312151651206"</f>
        <v>20190312151651206</v>
      </c>
      <c r="B5946" t="str">
        <f>"1552375011203874"</f>
        <v>1552375011203874</v>
      </c>
      <c r="C5946" t="s">
        <v>40</v>
      </c>
      <c r="D5946">
        <v>4.6862399999999997</v>
      </c>
      <c r="E5946">
        <v>0.51055289999999998</v>
      </c>
      <c r="F5946" t="s">
        <v>76</v>
      </c>
      <c r="G5946">
        <v>-232.22890000000001</v>
      </c>
      <c r="H5946" s="1">
        <v>-2.4859999999999999E-7</v>
      </c>
      <c r="I5946">
        <v>-61.530940000000001</v>
      </c>
      <c r="J5946">
        <v>-256.3732</v>
      </c>
      <c r="K5946">
        <v>1.1093949999999999</v>
      </c>
      <c r="L5946">
        <v>-63.470759999999999</v>
      </c>
      <c r="M5946">
        <v>0.99988759999999999</v>
      </c>
      <c r="N5946">
        <v>0</v>
      </c>
      <c r="O5946">
        <v>1.142347E-2</v>
      </c>
      <c r="P5946">
        <v>0.99424460000000003</v>
      </c>
      <c r="Q5946">
        <v>1.0374080000000001E-2</v>
      </c>
      <c r="R5946">
        <v>0.10663019999999999</v>
      </c>
      <c r="S5946">
        <v>2.9930729999999999</v>
      </c>
      <c r="T5946">
        <v>-0.1368045</v>
      </c>
      <c r="U5946">
        <v>0.23937990000000001</v>
      </c>
      <c r="V5946">
        <v>-9.5265820000000001E-2</v>
      </c>
      <c r="W5946">
        <v>2.003709E-2</v>
      </c>
      <c r="X5946">
        <v>0.99525019999999997</v>
      </c>
      <c r="Y5946">
        <v>-6.8271609999999996E-2</v>
      </c>
      <c r="Z5946">
        <v>1.0359639999999999E-3</v>
      </c>
      <c r="AA5946">
        <v>0.99766619999999995</v>
      </c>
      <c r="AB5946">
        <v>26</v>
      </c>
      <c r="AC5946">
        <v>24.144299999999902</v>
      </c>
      <c r="AD5946">
        <v>-1.1093952486000001</v>
      </c>
      <c r="AE5946">
        <v>1.9398199999999901</v>
      </c>
      <c r="AF5946">
        <v>-1.66038568755595</v>
      </c>
      <c r="AG5946">
        <v>-1.1093952486000001</v>
      </c>
      <c r="AH5946">
        <v>24.114299733383099</v>
      </c>
      <c r="AI5946">
        <v>92.627861942659493</v>
      </c>
      <c r="AJ5946">
        <v>93.938873530748694</v>
      </c>
      <c r="AK5946">
        <v>24.196840497893401</v>
      </c>
      <c r="AL5946">
        <v>88.851882487864103</v>
      </c>
      <c r="AM5946">
        <v>95.467720564377103</v>
      </c>
      <c r="AN5946">
        <v>1.0000000110179901</v>
      </c>
    </row>
    <row r="5947" spans="1:40" x14ac:dyDescent="0.25">
      <c r="A5947" t="str">
        <f>"20190312151651219"</f>
        <v>20190312151651219</v>
      </c>
      <c r="B5947" t="str">
        <f>"1552375011214141"</f>
        <v>1552375011214141</v>
      </c>
      <c r="C5947" t="s">
        <v>40</v>
      </c>
      <c r="D5947">
        <v>4.8793089999999903</v>
      </c>
      <c r="E5947">
        <v>0.51069240000000005</v>
      </c>
      <c r="F5947" t="s">
        <v>76</v>
      </c>
      <c r="G5947">
        <v>-232.1808</v>
      </c>
      <c r="H5947" s="1">
        <v>-2.314936E-7</v>
      </c>
      <c r="I5947">
        <v>-61.5441</v>
      </c>
      <c r="J5947">
        <v>-256.23579999999998</v>
      </c>
      <c r="K5947">
        <v>1.109386</v>
      </c>
      <c r="L5947">
        <v>-63.469149999999999</v>
      </c>
      <c r="M5947">
        <v>0.99988770000000005</v>
      </c>
      <c r="N5947">
        <v>0</v>
      </c>
      <c r="O5947">
        <v>1.1439939999999999E-2</v>
      </c>
      <c r="P5947">
        <v>0.99425450000000004</v>
      </c>
      <c r="Q5947">
        <v>1.0245199999999999E-2</v>
      </c>
      <c r="R5947">
        <v>0.1065523</v>
      </c>
      <c r="S5947">
        <v>2.9932560000000001</v>
      </c>
      <c r="T5947">
        <v>-0.137262299999999</v>
      </c>
      <c r="U5947">
        <v>0.2383728</v>
      </c>
      <c r="V5947">
        <v>-9.5171179999999994E-2</v>
      </c>
      <c r="W5947">
        <v>1.989645E-2</v>
      </c>
      <c r="X5947">
        <v>0.99526210000000004</v>
      </c>
      <c r="Y5947">
        <v>-6.7916770000000001E-2</v>
      </c>
      <c r="Z5947">
        <v>1.030506E-3</v>
      </c>
      <c r="AA5947">
        <v>0.99769039999999998</v>
      </c>
      <c r="AB5947">
        <v>26</v>
      </c>
      <c r="AC5947">
        <v>24.0549999999999</v>
      </c>
      <c r="AD5947">
        <v>-1.1093862314936001</v>
      </c>
      <c r="AE5947">
        <v>1.9250499999999899</v>
      </c>
      <c r="AF5947">
        <v>-1.6462441865831901</v>
      </c>
      <c r="AG5947">
        <v>-1.1093862314936001</v>
      </c>
      <c r="AH5947">
        <v>24.0246754018481</v>
      </c>
      <c r="AI5947">
        <v>92.637689725692596</v>
      </c>
      <c r="AJ5947">
        <v>93.919954328652494</v>
      </c>
      <c r="AK5947">
        <v>24.1065527584649</v>
      </c>
      <c r="AL5947">
        <v>88.859942200257606</v>
      </c>
      <c r="AM5947">
        <v>95.462256715276894</v>
      </c>
      <c r="AN5947">
        <v>1.0000000349608</v>
      </c>
    </row>
    <row r="5948" spans="1:40" x14ac:dyDescent="0.25">
      <c r="A5948" t="str">
        <f>"20190312151651229"</f>
        <v>20190312151651229</v>
      </c>
      <c r="B5948" t="str">
        <f>"1552375011223901"</f>
        <v>1552375011223901</v>
      </c>
      <c r="C5948" t="s">
        <v>40</v>
      </c>
      <c r="D5948">
        <v>4.6813029999999998</v>
      </c>
      <c r="E5948">
        <v>0.51079540000000001</v>
      </c>
      <c r="F5948" t="s">
        <v>76</v>
      </c>
      <c r="G5948">
        <v>-231.78890000000001</v>
      </c>
      <c r="H5948" s="1">
        <v>-6.0533810000000004E-8</v>
      </c>
      <c r="I5948">
        <v>-61.533499999999997</v>
      </c>
      <c r="J5948">
        <v>-256.11430000000001</v>
      </c>
      <c r="K5948">
        <v>1.109381</v>
      </c>
      <c r="L5948">
        <v>-63.467770000000002</v>
      </c>
      <c r="M5948">
        <v>0.99988750000000004</v>
      </c>
      <c r="N5948">
        <v>0</v>
      </c>
      <c r="O5948">
        <v>1.145319E-2</v>
      </c>
      <c r="P5948">
        <v>0.99426170000000003</v>
      </c>
      <c r="Q5948">
        <v>1.012416E-2</v>
      </c>
      <c r="R5948">
        <v>0.1064968</v>
      </c>
      <c r="S5948">
        <v>2.9933619999999999</v>
      </c>
      <c r="T5948">
        <v>-0.13583709999999999</v>
      </c>
      <c r="U5948">
        <v>0.2369995</v>
      </c>
      <c r="V5948">
        <v>-9.5102130000000007E-2</v>
      </c>
      <c r="W5948">
        <v>1.9765350000000001E-2</v>
      </c>
      <c r="X5948">
        <v>0.99527129999999997</v>
      </c>
      <c r="Y5948">
        <v>-6.7447590000000002E-2</v>
      </c>
      <c r="Z5948">
        <v>1.0085750000000001E-3</v>
      </c>
      <c r="AA5948">
        <v>0.99772229999999995</v>
      </c>
      <c r="AB5948">
        <v>26</v>
      </c>
      <c r="AC5948">
        <v>24.325399999999998</v>
      </c>
      <c r="AD5948">
        <v>-1.1093810605338099</v>
      </c>
      <c r="AE5948">
        <v>1.9342699999999899</v>
      </c>
      <c r="AF5948">
        <v>-1.65211199234565</v>
      </c>
      <c r="AG5948">
        <v>-1.1093810605338099</v>
      </c>
      <c r="AH5948">
        <v>24.295743845443798</v>
      </c>
      <c r="AI5948">
        <v>92.608382220502406</v>
      </c>
      <c r="AJ5948">
        <v>93.890127715917501</v>
      </c>
      <c r="AK5948">
        <v>24.377107485838899</v>
      </c>
      <c r="AL5948">
        <v>88.867455139898595</v>
      </c>
      <c r="AM5948">
        <v>95.4582674507582</v>
      </c>
      <c r="AN5948">
        <v>1.0000000223974199</v>
      </c>
    </row>
    <row r="5949" spans="1:40" x14ac:dyDescent="0.25">
      <c r="A5949" t="str">
        <f>"20190312151651240"</f>
        <v>20190312151651240</v>
      </c>
      <c r="B5949" t="str">
        <f>"1552375011233661"</f>
        <v>1552375011233661</v>
      </c>
      <c r="C5949" t="s">
        <v>40</v>
      </c>
      <c r="D5949">
        <v>4.8902229999999998</v>
      </c>
      <c r="E5949">
        <v>0.5109186</v>
      </c>
      <c r="F5949" t="s">
        <v>76</v>
      </c>
      <c r="G5949">
        <v>-231.27690000000001</v>
      </c>
      <c r="H5949" s="1">
        <v>1.6549939999999999E-7</v>
      </c>
      <c r="I5949">
        <v>-61.50958</v>
      </c>
      <c r="J5949">
        <v>-255.99180000000001</v>
      </c>
      <c r="K5949">
        <v>1.109375</v>
      </c>
      <c r="L5949">
        <v>-63.466340000000002</v>
      </c>
      <c r="M5949">
        <v>0.99988750000000004</v>
      </c>
      <c r="N5949">
        <v>0</v>
      </c>
      <c r="O5949">
        <v>1.1465309999999999E-2</v>
      </c>
      <c r="P5949">
        <v>0.99426510000000001</v>
      </c>
      <c r="Q5949">
        <v>9.7757420000000005E-3</v>
      </c>
      <c r="R5949">
        <v>0.106494699999999</v>
      </c>
      <c r="S5949">
        <v>2.9933930000000002</v>
      </c>
      <c r="T5949">
        <v>-0.13370190000000001</v>
      </c>
      <c r="U5949">
        <v>0.23599239999999999</v>
      </c>
      <c r="V5949">
        <v>-9.5087610000000003E-2</v>
      </c>
      <c r="W5949">
        <v>1.9407790000000001E-2</v>
      </c>
      <c r="X5949">
        <v>0.99527969999999999</v>
      </c>
      <c r="Y5949">
        <v>-6.7103259999999998E-2</v>
      </c>
      <c r="Z5949">
        <v>9.8452600000000011E-4</v>
      </c>
      <c r="AA5949">
        <v>0.99774560000000001</v>
      </c>
      <c r="AB5949">
        <v>26</v>
      </c>
      <c r="AC5949">
        <v>24.7149</v>
      </c>
      <c r="AD5949">
        <v>-1.1093748345006</v>
      </c>
      <c r="AE5949">
        <v>1.9567599999999901</v>
      </c>
      <c r="AF5949">
        <v>-1.6699104989287601</v>
      </c>
      <c r="AG5949">
        <v>-1.1093748345006</v>
      </c>
      <c r="AH5949">
        <v>24.686282397251102</v>
      </c>
      <c r="AI5949">
        <v>92.567220114636299</v>
      </c>
      <c r="AJ5949">
        <v>93.869893538046</v>
      </c>
      <c r="AK5949">
        <v>24.767556443756899</v>
      </c>
      <c r="AL5949">
        <v>88.887945722781396</v>
      </c>
      <c r="AM5949">
        <v>95.457393343476994</v>
      </c>
      <c r="AN5949">
        <v>0.99999999856014299</v>
      </c>
    </row>
    <row r="5950" spans="1:40" x14ac:dyDescent="0.25">
      <c r="A5950" t="str">
        <f>"20190312151651252"</f>
        <v>20190312151651252</v>
      </c>
      <c r="B5950" t="str">
        <f>"1552375011243421"</f>
        <v>1552375011243421</v>
      </c>
      <c r="C5950" t="s">
        <v>40</v>
      </c>
      <c r="D5950">
        <v>4.7038200000000003</v>
      </c>
      <c r="E5950">
        <v>0.51104949999999905</v>
      </c>
      <c r="F5950" t="s">
        <v>76</v>
      </c>
      <c r="G5950">
        <v>-230.863</v>
      </c>
      <c r="H5950" s="1">
        <v>3.47226099999999E-7</v>
      </c>
      <c r="I5950">
        <v>-61.49391</v>
      </c>
      <c r="J5950">
        <v>-255.8587</v>
      </c>
      <c r="K5950">
        <v>1.1093710000000001</v>
      </c>
      <c r="L5950">
        <v>-63.46481</v>
      </c>
      <c r="M5950">
        <v>0.99988750000000004</v>
      </c>
      <c r="N5950">
        <v>0</v>
      </c>
      <c r="O5950">
        <v>1.1477920000000001E-2</v>
      </c>
      <c r="P5950">
        <v>0.99429659999999997</v>
      </c>
      <c r="Q5950">
        <v>9.6794970000000004E-3</v>
      </c>
      <c r="R5950">
        <v>0.10621029999999999</v>
      </c>
      <c r="S5950">
        <v>2.9934229999999999</v>
      </c>
      <c r="T5950">
        <v>-0.1321522</v>
      </c>
      <c r="U5950">
        <v>0.23495479999999999</v>
      </c>
      <c r="V5950">
        <v>-9.4790700000000006E-2</v>
      </c>
      <c r="W5950">
        <v>1.9301949999999998E-2</v>
      </c>
      <c r="X5950">
        <v>0.99531009999999998</v>
      </c>
      <c r="Y5950">
        <v>-6.6747780000000007E-2</v>
      </c>
      <c r="Z5950">
        <v>9.6474240000000001E-4</v>
      </c>
      <c r="AA5950">
        <v>0.99776940000000003</v>
      </c>
      <c r="AB5950">
        <v>26</v>
      </c>
      <c r="AC5950">
        <v>24.995699999999999</v>
      </c>
      <c r="AD5950">
        <v>-1.10937065277389</v>
      </c>
      <c r="AE5950">
        <v>1.9709000000000001</v>
      </c>
      <c r="AF5950">
        <v>-1.6805682025461499</v>
      </c>
      <c r="AG5950">
        <v>-1.10937065277389</v>
      </c>
      <c r="AH5950">
        <v>24.967798427119298</v>
      </c>
      <c r="AI5950">
        <v>92.538359994250698</v>
      </c>
      <c r="AJ5950">
        <v>93.850737759273699</v>
      </c>
      <c r="AK5950">
        <v>25.048871651751199</v>
      </c>
      <c r="AL5950">
        <v>88.894011066461104</v>
      </c>
      <c r="AM5950">
        <v>95.440289923915003</v>
      </c>
      <c r="AN5950">
        <v>1.00000001862115</v>
      </c>
    </row>
    <row r="5951" spans="1:40" x14ac:dyDescent="0.25">
      <c r="A5951" t="str">
        <f>"20190312151651263"</f>
        <v>20190312151651263</v>
      </c>
      <c r="B5951" t="str">
        <f>"1552375011254157"</f>
        <v>1552375011254157</v>
      </c>
      <c r="C5951" t="s">
        <v>40</v>
      </c>
      <c r="D5951">
        <v>4.7413660000000002</v>
      </c>
      <c r="E5951">
        <v>0.5111926</v>
      </c>
      <c r="F5951" t="s">
        <v>76</v>
      </c>
      <c r="G5951">
        <v>-230.3741</v>
      </c>
      <c r="H5951" s="1">
        <v>5.604076E-7</v>
      </c>
      <c r="I5951">
        <v>-61.480930000000001</v>
      </c>
      <c r="J5951">
        <v>-255.73089999999999</v>
      </c>
      <c r="K5951">
        <v>1.1093679999999999</v>
      </c>
      <c r="L5951">
        <v>-63.463320000000003</v>
      </c>
      <c r="M5951">
        <v>0.99988739999999998</v>
      </c>
      <c r="N5951">
        <v>0</v>
      </c>
      <c r="O5951">
        <v>1.1489630000000001E-2</v>
      </c>
      <c r="P5951">
        <v>0.99429350000000005</v>
      </c>
      <c r="Q5951">
        <v>9.5109830000000006E-3</v>
      </c>
      <c r="R5951">
        <v>0.1062555</v>
      </c>
      <c r="S5951">
        <v>2.9935909999999999</v>
      </c>
      <c r="T5951">
        <v>-0.13031400000000001</v>
      </c>
      <c r="U5951">
        <v>0.23303219999999999</v>
      </c>
      <c r="V5951">
        <v>-9.4823790000000005E-2</v>
      </c>
      <c r="W5951">
        <v>1.9125550000000002E-2</v>
      </c>
      <c r="X5951">
        <v>0.99531029999999998</v>
      </c>
      <c r="Y5951">
        <v>-6.6096890000000005E-2</v>
      </c>
      <c r="Z5951">
        <v>9.3665839999999996E-4</v>
      </c>
      <c r="AA5951">
        <v>0.9978127</v>
      </c>
      <c r="AB5951">
        <v>26</v>
      </c>
      <c r="AC5951">
        <v>25.3568</v>
      </c>
      <c r="AD5951">
        <v>-1.10936743959239</v>
      </c>
      <c r="AE5951">
        <v>1.9823899999999799</v>
      </c>
      <c r="AF5951">
        <v>-1.6876945387507101</v>
      </c>
      <c r="AG5951">
        <v>-1.10936743959239</v>
      </c>
      <c r="AH5951">
        <v>25.3297153071236</v>
      </c>
      <c r="AI5951">
        <v>92.502243864145399</v>
      </c>
      <c r="AJ5951">
        <v>93.811928348556904</v>
      </c>
      <c r="AK5951">
        <v>25.410105991752399</v>
      </c>
      <c r="AL5951">
        <v>88.904119849728303</v>
      </c>
      <c r="AM5951">
        <v>95.442176559905803</v>
      </c>
      <c r="AN5951">
        <v>0.99999996554942705</v>
      </c>
    </row>
    <row r="5952" spans="1:40" x14ac:dyDescent="0.25">
      <c r="A5952" t="str">
        <f>"20190312151651275"</f>
        <v>20190312151651275</v>
      </c>
      <c r="B5952" t="str">
        <f>"1552375011263917"</f>
        <v>1552375011263917</v>
      </c>
      <c r="C5952" t="s">
        <v>40</v>
      </c>
      <c r="D5952">
        <v>4.741689</v>
      </c>
      <c r="E5952">
        <v>0.51129239999999998</v>
      </c>
      <c r="F5952" t="s">
        <v>76</v>
      </c>
      <c r="G5952">
        <v>-230.0669</v>
      </c>
      <c r="H5952" s="1">
        <v>6.9391430000000003E-7</v>
      </c>
      <c r="I5952">
        <v>-61.474429999999998</v>
      </c>
      <c r="J5952">
        <v>-255.59889999999999</v>
      </c>
      <c r="K5952">
        <v>1.109361</v>
      </c>
      <c r="L5952">
        <v>-63.461759999999998</v>
      </c>
      <c r="M5952">
        <v>0.99988730000000003</v>
      </c>
      <c r="N5952">
        <v>0</v>
      </c>
      <c r="O5952">
        <v>1.150194E-2</v>
      </c>
      <c r="P5952">
        <v>0.99427469999999996</v>
      </c>
      <c r="Q5952">
        <v>9.3207429999999994E-3</v>
      </c>
      <c r="R5952">
        <v>0.1064469</v>
      </c>
      <c r="S5952">
        <v>2.993668</v>
      </c>
      <c r="T5952">
        <v>-0.1294061</v>
      </c>
      <c r="U5952">
        <v>0.2319946</v>
      </c>
      <c r="V5952">
        <v>-9.500306E-2</v>
      </c>
      <c r="W5952">
        <v>1.892723E-2</v>
      </c>
      <c r="X5952">
        <v>0.99529699999999999</v>
      </c>
      <c r="Y5952">
        <v>-6.5739939999999997E-2</v>
      </c>
      <c r="Z5952">
        <v>9.2189639999999998E-4</v>
      </c>
      <c r="AA5952">
        <v>0.99783639999999996</v>
      </c>
      <c r="AB5952">
        <v>26</v>
      </c>
      <c r="AC5952">
        <v>25.531999999999901</v>
      </c>
      <c r="AD5952">
        <v>-1.1093603060857</v>
      </c>
      <c r="AE5952">
        <v>1.98732999999999</v>
      </c>
      <c r="AF5952">
        <v>-1.6903453643114701</v>
      </c>
      <c r="AG5952">
        <v>-1.1093603060857</v>
      </c>
      <c r="AH5952">
        <v>25.5053090038381</v>
      </c>
      <c r="AI5952">
        <v>92.485080898918497</v>
      </c>
      <c r="AJ5952">
        <v>93.791690230550003</v>
      </c>
      <c r="AK5952">
        <v>25.585322650313199</v>
      </c>
      <c r="AL5952">
        <v>88.915484811034403</v>
      </c>
      <c r="AM5952">
        <v>95.452475792567199</v>
      </c>
      <c r="AN5952">
        <v>0.99999996982691697</v>
      </c>
    </row>
    <row r="5953" spans="1:40" x14ac:dyDescent="0.25">
      <c r="A5953" t="str">
        <f>"20190312151651298"</f>
        <v>20190312151651298</v>
      </c>
      <c r="B5953" t="str">
        <f>"1552375011294175"</f>
        <v>1552375011294175</v>
      </c>
      <c r="C5953" t="s">
        <v>40</v>
      </c>
      <c r="D5953">
        <v>4.9577749999999998</v>
      </c>
      <c r="E5953">
        <v>0.51148039999999995</v>
      </c>
      <c r="F5953" t="s">
        <v>77</v>
      </c>
      <c r="G5953">
        <v>-229.65379999999999</v>
      </c>
      <c r="H5953" s="1">
        <v>-3.4370249999999999E-6</v>
      </c>
      <c r="I5953">
        <v>-61.454050000000002</v>
      </c>
      <c r="J5953">
        <v>-255.3373</v>
      </c>
      <c r="K5953">
        <v>1.1093599999999999</v>
      </c>
      <c r="L5953">
        <v>-63.458710000000004</v>
      </c>
      <c r="M5953">
        <v>0.99988719999999998</v>
      </c>
      <c r="N5953">
        <v>0</v>
      </c>
      <c r="O5953">
        <v>1.1527290000000001E-2</v>
      </c>
      <c r="P5953">
        <v>0.99426389999999998</v>
      </c>
      <c r="Q5953">
        <v>8.9453239999999993E-3</v>
      </c>
      <c r="R5953">
        <v>0.1065802</v>
      </c>
      <c r="S5953">
        <v>2.993668</v>
      </c>
      <c r="T5953">
        <v>-0.1280038</v>
      </c>
      <c r="U5953">
        <v>0.2316589</v>
      </c>
      <c r="V5953">
        <v>-9.5111479999999998E-2</v>
      </c>
      <c r="W5953">
        <v>1.853724E-2</v>
      </c>
      <c r="X5953">
        <v>0.99529400000000001</v>
      </c>
      <c r="Y5953">
        <v>-6.5604640000000006E-2</v>
      </c>
      <c r="Z5953">
        <v>9.0795160000000004E-4</v>
      </c>
      <c r="AA5953">
        <v>0.99784530000000005</v>
      </c>
      <c r="AB5953">
        <v>26</v>
      </c>
      <c r="AC5953">
        <v>25.683499999999999</v>
      </c>
      <c r="AD5953">
        <v>-1.1093634370250001</v>
      </c>
      <c r="AE5953">
        <v>2.0046599999999901</v>
      </c>
      <c r="AF5953">
        <v>-1.7052896425896</v>
      </c>
      <c r="AG5953">
        <v>-1.1093634370250001</v>
      </c>
      <c r="AH5953">
        <v>25.6573240297915</v>
      </c>
      <c r="AI5953">
        <v>92.4703515575126</v>
      </c>
      <c r="AJ5953">
        <v>93.802516912090994</v>
      </c>
      <c r="AK5953">
        <v>25.737851044138299</v>
      </c>
      <c r="AL5953">
        <v>88.937833530052004</v>
      </c>
      <c r="AM5953">
        <v>95.458677092275096</v>
      </c>
      <c r="AN5953">
        <v>0.99999998466530304</v>
      </c>
    </row>
    <row r="5954" spans="1:40" x14ac:dyDescent="0.25">
      <c r="A5954" t="str">
        <f>"20190312151651307"</f>
        <v>20190312151651307</v>
      </c>
      <c r="B5954" t="str">
        <f>"1552375011303933"</f>
        <v>1552375011303933</v>
      </c>
      <c r="C5954" t="s">
        <v>40</v>
      </c>
      <c r="D5954">
        <v>4.7098240000000002</v>
      </c>
      <c r="E5954">
        <v>0.51161029999999996</v>
      </c>
      <c r="F5954" t="s">
        <v>77</v>
      </c>
      <c r="G5954">
        <v>-228.9657</v>
      </c>
      <c r="H5954" s="1">
        <v>-3.196467E-6</v>
      </c>
      <c r="I5954">
        <v>-61.427729999999997</v>
      </c>
      <c r="J5954">
        <v>-255.21199999999999</v>
      </c>
      <c r="K5954">
        <v>1.1093599999999999</v>
      </c>
      <c r="L5954">
        <v>-63.457239999999999</v>
      </c>
      <c r="M5954">
        <v>0.99988710000000003</v>
      </c>
      <c r="N5954">
        <v>0</v>
      </c>
      <c r="O5954">
        <v>1.1540079999999999E-2</v>
      </c>
      <c r="P5954">
        <v>0.99423289999999998</v>
      </c>
      <c r="Q5954">
        <v>9.0118490000000006E-3</v>
      </c>
      <c r="R5954">
        <v>0.1068648</v>
      </c>
      <c r="S5954">
        <v>2.993744</v>
      </c>
      <c r="T5954">
        <v>-0.12593660000000001</v>
      </c>
      <c r="U5954">
        <v>0.2305603</v>
      </c>
      <c r="V5954">
        <v>-9.5383789999999996E-2</v>
      </c>
      <c r="W5954">
        <v>1.8597789999999999E-2</v>
      </c>
      <c r="X5954">
        <v>0.99526689999999995</v>
      </c>
      <c r="Y5954">
        <v>-6.5227830000000001E-2</v>
      </c>
      <c r="Z5954">
        <v>8.8484399999999997E-4</v>
      </c>
      <c r="AA5954">
        <v>0.99787000000000003</v>
      </c>
      <c r="AB5954">
        <v>26</v>
      </c>
      <c r="AC5954">
        <v>26.246300000000002</v>
      </c>
      <c r="AD5954">
        <v>-1.1093631964669901</v>
      </c>
      <c r="AE5954">
        <v>2.0295100000000001</v>
      </c>
      <c r="AF5954">
        <v>-1.72341577536437</v>
      </c>
      <c r="AG5954">
        <v>-1.1093631964669901</v>
      </c>
      <c r="AH5954">
        <v>26.221406912818299</v>
      </c>
      <c r="AI5954">
        <v>92.417389153094007</v>
      </c>
      <c r="AJ5954">
        <v>93.760386736804193</v>
      </c>
      <c r="AK5954">
        <v>26.301388349743998</v>
      </c>
      <c r="AL5954">
        <v>88.934363767277802</v>
      </c>
      <c r="AM5954">
        <v>95.474358968720097</v>
      </c>
      <c r="AN5954">
        <v>1.0000000737116199</v>
      </c>
    </row>
    <row r="5955" spans="1:40" x14ac:dyDescent="0.25">
      <c r="A5955" t="str">
        <f>"20190312151651320"</f>
        <v>20190312151651320</v>
      </c>
      <c r="B5955" t="str">
        <f>"1552375011314200"</f>
        <v>1552375011314200</v>
      </c>
      <c r="C5955" t="s">
        <v>40</v>
      </c>
      <c r="D5955">
        <v>4.6939529999999996</v>
      </c>
      <c r="E5955">
        <v>0.51167629999999997</v>
      </c>
      <c r="F5955" t="s">
        <v>77</v>
      </c>
      <c r="G5955">
        <v>-228.49979999999999</v>
      </c>
      <c r="H5955" s="1">
        <v>-2.990836E-6</v>
      </c>
      <c r="I5955">
        <v>-61.401940000000003</v>
      </c>
      <c r="J5955">
        <v>-255.08080000000001</v>
      </c>
      <c r="K5955">
        <v>1.1093599999999999</v>
      </c>
      <c r="L5955">
        <v>-63.4557199999999</v>
      </c>
      <c r="M5955">
        <v>0.99988690000000002</v>
      </c>
      <c r="N5955">
        <v>0</v>
      </c>
      <c r="O5955">
        <v>1.1554180000000001E-2</v>
      </c>
      <c r="P5955">
        <v>0.99420660000000005</v>
      </c>
      <c r="Q5955">
        <v>9.0033660000000005E-3</v>
      </c>
      <c r="R5955">
        <v>0.1071082</v>
      </c>
      <c r="S5955">
        <v>2.9937589999999998</v>
      </c>
      <c r="T5955">
        <v>-0.124331399999999</v>
      </c>
      <c r="U5955">
        <v>0.23034669999999999</v>
      </c>
      <c r="V5955">
        <v>-9.5613500000000004E-2</v>
      </c>
      <c r="W5955">
        <v>1.8583010000000001E-2</v>
      </c>
      <c r="X5955">
        <v>0.99524500000000005</v>
      </c>
      <c r="Y5955">
        <v>-6.5143850000000003E-2</v>
      </c>
      <c r="Z5955">
        <v>8.7124789999999902E-4</v>
      </c>
      <c r="AA5955">
        <v>0.99787550000000003</v>
      </c>
      <c r="AB5955">
        <v>26</v>
      </c>
      <c r="AC5955">
        <v>26.581</v>
      </c>
      <c r="AD5955">
        <v>-1.1093629908360001</v>
      </c>
      <c r="AE5955">
        <v>2.0537799999999802</v>
      </c>
      <c r="AF5955">
        <v>-1.7434881703991501</v>
      </c>
      <c r="AG5955">
        <v>-1.1093629908360001</v>
      </c>
      <c r="AH5955">
        <v>26.556973243002801</v>
      </c>
      <c r="AI5955">
        <v>92.386890468835105</v>
      </c>
      <c r="AJ5955">
        <v>93.756127122461706</v>
      </c>
      <c r="AK5955">
        <v>26.637253332040999</v>
      </c>
      <c r="AL5955">
        <v>88.935210602640396</v>
      </c>
      <c r="AM5955">
        <v>95.487582343362703</v>
      </c>
      <c r="AN5955">
        <v>0.99999993983395297</v>
      </c>
    </row>
    <row r="5956" spans="1:40" x14ac:dyDescent="0.25">
      <c r="A5956" t="str">
        <f>"20190312151651329"</f>
        <v>20190312151651329</v>
      </c>
      <c r="B5956" t="str">
        <f>"1552375011323961"</f>
        <v>1552375011323961</v>
      </c>
      <c r="C5956" t="s">
        <v>40</v>
      </c>
      <c r="D5956">
        <v>4.8416980000000001</v>
      </c>
      <c r="E5956">
        <v>0.511849</v>
      </c>
      <c r="F5956" t="s">
        <v>77</v>
      </c>
      <c r="G5956">
        <v>-228.50450000000001</v>
      </c>
      <c r="H5956" s="1">
        <v>-2.9944329999999999E-6</v>
      </c>
      <c r="I5956">
        <v>-61.408969999999997</v>
      </c>
      <c r="J5956">
        <v>-254.95869999999999</v>
      </c>
      <c r="K5956">
        <v>1.1093599999999999</v>
      </c>
      <c r="L5956">
        <v>-63.454320000000003</v>
      </c>
      <c r="M5956">
        <v>0.99988679999999996</v>
      </c>
      <c r="N5956">
        <v>0</v>
      </c>
      <c r="O5956">
        <v>1.1567620000000001E-2</v>
      </c>
      <c r="P5956">
        <v>0.99419440000000003</v>
      </c>
      <c r="Q5956">
        <v>8.9207109999999996E-3</v>
      </c>
      <c r="R5956">
        <v>0.1072285</v>
      </c>
      <c r="S5956">
        <v>2.993744</v>
      </c>
      <c r="T5956">
        <v>-0.12496640000000001</v>
      </c>
      <c r="U5956">
        <v>0.2305603</v>
      </c>
      <c r="V5956">
        <v>-9.5720449999999999E-2</v>
      </c>
      <c r="W5956">
        <v>1.849576E-2</v>
      </c>
      <c r="X5956">
        <v>0.99523640000000002</v>
      </c>
      <c r="Y5956">
        <v>-6.5201099999999998E-2</v>
      </c>
      <c r="Z5956">
        <v>8.7632879999999995E-4</v>
      </c>
      <c r="AA5956">
        <v>0.99787179999999998</v>
      </c>
      <c r="AB5956">
        <v>26</v>
      </c>
      <c r="AC5956">
        <v>26.454199999999901</v>
      </c>
      <c r="AD5956">
        <v>-1.1093629944329999</v>
      </c>
      <c r="AE5956">
        <v>2.0453499999999898</v>
      </c>
      <c r="AF5956">
        <v>-1.73615184917709</v>
      </c>
      <c r="AG5956">
        <v>-1.1093629944329999</v>
      </c>
      <c r="AH5956">
        <v>26.4298883395277</v>
      </c>
      <c r="AI5956">
        <v>92.398348211542398</v>
      </c>
      <c r="AJ5956">
        <v>93.758300574235193</v>
      </c>
      <c r="AK5956">
        <v>26.510071805574601</v>
      </c>
      <c r="AL5956">
        <v>88.940210577280595</v>
      </c>
      <c r="AM5956">
        <v>95.493730215823902</v>
      </c>
      <c r="AN5956">
        <v>0.99999999478557</v>
      </c>
    </row>
    <row r="5957" spans="1:40" x14ac:dyDescent="0.25">
      <c r="A5957" t="str">
        <f>"20190312151651341"</f>
        <v>20190312151651341</v>
      </c>
      <c r="B5957" t="str">
        <f>"1552375011333720"</f>
        <v>1552375011333720</v>
      </c>
      <c r="C5957" t="s">
        <v>40</v>
      </c>
      <c r="D5957">
        <v>4.7182230000000001</v>
      </c>
      <c r="E5957">
        <v>0.51194870000000003</v>
      </c>
      <c r="F5957" t="s">
        <v>77</v>
      </c>
      <c r="G5957">
        <v>-228.5874</v>
      </c>
      <c r="H5957" s="1">
        <v>-3.0351910000000001E-6</v>
      </c>
      <c r="I5957">
        <v>-61.43233</v>
      </c>
      <c r="J5957">
        <v>-254.8323</v>
      </c>
      <c r="K5957">
        <v>1.109361</v>
      </c>
      <c r="L5957">
        <v>-63.452820000000003</v>
      </c>
      <c r="M5957">
        <v>0.99988679999999996</v>
      </c>
      <c r="N5957">
        <v>0</v>
      </c>
      <c r="O5957">
        <v>1.158207E-2</v>
      </c>
      <c r="P5957">
        <v>0.99416280000000001</v>
      </c>
      <c r="Q5957">
        <v>8.9433710000000003E-3</v>
      </c>
      <c r="R5957">
        <v>0.1075197</v>
      </c>
      <c r="S5957">
        <v>2.9938959999999999</v>
      </c>
      <c r="T5957">
        <v>-0.12594439999999901</v>
      </c>
      <c r="U5957">
        <v>0.22955320000000001</v>
      </c>
      <c r="V5957">
        <v>-9.5997540000000006E-2</v>
      </c>
      <c r="W5957">
        <v>1.8513399999999999E-2</v>
      </c>
      <c r="X5957">
        <v>0.99520940000000002</v>
      </c>
      <c r="Y5957">
        <v>-6.4848699999999995E-2</v>
      </c>
      <c r="Z5957">
        <v>8.7514250000000004E-4</v>
      </c>
      <c r="AA5957">
        <v>0.99789470000000002</v>
      </c>
      <c r="AB5957">
        <v>26</v>
      </c>
      <c r="AC5957">
        <v>26.244900000000001</v>
      </c>
      <c r="AD5957">
        <v>-1.1093640351909999</v>
      </c>
      <c r="AE5957">
        <v>2.0204899999999801</v>
      </c>
      <c r="AF5957">
        <v>-1.7133269631011001</v>
      </c>
      <c r="AG5957">
        <v>-1.1093640351909999</v>
      </c>
      <c r="AH5957">
        <v>26.219970095216599</v>
      </c>
      <c r="AI5957">
        <v>92.417583352471098</v>
      </c>
      <c r="AJ5957">
        <v>93.738640459480095</v>
      </c>
      <c r="AK5957">
        <v>26.299296751797701</v>
      </c>
      <c r="AL5957">
        <v>88.939199724644297</v>
      </c>
      <c r="AM5957">
        <v>95.509684217303004</v>
      </c>
      <c r="AN5957">
        <v>1.0000000117569801</v>
      </c>
    </row>
    <row r="5958" spans="1:40" x14ac:dyDescent="0.25">
      <c r="A5958" t="str">
        <f>"20190312151651352"</f>
        <v>20190312151651352</v>
      </c>
      <c r="B5958" t="str">
        <f>"1552375011343481"</f>
        <v>1552375011343481</v>
      </c>
      <c r="C5958" t="s">
        <v>40</v>
      </c>
      <c r="D5958">
        <v>4.758305</v>
      </c>
      <c r="E5958">
        <v>0.51194870000000003</v>
      </c>
      <c r="F5958" t="s">
        <v>77</v>
      </c>
      <c r="G5958">
        <v>-228.4967</v>
      </c>
      <c r="H5958" s="1">
        <v>-2.9963329999999999E-6</v>
      </c>
      <c r="I5958">
        <v>-61.432499999999997</v>
      </c>
      <c r="J5958">
        <v>-254.70070000000001</v>
      </c>
      <c r="K5958">
        <v>1.1093599999999999</v>
      </c>
      <c r="L5958">
        <v>-63.451259999999998</v>
      </c>
      <c r="M5958">
        <v>0.99988659999999996</v>
      </c>
      <c r="N5958">
        <v>0</v>
      </c>
      <c r="O5958">
        <v>1.159754E-2</v>
      </c>
      <c r="P5958">
        <v>0.99410549999999998</v>
      </c>
      <c r="Q5958">
        <v>9.2335109999999998E-3</v>
      </c>
      <c r="R5958">
        <v>0.1080238</v>
      </c>
      <c r="S5958">
        <v>2.9938959999999999</v>
      </c>
      <c r="T5958">
        <v>-0.12611520000000001</v>
      </c>
      <c r="U5958">
        <v>0.2296753</v>
      </c>
      <c r="V5958">
        <v>-9.6487249999999997E-2</v>
      </c>
      <c r="W5958">
        <v>1.8798499999999999E-2</v>
      </c>
      <c r="X5958">
        <v>0.99515670000000001</v>
      </c>
      <c r="Y5958">
        <v>-6.487358E-2</v>
      </c>
      <c r="Z5958">
        <v>8.7619990000000001E-4</v>
      </c>
      <c r="AA5958">
        <v>0.99789309999999998</v>
      </c>
      <c r="AB5958">
        <v>26</v>
      </c>
      <c r="AC5958">
        <v>26.204000000000001</v>
      </c>
      <c r="AD5958">
        <v>-1.1093629963330001</v>
      </c>
      <c r="AE5958">
        <v>2.0187599999999999</v>
      </c>
      <c r="AF5958">
        <v>-1.71165854119839</v>
      </c>
      <c r="AG5958">
        <v>-1.1093629963330001</v>
      </c>
      <c r="AH5958">
        <v>26.179007298289999</v>
      </c>
      <c r="AI5958">
        <v>92.421353365583698</v>
      </c>
      <c r="AJ5958">
        <v>93.740837777162298</v>
      </c>
      <c r="AK5958">
        <v>26.258348850284101</v>
      </c>
      <c r="AL5958">
        <v>88.922861858442204</v>
      </c>
      <c r="AM5958">
        <v>95.537907804713797</v>
      </c>
      <c r="AN5958">
        <v>1.0000000152848501</v>
      </c>
    </row>
    <row r="5959" spans="1:40" x14ac:dyDescent="0.25">
      <c r="A5959" t="str">
        <f>"20190312151651363"</f>
        <v>20190312151651363</v>
      </c>
      <c r="B5959" t="str">
        <f>"1552375011354216"</f>
        <v>1552375011354216</v>
      </c>
      <c r="C5959" t="s">
        <v>40</v>
      </c>
      <c r="D5959">
        <v>5.0094659999999998</v>
      </c>
      <c r="E5959">
        <v>0.52173670000000005</v>
      </c>
      <c r="F5959" t="s">
        <v>77</v>
      </c>
      <c r="G5959">
        <v>-228.1841</v>
      </c>
      <c r="H5959" s="1">
        <v>-2.85576E-6</v>
      </c>
      <c r="I5959">
        <v>-61.403480000000002</v>
      </c>
      <c r="J5959">
        <v>-254.57169999999999</v>
      </c>
      <c r="K5959">
        <v>1.109361</v>
      </c>
      <c r="L5959">
        <v>-63.449739999999998</v>
      </c>
      <c r="M5959">
        <v>0.99988650000000001</v>
      </c>
      <c r="N5959">
        <v>0</v>
      </c>
      <c r="O5959">
        <v>1.16133E-2</v>
      </c>
      <c r="P5959">
        <v>0.99407230000000002</v>
      </c>
      <c r="Q5959">
        <v>9.1325729999999997E-3</v>
      </c>
      <c r="R5959">
        <v>0.1083373</v>
      </c>
      <c r="S5959">
        <v>2.9938199999999999</v>
      </c>
      <c r="T5959">
        <v>-0.1252508</v>
      </c>
      <c r="U5959">
        <v>0.2312012</v>
      </c>
      <c r="V5959">
        <v>-9.6785430000000006E-2</v>
      </c>
      <c r="W5959">
        <v>1.8693609999999999E-2</v>
      </c>
      <c r="X5959">
        <v>0.99512970000000001</v>
      </c>
      <c r="Y5959">
        <v>-6.5365610000000005E-2</v>
      </c>
      <c r="Z5959">
        <v>8.7981989999999998E-4</v>
      </c>
      <c r="AA5959">
        <v>0.997861</v>
      </c>
      <c r="AB5959">
        <v>26</v>
      </c>
      <c r="AC5959">
        <v>26.3875999999999</v>
      </c>
      <c r="AD5959">
        <v>-1.1093638557600001</v>
      </c>
      <c r="AE5959">
        <v>2.0462600000000002</v>
      </c>
      <c r="AF5959">
        <v>-1.7366097321024601</v>
      </c>
      <c r="AG5959">
        <v>-1.1093638557600001</v>
      </c>
      <c r="AH5959">
        <v>26.363267920442802</v>
      </c>
      <c r="AI5959">
        <v>92.404374795665504</v>
      </c>
      <c r="AJ5959">
        <v>93.768761367975898</v>
      </c>
      <c r="AK5959">
        <v>26.443683498543599</v>
      </c>
      <c r="AL5959">
        <v>88.928872647352705</v>
      </c>
      <c r="AM5959">
        <v>95.555064808880502</v>
      </c>
      <c r="AN5959">
        <v>0.99999999516860305</v>
      </c>
    </row>
    <row r="5960" spans="1:40" x14ac:dyDescent="0.25">
      <c r="A5960" t="str">
        <f>"20190312151651374"</f>
        <v>20190312151651374</v>
      </c>
      <c r="B5960" t="str">
        <f>"1552375011363977"</f>
        <v>1552375011363977</v>
      </c>
      <c r="C5960" t="s">
        <v>40</v>
      </c>
      <c r="D5960">
        <v>4.7662990000000001</v>
      </c>
      <c r="E5960">
        <v>0.52114780000000005</v>
      </c>
      <c r="F5960" t="s">
        <v>76</v>
      </c>
      <c r="G5960">
        <v>-235.0393</v>
      </c>
      <c r="H5960" s="1">
        <v>-1.6962829999999999E-6</v>
      </c>
      <c r="I5960">
        <v>-62.440570000000001</v>
      </c>
      <c r="J5960">
        <v>-254.4392</v>
      </c>
      <c r="K5960">
        <v>1.1093660000000001</v>
      </c>
      <c r="L5960">
        <v>-63.448180000000001</v>
      </c>
      <c r="M5960">
        <v>0.99988630000000001</v>
      </c>
      <c r="N5960">
        <v>0</v>
      </c>
      <c r="O5960">
        <v>1.1629779999999999E-2</v>
      </c>
      <c r="P5960">
        <v>0.99403569999999997</v>
      </c>
      <c r="Q5960">
        <v>9.105274E-3</v>
      </c>
      <c r="R5960">
        <v>0.1086757</v>
      </c>
      <c r="S5960">
        <v>3.0025330000000001</v>
      </c>
      <c r="T5960">
        <v>-0.17053189999999999</v>
      </c>
      <c r="U5960">
        <v>0.155120799999999</v>
      </c>
      <c r="V5960">
        <v>-9.7107680000000002E-2</v>
      </c>
      <c r="W5960">
        <v>1.8662629999999999E-2</v>
      </c>
      <c r="X5960">
        <v>0.99509890000000001</v>
      </c>
      <c r="Y5960">
        <v>-3.9930729999999998E-2</v>
      </c>
      <c r="Z5960">
        <v>4.7276259999999999E-4</v>
      </c>
      <c r="AA5960">
        <v>0.99920229999999999</v>
      </c>
      <c r="AB5960">
        <v>26</v>
      </c>
      <c r="AC5960">
        <v>19.399899999999999</v>
      </c>
      <c r="AD5960">
        <v>-1.1093676962829999</v>
      </c>
      <c r="AE5960">
        <v>1.0076100000000101</v>
      </c>
      <c r="AF5960">
        <v>-0.77937316873094797</v>
      </c>
      <c r="AG5960">
        <v>-1.1093676962829999</v>
      </c>
      <c r="AH5960">
        <v>19.347210926707199</v>
      </c>
      <c r="AI5960">
        <v>93.279088721732293</v>
      </c>
      <c r="AJ5960">
        <v>92.306826665117597</v>
      </c>
      <c r="AK5960">
        <v>19.394656219283501</v>
      </c>
      <c r="AL5960">
        <v>88.930647994071904</v>
      </c>
      <c r="AM5960">
        <v>95.573615721111395</v>
      </c>
      <c r="AN5960">
        <v>1.0000000080273499</v>
      </c>
    </row>
    <row r="5961" spans="1:40" x14ac:dyDescent="0.25">
      <c r="A5961" t="str">
        <f>"20190312151651386"</f>
        <v>20190312151651386</v>
      </c>
      <c r="B5961" t="str">
        <f>"1552375011373737"</f>
        <v>1552375011373737</v>
      </c>
      <c r="C5961" t="s">
        <v>40</v>
      </c>
      <c r="D5961">
        <v>5.0744600000000002</v>
      </c>
      <c r="E5961">
        <v>0.52144009999999996</v>
      </c>
      <c r="F5961" t="s">
        <v>76</v>
      </c>
      <c r="G5961">
        <v>-236.02500000000001</v>
      </c>
      <c r="H5961" s="1">
        <v>-2.1246099999999998E-6</v>
      </c>
      <c r="I5961">
        <v>-62.4610699999999</v>
      </c>
      <c r="J5961">
        <v>-254.30879999999999</v>
      </c>
      <c r="K5961">
        <v>1.1093630000000001</v>
      </c>
      <c r="L5961">
        <v>-63.446689999999997</v>
      </c>
      <c r="M5961">
        <v>0.99988619999999995</v>
      </c>
      <c r="N5961">
        <v>0</v>
      </c>
      <c r="O5961">
        <v>1.1646190000000001E-2</v>
      </c>
      <c r="P5961">
        <v>0.99399789999999999</v>
      </c>
      <c r="Q5961">
        <v>9.4397449999999994E-3</v>
      </c>
      <c r="R5961">
        <v>0.10899250000000001</v>
      </c>
      <c r="S5961">
        <v>3.0020600000000002</v>
      </c>
      <c r="T5961">
        <v>-0.1808603</v>
      </c>
      <c r="U5961">
        <v>0.16091920000000001</v>
      </c>
      <c r="V5961">
        <v>-9.7408369999999994E-2</v>
      </c>
      <c r="W5961">
        <v>1.8993489999999998E-2</v>
      </c>
      <c r="X5961">
        <v>0.99506320000000004</v>
      </c>
      <c r="Y5961">
        <v>-4.1837840000000001E-2</v>
      </c>
      <c r="Z5961">
        <v>5.5776830000000004E-4</v>
      </c>
      <c r="AA5961">
        <v>0.99912420000000002</v>
      </c>
      <c r="AB5961">
        <v>26</v>
      </c>
      <c r="AC5961">
        <v>18.2837999999999</v>
      </c>
      <c r="AD5961">
        <v>-1.10936512460999</v>
      </c>
      <c r="AE5961">
        <v>0.98562000000001104</v>
      </c>
      <c r="AF5961">
        <v>-0.76978106949847702</v>
      </c>
      <c r="AG5961">
        <v>-1.10936512460999</v>
      </c>
      <c r="AH5961">
        <v>18.2271317286067</v>
      </c>
      <c r="AI5961">
        <v>93.479824971639204</v>
      </c>
      <c r="AJ5961">
        <v>92.418318640513803</v>
      </c>
      <c r="AK5961">
        <v>18.277078128810398</v>
      </c>
      <c r="AL5961">
        <v>88.911687696680502</v>
      </c>
      <c r="AM5961">
        <v>95.590964332746296</v>
      </c>
      <c r="AN5961">
        <v>0.99999995760133698</v>
      </c>
    </row>
    <row r="5962" spans="1:40" x14ac:dyDescent="0.25">
      <c r="A5962" t="str">
        <f>"20190312151651397"</f>
        <v>20190312151651397</v>
      </c>
      <c r="B5962" t="str">
        <f>"1552375011394233"</f>
        <v>1552375011394233</v>
      </c>
      <c r="C5962" t="s">
        <v>40</v>
      </c>
      <c r="D5962">
        <v>4.8369249999999999</v>
      </c>
      <c r="E5962">
        <v>0.52182539999999999</v>
      </c>
      <c r="F5962" t="s">
        <v>76</v>
      </c>
      <c r="G5962">
        <v>-236.38120000000001</v>
      </c>
      <c r="H5962" s="1">
        <v>-2.2860070000000002E-6</v>
      </c>
      <c r="I5962">
        <v>-62.493400000000001</v>
      </c>
      <c r="J5962">
        <v>-254.1848</v>
      </c>
      <c r="K5962">
        <v>1.109364</v>
      </c>
      <c r="L5962">
        <v>-63.4452199999999</v>
      </c>
      <c r="M5962">
        <v>0.99988589999999999</v>
      </c>
      <c r="N5962">
        <v>0</v>
      </c>
      <c r="O5962">
        <v>1.166212E-2</v>
      </c>
      <c r="P5962">
        <v>0.99396289999999998</v>
      </c>
      <c r="Q5962">
        <v>9.2493929999999999E-3</v>
      </c>
      <c r="R5962">
        <v>0.1093259</v>
      </c>
      <c r="S5962">
        <v>3.0023499999999999</v>
      </c>
      <c r="T5962">
        <v>-0.18578649999999999</v>
      </c>
      <c r="U5962">
        <v>0.15963749999999999</v>
      </c>
      <c r="V5962">
        <v>-9.7726629999999995E-2</v>
      </c>
      <c r="W5962">
        <v>1.8800399999999998E-2</v>
      </c>
      <c r="X5962">
        <v>0.99503569999999997</v>
      </c>
      <c r="Y5962">
        <v>-4.138932E-2</v>
      </c>
      <c r="Z5962">
        <v>5.5804439999999997E-4</v>
      </c>
      <c r="AA5962">
        <v>0.99914289999999994</v>
      </c>
      <c r="AB5962">
        <v>26</v>
      </c>
      <c r="AC5962">
        <v>17.8035999999999</v>
      </c>
      <c r="AD5962">
        <v>-1.1093662860069999</v>
      </c>
      <c r="AE5962">
        <v>0.95181999999999001</v>
      </c>
      <c r="AF5962">
        <v>-0.74124813123159505</v>
      </c>
      <c r="AG5962">
        <v>-1.1093662860069999</v>
      </c>
      <c r="AH5962">
        <v>17.744788511898399</v>
      </c>
      <c r="AI5962">
        <v>93.574244951269606</v>
      </c>
      <c r="AJ5962">
        <v>92.392010039767598</v>
      </c>
      <c r="AK5962">
        <v>17.794877399987499</v>
      </c>
      <c r="AL5962">
        <v>88.922752957265701</v>
      </c>
      <c r="AM5962">
        <v>95.609269283057799</v>
      </c>
      <c r="AN5962">
        <v>0.99999999676290297</v>
      </c>
    </row>
    <row r="5963" spans="1:40" x14ac:dyDescent="0.25">
      <c r="A5963" t="str">
        <f>"20190312151651408"</f>
        <v>20190312151651408</v>
      </c>
      <c r="B5963" t="str">
        <f>"1552375011403994"</f>
        <v>1552375011403994</v>
      </c>
      <c r="C5963" t="s">
        <v>40</v>
      </c>
      <c r="D5963">
        <v>4.7741550000000004</v>
      </c>
      <c r="E5963">
        <v>0.52162649999999999</v>
      </c>
      <c r="F5963" t="s">
        <v>76</v>
      </c>
      <c r="G5963">
        <v>-238.76300000000001</v>
      </c>
      <c r="H5963" s="1">
        <v>-3.2553119999999999E-6</v>
      </c>
      <c r="I5963">
        <v>-62.633929999999999</v>
      </c>
      <c r="J5963">
        <v>-254.04349999999999</v>
      </c>
      <c r="K5963">
        <v>1.1093649999999999</v>
      </c>
      <c r="L5963">
        <v>-63.443539999999999</v>
      </c>
      <c r="M5963">
        <v>0.99988589999999999</v>
      </c>
      <c r="N5963">
        <v>0</v>
      </c>
      <c r="O5963">
        <v>1.168026E-2</v>
      </c>
      <c r="P5963">
        <v>0.99393450000000005</v>
      </c>
      <c r="Q5963">
        <v>9.3627120000000005E-3</v>
      </c>
      <c r="R5963">
        <v>0.10957500000000001</v>
      </c>
      <c r="S5963">
        <v>3.002853</v>
      </c>
      <c r="T5963">
        <v>-0.21601000000000001</v>
      </c>
      <c r="U5963">
        <v>0.15795899999999999</v>
      </c>
      <c r="V5963">
        <v>-9.7957950000000002E-2</v>
      </c>
      <c r="W5963">
        <v>1.891054E-2</v>
      </c>
      <c r="X5963">
        <v>0.99501090000000003</v>
      </c>
      <c r="Y5963">
        <v>-4.0787089999999998E-2</v>
      </c>
      <c r="Z5963">
        <v>6.2558950000000002E-4</v>
      </c>
      <c r="AA5963">
        <v>0.99916769999999999</v>
      </c>
      <c r="AB5963">
        <v>26</v>
      </c>
      <c r="AC5963">
        <v>15.2804999999999</v>
      </c>
      <c r="AD5963">
        <v>-1.1093682553119999</v>
      </c>
      <c r="AE5963">
        <v>0.80960999999999905</v>
      </c>
      <c r="AF5963">
        <v>-0.62776679499972898</v>
      </c>
      <c r="AG5963">
        <v>-1.1093682553119999</v>
      </c>
      <c r="AH5963">
        <v>15.208975386097899</v>
      </c>
      <c r="AI5963">
        <v>94.168325468961996</v>
      </c>
      <c r="AJ5963">
        <v>92.363603148523495</v>
      </c>
      <c r="AK5963">
        <v>15.2622973817748</v>
      </c>
      <c r="AL5963">
        <v>88.916441313802395</v>
      </c>
      <c r="AM5963">
        <v>95.622600750379704</v>
      </c>
      <c r="AN5963">
        <v>1.00000002980505</v>
      </c>
    </row>
    <row r="5964" spans="1:40" x14ac:dyDescent="0.25">
      <c r="A5964" t="str">
        <f>"20190312151651419"</f>
        <v>20190312151651419</v>
      </c>
      <c r="B5964" t="str">
        <f>"1552375011413753"</f>
        <v>1552375011413753</v>
      </c>
      <c r="C5964" t="s">
        <v>40</v>
      </c>
      <c r="D5964">
        <v>5.2376930000000002</v>
      </c>
      <c r="E5964">
        <v>0.52162370000000002</v>
      </c>
      <c r="F5964" t="s">
        <v>76</v>
      </c>
      <c r="G5964">
        <v>-239.31739999999999</v>
      </c>
      <c r="H5964" s="1">
        <v>-3.4480490000000001E-6</v>
      </c>
      <c r="I5964">
        <v>-62.656840000000003</v>
      </c>
      <c r="J5964">
        <v>-253.92</v>
      </c>
      <c r="K5964">
        <v>1.1093630000000001</v>
      </c>
      <c r="L5964">
        <v>-63.442079999999997</v>
      </c>
      <c r="M5964">
        <v>0.99988560000000004</v>
      </c>
      <c r="N5964">
        <v>0</v>
      </c>
      <c r="O5964">
        <v>1.1696369999999999E-2</v>
      </c>
      <c r="P5964">
        <v>0.9938977</v>
      </c>
      <c r="Q5964">
        <v>9.5022960000000004E-3</v>
      </c>
      <c r="R5964">
        <v>0.1098961</v>
      </c>
      <c r="S5964">
        <v>3.0027309999999998</v>
      </c>
      <c r="T5964">
        <v>-0.22620609999999999</v>
      </c>
      <c r="U5964">
        <v>0.1604004</v>
      </c>
      <c r="V5964">
        <v>-9.8263260000000005E-2</v>
      </c>
      <c r="W5964">
        <v>1.904784E-2</v>
      </c>
      <c r="X5964">
        <v>0.99497809999999998</v>
      </c>
      <c r="Y5964">
        <v>-4.1573800000000001E-2</v>
      </c>
      <c r="Z5964">
        <v>6.8341020000000003E-4</v>
      </c>
      <c r="AA5964">
        <v>0.9991352</v>
      </c>
      <c r="AB5964">
        <v>26</v>
      </c>
      <c r="AC5964">
        <v>14.602599999999899</v>
      </c>
      <c r="AD5964">
        <v>-1.109366448049</v>
      </c>
      <c r="AE5964">
        <v>0.78524000000000105</v>
      </c>
      <c r="AF5964">
        <v>-0.61086555951320498</v>
      </c>
      <c r="AG5964">
        <v>-1.109366448049</v>
      </c>
      <c r="AH5964">
        <v>14.527183816586801</v>
      </c>
      <c r="AI5964">
        <v>94.363068266220296</v>
      </c>
      <c r="AJ5964">
        <v>92.407859075760697</v>
      </c>
      <c r="AK5964">
        <v>14.582281038601501</v>
      </c>
      <c r="AL5964">
        <v>88.908573103517497</v>
      </c>
      <c r="AM5964">
        <v>95.6401968820945</v>
      </c>
      <c r="AN5964">
        <v>0.99999995397704999</v>
      </c>
    </row>
    <row r="5965" spans="1:40" x14ac:dyDescent="0.25">
      <c r="A5965" t="str">
        <f>"20190312151651430"</f>
        <v>20190312151651430</v>
      </c>
      <c r="B5965" t="str">
        <f>"1552375011423513"</f>
        <v>1552375011423513</v>
      </c>
      <c r="C5965" t="s">
        <v>40</v>
      </c>
      <c r="D5965">
        <v>4.7650810000000003</v>
      </c>
      <c r="E5965">
        <v>0.52166509999999999</v>
      </c>
      <c r="F5965" t="s">
        <v>76</v>
      </c>
      <c r="G5965">
        <v>-238.96809999999999</v>
      </c>
      <c r="H5965" s="1">
        <v>-3.325848E-6</v>
      </c>
      <c r="I5965">
        <v>-62.638129999999997</v>
      </c>
      <c r="J5965">
        <v>-253.79329999999999</v>
      </c>
      <c r="K5965">
        <v>1.109364</v>
      </c>
      <c r="L5965">
        <v>-63.440579999999997</v>
      </c>
      <c r="M5965">
        <v>0.99988529999999998</v>
      </c>
      <c r="N5965">
        <v>0</v>
      </c>
      <c r="O5965">
        <v>1.171296E-2</v>
      </c>
      <c r="P5965">
        <v>0.99387179999999997</v>
      </c>
      <c r="Q5965">
        <v>9.5138089999999998E-3</v>
      </c>
      <c r="R5965">
        <v>0.1101292</v>
      </c>
      <c r="S5965">
        <v>3.0026860000000002</v>
      </c>
      <c r="T5965">
        <v>-0.22278519999999999</v>
      </c>
      <c r="U5965">
        <v>0.161438</v>
      </c>
      <c r="V5965">
        <v>-9.8480529999999997E-2</v>
      </c>
      <c r="W5965">
        <v>1.9056900000000002E-2</v>
      </c>
      <c r="X5965">
        <v>0.99495650000000002</v>
      </c>
      <c r="Y5965">
        <v>-4.1903990000000002E-2</v>
      </c>
      <c r="Z5965">
        <v>6.8410399999999896E-4</v>
      </c>
      <c r="AA5965">
        <v>0.99912140000000005</v>
      </c>
      <c r="AB5965">
        <v>26</v>
      </c>
      <c r="AC5965">
        <v>14.825199999999899</v>
      </c>
      <c r="AD5965">
        <v>-1.1093673258479999</v>
      </c>
      <c r="AE5965">
        <v>0.80245</v>
      </c>
      <c r="AF5965">
        <v>-0.62524910996959004</v>
      </c>
      <c r="AG5965">
        <v>-1.1093673258479999</v>
      </c>
      <c r="AH5965">
        <v>14.7512241508262</v>
      </c>
      <c r="AI5965">
        <v>94.296995154881401</v>
      </c>
      <c r="AJ5965">
        <v>92.427100562143806</v>
      </c>
      <c r="AK5965">
        <v>14.806088148498</v>
      </c>
      <c r="AL5965">
        <v>88.9080539690991</v>
      </c>
      <c r="AM5965">
        <v>95.652709172166993</v>
      </c>
      <c r="AN5965">
        <v>1.00000000855947</v>
      </c>
    </row>
    <row r="5966" spans="1:40" x14ac:dyDescent="0.25">
      <c r="A5966" t="str">
        <f>"20190312151651442"</f>
        <v>20190312151651442</v>
      </c>
      <c r="B5966" t="str">
        <f>"1552375011434249"</f>
        <v>1552375011434249</v>
      </c>
      <c r="C5966" t="s">
        <v>40</v>
      </c>
      <c r="D5966">
        <v>4.833221</v>
      </c>
      <c r="E5966">
        <v>0.52181769999999905</v>
      </c>
      <c r="F5966" t="s">
        <v>76</v>
      </c>
      <c r="G5966">
        <v>-238.83449999999999</v>
      </c>
      <c r="H5966" s="1">
        <v>-3.279726E-6</v>
      </c>
      <c r="I5966">
        <v>-62.634300000000003</v>
      </c>
      <c r="J5966">
        <v>-253.6653</v>
      </c>
      <c r="K5966">
        <v>1.1093649999999999</v>
      </c>
      <c r="L5966">
        <v>-63.439059999999998</v>
      </c>
      <c r="M5966">
        <v>0.99988529999999998</v>
      </c>
      <c r="N5966">
        <v>0</v>
      </c>
      <c r="O5966">
        <v>1.17296E-2</v>
      </c>
      <c r="P5966">
        <v>0.99382689999999996</v>
      </c>
      <c r="Q5966">
        <v>9.5541489999999996E-3</v>
      </c>
      <c r="R5966">
        <v>0.1105302</v>
      </c>
      <c r="S5966">
        <v>3.0027010000000001</v>
      </c>
      <c r="T5966">
        <v>-0.22268569999999999</v>
      </c>
      <c r="U5966">
        <v>0.1618347</v>
      </c>
      <c r="V5966">
        <v>-9.8865220000000004E-2</v>
      </c>
      <c r="W5966">
        <v>1.909599E-2</v>
      </c>
      <c r="X5966">
        <v>0.99491759999999996</v>
      </c>
      <c r="Y5966">
        <v>-4.2018510000000002E-2</v>
      </c>
      <c r="Z5966">
        <v>6.8679940000000001E-4</v>
      </c>
      <c r="AA5966">
        <v>0.99911660000000002</v>
      </c>
      <c r="AB5966">
        <v>26</v>
      </c>
      <c r="AC5966">
        <v>14.8308</v>
      </c>
      <c r="AD5966">
        <v>-1.1093682797259901</v>
      </c>
      <c r="AE5966">
        <v>0.80475999999999404</v>
      </c>
      <c r="AF5966">
        <v>-0.62723802187031397</v>
      </c>
      <c r="AG5966">
        <v>-1.1093682797259901</v>
      </c>
      <c r="AH5966">
        <v>14.756892942693</v>
      </c>
      <c r="AI5966">
        <v>94.295332858216796</v>
      </c>
      <c r="AJ5966">
        <v>92.433877674096394</v>
      </c>
      <c r="AK5966">
        <v>14.811820105518599</v>
      </c>
      <c r="AL5966">
        <v>88.905813870682195</v>
      </c>
      <c r="AM5966">
        <v>95.674866678722495</v>
      </c>
      <c r="AN5966">
        <v>1.0000000096747399</v>
      </c>
    </row>
    <row r="5967" spans="1:40" x14ac:dyDescent="0.25">
      <c r="A5967" t="str">
        <f>"20190312151651453"</f>
        <v>20190312151651453</v>
      </c>
      <c r="B5967" t="str">
        <f>"1552375011444009"</f>
        <v>1552375011444009</v>
      </c>
      <c r="C5967" t="s">
        <v>40</v>
      </c>
      <c r="D5967">
        <v>5.3081120000000004</v>
      </c>
      <c r="E5967">
        <v>0.52193109999999998</v>
      </c>
      <c r="F5967" t="s">
        <v>76</v>
      </c>
      <c r="G5967">
        <v>-238.6112</v>
      </c>
      <c r="H5967" s="1">
        <v>-3.202529E-6</v>
      </c>
      <c r="I5967">
        <v>-62.627490000000002</v>
      </c>
      <c r="J5967">
        <v>-253.53210000000001</v>
      </c>
      <c r="K5967">
        <v>1.109364</v>
      </c>
      <c r="L5967">
        <v>-63.4375</v>
      </c>
      <c r="M5967">
        <v>0.99988509999999997</v>
      </c>
      <c r="N5967">
        <v>0</v>
      </c>
      <c r="O5967">
        <v>1.174683E-2</v>
      </c>
      <c r="P5967">
        <v>0.99382040000000005</v>
      </c>
      <c r="Q5967">
        <v>9.7137319999999992E-3</v>
      </c>
      <c r="R5967">
        <v>0.1105761</v>
      </c>
      <c r="S5967">
        <v>3.0027309999999998</v>
      </c>
      <c r="T5967">
        <v>-0.22127820000000001</v>
      </c>
      <c r="U5967">
        <v>0.16186519999999999</v>
      </c>
      <c r="V5967">
        <v>-9.8894339999999997E-2</v>
      </c>
      <c r="W5967">
        <v>1.9253320000000001E-2</v>
      </c>
      <c r="X5967">
        <v>0.99491169999999995</v>
      </c>
      <c r="Y5967">
        <v>-4.2011979999999997E-2</v>
      </c>
      <c r="Z5967">
        <v>6.8095609999999996E-4</v>
      </c>
      <c r="AA5967">
        <v>0.99911689999999997</v>
      </c>
      <c r="AB5967">
        <v>26</v>
      </c>
      <c r="AC5967">
        <v>14.9209</v>
      </c>
      <c r="AD5967">
        <v>-1.109367202529</v>
      </c>
      <c r="AE5967">
        <v>0.81000999999999801</v>
      </c>
      <c r="AF5967">
        <v>-0.63119385855548005</v>
      </c>
      <c r="AG5967">
        <v>-1.109367202529</v>
      </c>
      <c r="AH5967">
        <v>14.8475512174599</v>
      </c>
      <c r="AI5967">
        <v>94.2691976963402</v>
      </c>
      <c r="AJ5967">
        <v>92.434272230338905</v>
      </c>
      <c r="AK5967">
        <v>14.902311177539501</v>
      </c>
      <c r="AL5967">
        <v>88.896797897003495</v>
      </c>
      <c r="AM5967">
        <v>95.676560695747597</v>
      </c>
      <c r="AN5967">
        <v>1.00000003580597</v>
      </c>
    </row>
    <row r="5968" spans="1:40" x14ac:dyDescent="0.25">
      <c r="A5968" t="str">
        <f>"20190312151651463"</f>
        <v>20190312151651463</v>
      </c>
      <c r="B5968" t="str">
        <f>"1552375011453769"</f>
        <v>1552375011453769</v>
      </c>
      <c r="C5968" t="s">
        <v>40</v>
      </c>
      <c r="D5968">
        <v>4.8009919999999999</v>
      </c>
      <c r="E5968">
        <v>0.52202530000000003</v>
      </c>
      <c r="F5968" t="s">
        <v>76</v>
      </c>
      <c r="G5968">
        <v>-238.2037</v>
      </c>
      <c r="H5968" s="1">
        <v>-3.0616250000000001E-6</v>
      </c>
      <c r="I5968">
        <v>-62.615070000000003</v>
      </c>
      <c r="J5968">
        <v>-253.3999</v>
      </c>
      <c r="K5968">
        <v>1.109364</v>
      </c>
      <c r="L5968">
        <v>-63.43591</v>
      </c>
      <c r="M5968">
        <v>0.99988480000000002</v>
      </c>
      <c r="N5968">
        <v>0</v>
      </c>
      <c r="O5968">
        <v>1.176395E-2</v>
      </c>
      <c r="P5968">
        <v>0.99379770000000001</v>
      </c>
      <c r="Q5968">
        <v>9.6929159999999993E-3</v>
      </c>
      <c r="R5968">
        <v>0.110782199999999</v>
      </c>
      <c r="S5968">
        <v>3.0028380000000001</v>
      </c>
      <c r="T5968">
        <v>-0.2173243</v>
      </c>
      <c r="U5968">
        <v>0.1611023</v>
      </c>
      <c r="V5968">
        <v>-9.9083190000000002E-2</v>
      </c>
      <c r="W5968">
        <v>1.9231870000000002E-2</v>
      </c>
      <c r="X5968">
        <v>0.99489329999999998</v>
      </c>
      <c r="Y5968">
        <v>-4.1743490000000001E-2</v>
      </c>
      <c r="Z5968">
        <v>6.5786890000000002E-4</v>
      </c>
      <c r="AA5968">
        <v>0.99912820000000002</v>
      </c>
      <c r="AB5968">
        <v>26</v>
      </c>
      <c r="AC5968">
        <v>15.196199999999999</v>
      </c>
      <c r="AD5968">
        <v>-1.109367061625</v>
      </c>
      <c r="AE5968">
        <v>0.82084000000000401</v>
      </c>
      <c r="AF5968">
        <v>-0.63861408826955501</v>
      </c>
      <c r="AG5968">
        <v>-1.109367061625</v>
      </c>
      <c r="AH5968">
        <v>15.124435050744999</v>
      </c>
      <c r="AI5968">
        <v>94.191372652734501</v>
      </c>
      <c r="AJ5968">
        <v>92.417820576292499</v>
      </c>
      <c r="AK5968">
        <v>15.1785064757821</v>
      </c>
      <c r="AL5968">
        <v>88.898027091550603</v>
      </c>
      <c r="AM5968">
        <v>95.687434231120307</v>
      </c>
      <c r="AN5968">
        <v>1.0000000108745799</v>
      </c>
    </row>
    <row r="5969" spans="1:40" x14ac:dyDescent="0.25">
      <c r="A5969" t="str">
        <f>"20190312151651476"</f>
        <v>20190312151651476</v>
      </c>
      <c r="B5969" t="str">
        <f>"1552375011463529"</f>
        <v>1552375011463529</v>
      </c>
      <c r="C5969" t="s">
        <v>40</v>
      </c>
      <c r="D5969">
        <v>4.8085760000000004</v>
      </c>
      <c r="E5969">
        <v>0.52207579999999998</v>
      </c>
      <c r="F5969" t="s">
        <v>76</v>
      </c>
      <c r="G5969">
        <v>-238.43360000000001</v>
      </c>
      <c r="H5969" s="1">
        <v>-3.143068E-6</v>
      </c>
      <c r="I5969">
        <v>-62.63308</v>
      </c>
      <c r="J5969">
        <v>-253.26599999999999</v>
      </c>
      <c r="K5969">
        <v>1.109359</v>
      </c>
      <c r="L5969">
        <v>-63.434330000000003</v>
      </c>
      <c r="M5969">
        <v>0.99988469999999996</v>
      </c>
      <c r="N5969">
        <v>0</v>
      </c>
      <c r="O5969">
        <v>1.1781359999999999E-2</v>
      </c>
      <c r="P5969">
        <v>0.99379629999999997</v>
      </c>
      <c r="Q5969">
        <v>9.7557970000000001E-3</v>
      </c>
      <c r="R5969">
        <v>0.11078739999999999</v>
      </c>
      <c r="S5969">
        <v>3.0029140000000001</v>
      </c>
      <c r="T5969">
        <v>-0.22258939999999999</v>
      </c>
      <c r="U5969">
        <v>0.16107179999999999</v>
      </c>
      <c r="V5969">
        <v>-9.9071699999999999E-2</v>
      </c>
      <c r="W5969">
        <v>1.9293370000000001E-2</v>
      </c>
      <c r="X5969">
        <v>0.99489329999999998</v>
      </c>
      <c r="Y5969">
        <v>-4.171093E-2</v>
      </c>
      <c r="Z5969">
        <v>6.7125509999999998E-4</v>
      </c>
      <c r="AA5969">
        <v>0.9991295</v>
      </c>
      <c r="AB5969">
        <v>26</v>
      </c>
      <c r="AC5969">
        <v>14.8323999999999</v>
      </c>
      <c r="AD5969">
        <v>-1.1093621430679901</v>
      </c>
      <c r="AE5969">
        <v>0.80124999999999602</v>
      </c>
      <c r="AF5969">
        <v>-0.62296578022453497</v>
      </c>
      <c r="AG5969">
        <v>-1.1093621430679901</v>
      </c>
      <c r="AH5969">
        <v>14.7584917065859</v>
      </c>
      <c r="AI5969">
        <v>94.294898827818599</v>
      </c>
      <c r="AJ5969">
        <v>92.417058232850493</v>
      </c>
      <c r="AK5969">
        <v>14.8132321989891</v>
      </c>
      <c r="AL5969">
        <v>88.894502798373296</v>
      </c>
      <c r="AM5969">
        <v>95.686779021429203</v>
      </c>
      <c r="AN5969">
        <v>1.00000005712586</v>
      </c>
    </row>
    <row r="5970" spans="1:40" x14ac:dyDescent="0.25">
      <c r="A5970" t="str">
        <f>"20190312151651486"</f>
        <v>20190312151651486</v>
      </c>
      <c r="B5970" t="str">
        <f>"1552375011484025"</f>
        <v>1552375011484025</v>
      </c>
      <c r="C5970" t="s">
        <v>40</v>
      </c>
      <c r="D5970">
        <v>4.8074779999999997</v>
      </c>
      <c r="E5970">
        <v>0.52213920000000003</v>
      </c>
      <c r="F5970" t="s">
        <v>76</v>
      </c>
      <c r="G5970">
        <v>-238.5591</v>
      </c>
      <c r="H5970" s="1">
        <v>-3.1882759999999998E-6</v>
      </c>
      <c r="I5970">
        <v>-62.647080000000003</v>
      </c>
      <c r="J5970">
        <v>-253.1311</v>
      </c>
      <c r="K5970">
        <v>1.1093569999999999</v>
      </c>
      <c r="L5970">
        <v>-63.43271</v>
      </c>
      <c r="M5970">
        <v>0.99988449999999995</v>
      </c>
      <c r="N5970">
        <v>0</v>
      </c>
      <c r="O5970">
        <v>1.1798650000000001E-2</v>
      </c>
      <c r="P5970">
        <v>0.99378880000000003</v>
      </c>
      <c r="Q5970">
        <v>9.8128669999999994E-3</v>
      </c>
      <c r="R5970">
        <v>0.11085109999999999</v>
      </c>
      <c r="S5970">
        <v>3.0030209999999999</v>
      </c>
      <c r="T5970">
        <v>-0.22652240000000001</v>
      </c>
      <c r="U5970">
        <v>0.16073609999999999</v>
      </c>
      <c r="V5970">
        <v>-9.9118059999999994E-2</v>
      </c>
      <c r="W5970">
        <v>1.9350099999999999E-2</v>
      </c>
      <c r="X5970">
        <v>0.99488750000000004</v>
      </c>
      <c r="Y5970">
        <v>-4.1577900000000001E-2</v>
      </c>
      <c r="Z5970">
        <v>6.767524E-4</v>
      </c>
      <c r="AA5970">
        <v>0.999135</v>
      </c>
      <c r="AB5970">
        <v>26</v>
      </c>
      <c r="AC5970">
        <v>14.571999999999999</v>
      </c>
      <c r="AD5970">
        <v>-1.109360188276</v>
      </c>
      <c r="AE5970">
        <v>0.78562999999999705</v>
      </c>
      <c r="AF5970">
        <v>-0.61011170828816896</v>
      </c>
      <c r="AG5970">
        <v>-1.109360188276</v>
      </c>
      <c r="AH5970">
        <v>14.4964814666225</v>
      </c>
      <c r="AI5970">
        <v>94.372241736842199</v>
      </c>
      <c r="AJ5970">
        <v>92.409978460191994</v>
      </c>
      <c r="AK5970">
        <v>14.551662834056099</v>
      </c>
      <c r="AL5970">
        <v>88.891251713147099</v>
      </c>
      <c r="AM5970">
        <v>95.689455611411205</v>
      </c>
      <c r="AN5970">
        <v>0.99999997692221099</v>
      </c>
    </row>
    <row r="5971" spans="1:40" x14ac:dyDescent="0.25">
      <c r="A5971" t="str">
        <f>"20190312151651499"</f>
        <v>20190312151651499</v>
      </c>
      <c r="B5971" t="str">
        <f>"1552375011493785"</f>
        <v>1552375011493785</v>
      </c>
      <c r="C5971" t="s">
        <v>40</v>
      </c>
      <c r="D5971">
        <v>4.8215199999999996</v>
      </c>
      <c r="E5971">
        <v>0.52222230000000003</v>
      </c>
      <c r="F5971" t="s">
        <v>76</v>
      </c>
      <c r="G5971">
        <v>-238.7217</v>
      </c>
      <c r="H5971" s="1">
        <v>-3.2463679999999999E-6</v>
      </c>
      <c r="I5971">
        <v>-62.662739999999999</v>
      </c>
      <c r="J5971">
        <v>-252.9983</v>
      </c>
      <c r="K5971">
        <v>1.1093569999999999</v>
      </c>
      <c r="L5971">
        <v>-63.4311199999999</v>
      </c>
      <c r="M5971">
        <v>0.99988440000000001</v>
      </c>
      <c r="N5971">
        <v>0</v>
      </c>
      <c r="O5971">
        <v>1.181576E-2</v>
      </c>
      <c r="P5971">
        <v>0.99378940000000004</v>
      </c>
      <c r="Q5971">
        <v>9.5340259999999993E-3</v>
      </c>
      <c r="R5971">
        <v>0.1108703</v>
      </c>
      <c r="S5971">
        <v>3.0031590000000001</v>
      </c>
      <c r="T5971">
        <v>-0.23120950000000001</v>
      </c>
      <c r="U5971">
        <v>0.1604614</v>
      </c>
      <c r="V5971">
        <v>-9.9120020000000003E-2</v>
      </c>
      <c r="W5971">
        <v>1.9070730000000001E-2</v>
      </c>
      <c r="X5971">
        <v>0.99489269999999996</v>
      </c>
      <c r="Y5971">
        <v>-4.146412E-2</v>
      </c>
      <c r="Z5971">
        <v>6.8500020000000002E-4</v>
      </c>
      <c r="AA5971">
        <v>0.99913980000000002</v>
      </c>
      <c r="AB5971">
        <v>26</v>
      </c>
      <c r="AC5971">
        <v>14.2766</v>
      </c>
      <c r="AD5971">
        <v>-1.1093602463679999</v>
      </c>
      <c r="AE5971">
        <v>0.76837999999999296</v>
      </c>
      <c r="AF5971">
        <v>-0.59604122920973301</v>
      </c>
      <c r="AG5971">
        <v>-1.1093602463679999</v>
      </c>
      <c r="AH5971">
        <v>14.199195086416299</v>
      </c>
      <c r="AI5971">
        <v>94.463437268316198</v>
      </c>
      <c r="AJ5971">
        <v>92.403700288638902</v>
      </c>
      <c r="AK5971">
        <v>14.2549320028279</v>
      </c>
      <c r="AL5971">
        <v>88.907261390840503</v>
      </c>
      <c r="AM5971">
        <v>95.6895378363145</v>
      </c>
      <c r="AN5971">
        <v>0.99999997781041094</v>
      </c>
    </row>
    <row r="5972" spans="1:40" x14ac:dyDescent="0.25">
      <c r="A5972" t="str">
        <f>"20190312151651510"</f>
        <v>20190312151651510</v>
      </c>
      <c r="B5972" t="str">
        <f>"1552375011503546"</f>
        <v>1552375011503546</v>
      </c>
      <c r="C5972" t="s">
        <v>40</v>
      </c>
      <c r="D5972">
        <v>4.8236339999999904</v>
      </c>
      <c r="E5972">
        <v>0.5223044</v>
      </c>
      <c r="F5972" t="s">
        <v>76</v>
      </c>
      <c r="G5972">
        <v>-238.83189999999999</v>
      </c>
      <c r="H5972" s="1">
        <v>-3.2863650000000001E-6</v>
      </c>
      <c r="I5972">
        <v>-62.676729999999999</v>
      </c>
      <c r="J5972">
        <v>-252.86009999999999</v>
      </c>
      <c r="K5972">
        <v>1.109351</v>
      </c>
      <c r="L5972">
        <v>-63.429499999999997</v>
      </c>
      <c r="M5972">
        <v>0.99988410000000005</v>
      </c>
      <c r="N5972">
        <v>0</v>
      </c>
      <c r="O5972">
        <v>1.183353E-2</v>
      </c>
      <c r="P5972">
        <v>0.99376200000000003</v>
      </c>
      <c r="Q5972">
        <v>9.748596E-3</v>
      </c>
      <c r="R5972">
        <v>0.1110961</v>
      </c>
      <c r="S5972">
        <v>3.003174</v>
      </c>
      <c r="T5972">
        <v>-0.2351763</v>
      </c>
      <c r="U5972">
        <v>0.1599121</v>
      </c>
      <c r="V5972">
        <v>-9.9328349999999996E-2</v>
      </c>
      <c r="W5972">
        <v>1.9284309999999999E-2</v>
      </c>
      <c r="X5972">
        <v>0.99486779999999997</v>
      </c>
      <c r="Y5972">
        <v>-4.12615E-2</v>
      </c>
      <c r="Z5972">
        <v>6.8741280000000004E-4</v>
      </c>
      <c r="AA5972">
        <v>0.99914809999999998</v>
      </c>
      <c r="AB5972">
        <v>26</v>
      </c>
      <c r="AC5972">
        <v>14.028199999999901</v>
      </c>
      <c r="AD5972">
        <v>-1.1093542863650001</v>
      </c>
      <c r="AE5972">
        <v>0.75276999999999095</v>
      </c>
      <c r="AF5972">
        <v>-0.58307066939437202</v>
      </c>
      <c r="AG5972">
        <v>-1.1093542863650001</v>
      </c>
      <c r="AH5972">
        <v>13.9491428072847</v>
      </c>
      <c r="AI5972">
        <v>94.543126056170195</v>
      </c>
      <c r="AJ5972">
        <v>92.393555834502706</v>
      </c>
      <c r="AK5972">
        <v>14.0053283930155</v>
      </c>
      <c r="AL5972">
        <v>88.895021901291599</v>
      </c>
      <c r="AM5972">
        <v>95.701559136169493</v>
      </c>
      <c r="AN5972">
        <v>0.99999997260136797</v>
      </c>
    </row>
    <row r="5973" spans="1:40" x14ac:dyDescent="0.25">
      <c r="A5973" t="str">
        <f>"20190312151651521"</f>
        <v>20190312151651521</v>
      </c>
      <c r="B5973" t="str">
        <f>"1552375011514281"</f>
        <v>1552375011514281</v>
      </c>
      <c r="C5973" t="s">
        <v>40</v>
      </c>
      <c r="D5973">
        <v>4.8282379999999998</v>
      </c>
      <c r="E5973">
        <v>0.52231909999999904</v>
      </c>
      <c r="F5973" t="s">
        <v>76</v>
      </c>
      <c r="G5973">
        <v>-238.80350000000001</v>
      </c>
      <c r="H5973" s="1">
        <v>-3.2773960000000001E-6</v>
      </c>
      <c r="I5973">
        <v>-62.680689999999998</v>
      </c>
      <c r="J5973">
        <v>-252.73609999999999</v>
      </c>
      <c r="K5973">
        <v>1.1093500000000001</v>
      </c>
      <c r="L5973">
        <v>-63.42801</v>
      </c>
      <c r="M5973">
        <v>0.99988379999999999</v>
      </c>
      <c r="N5973">
        <v>0</v>
      </c>
      <c r="O5973">
        <v>1.184926E-2</v>
      </c>
      <c r="P5973">
        <v>0.99374410000000002</v>
      </c>
      <c r="Q5973">
        <v>9.5365559999999999E-3</v>
      </c>
      <c r="R5973">
        <v>0.1112725</v>
      </c>
      <c r="S5973">
        <v>3.00325</v>
      </c>
      <c r="T5973">
        <v>-0.23701800000000001</v>
      </c>
      <c r="U5973">
        <v>0.15997310000000001</v>
      </c>
      <c r="V5973">
        <v>-9.9489579999999994E-2</v>
      </c>
      <c r="W5973">
        <v>1.907263E-2</v>
      </c>
      <c r="X5973">
        <v>0.99485579999999996</v>
      </c>
      <c r="Y5973">
        <v>-4.1263319999999999E-2</v>
      </c>
      <c r="Z5973">
        <v>6.9159419999999998E-4</v>
      </c>
      <c r="AA5973">
        <v>0.99914809999999998</v>
      </c>
      <c r="AB5973">
        <v>26</v>
      </c>
      <c r="AC5973">
        <v>13.9325999999999</v>
      </c>
      <c r="AD5973">
        <v>-1.109353277396</v>
      </c>
      <c r="AE5973">
        <v>0.74731999999999399</v>
      </c>
      <c r="AF5973">
        <v>-0.57851181044424504</v>
      </c>
      <c r="AG5973">
        <v>-1.109353277396</v>
      </c>
      <c r="AH5973">
        <v>13.8529047064627</v>
      </c>
      <c r="AI5973">
        <v>94.574557510388203</v>
      </c>
      <c r="AJ5973">
        <v>92.391342256441405</v>
      </c>
      <c r="AK5973">
        <v>13.909288602054</v>
      </c>
      <c r="AL5973">
        <v>88.907152535785897</v>
      </c>
      <c r="AM5973">
        <v>95.710821224713797</v>
      </c>
      <c r="AN5973">
        <v>1.0000000022686599</v>
      </c>
    </row>
    <row r="5974" spans="1:40" x14ac:dyDescent="0.25">
      <c r="A5974" t="str">
        <f>"20190312151651531"</f>
        <v>20190312151651531</v>
      </c>
      <c r="B5974" t="str">
        <f>"1552375011524041"</f>
        <v>1552375011524041</v>
      </c>
      <c r="C5974" t="s">
        <v>40</v>
      </c>
      <c r="D5974">
        <v>4.7911469999999996</v>
      </c>
      <c r="E5974">
        <v>0.52229300000000001</v>
      </c>
      <c r="F5974" t="s">
        <v>76</v>
      </c>
      <c r="G5974">
        <v>-238.89400000000001</v>
      </c>
      <c r="H5974" s="1">
        <v>-3.3095880000000001E-6</v>
      </c>
      <c r="I5974">
        <v>-62.688510000000001</v>
      </c>
      <c r="J5974">
        <v>-252.61089999999999</v>
      </c>
      <c r="K5974">
        <v>1.1093489999999999</v>
      </c>
      <c r="L5974">
        <v>-63.42651</v>
      </c>
      <c r="M5974">
        <v>0.99988379999999999</v>
      </c>
      <c r="N5974">
        <v>0</v>
      </c>
      <c r="O5974">
        <v>1.1865179999999999E-2</v>
      </c>
      <c r="P5974">
        <v>0.99375219999999997</v>
      </c>
      <c r="Q5974">
        <v>9.2785520000000007E-3</v>
      </c>
      <c r="R5974">
        <v>0.1112221</v>
      </c>
      <c r="S5974">
        <v>3.0032350000000001</v>
      </c>
      <c r="T5974">
        <v>-0.2406904</v>
      </c>
      <c r="U5974">
        <v>0.16043089999999999</v>
      </c>
      <c r="V5974">
        <v>-9.942318E-2</v>
      </c>
      <c r="W5974">
        <v>1.8814230000000001E-2</v>
      </c>
      <c r="X5974">
        <v>0.99486739999999996</v>
      </c>
      <c r="Y5974">
        <v>-4.1396330000000002E-2</v>
      </c>
      <c r="Z5974">
        <v>7.0632240000000003E-4</v>
      </c>
      <c r="AA5974">
        <v>0.99914250000000004</v>
      </c>
      <c r="AB5974">
        <v>26</v>
      </c>
      <c r="AC5974">
        <v>13.7168999999999</v>
      </c>
      <c r="AD5974">
        <v>-1.109352309588</v>
      </c>
      <c r="AE5974">
        <v>0.73799999999999899</v>
      </c>
      <c r="AF5974">
        <v>-0.57146011725297496</v>
      </c>
      <c r="AG5974">
        <v>-1.109352309588</v>
      </c>
      <c r="AH5974">
        <v>13.6357606608795</v>
      </c>
      <c r="AI5974">
        <v>94.647056326585002</v>
      </c>
      <c r="AJ5974">
        <v>92.399800409047103</v>
      </c>
      <c r="AK5974">
        <v>13.692742530741899</v>
      </c>
      <c r="AL5974">
        <v>88.921960467142597</v>
      </c>
      <c r="AM5974">
        <v>95.706968849561505</v>
      </c>
      <c r="AN5974">
        <v>1.00000004377728</v>
      </c>
    </row>
    <row r="5975" spans="1:40" x14ac:dyDescent="0.25">
      <c r="A5975" t="str">
        <f>"20190312151651542"</f>
        <v>20190312151651542</v>
      </c>
      <c r="B5975" t="str">
        <f>"1552375011533801"</f>
        <v>1552375011533801</v>
      </c>
      <c r="C5975" t="s">
        <v>40</v>
      </c>
      <c r="D5975">
        <v>4.8531519999999997</v>
      </c>
      <c r="E5975">
        <v>0.52225250000000001</v>
      </c>
      <c r="F5975" t="s">
        <v>76</v>
      </c>
      <c r="G5975">
        <v>-238.9453</v>
      </c>
      <c r="H5975" s="1">
        <v>-3.3284249999999998E-6</v>
      </c>
      <c r="I5975">
        <v>-62.696280000000002</v>
      </c>
      <c r="J5975">
        <v>-252.48150000000001</v>
      </c>
      <c r="K5975">
        <v>1.1093500000000001</v>
      </c>
      <c r="L5975">
        <v>-63.424930000000003</v>
      </c>
      <c r="M5975">
        <v>0.99988350000000004</v>
      </c>
      <c r="N5975">
        <v>0</v>
      </c>
      <c r="O5975">
        <v>1.188181E-2</v>
      </c>
      <c r="P5975">
        <v>0.99375360000000001</v>
      </c>
      <c r="Q5975">
        <v>9.2617259999999996E-3</v>
      </c>
      <c r="R5975">
        <v>0.11121200000000001</v>
      </c>
      <c r="S5975">
        <v>3.0031430000000001</v>
      </c>
      <c r="T5975">
        <v>-0.24379039999999999</v>
      </c>
      <c r="U5975">
        <v>0.1604614</v>
      </c>
      <c r="V5975">
        <v>-9.9396639999999994E-2</v>
      </c>
      <c r="W5975">
        <v>1.879755E-2</v>
      </c>
      <c r="X5975">
        <v>0.99487029999999999</v>
      </c>
      <c r="Y5975">
        <v>-4.1389090000000003E-2</v>
      </c>
      <c r="Z5975">
        <v>7.1377140000000001E-4</v>
      </c>
      <c r="AA5975">
        <v>0.9991428</v>
      </c>
      <c r="AB5975">
        <v>26</v>
      </c>
      <c r="AC5975">
        <v>13.536199999999999</v>
      </c>
      <c r="AD5975">
        <v>-1.1093533284249999</v>
      </c>
      <c r="AE5975">
        <v>0.72865000000000102</v>
      </c>
      <c r="AF5975">
        <v>-0.56397956648344505</v>
      </c>
      <c r="AG5975">
        <v>-1.1093533284249999</v>
      </c>
      <c r="AH5975">
        <v>13.4538004132338</v>
      </c>
      <c r="AI5975">
        <v>94.709628273468596</v>
      </c>
      <c r="AJ5975">
        <v>92.400417723653902</v>
      </c>
      <c r="AK5975">
        <v>13.5112354475018</v>
      </c>
      <c r="AL5975">
        <v>88.922916257676704</v>
      </c>
      <c r="AM5975">
        <v>95.705438963395295</v>
      </c>
      <c r="AN5975">
        <v>0.99999997687568998</v>
      </c>
    </row>
    <row r="5976" spans="1:40" x14ac:dyDescent="0.25">
      <c r="A5976" t="str">
        <f>"20190312151651553"</f>
        <v>20190312151651553</v>
      </c>
      <c r="B5976" t="str">
        <f>"1552375011543561"</f>
        <v>1552375011543561</v>
      </c>
      <c r="C5976" t="s">
        <v>40</v>
      </c>
      <c r="D5976">
        <v>4.8521580000000002</v>
      </c>
      <c r="E5976">
        <v>0.52226209999999995</v>
      </c>
      <c r="F5976" t="s">
        <v>76</v>
      </c>
      <c r="G5976">
        <v>-238.9631</v>
      </c>
      <c r="H5976" s="1">
        <v>-3.335328E-6</v>
      </c>
      <c r="I5976">
        <v>-62.701180000000001</v>
      </c>
      <c r="J5976">
        <v>-252.3519</v>
      </c>
      <c r="K5976">
        <v>1.1093459999999999</v>
      </c>
      <c r="L5976">
        <v>-63.423369999999998</v>
      </c>
      <c r="M5976">
        <v>0.99988339999999998</v>
      </c>
      <c r="N5976">
        <v>0</v>
      </c>
      <c r="O5976">
        <v>1.1898199999999999E-2</v>
      </c>
      <c r="P5976">
        <v>0.99377130000000002</v>
      </c>
      <c r="Q5976">
        <v>9.504462E-3</v>
      </c>
      <c r="R5976">
        <v>0.11103449999999999</v>
      </c>
      <c r="S5976">
        <v>3.0031430000000001</v>
      </c>
      <c r="T5976">
        <v>-0.24644450000000001</v>
      </c>
      <c r="U5976">
        <v>0.16076660000000001</v>
      </c>
      <c r="V5976">
        <v>-9.9202159999999998E-2</v>
      </c>
      <c r="W5976">
        <v>1.904117E-2</v>
      </c>
      <c r="X5976">
        <v>0.99488509999999997</v>
      </c>
      <c r="Y5976">
        <v>-4.1471620000000001E-2</v>
      </c>
      <c r="Z5976">
        <v>7.2355100000000001E-4</v>
      </c>
      <c r="AA5976">
        <v>0.99913940000000001</v>
      </c>
      <c r="AB5976">
        <v>26</v>
      </c>
      <c r="AC5976">
        <v>13.3888</v>
      </c>
      <c r="AD5976">
        <v>-1.109349335328</v>
      </c>
      <c r="AE5976">
        <v>0.72218999999999001</v>
      </c>
      <c r="AF5976">
        <v>-0.5590024245877</v>
      </c>
      <c r="AG5976">
        <v>-1.109349335328</v>
      </c>
      <c r="AH5976">
        <v>13.3053662895542</v>
      </c>
      <c r="AI5976">
        <v>94.761892758333303</v>
      </c>
      <c r="AJ5976">
        <v>92.405770290115001</v>
      </c>
      <c r="AK5976">
        <v>13.3632298400385</v>
      </c>
      <c r="AL5976">
        <v>88.908955384238197</v>
      </c>
      <c r="AM5976">
        <v>95.694264953563703</v>
      </c>
      <c r="AN5976">
        <v>0.99999999845282195</v>
      </c>
    </row>
    <row r="5977" spans="1:40" x14ac:dyDescent="0.25">
      <c r="A5977" t="str">
        <f>"20190312151651566"</f>
        <v>20190312151651566</v>
      </c>
      <c r="B5977" t="str">
        <f>"1552375011554297"</f>
        <v>1552375011554297</v>
      </c>
      <c r="C5977" t="s">
        <v>40</v>
      </c>
      <c r="D5977">
        <v>4.8467789999999997</v>
      </c>
      <c r="E5977">
        <v>0.52224250000000005</v>
      </c>
      <c r="F5977" t="s">
        <v>76</v>
      </c>
      <c r="G5977">
        <v>-238.88929999999999</v>
      </c>
      <c r="H5977" s="1">
        <v>-3.3109299999999999E-6</v>
      </c>
      <c r="I5977">
        <v>-62.705100000000002</v>
      </c>
      <c r="J5977">
        <v>-252.20959999999999</v>
      </c>
      <c r="K5977">
        <v>1.1093440000000001</v>
      </c>
      <c r="L5977">
        <v>-63.421660000000003</v>
      </c>
      <c r="M5977">
        <v>0.99988310000000002</v>
      </c>
      <c r="N5977">
        <v>0</v>
      </c>
      <c r="O5977">
        <v>1.191614E-2</v>
      </c>
      <c r="P5977">
        <v>0.99374790000000002</v>
      </c>
      <c r="Q5977">
        <v>9.5371770000000008E-3</v>
      </c>
      <c r="R5977">
        <v>0.1112406</v>
      </c>
      <c r="S5977">
        <v>3.00325</v>
      </c>
      <c r="T5977">
        <v>-0.24747469999999999</v>
      </c>
      <c r="U5977">
        <v>0.16021729999999901</v>
      </c>
      <c r="V5977">
        <v>-9.9390889999999996E-2</v>
      </c>
      <c r="W5977">
        <v>1.9073590000000001E-2</v>
      </c>
      <c r="X5977">
        <v>0.99486569999999996</v>
      </c>
      <c r="Y5977">
        <v>-4.1269479999999997E-2</v>
      </c>
      <c r="Z5977">
        <v>7.1676059999999998E-4</v>
      </c>
      <c r="AA5977">
        <v>0.99914780000000003</v>
      </c>
      <c r="AB5977">
        <v>26</v>
      </c>
      <c r="AC5977">
        <v>13.3203</v>
      </c>
      <c r="AD5977">
        <v>-1.1093473109300001</v>
      </c>
      <c r="AE5977">
        <v>0.71655999999999398</v>
      </c>
      <c r="AF5977">
        <v>-0.55394422204557903</v>
      </c>
      <c r="AG5977">
        <v>-1.1093473109300001</v>
      </c>
      <c r="AH5977">
        <v>13.236351202818399</v>
      </c>
      <c r="AI5977">
        <v>94.786630300587007</v>
      </c>
      <c r="AJ5977">
        <v>92.396442607450894</v>
      </c>
      <c r="AK5977">
        <v>13.294303246945899</v>
      </c>
      <c r="AL5977">
        <v>88.907097580498601</v>
      </c>
      <c r="AM5977">
        <v>95.705137291521098</v>
      </c>
      <c r="AN5977">
        <v>1.0000000559434801</v>
      </c>
    </row>
    <row r="5978" spans="1:40" x14ac:dyDescent="0.25">
      <c r="A5978" t="str">
        <f>"20190312151651576"</f>
        <v>20190312151651576</v>
      </c>
      <c r="B5978" t="str">
        <f>"1552375011573817"</f>
        <v>1552375011573817</v>
      </c>
      <c r="C5978" t="s">
        <v>40</v>
      </c>
      <c r="D5978">
        <v>4.8077670000000001</v>
      </c>
      <c r="E5978">
        <v>0.52226729999999999</v>
      </c>
      <c r="F5978" t="s">
        <v>76</v>
      </c>
      <c r="G5978">
        <v>-238.82060000000001</v>
      </c>
      <c r="H5978" s="1">
        <v>-3.2873010000000001E-6</v>
      </c>
      <c r="I5978">
        <v>-62.703780000000002</v>
      </c>
      <c r="J5978">
        <v>-252.0864</v>
      </c>
      <c r="K5978">
        <v>1.109337</v>
      </c>
      <c r="L5978">
        <v>-63.420169999999999</v>
      </c>
      <c r="M5978">
        <v>0.99988290000000002</v>
      </c>
      <c r="N5978">
        <v>0</v>
      </c>
      <c r="O5978">
        <v>1.1931570000000001E-2</v>
      </c>
      <c r="P5978">
        <v>0.99374949999999995</v>
      </c>
      <c r="Q5978">
        <v>9.5836240000000007E-3</v>
      </c>
      <c r="R5978">
        <v>0.1112215</v>
      </c>
      <c r="S5978">
        <v>3.00325</v>
      </c>
      <c r="T5978">
        <v>-0.24883440000000001</v>
      </c>
      <c r="U5978">
        <v>0.16101070000000001</v>
      </c>
      <c r="V5978">
        <v>-9.9356639999999996E-2</v>
      </c>
      <c r="W5978">
        <v>1.9120789999999999E-2</v>
      </c>
      <c r="X5978">
        <v>0.99486819999999998</v>
      </c>
      <c r="Y5978">
        <v>-4.1515400000000001E-2</v>
      </c>
      <c r="Z5978">
        <v>7.2956829999999999E-4</v>
      </c>
      <c r="AA5978">
        <v>0.99913759999999996</v>
      </c>
      <c r="AB5978">
        <v>26</v>
      </c>
      <c r="AC5978">
        <v>13.265799999999899</v>
      </c>
      <c r="AD5978">
        <v>-1.1093402873010001</v>
      </c>
      <c r="AE5978">
        <v>0.71638999999999697</v>
      </c>
      <c r="AF5978">
        <v>-0.55418576668779296</v>
      </c>
      <c r="AG5978">
        <v>-1.1093402873010001</v>
      </c>
      <c r="AH5978">
        <v>13.1814936859996</v>
      </c>
      <c r="AI5978">
        <v>94.8063888721057</v>
      </c>
      <c r="AJ5978">
        <v>92.407452266152404</v>
      </c>
      <c r="AK5978">
        <v>13.2396953715362</v>
      </c>
      <c r="AL5978">
        <v>88.904392710145501</v>
      </c>
      <c r="AM5978">
        <v>95.703170032551</v>
      </c>
      <c r="AN5978">
        <v>1.00000004094677</v>
      </c>
    </row>
    <row r="5979" spans="1:40" x14ac:dyDescent="0.25">
      <c r="A5979" t="str">
        <f>"20190312151651586"</f>
        <v>20190312151651586</v>
      </c>
      <c r="B5979" t="str">
        <f>"1552375011583577"</f>
        <v>1552375011583577</v>
      </c>
      <c r="C5979" t="s">
        <v>40</v>
      </c>
      <c r="D5979">
        <v>4.8087260000000001</v>
      </c>
      <c r="E5979">
        <v>0.52225429999999995</v>
      </c>
      <c r="F5979" t="s">
        <v>76</v>
      </c>
      <c r="G5979">
        <v>-238.8527</v>
      </c>
      <c r="H5979" s="1">
        <v>-3.299626E-6</v>
      </c>
      <c r="I5979">
        <v>-62.711570000000002</v>
      </c>
      <c r="J5979">
        <v>-251.95740000000001</v>
      </c>
      <c r="K5979">
        <v>1.1093329999999999</v>
      </c>
      <c r="L5979">
        <v>-63.418610000000001</v>
      </c>
      <c r="M5979">
        <v>0.99988270000000001</v>
      </c>
      <c r="N5979">
        <v>0</v>
      </c>
      <c r="O5979">
        <v>1.1947599999999999E-2</v>
      </c>
      <c r="P5979">
        <v>0.99377289999999996</v>
      </c>
      <c r="Q5979">
        <v>9.3787850000000006E-3</v>
      </c>
      <c r="R5979">
        <v>0.1110289</v>
      </c>
      <c r="S5979">
        <v>3.0032960000000002</v>
      </c>
      <c r="T5979">
        <v>-0.25175829999999999</v>
      </c>
      <c r="U5979">
        <v>0.1607971</v>
      </c>
      <c r="V5979">
        <v>-9.914734E-2</v>
      </c>
      <c r="W5979">
        <v>1.8916260000000001E-2</v>
      </c>
      <c r="X5979">
        <v>0.99489300000000003</v>
      </c>
      <c r="Y5979">
        <v>-4.1425690000000001E-2</v>
      </c>
      <c r="Z5979">
        <v>7.3301020000000004E-4</v>
      </c>
      <c r="AA5979">
        <v>0.99914130000000001</v>
      </c>
      <c r="AB5979">
        <v>26</v>
      </c>
      <c r="AC5979">
        <v>13.104699999999999</v>
      </c>
      <c r="AD5979">
        <v>-1.1093362996260001</v>
      </c>
      <c r="AE5979">
        <v>0.707040000000006</v>
      </c>
      <c r="AF5979">
        <v>-0.54650775933956597</v>
      </c>
      <c r="AG5979">
        <v>-1.1093362996260001</v>
      </c>
      <c r="AH5979">
        <v>13.0191886361399</v>
      </c>
      <c r="AI5979">
        <v>94.866018179128901</v>
      </c>
      <c r="AJ5979">
        <v>92.403699389265995</v>
      </c>
      <c r="AK5979">
        <v>13.0777892053695</v>
      </c>
      <c r="AL5979">
        <v>88.916113545954502</v>
      </c>
      <c r="AM5979">
        <v>95.691094020063602</v>
      </c>
      <c r="AN5979">
        <v>1.00000005068523</v>
      </c>
    </row>
    <row r="5980" spans="1:40" x14ac:dyDescent="0.25">
      <c r="A5980" t="str">
        <f>"20190312151651599"</f>
        <v>20190312151651599</v>
      </c>
      <c r="B5980" t="str">
        <f>"1552375011594313"</f>
        <v>1552375011594313</v>
      </c>
      <c r="C5980" t="s">
        <v>40</v>
      </c>
      <c r="D5980">
        <v>4.79887</v>
      </c>
      <c r="E5980">
        <v>0.52221139999999999</v>
      </c>
      <c r="F5980" t="s">
        <v>76</v>
      </c>
      <c r="G5980">
        <v>-238.83590000000001</v>
      </c>
      <c r="H5980" s="1">
        <v>-3.2951169999999998E-6</v>
      </c>
      <c r="I5980">
        <v>-62.718420000000002</v>
      </c>
      <c r="J5980">
        <v>-251.8201</v>
      </c>
      <c r="K5980">
        <v>1.1093299999999999</v>
      </c>
      <c r="L5980">
        <v>-63.416930000000001</v>
      </c>
      <c r="M5980">
        <v>0.99988250000000001</v>
      </c>
      <c r="N5980">
        <v>0</v>
      </c>
      <c r="O5980">
        <v>1.196404E-2</v>
      </c>
      <c r="P5980">
        <v>0.99373690000000003</v>
      </c>
      <c r="Q5980">
        <v>9.4353749999999993E-3</v>
      </c>
      <c r="R5980">
        <v>0.1113465</v>
      </c>
      <c r="S5980">
        <v>3.0032960000000002</v>
      </c>
      <c r="T5980">
        <v>-0.25390970000000002</v>
      </c>
      <c r="U5980">
        <v>0.1602478</v>
      </c>
      <c r="V5980">
        <v>-9.9449430000000005E-2</v>
      </c>
      <c r="W5980">
        <v>1.8973940000000002E-2</v>
      </c>
      <c r="X5980">
        <v>0.99486169999999996</v>
      </c>
      <c r="Y5980">
        <v>-4.122605E-2</v>
      </c>
      <c r="Z5980">
        <v>7.2945050000000004E-4</v>
      </c>
      <c r="AA5980">
        <v>0.99914959999999997</v>
      </c>
      <c r="AB5980">
        <v>26</v>
      </c>
      <c r="AC5980">
        <v>12.9841999999999</v>
      </c>
      <c r="AD5980">
        <v>-1.1093332951170001</v>
      </c>
      <c r="AE5980">
        <v>0.69851000000001295</v>
      </c>
      <c r="AF5980">
        <v>-0.53918495104353703</v>
      </c>
      <c r="AG5980">
        <v>-1.1093332951170001</v>
      </c>
      <c r="AH5980">
        <v>12.897752413426099</v>
      </c>
      <c r="AI5980">
        <v>94.911632148173794</v>
      </c>
      <c r="AJ5980">
        <v>92.393831381590005</v>
      </c>
      <c r="AK5980">
        <v>12.9565951580316</v>
      </c>
      <c r="AL5980">
        <v>88.912808078109407</v>
      </c>
      <c r="AM5980">
        <v>95.708498160368407</v>
      </c>
      <c r="AN5980">
        <v>1.0000000008266601</v>
      </c>
    </row>
    <row r="5981" spans="1:40" x14ac:dyDescent="0.25">
      <c r="A5981" t="str">
        <f>"20190312151651608"</f>
        <v>20190312151651608</v>
      </c>
      <c r="B5981" t="str">
        <f>"1552375011604074"</f>
        <v>1552375011604074</v>
      </c>
      <c r="C5981" t="s">
        <v>40</v>
      </c>
      <c r="D5981">
        <v>4.8229579999999999</v>
      </c>
      <c r="E5981">
        <v>0.52227570000000001</v>
      </c>
      <c r="F5981" t="s">
        <v>76</v>
      </c>
      <c r="G5981">
        <v>-238.76939999999999</v>
      </c>
      <c r="H5981" s="1">
        <v>-3.2719660000000001E-6</v>
      </c>
      <c r="I5981">
        <v>-62.715470000000003</v>
      </c>
      <c r="J5981">
        <v>-251.6902</v>
      </c>
      <c r="K5981">
        <v>1.1093360000000001</v>
      </c>
      <c r="L5981">
        <v>-63.415410000000001</v>
      </c>
      <c r="M5981">
        <v>0.9998823</v>
      </c>
      <c r="N5981">
        <v>0</v>
      </c>
      <c r="O5981">
        <v>1.197929E-2</v>
      </c>
      <c r="P5981">
        <v>0.99376439999999999</v>
      </c>
      <c r="Q5981">
        <v>9.3003640000000002E-3</v>
      </c>
      <c r="R5981">
        <v>0.111112</v>
      </c>
      <c r="S5981">
        <v>3.00325</v>
      </c>
      <c r="T5981">
        <v>-0.25528220000000001</v>
      </c>
      <c r="U5981">
        <v>0.16140750000000001</v>
      </c>
      <c r="V5981">
        <v>-9.9199209999999996E-2</v>
      </c>
      <c r="W5981">
        <v>1.8839499999999999E-2</v>
      </c>
      <c r="X5981">
        <v>0.99488929999999998</v>
      </c>
      <c r="Y5981">
        <v>-4.1593909999999998E-2</v>
      </c>
      <c r="Z5981">
        <v>7.476863E-4</v>
      </c>
      <c r="AA5981">
        <v>0.99913430000000003</v>
      </c>
      <c r="AB5981">
        <v>26</v>
      </c>
      <c r="AC5981">
        <v>12.9208</v>
      </c>
      <c r="AD5981">
        <v>-1.109339271966</v>
      </c>
      <c r="AE5981">
        <v>0.69993999999999701</v>
      </c>
      <c r="AF5981">
        <v>-0.54112348376132002</v>
      </c>
      <c r="AG5981">
        <v>-1.109339271966</v>
      </c>
      <c r="AH5981">
        <v>12.8339307358677</v>
      </c>
      <c r="AI5981">
        <v>94.9358893418121</v>
      </c>
      <c r="AJ5981">
        <v>92.414360760005707</v>
      </c>
      <c r="AK5981">
        <v>12.8931464886603</v>
      </c>
      <c r="AL5981">
        <v>88.920512368714398</v>
      </c>
      <c r="AM5981">
        <v>95.694072854411402</v>
      </c>
      <c r="AN5981">
        <v>1.0000000646396701</v>
      </c>
    </row>
    <row r="5982" spans="1:40" x14ac:dyDescent="0.25">
      <c r="A5982" t="str">
        <f>"20190312151651620"</f>
        <v>20190312151651620</v>
      </c>
      <c r="B5982" t="str">
        <f>"1552375011613834"</f>
        <v>1552375011613834</v>
      </c>
      <c r="C5982" t="s">
        <v>40</v>
      </c>
      <c r="D5982">
        <v>4.860544</v>
      </c>
      <c r="E5982">
        <v>0.52227000000000001</v>
      </c>
      <c r="F5982" t="s">
        <v>76</v>
      </c>
      <c r="G5982">
        <v>-238.6841</v>
      </c>
      <c r="H5982" s="1">
        <v>-3.2439579999999999E-6</v>
      </c>
      <c r="I5982">
        <v>-62.721240000000002</v>
      </c>
      <c r="J5982">
        <v>-251.56030000000001</v>
      </c>
      <c r="K5982">
        <v>1.109335</v>
      </c>
      <c r="L5982">
        <v>-63.413820000000001</v>
      </c>
      <c r="M5982">
        <v>0.99988220000000005</v>
      </c>
      <c r="N5982">
        <v>0</v>
      </c>
      <c r="O5982">
        <v>1.19937E-2</v>
      </c>
      <c r="P5982">
        <v>0.99378920000000004</v>
      </c>
      <c r="Q5982">
        <v>9.0897640000000002E-3</v>
      </c>
      <c r="R5982">
        <v>0.1109074</v>
      </c>
      <c r="S5982">
        <v>3.0033110000000001</v>
      </c>
      <c r="T5982">
        <v>-0.25616309999999998</v>
      </c>
      <c r="U5982">
        <v>0.16027829999999901</v>
      </c>
      <c r="V5982">
        <v>-9.8979960000000006E-2</v>
      </c>
      <c r="W5982">
        <v>1.863068E-2</v>
      </c>
      <c r="X5982">
        <v>0.99491499999999999</v>
      </c>
      <c r="Y5982">
        <v>-4.1204579999999998E-2</v>
      </c>
      <c r="Z5982">
        <v>7.3246110000000004E-4</v>
      </c>
      <c r="AA5982">
        <v>0.99915050000000005</v>
      </c>
      <c r="AB5982">
        <v>26</v>
      </c>
      <c r="AC5982">
        <v>12.876200000000001</v>
      </c>
      <c r="AD5982">
        <v>-1.109338243958</v>
      </c>
      <c r="AE5982">
        <v>0.69257999999999198</v>
      </c>
      <c r="AF5982">
        <v>-0.53413660294990895</v>
      </c>
      <c r="AG5982">
        <v>-1.109338243958</v>
      </c>
      <c r="AH5982">
        <v>12.7889282552818</v>
      </c>
      <c r="AI5982">
        <v>94.953249396389296</v>
      </c>
      <c r="AJ5982">
        <v>92.391599698312405</v>
      </c>
      <c r="AK5982">
        <v>12.848058965029001</v>
      </c>
      <c r="AL5982">
        <v>88.932478899672603</v>
      </c>
      <c r="AM5982">
        <v>95.681424445776102</v>
      </c>
      <c r="AN5982">
        <v>0.99999999597193201</v>
      </c>
    </row>
    <row r="5983" spans="1:40" x14ac:dyDescent="0.25">
      <c r="A5983" t="str">
        <f>"20190312151651631"</f>
        <v>20190312151651631</v>
      </c>
      <c r="B5983" t="str">
        <f>"1552375011623593"</f>
        <v>1552375011623593</v>
      </c>
      <c r="C5983" t="s">
        <v>40</v>
      </c>
      <c r="D5983">
        <v>4.7832400000000002</v>
      </c>
      <c r="E5983">
        <v>0.52223660000000005</v>
      </c>
      <c r="F5983" t="s">
        <v>76</v>
      </c>
      <c r="G5983">
        <v>-238.65629999999999</v>
      </c>
      <c r="H5983" s="1">
        <v>-3.2355600000000002E-6</v>
      </c>
      <c r="I5983">
        <v>-62.72719</v>
      </c>
      <c r="J5983">
        <v>-251.4306</v>
      </c>
      <c r="K5983">
        <v>1.109334</v>
      </c>
      <c r="L5983">
        <v>-63.412260000000003</v>
      </c>
      <c r="M5983">
        <v>0.99988189999999999</v>
      </c>
      <c r="N5983">
        <v>0</v>
      </c>
      <c r="O5983">
        <v>1.2008059999999999E-2</v>
      </c>
      <c r="P5983">
        <v>0.99378849999999996</v>
      </c>
      <c r="Q5983">
        <v>8.8192069999999904E-3</v>
      </c>
      <c r="R5983">
        <v>0.110934199999999</v>
      </c>
      <c r="S5983">
        <v>3.0032649999999999</v>
      </c>
      <c r="T5983">
        <v>-0.25818609999999997</v>
      </c>
      <c r="U5983">
        <v>0.15978999999999999</v>
      </c>
      <c r="V5983">
        <v>-9.8992300000000005E-2</v>
      </c>
      <c r="W5983">
        <v>1.836084E-2</v>
      </c>
      <c r="X5983">
        <v>0.99491879999999999</v>
      </c>
      <c r="Y5983">
        <v>-4.1028099999999998E-2</v>
      </c>
      <c r="Z5983">
        <v>7.2944149999999903E-4</v>
      </c>
      <c r="AA5983">
        <v>0.99915770000000004</v>
      </c>
      <c r="AB5983">
        <v>26</v>
      </c>
      <c r="AC5983">
        <v>12.7743</v>
      </c>
      <c r="AD5983">
        <v>-1.10933723556</v>
      </c>
      <c r="AE5983">
        <v>0.68506999999999596</v>
      </c>
      <c r="AF5983">
        <v>-0.52765115962111098</v>
      </c>
      <c r="AG5983">
        <v>-1.10933723556</v>
      </c>
      <c r="AH5983">
        <v>12.686208018912099</v>
      </c>
      <c r="AI5983">
        <v>94.993185167281993</v>
      </c>
      <c r="AJ5983">
        <v>92.381702182165</v>
      </c>
      <c r="AK5983">
        <v>12.745545054942101</v>
      </c>
      <c r="AL5983">
        <v>88.947942249968506</v>
      </c>
      <c r="AM5983">
        <v>95.682106563497101</v>
      </c>
      <c r="AN5983">
        <v>1.00000000724911</v>
      </c>
    </row>
    <row r="5984" spans="1:40" x14ac:dyDescent="0.25">
      <c r="A5984" t="str">
        <f>"20190312151651643"</f>
        <v>20190312151651643</v>
      </c>
      <c r="B5984" t="str">
        <f>"1552375011634330"</f>
        <v>1552375011634330</v>
      </c>
      <c r="C5984" t="s">
        <v>40</v>
      </c>
      <c r="D5984">
        <v>4.7979379999999896</v>
      </c>
      <c r="E5984">
        <v>0.52220509999999998</v>
      </c>
      <c r="F5984" t="s">
        <v>76</v>
      </c>
      <c r="G5984">
        <v>-238.5284</v>
      </c>
      <c r="H5984" s="1">
        <v>-3.1914009999999999E-6</v>
      </c>
      <c r="I5984">
        <v>-62.723739999999999</v>
      </c>
      <c r="J5984">
        <v>-251.30009999999999</v>
      </c>
      <c r="K5984">
        <v>1.1093329999999999</v>
      </c>
      <c r="L5984">
        <v>-63.410679999999999</v>
      </c>
      <c r="M5984">
        <v>0.99988169999999998</v>
      </c>
      <c r="N5984">
        <v>0</v>
      </c>
      <c r="O5984">
        <v>1.2020970000000001E-2</v>
      </c>
      <c r="P5984">
        <v>0.99377210000000005</v>
      </c>
      <c r="Q5984">
        <v>8.796267E-3</v>
      </c>
      <c r="R5984">
        <v>0.11108410000000001</v>
      </c>
      <c r="S5984">
        <v>3.003174</v>
      </c>
      <c r="T5984">
        <v>-0.25821349999999998</v>
      </c>
      <c r="U5984">
        <v>0.1602478</v>
      </c>
      <c r="V5984">
        <v>-9.9129449999999994E-2</v>
      </c>
      <c r="W5984">
        <v>1.833891E-2</v>
      </c>
      <c r="X5984">
        <v>0.9949055</v>
      </c>
      <c r="Y5984">
        <v>-4.1168179999999999E-2</v>
      </c>
      <c r="Z5984">
        <v>7.3443710000000004E-4</v>
      </c>
      <c r="AA5984">
        <v>0.99915189999999998</v>
      </c>
      <c r="AB5984">
        <v>26</v>
      </c>
      <c r="AC5984">
        <v>12.7716999999999</v>
      </c>
      <c r="AD5984">
        <v>-1.10933619140099</v>
      </c>
      <c r="AE5984">
        <v>0.68694000000000699</v>
      </c>
      <c r="AF5984">
        <v>-0.52937275114465399</v>
      </c>
      <c r="AG5984">
        <v>-1.10933619140099</v>
      </c>
      <c r="AH5984">
        <v>12.6836199622542</v>
      </c>
      <c r="AI5984">
        <v>94.994164377346394</v>
      </c>
      <c r="AJ5984">
        <v>92.389951076193299</v>
      </c>
      <c r="AK5984">
        <v>12.743040361001</v>
      </c>
      <c r="AL5984">
        <v>88.949198906982801</v>
      </c>
      <c r="AM5984">
        <v>95.690002845597107</v>
      </c>
      <c r="AN5984">
        <v>0.99999995870376901</v>
      </c>
    </row>
    <row r="5985" spans="1:40" x14ac:dyDescent="0.25">
      <c r="A5985" t="str">
        <f>"20190312151651654"</f>
        <v>20190312151651654</v>
      </c>
      <c r="B5985" t="str">
        <f>"1552375011644089"</f>
        <v>1552375011644089</v>
      </c>
      <c r="C5985" t="s">
        <v>40</v>
      </c>
      <c r="D5985">
        <v>4.8325969999999998</v>
      </c>
      <c r="E5985">
        <v>0.52223540000000002</v>
      </c>
      <c r="F5985" t="s">
        <v>76</v>
      </c>
      <c r="G5985">
        <v>-238.4769</v>
      </c>
      <c r="H5985" s="1">
        <v>-3.1738590000000002E-6</v>
      </c>
      <c r="I5985">
        <v>-62.723500000000001</v>
      </c>
      <c r="J5985">
        <v>-251.1643</v>
      </c>
      <c r="K5985">
        <v>1.1093329999999999</v>
      </c>
      <c r="L5985">
        <v>-63.409030000000001</v>
      </c>
      <c r="M5985">
        <v>0.99988160000000004</v>
      </c>
      <c r="N5985">
        <v>0</v>
      </c>
      <c r="O5985">
        <v>1.2034E-2</v>
      </c>
      <c r="P5985">
        <v>0.99375959999999997</v>
      </c>
      <c r="Q5985">
        <v>8.5999749999999993E-3</v>
      </c>
      <c r="R5985">
        <v>0.1112105</v>
      </c>
      <c r="S5985">
        <v>3.0031129999999999</v>
      </c>
      <c r="T5985">
        <v>-0.25980019999999998</v>
      </c>
      <c r="U5985">
        <v>0.16091920000000001</v>
      </c>
      <c r="V5985">
        <v>-9.924318E-2</v>
      </c>
      <c r="W5985">
        <v>1.8143909999999999E-2</v>
      </c>
      <c r="X5985">
        <v>0.99489780000000005</v>
      </c>
      <c r="Y5985">
        <v>-4.1376910000000003E-2</v>
      </c>
      <c r="Z5985">
        <v>7.4682559999999999E-4</v>
      </c>
      <c r="AA5985">
        <v>0.99914329999999996</v>
      </c>
      <c r="AB5985">
        <v>26</v>
      </c>
      <c r="AC5985">
        <v>12.687399999999901</v>
      </c>
      <c r="AD5985">
        <v>-1.109336173859</v>
      </c>
      <c r="AE5985">
        <v>0.68552999999999997</v>
      </c>
      <c r="AF5985">
        <v>-0.52876250703362504</v>
      </c>
      <c r="AG5985">
        <v>-1.109336173859</v>
      </c>
      <c r="AH5985">
        <v>12.5986938220853</v>
      </c>
      <c r="AI5985">
        <v>95.027608659434605</v>
      </c>
      <c r="AJ5985">
        <v>92.403272197078294</v>
      </c>
      <c r="AK5985">
        <v>12.6584873724362</v>
      </c>
      <c r="AL5985">
        <v>88.960373508911303</v>
      </c>
      <c r="AM5985">
        <v>95.696531803964902</v>
      </c>
      <c r="AN5985">
        <v>1.0000000213457201</v>
      </c>
    </row>
    <row r="5986" spans="1:40" x14ac:dyDescent="0.25">
      <c r="A5986" t="str">
        <f>"20190312151651665"</f>
        <v>20190312151651665</v>
      </c>
      <c r="B5986" t="str">
        <f>"1552375011653849"</f>
        <v>1552375011653849</v>
      </c>
      <c r="C5986" t="s">
        <v>40</v>
      </c>
      <c r="D5986">
        <v>4.7654370000000004</v>
      </c>
      <c r="E5986">
        <v>0.522235</v>
      </c>
      <c r="F5986" t="s">
        <v>76</v>
      </c>
      <c r="G5986">
        <v>-238.44069999999999</v>
      </c>
      <c r="H5986" s="1">
        <v>-3.162108E-6</v>
      </c>
      <c r="I5986">
        <v>-62.726779999999998</v>
      </c>
      <c r="J5986">
        <v>-251.02090000000001</v>
      </c>
      <c r="K5986">
        <v>1.1093309999999901</v>
      </c>
      <c r="L5986">
        <v>-63.407290000000003</v>
      </c>
      <c r="M5986">
        <v>0.99988149999999998</v>
      </c>
      <c r="N5986">
        <v>0</v>
      </c>
      <c r="O5986">
        <v>1.2046080000000001E-2</v>
      </c>
      <c r="P5986">
        <v>0.99372740000000004</v>
      </c>
      <c r="Q5986">
        <v>8.5560849999999997E-3</v>
      </c>
      <c r="R5986">
        <v>0.11150259999999999</v>
      </c>
      <c r="S5986">
        <v>3.003082</v>
      </c>
      <c r="T5986">
        <v>-0.2618299</v>
      </c>
      <c r="U5986">
        <v>0.16101070000000001</v>
      </c>
      <c r="V5986">
        <v>-9.9523619999999993E-2</v>
      </c>
      <c r="W5986">
        <v>1.8100999999999999E-2</v>
      </c>
      <c r="X5986">
        <v>0.99487049999999999</v>
      </c>
      <c r="Y5986">
        <v>-4.1394029999999998E-2</v>
      </c>
      <c r="Z5986">
        <v>7.5233949999999896E-4</v>
      </c>
      <c r="AA5986">
        <v>0.99914259999999999</v>
      </c>
      <c r="AB5986">
        <v>27</v>
      </c>
      <c r="AC5986">
        <v>12.5802</v>
      </c>
      <c r="AD5986">
        <v>-1.109334162108</v>
      </c>
      <c r="AE5986">
        <v>0.68050999999999795</v>
      </c>
      <c r="AF5986">
        <v>-0.52484235674340896</v>
      </c>
      <c r="AG5986">
        <v>-1.109334162108</v>
      </c>
      <c r="AH5986">
        <v>12.4906425991684</v>
      </c>
      <c r="AI5986">
        <v>95.070855013290497</v>
      </c>
      <c r="AJ5986">
        <v>92.406087010428294</v>
      </c>
      <c r="AK5986">
        <v>12.5507862033744</v>
      </c>
      <c r="AL5986">
        <v>88.962832405197105</v>
      </c>
      <c r="AM5986">
        <v>95.712678387283503</v>
      </c>
      <c r="AN5986">
        <v>0.99999995445457601</v>
      </c>
    </row>
    <row r="5987" spans="1:40" x14ac:dyDescent="0.25">
      <c r="A5987" t="str">
        <f>"20190312151651677"</f>
        <v>20190312151651677</v>
      </c>
      <c r="B5987" t="str">
        <f>"1552375011674346"</f>
        <v>1552375011674346</v>
      </c>
      <c r="C5987" t="s">
        <v>40</v>
      </c>
      <c r="D5987">
        <v>4.7806030000000002</v>
      </c>
      <c r="E5987">
        <v>0.52223960000000003</v>
      </c>
      <c r="F5987" t="s">
        <v>76</v>
      </c>
      <c r="G5987">
        <v>-238.35300000000001</v>
      </c>
      <c r="H5987" s="1">
        <v>-3.1318510000000002E-6</v>
      </c>
      <c r="I5987">
        <v>-62.724420000000002</v>
      </c>
      <c r="J5987">
        <v>-250.89250000000001</v>
      </c>
      <c r="K5987">
        <v>1.109329</v>
      </c>
      <c r="L5987">
        <v>-63.405729999999998</v>
      </c>
      <c r="M5987">
        <v>0.99988140000000003</v>
      </c>
      <c r="N5987">
        <v>0</v>
      </c>
      <c r="O5987">
        <v>1.205607E-2</v>
      </c>
      <c r="P5987">
        <v>0.99371399999999999</v>
      </c>
      <c r="Q5987">
        <v>8.7522859999999997E-3</v>
      </c>
      <c r="R5987">
        <v>0.1116062</v>
      </c>
      <c r="S5987">
        <v>3.0030359999999998</v>
      </c>
      <c r="T5987">
        <v>-0.26297710000000002</v>
      </c>
      <c r="U5987">
        <v>0.16186519999999999</v>
      </c>
      <c r="V5987">
        <v>-9.9617209999999998E-2</v>
      </c>
      <c r="W5987">
        <v>1.829886E-2</v>
      </c>
      <c r="X5987">
        <v>0.99485749999999995</v>
      </c>
      <c r="Y5987">
        <v>-4.166636E-2</v>
      </c>
      <c r="Z5987">
        <v>7.6664970000000002E-4</v>
      </c>
      <c r="AA5987">
        <v>0.99913129999999994</v>
      </c>
      <c r="AB5987">
        <v>27</v>
      </c>
      <c r="AC5987">
        <v>12.5395</v>
      </c>
      <c r="AD5987">
        <v>-1.1093321318510001</v>
      </c>
      <c r="AE5987">
        <v>0.68131000000000996</v>
      </c>
      <c r="AF5987">
        <v>-0.52597208954941199</v>
      </c>
      <c r="AG5987">
        <v>-1.1093321318510001</v>
      </c>
      <c r="AH5987">
        <v>12.4496535471943</v>
      </c>
      <c r="AI5987">
        <v>95.087404726151107</v>
      </c>
      <c r="AJ5987">
        <v>92.419189430175294</v>
      </c>
      <c r="AK5987">
        <v>12.510041481262601</v>
      </c>
      <c r="AL5987">
        <v>88.951493969666998</v>
      </c>
      <c r="AM5987">
        <v>95.718089115855093</v>
      </c>
      <c r="AN5987">
        <v>0.99999994105586498</v>
      </c>
    </row>
    <row r="5988" spans="1:40" x14ac:dyDescent="0.25">
      <c r="A5988" t="str">
        <f>"20190312151651688"</f>
        <v>20190312151651688</v>
      </c>
      <c r="B5988" t="str">
        <f>"1552375011684105"</f>
        <v>1552375011684105</v>
      </c>
      <c r="C5988" t="s">
        <v>40</v>
      </c>
      <c r="D5988">
        <v>4.7867350000000002</v>
      </c>
      <c r="E5988">
        <v>0.52221640000000003</v>
      </c>
      <c r="F5988" t="s">
        <v>76</v>
      </c>
      <c r="G5988">
        <v>-238.3032</v>
      </c>
      <c r="H5988" s="1">
        <v>-3.1151489999999999E-6</v>
      </c>
      <c r="I5988">
        <v>-62.725830000000002</v>
      </c>
      <c r="J5988">
        <v>-250.75790000000001</v>
      </c>
      <c r="K5988">
        <v>1.1093309999999901</v>
      </c>
      <c r="L5988">
        <v>-63.40408</v>
      </c>
      <c r="M5988">
        <v>0.99988109999999997</v>
      </c>
      <c r="N5988">
        <v>0</v>
      </c>
      <c r="O5988">
        <v>1.2065940000000001E-2</v>
      </c>
      <c r="P5988">
        <v>0.99370150000000002</v>
      </c>
      <c r="Q5988">
        <v>8.6171890000000008E-3</v>
      </c>
      <c r="R5988">
        <v>0.1117272</v>
      </c>
      <c r="S5988">
        <v>3.0031129999999999</v>
      </c>
      <c r="T5988">
        <v>-0.26462469999999999</v>
      </c>
      <c r="U5988">
        <v>0.16217039999999999</v>
      </c>
      <c r="V5988">
        <v>-9.9728440000000002E-2</v>
      </c>
      <c r="W5988">
        <v>1.816489E-2</v>
      </c>
      <c r="X5988">
        <v>0.99484879999999998</v>
      </c>
      <c r="Y5988">
        <v>-4.1754659999999999E-2</v>
      </c>
      <c r="Z5988">
        <v>7.7442549999999998E-4</v>
      </c>
      <c r="AA5988">
        <v>0.9991276</v>
      </c>
      <c r="AB5988">
        <v>27</v>
      </c>
      <c r="AC5988">
        <v>12.454700000000001</v>
      </c>
      <c r="AD5988">
        <v>-1.1093341151489999</v>
      </c>
      <c r="AE5988">
        <v>0.67825000000000502</v>
      </c>
      <c r="AF5988">
        <v>-0.52377302700332196</v>
      </c>
      <c r="AG5988">
        <v>-1.1093341151489999</v>
      </c>
      <c r="AH5988">
        <v>12.364177692668701</v>
      </c>
      <c r="AI5988">
        <v>95.122372964661494</v>
      </c>
      <c r="AJ5988">
        <v>92.425721502753007</v>
      </c>
      <c r="AK5988">
        <v>12.424888344718999</v>
      </c>
      <c r="AL5988">
        <v>88.959171150172494</v>
      </c>
      <c r="AM5988">
        <v>95.724481134307993</v>
      </c>
      <c r="AN5988">
        <v>0.99999992991748998</v>
      </c>
    </row>
    <row r="5989" spans="1:40" x14ac:dyDescent="0.25">
      <c r="A5989" t="str">
        <f>"20190312151651700"</f>
        <v>20190312151651700</v>
      </c>
      <c r="B5989" t="str">
        <f>"1552375011693865"</f>
        <v>1552375011693865</v>
      </c>
      <c r="C5989" t="s">
        <v>40</v>
      </c>
      <c r="D5989">
        <v>4.7524470000000001</v>
      </c>
      <c r="E5989">
        <v>0.52218980000000004</v>
      </c>
      <c r="F5989" t="s">
        <v>76</v>
      </c>
      <c r="G5989">
        <v>-238.24299999999999</v>
      </c>
      <c r="H5989" s="1">
        <v>-3.0946329999999998E-6</v>
      </c>
      <c r="I5989">
        <v>-62.725650000000002</v>
      </c>
      <c r="J5989">
        <v>-250.61689999999999</v>
      </c>
      <c r="K5989">
        <v>1.109329</v>
      </c>
      <c r="L5989">
        <v>-63.402369999999998</v>
      </c>
      <c r="M5989">
        <v>0.99988089999999996</v>
      </c>
      <c r="N5989">
        <v>0</v>
      </c>
      <c r="O5989">
        <v>1.207478E-2</v>
      </c>
      <c r="P5989">
        <v>0.99369370000000001</v>
      </c>
      <c r="Q5989">
        <v>8.6361279999999999E-3</v>
      </c>
      <c r="R5989">
        <v>0.1117953</v>
      </c>
      <c r="S5989">
        <v>3.0030359999999998</v>
      </c>
      <c r="T5989">
        <v>-0.26619290000000001</v>
      </c>
      <c r="U5989">
        <v>0.1627808</v>
      </c>
      <c r="V5989">
        <v>-9.9787699999999993E-2</v>
      </c>
      <c r="W5989">
        <v>1.818968E-2</v>
      </c>
      <c r="X5989">
        <v>0.99484249999999996</v>
      </c>
      <c r="Y5989">
        <v>-4.1947570000000003E-2</v>
      </c>
      <c r="Z5989">
        <v>7.8675800000000003E-4</v>
      </c>
      <c r="AA5989">
        <v>0.99911950000000005</v>
      </c>
      <c r="AB5989">
        <v>27</v>
      </c>
      <c r="AC5989">
        <v>12.3738999999999</v>
      </c>
      <c r="AD5989">
        <v>-1.1093320946330001</v>
      </c>
      <c r="AE5989">
        <v>0.67671999999999599</v>
      </c>
      <c r="AF5989">
        <v>-0.52306018504668295</v>
      </c>
      <c r="AG5989">
        <v>-1.1093320946330001</v>
      </c>
      <c r="AH5989">
        <v>12.282743785405801</v>
      </c>
      <c r="AI5989">
        <v>95.156093762171295</v>
      </c>
      <c r="AJ5989">
        <v>92.4384653061107</v>
      </c>
      <c r="AK5989">
        <v>12.3438245512194</v>
      </c>
      <c r="AL5989">
        <v>88.957750651751596</v>
      </c>
      <c r="AM5989">
        <v>95.727896118919105</v>
      </c>
      <c r="AN5989">
        <v>1.0000000246680201</v>
      </c>
    </row>
    <row r="5990" spans="1:40" x14ac:dyDescent="0.25">
      <c r="A5990" t="str">
        <f>"20190312151651710"</f>
        <v>20190312151651710</v>
      </c>
      <c r="B5990" t="str">
        <f>"1552375011703625"</f>
        <v>1552375011703625</v>
      </c>
      <c r="C5990" t="s">
        <v>40</v>
      </c>
      <c r="D5990">
        <v>5.0354190000000001</v>
      </c>
      <c r="E5990">
        <v>0.52233309999999999</v>
      </c>
      <c r="F5990" t="s">
        <v>76</v>
      </c>
      <c r="G5990">
        <v>-238.14179999999999</v>
      </c>
      <c r="H5990" s="1">
        <v>-3.0599129999999999E-6</v>
      </c>
      <c r="I5990">
        <v>-62.724049999999998</v>
      </c>
      <c r="J5990">
        <v>-250.49010000000001</v>
      </c>
      <c r="K5990">
        <v>1.1093299999999999</v>
      </c>
      <c r="L5990">
        <v>-63.400820000000003</v>
      </c>
      <c r="M5990">
        <v>0.99988089999999996</v>
      </c>
      <c r="N5990">
        <v>0</v>
      </c>
      <c r="O5990">
        <v>1.208213E-2</v>
      </c>
      <c r="P5990">
        <v>0.99367839999999996</v>
      </c>
      <c r="Q5990">
        <v>8.4294250000000008E-3</v>
      </c>
      <c r="R5990">
        <v>0.1119478</v>
      </c>
      <c r="S5990">
        <v>3.0029599999999999</v>
      </c>
      <c r="T5990">
        <v>-0.26703549999999998</v>
      </c>
      <c r="U5990">
        <v>0.163269</v>
      </c>
      <c r="V5990">
        <v>-9.9933690000000006E-2</v>
      </c>
      <c r="W5990">
        <v>1.798897E-2</v>
      </c>
      <c r="X5990">
        <v>0.99483140000000003</v>
      </c>
      <c r="Y5990">
        <v>-4.2102269999999997E-2</v>
      </c>
      <c r="Z5990">
        <v>7.9546390000000003E-4</v>
      </c>
      <c r="AA5990">
        <v>0.99911300000000003</v>
      </c>
      <c r="AB5990">
        <v>27</v>
      </c>
      <c r="AC5990">
        <v>12.3483</v>
      </c>
      <c r="AD5990">
        <v>-1.109333059913</v>
      </c>
      <c r="AE5990">
        <v>0.67676999999999699</v>
      </c>
      <c r="AF5990">
        <v>-0.52330914526827699</v>
      </c>
      <c r="AG5990">
        <v>-1.109333059913</v>
      </c>
      <c r="AH5990">
        <v>12.256950248553499</v>
      </c>
      <c r="AI5990">
        <v>95.166866008671704</v>
      </c>
      <c r="AJ5990">
        <v>92.444752262456902</v>
      </c>
      <c r="AK5990">
        <v>12.3181695756656</v>
      </c>
      <c r="AL5990">
        <v>88.969252271705201</v>
      </c>
      <c r="AM5990">
        <v>95.736283797728106</v>
      </c>
      <c r="AN5990">
        <v>0.99999992993231601</v>
      </c>
    </row>
    <row r="5991" spans="1:40" x14ac:dyDescent="0.25">
      <c r="A5991" t="str">
        <f>"20190312151651722"</f>
        <v>20190312151651722</v>
      </c>
      <c r="B5991" t="str">
        <f>"1552375011714361"</f>
        <v>1552375011714361</v>
      </c>
      <c r="C5991" t="s">
        <v>40</v>
      </c>
      <c r="D5991">
        <v>4.795102</v>
      </c>
      <c r="E5991">
        <v>0.52216179999999901</v>
      </c>
      <c r="F5991" t="s">
        <v>76</v>
      </c>
      <c r="G5991">
        <v>-238.0804</v>
      </c>
      <c r="H5991" s="1">
        <v>-3.0397849999999999E-6</v>
      </c>
      <c r="I5991">
        <v>-62.728450000000002</v>
      </c>
      <c r="J5991">
        <v>-250.3595</v>
      </c>
      <c r="K5991">
        <v>1.1093299999999999</v>
      </c>
      <c r="L5991">
        <v>-63.399230000000003</v>
      </c>
      <c r="M5991">
        <v>0.99988080000000001</v>
      </c>
      <c r="N5991">
        <v>0</v>
      </c>
      <c r="O5991">
        <v>1.208826E-2</v>
      </c>
      <c r="P5991">
        <v>0.99368210000000001</v>
      </c>
      <c r="Q5991">
        <v>8.1865010000000005E-3</v>
      </c>
      <c r="R5991">
        <v>0.1119329</v>
      </c>
      <c r="S5991">
        <v>3.0030209999999999</v>
      </c>
      <c r="T5991">
        <v>-0.26844600000000002</v>
      </c>
      <c r="U5991">
        <v>0.16268920000000001</v>
      </c>
      <c r="V5991">
        <v>-9.9912290000000001E-2</v>
      </c>
      <c r="W5991">
        <v>1.7756310000000001E-2</v>
      </c>
      <c r="X5991">
        <v>0.99483779999999999</v>
      </c>
      <c r="Y5991">
        <v>-4.1902259999999997E-2</v>
      </c>
      <c r="Z5991">
        <v>7.9017449999999999E-4</v>
      </c>
      <c r="AA5991">
        <v>0.99912140000000005</v>
      </c>
      <c r="AB5991">
        <v>27</v>
      </c>
      <c r="AC5991">
        <v>12.2791</v>
      </c>
      <c r="AD5991">
        <v>-1.1093330397850001</v>
      </c>
      <c r="AE5991">
        <v>0.67078000000000004</v>
      </c>
      <c r="AF5991">
        <v>-0.51807529012172504</v>
      </c>
      <c r="AG5991">
        <v>-1.1093330397850001</v>
      </c>
      <c r="AH5991">
        <v>12.1871375327436</v>
      </c>
      <c r="AI5991">
        <v>95.196342812681706</v>
      </c>
      <c r="AJ5991">
        <v>92.434178370649803</v>
      </c>
      <c r="AK5991">
        <v>12.248483295551299</v>
      </c>
      <c r="AL5991">
        <v>88.982584909894101</v>
      </c>
      <c r="AM5991">
        <v>95.735026958858498</v>
      </c>
      <c r="AN5991">
        <v>1.00000000027335</v>
      </c>
    </row>
    <row r="5992" spans="1:40" x14ac:dyDescent="0.25">
      <c r="A5992" t="str">
        <f>"20190312151651731"</f>
        <v>20190312151651731</v>
      </c>
      <c r="B5992" t="str">
        <f>"1552375011724121"</f>
        <v>1552375011724121</v>
      </c>
      <c r="C5992" t="s">
        <v>40</v>
      </c>
      <c r="D5992">
        <v>4.8098000000000001</v>
      </c>
      <c r="E5992">
        <v>0.52194359999999995</v>
      </c>
      <c r="F5992" t="s">
        <v>76</v>
      </c>
      <c r="G5992">
        <v>-237.95310000000001</v>
      </c>
      <c r="H5992" s="1">
        <v>-2.9952550000000002E-6</v>
      </c>
      <c r="I5992">
        <v>-62.721580000000003</v>
      </c>
      <c r="J5992">
        <v>-250.2381</v>
      </c>
      <c r="K5992">
        <v>1.1093299999999999</v>
      </c>
      <c r="L5992">
        <v>-63.397770000000001</v>
      </c>
      <c r="M5992">
        <v>0.99988060000000001</v>
      </c>
      <c r="N5992">
        <v>0</v>
      </c>
      <c r="O5992">
        <v>1.209386E-2</v>
      </c>
      <c r="P5992">
        <v>0.99366900000000002</v>
      </c>
      <c r="Q5992">
        <v>7.8716659999999994E-3</v>
      </c>
      <c r="R5992">
        <v>0.1120712</v>
      </c>
      <c r="S5992">
        <v>3.0028079999999999</v>
      </c>
      <c r="T5992">
        <v>-0.26850010000000002</v>
      </c>
      <c r="U5992">
        <v>0.16400149999999999</v>
      </c>
      <c r="V5992">
        <v>-0.1000447</v>
      </c>
      <c r="W5992">
        <v>1.745118E-2</v>
      </c>
      <c r="X5992">
        <v>0.99482990000000004</v>
      </c>
      <c r="Y5992">
        <v>-4.2334080000000003E-2</v>
      </c>
      <c r="Z5992">
        <v>8.0913410000000002E-4</v>
      </c>
      <c r="AA5992">
        <v>0.99910319999999997</v>
      </c>
      <c r="AB5992">
        <v>27</v>
      </c>
      <c r="AC5992">
        <v>12.284999999999901</v>
      </c>
      <c r="AD5992">
        <v>-1.109332995255</v>
      </c>
      <c r="AE5992">
        <v>0.67618999999999096</v>
      </c>
      <c r="AF5992">
        <v>-0.52330641960948099</v>
      </c>
      <c r="AG5992">
        <v>-1.109332995255</v>
      </c>
      <c r="AH5992">
        <v>12.193156259408701</v>
      </c>
      <c r="AI5992">
        <v>95.1937017809841</v>
      </c>
      <c r="AJ5992">
        <v>92.457514659578706</v>
      </c>
      <c r="AK5992">
        <v>12.254694156506799</v>
      </c>
      <c r="AL5992">
        <v>89.000070288191395</v>
      </c>
      <c r="AM5992">
        <v>95.742621907532595</v>
      </c>
      <c r="AN5992">
        <v>1.00000000780774</v>
      </c>
    </row>
    <row r="5993" spans="1:40" x14ac:dyDescent="0.25">
      <c r="A5993" t="str">
        <f>"20190312151651743"</f>
        <v>20190312151651743</v>
      </c>
      <c r="B5993" t="str">
        <f>"1552375011733881"</f>
        <v>1552375011733881</v>
      </c>
      <c r="C5993" t="s">
        <v>40</v>
      </c>
      <c r="D5993">
        <v>4.7207879999999998</v>
      </c>
      <c r="E5993">
        <v>0.52194359999999995</v>
      </c>
      <c r="F5993" t="s">
        <v>76</v>
      </c>
      <c r="G5993">
        <v>-237.8288</v>
      </c>
      <c r="H5993" s="1">
        <v>-2.9511640000000001E-6</v>
      </c>
      <c r="I5993">
        <v>-62.711440000000003</v>
      </c>
      <c r="J5993">
        <v>-250.10210000000001</v>
      </c>
      <c r="K5993">
        <v>1.109329</v>
      </c>
      <c r="L5993">
        <v>-63.396120000000003</v>
      </c>
      <c r="M5993">
        <v>0.9998804</v>
      </c>
      <c r="N5993">
        <v>0</v>
      </c>
      <c r="O5993">
        <v>1.209904E-2</v>
      </c>
      <c r="P5993">
        <v>0.99364810000000003</v>
      </c>
      <c r="Q5993">
        <v>7.687948E-3</v>
      </c>
      <c r="R5993">
        <v>0.11226899999999999</v>
      </c>
      <c r="S5993">
        <v>3.0025179999999998</v>
      </c>
      <c r="T5993">
        <v>-0.26841090000000001</v>
      </c>
      <c r="U5993">
        <v>0.1660461</v>
      </c>
      <c r="V5993">
        <v>-0.1002376</v>
      </c>
      <c r="W5993">
        <v>1.728002E-2</v>
      </c>
      <c r="X5993">
        <v>0.99481339999999996</v>
      </c>
      <c r="Y5993">
        <v>-4.300988E-2</v>
      </c>
      <c r="Z5993">
        <v>8.3859309999999895E-4</v>
      </c>
      <c r="AA5993">
        <v>0.99907429999999997</v>
      </c>
      <c r="AB5993">
        <v>27</v>
      </c>
      <c r="AC5993">
        <v>12.273300000000001</v>
      </c>
      <c r="AD5993">
        <v>-1.1093319511640001</v>
      </c>
      <c r="AE5993">
        <v>0.68467999999999296</v>
      </c>
      <c r="AF5993">
        <v>-0.53179675770086199</v>
      </c>
      <c r="AG5993">
        <v>-1.1093319511640001</v>
      </c>
      <c r="AH5993">
        <v>12.181476970680899</v>
      </c>
      <c r="AI5993">
        <v>95.198484346937505</v>
      </c>
      <c r="AJ5993">
        <v>92.499727654669698</v>
      </c>
      <c r="AK5993">
        <v>12.243439318941601</v>
      </c>
      <c r="AL5993">
        <v>89.009878443819304</v>
      </c>
      <c r="AM5993">
        <v>95.753715047952497</v>
      </c>
      <c r="AN5993">
        <v>0.99999993818225796</v>
      </c>
    </row>
    <row r="5994" spans="1:40" x14ac:dyDescent="0.25">
      <c r="A5994" t="str">
        <f>"20190312151651755"</f>
        <v>20190312151651755</v>
      </c>
      <c r="B5994" t="str">
        <f>"1552375011743641"</f>
        <v>1552375011743641</v>
      </c>
      <c r="C5994" t="s">
        <v>40</v>
      </c>
      <c r="D5994">
        <v>4.6917</v>
      </c>
      <c r="E5994">
        <v>0.51753649999999995</v>
      </c>
      <c r="F5994" t="s">
        <v>76</v>
      </c>
      <c r="G5994">
        <v>-237.7209</v>
      </c>
      <c r="H5994" s="1">
        <v>-2.9139059999999999E-6</v>
      </c>
      <c r="I5994">
        <v>-62.70843</v>
      </c>
      <c r="J5994">
        <v>-249.9633</v>
      </c>
      <c r="K5994">
        <v>1.1093309999999901</v>
      </c>
      <c r="L5994">
        <v>-63.394440000000003</v>
      </c>
      <c r="M5994">
        <v>0.9998802</v>
      </c>
      <c r="N5994">
        <v>0</v>
      </c>
      <c r="O5994">
        <v>1.21038E-2</v>
      </c>
      <c r="P5994">
        <v>0.99363760000000001</v>
      </c>
      <c r="Q5994">
        <v>7.6192609999999996E-3</v>
      </c>
      <c r="R5994">
        <v>0.11236699999999999</v>
      </c>
      <c r="S5994">
        <v>3.0024109999999999</v>
      </c>
      <c r="T5994">
        <v>-0.2690111</v>
      </c>
      <c r="U5994">
        <v>0.16674800000000001</v>
      </c>
      <c r="V5994">
        <v>-0.10033110000000001</v>
      </c>
      <c r="W5994">
        <v>1.7222810000000002E-2</v>
      </c>
      <c r="X5994">
        <v>0.99480500000000005</v>
      </c>
      <c r="Y5994">
        <v>-4.3238480000000003E-2</v>
      </c>
      <c r="Z5994">
        <v>8.5027319999999998E-4</v>
      </c>
      <c r="AA5994">
        <v>0.99906439999999996</v>
      </c>
      <c r="AB5994">
        <v>27</v>
      </c>
      <c r="AC5994">
        <v>12.2424</v>
      </c>
      <c r="AD5994">
        <v>-1.1093339139059999</v>
      </c>
      <c r="AE5994">
        <v>0.68600999999999601</v>
      </c>
      <c r="AF5994">
        <v>-0.53340723338110896</v>
      </c>
      <c r="AG5994">
        <v>-1.1093339139059999</v>
      </c>
      <c r="AH5994">
        <v>12.150353615521899</v>
      </c>
      <c r="AI5994">
        <v>95.211680950908502</v>
      </c>
      <c r="AJ5994">
        <v>92.513702338165203</v>
      </c>
      <c r="AK5994">
        <v>12.212544288206001</v>
      </c>
      <c r="AL5994">
        <v>89.013156856248102</v>
      </c>
      <c r="AM5994">
        <v>95.759094262136401</v>
      </c>
      <c r="AN5994">
        <v>0.99999997141825203</v>
      </c>
    </row>
    <row r="5995" spans="1:40" x14ac:dyDescent="0.25">
      <c r="A5995" t="str">
        <f>"20190312151651766"</f>
        <v>20190312151651766</v>
      </c>
      <c r="B5995" t="str">
        <f>"1552375011753401"</f>
        <v>1552375011753401</v>
      </c>
      <c r="C5995" t="s">
        <v>40</v>
      </c>
      <c r="D5995">
        <v>4.6624059999999998</v>
      </c>
      <c r="E5995">
        <v>0.51810459999999903</v>
      </c>
      <c r="F5995" t="s">
        <v>77</v>
      </c>
      <c r="G5995">
        <v>-226.51480000000001</v>
      </c>
      <c r="H5995" s="1">
        <v>-2.2339980000000001E-6</v>
      </c>
      <c r="I5995">
        <v>-61.827739999999999</v>
      </c>
      <c r="J5995">
        <v>-249.83430000000001</v>
      </c>
      <c r="K5995">
        <v>1.1093249999999999</v>
      </c>
      <c r="L5995">
        <v>-63.392850000000003</v>
      </c>
      <c r="M5995">
        <v>0.99988010000000005</v>
      </c>
      <c r="N5995">
        <v>0</v>
      </c>
      <c r="O5995">
        <v>1.2107430000000001E-2</v>
      </c>
      <c r="P5995">
        <v>0.99365099999999995</v>
      </c>
      <c r="Q5995">
        <v>7.4495219999999897E-3</v>
      </c>
      <c r="R5995">
        <v>0.1122585</v>
      </c>
      <c r="S5995">
        <v>2.997665</v>
      </c>
      <c r="T5995">
        <v>-0.14181750000000001</v>
      </c>
      <c r="U5995">
        <v>0.20028689999999999</v>
      </c>
      <c r="V5995">
        <v>-0.1002185</v>
      </c>
      <c r="W5995">
        <v>1.7064050000000001E-2</v>
      </c>
      <c r="X5995">
        <v>0.99481909999999896</v>
      </c>
      <c r="Y5995">
        <v>-5.4532480000000001E-2</v>
      </c>
      <c r="Z5995">
        <v>7.1599670000000002E-4</v>
      </c>
      <c r="AA5995">
        <v>0.9985117</v>
      </c>
      <c r="AB5995">
        <v>27</v>
      </c>
      <c r="AC5995">
        <v>23.319500000000001</v>
      </c>
      <c r="AD5995">
        <v>-1.10932723399799</v>
      </c>
      <c r="AE5995">
        <v>1.56510999999999</v>
      </c>
      <c r="AF5995">
        <v>-1.27975981428692</v>
      </c>
      <c r="AG5995">
        <v>-1.10932723399799</v>
      </c>
      <c r="AH5995">
        <v>23.284285316460501</v>
      </c>
      <c r="AI5995">
        <v>92.723561149549099</v>
      </c>
      <c r="AJ5995">
        <v>93.145947316685294</v>
      </c>
      <c r="AK5995">
        <v>23.345799082333599</v>
      </c>
      <c r="AL5995">
        <v>89.022254485354594</v>
      </c>
      <c r="AM5995">
        <v>95.752593307449104</v>
      </c>
      <c r="AN5995">
        <v>0.99999998563473103</v>
      </c>
    </row>
    <row r="5996" spans="1:40" x14ac:dyDescent="0.25">
      <c r="A5996" t="str">
        <f>"20190312151651777"</f>
        <v>20190312151651777</v>
      </c>
      <c r="B5996" t="str">
        <f>"1552375011773897"</f>
        <v>1552375011773897</v>
      </c>
      <c r="C5996" t="s">
        <v>40</v>
      </c>
      <c r="D5996">
        <v>4.6821109999999999</v>
      </c>
      <c r="E5996">
        <v>0.51738019999999996</v>
      </c>
      <c r="F5996" t="s">
        <v>77</v>
      </c>
      <c r="G5996">
        <v>-226.4007</v>
      </c>
      <c r="H5996" s="1">
        <v>-2.1934340000000001E-6</v>
      </c>
      <c r="I5996">
        <v>-61.865580000000001</v>
      </c>
      <c r="J5996">
        <v>-249.70099999999999</v>
      </c>
      <c r="K5996">
        <v>1.109324</v>
      </c>
      <c r="L5996">
        <v>-63.391199999999998</v>
      </c>
      <c r="M5996">
        <v>0.99987999999999999</v>
      </c>
      <c r="N5996">
        <v>0</v>
      </c>
      <c r="O5996">
        <v>1.21107E-2</v>
      </c>
      <c r="P5996">
        <v>0.99362320000000004</v>
      </c>
      <c r="Q5996">
        <v>7.4919940000000001E-3</v>
      </c>
      <c r="R5996">
        <v>0.1125038</v>
      </c>
      <c r="S5996">
        <v>2.9981689999999999</v>
      </c>
      <c r="T5996">
        <v>-0.1419308</v>
      </c>
      <c r="U5996">
        <v>0.1954041</v>
      </c>
      <c r="V5996">
        <v>-0.1004613</v>
      </c>
      <c r="W5996">
        <v>1.7116969999999999E-2</v>
      </c>
      <c r="X5996">
        <v>0.9947937</v>
      </c>
      <c r="Y5996">
        <v>-5.2900599999999999E-2</v>
      </c>
      <c r="Z5996">
        <v>6.7776710000000005E-4</v>
      </c>
      <c r="AA5996">
        <v>0.99859949999999997</v>
      </c>
      <c r="AB5996">
        <v>27</v>
      </c>
      <c r="AC5996">
        <v>23.3003</v>
      </c>
      <c r="AD5996">
        <v>-1.109326193434</v>
      </c>
      <c r="AE5996">
        <v>1.52561999999999</v>
      </c>
      <c r="AF5996">
        <v>-1.24051211973718</v>
      </c>
      <c r="AG5996">
        <v>-1.109326193434</v>
      </c>
      <c r="AH5996">
        <v>23.2645594087398</v>
      </c>
      <c r="AI5996">
        <v>92.726105447353504</v>
      </c>
      <c r="AJ5996">
        <v>93.052233243089205</v>
      </c>
      <c r="AK5996">
        <v>23.324004789174602</v>
      </c>
      <c r="AL5996">
        <v>89.019221948643093</v>
      </c>
      <c r="AM5996">
        <v>95.766582584961299</v>
      </c>
      <c r="AN5996">
        <v>0.99999998450967997</v>
      </c>
    </row>
    <row r="5997" spans="1:40" x14ac:dyDescent="0.25">
      <c r="A5997" t="str">
        <f>"20190312151651788"</f>
        <v>20190312151651788</v>
      </c>
      <c r="B5997" t="str">
        <f>"1552375011783657"</f>
        <v>1552375011783657</v>
      </c>
      <c r="C5997" t="s">
        <v>40</v>
      </c>
      <c r="D5997">
        <v>4.7741160000000002</v>
      </c>
      <c r="E5997">
        <v>0.51656530000000001</v>
      </c>
      <c r="F5997" t="s">
        <v>77</v>
      </c>
      <c r="G5997">
        <v>-228.3783</v>
      </c>
      <c r="H5997" s="1">
        <v>-3.0613959999999999E-6</v>
      </c>
      <c r="I5997">
        <v>-61.953679999999999</v>
      </c>
      <c r="J5997">
        <v>-249.56120000000001</v>
      </c>
      <c r="K5997">
        <v>1.1093219999999999</v>
      </c>
      <c r="L5997">
        <v>-63.389530000000001</v>
      </c>
      <c r="M5997">
        <v>0.99987979999999999</v>
      </c>
      <c r="N5997">
        <v>0</v>
      </c>
      <c r="O5997">
        <v>1.2113860000000001E-2</v>
      </c>
      <c r="P5997">
        <v>0.99362930000000005</v>
      </c>
      <c r="Q5997">
        <v>7.3909550000000003E-3</v>
      </c>
      <c r="R5997">
        <v>0.1124545</v>
      </c>
      <c r="S5997">
        <v>2.9975429999999998</v>
      </c>
      <c r="T5997">
        <v>-0.15594859999999999</v>
      </c>
      <c r="U5997">
        <v>0.2020874</v>
      </c>
      <c r="V5997">
        <v>-0.10040880000000001</v>
      </c>
      <c r="W5997">
        <v>1.7026860000000001E-2</v>
      </c>
      <c r="X5997">
        <v>0.99480060000000003</v>
      </c>
      <c r="Y5997">
        <v>-5.5115169999999998E-2</v>
      </c>
      <c r="Z5997">
        <v>8.0206250000000004E-4</v>
      </c>
      <c r="AA5997">
        <v>0.99847969999999997</v>
      </c>
      <c r="AB5997">
        <v>27</v>
      </c>
      <c r="AC5997">
        <v>21.1829</v>
      </c>
      <c r="AD5997">
        <v>-1.109325061396</v>
      </c>
      <c r="AE5997">
        <v>1.4358500000000001</v>
      </c>
      <c r="AF5997">
        <v>-1.17591573310839</v>
      </c>
      <c r="AG5997">
        <v>-1.109325061396</v>
      </c>
      <c r="AH5997">
        <v>21.141025934271202</v>
      </c>
      <c r="AI5997">
        <v>92.999077728281407</v>
      </c>
      <c r="AJ5997">
        <v>93.183651284894196</v>
      </c>
      <c r="AK5997">
        <v>21.2027441020435</v>
      </c>
      <c r="AL5997">
        <v>89.024385675573598</v>
      </c>
      <c r="AM5997">
        <v>95.763549616876205</v>
      </c>
      <c r="AN5997">
        <v>1.0000000374196201</v>
      </c>
    </row>
    <row r="5998" spans="1:40" x14ac:dyDescent="0.25">
      <c r="A5998" t="str">
        <f>"20190312151651799"</f>
        <v>20190312151651799</v>
      </c>
      <c r="B5998" t="str">
        <f>"1552375011793417"</f>
        <v>1552375011793417</v>
      </c>
      <c r="C5998" t="s">
        <v>40</v>
      </c>
      <c r="D5998">
        <v>4.7771860000000004</v>
      </c>
      <c r="E5998">
        <v>0.5161886</v>
      </c>
      <c r="F5998" t="s">
        <v>77</v>
      </c>
      <c r="G5998">
        <v>-229.3981</v>
      </c>
      <c r="H5998" s="1">
        <v>-3.4212529999999999E-6</v>
      </c>
      <c r="I5998">
        <v>-61.986960000000003</v>
      </c>
      <c r="J5998">
        <v>-249.43109999999999</v>
      </c>
      <c r="K5998">
        <v>1.109326</v>
      </c>
      <c r="L5998">
        <v>-63.38794</v>
      </c>
      <c r="M5998">
        <v>0.99987969999999904</v>
      </c>
      <c r="N5998">
        <v>0</v>
      </c>
      <c r="O5998">
        <v>1.211577E-2</v>
      </c>
      <c r="P5998">
        <v>0.99361409999999994</v>
      </c>
      <c r="Q5998">
        <v>7.3414400000000003E-3</v>
      </c>
      <c r="R5998">
        <v>0.11259280000000001</v>
      </c>
      <c r="S5998">
        <v>2.9968720000000002</v>
      </c>
      <c r="T5998">
        <v>-0.16488079999999999</v>
      </c>
      <c r="U5998">
        <v>0.2084656</v>
      </c>
      <c r="V5998">
        <v>-0.100545</v>
      </c>
      <c r="W5998">
        <v>1.6987760000000001E-2</v>
      </c>
      <c r="X5998">
        <v>0.99478750000000005</v>
      </c>
      <c r="Y5998">
        <v>-5.7233260000000001E-2</v>
      </c>
      <c r="Z5998">
        <v>9.0611070000000003E-4</v>
      </c>
      <c r="AA5998">
        <v>0.99836040000000004</v>
      </c>
      <c r="AB5998">
        <v>27</v>
      </c>
      <c r="AC5998">
        <v>20.032999999999902</v>
      </c>
      <c r="AD5998">
        <v>-1.109329421253</v>
      </c>
      <c r="AE5998">
        <v>1.4009799999999999</v>
      </c>
      <c r="AF5998">
        <v>-1.1546272368883801</v>
      </c>
      <c r="AG5998">
        <v>-1.109329421253</v>
      </c>
      <c r="AH5998">
        <v>19.987512758409899</v>
      </c>
      <c r="AI5998">
        <v>93.171444551727802</v>
      </c>
      <c r="AJ5998">
        <v>93.306155547784996</v>
      </c>
      <c r="AK5998">
        <v>20.051544630991</v>
      </c>
      <c r="AL5998">
        <v>89.026626253015806</v>
      </c>
      <c r="AM5998">
        <v>95.771390359328507</v>
      </c>
      <c r="AN5998">
        <v>1.0000000255855299</v>
      </c>
    </row>
    <row r="5999" spans="1:40" x14ac:dyDescent="0.25">
      <c r="A5999" t="str">
        <f>"20190312151651810"</f>
        <v>20190312151651810</v>
      </c>
      <c r="B5999" t="str">
        <f>"1552375011804153"</f>
        <v>1552375011804153</v>
      </c>
      <c r="C5999" t="s">
        <v>40</v>
      </c>
      <c r="D5999">
        <v>4.7777019999999997</v>
      </c>
      <c r="E5999">
        <v>0.51587910000000003</v>
      </c>
      <c r="F5999" t="s">
        <v>76</v>
      </c>
      <c r="G5999">
        <v>-230.03270000000001</v>
      </c>
      <c r="H5999" s="1">
        <v>5.6468530000000001E-7</v>
      </c>
      <c r="I5999">
        <v>-62.015239999999999</v>
      </c>
      <c r="J5999">
        <v>-249.3014</v>
      </c>
      <c r="K5999">
        <v>1.109324</v>
      </c>
      <c r="L5999">
        <v>-63.38635</v>
      </c>
      <c r="M5999">
        <v>0.99987950000000003</v>
      </c>
      <c r="N5999">
        <v>0</v>
      </c>
      <c r="O5999">
        <v>1.211774E-2</v>
      </c>
      <c r="P5999">
        <v>0.99359569999999997</v>
      </c>
      <c r="Q5999">
        <v>7.3073249999999999E-3</v>
      </c>
      <c r="R5999">
        <v>0.1127571</v>
      </c>
      <c r="S5999">
        <v>2.996521</v>
      </c>
      <c r="T5999">
        <v>-0.17136100000000001</v>
      </c>
      <c r="U5999">
        <v>0.21203610000000001</v>
      </c>
      <c r="V5999">
        <v>-0.1007077</v>
      </c>
      <c r="W5999">
        <v>1.6962970000000001E-2</v>
      </c>
      <c r="X5999">
        <v>0.99477139999999997</v>
      </c>
      <c r="Y5999">
        <v>-5.8415759999999997E-2</v>
      </c>
      <c r="Z5999">
        <v>9.7536770000000001E-4</v>
      </c>
      <c r="AA5999">
        <v>0.99829190000000001</v>
      </c>
      <c r="AB5999">
        <v>27</v>
      </c>
      <c r="AC5999">
        <v>19.2686999999999</v>
      </c>
      <c r="AD5999">
        <v>-1.1093234353146999</v>
      </c>
      <c r="AE5999">
        <v>1.3711099999999901</v>
      </c>
      <c r="AF5999">
        <v>-1.1337663502959501</v>
      </c>
      <c r="AG5999">
        <v>-1.1093234353146999</v>
      </c>
      <c r="AH5999">
        <v>19.2205161359812</v>
      </c>
      <c r="AI5999">
        <v>93.297476120562195</v>
      </c>
      <c r="AJ5999">
        <v>93.375811577181494</v>
      </c>
      <c r="AK5999">
        <v>19.285856609306101</v>
      </c>
      <c r="AL5999">
        <v>89.028046756997597</v>
      </c>
      <c r="AM5999">
        <v>95.780759240492003</v>
      </c>
      <c r="AN5999">
        <v>0.99999996072423403</v>
      </c>
    </row>
    <row r="6000" spans="1:40" x14ac:dyDescent="0.25">
      <c r="A6000" t="str">
        <f>"20190312151651821"</f>
        <v>20190312151651821</v>
      </c>
      <c r="B6000" t="str">
        <f>"1552375011813913"</f>
        <v>1552375011813913</v>
      </c>
      <c r="C6000" t="s">
        <v>40</v>
      </c>
      <c r="D6000">
        <v>5.3468289999999996</v>
      </c>
      <c r="E6000">
        <v>0.51577700000000004</v>
      </c>
      <c r="F6000" t="s">
        <v>76</v>
      </c>
      <c r="G6000">
        <v>-230.5625</v>
      </c>
      <c r="H6000" s="1">
        <v>3.3052000000000002E-7</v>
      </c>
      <c r="I6000">
        <v>-62.041110000000003</v>
      </c>
      <c r="J6000">
        <v>-249.1679</v>
      </c>
      <c r="K6000">
        <v>1.1093230000000001</v>
      </c>
      <c r="L6000">
        <v>-63.384740000000001</v>
      </c>
      <c r="M6000">
        <v>0.99987950000000003</v>
      </c>
      <c r="N6000">
        <v>0</v>
      </c>
      <c r="O6000">
        <v>1.21187E-2</v>
      </c>
      <c r="P6000">
        <v>0.99360780000000004</v>
      </c>
      <c r="Q6000">
        <v>7.0630800000000002E-3</v>
      </c>
      <c r="R6000">
        <v>0.1126673</v>
      </c>
      <c r="S6000">
        <v>2.9962460000000002</v>
      </c>
      <c r="T6000">
        <v>-0.17737510000000001</v>
      </c>
      <c r="U6000">
        <v>0.2150879</v>
      </c>
      <c r="V6000">
        <v>-0.1006166</v>
      </c>
      <c r="W6000">
        <v>1.6728880000000002E-2</v>
      </c>
      <c r="X6000">
        <v>0.99478460000000002</v>
      </c>
      <c r="Y6000">
        <v>-5.9425739999999998E-2</v>
      </c>
      <c r="Z6000">
        <v>1.039372E-3</v>
      </c>
      <c r="AA6000">
        <v>0.99823220000000001</v>
      </c>
      <c r="AB6000">
        <v>27</v>
      </c>
      <c r="AC6000">
        <v>18.605399999999999</v>
      </c>
      <c r="AD6000">
        <v>-1.10932266948</v>
      </c>
      <c r="AE6000">
        <v>1.3436300000000001</v>
      </c>
      <c r="AF6000">
        <v>-1.11410736364179</v>
      </c>
      <c r="AG6000">
        <v>-1.10932266948</v>
      </c>
      <c r="AH6000">
        <v>18.554697971722899</v>
      </c>
      <c r="AI6000">
        <v>93.415311723687395</v>
      </c>
      <c r="AJ6000">
        <v>93.436170260584603</v>
      </c>
      <c r="AK6000">
        <v>18.621188168981099</v>
      </c>
      <c r="AL6000">
        <v>89.041461046672495</v>
      </c>
      <c r="AM6000">
        <v>95.775489224796402</v>
      </c>
      <c r="AN6000">
        <v>0.999999978009386</v>
      </c>
    </row>
    <row r="6001" spans="1:40" x14ac:dyDescent="0.25">
      <c r="A6001" t="str">
        <f>"20190312151651833"</f>
        <v>20190312151651833</v>
      </c>
      <c r="B6001" t="str">
        <f>"1552375011823673"</f>
        <v>1552375011823673</v>
      </c>
      <c r="C6001" t="s">
        <v>40</v>
      </c>
      <c r="D6001">
        <v>4.7529519999999996</v>
      </c>
      <c r="E6001">
        <v>0.51559639999999995</v>
      </c>
      <c r="F6001" t="s">
        <v>76</v>
      </c>
      <c r="G6001">
        <v>-230.2807</v>
      </c>
      <c r="H6001" s="1">
        <v>4.5555620000000002E-7</v>
      </c>
      <c r="I6001">
        <v>-62.025509999999997</v>
      </c>
      <c r="J6001">
        <v>-249.02950000000001</v>
      </c>
      <c r="K6001">
        <v>1.109321</v>
      </c>
      <c r="L6001">
        <v>-63.38306</v>
      </c>
      <c r="M6001">
        <v>0.99987939999999997</v>
      </c>
      <c r="N6001">
        <v>0</v>
      </c>
      <c r="O6001">
        <v>1.211983E-2</v>
      </c>
      <c r="P6001">
        <v>0.99357649999999997</v>
      </c>
      <c r="Q6001">
        <v>7.0400669999999997E-3</v>
      </c>
      <c r="R6001">
        <v>0.1129453</v>
      </c>
      <c r="S6001">
        <v>2.9961090000000001</v>
      </c>
      <c r="T6001">
        <v>-0.17597370000000001</v>
      </c>
      <c r="U6001">
        <v>0.21560670000000001</v>
      </c>
      <c r="V6001">
        <v>-0.1008941</v>
      </c>
      <c r="W6001">
        <v>1.6715529999999999E-2</v>
      </c>
      <c r="X6001">
        <v>0.9947568</v>
      </c>
      <c r="Y6001">
        <v>-5.9600819999999999E-2</v>
      </c>
      <c r="Z6001">
        <v>1.0362780000000001E-3</v>
      </c>
      <c r="AA6001">
        <v>0.99822180000000005</v>
      </c>
      <c r="AB6001">
        <v>27</v>
      </c>
      <c r="AC6001">
        <v>18.748799999999999</v>
      </c>
      <c r="AD6001">
        <v>-1.1093205444437999</v>
      </c>
      <c r="AE6001">
        <v>1.35755</v>
      </c>
      <c r="AF6001">
        <v>-1.1262849655159599</v>
      </c>
      <c r="AG6001">
        <v>-1.1093205444437999</v>
      </c>
      <c r="AH6001">
        <v>18.698757680619</v>
      </c>
      <c r="AI6001">
        <v>93.389016212552505</v>
      </c>
      <c r="AJ6001">
        <v>93.446940431641806</v>
      </c>
      <c r="AK6001">
        <v>18.7654642546456</v>
      </c>
      <c r="AL6001">
        <v>89.042226130611795</v>
      </c>
      <c r="AM6001">
        <v>95.791470613863893</v>
      </c>
      <c r="AN6001">
        <v>1.0000000597521099</v>
      </c>
    </row>
    <row r="6002" spans="1:40" x14ac:dyDescent="0.25">
      <c r="A6002" t="str">
        <f>"20190312151651844"</f>
        <v>20190312151651844</v>
      </c>
      <c r="B6002" t="str">
        <f>"1552375011833433"</f>
        <v>1552375011833433</v>
      </c>
      <c r="C6002" t="s">
        <v>40</v>
      </c>
      <c r="D6002">
        <v>4.6673080000000002</v>
      </c>
      <c r="E6002">
        <v>0.51600459999999904</v>
      </c>
      <c r="F6002" t="s">
        <v>77</v>
      </c>
      <c r="G6002">
        <v>-229.85720000000001</v>
      </c>
      <c r="H6002" s="1">
        <v>-3.5777390000000001E-6</v>
      </c>
      <c r="I6002">
        <v>-61.988999999999997</v>
      </c>
      <c r="J6002">
        <v>-248.8989</v>
      </c>
      <c r="K6002">
        <v>1.109318</v>
      </c>
      <c r="L6002">
        <v>-63.381469999999901</v>
      </c>
      <c r="M6002">
        <v>0.99987919999999997</v>
      </c>
      <c r="N6002">
        <v>0</v>
      </c>
      <c r="O6002">
        <v>1.212044E-2</v>
      </c>
      <c r="P6002">
        <v>0.99354869999999995</v>
      </c>
      <c r="Q6002">
        <v>6.9496979999999998E-3</v>
      </c>
      <c r="R6002">
        <v>0.11319360000000001</v>
      </c>
      <c r="S6002">
        <v>2.9958499999999999</v>
      </c>
      <c r="T6002">
        <v>-0.17334179999999999</v>
      </c>
      <c r="U6002">
        <v>0.21783449999999999</v>
      </c>
      <c r="V6002">
        <v>-0.10114190000000001</v>
      </c>
      <c r="W6002">
        <v>1.6633999999999999E-2</v>
      </c>
      <c r="X6002">
        <v>0.99473299999999998</v>
      </c>
      <c r="Y6002">
        <v>-6.0345990000000002E-2</v>
      </c>
      <c r="Z6002">
        <v>1.042344E-3</v>
      </c>
      <c r="AA6002">
        <v>0.99817699999999998</v>
      </c>
      <c r="AB6002">
        <v>27</v>
      </c>
      <c r="AC6002">
        <v>19.041699999999899</v>
      </c>
      <c r="AD6002">
        <v>-1.109321577739</v>
      </c>
      <c r="AE6002">
        <v>1.3924699999999901</v>
      </c>
      <c r="AF6002">
        <v>-1.15765489109775</v>
      </c>
      <c r="AG6002">
        <v>-1.109321577739</v>
      </c>
      <c r="AH6002">
        <v>18.993060974449801</v>
      </c>
      <c r="AI6002">
        <v>93.336480682719696</v>
      </c>
      <c r="AJ6002">
        <v>93.487946635200203</v>
      </c>
      <c r="AK6002">
        <v>19.060617104094199</v>
      </c>
      <c r="AL6002">
        <v>89.046898102738098</v>
      </c>
      <c r="AM6002">
        <v>95.805735613662705</v>
      </c>
      <c r="AN6002">
        <v>1.0000000575903001</v>
      </c>
    </row>
    <row r="6003" spans="1:40" x14ac:dyDescent="0.25">
      <c r="A6003" t="str">
        <f>"20190312151651855"</f>
        <v>20190312151651855</v>
      </c>
      <c r="B6003" t="str">
        <f>"1552375011844170"</f>
        <v>1552375011844170</v>
      </c>
      <c r="C6003" t="s">
        <v>40</v>
      </c>
      <c r="D6003">
        <v>4.7657930000000004</v>
      </c>
      <c r="E6003">
        <v>0.515872</v>
      </c>
      <c r="F6003" t="s">
        <v>77</v>
      </c>
      <c r="G6003">
        <v>-229.3629</v>
      </c>
      <c r="H6003" s="1">
        <v>-3.4080240000000001E-6</v>
      </c>
      <c r="I6003">
        <v>-61.977809999999998</v>
      </c>
      <c r="J6003">
        <v>-248.76150000000001</v>
      </c>
      <c r="K6003">
        <v>1.1093170000000001</v>
      </c>
      <c r="L6003">
        <v>-63.379820000000002</v>
      </c>
      <c r="M6003">
        <v>0.99987919999999997</v>
      </c>
      <c r="N6003">
        <v>0</v>
      </c>
      <c r="O6003">
        <v>1.212068E-2</v>
      </c>
      <c r="P6003">
        <v>0.99354909999999996</v>
      </c>
      <c r="Q6003">
        <v>6.800281E-3</v>
      </c>
      <c r="R6003">
        <v>0.1132003</v>
      </c>
      <c r="S6003">
        <v>2.99614</v>
      </c>
      <c r="T6003">
        <v>-0.17013059999999999</v>
      </c>
      <c r="U6003">
        <v>0.21527099999999999</v>
      </c>
      <c r="V6003">
        <v>-0.10114819999999999</v>
      </c>
      <c r="W6003">
        <v>1.649335E-2</v>
      </c>
      <c r="X6003">
        <v>0.99473460000000002</v>
      </c>
      <c r="Y6003">
        <v>-5.949347E-2</v>
      </c>
      <c r="Z6003">
        <v>9.988302000000001E-4</v>
      </c>
      <c r="AA6003">
        <v>0.99822820000000001</v>
      </c>
      <c r="AB6003">
        <v>27</v>
      </c>
      <c r="AC6003">
        <v>19.398599999999998</v>
      </c>
      <c r="AD6003">
        <v>-1.109320408024</v>
      </c>
      <c r="AE6003">
        <v>1.40200999999999</v>
      </c>
      <c r="AF6003">
        <v>-1.16298821541214</v>
      </c>
      <c r="AG6003">
        <v>-1.109320408024</v>
      </c>
      <c r="AH6003">
        <v>19.351215648391101</v>
      </c>
      <c r="AI6003">
        <v>93.275028906167194</v>
      </c>
      <c r="AJ6003">
        <v>93.439280807266698</v>
      </c>
      <c r="AK6003">
        <v>19.417844381583201</v>
      </c>
      <c r="AL6003">
        <v>89.054957764006801</v>
      </c>
      <c r="AM6003">
        <v>95.806085499862803</v>
      </c>
      <c r="AN6003">
        <v>0.99999995669731001</v>
      </c>
    </row>
    <row r="6004" spans="1:40" x14ac:dyDescent="0.25">
      <c r="A6004" t="str">
        <f>"20190312151651866"</f>
        <v>20190312151651866</v>
      </c>
      <c r="B6004" t="str">
        <f>"1552375011863689"</f>
        <v>1552375011863689</v>
      </c>
      <c r="C6004" t="s">
        <v>40</v>
      </c>
      <c r="D6004">
        <v>4.6386799999999999</v>
      </c>
      <c r="E6004">
        <v>0.51645339999999995</v>
      </c>
      <c r="F6004" t="s">
        <v>77</v>
      </c>
      <c r="G6004">
        <v>-229.7321</v>
      </c>
      <c r="H6004" s="1">
        <v>-3.5373480000000001E-6</v>
      </c>
      <c r="I6004">
        <v>-62.00535</v>
      </c>
      <c r="J6004">
        <v>-248.626</v>
      </c>
      <c r="K6004">
        <v>1.109316</v>
      </c>
      <c r="L6004">
        <v>-63.378169999999997</v>
      </c>
      <c r="M6004">
        <v>0.99987899999999996</v>
      </c>
      <c r="N6004">
        <v>0</v>
      </c>
      <c r="O6004">
        <v>1.212099E-2</v>
      </c>
      <c r="P6004">
        <v>0.99349759999999998</v>
      </c>
      <c r="Q6004">
        <v>6.8832399999999997E-3</v>
      </c>
      <c r="R6004">
        <v>0.1136452</v>
      </c>
      <c r="S6004">
        <v>2.996048</v>
      </c>
      <c r="T6004">
        <v>-0.174654799999999</v>
      </c>
      <c r="U6004">
        <v>0.21640010000000001</v>
      </c>
      <c r="V6004">
        <v>-0.1015935</v>
      </c>
      <c r="W6004">
        <v>1.6584410000000001E-2</v>
      </c>
      <c r="X6004">
        <v>0.99468769999999995</v>
      </c>
      <c r="Y6004">
        <v>-5.9864880000000002E-2</v>
      </c>
      <c r="Z6004">
        <v>1.0361490000000001E-3</v>
      </c>
      <c r="AA6004">
        <v>0.99820600000000004</v>
      </c>
      <c r="AB6004">
        <v>27</v>
      </c>
      <c r="AC6004">
        <v>18.893899999999899</v>
      </c>
      <c r="AD6004">
        <v>-1.109319537348</v>
      </c>
      <c r="AE6004">
        <v>1.3728199999999899</v>
      </c>
      <c r="AF6004">
        <v>-1.13978700879016</v>
      </c>
      <c r="AG6004">
        <v>-1.109319537348</v>
      </c>
      <c r="AH6004">
        <v>18.8445323574201</v>
      </c>
      <c r="AI6004">
        <v>93.362806773128895</v>
      </c>
      <c r="AJ6004">
        <v>93.461244018092401</v>
      </c>
      <c r="AK6004">
        <v>18.911533624516</v>
      </c>
      <c r="AL6004">
        <v>89.049739691176001</v>
      </c>
      <c r="AM6004">
        <v>95.831743794382007</v>
      </c>
      <c r="AN6004">
        <v>0.99999995121429197</v>
      </c>
    </row>
    <row r="6005" spans="1:40" x14ac:dyDescent="0.25">
      <c r="A6005" t="str">
        <f>"20190312151651878"</f>
        <v>20190312151651878</v>
      </c>
      <c r="B6005" t="str">
        <f>"1552375011873449"</f>
        <v>1552375011873449</v>
      </c>
      <c r="C6005" t="s">
        <v>40</v>
      </c>
      <c r="D6005">
        <v>4.6974580000000001</v>
      </c>
      <c r="E6005">
        <v>0.51639780000000002</v>
      </c>
      <c r="F6005" t="s">
        <v>77</v>
      </c>
      <c r="G6005">
        <v>-228.81379999999999</v>
      </c>
      <c r="H6005" s="1">
        <v>-3.2201380000000001E-6</v>
      </c>
      <c r="I6005">
        <v>-61.969949999999997</v>
      </c>
      <c r="J6005">
        <v>-248.4905</v>
      </c>
      <c r="K6005">
        <v>1.109318</v>
      </c>
      <c r="L6005">
        <v>-63.3765</v>
      </c>
      <c r="M6005">
        <v>0.99987890000000001</v>
      </c>
      <c r="N6005">
        <v>0</v>
      </c>
      <c r="O6005">
        <v>1.2121130000000001E-2</v>
      </c>
      <c r="P6005">
        <v>0.99346100000000004</v>
      </c>
      <c r="Q6005">
        <v>7.1488309999999996E-3</v>
      </c>
      <c r="R6005">
        <v>0.1139469</v>
      </c>
      <c r="S6005">
        <v>2.996429</v>
      </c>
      <c r="T6005">
        <v>-0.16777549999999999</v>
      </c>
      <c r="U6005">
        <v>0.21298220000000001</v>
      </c>
      <c r="V6005">
        <v>-0.1018951</v>
      </c>
      <c r="W6005">
        <v>1.68576E-2</v>
      </c>
      <c r="X6005">
        <v>0.99465230000000004</v>
      </c>
      <c r="Y6005">
        <v>-5.873076E-2</v>
      </c>
      <c r="Z6005">
        <v>9.6362189999999999E-4</v>
      </c>
      <c r="AA6005">
        <v>0.99827339999999998</v>
      </c>
      <c r="AB6005">
        <v>27</v>
      </c>
      <c r="AC6005">
        <v>19.6767</v>
      </c>
      <c r="AD6005">
        <v>-1.1093212201380001</v>
      </c>
      <c r="AE6005">
        <v>1.40655</v>
      </c>
      <c r="AF6005">
        <v>-1.1642498077946699</v>
      </c>
      <c r="AG6005">
        <v>-1.1093212201380001</v>
      </c>
      <c r="AH6005">
        <v>19.630228382616</v>
      </c>
      <c r="AI6005">
        <v>93.228732487281604</v>
      </c>
      <c r="AJ6005">
        <v>93.394181096723401</v>
      </c>
      <c r="AK6005">
        <v>19.695987853826001</v>
      </c>
      <c r="AL6005">
        <v>89.034084909043699</v>
      </c>
      <c r="AM6005">
        <v>95.849143328201393</v>
      </c>
      <c r="AN6005">
        <v>0.99999999398853001</v>
      </c>
    </row>
    <row r="6006" spans="1:40" x14ac:dyDescent="0.25">
      <c r="A6006" t="str">
        <f>"20190312151651889"</f>
        <v>20190312151651889</v>
      </c>
      <c r="B6006" t="str">
        <f>"1552375011884185"</f>
        <v>1552375011884185</v>
      </c>
      <c r="C6006" t="s">
        <v>40</v>
      </c>
      <c r="D6006">
        <v>4.6747050000000003</v>
      </c>
      <c r="E6006">
        <v>0.51626320000000003</v>
      </c>
      <c r="F6006" t="s">
        <v>77</v>
      </c>
      <c r="G6006">
        <v>-228.9967</v>
      </c>
      <c r="H6006" s="1">
        <v>-3.283969E-6</v>
      </c>
      <c r="I6006">
        <v>-61.981929999999998</v>
      </c>
      <c r="J6006">
        <v>-248.3527</v>
      </c>
      <c r="K6006">
        <v>1.1093189999999999</v>
      </c>
      <c r="L6006">
        <v>-63.3748199999999</v>
      </c>
      <c r="M6006">
        <v>0.99987890000000001</v>
      </c>
      <c r="N6006">
        <v>0</v>
      </c>
      <c r="O6006">
        <v>1.2121079999999999E-2</v>
      </c>
      <c r="P6006">
        <v>0.99343309999999996</v>
      </c>
      <c r="Q6006">
        <v>7.115176E-3</v>
      </c>
      <c r="R6006">
        <v>0.1141942</v>
      </c>
      <c r="S6006">
        <v>2.9963679999999999</v>
      </c>
      <c r="T6006">
        <v>-0.1705121</v>
      </c>
      <c r="U6006">
        <v>0.2143555</v>
      </c>
      <c r="V6006">
        <v>-0.10214330000000001</v>
      </c>
      <c r="W6006">
        <v>1.683138E-2</v>
      </c>
      <c r="X6006">
        <v>0.99462729999999999</v>
      </c>
      <c r="Y6006">
        <v>-5.918433E-2</v>
      </c>
      <c r="Z6006">
        <v>9.9219980000000009E-4</v>
      </c>
      <c r="AA6006">
        <v>0.99824659999999998</v>
      </c>
      <c r="AB6006">
        <v>27</v>
      </c>
      <c r="AC6006">
        <v>19.355999999999899</v>
      </c>
      <c r="AD6006">
        <v>-1.109322283969</v>
      </c>
      <c r="AE6006">
        <v>1.39288999999998</v>
      </c>
      <c r="AF6006">
        <v>-1.1543886775991601</v>
      </c>
      <c r="AG6006">
        <v>-1.109322283969</v>
      </c>
      <c r="AH6006">
        <v>19.3083682570878</v>
      </c>
      <c r="AI6006">
        <v>93.282347256745794</v>
      </c>
      <c r="AJ6006">
        <v>93.421467809131002</v>
      </c>
      <c r="AK6006">
        <v>19.374630161631401</v>
      </c>
      <c r="AL6006">
        <v>89.035587430593694</v>
      </c>
      <c r="AM6006">
        <v>95.863438102100702</v>
      </c>
      <c r="AN6006">
        <v>1.0000000074964399</v>
      </c>
    </row>
    <row r="6007" spans="1:40" x14ac:dyDescent="0.25">
      <c r="A6007" t="str">
        <f>"20190312151651900"</f>
        <v>20190312151651900</v>
      </c>
      <c r="B6007" t="str">
        <f>"1552375011893945"</f>
        <v>1552375011893945</v>
      </c>
      <c r="C6007" t="s">
        <v>40</v>
      </c>
      <c r="D6007">
        <v>4.6955900000000002</v>
      </c>
      <c r="E6007">
        <v>0.51614659999999901</v>
      </c>
      <c r="F6007" t="s">
        <v>77</v>
      </c>
      <c r="G6007">
        <v>-229.11060000000001</v>
      </c>
      <c r="H6007" s="1">
        <v>-3.323245E-6</v>
      </c>
      <c r="I6007">
        <v>-61.985849999999999</v>
      </c>
      <c r="J6007">
        <v>-248.2183</v>
      </c>
      <c r="K6007">
        <v>1.109318</v>
      </c>
      <c r="L6007">
        <v>-63.373199999999997</v>
      </c>
      <c r="M6007">
        <v>0.99987890000000001</v>
      </c>
      <c r="N6007">
        <v>0</v>
      </c>
      <c r="O6007">
        <v>1.2120870000000001E-2</v>
      </c>
      <c r="P6007">
        <v>0.99340229999999996</v>
      </c>
      <c r="Q6007">
        <v>7.092508E-3</v>
      </c>
      <c r="R6007">
        <v>0.1144633</v>
      </c>
      <c r="S6007">
        <v>2.996216</v>
      </c>
      <c r="T6007">
        <v>-0.172734</v>
      </c>
      <c r="U6007">
        <v>0.2162781</v>
      </c>
      <c r="V6007">
        <v>-0.10241310000000001</v>
      </c>
      <c r="W6007">
        <v>1.6816129999999999E-2</v>
      </c>
      <c r="X6007">
        <v>0.99459980000000003</v>
      </c>
      <c r="Y6007">
        <v>-5.9822359999999998E-2</v>
      </c>
      <c r="Z6007">
        <v>1.023501E-3</v>
      </c>
      <c r="AA6007">
        <v>0.99820850000000005</v>
      </c>
      <c r="AB6007">
        <v>27</v>
      </c>
      <c r="AC6007">
        <v>19.107699999999902</v>
      </c>
      <c r="AD6007">
        <v>-1.1093213232449901</v>
      </c>
      <c r="AE6007">
        <v>1.3873499999999901</v>
      </c>
      <c r="AF6007">
        <v>-1.1517733682076601</v>
      </c>
      <c r="AG6007">
        <v>-1.1093213232449901</v>
      </c>
      <c r="AH6007">
        <v>19.059210180838701</v>
      </c>
      <c r="AI6007">
        <v>93.325030295152104</v>
      </c>
      <c r="AJ6007">
        <v>93.458254310404101</v>
      </c>
      <c r="AK6007">
        <v>19.126177569166899</v>
      </c>
      <c r="AL6007">
        <v>89.0364613016296</v>
      </c>
      <c r="AM6007">
        <v>95.878978789299396</v>
      </c>
      <c r="AN6007">
        <v>0.99999999371991299</v>
      </c>
    </row>
    <row r="6008" spans="1:40" x14ac:dyDescent="0.25">
      <c r="A6008" t="str">
        <f>"20190312151651911"</f>
        <v>20190312151651911</v>
      </c>
      <c r="B6008" t="str">
        <f>"1552375011903705"</f>
        <v>1552375011903705</v>
      </c>
      <c r="C6008" t="s">
        <v>40</v>
      </c>
      <c r="D6008">
        <v>4.6473190000000004</v>
      </c>
      <c r="E6008">
        <v>0.51599779999999995</v>
      </c>
      <c r="F6008" t="s">
        <v>77</v>
      </c>
      <c r="G6008">
        <v>-229.16149999999999</v>
      </c>
      <c r="H6008" s="1">
        <v>-3.3405909999999998E-6</v>
      </c>
      <c r="I6008">
        <v>-61.985880000000002</v>
      </c>
      <c r="J6008">
        <v>-248.08459999999999</v>
      </c>
      <c r="K6008">
        <v>1.1093200000000001</v>
      </c>
      <c r="L6008">
        <v>-63.371580000000002</v>
      </c>
      <c r="M6008">
        <v>0.99987870000000001</v>
      </c>
      <c r="N6008">
        <v>0</v>
      </c>
      <c r="O6008">
        <v>1.212065E-2</v>
      </c>
      <c r="P6008">
        <v>0.99338199999999999</v>
      </c>
      <c r="Q6008">
        <v>7.0526859999999999E-3</v>
      </c>
      <c r="R6008">
        <v>0.1146408</v>
      </c>
      <c r="S6008">
        <v>2.9960330000000002</v>
      </c>
      <c r="T6008">
        <v>-0.17440349999999999</v>
      </c>
      <c r="U6008">
        <v>0.2181091</v>
      </c>
      <c r="V6008">
        <v>-0.102591</v>
      </c>
      <c r="W6008">
        <v>1.678323E-2</v>
      </c>
      <c r="X6008">
        <v>0.99458199999999997</v>
      </c>
      <c r="Y6008">
        <v>-6.0431270000000002E-2</v>
      </c>
      <c r="Z6008">
        <v>1.051115E-3</v>
      </c>
      <c r="AA6008">
        <v>0.99817180000000005</v>
      </c>
      <c r="AB6008">
        <v>27</v>
      </c>
      <c r="AC6008">
        <v>18.923100000000002</v>
      </c>
      <c r="AD6008">
        <v>-1.1093233405909999</v>
      </c>
      <c r="AE6008">
        <v>1.3856999999999999</v>
      </c>
      <c r="AF6008">
        <v>-1.15228809812065</v>
      </c>
      <c r="AG6008">
        <v>-1.1093233405909999</v>
      </c>
      <c r="AH6008">
        <v>18.8739894047497</v>
      </c>
      <c r="AI6008">
        <v>93.357466681595298</v>
      </c>
      <c r="AJ6008">
        <v>93.493665238415801</v>
      </c>
      <c r="AK6008">
        <v>18.941643069851501</v>
      </c>
      <c r="AL6008">
        <v>89.038346578351806</v>
      </c>
      <c r="AM6008">
        <v>95.889224004099802</v>
      </c>
      <c r="AN6008">
        <v>0.99999997240711602</v>
      </c>
    </row>
    <row r="6009" spans="1:40" x14ac:dyDescent="0.25">
      <c r="A6009" t="str">
        <f>"20190312151651922"</f>
        <v>20190312151651922</v>
      </c>
      <c r="B6009" t="str">
        <f>"1552375011913465"</f>
        <v>1552375011913465</v>
      </c>
      <c r="C6009" t="s">
        <v>40</v>
      </c>
      <c r="D6009">
        <v>4.6850909999999999</v>
      </c>
      <c r="E6009">
        <v>0.51591290000000001</v>
      </c>
      <c r="F6009" t="s">
        <v>77</v>
      </c>
      <c r="G6009">
        <v>-229.27359999999999</v>
      </c>
      <c r="H6009" s="1">
        <v>-3.379392E-6</v>
      </c>
      <c r="I6009">
        <v>-61.990960000000001</v>
      </c>
      <c r="J6009">
        <v>-247.95429999999999</v>
      </c>
      <c r="K6009">
        <v>1.109318</v>
      </c>
      <c r="L6009">
        <v>-63.37</v>
      </c>
      <c r="M6009">
        <v>0.99987879999999996</v>
      </c>
      <c r="N6009">
        <v>0</v>
      </c>
      <c r="O6009">
        <v>1.212032E-2</v>
      </c>
      <c r="P6009">
        <v>0.99335110000000004</v>
      </c>
      <c r="Q6009">
        <v>7.1660339999999999E-3</v>
      </c>
      <c r="R6009">
        <v>0.1149015</v>
      </c>
      <c r="S6009">
        <v>2.9958800000000001</v>
      </c>
      <c r="T6009">
        <v>-0.17667260000000001</v>
      </c>
      <c r="U6009">
        <v>0.2198792</v>
      </c>
      <c r="V6009">
        <v>-0.1028521</v>
      </c>
      <c r="W6009">
        <v>1.6902420000000001E-2</v>
      </c>
      <c r="X6009">
        <v>0.99455300000000002</v>
      </c>
      <c r="Y6009">
        <v>-6.101873E-2</v>
      </c>
      <c r="Z6009">
        <v>1.082101E-3</v>
      </c>
      <c r="AA6009">
        <v>0.99813600000000002</v>
      </c>
      <c r="AB6009">
        <v>27</v>
      </c>
      <c r="AC6009">
        <v>18.680700000000002</v>
      </c>
      <c r="AD6009">
        <v>-1.109321379392</v>
      </c>
      <c r="AE6009">
        <v>1.3790399999999901</v>
      </c>
      <c r="AF6009">
        <v>-1.14848378954657</v>
      </c>
      <c r="AG6009">
        <v>-1.109321379392</v>
      </c>
      <c r="AH6009">
        <v>18.6307001669337</v>
      </c>
      <c r="AI6009">
        <v>93.401078950126305</v>
      </c>
      <c r="AJ6009">
        <v>93.527516980842407</v>
      </c>
      <c r="AK6009">
        <v>18.698999910364499</v>
      </c>
      <c r="AL6009">
        <v>89.031516511440003</v>
      </c>
      <c r="AM6009">
        <v>95.9042776138417</v>
      </c>
      <c r="AN6009">
        <v>0.99999995804263198</v>
      </c>
    </row>
    <row r="6010" spans="1:40" x14ac:dyDescent="0.25">
      <c r="A6010" t="str">
        <f>"20190312151651934"</f>
        <v>20190312151651934</v>
      </c>
      <c r="B6010" t="str">
        <f>"1552375011924202"</f>
        <v>1552375011924202</v>
      </c>
      <c r="C6010" t="s">
        <v>40</v>
      </c>
      <c r="D6010">
        <v>4.6582569999999999</v>
      </c>
      <c r="E6010">
        <v>0.5158507</v>
      </c>
      <c r="F6010" t="s">
        <v>77</v>
      </c>
      <c r="G6010">
        <v>-229.2996</v>
      </c>
      <c r="H6010" s="1">
        <v>-3.3884169999999999E-6</v>
      </c>
      <c r="I6010">
        <v>-61.992069999999998</v>
      </c>
      <c r="J6010">
        <v>-247.8048</v>
      </c>
      <c r="K6010">
        <v>1.109313</v>
      </c>
      <c r="L6010">
        <v>-63.368189999999998</v>
      </c>
      <c r="M6010">
        <v>0.99987879999999996</v>
      </c>
      <c r="N6010">
        <v>0</v>
      </c>
      <c r="O6010">
        <v>1.2119929999999999E-2</v>
      </c>
      <c r="P6010">
        <v>0.99330099999999999</v>
      </c>
      <c r="Q6010">
        <v>6.8798569999999996E-3</v>
      </c>
      <c r="R6010">
        <v>0.11535289999999999</v>
      </c>
      <c r="S6010">
        <v>2.9957729999999998</v>
      </c>
      <c r="T6010">
        <v>-0.17814759999999999</v>
      </c>
      <c r="U6010">
        <v>0.22128300000000001</v>
      </c>
      <c r="V6010">
        <v>-0.10330499999999999</v>
      </c>
      <c r="W6010">
        <v>1.6622560000000002E-2</v>
      </c>
      <c r="X6010">
        <v>0.99451080000000003</v>
      </c>
      <c r="Y6010">
        <v>-6.1484659999999997E-2</v>
      </c>
      <c r="Z6010">
        <v>1.1049860000000001E-3</v>
      </c>
      <c r="AA6010">
        <v>0.99810739999999998</v>
      </c>
      <c r="AB6010">
        <v>27</v>
      </c>
      <c r="AC6010">
        <v>18.505199999999999</v>
      </c>
      <c r="AD6010">
        <v>-1.1093163884170001</v>
      </c>
      <c r="AE6010">
        <v>1.37612</v>
      </c>
      <c r="AF6010">
        <v>-1.14762511372613</v>
      </c>
      <c r="AG6010">
        <v>-1.1093163884170001</v>
      </c>
      <c r="AH6010">
        <v>18.4545673240032</v>
      </c>
      <c r="AI6010">
        <v>93.433332134595403</v>
      </c>
      <c r="AJ6010">
        <v>93.5584421950104</v>
      </c>
      <c r="AK6010">
        <v>18.523462996087801</v>
      </c>
      <c r="AL6010">
        <v>89.047553584977294</v>
      </c>
      <c r="AM6010">
        <v>95.930341537445699</v>
      </c>
      <c r="AN6010">
        <v>0.99999998192129602</v>
      </c>
    </row>
    <row r="6011" spans="1:40" x14ac:dyDescent="0.25">
      <c r="A6011" t="str">
        <f>"20190312151651944"</f>
        <v>20190312151651944</v>
      </c>
      <c r="B6011" t="str">
        <f>"1552375011933961"</f>
        <v>1552375011933961</v>
      </c>
      <c r="C6011" t="s">
        <v>40</v>
      </c>
      <c r="D6011">
        <v>4.6690339999999999</v>
      </c>
      <c r="E6011">
        <v>0.51566699999999999</v>
      </c>
      <c r="F6011" t="s">
        <v>77</v>
      </c>
      <c r="G6011">
        <v>-229.33940000000001</v>
      </c>
      <c r="H6011" s="1">
        <v>-3.402086E-6</v>
      </c>
      <c r="I6011">
        <v>-61.99324</v>
      </c>
      <c r="J6011">
        <v>-247.68020000000001</v>
      </c>
      <c r="K6011">
        <v>1.1093109999999999</v>
      </c>
      <c r="L6011">
        <v>-63.3666699999999</v>
      </c>
      <c r="M6011">
        <v>0.9998785</v>
      </c>
      <c r="N6011">
        <v>0</v>
      </c>
      <c r="O6011">
        <v>1.2119899999999999E-2</v>
      </c>
      <c r="P6011">
        <v>0.99324939999999995</v>
      </c>
      <c r="Q6011">
        <v>6.8033249999999998E-3</v>
      </c>
      <c r="R6011">
        <v>0.115798499999999</v>
      </c>
      <c r="S6011">
        <v>2.9955750000000001</v>
      </c>
      <c r="T6011">
        <v>-0.17995949999999999</v>
      </c>
      <c r="U6011">
        <v>0.223053</v>
      </c>
      <c r="V6011">
        <v>-0.10375089999999999</v>
      </c>
      <c r="W6011">
        <v>1.655152E-2</v>
      </c>
      <c r="X6011">
        <v>0.99446559999999995</v>
      </c>
      <c r="Y6011">
        <v>-6.207323E-2</v>
      </c>
      <c r="Z6011">
        <v>1.133895E-3</v>
      </c>
      <c r="AA6011">
        <v>0.99807100000000004</v>
      </c>
      <c r="AB6011">
        <v>27</v>
      </c>
      <c r="AC6011">
        <v>18.340800000000002</v>
      </c>
      <c r="AD6011">
        <v>-1.109314402086</v>
      </c>
      <c r="AE6011">
        <v>1.3734299999999899</v>
      </c>
      <c r="AF6011">
        <v>-1.1468576801177</v>
      </c>
      <c r="AG6011">
        <v>-1.109314402086</v>
      </c>
      <c r="AH6011">
        <v>18.2895647924163</v>
      </c>
      <c r="AI6011">
        <v>93.464113682412702</v>
      </c>
      <c r="AJ6011">
        <v>93.588066983824604</v>
      </c>
      <c r="AK6011">
        <v>18.3590315996546</v>
      </c>
      <c r="AL6011">
        <v>89.0516244694291</v>
      </c>
      <c r="AM6011">
        <v>95.956024089515196</v>
      </c>
      <c r="AN6011">
        <v>1.0000000158242399</v>
      </c>
    </row>
    <row r="6012" spans="1:40" x14ac:dyDescent="0.25">
      <c r="A6012" t="str">
        <f>"20190312151651956"</f>
        <v>20190312151651956</v>
      </c>
      <c r="B6012" t="str">
        <f>"1552375011953481"</f>
        <v>1552375011953481</v>
      </c>
      <c r="C6012" t="s">
        <v>40</v>
      </c>
      <c r="D6012">
        <v>4.686013</v>
      </c>
      <c r="E6012">
        <v>0.51553149999999903</v>
      </c>
      <c r="F6012" t="s">
        <v>77</v>
      </c>
      <c r="G6012">
        <v>-229.08519999999999</v>
      </c>
      <c r="H6012" s="1">
        <v>-3.3117910000000002E-6</v>
      </c>
      <c r="I6012">
        <v>-61.964869999999998</v>
      </c>
      <c r="J6012">
        <v>-247.54689999999999</v>
      </c>
      <c r="K6012">
        <v>1.109313</v>
      </c>
      <c r="L6012">
        <v>-63.365079999999999</v>
      </c>
      <c r="M6012">
        <v>0.99987859999999995</v>
      </c>
      <c r="N6012">
        <v>0</v>
      </c>
      <c r="O6012">
        <v>1.211952E-2</v>
      </c>
      <c r="P6012">
        <v>0.99322379999999999</v>
      </c>
      <c r="Q6012">
        <v>6.764478E-3</v>
      </c>
      <c r="R6012">
        <v>0.116022</v>
      </c>
      <c r="S6012">
        <v>2.9952700000000001</v>
      </c>
      <c r="T6012">
        <v>-0.17868689999999901</v>
      </c>
      <c r="U6012">
        <v>0.22579959999999999</v>
      </c>
      <c r="V6012">
        <v>-0.1039752</v>
      </c>
      <c r="W6012">
        <v>1.6517670000000002E-2</v>
      </c>
      <c r="X6012">
        <v>0.99444270000000001</v>
      </c>
      <c r="Y6012">
        <v>-6.2990840000000006E-2</v>
      </c>
      <c r="Z6012">
        <v>1.1532980000000001E-3</v>
      </c>
      <c r="AA6012">
        <v>0.99801340000000005</v>
      </c>
      <c r="AB6012">
        <v>27</v>
      </c>
      <c r="AC6012">
        <v>18.4617</v>
      </c>
      <c r="AD6012">
        <v>-1.1093163117910001</v>
      </c>
      <c r="AE6012">
        <v>1.40021</v>
      </c>
      <c r="AF6012">
        <v>-1.1721416674157501</v>
      </c>
      <c r="AG6012">
        <v>-1.1093163117910001</v>
      </c>
      <c r="AH6012">
        <v>18.411221120815899</v>
      </c>
      <c r="AI6012">
        <v>93.441077687514905</v>
      </c>
      <c r="AJ6012">
        <v>93.642792336814097</v>
      </c>
      <c r="AK6012">
        <v>18.4818170623907</v>
      </c>
      <c r="AL6012">
        <v>89.053564162429595</v>
      </c>
      <c r="AM6012">
        <v>95.9689440690249</v>
      </c>
      <c r="AN6012">
        <v>0.99999997961027898</v>
      </c>
    </row>
    <row r="6013" spans="1:40" x14ac:dyDescent="0.25">
      <c r="A6013" t="str">
        <f>"20190312151651967"</f>
        <v>20190312151651967</v>
      </c>
      <c r="B6013" t="str">
        <f>"1552375011964217"</f>
        <v>1552375011964217</v>
      </c>
      <c r="C6013" t="s">
        <v>40</v>
      </c>
      <c r="D6013">
        <v>4.6663319999999997</v>
      </c>
      <c r="E6013">
        <v>0.51550560000000001</v>
      </c>
      <c r="F6013" t="s">
        <v>77</v>
      </c>
      <c r="G6013">
        <v>-229.1198</v>
      </c>
      <c r="H6013" s="1">
        <v>-3.323659E-6</v>
      </c>
      <c r="I6013">
        <v>-61.965359999999997</v>
      </c>
      <c r="J6013">
        <v>-247.4111</v>
      </c>
      <c r="K6013">
        <v>1.1093170000000001</v>
      </c>
      <c r="L6013">
        <v>-63.363399999999999</v>
      </c>
      <c r="M6013">
        <v>0.99987859999999995</v>
      </c>
      <c r="N6013">
        <v>0</v>
      </c>
      <c r="O6013">
        <v>1.2119370000000001E-2</v>
      </c>
      <c r="P6013">
        <v>0.99319550000000001</v>
      </c>
      <c r="Q6013">
        <v>6.4954829999999998E-3</v>
      </c>
      <c r="R6013">
        <v>0.1162788</v>
      </c>
      <c r="S6013">
        <v>2.995117</v>
      </c>
      <c r="T6013">
        <v>-0.18030689999999999</v>
      </c>
      <c r="U6013">
        <v>0.2275085</v>
      </c>
      <c r="V6013">
        <v>-0.104232199999999</v>
      </c>
      <c r="W6013">
        <v>1.6254009999999999E-2</v>
      </c>
      <c r="X6013">
        <v>0.99442019999999998</v>
      </c>
      <c r="Y6013">
        <v>-6.3558370000000003E-2</v>
      </c>
      <c r="Z6013">
        <v>1.180822E-3</v>
      </c>
      <c r="AA6013">
        <v>0.99797740000000001</v>
      </c>
      <c r="AB6013">
        <v>27</v>
      </c>
      <c r="AC6013">
        <v>18.2913</v>
      </c>
      <c r="AD6013">
        <v>-1.1093203236589999</v>
      </c>
      <c r="AE6013">
        <v>1.3980399999999999</v>
      </c>
      <c r="AF6013">
        <v>-1.17196208088966</v>
      </c>
      <c r="AG6013">
        <v>-1.1093203236589999</v>
      </c>
      <c r="AH6013">
        <v>18.2402008657258</v>
      </c>
      <c r="AI6013">
        <v>93.473145606748204</v>
      </c>
      <c r="AJ6013">
        <v>93.6762921292827</v>
      </c>
      <c r="AK6013">
        <v>18.3114448998857</v>
      </c>
      <c r="AL6013">
        <v>89.068672852007197</v>
      </c>
      <c r="AM6013">
        <v>95.983725262014602</v>
      </c>
      <c r="AN6013">
        <v>1.00000003926297</v>
      </c>
    </row>
    <row r="6014" spans="1:40" x14ac:dyDescent="0.25">
      <c r="A6014" t="str">
        <f>"20190312151651978"</f>
        <v>20190312151651978</v>
      </c>
      <c r="B6014" t="str">
        <f>"1552375011973976"</f>
        <v>1552375011973976</v>
      </c>
      <c r="C6014" t="s">
        <v>40</v>
      </c>
      <c r="D6014">
        <v>4.6400129999999997</v>
      </c>
      <c r="E6014">
        <v>0.51548590000000005</v>
      </c>
      <c r="F6014" t="s">
        <v>77</v>
      </c>
      <c r="G6014">
        <v>-229.1669</v>
      </c>
      <c r="H6014" s="1">
        <v>-3.340521E-6</v>
      </c>
      <c r="I6014">
        <v>-61.9715699999999</v>
      </c>
      <c r="J6014">
        <v>-247.2747</v>
      </c>
      <c r="K6014">
        <v>1.1093139999999999</v>
      </c>
      <c r="L6014">
        <v>-63.361719999999998</v>
      </c>
      <c r="M6014">
        <v>0.9998785</v>
      </c>
      <c r="N6014">
        <v>0</v>
      </c>
      <c r="O6014">
        <v>1.2119349999999999E-2</v>
      </c>
      <c r="P6014">
        <v>0.99313779999999996</v>
      </c>
      <c r="Q6014">
        <v>6.6529140000000002E-3</v>
      </c>
      <c r="R6014">
        <v>0.1167615</v>
      </c>
      <c r="S6014">
        <v>2.9949949999999999</v>
      </c>
      <c r="T6014">
        <v>-0.1821082</v>
      </c>
      <c r="U6014">
        <v>0.2284851</v>
      </c>
      <c r="V6014">
        <v>-0.10471560000000001</v>
      </c>
      <c r="W6014">
        <v>1.6416119999999999E-2</v>
      </c>
      <c r="X6014">
        <v>0.99436670000000005</v>
      </c>
      <c r="Y6014">
        <v>-6.3882519999999998E-2</v>
      </c>
      <c r="Z6014">
        <v>1.2024640000000001E-3</v>
      </c>
      <c r="AA6014">
        <v>0.99795670000000003</v>
      </c>
      <c r="AB6014">
        <v>27</v>
      </c>
      <c r="AC6014">
        <v>18.107800000000001</v>
      </c>
      <c r="AD6014">
        <v>-1.109317340521</v>
      </c>
      <c r="AE6014">
        <v>1.39015</v>
      </c>
      <c r="AF6014">
        <v>-1.1662313446942201</v>
      </c>
      <c r="AG6014">
        <v>-1.109317340521</v>
      </c>
      <c r="AH6014">
        <v>18.0559513239828</v>
      </c>
      <c r="AI6014">
        <v>93.5084134148847</v>
      </c>
      <c r="AJ6014">
        <v>93.695592854790505</v>
      </c>
      <c r="AK6014">
        <v>18.127549716532702</v>
      </c>
      <c r="AL6014">
        <v>89.0593833477229</v>
      </c>
      <c r="AM6014">
        <v>96.011594441746098</v>
      </c>
      <c r="AN6014">
        <v>0.99999998997405204</v>
      </c>
    </row>
    <row r="6015" spans="1:40" x14ac:dyDescent="0.25">
      <c r="A6015" t="str">
        <f>"20190312151651990"</f>
        <v>20190312151651990</v>
      </c>
      <c r="B6015" t="str">
        <f>"1552375011983737"</f>
        <v>1552375011983737</v>
      </c>
      <c r="C6015" t="s">
        <v>40</v>
      </c>
      <c r="D6015">
        <v>4.6235200000000001</v>
      </c>
      <c r="E6015">
        <v>0.5154704</v>
      </c>
      <c r="F6015" t="s">
        <v>77</v>
      </c>
      <c r="G6015">
        <v>-229.1063</v>
      </c>
      <c r="H6015" s="1">
        <v>-3.3191539999999999E-6</v>
      </c>
      <c r="I6015">
        <v>-61.966000000000001</v>
      </c>
      <c r="J6015">
        <v>-247.13149999999999</v>
      </c>
      <c r="K6015">
        <v>1.1093139999999999</v>
      </c>
      <c r="L6015">
        <v>-63.359990000000003</v>
      </c>
      <c r="M6015">
        <v>0.9998785</v>
      </c>
      <c r="N6015">
        <v>0</v>
      </c>
      <c r="O6015">
        <v>1.2119319999999999E-2</v>
      </c>
      <c r="P6015">
        <v>0.99312840000000002</v>
      </c>
      <c r="Q6015">
        <v>6.425376E-3</v>
      </c>
      <c r="R6015">
        <v>0.1168545</v>
      </c>
      <c r="S6015">
        <v>2.994888</v>
      </c>
      <c r="T6015">
        <v>-0.18286069999999999</v>
      </c>
      <c r="U6015">
        <v>0.230072</v>
      </c>
      <c r="V6015">
        <v>-0.1048089</v>
      </c>
      <c r="W6015">
        <v>1.619394E-2</v>
      </c>
      <c r="X6015">
        <v>0.99436049999999998</v>
      </c>
      <c r="Y6015">
        <v>-6.4409179999999996E-2</v>
      </c>
      <c r="Z6015">
        <v>1.2234839999999999E-3</v>
      </c>
      <c r="AA6015">
        <v>0.9979228</v>
      </c>
      <c r="AB6015">
        <v>27</v>
      </c>
      <c r="AC6015">
        <v>18.025199999999899</v>
      </c>
      <c r="AD6015">
        <v>-1.109317319154</v>
      </c>
      <c r="AE6015">
        <v>1.3939900000000001</v>
      </c>
      <c r="AF6015">
        <v>-1.17101510943066</v>
      </c>
      <c r="AG6015">
        <v>-1.109317319154</v>
      </c>
      <c r="AH6015">
        <v>17.9731028720445</v>
      </c>
      <c r="AI6015">
        <v>93.524416919938005</v>
      </c>
      <c r="AJ6015">
        <v>93.727766234190497</v>
      </c>
      <c r="AK6015">
        <v>18.045339790377501</v>
      </c>
      <c r="AL6015">
        <v>89.072115004240501</v>
      </c>
      <c r="AM6015">
        <v>96.016948646277797</v>
      </c>
      <c r="AN6015">
        <v>0.99999997658609097</v>
      </c>
    </row>
    <row r="6016" spans="1:40" x14ac:dyDescent="0.25">
      <c r="A6016" t="str">
        <f>"20190312151652002"</f>
        <v>20190312151652002</v>
      </c>
      <c r="B6016" t="str">
        <f>"1552375011993497"</f>
        <v>1552375011993497</v>
      </c>
      <c r="C6016" t="s">
        <v>40</v>
      </c>
      <c r="D6016">
        <v>4.6508039999999999</v>
      </c>
      <c r="E6016">
        <v>0.5154898</v>
      </c>
      <c r="F6016" t="s">
        <v>77</v>
      </c>
      <c r="G6016">
        <v>-229.11</v>
      </c>
      <c r="H6016" s="1">
        <v>-3.32132E-6</v>
      </c>
      <c r="I6016">
        <v>-61.972949999999997</v>
      </c>
      <c r="J6016">
        <v>-247.001</v>
      </c>
      <c r="K6016">
        <v>1.109316</v>
      </c>
      <c r="L6016">
        <v>-63.358429999999998</v>
      </c>
      <c r="M6016">
        <v>0.99987839999999995</v>
      </c>
      <c r="N6016">
        <v>0</v>
      </c>
      <c r="O6016">
        <v>1.21193E-2</v>
      </c>
      <c r="P6016">
        <v>0.99311289999999997</v>
      </c>
      <c r="Q6016">
        <v>6.0732390000000002E-3</v>
      </c>
      <c r="R6016">
        <v>0.11700480000000001</v>
      </c>
      <c r="S6016">
        <v>2.9948269999999999</v>
      </c>
      <c r="T6016">
        <v>-0.18434739999999999</v>
      </c>
      <c r="U6016">
        <v>0.23049929999999999</v>
      </c>
      <c r="V6016">
        <v>-0.10495930000000001</v>
      </c>
      <c r="W6016">
        <v>1.5846369999999999E-2</v>
      </c>
      <c r="X6016">
        <v>0.99435030000000002</v>
      </c>
      <c r="Y6016">
        <v>-6.4550430000000006E-2</v>
      </c>
      <c r="Z6016">
        <v>1.2377689999999999E-3</v>
      </c>
      <c r="AA6016">
        <v>0.99791370000000001</v>
      </c>
      <c r="AB6016">
        <v>27</v>
      </c>
      <c r="AC6016">
        <v>17.890999999999899</v>
      </c>
      <c r="AD6016">
        <v>-1.1093193213200001</v>
      </c>
      <c r="AE6016">
        <v>1.38548</v>
      </c>
      <c r="AF6016">
        <v>-1.1640926831532299</v>
      </c>
      <c r="AG6016">
        <v>-1.1093193213200001</v>
      </c>
      <c r="AH6016">
        <v>17.8383065990236</v>
      </c>
      <c r="AI6016">
        <v>93.550963916880207</v>
      </c>
      <c r="AJ6016">
        <v>93.733715352412801</v>
      </c>
      <c r="AK6016">
        <v>17.910636042653401</v>
      </c>
      <c r="AL6016">
        <v>89.092031912971706</v>
      </c>
      <c r="AM6016">
        <v>96.025580801982102</v>
      </c>
      <c r="AN6016">
        <v>1.0000000406043701</v>
      </c>
    </row>
    <row r="6017" spans="1:40" x14ac:dyDescent="0.25">
      <c r="A6017" t="str">
        <f>"20190312151652012"</f>
        <v>20190312151652012</v>
      </c>
      <c r="B6017" t="str">
        <f>"1552375012004233"</f>
        <v>1552375012004233</v>
      </c>
      <c r="C6017" t="s">
        <v>40</v>
      </c>
      <c r="D6017">
        <v>4.6665320000000001</v>
      </c>
      <c r="E6017">
        <v>0.51541579999999998</v>
      </c>
      <c r="F6017" t="s">
        <v>77</v>
      </c>
      <c r="G6017">
        <v>-229.14619999999999</v>
      </c>
      <c r="H6017" s="1">
        <v>-3.3349090000000001E-6</v>
      </c>
      <c r="I6017">
        <v>-61.98236</v>
      </c>
      <c r="J6017">
        <v>-246.86619999999999</v>
      </c>
      <c r="K6017">
        <v>1.1093150000000001</v>
      </c>
      <c r="L6017">
        <v>-63.356780000000001</v>
      </c>
      <c r="M6017">
        <v>0.9998783</v>
      </c>
      <c r="N6017">
        <v>0</v>
      </c>
      <c r="O6017">
        <v>1.2119400000000001E-2</v>
      </c>
      <c r="P6017">
        <v>0.99305560000000004</v>
      </c>
      <c r="Q6017">
        <v>5.9356359999999898E-3</v>
      </c>
      <c r="R6017">
        <v>0.1174968</v>
      </c>
      <c r="S6017">
        <v>2.9947360000000001</v>
      </c>
      <c r="T6017">
        <v>-0.18606310000000001</v>
      </c>
      <c r="U6017">
        <v>0.23080439999999999</v>
      </c>
      <c r="V6017">
        <v>-0.1054522</v>
      </c>
      <c r="W6017">
        <v>1.571239E-2</v>
      </c>
      <c r="X6017">
        <v>0.99430019999999997</v>
      </c>
      <c r="Y6017">
        <v>-6.4651710000000001E-2</v>
      </c>
      <c r="Z6017">
        <v>1.2524319999999999E-3</v>
      </c>
      <c r="AA6017">
        <v>0.99790710000000005</v>
      </c>
      <c r="AB6017">
        <v>27</v>
      </c>
      <c r="AC6017">
        <v>17.72</v>
      </c>
      <c r="AD6017">
        <v>-1.1093183349089999</v>
      </c>
      <c r="AE6017">
        <v>1.37442</v>
      </c>
      <c r="AF6017">
        <v>-1.15505323372849</v>
      </c>
      <c r="AG6017">
        <v>-1.1093183349089999</v>
      </c>
      <c r="AH6017">
        <v>17.666533771557202</v>
      </c>
      <c r="AI6017">
        <v>93.585368781815305</v>
      </c>
      <c r="AJ6017">
        <v>93.740723500286094</v>
      </c>
      <c r="AK6017">
        <v>17.7389726490144</v>
      </c>
      <c r="AL6017">
        <v>89.099709290524302</v>
      </c>
      <c r="AM6017">
        <v>96.053970695485404</v>
      </c>
      <c r="AN6017">
        <v>0.99999996670219504</v>
      </c>
    </row>
    <row r="6018" spans="1:40" x14ac:dyDescent="0.25">
      <c r="A6018" t="str">
        <f>"20190312151652023"</f>
        <v>20190312151652023</v>
      </c>
      <c r="B6018" t="str">
        <f>"1552375012013993"</f>
        <v>1552375012013993</v>
      </c>
      <c r="C6018" t="s">
        <v>40</v>
      </c>
      <c r="D6018">
        <v>4.713876</v>
      </c>
      <c r="E6018">
        <v>0.51517120000000005</v>
      </c>
      <c r="F6018" t="s">
        <v>77</v>
      </c>
      <c r="G6018">
        <v>-229.01740000000001</v>
      </c>
      <c r="H6018" s="1">
        <v>-3.2892790000000001E-6</v>
      </c>
      <c r="I6018">
        <v>-61.969070000000002</v>
      </c>
      <c r="J6018">
        <v>-246.7319</v>
      </c>
      <c r="K6018">
        <v>1.1093139999999999</v>
      </c>
      <c r="L6018">
        <v>-63.355159999999998</v>
      </c>
      <c r="M6018">
        <v>0.99987820000000005</v>
      </c>
      <c r="N6018">
        <v>0</v>
      </c>
      <c r="O6018">
        <v>1.211955E-2</v>
      </c>
      <c r="P6018">
        <v>0.99302140000000005</v>
      </c>
      <c r="Q6018">
        <v>5.9101140000000002E-3</v>
      </c>
      <c r="R6018">
        <v>0.11778569999999999</v>
      </c>
      <c r="S6018">
        <v>2.9945219999999999</v>
      </c>
      <c r="T6018">
        <v>-0.18611179999999999</v>
      </c>
      <c r="U6018">
        <v>0.23281859999999999</v>
      </c>
      <c r="V6018">
        <v>-0.1057405</v>
      </c>
      <c r="W6018">
        <v>1.5691409999999999E-2</v>
      </c>
      <c r="X6018">
        <v>0.99426999999999999</v>
      </c>
      <c r="Y6018">
        <v>-6.5322859999999996E-2</v>
      </c>
      <c r="Z6018">
        <v>1.2736119999999999E-3</v>
      </c>
      <c r="AA6018">
        <v>0.99786339999999996</v>
      </c>
      <c r="AB6018">
        <v>27</v>
      </c>
      <c r="AC6018">
        <v>17.714499999999902</v>
      </c>
      <c r="AD6018">
        <v>-1.109317289279</v>
      </c>
      <c r="AE6018">
        <v>1.38609</v>
      </c>
      <c r="AF6018">
        <v>-1.1667385005361399</v>
      </c>
      <c r="AG6018">
        <v>-1.109317289279</v>
      </c>
      <c r="AH6018">
        <v>17.661161401985101</v>
      </c>
      <c r="AI6018">
        <v>93.586293672841705</v>
      </c>
      <c r="AJ6018">
        <v>93.779604047301405</v>
      </c>
      <c r="AK6018">
        <v>17.734387095242202</v>
      </c>
      <c r="AL6018">
        <v>89.100911582090504</v>
      </c>
      <c r="AM6018">
        <v>96.0705814799541</v>
      </c>
      <c r="AN6018">
        <v>1.0000000532940101</v>
      </c>
    </row>
    <row r="6019" spans="1:40" x14ac:dyDescent="0.25">
      <c r="A6019" t="str">
        <f>"20190312151652036"</f>
        <v>20190312151652036</v>
      </c>
      <c r="B6019" t="str">
        <f>"1552375012023754"</f>
        <v>1552375012023754</v>
      </c>
      <c r="C6019" t="s">
        <v>40</v>
      </c>
      <c r="D6019">
        <v>5.0125830000000002</v>
      </c>
      <c r="E6019">
        <v>0.51517120000000005</v>
      </c>
      <c r="F6019" t="s">
        <v>77</v>
      </c>
      <c r="G6019">
        <v>-228.8082</v>
      </c>
      <c r="H6019" s="1">
        <v>-3.2148210000000001E-6</v>
      </c>
      <c r="I6019">
        <v>-61.944519999999997</v>
      </c>
      <c r="J6019">
        <v>-246.5806</v>
      </c>
      <c r="K6019">
        <v>1.109308</v>
      </c>
      <c r="L6019">
        <v>-63.35333</v>
      </c>
      <c r="M6019">
        <v>0.99987820000000005</v>
      </c>
      <c r="N6019">
        <v>0</v>
      </c>
      <c r="O6019">
        <v>1.211953E-2</v>
      </c>
      <c r="P6019">
        <v>0.99301660000000003</v>
      </c>
      <c r="Q6019">
        <v>5.81907E-3</v>
      </c>
      <c r="R6019">
        <v>0.11783100000000001</v>
      </c>
      <c r="S6019">
        <v>2.9942470000000001</v>
      </c>
      <c r="T6019">
        <v>-0.18531729999999999</v>
      </c>
      <c r="U6019">
        <v>0.2356567</v>
      </c>
      <c r="V6019">
        <v>-0.10578609999999999</v>
      </c>
      <c r="W6019">
        <v>1.5604639999999999E-2</v>
      </c>
      <c r="X6019">
        <v>0.99426650000000005</v>
      </c>
      <c r="Y6019">
        <v>-6.6269060000000005E-2</v>
      </c>
      <c r="Z6019">
        <v>1.2974639999999999E-3</v>
      </c>
      <c r="AA6019">
        <v>0.99780089999999999</v>
      </c>
      <c r="AB6019">
        <v>27</v>
      </c>
      <c r="AC6019">
        <v>17.772400000000001</v>
      </c>
      <c r="AD6019">
        <v>-1.109311214821</v>
      </c>
      <c r="AE6019">
        <v>1.4088099999999999</v>
      </c>
      <c r="AF6019">
        <v>-1.1887007572950401</v>
      </c>
      <c r="AG6019">
        <v>-1.109311214821</v>
      </c>
      <c r="AH6019">
        <v>17.7195658716381</v>
      </c>
      <c r="AI6019">
        <v>93.574242848121898</v>
      </c>
      <c r="AJ6019">
        <v>93.837884317118196</v>
      </c>
      <c r="AK6019">
        <v>17.794004483000599</v>
      </c>
      <c r="AL6019">
        <v>89.105883732062594</v>
      </c>
      <c r="AM6019">
        <v>96.073201042689206</v>
      </c>
      <c r="AN6019">
        <v>1.0000000383824901</v>
      </c>
    </row>
    <row r="6020" spans="1:40" x14ac:dyDescent="0.25">
      <c r="A6020" t="str">
        <f>"20190312151652046"</f>
        <v>20190312151652046</v>
      </c>
      <c r="B6020" t="str">
        <f>"1552375012033513"</f>
        <v>1552375012033513</v>
      </c>
      <c r="C6020" t="s">
        <v>40</v>
      </c>
      <c r="D6020">
        <v>4.5113699999999897</v>
      </c>
      <c r="E6020">
        <v>0.49044599999999999</v>
      </c>
      <c r="F6020" t="s">
        <v>77</v>
      </c>
      <c r="G6020">
        <v>-228.68279999999999</v>
      </c>
      <c r="H6020" s="1">
        <v>-3.1720709999999999E-6</v>
      </c>
      <c r="I6020">
        <v>-61.943980000000003</v>
      </c>
      <c r="J6020">
        <v>-246.45650000000001</v>
      </c>
      <c r="K6020">
        <v>1.109307</v>
      </c>
      <c r="L6020">
        <v>-63.35181</v>
      </c>
      <c r="M6020">
        <v>0.9998783</v>
      </c>
      <c r="N6020">
        <v>0</v>
      </c>
      <c r="O6020">
        <v>1.2119690000000001E-2</v>
      </c>
      <c r="P6020">
        <v>0.99298900000000001</v>
      </c>
      <c r="Q6020">
        <v>5.8041029999999997E-3</v>
      </c>
      <c r="R6020">
        <v>0.1180652</v>
      </c>
      <c r="S6020">
        <v>2.9942169999999999</v>
      </c>
      <c r="T6020">
        <v>-0.18558279999999999</v>
      </c>
      <c r="U6020">
        <v>0.23577880000000001</v>
      </c>
      <c r="V6020">
        <v>-0.1060204</v>
      </c>
      <c r="W6020">
        <v>1.5592719999999999E-2</v>
      </c>
      <c r="X6020">
        <v>0.99424170000000001</v>
      </c>
      <c r="Y6020">
        <v>-6.6309759999999995E-2</v>
      </c>
      <c r="Z6020">
        <v>1.3005789999999901E-3</v>
      </c>
      <c r="AA6020">
        <v>0.99779830000000003</v>
      </c>
      <c r="AB6020">
        <v>27</v>
      </c>
      <c r="AC6020">
        <v>17.773700000000002</v>
      </c>
      <c r="AD6020">
        <v>-1.1093101720709999</v>
      </c>
      <c r="AE6020">
        <v>1.4078299999999899</v>
      </c>
      <c r="AF6020">
        <v>-1.1877067341018599</v>
      </c>
      <c r="AG6020">
        <v>-1.1093101720709999</v>
      </c>
      <c r="AH6020">
        <v>17.7208585894228</v>
      </c>
      <c r="AI6020">
        <v>93.573993948272502</v>
      </c>
      <c r="AJ6020">
        <v>93.834405653744994</v>
      </c>
      <c r="AK6020">
        <v>17.795225356550301</v>
      </c>
      <c r="AL6020">
        <v>89.106566753753597</v>
      </c>
      <c r="AM6020">
        <v>96.086702074785606</v>
      </c>
      <c r="AN6020">
        <v>1.0000000080760201</v>
      </c>
    </row>
    <row r="6021" spans="1:40" x14ac:dyDescent="0.25">
      <c r="A6021" t="str">
        <f>"20190312151652057"</f>
        <v>20190312151652057</v>
      </c>
      <c r="B6021" t="str">
        <f>"1552375012054010"</f>
        <v>1552375012054010</v>
      </c>
      <c r="C6021" t="s">
        <v>40</v>
      </c>
      <c r="D6021">
        <v>4.5472630000000001</v>
      </c>
      <c r="E6021">
        <v>0.48251319999999998</v>
      </c>
      <c r="F6021" t="s">
        <v>78</v>
      </c>
      <c r="G6021">
        <v>-216.4306</v>
      </c>
      <c r="H6021" s="1">
        <v>-1.9747189999999998E-6</v>
      </c>
      <c r="I6021">
        <v>-58.991199999999999</v>
      </c>
      <c r="J6021">
        <v>-246.3152</v>
      </c>
      <c r="K6021">
        <v>1.109307</v>
      </c>
      <c r="L6021">
        <v>-63.350099999999998</v>
      </c>
      <c r="M6021">
        <v>0.9998783</v>
      </c>
      <c r="N6021">
        <v>0</v>
      </c>
      <c r="O6021">
        <v>1.212003E-2</v>
      </c>
      <c r="P6021">
        <v>0.99298799999999998</v>
      </c>
      <c r="Q6021">
        <v>5.6803030000000003E-3</v>
      </c>
      <c r="R6021">
        <v>0.1180788</v>
      </c>
      <c r="S6021">
        <v>2.97052</v>
      </c>
      <c r="T6021">
        <v>-0.10974589999999899</v>
      </c>
      <c r="U6021">
        <v>0.43139650000000002</v>
      </c>
      <c r="V6021">
        <v>-0.1060338</v>
      </c>
      <c r="W6021">
        <v>1.5473529999999999E-2</v>
      </c>
      <c r="X6021">
        <v>0.99424210000000002</v>
      </c>
      <c r="Y6021">
        <v>-0.1316331</v>
      </c>
      <c r="Z6021">
        <v>1.9728889999999998E-3</v>
      </c>
      <c r="AA6021">
        <v>0.99129650000000002</v>
      </c>
      <c r="AB6021">
        <v>27</v>
      </c>
      <c r="AC6021">
        <v>29.884599999999999</v>
      </c>
      <c r="AD6021">
        <v>-1.1093089747189999</v>
      </c>
      <c r="AE6021">
        <v>4.3588999999999896</v>
      </c>
      <c r="AF6021">
        <v>-3.9909755655468602</v>
      </c>
      <c r="AG6021">
        <v>-1.1093089747189999</v>
      </c>
      <c r="AH6021">
        <v>29.894903903491599</v>
      </c>
      <c r="AI6021">
        <v>92.106426405585395</v>
      </c>
      <c r="AJ6021">
        <v>97.604036759593995</v>
      </c>
      <c r="AK6021">
        <v>30.1805190771328</v>
      </c>
      <c r="AL6021">
        <v>89.113396632464401</v>
      </c>
      <c r="AM6021">
        <v>96.087463171061501</v>
      </c>
      <c r="AN6021">
        <v>0.99999997514275496</v>
      </c>
    </row>
    <row r="6022" spans="1:40" x14ac:dyDescent="0.25">
      <c r="A6022" t="str">
        <f>"20190312151652069"</f>
        <v>20190312151652069</v>
      </c>
      <c r="B6022" t="str">
        <f>"1552375012063770"</f>
        <v>1552375012063770</v>
      </c>
      <c r="C6022" t="s">
        <v>40</v>
      </c>
      <c r="D6022">
        <v>4.5602269999999896</v>
      </c>
      <c r="E6022">
        <v>0.48069600000000001</v>
      </c>
      <c r="F6022" t="s">
        <v>78</v>
      </c>
      <c r="G6022">
        <v>-218.4683</v>
      </c>
      <c r="H6022" s="1">
        <v>-2.8998280000000001E-6</v>
      </c>
      <c r="I6022">
        <v>-58.70411</v>
      </c>
      <c r="J6022">
        <v>-246.16900000000001</v>
      </c>
      <c r="K6022">
        <v>1.109305</v>
      </c>
      <c r="L6022">
        <v>-63.348300000000002</v>
      </c>
      <c r="M6022">
        <v>0.99987809999999999</v>
      </c>
      <c r="N6022">
        <v>0</v>
      </c>
      <c r="O6022">
        <v>1.212013E-2</v>
      </c>
      <c r="P6022">
        <v>0.99295739999999999</v>
      </c>
      <c r="Q6022">
        <v>5.7834760000000001E-3</v>
      </c>
      <c r="R6022">
        <v>0.118331199999999</v>
      </c>
      <c r="S6022">
        <v>2.9630740000000002</v>
      </c>
      <c r="T6022">
        <v>-0.118037</v>
      </c>
      <c r="U6022">
        <v>0.49435420000000002</v>
      </c>
      <c r="V6022">
        <v>-0.1062868</v>
      </c>
      <c r="W6022">
        <v>1.5579849999999999E-2</v>
      </c>
      <c r="X6022">
        <v>0.99421349999999997</v>
      </c>
      <c r="Y6022">
        <v>-0.15248789999999901</v>
      </c>
      <c r="Z6022">
        <v>2.5360249999999999E-3</v>
      </c>
      <c r="AA6022">
        <v>0.98830209999999996</v>
      </c>
      <c r="AB6022">
        <v>27</v>
      </c>
      <c r="AC6022">
        <v>27.700700000000001</v>
      </c>
      <c r="AD6022">
        <v>-1.1093078998279999</v>
      </c>
      <c r="AE6022">
        <v>4.64419</v>
      </c>
      <c r="AF6022">
        <v>-4.3013869611584097</v>
      </c>
      <c r="AG6022">
        <v>-1.1093078998279999</v>
      </c>
      <c r="AH6022">
        <v>27.711729826338299</v>
      </c>
      <c r="AI6022">
        <v>92.2652443346837</v>
      </c>
      <c r="AJ6022">
        <v>98.822985905599893</v>
      </c>
      <c r="AK6022">
        <v>28.065503091414801</v>
      </c>
      <c r="AL6022">
        <v>89.107304277069503</v>
      </c>
      <c r="AM6022">
        <v>96.102052808078</v>
      </c>
      <c r="AN6022">
        <v>1.00000004958125</v>
      </c>
    </row>
    <row r="6023" spans="1:40" x14ac:dyDescent="0.25">
      <c r="A6023" t="str">
        <f>"20190312151652079"</f>
        <v>20190312151652079</v>
      </c>
      <c r="B6023" t="str">
        <f>"1552375012073529"</f>
        <v>1552375012073529</v>
      </c>
      <c r="C6023" t="s">
        <v>40</v>
      </c>
      <c r="D6023">
        <v>4.5898430000000001</v>
      </c>
      <c r="E6023">
        <v>0.47913090000000003</v>
      </c>
      <c r="F6023" t="s">
        <v>78</v>
      </c>
      <c r="G6023">
        <v>-218.8751</v>
      </c>
      <c r="H6023" s="1">
        <v>-3.0836450000000002E-6</v>
      </c>
      <c r="I6023">
        <v>-58.65166</v>
      </c>
      <c r="J6023">
        <v>-246.04519999999999</v>
      </c>
      <c r="K6023">
        <v>1.1093040000000001</v>
      </c>
      <c r="L6023">
        <v>-63.346800000000002</v>
      </c>
      <c r="M6023">
        <v>0.99987809999999999</v>
      </c>
      <c r="N6023">
        <v>0</v>
      </c>
      <c r="O6023">
        <v>1.2120290000000001E-2</v>
      </c>
      <c r="P6023">
        <v>0.99292219999999998</v>
      </c>
      <c r="Q6023">
        <v>5.625723E-3</v>
      </c>
      <c r="R6023">
        <v>0.1186347</v>
      </c>
      <c r="S6023">
        <v>2.9612430000000001</v>
      </c>
      <c r="T6023">
        <v>-0.1203538</v>
      </c>
      <c r="U6023">
        <v>0.509552</v>
      </c>
      <c r="V6023">
        <v>-0.1065905</v>
      </c>
      <c r="W6023">
        <v>1.54249E-2</v>
      </c>
      <c r="X6023">
        <v>0.99418340000000005</v>
      </c>
      <c r="Y6023">
        <v>-0.15750710000000001</v>
      </c>
      <c r="Z6023">
        <v>2.6874469999999999E-3</v>
      </c>
      <c r="AA6023">
        <v>0.98751420000000001</v>
      </c>
      <c r="AB6023">
        <v>27</v>
      </c>
      <c r="AC6023">
        <v>27.170099999999898</v>
      </c>
      <c r="AD6023">
        <v>-1.1093070836450001</v>
      </c>
      <c r="AE6023">
        <v>4.6951400000000003</v>
      </c>
      <c r="AF6023">
        <v>-4.3584150739460998</v>
      </c>
      <c r="AG6023">
        <v>-1.1093070836450001</v>
      </c>
      <c r="AH6023">
        <v>27.181017821116601</v>
      </c>
      <c r="AI6023">
        <v>92.307603559665495</v>
      </c>
      <c r="AJ6023">
        <v>99.109703183957905</v>
      </c>
      <c r="AK6023">
        <v>27.550573024067599</v>
      </c>
      <c r="AL6023">
        <v>89.116183322849693</v>
      </c>
      <c r="AM6023">
        <v>96.119540350880399</v>
      </c>
      <c r="AN6023">
        <v>1.0000000475329001</v>
      </c>
    </row>
    <row r="6024" spans="1:40" x14ac:dyDescent="0.25">
      <c r="A6024" t="str">
        <f>"20190312151652091"</f>
        <v>20190312151652091</v>
      </c>
      <c r="B6024" t="str">
        <f>"1552375012084265"</f>
        <v>1552375012084265</v>
      </c>
      <c r="C6024" t="s">
        <v>40</v>
      </c>
      <c r="D6024">
        <v>4.5318639999999997</v>
      </c>
      <c r="E6024">
        <v>0.47769299999999998</v>
      </c>
      <c r="F6024" t="s">
        <v>78</v>
      </c>
      <c r="G6024">
        <v>-219.80619999999999</v>
      </c>
      <c r="H6024" s="1">
        <v>-3.4726259999999999E-6</v>
      </c>
      <c r="I6024">
        <v>-58.710709999999999</v>
      </c>
      <c r="J6024">
        <v>-245.91130000000001</v>
      </c>
      <c r="K6024">
        <v>1.109302</v>
      </c>
      <c r="L6024">
        <v>-63.345179999999999</v>
      </c>
      <c r="M6024">
        <v>0.99987809999999999</v>
      </c>
      <c r="N6024">
        <v>0</v>
      </c>
      <c r="O6024">
        <v>1.212046E-2</v>
      </c>
      <c r="P6024">
        <v>0.99292349999999996</v>
      </c>
      <c r="Q6024">
        <v>5.6670979999999998E-3</v>
      </c>
      <c r="R6024">
        <v>0.11862159999999999</v>
      </c>
      <c r="S6024">
        <v>2.9596100000000001</v>
      </c>
      <c r="T6024">
        <v>-0.1251237</v>
      </c>
      <c r="U6024">
        <v>0.52291869999999996</v>
      </c>
      <c r="V6024">
        <v>-0.10657709999999999</v>
      </c>
      <c r="W6024">
        <v>1.5469709999999999E-2</v>
      </c>
      <c r="X6024">
        <v>0.99418410000000002</v>
      </c>
      <c r="Y6024">
        <v>-0.16191150000000001</v>
      </c>
      <c r="Z6024">
        <v>2.886652E-3</v>
      </c>
      <c r="AA6024">
        <v>0.98680109999999999</v>
      </c>
      <c r="AB6024">
        <v>27</v>
      </c>
      <c r="AC6024">
        <v>26.1051</v>
      </c>
      <c r="AD6024">
        <v>-1.1093054726260001</v>
      </c>
      <c r="AE6024">
        <v>4.6344700000000003</v>
      </c>
      <c r="AF6024">
        <v>-4.3101632261205101</v>
      </c>
      <c r="AG6024">
        <v>-1.1093054726260001</v>
      </c>
      <c r="AH6024">
        <v>26.113643585533101</v>
      </c>
      <c r="AI6024">
        <v>92.400024304397604</v>
      </c>
      <c r="AJ6024">
        <v>99.372401094961006</v>
      </c>
      <c r="AK6024">
        <v>26.490195299009201</v>
      </c>
      <c r="AL6024">
        <v>89.113615557171101</v>
      </c>
      <c r="AM6024">
        <v>96.1187725950182</v>
      </c>
      <c r="AN6024">
        <v>1.0000000074323501</v>
      </c>
    </row>
    <row r="6025" spans="1:40" x14ac:dyDescent="0.25">
      <c r="A6025" t="str">
        <f>"20190312151652103"</f>
        <v>20190312151652103</v>
      </c>
      <c r="B6025" t="str">
        <f>"1552375012094025"</f>
        <v>1552375012094025</v>
      </c>
      <c r="C6025" t="s">
        <v>40</v>
      </c>
      <c r="D6025">
        <v>4.5697469999999996</v>
      </c>
      <c r="E6025">
        <v>0.47687239999999997</v>
      </c>
      <c r="F6025" t="s">
        <v>77</v>
      </c>
      <c r="G6025">
        <v>-221.2962</v>
      </c>
      <c r="H6025" s="1">
        <v>-2.2934050000000001E-8</v>
      </c>
      <c r="I6025">
        <v>-58.89866</v>
      </c>
      <c r="J6025">
        <v>-245.7654</v>
      </c>
      <c r="K6025">
        <v>1.1093040000000001</v>
      </c>
      <c r="L6025">
        <v>-63.343409999999999</v>
      </c>
      <c r="M6025">
        <v>0.99987789999999999</v>
      </c>
      <c r="N6025">
        <v>0</v>
      </c>
      <c r="O6025">
        <v>1.2120799999999999E-2</v>
      </c>
      <c r="P6025">
        <v>0.99290029999999996</v>
      </c>
      <c r="Q6025">
        <v>5.7399369999999996E-3</v>
      </c>
      <c r="R6025">
        <v>0.1188111</v>
      </c>
      <c r="S6025">
        <v>2.9582980000000001</v>
      </c>
      <c r="T6025">
        <v>-0.1333184</v>
      </c>
      <c r="U6025">
        <v>0.53439329999999996</v>
      </c>
      <c r="V6025">
        <v>-0.1067666</v>
      </c>
      <c r="W6025">
        <v>1.5546000000000001E-2</v>
      </c>
      <c r="X6025">
        <v>0.99416260000000001</v>
      </c>
      <c r="Y6025">
        <v>-0.16567279999999901</v>
      </c>
      <c r="Z6025">
        <v>3.1598469999999999E-3</v>
      </c>
      <c r="AA6025">
        <v>0.98617569999999999</v>
      </c>
      <c r="AB6025">
        <v>27</v>
      </c>
      <c r="AC6025">
        <v>24.469200000000001</v>
      </c>
      <c r="AD6025">
        <v>-1.1093040229340501</v>
      </c>
      <c r="AE6025">
        <v>4.4447499999999902</v>
      </c>
      <c r="AF6025">
        <v>-4.1395866809069704</v>
      </c>
      <c r="AG6025">
        <v>-1.1093040229340501</v>
      </c>
      <c r="AH6025">
        <v>24.472588501067801</v>
      </c>
      <c r="AI6025">
        <v>92.559048502289997</v>
      </c>
      <c r="AJ6025">
        <v>99.600815220612503</v>
      </c>
      <c r="AK6025">
        <v>24.845005961895701</v>
      </c>
      <c r="AL6025">
        <v>89.109243956685006</v>
      </c>
      <c r="AM6025">
        <v>96.129700914659495</v>
      </c>
      <c r="AN6025">
        <v>1.0000000301151499</v>
      </c>
    </row>
    <row r="6026" spans="1:40" x14ac:dyDescent="0.25">
      <c r="A6026" t="str">
        <f>"20190312151652115"</f>
        <v>20190312151652115</v>
      </c>
      <c r="B6026" t="str">
        <f>"1552375012103786"</f>
        <v>1552375012103786</v>
      </c>
      <c r="C6026" t="s">
        <v>40</v>
      </c>
      <c r="D6026">
        <v>4.5917269999999997</v>
      </c>
      <c r="E6026">
        <v>0.47628690000000001</v>
      </c>
      <c r="F6026" t="s">
        <v>77</v>
      </c>
      <c r="G6026">
        <v>-222.9</v>
      </c>
      <c r="H6026" s="1">
        <v>-6.3335180000000001E-7</v>
      </c>
      <c r="I6026">
        <v>-59.156889999999997</v>
      </c>
      <c r="J6026">
        <v>-245.62139999999999</v>
      </c>
      <c r="K6026">
        <v>1.1093029999999999</v>
      </c>
      <c r="L6026">
        <v>-63.341669999999901</v>
      </c>
      <c r="M6026">
        <v>0.99987800000000004</v>
      </c>
      <c r="N6026">
        <v>0</v>
      </c>
      <c r="O6026">
        <v>1.2120779999999999E-2</v>
      </c>
      <c r="P6026">
        <v>0.99287890000000001</v>
      </c>
      <c r="Q6026">
        <v>5.8197099999999996E-3</v>
      </c>
      <c r="R6026">
        <v>0.1189872</v>
      </c>
      <c r="S6026">
        <v>2.9575200000000001</v>
      </c>
      <c r="T6026">
        <v>-0.14348269999999999</v>
      </c>
      <c r="U6026">
        <v>0.54150390000000004</v>
      </c>
      <c r="V6026">
        <v>-0.1069428</v>
      </c>
      <c r="W6026">
        <v>1.5628960000000001E-2</v>
      </c>
      <c r="X6026">
        <v>0.99414239999999998</v>
      </c>
      <c r="Y6026">
        <v>-0.16798640000000001</v>
      </c>
      <c r="Z6026">
        <v>3.4562740000000001E-3</v>
      </c>
      <c r="AA6026">
        <v>0.98578330000000003</v>
      </c>
      <c r="AB6026">
        <v>27</v>
      </c>
      <c r="AC6026">
        <v>22.7213999999999</v>
      </c>
      <c r="AD6026">
        <v>-1.1093036333518</v>
      </c>
      <c r="AE6026">
        <v>4.1847799999999804</v>
      </c>
      <c r="AF6026">
        <v>-3.9000669514984398</v>
      </c>
      <c r="AG6026">
        <v>-1.1093036333518</v>
      </c>
      <c r="AH6026">
        <v>22.718082113029698</v>
      </c>
      <c r="AI6026">
        <v>92.7552392501795</v>
      </c>
      <c r="AJ6026">
        <v>99.741147727816298</v>
      </c>
      <c r="AK6026">
        <v>23.077095390700698</v>
      </c>
      <c r="AL6026">
        <v>89.1044901563818</v>
      </c>
      <c r="AM6026">
        <v>96.139863536678405</v>
      </c>
      <c r="AN6026">
        <v>1.0000000691701301</v>
      </c>
    </row>
    <row r="6027" spans="1:40" x14ac:dyDescent="0.25">
      <c r="A6027" t="str">
        <f>"20190312151652126"</f>
        <v>20190312151652126</v>
      </c>
      <c r="B6027" t="str">
        <f>"1552375012124282"</f>
        <v>1552375012124282</v>
      </c>
      <c r="C6027" t="s">
        <v>40</v>
      </c>
      <c r="D6027">
        <v>4.6812860000000001</v>
      </c>
      <c r="E6027">
        <v>0.47463470000000002</v>
      </c>
      <c r="F6027" t="s">
        <v>77</v>
      </c>
      <c r="G6027">
        <v>-222.827</v>
      </c>
      <c r="H6027" s="1">
        <v>-6.0851040000000001E-7</v>
      </c>
      <c r="I6027">
        <v>-59.127659999999999</v>
      </c>
      <c r="J6027">
        <v>-245.47210000000001</v>
      </c>
      <c r="K6027">
        <v>1.1093059999999999</v>
      </c>
      <c r="L6027">
        <v>-63.339869999999998</v>
      </c>
      <c r="M6027">
        <v>0.99987800000000004</v>
      </c>
      <c r="N6027">
        <v>0</v>
      </c>
      <c r="O6027">
        <v>1.212094E-2</v>
      </c>
      <c r="P6027">
        <v>0.99287060000000005</v>
      </c>
      <c r="Q6027">
        <v>5.8842959999999998E-3</v>
      </c>
      <c r="R6027">
        <v>0.1190524</v>
      </c>
      <c r="S6027">
        <v>2.956833</v>
      </c>
      <c r="T6027">
        <v>-0.1438961</v>
      </c>
      <c r="U6027">
        <v>0.54663090000000003</v>
      </c>
      <c r="V6027">
        <v>-0.1070077</v>
      </c>
      <c r="W6027">
        <v>1.5696660000000001E-2</v>
      </c>
      <c r="X6027">
        <v>0.99413430000000003</v>
      </c>
      <c r="Y6027">
        <v>-0.16967689999999999</v>
      </c>
      <c r="Z6027">
        <v>3.5072319999999999E-3</v>
      </c>
      <c r="AA6027">
        <v>0.98549350000000002</v>
      </c>
      <c r="AB6027">
        <v>27</v>
      </c>
      <c r="AC6027">
        <v>22.645099999999999</v>
      </c>
      <c r="AD6027">
        <v>-1.1093066085104</v>
      </c>
      <c r="AE6027">
        <v>4.21220999999999</v>
      </c>
      <c r="AF6027">
        <v>-3.9282958837316899</v>
      </c>
      <c r="AG6027">
        <v>-1.1093066085104</v>
      </c>
      <c r="AH6027">
        <v>22.641978103956198</v>
      </c>
      <c r="AI6027">
        <v>92.763649665257702</v>
      </c>
      <c r="AJ6027">
        <v>99.842619965212606</v>
      </c>
      <c r="AK6027">
        <v>23.006982465370399</v>
      </c>
      <c r="AL6027">
        <v>89.100610712010294</v>
      </c>
      <c r="AM6027">
        <v>96.143610801978497</v>
      </c>
      <c r="AN6027">
        <v>1.0000000197154599</v>
      </c>
    </row>
    <row r="6028" spans="1:40" x14ac:dyDescent="0.25">
      <c r="A6028" t="str">
        <f>"20190312151652246"</f>
        <v>20190312151652246</v>
      </c>
      <c r="B6028" t="str">
        <f>"1552375012243353"</f>
        <v>1552375012243353</v>
      </c>
      <c r="C6028" t="s">
        <v>40</v>
      </c>
      <c r="D6028">
        <v>4.736993</v>
      </c>
      <c r="E6028">
        <v>0.47359440000000003</v>
      </c>
      <c r="F6028" t="s">
        <v>77</v>
      </c>
      <c r="G6028">
        <v>-222.8074</v>
      </c>
      <c r="H6028" s="1">
        <v>-6.1818890000000004E-7</v>
      </c>
      <c r="I6028">
        <v>-59.0458</v>
      </c>
      <c r="J6028">
        <v>-244.0026</v>
      </c>
      <c r="K6028">
        <v>1.1093109999999999</v>
      </c>
      <c r="L6028">
        <v>-63.322020000000002</v>
      </c>
      <c r="M6028">
        <v>0.99987760000000003</v>
      </c>
      <c r="N6028">
        <v>0</v>
      </c>
      <c r="O6028">
        <v>1.2122290000000001E-2</v>
      </c>
      <c r="P6028">
        <v>0.99240300000000004</v>
      </c>
      <c r="Q6028">
        <v>6.0106179999999997E-3</v>
      </c>
      <c r="R6028">
        <v>0.1228829</v>
      </c>
      <c r="S6028">
        <v>2.9552610000000001</v>
      </c>
      <c r="T6028">
        <v>-0.14464270000000001</v>
      </c>
      <c r="U6028">
        <v>0.55990600000000001</v>
      </c>
      <c r="V6028">
        <v>-0.1108425</v>
      </c>
      <c r="W6028">
        <v>1.5846840000000001E-2</v>
      </c>
      <c r="X6028">
        <v>0.99371169999999998</v>
      </c>
      <c r="Y6028">
        <v>-0.17403759999999999</v>
      </c>
      <c r="Z6028">
        <v>3.6314590000000001E-3</v>
      </c>
      <c r="AA6028">
        <v>0.9847323</v>
      </c>
      <c r="AB6028">
        <v>28</v>
      </c>
      <c r="AC6028">
        <v>21.1952</v>
      </c>
      <c r="AD6028">
        <v>-1.1093116181889</v>
      </c>
      <c r="AE6028">
        <v>4.2762199999999897</v>
      </c>
      <c r="AF6028">
        <v>-4.0084082481521897</v>
      </c>
      <c r="AG6028">
        <v>-1.1093116181889</v>
      </c>
      <c r="AH6028">
        <v>21.189708878094699</v>
      </c>
      <c r="AI6028">
        <v>92.944651548870993</v>
      </c>
      <c r="AJ6028">
        <v>100.711933687716</v>
      </c>
      <c r="AK6028">
        <v>21.594019340745898</v>
      </c>
      <c r="AL6028">
        <v>89.092005000394394</v>
      </c>
      <c r="AM6028">
        <v>96.364686380331904</v>
      </c>
      <c r="AN6028">
        <v>1.0000000624305601</v>
      </c>
    </row>
    <row r="6029" spans="1:40" x14ac:dyDescent="0.25">
      <c r="A6029" t="str">
        <f>"20190312151652257"</f>
        <v>20190312151652257</v>
      </c>
      <c r="B6029" t="str">
        <f>"1552375012254089"</f>
        <v>1552375012254089</v>
      </c>
      <c r="C6029" t="s">
        <v>40</v>
      </c>
      <c r="D6029">
        <v>4.5995559999999998</v>
      </c>
      <c r="E6029">
        <v>0.45627899999999999</v>
      </c>
      <c r="F6029" t="s">
        <v>77</v>
      </c>
      <c r="G6029">
        <v>-220.57149999999999</v>
      </c>
      <c r="H6029" s="1">
        <v>1.6893609999999999E-7</v>
      </c>
      <c r="I6029">
        <v>-58.721939999999996</v>
      </c>
      <c r="J6029">
        <v>-243.86619999999999</v>
      </c>
      <c r="K6029">
        <v>1.1093109999999999</v>
      </c>
      <c r="L6029">
        <v>-63.320340000000002</v>
      </c>
      <c r="M6029">
        <v>0.99987769999999998</v>
      </c>
      <c r="N6029">
        <v>0</v>
      </c>
      <c r="O6029">
        <v>1.2122279999999999E-2</v>
      </c>
      <c r="P6029">
        <v>0.99235119999999999</v>
      </c>
      <c r="Q6029">
        <v>6.0549449999999999E-3</v>
      </c>
      <c r="R6029">
        <v>0.1232999</v>
      </c>
      <c r="S6029">
        <v>2.9520569999999999</v>
      </c>
      <c r="T6029">
        <v>-0.13976089999999999</v>
      </c>
      <c r="U6029">
        <v>0.5795593</v>
      </c>
      <c r="V6029">
        <v>-0.11126030000000001</v>
      </c>
      <c r="W6029">
        <v>1.5893089999999999E-2</v>
      </c>
      <c r="X6029">
        <v>0.9936642</v>
      </c>
      <c r="Y6029">
        <v>-0.18055489999999999</v>
      </c>
      <c r="Z6029">
        <v>3.663318E-3</v>
      </c>
      <c r="AA6029">
        <v>0.98355809999999999</v>
      </c>
      <c r="AB6029">
        <v>28</v>
      </c>
      <c r="AC6029">
        <v>23.294699999999999</v>
      </c>
      <c r="AD6029">
        <v>-1.1093108310638999</v>
      </c>
      <c r="AE6029">
        <v>4.5983999999999901</v>
      </c>
      <c r="AF6029">
        <v>-4.3062642211281297</v>
      </c>
      <c r="AG6029">
        <v>-1.1093108310638999</v>
      </c>
      <c r="AH6029">
        <v>23.297882146520202</v>
      </c>
      <c r="AI6029">
        <v>92.680696719088601</v>
      </c>
      <c r="AJ6029">
        <v>100.472077335099</v>
      </c>
      <c r="AK6029">
        <v>23.718469482140499</v>
      </c>
      <c r="AL6029">
        <v>89.089354674229995</v>
      </c>
      <c r="AM6029">
        <v>96.388781757864805</v>
      </c>
      <c r="AN6029">
        <v>0.99999999351373903</v>
      </c>
    </row>
    <row r="6030" spans="1:40" x14ac:dyDescent="0.25">
      <c r="A6030" t="str">
        <f>"20190312151652268"</f>
        <v>20190312151652268</v>
      </c>
      <c r="B6030" t="str">
        <f>"1552375012263849"</f>
        <v>1552375012263849</v>
      </c>
      <c r="C6030" t="s">
        <v>40</v>
      </c>
      <c r="D6030">
        <v>4.544378</v>
      </c>
      <c r="E6030">
        <v>0.45730189999999998</v>
      </c>
      <c r="F6030" t="s">
        <v>64</v>
      </c>
      <c r="G6030">
        <v>-195.3477</v>
      </c>
      <c r="H6030" s="1">
        <v>-9.9430240000000002E-6</v>
      </c>
      <c r="I6030">
        <v>-51.465710000000001</v>
      </c>
      <c r="J6030">
        <v>-243.7234</v>
      </c>
      <c r="K6030">
        <v>1.1093109999999999</v>
      </c>
      <c r="L6030">
        <v>-63.318600000000004</v>
      </c>
      <c r="M6030">
        <v>0.99987760000000003</v>
      </c>
      <c r="N6030">
        <v>0</v>
      </c>
      <c r="O6030">
        <v>1.212245E-2</v>
      </c>
      <c r="P6030">
        <v>0.9922995</v>
      </c>
      <c r="Q6030">
        <v>6.2739969999999999E-3</v>
      </c>
      <c r="R6030">
        <v>0.1237031</v>
      </c>
      <c r="S6030">
        <v>2.9344480000000002</v>
      </c>
      <c r="T6030">
        <v>-6.7092899999999997E-2</v>
      </c>
      <c r="U6030">
        <v>0.71697999999999995</v>
      </c>
      <c r="V6030">
        <v>-0.1116641</v>
      </c>
      <c r="W6030">
        <v>1.6113840000000001E-2</v>
      </c>
      <c r="X6030">
        <v>0.99361529999999998</v>
      </c>
      <c r="Y6030">
        <v>-0.2255035</v>
      </c>
      <c r="Z6030">
        <v>2.2672360000000002E-3</v>
      </c>
      <c r="AA6030">
        <v>0.97423970000000004</v>
      </c>
      <c r="AB6030">
        <v>28</v>
      </c>
      <c r="AC6030">
        <v>48.375700000000002</v>
      </c>
      <c r="AD6030">
        <v>-1.1093209430239901</v>
      </c>
      <c r="AE6030">
        <v>11.85289</v>
      </c>
      <c r="AF6030">
        <v>-11.259972576733601</v>
      </c>
      <c r="AG6030">
        <v>-1.1093209430239901</v>
      </c>
      <c r="AH6030">
        <v>48.491782949928201</v>
      </c>
      <c r="AI6030">
        <v>91.276545487828301</v>
      </c>
      <c r="AJ6030">
        <v>103.072626929698</v>
      </c>
      <c r="AK6030">
        <v>49.7942826943654</v>
      </c>
      <c r="AL6030">
        <v>89.076704966711503</v>
      </c>
      <c r="AM6030">
        <v>96.412088904954402</v>
      </c>
      <c r="AN6030">
        <v>0.99999994573122097</v>
      </c>
    </row>
    <row r="6031" spans="1:40" x14ac:dyDescent="0.25">
      <c r="A6031" t="str">
        <f>"20190312151652280"</f>
        <v>20190312151652280</v>
      </c>
      <c r="B6031" t="str">
        <f>"1552375012273610"</f>
        <v>1552375012273610</v>
      </c>
      <c r="C6031" t="s">
        <v>40</v>
      </c>
      <c r="D6031">
        <v>4.5639200000000004</v>
      </c>
      <c r="E6031">
        <v>0.4579704</v>
      </c>
      <c r="F6031" t="s">
        <v>64</v>
      </c>
      <c r="G6031">
        <v>-197.0112</v>
      </c>
      <c r="H6031" s="1">
        <v>-9.9087569999999998E-6</v>
      </c>
      <c r="I6031">
        <v>-52.017000000000003</v>
      </c>
      <c r="J6031">
        <v>-243.58940000000001</v>
      </c>
      <c r="K6031">
        <v>1.1093109999999999</v>
      </c>
      <c r="L6031">
        <v>-63.316989999999997</v>
      </c>
      <c r="M6031">
        <v>0.99987760000000003</v>
      </c>
      <c r="N6031">
        <v>0</v>
      </c>
      <c r="O6031">
        <v>1.2122559999999999E-2</v>
      </c>
      <c r="P6031">
        <v>0.99223470000000002</v>
      </c>
      <c r="Q6031">
        <v>6.3619840000000002E-3</v>
      </c>
      <c r="R6031">
        <v>0.1242173</v>
      </c>
      <c r="S6031">
        <v>2.9351959999999999</v>
      </c>
      <c r="T6031">
        <v>-6.9704890000000005E-2</v>
      </c>
      <c r="U6031">
        <v>0.710144</v>
      </c>
      <c r="V6031">
        <v>-0.112179</v>
      </c>
      <c r="W6031">
        <v>1.6202999999999999E-2</v>
      </c>
      <c r="X6031">
        <v>0.99355590000000005</v>
      </c>
      <c r="Y6031">
        <v>-0.22329969999999999</v>
      </c>
      <c r="Z6031">
        <v>2.3297370000000001E-3</v>
      </c>
      <c r="AA6031">
        <v>0.97474709999999998</v>
      </c>
      <c r="AB6031">
        <v>28</v>
      </c>
      <c r="AC6031">
        <v>46.578200000000002</v>
      </c>
      <c r="AD6031">
        <v>-1.109320908757</v>
      </c>
      <c r="AE6031">
        <v>11.299989999999999</v>
      </c>
      <c r="AF6031">
        <v>-10.728737681093101</v>
      </c>
      <c r="AG6031">
        <v>-1.109320908757</v>
      </c>
      <c r="AH6031">
        <v>46.686759016705203</v>
      </c>
      <c r="AI6031">
        <v>91.326580624561899</v>
      </c>
      <c r="AJ6031">
        <v>102.942021031916</v>
      </c>
      <c r="AK6031">
        <v>47.916488525268797</v>
      </c>
      <c r="AL6031">
        <v>89.071595854223702</v>
      </c>
      <c r="AM6031">
        <v>96.441789935051503</v>
      </c>
      <c r="AN6031">
        <v>0.99999999583740495</v>
      </c>
    </row>
    <row r="6032" spans="1:40" x14ac:dyDescent="0.25">
      <c r="A6032" t="str">
        <f>"20190312151652291"</f>
        <v>20190312151652291</v>
      </c>
      <c r="B6032" t="str">
        <f>"1552375012283369"</f>
        <v>1552375012283369</v>
      </c>
      <c r="C6032" t="s">
        <v>40</v>
      </c>
      <c r="D6032">
        <v>4.5553080000000001</v>
      </c>
      <c r="E6032">
        <v>0.45748169999999999</v>
      </c>
      <c r="F6032" t="s">
        <v>64</v>
      </c>
      <c r="G6032">
        <v>-184.6574</v>
      </c>
      <c r="H6032" s="1">
        <v>-3.0923859999999999E-6</v>
      </c>
      <c r="I6032">
        <v>-49.13832</v>
      </c>
      <c r="J6032">
        <v>-243.44909999999999</v>
      </c>
      <c r="K6032">
        <v>1.10931</v>
      </c>
      <c r="L6032">
        <v>-63.315280000000001</v>
      </c>
      <c r="M6032">
        <v>0.99987760000000003</v>
      </c>
      <c r="N6032">
        <v>0</v>
      </c>
      <c r="O6032">
        <v>1.212273E-2</v>
      </c>
      <c r="P6032">
        <v>0.99217120000000003</v>
      </c>
      <c r="Q6032">
        <v>6.540443E-3</v>
      </c>
      <c r="R6032">
        <v>0.12471550000000001</v>
      </c>
      <c r="S6032">
        <v>2.9353940000000001</v>
      </c>
      <c r="T6032">
        <v>-5.5254820000000003E-2</v>
      </c>
      <c r="U6032">
        <v>0.70623780000000003</v>
      </c>
      <c r="V6032">
        <v>-0.1126775</v>
      </c>
      <c r="W6032">
        <v>1.6383700000000001E-2</v>
      </c>
      <c r="X6032">
        <v>0.9934965</v>
      </c>
      <c r="Y6032">
        <v>-0.22207959999999999</v>
      </c>
      <c r="Z6032">
        <v>1.835705E-3</v>
      </c>
      <c r="AA6032">
        <v>0.97502679999999997</v>
      </c>
      <c r="AB6032">
        <v>28</v>
      </c>
      <c r="AC6032">
        <v>58.791699999999899</v>
      </c>
      <c r="AD6032">
        <v>-1.109313092386</v>
      </c>
      <c r="AE6032">
        <v>14.176959999999999</v>
      </c>
      <c r="AF6032">
        <v>-13.4586391078772</v>
      </c>
      <c r="AG6032">
        <v>-1.109313092386</v>
      </c>
      <c r="AH6032">
        <v>58.939420658611297</v>
      </c>
      <c r="AI6032">
        <v>91.051198966921703</v>
      </c>
      <c r="AJ6032">
        <v>102.862779883625</v>
      </c>
      <c r="AK6032">
        <v>60.466692068822098</v>
      </c>
      <c r="AL6032">
        <v>89.0612411080768</v>
      </c>
      <c r="AM6032">
        <v>96.470557251043999</v>
      </c>
      <c r="AN6032">
        <v>0.99999997007209396</v>
      </c>
    </row>
    <row r="6033" spans="1:40" x14ac:dyDescent="0.25">
      <c r="A6033" t="str">
        <f>"20190312151652302"</f>
        <v>20190312151652302</v>
      </c>
      <c r="B6033" t="str">
        <f>"1552375012294105"</f>
        <v>1552375012294105</v>
      </c>
      <c r="C6033" t="s">
        <v>40</v>
      </c>
      <c r="D6033">
        <v>4.5430999999999999</v>
      </c>
      <c r="E6033">
        <v>0.45812750000000002</v>
      </c>
      <c r="F6033" t="s">
        <v>64</v>
      </c>
      <c r="G6033">
        <v>-187.7482</v>
      </c>
      <c r="H6033" s="1">
        <v>-3.3837080000000001E-6</v>
      </c>
      <c r="I6033">
        <v>-49.807250000000003</v>
      </c>
      <c r="J6033">
        <v>-243.30779999999999</v>
      </c>
      <c r="K6033">
        <v>1.109308</v>
      </c>
      <c r="L6033">
        <v>-63.313569999999999</v>
      </c>
      <c r="M6033">
        <v>0.99987749999999997</v>
      </c>
      <c r="N6033">
        <v>0</v>
      </c>
      <c r="O6033">
        <v>1.212307E-2</v>
      </c>
      <c r="P6033">
        <v>0.99212710000000004</v>
      </c>
      <c r="Q6033">
        <v>6.5667980000000004E-3</v>
      </c>
      <c r="R6033">
        <v>0.1250618</v>
      </c>
      <c r="S6033">
        <v>2.9346009999999998</v>
      </c>
      <c r="T6033">
        <v>-5.8444139999999999E-2</v>
      </c>
      <c r="U6033">
        <v>0.71166989999999997</v>
      </c>
      <c r="V6033">
        <v>-0.11302420000000001</v>
      </c>
      <c r="W6033">
        <v>1.6411350000000002E-2</v>
      </c>
      <c r="X6033">
        <v>0.99345669999999997</v>
      </c>
      <c r="Y6033">
        <v>-0.2238396</v>
      </c>
      <c r="Z6033">
        <v>1.9590050000000002E-3</v>
      </c>
      <c r="AA6033">
        <v>0.97462400000000005</v>
      </c>
      <c r="AB6033">
        <v>28</v>
      </c>
      <c r="AC6033">
        <v>55.559599999999897</v>
      </c>
      <c r="AD6033">
        <v>-1.109311383708</v>
      </c>
      <c r="AE6033">
        <v>13.506319999999899</v>
      </c>
      <c r="AF6033">
        <v>-12.826913336750399</v>
      </c>
      <c r="AG6033">
        <v>-1.109311383708</v>
      </c>
      <c r="AH6033">
        <v>55.698297745432697</v>
      </c>
      <c r="AI6033">
        <v>91.111880995661494</v>
      </c>
      <c r="AJ6033">
        <v>102.96869330208</v>
      </c>
      <c r="AK6033">
        <v>57.1669541713865</v>
      </c>
      <c r="AL6033">
        <v>89.059656702824299</v>
      </c>
      <c r="AM6033">
        <v>96.490554833755596</v>
      </c>
      <c r="AN6033">
        <v>1.0000000084846701</v>
      </c>
    </row>
    <row r="6034" spans="1:40" x14ac:dyDescent="0.25">
      <c r="A6034" t="str">
        <f>"20190312151652313"</f>
        <v>20190312151652313</v>
      </c>
      <c r="B6034" t="str">
        <f>"1552375012303866"</f>
        <v>1552375012303866</v>
      </c>
      <c r="C6034" t="s">
        <v>40</v>
      </c>
      <c r="D6034">
        <v>4.4778269999999996</v>
      </c>
      <c r="E6034">
        <v>0.4580766</v>
      </c>
      <c r="F6034" t="s">
        <v>64</v>
      </c>
      <c r="G6034">
        <v>-201.2921</v>
      </c>
      <c r="H6034" s="1">
        <v>-6.3440020000000002E-6</v>
      </c>
      <c r="I6034">
        <v>-53.182419999999901</v>
      </c>
      <c r="J6034">
        <v>-243.17490000000001</v>
      </c>
      <c r="K6034">
        <v>1.1093059999999999</v>
      </c>
      <c r="L6034">
        <v>-63.311950000000003</v>
      </c>
      <c r="M6034">
        <v>0.99987749999999997</v>
      </c>
      <c r="N6034">
        <v>0</v>
      </c>
      <c r="O6034">
        <v>1.212307E-2</v>
      </c>
      <c r="P6034">
        <v>0.99205840000000001</v>
      </c>
      <c r="Q6034">
        <v>6.7521450000000002E-3</v>
      </c>
      <c r="R6034">
        <v>0.1255974</v>
      </c>
      <c r="S6034">
        <v>2.9350890000000001</v>
      </c>
      <c r="T6034">
        <v>-7.7493430000000002E-2</v>
      </c>
      <c r="U6034">
        <v>0.70773319999999995</v>
      </c>
      <c r="V6034">
        <v>-0.1135601</v>
      </c>
      <c r="W6034">
        <v>1.6598249999999998E-2</v>
      </c>
      <c r="X6034">
        <v>0.99339250000000001</v>
      </c>
      <c r="Y6034">
        <v>-0.2225376</v>
      </c>
      <c r="Z6034">
        <v>2.580377E-3</v>
      </c>
      <c r="AA6034">
        <v>0.97492069999999997</v>
      </c>
      <c r="AB6034">
        <v>28</v>
      </c>
      <c r="AC6034">
        <v>41.882800000000003</v>
      </c>
      <c r="AD6034">
        <v>-1.1093123440020001</v>
      </c>
      <c r="AE6034">
        <v>10.129530000000001</v>
      </c>
      <c r="AF6034">
        <v>-9.6146404563104397</v>
      </c>
      <c r="AG6034">
        <v>-1.1093123440020001</v>
      </c>
      <c r="AH6034">
        <v>41.974710237507601</v>
      </c>
      <c r="AI6034">
        <v>91.475667031149001</v>
      </c>
      <c r="AJ6034">
        <v>102.901489525768</v>
      </c>
      <c r="AK6034">
        <v>43.076074385944302</v>
      </c>
      <c r="AL6034">
        <v>89.0489466820231</v>
      </c>
      <c r="AM6034">
        <v>96.521482903894494</v>
      </c>
      <c r="AN6034">
        <v>1.0000000286356601</v>
      </c>
    </row>
    <row r="6035" spans="1:40" x14ac:dyDescent="0.25">
      <c r="A6035" t="str">
        <f>"20190312151652324"</f>
        <v>20190312151652324</v>
      </c>
      <c r="B6035" t="str">
        <f>"1552375012313626"</f>
        <v>1552375012313626</v>
      </c>
      <c r="C6035" t="s">
        <v>40</v>
      </c>
      <c r="D6035">
        <v>4.4634010000000002</v>
      </c>
      <c r="E6035">
        <v>0.45851940000000002</v>
      </c>
      <c r="F6035" t="s">
        <v>64</v>
      </c>
      <c r="G6035">
        <v>-209.52</v>
      </c>
      <c r="H6035" s="1">
        <v>-1.6639000000000001E-6</v>
      </c>
      <c r="I6035">
        <v>-55.170099999999998</v>
      </c>
      <c r="J6035">
        <v>-243.03219999999999</v>
      </c>
      <c r="K6035">
        <v>1.109307</v>
      </c>
      <c r="L6035">
        <v>-63.31024</v>
      </c>
      <c r="M6035">
        <v>0.99987749999999997</v>
      </c>
      <c r="N6035">
        <v>0</v>
      </c>
      <c r="O6035">
        <v>1.212323E-2</v>
      </c>
      <c r="P6035">
        <v>0.99199320000000002</v>
      </c>
      <c r="Q6035">
        <v>6.5257619999999896E-3</v>
      </c>
      <c r="R6035">
        <v>0.12612190000000001</v>
      </c>
      <c r="S6035">
        <v>2.9347989999999999</v>
      </c>
      <c r="T6035">
        <v>-9.6734520000000004E-2</v>
      </c>
      <c r="U6035">
        <v>0.7099915</v>
      </c>
      <c r="V6035">
        <v>-0.1140853</v>
      </c>
      <c r="W6035">
        <v>1.6373680000000002E-2</v>
      </c>
      <c r="X6035">
        <v>0.993336</v>
      </c>
      <c r="Y6035">
        <v>-0.22322919999999999</v>
      </c>
      <c r="Z6035">
        <v>3.2320180000000001E-3</v>
      </c>
      <c r="AA6035">
        <v>0.97476070000000004</v>
      </c>
      <c r="AB6035">
        <v>28</v>
      </c>
      <c r="AC6035">
        <v>33.512199999999901</v>
      </c>
      <c r="AD6035">
        <v>-1.1093086639</v>
      </c>
      <c r="AE6035">
        <v>8.1401400000000006</v>
      </c>
      <c r="AF6035">
        <v>-7.72525260866629</v>
      </c>
      <c r="AG6035">
        <v>-1.1093086639</v>
      </c>
      <c r="AH6035">
        <v>33.5736888530407</v>
      </c>
      <c r="AI6035">
        <v>91.844263826332707</v>
      </c>
      <c r="AJ6035">
        <v>102.95811988749701</v>
      </c>
      <c r="AK6035">
        <v>34.468865324815901</v>
      </c>
      <c r="AL6035">
        <v>89.061815299063795</v>
      </c>
      <c r="AM6035">
        <v>96.551751662321294</v>
      </c>
      <c r="AN6035">
        <v>0.999999980984416</v>
      </c>
    </row>
    <row r="6036" spans="1:40" x14ac:dyDescent="0.25">
      <c r="A6036" t="str">
        <f>"20190312151652336"</f>
        <v>20190312151652336</v>
      </c>
      <c r="B6036" t="str">
        <f>"1552375012334122"</f>
        <v>1552375012334122</v>
      </c>
      <c r="C6036" t="s">
        <v>40</v>
      </c>
      <c r="D6036">
        <v>4.4224119999999996</v>
      </c>
      <c r="E6036">
        <v>0.45875850000000001</v>
      </c>
      <c r="F6036" t="s">
        <v>78</v>
      </c>
      <c r="G6036">
        <v>-212.9152</v>
      </c>
      <c r="H6036" s="1">
        <v>-1.1199690000000001E-6</v>
      </c>
      <c r="I6036">
        <v>-56.042270000000002</v>
      </c>
      <c r="J6036">
        <v>-242.89850000000001</v>
      </c>
      <c r="K6036">
        <v>1.109307</v>
      </c>
      <c r="L6036">
        <v>-63.308619999999998</v>
      </c>
      <c r="M6036">
        <v>0.99987749999999997</v>
      </c>
      <c r="N6036">
        <v>0</v>
      </c>
      <c r="O6036">
        <v>1.212334E-2</v>
      </c>
      <c r="P6036">
        <v>0.99193699999999996</v>
      </c>
      <c r="Q6036">
        <v>6.3918890000000004E-3</v>
      </c>
      <c r="R6036">
        <v>0.12657119999999999</v>
      </c>
      <c r="S6036">
        <v>2.9348749999999999</v>
      </c>
      <c r="T6036">
        <v>-0.10810119999999999</v>
      </c>
      <c r="U6036">
        <v>0.70825199999999999</v>
      </c>
      <c r="V6036">
        <v>-0.1145355</v>
      </c>
      <c r="W6036">
        <v>1.6240660000000001E-2</v>
      </c>
      <c r="X6036">
        <v>0.99328640000000001</v>
      </c>
      <c r="Y6036">
        <v>-0.22265080000000001</v>
      </c>
      <c r="Z6036">
        <v>3.6012129999999998E-3</v>
      </c>
      <c r="AA6036">
        <v>0.97489159999999997</v>
      </c>
      <c r="AB6036">
        <v>28</v>
      </c>
      <c r="AC6036">
        <v>29.9833</v>
      </c>
      <c r="AD6036">
        <v>-1.109308119969</v>
      </c>
      <c r="AE6036">
        <v>7.2663500000000001</v>
      </c>
      <c r="AF6036">
        <v>-6.8933880354305197</v>
      </c>
      <c r="AG6036">
        <v>-1.109308119969</v>
      </c>
      <c r="AH6036">
        <v>30.0303672690189</v>
      </c>
      <c r="AI6036">
        <v>92.061939837281301</v>
      </c>
      <c r="AJ6036">
        <v>102.92812438943599</v>
      </c>
      <c r="AK6036">
        <v>30.831352896430101</v>
      </c>
      <c r="AL6036">
        <v>89.069437820758594</v>
      </c>
      <c r="AM6036">
        <v>96.577705446043595</v>
      </c>
      <c r="AN6036">
        <v>1.00000000611122</v>
      </c>
    </row>
    <row r="6037" spans="1:40" x14ac:dyDescent="0.25">
      <c r="A6037" t="str">
        <f>"20190312151652346"</f>
        <v>20190312151652346</v>
      </c>
      <c r="B6037" t="str">
        <f>"1552375012343882"</f>
        <v>1552375012343882</v>
      </c>
      <c r="C6037" t="s">
        <v>40</v>
      </c>
      <c r="D6037">
        <v>4.4031760000000002</v>
      </c>
      <c r="E6037">
        <v>0.45887929999999999</v>
      </c>
      <c r="F6037" t="s">
        <v>78</v>
      </c>
      <c r="G6037">
        <v>-216.86840000000001</v>
      </c>
      <c r="H6037" s="1">
        <v>-2.510458E-6</v>
      </c>
      <c r="I6037">
        <v>-57.029820000000001</v>
      </c>
      <c r="J6037">
        <v>-242.761</v>
      </c>
      <c r="K6037">
        <v>1.109305</v>
      </c>
      <c r="L6037">
        <v>-63.306919999999998</v>
      </c>
      <c r="M6037">
        <v>0.99987740000000003</v>
      </c>
      <c r="N6037">
        <v>0</v>
      </c>
      <c r="O6037">
        <v>1.2123510000000001E-2</v>
      </c>
      <c r="P6037">
        <v>0.99185659999999998</v>
      </c>
      <c r="Q6037">
        <v>6.3529260000000001E-3</v>
      </c>
      <c r="R6037">
        <v>0.12720109999999901</v>
      </c>
      <c r="S6037">
        <v>2.9348450000000001</v>
      </c>
      <c r="T6037">
        <v>-0.1250725</v>
      </c>
      <c r="U6037">
        <v>0.70791630000000005</v>
      </c>
      <c r="V6037">
        <v>-0.1151655</v>
      </c>
      <c r="W6037">
        <v>1.6203470000000001E-2</v>
      </c>
      <c r="X6037">
        <v>0.99321409999999999</v>
      </c>
      <c r="Y6037">
        <v>-0.22250210000000001</v>
      </c>
      <c r="Z6037">
        <v>4.1630920000000002E-3</v>
      </c>
      <c r="AA6037">
        <v>0.97492330000000005</v>
      </c>
      <c r="AB6037">
        <v>28</v>
      </c>
      <c r="AC6037">
        <v>25.892599999999899</v>
      </c>
      <c r="AD6037">
        <v>-1.1093075104579999</v>
      </c>
      <c r="AE6037">
        <v>6.2770999999999999</v>
      </c>
      <c r="AF6037">
        <v>-5.95239491919365</v>
      </c>
      <c r="AG6037">
        <v>-1.1093075104579999</v>
      </c>
      <c r="AH6037">
        <v>25.921862833585799</v>
      </c>
      <c r="AI6037">
        <v>92.388352358868303</v>
      </c>
      <c r="AJ6037">
        <v>102.932539439943</v>
      </c>
      <c r="AK6037">
        <v>26.619626991940301</v>
      </c>
      <c r="AL6037">
        <v>89.071568875986003</v>
      </c>
      <c r="AM6037">
        <v>96.6140434790303</v>
      </c>
      <c r="AN6037">
        <v>0.99999994663454905</v>
      </c>
    </row>
    <row r="6038" spans="1:40" x14ac:dyDescent="0.25">
      <c r="A6038" t="str">
        <f>"20190312151652358"</f>
        <v>20190312151652358</v>
      </c>
      <c r="B6038" t="str">
        <f>"1552375012353641"</f>
        <v>1552375012353641</v>
      </c>
      <c r="C6038" t="s">
        <v>40</v>
      </c>
      <c r="D6038">
        <v>4.4134739999999999</v>
      </c>
      <c r="E6038">
        <v>0.45906550000000002</v>
      </c>
      <c r="F6038" t="s">
        <v>78</v>
      </c>
      <c r="G6038">
        <v>-217.6677</v>
      </c>
      <c r="H6038" s="1">
        <v>-2.815277E-6</v>
      </c>
      <c r="I6038">
        <v>-57.244599999999998</v>
      </c>
      <c r="J6038">
        <v>-242.61760000000001</v>
      </c>
      <c r="K6038">
        <v>1.109302</v>
      </c>
      <c r="L6038">
        <v>-63.30518</v>
      </c>
      <c r="M6038">
        <v>0.99987749999999997</v>
      </c>
      <c r="N6038">
        <v>0</v>
      </c>
      <c r="O6038">
        <v>1.2123500000000001E-2</v>
      </c>
      <c r="P6038">
        <v>0.99179110000000004</v>
      </c>
      <c r="Q6038">
        <v>6.3863740000000002E-3</v>
      </c>
      <c r="R6038">
        <v>0.12770899999999999</v>
      </c>
      <c r="S6038">
        <v>2.934555</v>
      </c>
      <c r="T6038">
        <v>-0.1297287</v>
      </c>
      <c r="U6038">
        <v>0.70895390000000003</v>
      </c>
      <c r="V6038">
        <v>-0.1156746</v>
      </c>
      <c r="W6038">
        <v>1.6238280000000001E-2</v>
      </c>
      <c r="X6038">
        <v>0.99315439999999999</v>
      </c>
      <c r="Y6038">
        <v>-0.2228358</v>
      </c>
      <c r="Z6038">
        <v>4.3254399999999998E-3</v>
      </c>
      <c r="AA6038">
        <v>0.9748464</v>
      </c>
      <c r="AB6038">
        <v>28</v>
      </c>
      <c r="AC6038">
        <v>24.9499</v>
      </c>
      <c r="AD6038">
        <v>-1.109304815277</v>
      </c>
      <c r="AE6038">
        <v>6.0605799999999999</v>
      </c>
      <c r="AF6038">
        <v>-5.74691206252123</v>
      </c>
      <c r="AG6038">
        <v>-1.109304815277</v>
      </c>
      <c r="AH6038">
        <v>24.9749254522062</v>
      </c>
      <c r="AI6038">
        <v>92.478532230635395</v>
      </c>
      <c r="AJ6038">
        <v>102.958602023437</v>
      </c>
      <c r="AK6038">
        <v>25.6515975481217</v>
      </c>
      <c r="AL6038">
        <v>89.0695741770339</v>
      </c>
      <c r="AM6038">
        <v>96.643416482854306</v>
      </c>
      <c r="AN6038">
        <v>0.99999997853093803</v>
      </c>
    </row>
    <row r="6039" spans="1:40" x14ac:dyDescent="0.25">
      <c r="A6039" t="str">
        <f>"20190312151652368"</f>
        <v>20190312151652368</v>
      </c>
      <c r="B6039" t="str">
        <f>"1552375012363401"</f>
        <v>1552375012363401</v>
      </c>
      <c r="C6039" t="s">
        <v>40</v>
      </c>
      <c r="D6039">
        <v>4.5733319999999997</v>
      </c>
      <c r="E6039">
        <v>0.45935730000000002</v>
      </c>
      <c r="F6039" t="s">
        <v>78</v>
      </c>
      <c r="G6039">
        <v>-218.38159999999999</v>
      </c>
      <c r="H6039" s="1">
        <v>-3.0852889999999998E-6</v>
      </c>
      <c r="I6039">
        <v>-57.448889999999999</v>
      </c>
      <c r="J6039">
        <v>-242.4819</v>
      </c>
      <c r="K6039">
        <v>1.109297</v>
      </c>
      <c r="L6039">
        <v>-63.303530000000002</v>
      </c>
      <c r="M6039">
        <v>0.99987749999999997</v>
      </c>
      <c r="N6039">
        <v>0</v>
      </c>
      <c r="O6039">
        <v>1.212367E-2</v>
      </c>
      <c r="P6039">
        <v>0.99173339999999999</v>
      </c>
      <c r="Q6039">
        <v>6.13541E-3</v>
      </c>
      <c r="R6039">
        <v>0.1281697</v>
      </c>
      <c r="S6039">
        <v>2.9343870000000001</v>
      </c>
      <c r="T6039">
        <v>-0.1343096</v>
      </c>
      <c r="U6039">
        <v>0.70904540000000005</v>
      </c>
      <c r="V6039">
        <v>-0.1161358</v>
      </c>
      <c r="W6039">
        <v>1.5988929999999998E-2</v>
      </c>
      <c r="X6039">
        <v>0.9931046</v>
      </c>
      <c r="Y6039">
        <v>-0.22286310000000001</v>
      </c>
      <c r="Z6039">
        <v>4.4788689999999999E-3</v>
      </c>
      <c r="AA6039">
        <v>0.97483940000000002</v>
      </c>
      <c r="AB6039">
        <v>28</v>
      </c>
      <c r="AC6039">
        <v>24.100300000000001</v>
      </c>
      <c r="AD6039">
        <v>-1.109300085289</v>
      </c>
      <c r="AE6039">
        <v>5.8546399999999901</v>
      </c>
      <c r="AF6039">
        <v>-5.5509063538758197</v>
      </c>
      <c r="AG6039">
        <v>-1.109300085289</v>
      </c>
      <c r="AH6039">
        <v>24.1212557841943</v>
      </c>
      <c r="AI6039">
        <v>92.566113215474701</v>
      </c>
      <c r="AJ6039">
        <v>102.95957180545901</v>
      </c>
      <c r="AK6039">
        <v>24.776563293468499</v>
      </c>
      <c r="AL6039">
        <v>89.083862716521793</v>
      </c>
      <c r="AM6039">
        <v>96.669997365175504</v>
      </c>
      <c r="AN6039">
        <v>0.99999995823267096</v>
      </c>
    </row>
    <row r="6040" spans="1:40" x14ac:dyDescent="0.25">
      <c r="A6040" t="str">
        <f>"20190312151652379"</f>
        <v>20190312151652379</v>
      </c>
      <c r="B6040" t="str">
        <f>"1552375012374137"</f>
        <v>1552375012374137</v>
      </c>
      <c r="C6040" t="s">
        <v>40</v>
      </c>
      <c r="D6040">
        <v>4.4191739999999999</v>
      </c>
      <c r="E6040">
        <v>0.45957550000000003</v>
      </c>
      <c r="F6040" t="s">
        <v>78</v>
      </c>
      <c r="G6040">
        <v>-218.3365</v>
      </c>
      <c r="H6040" s="1">
        <v>-3.0609319999999998E-6</v>
      </c>
      <c r="I6040">
        <v>-57.47701</v>
      </c>
      <c r="J6040">
        <v>-242.3468</v>
      </c>
      <c r="K6040">
        <v>1.109294</v>
      </c>
      <c r="L6040">
        <v>-63.301909999999999</v>
      </c>
      <c r="M6040">
        <v>0.99987729999999997</v>
      </c>
      <c r="N6040">
        <v>0</v>
      </c>
      <c r="O6040">
        <v>1.212384E-2</v>
      </c>
      <c r="P6040">
        <v>0.99166259999999995</v>
      </c>
      <c r="Q6040">
        <v>6.2626619999999996E-3</v>
      </c>
      <c r="R6040">
        <v>0.12870960000000001</v>
      </c>
      <c r="S6040">
        <v>2.9343110000000001</v>
      </c>
      <c r="T6040">
        <v>-0.13480909999999999</v>
      </c>
      <c r="U6040">
        <v>0.70806880000000005</v>
      </c>
      <c r="V6040">
        <v>-0.1166764</v>
      </c>
      <c r="W6040">
        <v>1.6117179999999998E-2</v>
      </c>
      <c r="X6040">
        <v>0.99303920000000001</v>
      </c>
      <c r="Y6040">
        <v>-0.2225608</v>
      </c>
      <c r="Z6040">
        <v>4.4889459999999997E-3</v>
      </c>
      <c r="AA6040">
        <v>0.97490849999999996</v>
      </c>
      <c r="AB6040">
        <v>28</v>
      </c>
      <c r="AC6040">
        <v>24.010300000000001</v>
      </c>
      <c r="AD6040">
        <v>-1.1092970609320001</v>
      </c>
      <c r="AE6040">
        <v>5.8249000000000004</v>
      </c>
      <c r="AF6040">
        <v>-5.5222283540254704</v>
      </c>
      <c r="AG6040">
        <v>-1.1092970609320001</v>
      </c>
      <c r="AH6040">
        <v>24.030715804334701</v>
      </c>
      <c r="AI6040">
        <v>92.575944849244294</v>
      </c>
      <c r="AJ6040">
        <v>102.941812362668</v>
      </c>
      <c r="AK6040">
        <v>24.6819944095305</v>
      </c>
      <c r="AL6040">
        <v>89.076513623391406</v>
      </c>
      <c r="AM6040">
        <v>96.701201106564497</v>
      </c>
      <c r="AN6040">
        <v>0.99999999927237604</v>
      </c>
    </row>
    <row r="6041" spans="1:40" x14ac:dyDescent="0.25">
      <c r="A6041" t="str">
        <f>"20190312151652390"</f>
        <v>20190312151652390</v>
      </c>
      <c r="B6041" t="str">
        <f>"1552375012383897"</f>
        <v>1552375012383897</v>
      </c>
      <c r="C6041" t="s">
        <v>40</v>
      </c>
      <c r="D6041">
        <v>4.4032629999999999</v>
      </c>
      <c r="E6041">
        <v>0.4597811</v>
      </c>
      <c r="F6041" t="s">
        <v>78</v>
      </c>
      <c r="G6041">
        <v>-217.99529999999999</v>
      </c>
      <c r="H6041" s="1">
        <v>-2.9235520000000002E-6</v>
      </c>
      <c r="I6041">
        <v>-57.426380000000002</v>
      </c>
      <c r="J6041">
        <v>-242.20959999999999</v>
      </c>
      <c r="K6041">
        <v>1.1092949999999999</v>
      </c>
      <c r="L6041">
        <v>-63.300229999999999</v>
      </c>
      <c r="M6041">
        <v>0.99987729999999997</v>
      </c>
      <c r="N6041">
        <v>0</v>
      </c>
      <c r="O6041">
        <v>1.2124009999999999E-2</v>
      </c>
      <c r="P6041">
        <v>0.99161129999999997</v>
      </c>
      <c r="Q6041">
        <v>6.2114359999999999E-3</v>
      </c>
      <c r="R6041">
        <v>0.12910639999999901</v>
      </c>
      <c r="S6041">
        <v>2.9341740000000001</v>
      </c>
      <c r="T6041">
        <v>-0.13366149999999999</v>
      </c>
      <c r="U6041">
        <v>0.70794679999999999</v>
      </c>
      <c r="V6041">
        <v>-0.1170732</v>
      </c>
      <c r="W6041">
        <v>1.606759E-2</v>
      </c>
      <c r="X6041">
        <v>0.99299329999999997</v>
      </c>
      <c r="Y6041">
        <v>-0.22253629999999999</v>
      </c>
      <c r="Z6041">
        <v>4.450435E-3</v>
      </c>
      <c r="AA6041">
        <v>0.97491430000000001</v>
      </c>
      <c r="AB6041">
        <v>28</v>
      </c>
      <c r="AC6041">
        <v>24.214300000000001</v>
      </c>
      <c r="AD6041">
        <v>-1.109297923552</v>
      </c>
      <c r="AE6041">
        <v>5.87385</v>
      </c>
      <c r="AF6041">
        <v>-5.5687916032532003</v>
      </c>
      <c r="AG6041">
        <v>-1.109297923552</v>
      </c>
      <c r="AH6041">
        <v>24.235701195213501</v>
      </c>
      <c r="AI6041">
        <v>92.5542009397995</v>
      </c>
      <c r="AJ6041">
        <v>102.940594975081</v>
      </c>
      <c r="AK6041">
        <v>24.8919905637804</v>
      </c>
      <c r="AL6041">
        <v>89.079355287645498</v>
      </c>
      <c r="AM6041">
        <v>96.724090591089094</v>
      </c>
      <c r="AN6041">
        <v>0.99999999772576897</v>
      </c>
    </row>
    <row r="6042" spans="1:40" x14ac:dyDescent="0.25">
      <c r="A6042" t="str">
        <f>"20190312151652402"</f>
        <v>20190312151652402</v>
      </c>
      <c r="B6042" t="str">
        <f>"1552375012393658"</f>
        <v>1552375012393658</v>
      </c>
      <c r="C6042" t="s">
        <v>40</v>
      </c>
      <c r="D6042">
        <v>4.4467949999999998</v>
      </c>
      <c r="E6042">
        <v>0.45999329999999999</v>
      </c>
      <c r="F6042" t="s">
        <v>78</v>
      </c>
      <c r="G6042">
        <v>-218.0479</v>
      </c>
      <c r="H6042" s="1">
        <v>-2.937692E-6</v>
      </c>
      <c r="I6042">
        <v>-57.473889999999997</v>
      </c>
      <c r="J6042">
        <v>-242.07050000000001</v>
      </c>
      <c r="K6042">
        <v>1.109299</v>
      </c>
      <c r="L6042">
        <v>-63.298549999999999</v>
      </c>
      <c r="M6042">
        <v>0.99987740000000003</v>
      </c>
      <c r="N6042">
        <v>0</v>
      </c>
      <c r="O6042">
        <v>1.2123989999999999E-2</v>
      </c>
      <c r="P6042">
        <v>0.99155590000000005</v>
      </c>
      <c r="Q6042">
        <v>6.223976E-3</v>
      </c>
      <c r="R6042">
        <v>0.12953190000000001</v>
      </c>
      <c r="S6042">
        <v>2.934097</v>
      </c>
      <c r="T6042">
        <v>-0.13470860000000001</v>
      </c>
      <c r="U6042">
        <v>0.70751949999999997</v>
      </c>
      <c r="V6042">
        <v>-0.1174993</v>
      </c>
      <c r="W6042">
        <v>1.6081419999999999E-2</v>
      </c>
      <c r="X6042">
        <v>0.99294280000000001</v>
      </c>
      <c r="Y6042">
        <v>-0.22240480000000001</v>
      </c>
      <c r="Z6042">
        <v>4.482481E-3</v>
      </c>
      <c r="AA6042">
        <v>0.97494409999999998</v>
      </c>
      <c r="AB6042">
        <v>28</v>
      </c>
      <c r="AC6042">
        <v>24.022600000000001</v>
      </c>
      <c r="AD6042">
        <v>-1.1093019376919999</v>
      </c>
      <c r="AE6042">
        <v>5.82465999999999</v>
      </c>
      <c r="AF6042">
        <v>-5.5218470398788204</v>
      </c>
      <c r="AG6042">
        <v>-1.1093019376919999</v>
      </c>
      <c r="AH6042">
        <v>24.043034198582401</v>
      </c>
      <c r="AI6042">
        <v>92.5747131075711</v>
      </c>
      <c r="AJ6042">
        <v>102.934541574623</v>
      </c>
      <c r="AK6042">
        <v>24.693902870850302</v>
      </c>
      <c r="AL6042">
        <v>89.078562833546997</v>
      </c>
      <c r="AM6042">
        <v>96.748678359747302</v>
      </c>
      <c r="AN6042">
        <v>1.00000005082077</v>
      </c>
    </row>
    <row r="6043" spans="1:40" x14ac:dyDescent="0.25">
      <c r="A6043" t="str">
        <f>"20190312151652414"</f>
        <v>20190312151652414</v>
      </c>
      <c r="B6043" t="str">
        <f>"1552375012403418"</f>
        <v>1552375012403418</v>
      </c>
      <c r="C6043" t="s">
        <v>40</v>
      </c>
      <c r="D6043">
        <v>4.4300660000000001</v>
      </c>
      <c r="E6043">
        <v>0.46027889999999999</v>
      </c>
      <c r="F6043" t="s">
        <v>78</v>
      </c>
      <c r="G6043">
        <v>-218.13810000000001</v>
      </c>
      <c r="H6043" s="1">
        <v>-2.9663139999999998E-6</v>
      </c>
      <c r="I6043">
        <v>-57.5306</v>
      </c>
      <c r="J6043">
        <v>-241.93199999999999</v>
      </c>
      <c r="K6043">
        <v>1.109297</v>
      </c>
      <c r="L6043">
        <v>-63.296880000000002</v>
      </c>
      <c r="M6043">
        <v>0.99987720000000002</v>
      </c>
      <c r="N6043">
        <v>0</v>
      </c>
      <c r="O6043">
        <v>1.2124279999999999E-2</v>
      </c>
      <c r="P6043">
        <v>0.99151259999999997</v>
      </c>
      <c r="Q6043">
        <v>6.1001730000000004E-3</v>
      </c>
      <c r="R6043">
        <v>0.12986809999999999</v>
      </c>
      <c r="S6043">
        <v>2.9340359999999999</v>
      </c>
      <c r="T6043">
        <v>-0.13599629999999999</v>
      </c>
      <c r="U6043">
        <v>0.70712280000000005</v>
      </c>
      <c r="V6043">
        <v>-0.1178362</v>
      </c>
      <c r="W6043">
        <v>1.5959839999999999E-2</v>
      </c>
      <c r="X6043">
        <v>0.99290480000000003</v>
      </c>
      <c r="Y6043">
        <v>-0.22228059999999999</v>
      </c>
      <c r="Z6043">
        <v>4.5225980000000001E-3</v>
      </c>
      <c r="AA6043">
        <v>0.97497219999999996</v>
      </c>
      <c r="AB6043">
        <v>28</v>
      </c>
      <c r="AC6043">
        <v>23.793900000000001</v>
      </c>
      <c r="AD6043">
        <v>-1.109299966314</v>
      </c>
      <c r="AE6043">
        <v>5.7662800000000001</v>
      </c>
      <c r="AF6043">
        <v>-5.46613621374589</v>
      </c>
      <c r="AG6043">
        <v>-1.109299966314</v>
      </c>
      <c r="AH6043">
        <v>23.813178755131801</v>
      </c>
      <c r="AI6043">
        <v>92.5995963003013</v>
      </c>
      <c r="AJ6043">
        <v>102.927865349738</v>
      </c>
      <c r="AK6043">
        <v>24.45765062197</v>
      </c>
      <c r="AL6043">
        <v>89.085529714696193</v>
      </c>
      <c r="AM6043">
        <v>96.768105892694194</v>
      </c>
      <c r="AN6043">
        <v>1.00000001419315</v>
      </c>
    </row>
    <row r="6044" spans="1:40" x14ac:dyDescent="0.25">
      <c r="A6044" t="str">
        <f>"20190312151652424"</f>
        <v>20190312151652424</v>
      </c>
      <c r="B6044" t="str">
        <f>"1552375012414154"</f>
        <v>1552375012414154</v>
      </c>
      <c r="C6044" t="s">
        <v>40</v>
      </c>
      <c r="D6044">
        <v>4.4479790000000001</v>
      </c>
      <c r="E6044">
        <v>0.46050170000000001</v>
      </c>
      <c r="F6044" t="s">
        <v>78</v>
      </c>
      <c r="G6044">
        <v>-218.26419999999999</v>
      </c>
      <c r="H6044" s="1">
        <v>-3.0075480000000001E-6</v>
      </c>
      <c r="I6044">
        <v>-57.60313</v>
      </c>
      <c r="J6044">
        <v>-241.78469999999999</v>
      </c>
      <c r="K6044">
        <v>1.1092949999999999</v>
      </c>
      <c r="L6044">
        <v>-63.295070000000003</v>
      </c>
      <c r="M6044">
        <v>0.99987720000000002</v>
      </c>
      <c r="N6044">
        <v>0</v>
      </c>
      <c r="O6044">
        <v>1.212445E-2</v>
      </c>
      <c r="P6044">
        <v>0.99145499999999998</v>
      </c>
      <c r="Q6044">
        <v>6.0679929999999998E-3</v>
      </c>
      <c r="R6044">
        <v>0.13030739999999999</v>
      </c>
      <c r="S6044">
        <v>2.9340820000000001</v>
      </c>
      <c r="T6044">
        <v>-0.137518899999999</v>
      </c>
      <c r="U6044">
        <v>0.7058411</v>
      </c>
      <c r="V6044">
        <v>-0.11827559999999999</v>
      </c>
      <c r="W6044">
        <v>1.5928850000000001E-2</v>
      </c>
      <c r="X6044">
        <v>0.99285299999999999</v>
      </c>
      <c r="Y6044">
        <v>-0.22187000000000001</v>
      </c>
      <c r="Z6044">
        <v>4.563849E-3</v>
      </c>
      <c r="AA6044">
        <v>0.97506559999999998</v>
      </c>
      <c r="AB6044">
        <v>28</v>
      </c>
      <c r="AC6044">
        <v>23.520499999999998</v>
      </c>
      <c r="AD6044">
        <v>-1.1092980075479999</v>
      </c>
      <c r="AE6044">
        <v>5.6919399999999802</v>
      </c>
      <c r="AF6044">
        <v>-5.3949979290354504</v>
      </c>
      <c r="AG6044">
        <v>-1.1092980075479999</v>
      </c>
      <c r="AH6044">
        <v>23.538325130063299</v>
      </c>
      <c r="AI6044">
        <v>92.630100066353407</v>
      </c>
      <c r="AJ6044">
        <v>102.909255157356</v>
      </c>
      <c r="AK6044">
        <v>24.174145169010998</v>
      </c>
      <c r="AL6044">
        <v>89.087305489629799</v>
      </c>
      <c r="AM6044">
        <v>96.793459206490297</v>
      </c>
      <c r="AN6044">
        <v>0.99999996271334002</v>
      </c>
    </row>
    <row r="6045" spans="1:40" x14ac:dyDescent="0.25">
      <c r="A6045" t="str">
        <f>"20190312151652436"</f>
        <v>20190312151652436</v>
      </c>
      <c r="B6045" t="str">
        <f>"1552375012433674"</f>
        <v>1552375012433674</v>
      </c>
      <c r="C6045" t="s">
        <v>40</v>
      </c>
      <c r="D6045">
        <v>4.4462650000000004</v>
      </c>
      <c r="E6045">
        <v>0.46091949999999998</v>
      </c>
      <c r="F6045" t="s">
        <v>78</v>
      </c>
      <c r="G6045">
        <v>-218.40450000000001</v>
      </c>
      <c r="H6045" s="1">
        <v>-3.05517E-6</v>
      </c>
      <c r="I6045">
        <v>-57.673999999999999</v>
      </c>
      <c r="J6045">
        <v>-241.64869999999999</v>
      </c>
      <c r="K6045">
        <v>1.109289</v>
      </c>
      <c r="L6045">
        <v>-63.293430000000001</v>
      </c>
      <c r="M6045">
        <v>0.99987729999999997</v>
      </c>
      <c r="N6045">
        <v>0</v>
      </c>
      <c r="O6045">
        <v>1.212444E-2</v>
      </c>
      <c r="P6045">
        <v>0.99143199999999998</v>
      </c>
      <c r="Q6045">
        <v>5.6933330000000001E-3</v>
      </c>
      <c r="R6045">
        <v>0.13050129999999999</v>
      </c>
      <c r="S6045">
        <v>2.9339900000000001</v>
      </c>
      <c r="T6045">
        <v>-0.13920629999999901</v>
      </c>
      <c r="U6045">
        <v>0.70538330000000005</v>
      </c>
      <c r="V6045">
        <v>-0.11847000000000001</v>
      </c>
      <c r="W6045">
        <v>1.555601E-2</v>
      </c>
      <c r="X6045">
        <v>0.99283580000000005</v>
      </c>
      <c r="Y6045">
        <v>-0.22172790000000001</v>
      </c>
      <c r="Z6045">
        <v>4.6166899999999997E-3</v>
      </c>
      <c r="AA6045">
        <v>0.97509769999999896</v>
      </c>
      <c r="AB6045">
        <v>28</v>
      </c>
      <c r="AC6045">
        <v>23.2441999999999</v>
      </c>
      <c r="AD6045">
        <v>-1.1092920551700001</v>
      </c>
      <c r="AE6045">
        <v>5.6194300000000004</v>
      </c>
      <c r="AF6045">
        <v>-5.3257204646476497</v>
      </c>
      <c r="AG6045">
        <v>-1.1092920551700001</v>
      </c>
      <c r="AH6045">
        <v>23.260575909688001</v>
      </c>
      <c r="AI6045">
        <v>92.661586032233899</v>
      </c>
      <c r="AJ6045">
        <v>102.896108732366</v>
      </c>
      <c r="AK6045">
        <v>23.888244367922599</v>
      </c>
      <c r="AL6045">
        <v>89.108670354750302</v>
      </c>
      <c r="AM6045">
        <v>96.804637230461793</v>
      </c>
      <c r="AN6045">
        <v>1.0000000280543699</v>
      </c>
    </row>
    <row r="6046" spans="1:40" x14ac:dyDescent="0.25">
      <c r="A6046" t="str">
        <f>"20190312151652447"</f>
        <v>20190312151652447</v>
      </c>
      <c r="B6046" t="str">
        <f>"1552375012443434"</f>
        <v>1552375012443434</v>
      </c>
      <c r="C6046" t="s">
        <v>40</v>
      </c>
      <c r="D6046">
        <v>4.4411630000000004</v>
      </c>
      <c r="E6046">
        <v>0.4611017</v>
      </c>
      <c r="F6046" t="s">
        <v>78</v>
      </c>
      <c r="G6046">
        <v>-219.1388</v>
      </c>
      <c r="H6046" s="1">
        <v>-3.329544E-6</v>
      </c>
      <c r="I6046">
        <v>-57.90314</v>
      </c>
      <c r="J6046">
        <v>-241.5103</v>
      </c>
      <c r="K6046">
        <v>1.1092869999999999</v>
      </c>
      <c r="L6046">
        <v>-63.291719999999998</v>
      </c>
      <c r="M6046">
        <v>0.99987729999999997</v>
      </c>
      <c r="N6046">
        <v>0</v>
      </c>
      <c r="O6046">
        <v>1.2124609999999999E-2</v>
      </c>
      <c r="P6046">
        <v>0.99139500000000003</v>
      </c>
      <c r="Q6046">
        <v>5.3717919999999898E-3</v>
      </c>
      <c r="R6046">
        <v>0.13079569999999999</v>
      </c>
      <c r="S6046">
        <v>2.9342649999999999</v>
      </c>
      <c r="T6046">
        <v>-0.1446007</v>
      </c>
      <c r="U6046">
        <v>0.702636699999999</v>
      </c>
      <c r="V6046">
        <v>-0.118765</v>
      </c>
      <c r="W6046">
        <v>1.5236090000000001E-2</v>
      </c>
      <c r="X6046">
        <v>0.99280550000000001</v>
      </c>
      <c r="Y6046">
        <v>-0.2208273</v>
      </c>
      <c r="Z6046">
        <v>4.7735920000000001E-3</v>
      </c>
      <c r="AA6046">
        <v>0.97530130000000004</v>
      </c>
      <c r="AB6046">
        <v>28</v>
      </c>
      <c r="AC6046">
        <v>22.371500000000001</v>
      </c>
      <c r="AD6046">
        <v>-1.109290329544</v>
      </c>
      <c r="AE6046">
        <v>5.3885799999999904</v>
      </c>
      <c r="AF6046">
        <v>-5.1050614344324003</v>
      </c>
      <c r="AG6046">
        <v>-1.109290329544</v>
      </c>
      <c r="AH6046">
        <v>22.383177980273899</v>
      </c>
      <c r="AI6046">
        <v>92.766284047185394</v>
      </c>
      <c r="AJ6046">
        <v>102.848011698999</v>
      </c>
      <c r="AK6046">
        <v>22.9847522018656</v>
      </c>
      <c r="AL6046">
        <v>89.127002579145596</v>
      </c>
      <c r="AM6046">
        <v>96.821628093047707</v>
      </c>
      <c r="AN6046">
        <v>1.00000001224686</v>
      </c>
    </row>
    <row r="6047" spans="1:40" x14ac:dyDescent="0.25">
      <c r="A6047" t="str">
        <f>"20190312151652459"</f>
        <v>20190312151652459</v>
      </c>
      <c r="B6047" t="str">
        <f>"1552375012454169"</f>
        <v>1552375012454169</v>
      </c>
      <c r="C6047" t="s">
        <v>40</v>
      </c>
      <c r="D6047">
        <v>4.4166270000000001</v>
      </c>
      <c r="E6047">
        <v>0.46126820000000002</v>
      </c>
      <c r="F6047" t="s">
        <v>78</v>
      </c>
      <c r="G6047">
        <v>-219.2723</v>
      </c>
      <c r="H6047" s="1">
        <v>-3.3747710000000001E-6</v>
      </c>
      <c r="I6047">
        <v>-57.971069999999997</v>
      </c>
      <c r="J6047">
        <v>-241.36330000000001</v>
      </c>
      <c r="K6047">
        <v>1.1092820000000001</v>
      </c>
      <c r="L6047">
        <v>-63.289949999999997</v>
      </c>
      <c r="M6047">
        <v>0.99987729999999997</v>
      </c>
      <c r="N6047">
        <v>0</v>
      </c>
      <c r="O6047">
        <v>1.212478E-2</v>
      </c>
      <c r="P6047">
        <v>0.99140819999999996</v>
      </c>
      <c r="Q6047">
        <v>5.2191360000000001E-3</v>
      </c>
      <c r="R6047">
        <v>0.1307014</v>
      </c>
      <c r="S6047">
        <v>2.9342039999999998</v>
      </c>
      <c r="T6047">
        <v>-0.14636559999999901</v>
      </c>
      <c r="U6047">
        <v>0.70202640000000005</v>
      </c>
      <c r="V6047">
        <v>-0.1186701</v>
      </c>
      <c r="W6047">
        <v>1.508543E-2</v>
      </c>
      <c r="X6047">
        <v>0.99281909999999896</v>
      </c>
      <c r="Y6047">
        <v>-0.2206342</v>
      </c>
      <c r="Z6047">
        <v>4.8272430000000002E-3</v>
      </c>
      <c r="AA6047">
        <v>0.97534469999999995</v>
      </c>
      <c r="AB6047">
        <v>28</v>
      </c>
      <c r="AC6047">
        <v>22.091000000000001</v>
      </c>
      <c r="AD6047">
        <v>-1.1092853747710001</v>
      </c>
      <c r="AE6047">
        <v>5.3188800000000001</v>
      </c>
      <c r="AF6047">
        <v>-5.0386186572763201</v>
      </c>
      <c r="AG6047">
        <v>-1.1092853747710001</v>
      </c>
      <c r="AH6047">
        <v>22.101195208444501</v>
      </c>
      <c r="AI6047">
        <v>92.801568311907602</v>
      </c>
      <c r="AJ6047">
        <v>102.842764408021</v>
      </c>
      <c r="AK6047">
        <v>22.695396486025601</v>
      </c>
      <c r="AL6047">
        <v>89.135635711769993</v>
      </c>
      <c r="AM6047">
        <v>96.816136035842902</v>
      </c>
      <c r="AN6047">
        <v>0.99999996407855096</v>
      </c>
    </row>
    <row r="6048" spans="1:40" x14ac:dyDescent="0.25">
      <c r="A6048" t="str">
        <f>"20190312151652469"</f>
        <v>20190312151652469</v>
      </c>
      <c r="B6048" t="str">
        <f>"1552375012463930"</f>
        <v>1552375012463930</v>
      </c>
      <c r="C6048" t="s">
        <v>40</v>
      </c>
      <c r="D6048">
        <v>4.4487360000000002</v>
      </c>
      <c r="E6048">
        <v>0.46141919999999997</v>
      </c>
      <c r="F6048" t="s">
        <v>78</v>
      </c>
      <c r="G6048">
        <v>-219.48339999999999</v>
      </c>
      <c r="H6048" s="1">
        <v>-3.4483359999999998E-6</v>
      </c>
      <c r="I6048">
        <v>-58.066749999999999</v>
      </c>
      <c r="J6048">
        <v>-241.22739999999999</v>
      </c>
      <c r="K6048">
        <v>1.109281</v>
      </c>
      <c r="L6048">
        <v>-63.2883</v>
      </c>
      <c r="M6048">
        <v>0.99987720000000002</v>
      </c>
      <c r="N6048">
        <v>0</v>
      </c>
      <c r="O6048">
        <v>1.2124950000000001E-2</v>
      </c>
      <c r="P6048">
        <v>0.99142459999999999</v>
      </c>
      <c r="Q6048">
        <v>5.1897459999999899E-3</v>
      </c>
      <c r="R6048">
        <v>0.1305779</v>
      </c>
      <c r="S6048">
        <v>2.9344329999999998</v>
      </c>
      <c r="T6048">
        <v>-0.14877190000000001</v>
      </c>
      <c r="U6048">
        <v>0.70050049999999997</v>
      </c>
      <c r="V6048">
        <v>-0.1185466</v>
      </c>
      <c r="W6048">
        <v>1.505825E-2</v>
      </c>
      <c r="X6048">
        <v>0.99283429999999995</v>
      </c>
      <c r="Y6048">
        <v>-0.22012950000000001</v>
      </c>
      <c r="Z6048">
        <v>4.8938080000000004E-3</v>
      </c>
      <c r="AA6048">
        <v>0.97545839999999995</v>
      </c>
      <c r="AB6048">
        <v>28</v>
      </c>
      <c r="AC6048">
        <v>21.744</v>
      </c>
      <c r="AD6048">
        <v>-1.109284448336</v>
      </c>
      <c r="AE6048">
        <v>5.2215499999999997</v>
      </c>
      <c r="AF6048">
        <v>-4.9453392297619603</v>
      </c>
      <c r="AG6048">
        <v>-1.109284448336</v>
      </c>
      <c r="AH6048">
        <v>21.752190013327699</v>
      </c>
      <c r="AI6048">
        <v>92.8468304412376</v>
      </c>
      <c r="AJ6048">
        <v>102.80842291914701</v>
      </c>
      <c r="AK6048">
        <v>22.334830701410201</v>
      </c>
      <c r="AL6048">
        <v>89.1371932166535</v>
      </c>
      <c r="AM6048">
        <v>96.809005850039597</v>
      </c>
      <c r="AN6048">
        <v>0.999999997260556</v>
      </c>
    </row>
    <row r="6049" spans="1:40" x14ac:dyDescent="0.25">
      <c r="A6049" t="str">
        <f>"20190312151652480"</f>
        <v>20190312151652480</v>
      </c>
      <c r="B6049" t="str">
        <f>"1552375012473690"</f>
        <v>1552375012473690</v>
      </c>
      <c r="C6049" t="s">
        <v>40</v>
      </c>
      <c r="D6049">
        <v>4.4586980000000001</v>
      </c>
      <c r="E6049">
        <v>0.4615147</v>
      </c>
      <c r="F6049" t="s">
        <v>78</v>
      </c>
      <c r="G6049">
        <v>-219.56200000000001</v>
      </c>
      <c r="H6049" s="1">
        <v>-3.471259E-6</v>
      </c>
      <c r="I6049">
        <v>-58.1278199999999</v>
      </c>
      <c r="J6049">
        <v>-241.09309999999999</v>
      </c>
      <c r="K6049">
        <v>1.1092789999999999</v>
      </c>
      <c r="L6049">
        <v>-63.286650000000002</v>
      </c>
      <c r="M6049">
        <v>0.99987729999999997</v>
      </c>
      <c r="N6049">
        <v>0</v>
      </c>
      <c r="O6049">
        <v>1.2124940000000001E-2</v>
      </c>
      <c r="P6049">
        <v>0.99145970000000005</v>
      </c>
      <c r="Q6049">
        <v>4.8880209999999898E-3</v>
      </c>
      <c r="R6049">
        <v>0.13032299999999999</v>
      </c>
      <c r="S6049">
        <v>2.9346770000000002</v>
      </c>
      <c r="T6049">
        <v>-0.15025810000000001</v>
      </c>
      <c r="U6049">
        <v>0.69900509999999905</v>
      </c>
      <c r="V6049">
        <v>-0.11829099999999999</v>
      </c>
      <c r="W6049">
        <v>1.475835E-2</v>
      </c>
      <c r="X6049">
        <v>0.99286929999999995</v>
      </c>
      <c r="Y6049">
        <v>-0.21963640000000001</v>
      </c>
      <c r="Z6049">
        <v>4.9300799999999999E-3</v>
      </c>
      <c r="AA6049">
        <v>0.97556940000000003</v>
      </c>
      <c r="AB6049">
        <v>28</v>
      </c>
      <c r="AC6049">
        <v>21.531099999999899</v>
      </c>
      <c r="AD6049">
        <v>-1.1092824712589999</v>
      </c>
      <c r="AE6049">
        <v>5.15883</v>
      </c>
      <c r="AF6049">
        <v>-4.8851119625999102</v>
      </c>
      <c r="AG6049">
        <v>-1.1092824712589999</v>
      </c>
      <c r="AH6049">
        <v>21.538005842135998</v>
      </c>
      <c r="AI6049">
        <v>92.875420202244001</v>
      </c>
      <c r="AJ6049">
        <v>102.779247857017</v>
      </c>
      <c r="AK6049">
        <v>22.112903973563999</v>
      </c>
      <c r="AL6049">
        <v>89.154378140160304</v>
      </c>
      <c r="AM6049">
        <v>96.794224975779301</v>
      </c>
      <c r="AN6049">
        <v>1.0000000082291001</v>
      </c>
    </row>
    <row r="6050" spans="1:40" x14ac:dyDescent="0.25">
      <c r="A6050" t="str">
        <f>"20190312151652492"</f>
        <v>20190312151652492</v>
      </c>
      <c r="B6050" t="str">
        <f>"1552375012483450"</f>
        <v>1552375012483450</v>
      </c>
      <c r="C6050" t="s">
        <v>40</v>
      </c>
      <c r="D6050">
        <v>4.4605050000000004</v>
      </c>
      <c r="E6050">
        <v>0.46161479999999999</v>
      </c>
      <c r="F6050" t="s">
        <v>78</v>
      </c>
      <c r="G6050">
        <v>-219.6294</v>
      </c>
      <c r="H6050" s="1">
        <v>-3.489959E-6</v>
      </c>
      <c r="I6050">
        <v>-58.18535</v>
      </c>
      <c r="J6050">
        <v>-240.9479</v>
      </c>
      <c r="K6050">
        <v>1.109278</v>
      </c>
      <c r="L6050">
        <v>-63.284910000000004</v>
      </c>
      <c r="M6050">
        <v>0.99987729999999997</v>
      </c>
      <c r="N6050">
        <v>0</v>
      </c>
      <c r="O6050">
        <v>1.212505E-2</v>
      </c>
      <c r="P6050">
        <v>0.99148309999999995</v>
      </c>
      <c r="Q6050">
        <v>4.6626050000000002E-3</v>
      </c>
      <c r="R6050">
        <v>0.13015289999999999</v>
      </c>
      <c r="S6050">
        <v>2.9349370000000001</v>
      </c>
      <c r="T6050">
        <v>-0.1516825</v>
      </c>
      <c r="U6050">
        <v>0.6975403</v>
      </c>
      <c r="V6050">
        <v>-0.1181205</v>
      </c>
      <c r="W6050">
        <v>1.453522E-2</v>
      </c>
      <c r="X6050">
        <v>0.99289289999999997</v>
      </c>
      <c r="Y6050">
        <v>-0.2191517</v>
      </c>
      <c r="Z6050">
        <v>4.964263E-3</v>
      </c>
      <c r="AA6050">
        <v>0.97567809999999999</v>
      </c>
      <c r="AB6050">
        <v>28</v>
      </c>
      <c r="AC6050">
        <v>21.3185</v>
      </c>
      <c r="AD6050">
        <v>-1.109281489959</v>
      </c>
      <c r="AE6050">
        <v>5.0995599999999897</v>
      </c>
      <c r="AF6050">
        <v>-4.8283193106663402</v>
      </c>
      <c r="AG6050">
        <v>-1.109281489959</v>
      </c>
      <c r="AH6050">
        <v>21.324157613308898</v>
      </c>
      <c r="AI6050">
        <v>92.904447448247296</v>
      </c>
      <c r="AJ6050">
        <v>102.758064171946</v>
      </c>
      <c r="AK6050">
        <v>21.892073239119298</v>
      </c>
      <c r="AL6050">
        <v>89.167163927036398</v>
      </c>
      <c r="AM6050">
        <v>96.784363638464299</v>
      </c>
      <c r="AN6050">
        <v>1.0000000180055499</v>
      </c>
    </row>
    <row r="6051" spans="1:40" x14ac:dyDescent="0.25">
      <c r="A6051" t="str">
        <f>"20190312151652504"</f>
        <v>20190312151652504</v>
      </c>
      <c r="B6051" t="str">
        <f>"1552375012494187"</f>
        <v>1552375012494187</v>
      </c>
      <c r="C6051" t="s">
        <v>40</v>
      </c>
      <c r="D6051">
        <v>4.7203480000000004</v>
      </c>
      <c r="E6051">
        <v>0.46161479999999999</v>
      </c>
      <c r="F6051" t="s">
        <v>78</v>
      </c>
      <c r="G6051">
        <v>-219.63829999999999</v>
      </c>
      <c r="H6051" s="1">
        <v>-3.4858090000000002E-6</v>
      </c>
      <c r="I6051">
        <v>-58.230240000000002</v>
      </c>
      <c r="J6051">
        <v>-240.7998</v>
      </c>
      <c r="K6051">
        <v>1.1092789999999999</v>
      </c>
      <c r="L6051">
        <v>-63.283110000000001</v>
      </c>
      <c r="M6051">
        <v>0.99987720000000002</v>
      </c>
      <c r="N6051">
        <v>0</v>
      </c>
      <c r="O6051">
        <v>1.212539E-2</v>
      </c>
      <c r="P6051">
        <v>0.99149279999999995</v>
      </c>
      <c r="Q6051">
        <v>4.4203200000000002E-3</v>
      </c>
      <c r="R6051">
        <v>0.13008629999999999</v>
      </c>
      <c r="S6051">
        <v>2.9350890000000001</v>
      </c>
      <c r="T6051">
        <v>-0.15278710000000001</v>
      </c>
      <c r="U6051">
        <v>0.69619750000000002</v>
      </c>
      <c r="V6051">
        <v>-0.1180532</v>
      </c>
      <c r="W6051">
        <v>1.429444E-2</v>
      </c>
      <c r="X6051">
        <v>0.99290440000000002</v>
      </c>
      <c r="Y6051">
        <v>-0.21871409999999999</v>
      </c>
      <c r="Z6051">
        <v>4.9891299999999996E-3</v>
      </c>
      <c r="AA6051">
        <v>0.97577619999999998</v>
      </c>
      <c r="AB6051">
        <v>28</v>
      </c>
      <c r="AC6051">
        <v>21.1615</v>
      </c>
      <c r="AD6051">
        <v>-1.109282485809</v>
      </c>
      <c r="AE6051">
        <v>5.0528699999999898</v>
      </c>
      <c r="AF6051">
        <v>-4.7834592177138697</v>
      </c>
      <c r="AG6051">
        <v>-1.109282485809</v>
      </c>
      <c r="AH6051">
        <v>21.1661910496323</v>
      </c>
      <c r="AI6051">
        <v>92.926358923970497</v>
      </c>
      <c r="AJ6051">
        <v>102.734649309912</v>
      </c>
      <c r="AK6051">
        <v>21.728314091764901</v>
      </c>
      <c r="AL6051">
        <v>89.180961038354198</v>
      </c>
      <c r="AM6051">
        <v>96.780456395959305</v>
      </c>
      <c r="AN6051">
        <v>1.0000000182922499</v>
      </c>
    </row>
    <row r="6052" spans="1:40" x14ac:dyDescent="0.25">
      <c r="A6052" t="str">
        <f>"20190312151652515"</f>
        <v>20190312151652515</v>
      </c>
      <c r="B6052" t="str">
        <f>"1552375012503946"</f>
        <v>1552375012503946</v>
      </c>
      <c r="C6052" t="s">
        <v>40</v>
      </c>
      <c r="D6052">
        <v>4.763668</v>
      </c>
      <c r="E6052">
        <v>0.48696709999999899</v>
      </c>
      <c r="F6052" t="s">
        <v>78</v>
      </c>
      <c r="G6052">
        <v>-219.61580000000001</v>
      </c>
      <c r="H6052" s="1">
        <v>-3.470919E-6</v>
      </c>
      <c r="I6052">
        <v>-58.259819999999998</v>
      </c>
      <c r="J6052">
        <v>-240.66370000000001</v>
      </c>
      <c r="K6052">
        <v>1.1092770000000001</v>
      </c>
      <c r="L6052">
        <v>-63.281460000000003</v>
      </c>
      <c r="M6052">
        <v>0.99987720000000002</v>
      </c>
      <c r="N6052">
        <v>0</v>
      </c>
      <c r="O6052">
        <v>1.212538E-2</v>
      </c>
      <c r="P6052">
        <v>0.99150280000000002</v>
      </c>
      <c r="Q6052">
        <v>4.0429029999999996E-3</v>
      </c>
      <c r="R6052">
        <v>0.1300239</v>
      </c>
      <c r="S6052">
        <v>2.9351039999999999</v>
      </c>
      <c r="T6052">
        <v>-0.15369449999999901</v>
      </c>
      <c r="U6052">
        <v>0.69598389999999999</v>
      </c>
      <c r="V6052">
        <v>-0.11799080000000001</v>
      </c>
      <c r="W6052">
        <v>1.3918730000000001E-2</v>
      </c>
      <c r="X6052">
        <v>0.9929171</v>
      </c>
      <c r="Y6052">
        <v>-0.2186427</v>
      </c>
      <c r="Z6052">
        <v>5.0168959999999999E-3</v>
      </c>
      <c r="AA6052">
        <v>0.97579210000000005</v>
      </c>
      <c r="AB6052">
        <v>28</v>
      </c>
      <c r="AC6052">
        <v>21.047899999999998</v>
      </c>
      <c r="AD6052">
        <v>-1.1092804709190001</v>
      </c>
      <c r="AE6052">
        <v>5.0216399999999899</v>
      </c>
      <c r="AF6052">
        <v>-4.7535521776868599</v>
      </c>
      <c r="AG6052">
        <v>-1.1092804709190001</v>
      </c>
      <c r="AH6052">
        <v>21.051920705985701</v>
      </c>
      <c r="AI6052">
        <v>92.9423325221304</v>
      </c>
      <c r="AJ6052">
        <v>102.724077726191</v>
      </c>
      <c r="AK6052">
        <v>21.6104170917699</v>
      </c>
      <c r="AL6052">
        <v>89.202489734038295</v>
      </c>
      <c r="AM6052">
        <v>96.776819881895094</v>
      </c>
      <c r="AN6052">
        <v>0.99999996370093003</v>
      </c>
    </row>
    <row r="6053" spans="1:40" x14ac:dyDescent="0.25">
      <c r="A6053" t="str">
        <f>"20190312151652526"</f>
        <v>20190312151652526</v>
      </c>
      <c r="B6053" t="str">
        <f>"1552375012513706"</f>
        <v>1552375012513706</v>
      </c>
      <c r="C6053" t="s">
        <v>40</v>
      </c>
      <c r="D6053">
        <v>5.725168</v>
      </c>
      <c r="E6053">
        <v>0.49710179999999998</v>
      </c>
      <c r="F6053" t="s">
        <v>64</v>
      </c>
      <c r="G6053">
        <v>-200.07579999999999</v>
      </c>
      <c r="H6053" s="1">
        <v>-6.2852829999999898E-6</v>
      </c>
      <c r="I6053">
        <v>-56.505600000000001</v>
      </c>
      <c r="J6053">
        <v>-240.5231</v>
      </c>
      <c r="K6053">
        <v>1.109275</v>
      </c>
      <c r="L6053">
        <v>-63.27975</v>
      </c>
      <c r="M6053">
        <v>0.99987720000000002</v>
      </c>
      <c r="N6053">
        <v>0</v>
      </c>
      <c r="O6053">
        <v>1.212537E-2</v>
      </c>
      <c r="P6053">
        <v>0.99148329999999996</v>
      </c>
      <c r="Q6053">
        <v>3.9362049999999999E-3</v>
      </c>
      <c r="R6053">
        <v>0.1301756</v>
      </c>
      <c r="S6053">
        <v>2.9612120000000002</v>
      </c>
      <c r="T6053">
        <v>-8.0931069999999994E-2</v>
      </c>
      <c r="U6053">
        <v>0.49435420000000002</v>
      </c>
      <c r="V6053">
        <v>-0.118143</v>
      </c>
      <c r="W6053">
        <v>1.3813840000000001E-2</v>
      </c>
      <c r="X6053">
        <v>0.99290049999999996</v>
      </c>
      <c r="Y6053">
        <v>-0.15264079999999999</v>
      </c>
      <c r="Z6053">
        <v>1.7421719999999999E-3</v>
      </c>
      <c r="AA6053">
        <v>0.98828020000000005</v>
      </c>
      <c r="AB6053">
        <v>28</v>
      </c>
      <c r="AC6053">
        <v>40.447299999999998</v>
      </c>
      <c r="AD6053">
        <v>-1.1092812852830001</v>
      </c>
      <c r="AE6053">
        <v>6.7741499999999899</v>
      </c>
      <c r="AF6053">
        <v>-6.2785957062063504</v>
      </c>
      <c r="AG6053">
        <v>-1.1092812852830001</v>
      </c>
      <c r="AH6053">
        <v>40.4968407374325</v>
      </c>
      <c r="AI6053">
        <v>91.550526829840905</v>
      </c>
      <c r="AJ6053">
        <v>98.812923393855897</v>
      </c>
      <c r="AK6053">
        <v>40.995675122198499</v>
      </c>
      <c r="AL6053">
        <v>89.208500092584799</v>
      </c>
      <c r="AM6053">
        <v>96.785592443053005</v>
      </c>
      <c r="AN6053">
        <v>0.99999999676239704</v>
      </c>
    </row>
    <row r="6054" spans="1:40" x14ac:dyDescent="0.25">
      <c r="A6054" t="str">
        <f>"20190312151652537"</f>
        <v>20190312151652537</v>
      </c>
      <c r="B6054" t="str">
        <f>"1552375012534202"</f>
        <v>1552375012534202</v>
      </c>
      <c r="C6054" t="s">
        <v>40</v>
      </c>
      <c r="D6054">
        <v>4.9659149999999999</v>
      </c>
      <c r="E6054">
        <v>0.51393089999999997</v>
      </c>
      <c r="F6054" t="s">
        <v>64</v>
      </c>
      <c r="G6054">
        <v>-206.14019999999999</v>
      </c>
      <c r="H6054" s="1">
        <v>-2.9311880000000001E-6</v>
      </c>
      <c r="I6054">
        <v>-58.481219999999901</v>
      </c>
      <c r="J6054">
        <v>-240.3929</v>
      </c>
      <c r="K6054">
        <v>1.109272</v>
      </c>
      <c r="L6054">
        <v>-63.278170000000003</v>
      </c>
      <c r="M6054">
        <v>0.99987700000000002</v>
      </c>
      <c r="N6054">
        <v>0</v>
      </c>
      <c r="O6054">
        <v>1.212572E-2</v>
      </c>
      <c r="P6054">
        <v>0.9915041</v>
      </c>
      <c r="Q6054">
        <v>3.6637639999999999E-3</v>
      </c>
      <c r="R6054">
        <v>0.1300239</v>
      </c>
      <c r="S6054">
        <v>2.971695</v>
      </c>
      <c r="T6054">
        <v>-9.5874189999999998E-2</v>
      </c>
      <c r="U6054">
        <v>0.41473389999999999</v>
      </c>
      <c r="V6054">
        <v>-0.1179905</v>
      </c>
      <c r="W6054">
        <v>1.354349E-2</v>
      </c>
      <c r="X6054">
        <v>0.99292239999999998</v>
      </c>
      <c r="Y6054">
        <v>-0.12614359999999999</v>
      </c>
      <c r="Z6054">
        <v>1.6353699999999999E-3</v>
      </c>
      <c r="AA6054">
        <v>0.99201070000000002</v>
      </c>
      <c r="AB6054">
        <v>28</v>
      </c>
      <c r="AC6054">
        <v>34.252699999999997</v>
      </c>
      <c r="AD6054">
        <v>-1.1092749311879999</v>
      </c>
      <c r="AE6054">
        <v>4.7969499999999998</v>
      </c>
      <c r="AF6054">
        <v>-4.3767361138836698</v>
      </c>
      <c r="AG6054">
        <v>-1.1092749311879999</v>
      </c>
      <c r="AH6054">
        <v>34.2730969966901</v>
      </c>
      <c r="AI6054">
        <v>91.838851738984303</v>
      </c>
      <c r="AJ6054">
        <v>97.277385388747305</v>
      </c>
      <c r="AK6054">
        <v>34.569227466463097</v>
      </c>
      <c r="AL6054">
        <v>89.223991488252395</v>
      </c>
      <c r="AM6054">
        <v>96.776766974943598</v>
      </c>
      <c r="AN6054">
        <v>1.00000003831669</v>
      </c>
    </row>
    <row r="6055" spans="1:40" x14ac:dyDescent="0.25">
      <c r="A6055" t="str">
        <f>"20190312151652548"</f>
        <v>20190312151652548</v>
      </c>
      <c r="B6055" t="str">
        <f>"1552375012543962"</f>
        <v>1552375012543962</v>
      </c>
      <c r="C6055" t="s">
        <v>40</v>
      </c>
      <c r="D6055">
        <v>4.5811409999999997</v>
      </c>
      <c r="E6055">
        <v>0.51855770000000001</v>
      </c>
      <c r="F6055" t="s">
        <v>78</v>
      </c>
      <c r="G6055">
        <v>-214.35050000000001</v>
      </c>
      <c r="H6055" s="1">
        <v>-9.5277850000000005E-7</v>
      </c>
      <c r="I6055">
        <v>-60.824930000000002</v>
      </c>
      <c r="J6055">
        <v>-240.23949999999999</v>
      </c>
      <c r="K6055">
        <v>1.10927</v>
      </c>
      <c r="L6055">
        <v>-63.276310000000002</v>
      </c>
      <c r="M6055">
        <v>0.99987709999999996</v>
      </c>
      <c r="N6055">
        <v>0</v>
      </c>
      <c r="O6055">
        <v>1.212571E-2</v>
      </c>
      <c r="P6055">
        <v>0.99147879999999999</v>
      </c>
      <c r="Q6055">
        <v>3.4706099999999998E-3</v>
      </c>
      <c r="R6055">
        <v>0.13022210000000001</v>
      </c>
      <c r="S6055">
        <v>2.989258</v>
      </c>
      <c r="T6055">
        <v>-0.12732660000000001</v>
      </c>
      <c r="U6055">
        <v>0.28158569999999999</v>
      </c>
      <c r="V6055">
        <v>-0.11818919999999999</v>
      </c>
      <c r="W6055">
        <v>1.3352299999999999E-2</v>
      </c>
      <c r="X6055">
        <v>0.99290129999999999</v>
      </c>
      <c r="Y6055">
        <v>-8.1641809999999995E-2</v>
      </c>
      <c r="Z6055">
        <v>1.2190720000000001E-3</v>
      </c>
      <c r="AA6055">
        <v>0.99666100000000002</v>
      </c>
      <c r="AB6055">
        <v>28</v>
      </c>
      <c r="AC6055">
        <v>25.8889999999999</v>
      </c>
      <c r="AD6055">
        <v>-1.1092709527785001</v>
      </c>
      <c r="AE6055">
        <v>2.4513799999999901</v>
      </c>
      <c r="AF6055">
        <v>-2.13337992165164</v>
      </c>
      <c r="AG6055">
        <v>-1.1092709527785001</v>
      </c>
      <c r="AH6055">
        <v>25.869750897509899</v>
      </c>
      <c r="AI6055">
        <v>92.446989567169396</v>
      </c>
      <c r="AJ6055">
        <v>94.714297437959004</v>
      </c>
      <c r="AK6055">
        <v>25.981258696144799</v>
      </c>
      <c r="AL6055">
        <v>89.234946814916498</v>
      </c>
      <c r="AM6055">
        <v>96.788215784156506</v>
      </c>
      <c r="AN6055">
        <v>0.999999981226809</v>
      </c>
    </row>
    <row r="6056" spans="1:40" x14ac:dyDescent="0.25">
      <c r="A6056" t="str">
        <f>"20190312151652559"</f>
        <v>20190312151652559</v>
      </c>
      <c r="B6056" t="str">
        <f>"1552375012553722"</f>
        <v>1552375012553722</v>
      </c>
      <c r="C6056" t="s">
        <v>40</v>
      </c>
      <c r="D6056">
        <v>4.5686660000000003</v>
      </c>
      <c r="E6056">
        <v>0.52150169999999996</v>
      </c>
      <c r="F6056" t="s">
        <v>78</v>
      </c>
      <c r="G6056">
        <v>-217.39779999999999</v>
      </c>
      <c r="H6056" s="1">
        <v>-2.413384E-6</v>
      </c>
      <c r="I6056">
        <v>-61.4011</v>
      </c>
      <c r="J6056">
        <v>-240.10390000000001</v>
      </c>
      <c r="K6056">
        <v>1.109267</v>
      </c>
      <c r="L6056">
        <v>-63.274659999999997</v>
      </c>
      <c r="M6056">
        <v>0.99987689999999996</v>
      </c>
      <c r="N6056">
        <v>0</v>
      </c>
      <c r="O6056">
        <v>1.2126E-2</v>
      </c>
      <c r="P6056">
        <v>0.99148930000000002</v>
      </c>
      <c r="Q6056">
        <v>3.5034969999999999E-3</v>
      </c>
      <c r="R6056">
        <v>0.13014100000000001</v>
      </c>
      <c r="S6056">
        <v>2.9940190000000002</v>
      </c>
      <c r="T6056">
        <v>-0.14540020000000001</v>
      </c>
      <c r="U6056">
        <v>0.2457886</v>
      </c>
      <c r="V6056">
        <v>-0.1181077</v>
      </c>
      <c r="W6056">
        <v>1.338758E-2</v>
      </c>
      <c r="X6056">
        <v>0.99291059999999998</v>
      </c>
      <c r="Y6056">
        <v>-6.9658670000000006E-2</v>
      </c>
      <c r="Z6056">
        <v>1.100113E-3</v>
      </c>
      <c r="AA6056">
        <v>0.99757030000000002</v>
      </c>
      <c r="AB6056">
        <v>28</v>
      </c>
      <c r="AC6056">
        <v>22.706099999999999</v>
      </c>
      <c r="AD6056">
        <v>-1.109269413384</v>
      </c>
      <c r="AE6056">
        <v>1.8735599999999899</v>
      </c>
      <c r="AF6056">
        <v>-1.5942951232653899</v>
      </c>
      <c r="AG6056">
        <v>-1.109269413384</v>
      </c>
      <c r="AH6056">
        <v>22.673402768371002</v>
      </c>
      <c r="AI6056">
        <v>92.794007281814999</v>
      </c>
      <c r="AJ6056">
        <v>94.022169946558904</v>
      </c>
      <c r="AK6056">
        <v>22.756437521464299</v>
      </c>
      <c r="AL6056">
        <v>89.232925297860902</v>
      </c>
      <c r="AM6056">
        <v>96.783515509032597</v>
      </c>
      <c r="AN6056">
        <v>1.0000000578449499</v>
      </c>
    </row>
    <row r="6057" spans="1:40" x14ac:dyDescent="0.25">
      <c r="A6057" t="str">
        <f>"20190312151652570"</f>
        <v>20190312151652570</v>
      </c>
      <c r="B6057" t="str">
        <f>"1552375012563482"</f>
        <v>1552375012563482</v>
      </c>
      <c r="C6057" t="s">
        <v>40</v>
      </c>
      <c r="D6057">
        <v>4.5519439999999998</v>
      </c>
      <c r="E6057">
        <v>0.52380099999999996</v>
      </c>
      <c r="F6057" t="s">
        <v>78</v>
      </c>
      <c r="G6057">
        <v>-219.0883</v>
      </c>
      <c r="H6057" s="1">
        <v>-3.1886560000000001E-6</v>
      </c>
      <c r="I6057">
        <v>-61.715049999999998</v>
      </c>
      <c r="J6057">
        <v>-239.96879999999999</v>
      </c>
      <c r="K6057">
        <v>1.1092630000000001</v>
      </c>
      <c r="L6057">
        <v>-63.273040000000002</v>
      </c>
      <c r="M6057">
        <v>0.99987700000000002</v>
      </c>
      <c r="N6057">
        <v>0</v>
      </c>
      <c r="O6057">
        <v>1.212599E-2</v>
      </c>
      <c r="P6057">
        <v>0.99143720000000002</v>
      </c>
      <c r="Q6057">
        <v>3.1654420000000001E-3</v>
      </c>
      <c r="R6057">
        <v>0.13054730000000001</v>
      </c>
      <c r="S6057">
        <v>2.9971009999999998</v>
      </c>
      <c r="T6057">
        <v>-0.1581967</v>
      </c>
      <c r="U6057">
        <v>0.2224121</v>
      </c>
      <c r="V6057">
        <v>-0.11851490000000001</v>
      </c>
      <c r="W6057">
        <v>1.3050010000000001E-2</v>
      </c>
      <c r="X6057">
        <v>0.99286649999999999</v>
      </c>
      <c r="Y6057">
        <v>-6.1837999999999997E-2</v>
      </c>
      <c r="Z6057">
        <v>9.8995989999999998E-4</v>
      </c>
      <c r="AA6057">
        <v>0.99808569999999996</v>
      </c>
      <c r="AB6057">
        <v>28</v>
      </c>
      <c r="AC6057">
        <v>20.880499999999898</v>
      </c>
      <c r="AD6057">
        <v>-1.10926618865599</v>
      </c>
      <c r="AE6057">
        <v>1.55799</v>
      </c>
      <c r="AF6057">
        <v>-1.3010147679458299</v>
      </c>
      <c r="AG6057">
        <v>-1.10926618865599</v>
      </c>
      <c r="AH6057">
        <v>20.839370248481998</v>
      </c>
      <c r="AI6057">
        <v>93.041032299797095</v>
      </c>
      <c r="AJ6057">
        <v>93.572374542806202</v>
      </c>
      <c r="AK6057">
        <v>20.909386965117498</v>
      </c>
      <c r="AL6057">
        <v>89.252268269106196</v>
      </c>
      <c r="AM6057">
        <v>96.806983477708997</v>
      </c>
      <c r="AN6057">
        <v>0.99999998555262903</v>
      </c>
    </row>
    <row r="6058" spans="1:40" x14ac:dyDescent="0.25">
      <c r="A6058" t="str">
        <f>"20190312151652582"</f>
        <v>20190312151652582</v>
      </c>
      <c r="B6058" t="str">
        <f>"1552375012574218"</f>
        <v>1552375012574218</v>
      </c>
      <c r="C6058" t="s">
        <v>40</v>
      </c>
      <c r="D6058">
        <v>4.7571399999999997</v>
      </c>
      <c r="E6058">
        <v>0.52609410000000001</v>
      </c>
      <c r="F6058" t="s">
        <v>77</v>
      </c>
      <c r="G6058">
        <v>-220.2791</v>
      </c>
      <c r="H6058" s="1">
        <v>4.1976110000000001E-7</v>
      </c>
      <c r="I6058">
        <v>-61.923789999999997</v>
      </c>
      <c r="J6058">
        <v>-239.83019999999999</v>
      </c>
      <c r="K6058">
        <v>1.1092599999999999</v>
      </c>
      <c r="L6058">
        <v>-63.271360000000001</v>
      </c>
      <c r="M6058">
        <v>0.99987709999999996</v>
      </c>
      <c r="N6058">
        <v>0</v>
      </c>
      <c r="O6058">
        <v>1.212598E-2</v>
      </c>
      <c r="P6058">
        <v>0.99140640000000002</v>
      </c>
      <c r="Q6058">
        <v>3.2164279999999999E-3</v>
      </c>
      <c r="R6058">
        <v>0.1307797</v>
      </c>
      <c r="S6058">
        <v>2.9994049999999999</v>
      </c>
      <c r="T6058">
        <v>-0.16897770000000001</v>
      </c>
      <c r="U6058">
        <v>0.20553589999999999</v>
      </c>
      <c r="V6058">
        <v>-0.1187473</v>
      </c>
      <c r="W6058">
        <v>1.310294E-2</v>
      </c>
      <c r="X6058">
        <v>0.992838</v>
      </c>
      <c r="Y6058">
        <v>-5.6192470000000001E-2</v>
      </c>
      <c r="Z6058">
        <v>8.980037E-4</v>
      </c>
      <c r="AA6058">
        <v>0.99841950000000002</v>
      </c>
      <c r="AB6058">
        <v>28</v>
      </c>
      <c r="AC6058">
        <v>19.551099999999899</v>
      </c>
      <c r="AD6058">
        <v>-1.10925958023889</v>
      </c>
      <c r="AE6058">
        <v>1.3475699999999899</v>
      </c>
      <c r="AF6058">
        <v>-1.1068368740239301</v>
      </c>
      <c r="AG6058">
        <v>-1.10925958023889</v>
      </c>
      <c r="AH6058">
        <v>19.503518418949302</v>
      </c>
      <c r="AI6058">
        <v>93.249963656523505</v>
      </c>
      <c r="AJ6058">
        <v>93.248087361848306</v>
      </c>
      <c r="AK6058">
        <v>19.566368477577601</v>
      </c>
      <c r="AL6058">
        <v>89.249235318394597</v>
      </c>
      <c r="AM6058">
        <v>96.820399852073095</v>
      </c>
      <c r="AN6058">
        <v>0.99999995126896501</v>
      </c>
    </row>
    <row r="6059" spans="1:40" x14ac:dyDescent="0.25">
      <c r="A6059" t="str">
        <f>"20190312151652592"</f>
        <v>20190312151652592</v>
      </c>
      <c r="B6059" t="str">
        <f>"1552375012583978"</f>
        <v>1552375012583978</v>
      </c>
      <c r="C6059" t="s">
        <v>40</v>
      </c>
      <c r="D6059">
        <v>4.5858860000000004</v>
      </c>
      <c r="E6059">
        <v>0.52740089999999995</v>
      </c>
      <c r="F6059" t="s">
        <v>77</v>
      </c>
      <c r="G6059">
        <v>-220.9906</v>
      </c>
      <c r="H6059" s="1">
        <v>7.7474339999999999E-8</v>
      </c>
      <c r="I6059">
        <v>-62.090359999999997</v>
      </c>
      <c r="J6059">
        <v>-239.68969999999999</v>
      </c>
      <c r="K6059">
        <v>1.109259</v>
      </c>
      <c r="L6059">
        <v>-63.269649999999999</v>
      </c>
      <c r="M6059">
        <v>0.99987700000000002</v>
      </c>
      <c r="N6059">
        <v>0</v>
      </c>
      <c r="O6059">
        <v>1.212615E-2</v>
      </c>
      <c r="P6059">
        <v>0.99137379999999997</v>
      </c>
      <c r="Q6059">
        <v>3.0928240000000001E-3</v>
      </c>
      <c r="R6059">
        <v>0.1310288</v>
      </c>
      <c r="S6059">
        <v>3.0017399999999999</v>
      </c>
      <c r="T6059">
        <v>-0.17674039999999999</v>
      </c>
      <c r="U6059">
        <v>0.18817139999999999</v>
      </c>
      <c r="V6059">
        <v>-0.11899650000000001</v>
      </c>
      <c r="W6059">
        <v>1.298088E-2</v>
      </c>
      <c r="X6059">
        <v>0.99280979999999996</v>
      </c>
      <c r="Y6059">
        <v>-5.0391039999999998E-2</v>
      </c>
      <c r="Z6059">
        <v>7.6814349999999995E-4</v>
      </c>
      <c r="AA6059">
        <v>0.99872930000000004</v>
      </c>
      <c r="AB6059">
        <v>28</v>
      </c>
      <c r="AC6059">
        <v>18.699099999999898</v>
      </c>
      <c r="AD6059">
        <v>-1.1092589225256599</v>
      </c>
      <c r="AE6059">
        <v>1.1792899999999999</v>
      </c>
      <c r="AF6059">
        <v>-0.94911722352372196</v>
      </c>
      <c r="AG6059">
        <v>-1.1092589225256599</v>
      </c>
      <c r="AH6059">
        <v>18.646667528048699</v>
      </c>
      <c r="AI6059">
        <v>93.400026289634596</v>
      </c>
      <c r="AJ6059">
        <v>92.913846169644401</v>
      </c>
      <c r="AK6059">
        <v>18.703729274205699</v>
      </c>
      <c r="AL6059">
        <v>89.256229461236799</v>
      </c>
      <c r="AM6059">
        <v>96.834770010761702</v>
      </c>
      <c r="AN6059">
        <v>0.99999998461693196</v>
      </c>
    </row>
    <row r="6060" spans="1:40" x14ac:dyDescent="0.25">
      <c r="A6060" t="str">
        <f>"20190312151652604"</f>
        <v>20190312151652604</v>
      </c>
      <c r="B6060" t="str">
        <f>"1552375012593738"</f>
        <v>1552375012593738</v>
      </c>
      <c r="C6060" t="s">
        <v>40</v>
      </c>
      <c r="D6060">
        <v>4.5805030000000002</v>
      </c>
      <c r="E6060">
        <v>0.52849029999999997</v>
      </c>
      <c r="F6060" t="s">
        <v>77</v>
      </c>
      <c r="G6060">
        <v>-221.4204</v>
      </c>
      <c r="H6060" s="1">
        <v>-1.274973E-7</v>
      </c>
      <c r="I6060">
        <v>-62.183010000000003</v>
      </c>
      <c r="J6060">
        <v>-239.54130000000001</v>
      </c>
      <c r="K6060">
        <v>1.109262</v>
      </c>
      <c r="L6060">
        <v>-63.267850000000003</v>
      </c>
      <c r="M6060">
        <v>0.99987700000000002</v>
      </c>
      <c r="N6060">
        <v>0</v>
      </c>
      <c r="O6060">
        <v>1.2126319999999999E-2</v>
      </c>
      <c r="P6060">
        <v>0.99136290000000005</v>
      </c>
      <c r="Q6060">
        <v>2.8952460000000002E-3</v>
      </c>
      <c r="R6060">
        <v>0.13111610000000001</v>
      </c>
      <c r="S6060">
        <v>3.0030670000000002</v>
      </c>
      <c r="T6060">
        <v>-0.18233750000000001</v>
      </c>
      <c r="U6060">
        <v>0.17861939999999901</v>
      </c>
      <c r="V6060">
        <v>-0.11908390000000001</v>
      </c>
      <c r="W6060">
        <v>1.2785390000000001E-2</v>
      </c>
      <c r="X6060">
        <v>0.99280179999999996</v>
      </c>
      <c r="Y6060">
        <v>-4.7199820000000003E-2</v>
      </c>
      <c r="Z6060">
        <v>6.9543280000000001E-4</v>
      </c>
      <c r="AA6060">
        <v>0.99888520000000003</v>
      </c>
      <c r="AB6060">
        <v>28</v>
      </c>
      <c r="AC6060">
        <v>18.120899999999999</v>
      </c>
      <c r="AD6060">
        <v>-1.1092621274973</v>
      </c>
      <c r="AE6060">
        <v>1.08484</v>
      </c>
      <c r="AF6060">
        <v>-0.86179173648480301</v>
      </c>
      <c r="AG6060">
        <v>-1.1092621274973</v>
      </c>
      <c r="AH6060">
        <v>18.065270533127499</v>
      </c>
      <c r="AI6060">
        <v>93.509740932018801</v>
      </c>
      <c r="AJ6060">
        <v>92.731186585902293</v>
      </c>
      <c r="AK6060">
        <v>18.1197998581567</v>
      </c>
      <c r="AL6060">
        <v>89.267431101349104</v>
      </c>
      <c r="AM6060">
        <v>96.839797034711907</v>
      </c>
      <c r="AN6060">
        <v>0.99999992775994795</v>
      </c>
    </row>
    <row r="6061" spans="1:40" x14ac:dyDescent="0.25">
      <c r="A6061" t="str">
        <f>"20190312151652616"</f>
        <v>20190312151652616</v>
      </c>
      <c r="B6061" t="str">
        <f>"1552375012603498"</f>
        <v>1552375012603498</v>
      </c>
      <c r="C6061" t="s">
        <v>40</v>
      </c>
      <c r="D6061">
        <v>4.595415</v>
      </c>
      <c r="E6061">
        <v>0.529416199999999</v>
      </c>
      <c r="F6061" t="s">
        <v>77</v>
      </c>
      <c r="G6061">
        <v>-221.67660000000001</v>
      </c>
      <c r="H6061" s="1">
        <v>-2.5335230000000001E-7</v>
      </c>
      <c r="I6061">
        <v>-62.254669999999997</v>
      </c>
      <c r="J6061">
        <v>-239.3999</v>
      </c>
      <c r="K6061">
        <v>1.1092610000000001</v>
      </c>
      <c r="L6061">
        <v>-63.26614</v>
      </c>
      <c r="M6061">
        <v>0.99987700000000002</v>
      </c>
      <c r="N6061">
        <v>0</v>
      </c>
      <c r="O6061">
        <v>1.212649E-2</v>
      </c>
      <c r="P6061">
        <v>0.99133070000000001</v>
      </c>
      <c r="Q6061">
        <v>2.871321E-3</v>
      </c>
      <c r="R6061">
        <v>0.13135920000000001</v>
      </c>
      <c r="S6061">
        <v>3.004181</v>
      </c>
      <c r="T6061">
        <v>-0.1865368</v>
      </c>
      <c r="U6061">
        <v>0.17037959999999999</v>
      </c>
      <c r="V6061">
        <v>-0.1193268</v>
      </c>
      <c r="W6061">
        <v>1.276298E-2</v>
      </c>
      <c r="X6061">
        <v>0.99277300000000002</v>
      </c>
      <c r="Y6061">
        <v>-4.4449349999999999E-2</v>
      </c>
      <c r="Z6061">
        <v>6.2595719999999997E-4</v>
      </c>
      <c r="AA6061">
        <v>0.99901150000000005</v>
      </c>
      <c r="AB6061">
        <v>28</v>
      </c>
      <c r="AC6061">
        <v>17.723299999999899</v>
      </c>
      <c r="AD6061">
        <v>-1.1092612533523001</v>
      </c>
      <c r="AE6061">
        <v>1.0114700000000001</v>
      </c>
      <c r="AF6061">
        <v>-0.793365864916182</v>
      </c>
      <c r="AG6061">
        <v>-1.1092612533523001</v>
      </c>
      <c r="AH6061">
        <v>17.665288629338601</v>
      </c>
      <c r="AI6061">
        <v>93.589463194817597</v>
      </c>
      <c r="AJ6061">
        <v>92.571483073356603</v>
      </c>
      <c r="AK6061">
        <v>17.717852925274101</v>
      </c>
      <c r="AL6061">
        <v>89.268715260532204</v>
      </c>
      <c r="AM6061">
        <v>96.853812791887904</v>
      </c>
      <c r="AN6061">
        <v>1.0000000041928601</v>
      </c>
    </row>
    <row r="6062" spans="1:40" x14ac:dyDescent="0.25">
      <c r="A6062" t="str">
        <f>"20190312151652625"</f>
        <v>20190312151652625</v>
      </c>
      <c r="B6062" t="str">
        <f>"1552375012623994"</f>
        <v>1552375012623994</v>
      </c>
      <c r="C6062" t="s">
        <v>40</v>
      </c>
      <c r="D6062">
        <v>4.5758559999999999</v>
      </c>
      <c r="E6062">
        <v>0.53055469999999905</v>
      </c>
      <c r="F6062" t="s">
        <v>77</v>
      </c>
      <c r="G6062">
        <v>-221.90020000000001</v>
      </c>
      <c r="H6062" s="1">
        <v>-3.6213319999999999E-7</v>
      </c>
      <c r="I6062">
        <v>-62.312530000000002</v>
      </c>
      <c r="J6062">
        <v>-239.26320000000001</v>
      </c>
      <c r="K6062">
        <v>1.1092599999999999</v>
      </c>
      <c r="L6062">
        <v>-63.264470000000003</v>
      </c>
      <c r="M6062">
        <v>0.99987689999999996</v>
      </c>
      <c r="N6062">
        <v>0</v>
      </c>
      <c r="O6062">
        <v>1.212678E-2</v>
      </c>
      <c r="P6062">
        <v>0.99130620000000003</v>
      </c>
      <c r="Q6062">
        <v>2.7516709999999998E-3</v>
      </c>
      <c r="R6062">
        <v>0.1315462</v>
      </c>
      <c r="S6062">
        <v>3.005096</v>
      </c>
      <c r="T6062">
        <v>-0.19048499999999999</v>
      </c>
      <c r="U6062">
        <v>0.16375729999999999</v>
      </c>
      <c r="V6062">
        <v>-0.11951440000000001</v>
      </c>
      <c r="W6062">
        <v>1.264473E-2</v>
      </c>
      <c r="X6062">
        <v>0.99275199999999997</v>
      </c>
      <c r="Y6062">
        <v>-4.2238820000000003E-2</v>
      </c>
      <c r="Z6062">
        <v>5.6906589999999998E-4</v>
      </c>
      <c r="AA6062">
        <v>0.99910739999999998</v>
      </c>
      <c r="AB6062">
        <v>28</v>
      </c>
      <c r="AC6062">
        <v>17.363</v>
      </c>
      <c r="AD6062">
        <v>-1.1092603621332</v>
      </c>
      <c r="AE6062">
        <v>0.95193999999999301</v>
      </c>
      <c r="AF6062">
        <v>-0.73829796084038402</v>
      </c>
      <c r="AG6062">
        <v>-1.1092603621332</v>
      </c>
      <c r="AH6062">
        <v>17.302858082196899</v>
      </c>
      <c r="AI6062">
        <v>93.664801492839402</v>
      </c>
      <c r="AJ6062">
        <v>92.443279192809598</v>
      </c>
      <c r="AK6062">
        <v>17.354090014824401</v>
      </c>
      <c r="AL6062">
        <v>89.275491071666494</v>
      </c>
      <c r="AM6062">
        <v>96.864629119779295</v>
      </c>
      <c r="AN6062">
        <v>1.0000000572540599</v>
      </c>
    </row>
    <row r="6063" spans="1:40" x14ac:dyDescent="0.25">
      <c r="A6063" t="str">
        <f>"20190312151652637"</f>
        <v>20190312151652637</v>
      </c>
      <c r="B6063" t="str">
        <f>"1552375012633754"</f>
        <v>1552375012633754</v>
      </c>
      <c r="C6063" t="s">
        <v>40</v>
      </c>
      <c r="D6063">
        <v>4.6100070000000004</v>
      </c>
      <c r="E6063">
        <v>0.53105769999999997</v>
      </c>
      <c r="F6063" t="s">
        <v>77</v>
      </c>
      <c r="G6063">
        <v>-222.36009999999999</v>
      </c>
      <c r="H6063" s="1">
        <v>-5.768044E-7</v>
      </c>
      <c r="I6063">
        <v>-62.390729999999998</v>
      </c>
      <c r="J6063">
        <v>-239.12610000000001</v>
      </c>
      <c r="K6063">
        <v>1.1092630000000001</v>
      </c>
      <c r="L6063">
        <v>-63.262790000000003</v>
      </c>
      <c r="M6063">
        <v>0.99987700000000002</v>
      </c>
      <c r="N6063">
        <v>0</v>
      </c>
      <c r="O6063">
        <v>1.212677E-2</v>
      </c>
      <c r="P6063">
        <v>0.99130220000000002</v>
      </c>
      <c r="Q6063">
        <v>2.7949200000000002E-3</v>
      </c>
      <c r="R6063">
        <v>0.13157530000000001</v>
      </c>
      <c r="S6063">
        <v>3.0062410000000002</v>
      </c>
      <c r="T6063">
        <v>-0.19728299999999999</v>
      </c>
      <c r="U6063">
        <v>0.15539549999999999</v>
      </c>
      <c r="V6063">
        <v>-0.1195432</v>
      </c>
      <c r="W6063">
        <v>1.269003E-2</v>
      </c>
      <c r="X6063">
        <v>0.99274790000000002</v>
      </c>
      <c r="Y6063">
        <v>-3.9448459999999998E-2</v>
      </c>
      <c r="Z6063">
        <v>4.977502E-4</v>
      </c>
      <c r="AA6063">
        <v>0.99922149999999998</v>
      </c>
      <c r="AB6063">
        <v>28</v>
      </c>
      <c r="AC6063">
        <v>16.765999999999998</v>
      </c>
      <c r="AD6063">
        <v>-1.1092635768043999</v>
      </c>
      <c r="AE6063">
        <v>0.87205999999999695</v>
      </c>
      <c r="AF6063">
        <v>-0.66576198053007996</v>
      </c>
      <c r="AG6063">
        <v>-1.1092635768043999</v>
      </c>
      <c r="AH6063">
        <v>16.702427844054199</v>
      </c>
      <c r="AI6063">
        <v>93.796616681974697</v>
      </c>
      <c r="AJ6063">
        <v>92.2826123851885</v>
      </c>
      <c r="AK6063">
        <v>16.7524565536933</v>
      </c>
      <c r="AL6063">
        <v>89.272895325462599</v>
      </c>
      <c r="AM6063">
        <v>96.866295620931893</v>
      </c>
      <c r="AN6063">
        <v>1.0000000032410199</v>
      </c>
    </row>
    <row r="6064" spans="1:40" x14ac:dyDescent="0.25">
      <c r="A6064" t="str">
        <f>"20190312151652648"</f>
        <v>20190312151652648</v>
      </c>
      <c r="B6064" t="str">
        <f>"1552375012643514"</f>
        <v>1552375012643514</v>
      </c>
      <c r="C6064" t="s">
        <v>40</v>
      </c>
      <c r="D6064">
        <v>5.0194400000000003</v>
      </c>
      <c r="E6064">
        <v>0.5314643</v>
      </c>
      <c r="F6064" t="s">
        <v>77</v>
      </c>
      <c r="G6064">
        <v>-222.48339999999999</v>
      </c>
      <c r="H6064" s="1">
        <v>-6.3715660000000002E-7</v>
      </c>
      <c r="I6064">
        <v>-62.424120000000002</v>
      </c>
      <c r="J6064">
        <v>-238.97970000000001</v>
      </c>
      <c r="K6064">
        <v>1.109262</v>
      </c>
      <c r="L6064">
        <v>-63.261020000000002</v>
      </c>
      <c r="M6064">
        <v>0.99987700000000002</v>
      </c>
      <c r="N6064">
        <v>0</v>
      </c>
      <c r="O6064">
        <v>1.2126939999999999E-2</v>
      </c>
      <c r="P6064">
        <v>0.99130879999999999</v>
      </c>
      <c r="Q6064">
        <v>2.8571500000000001E-3</v>
      </c>
      <c r="R6064">
        <v>0.13152639999999999</v>
      </c>
      <c r="S6064">
        <v>3.0067750000000002</v>
      </c>
      <c r="T6064">
        <v>-0.20040730000000001</v>
      </c>
      <c r="U6064">
        <v>0.15151979999999901</v>
      </c>
      <c r="V6064">
        <v>-0.1194939</v>
      </c>
      <c r="W6064">
        <v>1.275392E-2</v>
      </c>
      <c r="X6064">
        <v>0.992753</v>
      </c>
      <c r="Y6064">
        <v>-3.8155469999999997E-2</v>
      </c>
      <c r="Z6064">
        <v>4.6251460000000001E-4</v>
      </c>
      <c r="AA6064">
        <v>0.99927169999999998</v>
      </c>
      <c r="AB6064">
        <v>28</v>
      </c>
      <c r="AC6064">
        <v>16.496300000000002</v>
      </c>
      <c r="AD6064">
        <v>-1.1092626371565999</v>
      </c>
      <c r="AE6064">
        <v>0.83689999999999998</v>
      </c>
      <c r="AF6064">
        <v>-0.63391992035409706</v>
      </c>
      <c r="AG6064">
        <v>-1.1092626371565999</v>
      </c>
      <c r="AH6064">
        <v>16.4311314998866</v>
      </c>
      <c r="AI6064">
        <v>93.859304745374402</v>
      </c>
      <c r="AJ6064">
        <v>92.209399361593398</v>
      </c>
      <c r="AK6064">
        <v>16.480728152305002</v>
      </c>
      <c r="AL6064">
        <v>89.269234389843703</v>
      </c>
      <c r="AM6064">
        <v>96.863456032725693</v>
      </c>
      <c r="AN6064">
        <v>0.99999998681078806</v>
      </c>
    </row>
    <row r="6065" spans="1:40" x14ac:dyDescent="0.25">
      <c r="A6065" t="str">
        <f>"20190312151652660"</f>
        <v>20190312151652660</v>
      </c>
      <c r="B6065" t="str">
        <f>"1552375012654250"</f>
        <v>1552375012654250</v>
      </c>
      <c r="C6065" t="s">
        <v>40</v>
      </c>
      <c r="D6065">
        <v>4.6968920000000001</v>
      </c>
      <c r="E6065">
        <v>0.53183210000000003</v>
      </c>
      <c r="F6065" t="s">
        <v>77</v>
      </c>
      <c r="G6065">
        <v>-222.1558</v>
      </c>
      <c r="H6065" s="1">
        <v>-4.984151E-7</v>
      </c>
      <c r="I6065">
        <v>-62.432290000000002</v>
      </c>
      <c r="J6065">
        <v>-238.83619999999999</v>
      </c>
      <c r="K6065">
        <v>1.1092630000000001</v>
      </c>
      <c r="L6065">
        <v>-63.259279999999997</v>
      </c>
      <c r="M6065">
        <v>0.99987689999999996</v>
      </c>
      <c r="N6065">
        <v>0</v>
      </c>
      <c r="O6065">
        <v>1.212711E-2</v>
      </c>
      <c r="P6065">
        <v>0.99129330000000004</v>
      </c>
      <c r="Q6065">
        <v>2.7176470000000001E-3</v>
      </c>
      <c r="R6065">
        <v>0.1316454</v>
      </c>
      <c r="S6065">
        <v>3.0072169999999998</v>
      </c>
      <c r="T6065">
        <v>-0.19827700000000001</v>
      </c>
      <c r="U6065">
        <v>0.14813229999999999</v>
      </c>
      <c r="V6065">
        <v>-0.11961339999999999</v>
      </c>
      <c r="W6065">
        <v>1.26166E-2</v>
      </c>
      <c r="X6065">
        <v>0.99274039999999997</v>
      </c>
      <c r="Y6065">
        <v>-3.7028709999999999E-2</v>
      </c>
      <c r="Z6065">
        <v>4.2045880000000002E-4</v>
      </c>
      <c r="AA6065">
        <v>0.99931409999999998</v>
      </c>
      <c r="AB6065">
        <v>28</v>
      </c>
      <c r="AC6065">
        <v>16.680399999999899</v>
      </c>
      <c r="AD6065">
        <v>-1.1092634984151</v>
      </c>
      <c r="AE6065">
        <v>0.826990000000002</v>
      </c>
      <c r="AF6065">
        <v>-0.62189061295688497</v>
      </c>
      <c r="AG6065">
        <v>-1.1092634984151</v>
      </c>
      <c r="AH6065">
        <v>16.6159010334279</v>
      </c>
      <c r="AI6065">
        <v>93.816686106836102</v>
      </c>
      <c r="AJ6065">
        <v>92.143433783782001</v>
      </c>
      <c r="AK6065">
        <v>16.664494609680499</v>
      </c>
      <c r="AL6065">
        <v>89.277102905611301</v>
      </c>
      <c r="AM6065">
        <v>96.8703406329616</v>
      </c>
      <c r="AN6065">
        <v>1.0000000229236301</v>
      </c>
    </row>
    <row r="6066" spans="1:40" x14ac:dyDescent="0.25">
      <c r="A6066" t="str">
        <f>"20190312151652669"</f>
        <v>20190312151652669</v>
      </c>
      <c r="B6066" t="str">
        <f>"1552375012664009"</f>
        <v>1552375012664009</v>
      </c>
      <c r="C6066" t="s">
        <v>40</v>
      </c>
      <c r="D6066">
        <v>4.5755999999999997</v>
      </c>
      <c r="E6066">
        <v>0.53205380000000002</v>
      </c>
      <c r="F6066" t="s">
        <v>77</v>
      </c>
      <c r="G6066">
        <v>-221.90170000000001</v>
      </c>
      <c r="H6066" s="1">
        <v>-3.910371E-7</v>
      </c>
      <c r="I6066">
        <v>-62.439630000000001</v>
      </c>
      <c r="J6066">
        <v>-238.70609999999999</v>
      </c>
      <c r="K6066">
        <v>1.1092679999999999</v>
      </c>
      <c r="L6066">
        <v>-63.257689999999997</v>
      </c>
      <c r="M6066">
        <v>0.99987689999999996</v>
      </c>
      <c r="N6066">
        <v>0</v>
      </c>
      <c r="O6066">
        <v>1.21271E-2</v>
      </c>
      <c r="P6066">
        <v>0.9912938</v>
      </c>
      <c r="Q6066">
        <v>2.6595249999999998E-3</v>
      </c>
      <c r="R6066">
        <v>0.13164310000000001</v>
      </c>
      <c r="S6066">
        <v>3.0075530000000001</v>
      </c>
      <c r="T6066">
        <v>-0.1970047</v>
      </c>
      <c r="U6066">
        <v>0.1455688</v>
      </c>
      <c r="V6066">
        <v>-0.1196106</v>
      </c>
      <c r="W6066">
        <v>1.256034E-2</v>
      </c>
      <c r="X6066">
        <v>0.9927414</v>
      </c>
      <c r="Y6066">
        <v>-3.6176010000000001E-2</v>
      </c>
      <c r="Z6066">
        <v>3.8984730000000002E-4</v>
      </c>
      <c r="AA6066">
        <v>0.99934540000000005</v>
      </c>
      <c r="AB6066">
        <v>28</v>
      </c>
      <c r="AC6066">
        <v>16.804399999999902</v>
      </c>
      <c r="AD6066">
        <v>-1.1092683910371</v>
      </c>
      <c r="AE6066">
        <v>0.81805999999999501</v>
      </c>
      <c r="AF6066">
        <v>-0.61154266282472503</v>
      </c>
      <c r="AG6066">
        <v>-1.1092683910371</v>
      </c>
      <c r="AH6066">
        <v>16.740313583028598</v>
      </c>
      <c r="AI6066">
        <v>93.7885454292622</v>
      </c>
      <c r="AJ6066">
        <v>92.092149538064803</v>
      </c>
      <c r="AK6066">
        <v>16.788167251071201</v>
      </c>
      <c r="AL6066">
        <v>89.280326585260397</v>
      </c>
      <c r="AM6066">
        <v>96.870174489750895</v>
      </c>
      <c r="AN6066">
        <v>0.99999997252361705</v>
      </c>
    </row>
    <row r="6067" spans="1:40" x14ac:dyDescent="0.25">
      <c r="A6067" t="str">
        <f>"20190312151652681"</f>
        <v>20190312151652681</v>
      </c>
      <c r="B6067" t="str">
        <f>"1552375012673770"</f>
        <v>1552375012673770</v>
      </c>
      <c r="C6067" t="s">
        <v>40</v>
      </c>
      <c r="D6067">
        <v>4.7353839999999998</v>
      </c>
      <c r="E6067">
        <v>0.53230390000000005</v>
      </c>
      <c r="F6067" t="s">
        <v>77</v>
      </c>
      <c r="G6067">
        <v>-221.6258</v>
      </c>
      <c r="H6067" s="1">
        <v>-2.7305550000000002E-7</v>
      </c>
      <c r="I6067">
        <v>-62.441279999999999</v>
      </c>
      <c r="J6067">
        <v>-238.5667</v>
      </c>
      <c r="K6067">
        <v>1.1092679999999999</v>
      </c>
      <c r="L6067">
        <v>-63.255980000000001</v>
      </c>
      <c r="M6067">
        <v>0.99987669999999995</v>
      </c>
      <c r="N6067">
        <v>0</v>
      </c>
      <c r="O6067">
        <v>1.212745E-2</v>
      </c>
      <c r="P6067">
        <v>0.99128989999999995</v>
      </c>
      <c r="Q6067">
        <v>2.6256090000000001E-3</v>
      </c>
      <c r="R6067">
        <v>0.1316715</v>
      </c>
      <c r="S6067">
        <v>3.0077970000000001</v>
      </c>
      <c r="T6067">
        <v>-0.19533929999999999</v>
      </c>
      <c r="U6067">
        <v>0.14376829999999999</v>
      </c>
      <c r="V6067">
        <v>-0.1196386</v>
      </c>
      <c r="W6067">
        <v>1.252792E-2</v>
      </c>
      <c r="X6067">
        <v>0.99273849999999997</v>
      </c>
      <c r="Y6067">
        <v>-3.5577020000000001E-2</v>
      </c>
      <c r="Z6067">
        <v>3.670902E-4</v>
      </c>
      <c r="AA6067">
        <v>0.99936689999999995</v>
      </c>
      <c r="AB6067">
        <v>28</v>
      </c>
      <c r="AC6067">
        <v>16.940899999999999</v>
      </c>
      <c r="AD6067">
        <v>-1.1092682730554999</v>
      </c>
      <c r="AE6067">
        <v>0.81470000000000198</v>
      </c>
      <c r="AF6067">
        <v>-0.60658523026684696</v>
      </c>
      <c r="AG6067">
        <v>-1.1092682730554999</v>
      </c>
      <c r="AH6067">
        <v>16.8773407802638</v>
      </c>
      <c r="AI6067">
        <v>93.7579543602439</v>
      </c>
      <c r="AJ6067">
        <v>92.058370505224502</v>
      </c>
      <c r="AK6067">
        <v>16.9246286091111</v>
      </c>
      <c r="AL6067">
        <v>89.282184306490294</v>
      </c>
      <c r="AM6067">
        <v>96.871787254729895</v>
      </c>
      <c r="AN6067">
        <v>1.0000000363858601</v>
      </c>
    </row>
    <row r="6068" spans="1:40" x14ac:dyDescent="0.25">
      <c r="A6068" t="str">
        <f>"20190312151652694"</f>
        <v>20190312151652694</v>
      </c>
      <c r="B6068" t="str">
        <f>"1552375012683530"</f>
        <v>1552375012683530</v>
      </c>
      <c r="C6068" t="s">
        <v>40</v>
      </c>
      <c r="D6068">
        <v>4.5752090000000001</v>
      </c>
      <c r="E6068">
        <v>0.53246369999999998</v>
      </c>
      <c r="F6068" t="s">
        <v>77</v>
      </c>
      <c r="G6068">
        <v>-221.37979999999999</v>
      </c>
      <c r="H6068" s="1">
        <v>-1.6847619999999999E-7</v>
      </c>
      <c r="I6068">
        <v>-62.445529999999998</v>
      </c>
      <c r="J6068">
        <v>-238.41290000000001</v>
      </c>
      <c r="K6068">
        <v>1.109267</v>
      </c>
      <c r="L6068">
        <v>-63.254150000000003</v>
      </c>
      <c r="M6068">
        <v>0.99987689999999996</v>
      </c>
      <c r="N6068">
        <v>0</v>
      </c>
      <c r="O6068">
        <v>1.212744E-2</v>
      </c>
      <c r="P6068">
        <v>0.99126979999999998</v>
      </c>
      <c r="Q6068">
        <v>2.7862479999999998E-3</v>
      </c>
      <c r="R6068">
        <v>0.13182079999999999</v>
      </c>
      <c r="S6068">
        <v>3.008057</v>
      </c>
      <c r="T6068">
        <v>-0.1941454</v>
      </c>
      <c r="U6068">
        <v>0.14184569999999999</v>
      </c>
      <c r="V6068">
        <v>-0.1197889</v>
      </c>
      <c r="W6068">
        <v>1.269003E-2</v>
      </c>
      <c r="X6068">
        <v>0.99271830000000005</v>
      </c>
      <c r="Y6068">
        <v>-3.4937530000000001E-2</v>
      </c>
      <c r="Z6068">
        <v>3.4422160000000001E-4</v>
      </c>
      <c r="AA6068">
        <v>0.99938939999999998</v>
      </c>
      <c r="AB6068">
        <v>28</v>
      </c>
      <c r="AC6068">
        <v>17.033100000000001</v>
      </c>
      <c r="AD6068">
        <v>-1.1092671684761899</v>
      </c>
      <c r="AE6068">
        <v>0.80861999999999701</v>
      </c>
      <c r="AF6068">
        <v>-0.59944576251295001</v>
      </c>
      <c r="AG6068">
        <v>-1.1092671684761899</v>
      </c>
      <c r="AH6068">
        <v>16.969844207623201</v>
      </c>
      <c r="AI6068">
        <v>93.7376058673118</v>
      </c>
      <c r="AJ6068">
        <v>92.023085009372707</v>
      </c>
      <c r="AK6068">
        <v>17.016621912243899</v>
      </c>
      <c r="AL6068">
        <v>89.272895337859495</v>
      </c>
      <c r="AM6068">
        <v>96.880476125282499</v>
      </c>
      <c r="AN6068">
        <v>1.0000000202897501</v>
      </c>
    </row>
    <row r="6069" spans="1:40" x14ac:dyDescent="0.25">
      <c r="A6069" t="str">
        <f>"20190312151652704"</f>
        <v>20190312151652704</v>
      </c>
      <c r="B6069" t="str">
        <f>"1552375012694266"</f>
        <v>1552375012694266</v>
      </c>
      <c r="C6069" t="s">
        <v>40</v>
      </c>
      <c r="D6069">
        <v>4.5864929999999999</v>
      </c>
      <c r="E6069">
        <v>0.53261950000000002</v>
      </c>
      <c r="F6069" t="s">
        <v>77</v>
      </c>
      <c r="G6069">
        <v>-221.0376</v>
      </c>
      <c r="H6069" s="1">
        <v>-2.041702E-8</v>
      </c>
      <c r="I6069">
        <v>-62.439959999999999</v>
      </c>
      <c r="J6069">
        <v>-238.2739</v>
      </c>
      <c r="K6069">
        <v>1.1092660000000001</v>
      </c>
      <c r="L6069">
        <v>-63.25244</v>
      </c>
      <c r="M6069">
        <v>0.99987680000000001</v>
      </c>
      <c r="N6069">
        <v>0</v>
      </c>
      <c r="O6069">
        <v>1.2127550000000001E-2</v>
      </c>
      <c r="P6069">
        <v>0.99127319999999997</v>
      </c>
      <c r="Q6069">
        <v>2.5577070000000002E-3</v>
      </c>
      <c r="R6069">
        <v>0.13179959999999999</v>
      </c>
      <c r="S6069">
        <v>3.008194</v>
      </c>
      <c r="T6069">
        <v>-0.19204779999999999</v>
      </c>
      <c r="U6069">
        <v>0.14096069999999999</v>
      </c>
      <c r="V6069">
        <v>-0.1197675</v>
      </c>
      <c r="W6069">
        <v>1.246355E-2</v>
      </c>
      <c r="X6069">
        <v>0.99272380000000005</v>
      </c>
      <c r="Y6069">
        <v>-3.4643529999999999E-2</v>
      </c>
      <c r="Z6069">
        <v>3.3111929999999999E-4</v>
      </c>
      <c r="AA6069">
        <v>0.9993997</v>
      </c>
      <c r="AB6069">
        <v>28</v>
      </c>
      <c r="AC6069">
        <v>17.2363</v>
      </c>
      <c r="AD6069">
        <v>-1.1092660204170199</v>
      </c>
      <c r="AE6069">
        <v>0.81247999999999998</v>
      </c>
      <c r="AF6069">
        <v>-0.60089254705754302</v>
      </c>
      <c r="AG6069">
        <v>-1.1092660204170199</v>
      </c>
      <c r="AH6069">
        <v>17.173913903085602</v>
      </c>
      <c r="AI6069">
        <v>93.693356857942703</v>
      </c>
      <c r="AJ6069">
        <v>92.003886134394193</v>
      </c>
      <c r="AK6069">
        <v>17.220187621154299</v>
      </c>
      <c r="AL6069">
        <v>89.285872746669895</v>
      </c>
      <c r="AM6069">
        <v>96.879220976779607</v>
      </c>
      <c r="AN6069">
        <v>1.0000000686106401</v>
      </c>
    </row>
    <row r="6070" spans="1:40" x14ac:dyDescent="0.25">
      <c r="A6070" t="str">
        <f>"20190312151652716"</f>
        <v>20190312151652716</v>
      </c>
      <c r="B6070" t="str">
        <f>"1552375012704026"</f>
        <v>1552375012704026</v>
      </c>
      <c r="C6070" t="s">
        <v>40</v>
      </c>
      <c r="D6070">
        <v>4.585566</v>
      </c>
      <c r="E6070">
        <v>0.53271349999999995</v>
      </c>
      <c r="F6070" t="s">
        <v>77</v>
      </c>
      <c r="G6070">
        <v>-220.88759999999999</v>
      </c>
      <c r="H6070" s="1">
        <v>4.2703109999999997E-8</v>
      </c>
      <c r="I6070">
        <v>-62.445540000000001</v>
      </c>
      <c r="J6070">
        <v>-238.12540000000001</v>
      </c>
      <c r="K6070">
        <v>1.1092649999999999</v>
      </c>
      <c r="L6070">
        <v>-63.250639999999997</v>
      </c>
      <c r="M6070">
        <v>0.99987669999999995</v>
      </c>
      <c r="N6070">
        <v>0</v>
      </c>
      <c r="O6070">
        <v>1.212772E-2</v>
      </c>
      <c r="P6070">
        <v>0.99123110000000003</v>
      </c>
      <c r="Q6070">
        <v>2.5581139999999998E-3</v>
      </c>
      <c r="R6070">
        <v>0.13211410000000001</v>
      </c>
      <c r="S6070">
        <v>3.008362</v>
      </c>
      <c r="T6070">
        <v>-0.1919363</v>
      </c>
      <c r="U6070">
        <v>0.13961789999999999</v>
      </c>
      <c r="V6070">
        <v>-0.1200818</v>
      </c>
      <c r="W6070">
        <v>1.2465459999999999E-2</v>
      </c>
      <c r="X6070">
        <v>0.9926857</v>
      </c>
      <c r="Y6070">
        <v>-3.4196600000000001E-2</v>
      </c>
      <c r="Z6070">
        <v>3.1666570000000001E-4</v>
      </c>
      <c r="AA6070">
        <v>0.9994151</v>
      </c>
      <c r="AB6070">
        <v>28</v>
      </c>
      <c r="AC6070">
        <v>17.2378</v>
      </c>
      <c r="AD6070">
        <v>-1.10926495729688</v>
      </c>
      <c r="AE6070">
        <v>0.80510000000000304</v>
      </c>
      <c r="AF6070">
        <v>-0.593522733412578</v>
      </c>
      <c r="AG6070">
        <v>-1.10926495729688</v>
      </c>
      <c r="AH6070">
        <v>17.1753281605376</v>
      </c>
      <c r="AI6070">
        <v>93.693105303195196</v>
      </c>
      <c r="AJ6070">
        <v>91.979165733350399</v>
      </c>
      <c r="AK6070">
        <v>17.221342439041202</v>
      </c>
      <c r="AL6070">
        <v>89.285763227576098</v>
      </c>
      <c r="AM6070">
        <v>96.897362277010799</v>
      </c>
      <c r="AN6070">
        <v>0.99999996268436997</v>
      </c>
    </row>
    <row r="6071" spans="1:40" x14ac:dyDescent="0.25">
      <c r="A6071" t="str">
        <f>"20190312151652726"</f>
        <v>20190312151652726</v>
      </c>
      <c r="B6071" t="str">
        <f>"1552375012723547"</f>
        <v>1552375012723547</v>
      </c>
      <c r="C6071" t="s">
        <v>40</v>
      </c>
      <c r="D6071">
        <v>5.147748</v>
      </c>
      <c r="E6071">
        <v>0.53293089999999999</v>
      </c>
      <c r="F6071" t="s">
        <v>77</v>
      </c>
      <c r="G6071">
        <v>-220.58109999999999</v>
      </c>
      <c r="H6071" s="1">
        <v>1.76409299999999E-7</v>
      </c>
      <c r="I6071">
        <v>-62.43553</v>
      </c>
      <c r="J6071">
        <v>-237.98949999999999</v>
      </c>
      <c r="K6071">
        <v>1.1092660000000001</v>
      </c>
      <c r="L6071">
        <v>-63.248989999999999</v>
      </c>
      <c r="M6071">
        <v>0.99987680000000001</v>
      </c>
      <c r="N6071">
        <v>0</v>
      </c>
      <c r="O6071">
        <v>1.212771E-2</v>
      </c>
      <c r="P6071">
        <v>0.9912434</v>
      </c>
      <c r="Q6071">
        <v>2.7498819999999999E-3</v>
      </c>
      <c r="R6071">
        <v>0.13201979999999999</v>
      </c>
      <c r="S6071">
        <v>3.0084080000000002</v>
      </c>
      <c r="T6071">
        <v>-0.19021070000000001</v>
      </c>
      <c r="U6071">
        <v>0.13977049999999999</v>
      </c>
      <c r="V6071">
        <v>-0.11998780000000001</v>
      </c>
      <c r="W6071">
        <v>1.2658559999999999E-2</v>
      </c>
      <c r="X6071">
        <v>0.99269470000000004</v>
      </c>
      <c r="Y6071">
        <v>-3.4247180000000002E-2</v>
      </c>
      <c r="Z6071">
        <v>3.1541659999999999E-4</v>
      </c>
      <c r="AA6071">
        <v>0.99941340000000001</v>
      </c>
      <c r="AB6071">
        <v>28</v>
      </c>
      <c r="AC6071">
        <v>17.4084</v>
      </c>
      <c r="AD6071">
        <v>-1.10926582359069</v>
      </c>
      <c r="AE6071">
        <v>0.81345999999999197</v>
      </c>
      <c r="AF6071">
        <v>-0.59983547920209701</v>
      </c>
      <c r="AG6071">
        <v>-1.10926582359069</v>
      </c>
      <c r="AH6071">
        <v>17.3467068586951</v>
      </c>
      <c r="AI6071">
        <v>93.656718366245201</v>
      </c>
      <c r="AJ6071">
        <v>91.980453883941493</v>
      </c>
      <c r="AK6071">
        <v>17.392484357072</v>
      </c>
      <c r="AL6071">
        <v>89.274698594669005</v>
      </c>
      <c r="AM6071">
        <v>96.891953091855399</v>
      </c>
      <c r="AN6071">
        <v>1.0000000393491</v>
      </c>
    </row>
    <row r="6072" spans="1:40" x14ac:dyDescent="0.25">
      <c r="A6072" t="str">
        <f>"20190312151652738"</f>
        <v>20190312151652738</v>
      </c>
      <c r="B6072" t="str">
        <f>"1552375012734282"</f>
        <v>1552375012734282</v>
      </c>
      <c r="C6072" t="s">
        <v>40</v>
      </c>
      <c r="D6072">
        <v>4.5562529999999999</v>
      </c>
      <c r="E6072">
        <v>0.53309050000000002</v>
      </c>
      <c r="F6072" t="s">
        <v>77</v>
      </c>
      <c r="G6072">
        <v>-220.09610000000001</v>
      </c>
      <c r="H6072" s="1">
        <v>3.8579820000000001E-7</v>
      </c>
      <c r="I6072">
        <v>-62.42953</v>
      </c>
      <c r="J6072">
        <v>-237.85579999999999</v>
      </c>
      <c r="K6072">
        <v>1.109267</v>
      </c>
      <c r="L6072">
        <v>-63.24738</v>
      </c>
      <c r="M6072">
        <v>0.99987669999999995</v>
      </c>
      <c r="N6072">
        <v>0</v>
      </c>
      <c r="O6072">
        <v>1.2127880000000001E-2</v>
      </c>
      <c r="P6072">
        <v>0.99124460000000003</v>
      </c>
      <c r="Q6072">
        <v>2.97599E-3</v>
      </c>
      <c r="R6072">
        <v>0.1320064</v>
      </c>
      <c r="S6072">
        <v>3.008667</v>
      </c>
      <c r="T6072">
        <v>-0.1865163</v>
      </c>
      <c r="U6072">
        <v>0.13778689999999999</v>
      </c>
      <c r="V6072">
        <v>-0.1199742</v>
      </c>
      <c r="W6072">
        <v>1.2886949999999999E-2</v>
      </c>
      <c r="X6072">
        <v>0.99269339999999995</v>
      </c>
      <c r="Y6072">
        <v>-3.3588449999999999E-2</v>
      </c>
      <c r="Z6072">
        <v>2.8888079999999999E-4</v>
      </c>
      <c r="AA6072">
        <v>0.99943570000000004</v>
      </c>
      <c r="AB6072">
        <v>28</v>
      </c>
      <c r="AC6072">
        <v>17.759699999999899</v>
      </c>
      <c r="AD6072">
        <v>-1.1092666142017999</v>
      </c>
      <c r="AE6072">
        <v>0.81784999999999997</v>
      </c>
      <c r="AF6072">
        <v>-0.60005562206774399</v>
      </c>
      <c r="AG6072">
        <v>-1.1092666142017999</v>
      </c>
      <c r="AH6072">
        <v>17.699409805162801</v>
      </c>
      <c r="AI6072">
        <v>93.584126666146204</v>
      </c>
      <c r="AJ6072">
        <v>91.941730931812103</v>
      </c>
      <c r="AK6072">
        <v>17.744284900272799</v>
      </c>
      <c r="AL6072">
        <v>89.261611740766199</v>
      </c>
      <c r="AM6072">
        <v>96.8911883742295</v>
      </c>
      <c r="AN6072">
        <v>1.0000000342747499</v>
      </c>
    </row>
    <row r="6073" spans="1:40" x14ac:dyDescent="0.25">
      <c r="A6073" t="str">
        <f>"20190312151652748"</f>
        <v>20190312151652748</v>
      </c>
      <c r="B6073" t="str">
        <f>"1552375012744042"</f>
        <v>1552375012744042</v>
      </c>
      <c r="C6073" t="s">
        <v>40</v>
      </c>
      <c r="D6073">
        <v>4.5329980000000001</v>
      </c>
      <c r="E6073">
        <v>0.53323199999999904</v>
      </c>
      <c r="F6073" t="s">
        <v>77</v>
      </c>
      <c r="G6073">
        <v>-220.1044</v>
      </c>
      <c r="H6073" s="1">
        <v>3.7943289999999999E-7</v>
      </c>
      <c r="I6073">
        <v>-62.442039999999999</v>
      </c>
      <c r="J6073">
        <v>-237.70320000000001</v>
      </c>
      <c r="K6073">
        <v>1.109267</v>
      </c>
      <c r="L6073">
        <v>-63.245510000000003</v>
      </c>
      <c r="M6073">
        <v>0.99987669999999995</v>
      </c>
      <c r="N6073">
        <v>0</v>
      </c>
      <c r="O6073">
        <v>1.212805E-2</v>
      </c>
      <c r="P6073">
        <v>0.991259</v>
      </c>
      <c r="Q6073">
        <v>3.0174260000000001E-3</v>
      </c>
      <c r="R6073">
        <v>0.1318966</v>
      </c>
      <c r="S6073">
        <v>3.0088810000000001</v>
      </c>
      <c r="T6073">
        <v>-0.18802240000000001</v>
      </c>
      <c r="U6073">
        <v>0.13650509999999999</v>
      </c>
      <c r="V6073">
        <v>-0.11986380000000001</v>
      </c>
      <c r="W6073">
        <v>1.293033E-2</v>
      </c>
      <c r="X6073">
        <v>0.99270610000000004</v>
      </c>
      <c r="Y6073">
        <v>-3.3160340000000003E-2</v>
      </c>
      <c r="Z6073">
        <v>2.7782389999999999E-4</v>
      </c>
      <c r="AA6073">
        <v>0.99944999999999995</v>
      </c>
      <c r="AB6073">
        <v>28</v>
      </c>
      <c r="AC6073">
        <v>17.598800000000001</v>
      </c>
      <c r="AD6073">
        <v>-1.1092666205671</v>
      </c>
      <c r="AE6073">
        <v>0.80346999999999003</v>
      </c>
      <c r="AF6073">
        <v>-0.58763142080848996</v>
      </c>
      <c r="AG6073">
        <v>-1.1092666205671</v>
      </c>
      <c r="AH6073">
        <v>17.537720148463698</v>
      </c>
      <c r="AI6073">
        <v>93.617131425978599</v>
      </c>
      <c r="AJ6073">
        <v>91.919075485832295</v>
      </c>
      <c r="AK6073">
        <v>17.582588294334101</v>
      </c>
      <c r="AL6073">
        <v>89.259125989634398</v>
      </c>
      <c r="AM6073">
        <v>96.884820776650898</v>
      </c>
      <c r="AN6073">
        <v>0.99999996248077805</v>
      </c>
    </row>
    <row r="6074" spans="1:40" x14ac:dyDescent="0.25">
      <c r="A6074" t="str">
        <f>"20190312151652760"</f>
        <v>20190312151652760</v>
      </c>
      <c r="B6074" t="str">
        <f>"1552375012753802"</f>
        <v>1552375012753802</v>
      </c>
      <c r="C6074" t="s">
        <v>40</v>
      </c>
      <c r="D6074">
        <v>4.5255549999999998</v>
      </c>
      <c r="E6074">
        <v>0.53332290000000004</v>
      </c>
      <c r="F6074" t="s">
        <v>77</v>
      </c>
      <c r="G6074">
        <v>-220.09870000000001</v>
      </c>
      <c r="H6074" s="1">
        <v>3.7907989999999999E-7</v>
      </c>
      <c r="I6074">
        <v>-62.454749999999997</v>
      </c>
      <c r="J6074">
        <v>-237.56880000000001</v>
      </c>
      <c r="K6074">
        <v>1.1092679999999999</v>
      </c>
      <c r="L6074">
        <v>-63.243899999999996</v>
      </c>
      <c r="M6074">
        <v>0.99987669999999995</v>
      </c>
      <c r="N6074">
        <v>0</v>
      </c>
      <c r="O6074">
        <v>1.212804E-2</v>
      </c>
      <c r="P6074">
        <v>0.9912512</v>
      </c>
      <c r="Q6074">
        <v>2.9143939999999998E-3</v>
      </c>
      <c r="R6074">
        <v>0.13195699999999999</v>
      </c>
      <c r="S6074">
        <v>3.009064</v>
      </c>
      <c r="T6074">
        <v>-0.18960270000000001</v>
      </c>
      <c r="U6074">
        <v>0.13516239999999999</v>
      </c>
      <c r="V6074">
        <v>-0.1199245</v>
      </c>
      <c r="W6074">
        <v>1.282878E-2</v>
      </c>
      <c r="X6074">
        <v>0.99270009999999997</v>
      </c>
      <c r="Y6074">
        <v>-3.2712699999999997E-2</v>
      </c>
      <c r="Z6074">
        <v>2.6605850000000001E-4</v>
      </c>
      <c r="AA6074">
        <v>0.99946480000000004</v>
      </c>
      <c r="AB6074">
        <v>28</v>
      </c>
      <c r="AC6074">
        <v>17.470099999999999</v>
      </c>
      <c r="AD6074">
        <v>-1.1092676209201</v>
      </c>
      <c r="AE6074">
        <v>0.78914999999999902</v>
      </c>
      <c r="AF6074">
        <v>-0.57489030957484899</v>
      </c>
      <c r="AG6074">
        <v>-1.1092676209201</v>
      </c>
      <c r="AH6074">
        <v>17.4083450238689</v>
      </c>
      <c r="AI6074">
        <v>93.644002604820102</v>
      </c>
      <c r="AJ6074">
        <v>91.8914389706283</v>
      </c>
      <c r="AK6074">
        <v>17.453121497111201</v>
      </c>
      <c r="AL6074">
        <v>89.264944868788206</v>
      </c>
      <c r="AM6074">
        <v>96.888315049355199</v>
      </c>
      <c r="AN6074">
        <v>0.99999997591827305</v>
      </c>
    </row>
    <row r="6075" spans="1:40" x14ac:dyDescent="0.25">
      <c r="A6075" t="str">
        <f>"20190312151652770"</f>
        <v>20190312151652770</v>
      </c>
      <c r="B6075" t="str">
        <f>"1552375012763562"</f>
        <v>1552375012763562</v>
      </c>
      <c r="C6075" t="s">
        <v>40</v>
      </c>
      <c r="D6075">
        <v>4.518923</v>
      </c>
      <c r="E6075">
        <v>0.53342279999999997</v>
      </c>
      <c r="F6075" t="s">
        <v>77</v>
      </c>
      <c r="G6075">
        <v>-220.0898</v>
      </c>
      <c r="H6075" s="1">
        <v>3.8123690000000002E-7</v>
      </c>
      <c r="I6075">
        <v>-62.462150000000001</v>
      </c>
      <c r="J6075">
        <v>-237.43219999999999</v>
      </c>
      <c r="K6075">
        <v>1.1092690000000001</v>
      </c>
      <c r="L6075">
        <v>-63.242249999999999</v>
      </c>
      <c r="M6075">
        <v>0.99987669999999995</v>
      </c>
      <c r="N6075">
        <v>0</v>
      </c>
      <c r="O6075">
        <v>1.212821E-2</v>
      </c>
      <c r="P6075">
        <v>0.99124210000000001</v>
      </c>
      <c r="Q6075">
        <v>2.7767299999999998E-3</v>
      </c>
      <c r="R6075">
        <v>0.13202949999999999</v>
      </c>
      <c r="S6075">
        <v>3.009109</v>
      </c>
      <c r="T6075">
        <v>-0.19096679999999999</v>
      </c>
      <c r="U6075">
        <v>0.13458249999999999</v>
      </c>
      <c r="V6075">
        <v>-0.119996699999999</v>
      </c>
      <c r="W6075">
        <v>1.269289E-2</v>
      </c>
      <c r="X6075">
        <v>0.99269309999999999</v>
      </c>
      <c r="Y6075">
        <v>-3.2519449999999998E-2</v>
      </c>
      <c r="Z6075">
        <v>2.6183169999999999E-4</v>
      </c>
      <c r="AA6075">
        <v>0.99947109999999995</v>
      </c>
      <c r="AB6075">
        <v>28</v>
      </c>
      <c r="AC6075">
        <v>17.342399999999898</v>
      </c>
      <c r="AD6075">
        <v>-1.1092686187631</v>
      </c>
      <c r="AE6075">
        <v>0.78009999999999702</v>
      </c>
      <c r="AF6075">
        <v>-0.56738327114452403</v>
      </c>
      <c r="AG6075">
        <v>-1.1092686187631</v>
      </c>
      <c r="AH6075">
        <v>17.2800320212862</v>
      </c>
      <c r="AI6075">
        <v>93.671013532171699</v>
      </c>
      <c r="AJ6075">
        <v>91.880609460131396</v>
      </c>
      <c r="AK6075">
        <v>17.324892706785299</v>
      </c>
      <c r="AL6075">
        <v>89.272731410614298</v>
      </c>
      <c r="AM6075">
        <v>96.892470381873395</v>
      </c>
      <c r="AN6075">
        <v>0.99999995412752496</v>
      </c>
    </row>
    <row r="6076" spans="1:40" x14ac:dyDescent="0.25">
      <c r="A6076" t="str">
        <f>"20190312151652783"</f>
        <v>20190312151652783</v>
      </c>
      <c r="B6076" t="str">
        <f>"1552375012774299"</f>
        <v>1552375012774299</v>
      </c>
      <c r="C6076" t="s">
        <v>40</v>
      </c>
      <c r="D6076">
        <v>4.4933319999999997</v>
      </c>
      <c r="E6076">
        <v>0.5335318</v>
      </c>
      <c r="F6076" t="s">
        <v>77</v>
      </c>
      <c r="G6076">
        <v>-220.0958</v>
      </c>
      <c r="H6076" s="1">
        <v>3.7693999999999999E-7</v>
      </c>
      <c r="I6076">
        <v>-62.469889999999999</v>
      </c>
      <c r="J6076">
        <v>-237.28890000000001</v>
      </c>
      <c r="K6076">
        <v>1.1092690000000001</v>
      </c>
      <c r="L6076">
        <v>-63.24051</v>
      </c>
      <c r="M6076">
        <v>0.99987669999999995</v>
      </c>
      <c r="N6076">
        <v>0</v>
      </c>
      <c r="O6076">
        <v>1.212832E-2</v>
      </c>
      <c r="P6076">
        <v>0.99123899999999998</v>
      </c>
      <c r="Q6076">
        <v>3.023572E-3</v>
      </c>
      <c r="R6076">
        <v>0.13204749999999901</v>
      </c>
      <c r="S6076">
        <v>3.0091860000000001</v>
      </c>
      <c r="T6076">
        <v>-0.19254309999999999</v>
      </c>
      <c r="U6076">
        <v>0.13406370000000001</v>
      </c>
      <c r="V6076">
        <v>-0.1200148</v>
      </c>
      <c r="W6076">
        <v>1.294082E-2</v>
      </c>
      <c r="X6076">
        <v>0.99268780000000001</v>
      </c>
      <c r="Y6076">
        <v>-3.2345909999999999E-2</v>
      </c>
      <c r="Z6076">
        <v>2.5843209999999999E-4</v>
      </c>
      <c r="AA6076">
        <v>0.9994767</v>
      </c>
      <c r="AB6076">
        <v>28</v>
      </c>
      <c r="AC6076">
        <v>17.193100000000001</v>
      </c>
      <c r="AD6076">
        <v>-1.10926862306</v>
      </c>
      <c r="AE6076">
        <v>0.77062000000000097</v>
      </c>
      <c r="AF6076">
        <v>-0.55970436605762297</v>
      </c>
      <c r="AG6076">
        <v>-1.10926862306</v>
      </c>
      <c r="AH6076">
        <v>17.130019577152002</v>
      </c>
      <c r="AI6076">
        <v>93.7030920106954</v>
      </c>
      <c r="AJ6076">
        <v>91.871410193705202</v>
      </c>
      <c r="AK6076">
        <v>17.175020133004299</v>
      </c>
      <c r="AL6076">
        <v>89.258524966043893</v>
      </c>
      <c r="AM6076">
        <v>96.893536472097693</v>
      </c>
      <c r="AN6076">
        <v>1.0000000426550699</v>
      </c>
    </row>
    <row r="6077" spans="1:40" x14ac:dyDescent="0.25">
      <c r="A6077" t="str">
        <f>"20190312151652793"</f>
        <v>20190312151652793</v>
      </c>
      <c r="B6077" t="str">
        <f>"1552375012784058"</f>
        <v>1552375012784058</v>
      </c>
      <c r="C6077" t="s">
        <v>40</v>
      </c>
      <c r="D6077">
        <v>5.7147129999999997</v>
      </c>
      <c r="E6077">
        <v>0.53363349999999998</v>
      </c>
      <c r="F6077" t="s">
        <v>78</v>
      </c>
      <c r="G6077">
        <v>-219.99799999999999</v>
      </c>
      <c r="H6077" s="1">
        <v>-3.6330190000000001E-6</v>
      </c>
      <c r="I6077">
        <v>-62.474890000000002</v>
      </c>
      <c r="J6077">
        <v>-237.14400000000001</v>
      </c>
      <c r="K6077">
        <v>1.1092690000000001</v>
      </c>
      <c r="L6077">
        <v>-63.23874</v>
      </c>
      <c r="M6077">
        <v>0.9998766</v>
      </c>
      <c r="N6077">
        <v>0</v>
      </c>
      <c r="O6077">
        <v>1.212849E-2</v>
      </c>
      <c r="P6077">
        <v>0.99123249999999996</v>
      </c>
      <c r="Q6077">
        <v>3.0694289999999998E-3</v>
      </c>
      <c r="R6077">
        <v>0.13209470000000001</v>
      </c>
      <c r="S6077">
        <v>3.0093380000000001</v>
      </c>
      <c r="T6077">
        <v>-0.19306019999999999</v>
      </c>
      <c r="U6077">
        <v>0.13323969999999999</v>
      </c>
      <c r="V6077">
        <v>-0.1200621</v>
      </c>
      <c r="W6077">
        <v>1.2988980000000001E-2</v>
      </c>
      <c r="X6077">
        <v>0.99268140000000005</v>
      </c>
      <c r="Y6077">
        <v>-3.2070700000000001E-2</v>
      </c>
      <c r="Z6077">
        <v>2.5028749999999998E-4</v>
      </c>
      <c r="AA6077">
        <v>0.99948559999999997</v>
      </c>
      <c r="AB6077">
        <v>28</v>
      </c>
      <c r="AC6077">
        <v>17.146000000000001</v>
      </c>
      <c r="AD6077">
        <v>-1.1092726330189999</v>
      </c>
      <c r="AE6077">
        <v>0.76384999999999703</v>
      </c>
      <c r="AF6077">
        <v>-0.55351618346466303</v>
      </c>
      <c r="AG6077">
        <v>-1.1092726330189999</v>
      </c>
      <c r="AH6077">
        <v>17.082645163701901</v>
      </c>
      <c r="AI6077">
        <v>93.713378990508403</v>
      </c>
      <c r="AJ6077">
        <v>91.855863007863107</v>
      </c>
      <c r="AK6077">
        <v>17.127569346777499</v>
      </c>
      <c r="AL6077">
        <v>89.255765331543699</v>
      </c>
      <c r="AM6077">
        <v>96.896271213919306</v>
      </c>
      <c r="AN6077">
        <v>0.99999999168190501</v>
      </c>
    </row>
    <row r="6078" spans="1:40" x14ac:dyDescent="0.25">
      <c r="A6078" t="str">
        <f>"20190312151652804"</f>
        <v>20190312151652804</v>
      </c>
      <c r="B6078" t="str">
        <f>"1552375012793818"</f>
        <v>1552375012793818</v>
      </c>
      <c r="C6078" t="s">
        <v>40</v>
      </c>
      <c r="D6078">
        <v>4.5031949999999998</v>
      </c>
      <c r="E6078">
        <v>0.53359140000000005</v>
      </c>
      <c r="F6078" t="s">
        <v>78</v>
      </c>
      <c r="G6078">
        <v>-219.6533</v>
      </c>
      <c r="H6078" s="1">
        <v>-3.5146000000000002E-6</v>
      </c>
      <c r="I6078">
        <v>-62.46875</v>
      </c>
      <c r="J6078">
        <v>-237.00210000000001</v>
      </c>
      <c r="K6078">
        <v>1.1092660000000001</v>
      </c>
      <c r="L6078">
        <v>-63.237029999999997</v>
      </c>
      <c r="M6078">
        <v>0.99987669999999995</v>
      </c>
      <c r="N6078">
        <v>0</v>
      </c>
      <c r="O6078">
        <v>1.2128659999999999E-2</v>
      </c>
      <c r="P6078">
        <v>0.99122920000000003</v>
      </c>
      <c r="Q6078">
        <v>3.1877339999999998E-3</v>
      </c>
      <c r="R6078">
        <v>0.1321174</v>
      </c>
      <c r="S6078">
        <v>3.0094910000000001</v>
      </c>
      <c r="T6078">
        <v>-0.1908638</v>
      </c>
      <c r="U6078">
        <v>0.13247679999999901</v>
      </c>
      <c r="V6078">
        <v>-0.1200846</v>
      </c>
      <c r="W6078">
        <v>1.3108659999999999E-2</v>
      </c>
      <c r="X6078">
        <v>0.99267709999999998</v>
      </c>
      <c r="Y6078">
        <v>-3.1816839999999999E-2</v>
      </c>
      <c r="Z6078">
        <v>2.393858E-4</v>
      </c>
      <c r="AA6078">
        <v>0.99949370000000004</v>
      </c>
      <c r="AB6078">
        <v>28</v>
      </c>
      <c r="AC6078">
        <v>17.348800000000001</v>
      </c>
      <c r="AD6078">
        <v>-1.1092695146</v>
      </c>
      <c r="AE6078">
        <v>0.76828000000000396</v>
      </c>
      <c r="AF6078">
        <v>-0.55552863661113505</v>
      </c>
      <c r="AG6078">
        <v>-1.1092695146</v>
      </c>
      <c r="AH6078">
        <v>17.2863103696831</v>
      </c>
      <c r="AI6078">
        <v>93.669769689574693</v>
      </c>
      <c r="AJ6078">
        <v>91.840675931650793</v>
      </c>
      <c r="AK6078">
        <v>17.330770817223598</v>
      </c>
      <c r="AL6078">
        <v>89.248907584829198</v>
      </c>
      <c r="AM6078">
        <v>96.8975807370783</v>
      </c>
      <c r="AN6078">
        <v>0.99999998649428201</v>
      </c>
    </row>
    <row r="6079" spans="1:40" x14ac:dyDescent="0.25">
      <c r="A6079" t="str">
        <f>"20190312151652817"</f>
        <v>20190312151652817</v>
      </c>
      <c r="B6079" t="str">
        <f>"1552375012814314"</f>
        <v>1552375012814314</v>
      </c>
      <c r="C6079" t="s">
        <v>40</v>
      </c>
      <c r="D6079">
        <v>4.420369</v>
      </c>
      <c r="E6079">
        <v>0.53386049999999996</v>
      </c>
      <c r="F6079" t="s">
        <v>78</v>
      </c>
      <c r="G6079">
        <v>-219.43459999999999</v>
      </c>
      <c r="H6079" s="1">
        <v>-3.4388949999999999E-6</v>
      </c>
      <c r="I6079">
        <v>-62.461509999999997</v>
      </c>
      <c r="J6079">
        <v>-236.84989999999999</v>
      </c>
      <c r="K6079">
        <v>1.1092660000000001</v>
      </c>
      <c r="L6079">
        <v>-63.235169999999997</v>
      </c>
      <c r="M6079">
        <v>0.99987669999999995</v>
      </c>
      <c r="N6079">
        <v>0</v>
      </c>
      <c r="O6079">
        <v>1.212865E-2</v>
      </c>
      <c r="P6079">
        <v>0.99120929999999996</v>
      </c>
      <c r="Q6079">
        <v>3.0341890000000001E-3</v>
      </c>
      <c r="R6079">
        <v>0.1322692</v>
      </c>
      <c r="S6079">
        <v>3.0094449999999999</v>
      </c>
      <c r="T6079">
        <v>-0.1900259</v>
      </c>
      <c r="U6079">
        <v>0.13284299999999999</v>
      </c>
      <c r="V6079">
        <v>-0.1202363</v>
      </c>
      <c r="W6079">
        <v>1.295704E-2</v>
      </c>
      <c r="X6079">
        <v>0.99266080000000001</v>
      </c>
      <c r="Y6079">
        <v>-3.1939009999999997E-2</v>
      </c>
      <c r="Z6079">
        <v>2.421918E-4</v>
      </c>
      <c r="AA6079">
        <v>0.99948979999999998</v>
      </c>
      <c r="AB6079">
        <v>28</v>
      </c>
      <c r="AC6079">
        <v>17.415299999999998</v>
      </c>
      <c r="AD6079">
        <v>-1.109269438895</v>
      </c>
      <c r="AE6079">
        <v>0.77365999999999902</v>
      </c>
      <c r="AF6079">
        <v>-0.56010061246679199</v>
      </c>
      <c r="AG6079">
        <v>-1.109269438895</v>
      </c>
      <c r="AH6079">
        <v>17.353138633413</v>
      </c>
      <c r="AI6079">
        <v>93.655658887541605</v>
      </c>
      <c r="AJ6079">
        <v>91.848672149471099</v>
      </c>
      <c r="AK6079">
        <v>17.397574883143999</v>
      </c>
      <c r="AL6079">
        <v>89.257595562224793</v>
      </c>
      <c r="AM6079">
        <v>96.906322491949197</v>
      </c>
      <c r="AN6079">
        <v>1.00000005828994</v>
      </c>
    </row>
    <row r="6080" spans="1:40" x14ac:dyDescent="0.25">
      <c r="A6080" t="str">
        <f>"20190312151652826"</f>
        <v>20190312151652826</v>
      </c>
      <c r="B6080" t="str">
        <f>"1552375012823501"</f>
        <v>1552375012823501</v>
      </c>
      <c r="C6080" t="s">
        <v>40</v>
      </c>
      <c r="D6080">
        <v>4.3642789999999998</v>
      </c>
      <c r="E6080">
        <v>0.53392090000000003</v>
      </c>
      <c r="F6080" t="s">
        <v>78</v>
      </c>
      <c r="G6080">
        <v>-219.4169</v>
      </c>
      <c r="H6080" s="1">
        <v>-3.4352620000000002E-6</v>
      </c>
      <c r="I6080">
        <v>-62.475009999999997</v>
      </c>
      <c r="J6080">
        <v>-236.7149</v>
      </c>
      <c r="K6080">
        <v>1.1092690000000001</v>
      </c>
      <c r="L6080">
        <v>-63.233519999999999</v>
      </c>
      <c r="M6080">
        <v>0.9998766</v>
      </c>
      <c r="N6080">
        <v>0</v>
      </c>
      <c r="O6080">
        <v>1.212882E-2</v>
      </c>
      <c r="P6080">
        <v>0.99112579999999995</v>
      </c>
      <c r="Q6080">
        <v>2.9463139999999998E-3</v>
      </c>
      <c r="R6080">
        <v>0.13289570000000001</v>
      </c>
      <c r="S6080">
        <v>3.009674</v>
      </c>
      <c r="T6080">
        <v>-0.19150639999999999</v>
      </c>
      <c r="U6080">
        <v>0.1312256</v>
      </c>
      <c r="V6080">
        <v>-0.120864</v>
      </c>
      <c r="W6080">
        <v>1.287026E-2</v>
      </c>
      <c r="X6080">
        <v>0.99258570000000002</v>
      </c>
      <c r="Y6080">
        <v>-3.1399860000000002E-2</v>
      </c>
      <c r="Z6080">
        <v>2.269204E-4</v>
      </c>
      <c r="AA6080">
        <v>0.99950689999999998</v>
      </c>
      <c r="AB6080">
        <v>29</v>
      </c>
      <c r="AC6080">
        <v>17.297999999999998</v>
      </c>
      <c r="AD6080">
        <v>-1.109272435262</v>
      </c>
      <c r="AE6080">
        <v>0.75851000000000102</v>
      </c>
      <c r="AF6080">
        <v>-0.54639678072701203</v>
      </c>
      <c r="AG6080">
        <v>-1.109272435262</v>
      </c>
      <c r="AH6080">
        <v>17.235187554873999</v>
      </c>
      <c r="AI6080">
        <v>93.680685561725397</v>
      </c>
      <c r="AJ6080">
        <v>91.815805465985704</v>
      </c>
      <c r="AK6080">
        <v>17.279488558093998</v>
      </c>
      <c r="AL6080">
        <v>89.262568106290203</v>
      </c>
      <c r="AM6080">
        <v>96.942546506951501</v>
      </c>
      <c r="AN6080">
        <v>1.0000000609664701</v>
      </c>
    </row>
    <row r="6081" spans="1:40" x14ac:dyDescent="0.25">
      <c r="A6081" t="str">
        <f>"20190312151652838"</f>
        <v>20190312151652838</v>
      </c>
      <c r="B6081" t="str">
        <f>"1552375012834237"</f>
        <v>1552375012834237</v>
      </c>
      <c r="C6081" t="s">
        <v>40</v>
      </c>
      <c r="D6081">
        <v>4.3819379999999999</v>
      </c>
      <c r="E6081">
        <v>0.53402930000000004</v>
      </c>
      <c r="F6081" t="s">
        <v>78</v>
      </c>
      <c r="G6081">
        <v>-219.3426</v>
      </c>
      <c r="H6081" s="1">
        <v>-3.4088380000000001E-6</v>
      </c>
      <c r="I6081">
        <v>-62.468429999999998</v>
      </c>
      <c r="J6081">
        <v>-236.5712</v>
      </c>
      <c r="K6081">
        <v>1.10927</v>
      </c>
      <c r="L6081">
        <v>-63.231810000000003</v>
      </c>
      <c r="M6081">
        <v>0.99987649999999995</v>
      </c>
      <c r="N6081">
        <v>0</v>
      </c>
      <c r="O6081">
        <v>1.2128989999999999E-2</v>
      </c>
      <c r="P6081">
        <v>0.99113799999999996</v>
      </c>
      <c r="Q6081">
        <v>2.8475549999999999E-3</v>
      </c>
      <c r="R6081">
        <v>0.13280629999999999</v>
      </c>
      <c r="S6081">
        <v>3.0096440000000002</v>
      </c>
      <c r="T6081">
        <v>-0.19217529999999999</v>
      </c>
      <c r="U6081">
        <v>0.13253779999999901</v>
      </c>
      <c r="V6081">
        <v>-0.1207743</v>
      </c>
      <c r="W6081">
        <v>1.277347E-2</v>
      </c>
      <c r="X6081">
        <v>0.99259779999999997</v>
      </c>
      <c r="Y6081">
        <v>-3.1833939999999998E-2</v>
      </c>
      <c r="Z6081">
        <v>2.4153870000000001E-4</v>
      </c>
      <c r="AA6081">
        <v>0.99949310000000002</v>
      </c>
      <c r="AB6081">
        <v>29</v>
      </c>
      <c r="AC6081">
        <v>17.2286</v>
      </c>
      <c r="AD6081">
        <v>-1.1092734088380001</v>
      </c>
      <c r="AE6081">
        <v>0.76337999999998996</v>
      </c>
      <c r="AF6081">
        <v>-0.55206379040439402</v>
      </c>
      <c r="AG6081">
        <v>-1.1092734088380001</v>
      </c>
      <c r="AH6081">
        <v>17.165571552622801</v>
      </c>
      <c r="AI6081">
        <v>93.695520828623003</v>
      </c>
      <c r="AJ6081">
        <v>91.842060790190004</v>
      </c>
      <c r="AK6081">
        <v>17.210232672815401</v>
      </c>
      <c r="AL6081">
        <v>89.268114170485504</v>
      </c>
      <c r="AM6081">
        <v>96.937360536035598</v>
      </c>
      <c r="AN6081">
        <v>0.99999999282058505</v>
      </c>
    </row>
    <row r="6082" spans="1:40" x14ac:dyDescent="0.25">
      <c r="A6082" t="str">
        <f>"20190312151652848"</f>
        <v>20190312151652848</v>
      </c>
      <c r="B6082" t="str">
        <f>"1552375012843996"</f>
        <v>1552375012843996</v>
      </c>
      <c r="C6082" t="s">
        <v>40</v>
      </c>
      <c r="D6082">
        <v>4.3714000000000004</v>
      </c>
      <c r="E6082">
        <v>0.53421589999999997</v>
      </c>
      <c r="F6082" t="s">
        <v>78</v>
      </c>
      <c r="G6082">
        <v>-219.28229999999999</v>
      </c>
      <c r="H6082" s="1">
        <v>-3.3898280000000001E-6</v>
      </c>
      <c r="I6082">
        <v>-62.476900000000001</v>
      </c>
      <c r="J6082">
        <v>-236.4299</v>
      </c>
      <c r="K6082">
        <v>1.10927</v>
      </c>
      <c r="L6082">
        <v>-63.230069999999998</v>
      </c>
      <c r="M6082">
        <v>0.9998766</v>
      </c>
      <c r="N6082">
        <v>0</v>
      </c>
      <c r="O6082">
        <v>1.2128989999999999E-2</v>
      </c>
      <c r="P6082">
        <v>0.99111879999999997</v>
      </c>
      <c r="Q6082">
        <v>2.9730540000000001E-3</v>
      </c>
      <c r="R6082">
        <v>0.1329465</v>
      </c>
      <c r="S6082">
        <v>3.0097499999999999</v>
      </c>
      <c r="T6082">
        <v>-0.19310859999999999</v>
      </c>
      <c r="U6082">
        <v>0.13140869999999999</v>
      </c>
      <c r="V6082">
        <v>-0.1209146</v>
      </c>
      <c r="W6082">
        <v>1.2899819999999999E-2</v>
      </c>
      <c r="X6082">
        <v>0.99257910000000005</v>
      </c>
      <c r="Y6082">
        <v>-3.1458519999999997E-2</v>
      </c>
      <c r="Z6082">
        <v>2.3067739999999999E-4</v>
      </c>
      <c r="AA6082">
        <v>0.99950499999999998</v>
      </c>
      <c r="AB6082">
        <v>29</v>
      </c>
      <c r="AC6082">
        <v>17.147600000000001</v>
      </c>
      <c r="AD6082">
        <v>-1.1092733898280001</v>
      </c>
      <c r="AE6082">
        <v>0.75316999999999701</v>
      </c>
      <c r="AF6082">
        <v>-0.54285381884339801</v>
      </c>
      <c r="AG6082">
        <v>-1.1092733898280001</v>
      </c>
      <c r="AH6082">
        <v>17.0841188931185</v>
      </c>
      <c r="AI6082">
        <v>93.713136494596796</v>
      </c>
      <c r="AJ6082">
        <v>91.819980955133502</v>
      </c>
      <c r="AK6082">
        <v>17.1286980263014</v>
      </c>
      <c r="AL6082">
        <v>89.2608742632423</v>
      </c>
      <c r="AM6082">
        <v>96.945470368318595</v>
      </c>
      <c r="AN6082">
        <v>1.000000007803</v>
      </c>
    </row>
    <row r="6083" spans="1:40" x14ac:dyDescent="0.25">
      <c r="A6083" t="str">
        <f>"20190312151652860"</f>
        <v>20190312151652860</v>
      </c>
      <c r="B6083" t="str">
        <f>"1552375012853756"</f>
        <v>1552375012853756</v>
      </c>
      <c r="C6083" t="s">
        <v>40</v>
      </c>
      <c r="D6083">
        <v>4.374104</v>
      </c>
      <c r="E6083">
        <v>0.53439590000000003</v>
      </c>
      <c r="F6083" t="s">
        <v>78</v>
      </c>
      <c r="G6083">
        <v>-219.17619999999999</v>
      </c>
      <c r="H6083" s="1">
        <v>-3.3546879999999999E-6</v>
      </c>
      <c r="I6083">
        <v>-62.482520000000001</v>
      </c>
      <c r="J6083">
        <v>-236.29179999999999</v>
      </c>
      <c r="K6083">
        <v>1.109272</v>
      </c>
      <c r="L6083">
        <v>-63.228389999999997</v>
      </c>
      <c r="M6083">
        <v>0.99987649999999995</v>
      </c>
      <c r="N6083">
        <v>0</v>
      </c>
      <c r="O6083">
        <v>1.2129279999999999E-2</v>
      </c>
      <c r="P6083">
        <v>0.99106819999999896</v>
      </c>
      <c r="Q6083">
        <v>2.9408749999999999E-3</v>
      </c>
      <c r="R6083">
        <v>0.13332379999999999</v>
      </c>
      <c r="S6083">
        <v>3.0099640000000001</v>
      </c>
      <c r="T6083">
        <v>-0.1935154</v>
      </c>
      <c r="U6083">
        <v>0.13040160000000001</v>
      </c>
      <c r="V6083">
        <v>-0.12129189999999899</v>
      </c>
      <c r="W6083">
        <v>1.28692999999999E-2</v>
      </c>
      <c r="X6083">
        <v>0.99253340000000001</v>
      </c>
      <c r="Y6083">
        <v>-3.1121880000000001E-2</v>
      </c>
      <c r="Z6083">
        <v>2.2032329999999999E-4</v>
      </c>
      <c r="AA6083">
        <v>0.99951559999999995</v>
      </c>
      <c r="AB6083">
        <v>29</v>
      </c>
      <c r="AC6083">
        <v>17.115600000000001</v>
      </c>
      <c r="AD6083">
        <v>-1.1092753546879901</v>
      </c>
      <c r="AE6083">
        <v>0.74587000000001002</v>
      </c>
      <c r="AF6083">
        <v>-0.53595786493021802</v>
      </c>
      <c r="AG6083">
        <v>-1.1092753546879901</v>
      </c>
      <c r="AH6083">
        <v>17.051898466632199</v>
      </c>
      <c r="AI6083">
        <v>93.720179874572494</v>
      </c>
      <c r="AJ6083">
        <v>91.800269773833506</v>
      </c>
      <c r="AK6083">
        <v>17.096344169495101</v>
      </c>
      <c r="AL6083">
        <v>89.262623030751399</v>
      </c>
      <c r="AM6083">
        <v>96.967247864852695</v>
      </c>
      <c r="AN6083">
        <v>0.99999994700182804</v>
      </c>
    </row>
    <row r="6084" spans="1:40" x14ac:dyDescent="0.25">
      <c r="A6084" t="str">
        <f>"20190312151652871"</f>
        <v>20190312151652871</v>
      </c>
      <c r="B6084" t="str">
        <f>"1552375012863517"</f>
        <v>1552375012863517</v>
      </c>
      <c r="C6084" t="s">
        <v>40</v>
      </c>
      <c r="D6084">
        <v>4.3033109999999999</v>
      </c>
      <c r="E6084">
        <v>0.53456059999999905</v>
      </c>
      <c r="F6084" t="s">
        <v>78</v>
      </c>
      <c r="G6084">
        <v>-219.08920000000001</v>
      </c>
      <c r="H6084" s="1">
        <v>-3.3253959999999998E-6</v>
      </c>
      <c r="I6084">
        <v>-62.484319999999997</v>
      </c>
      <c r="J6084">
        <v>-236.15100000000001</v>
      </c>
      <c r="K6084">
        <v>1.1092740000000001</v>
      </c>
      <c r="L6084">
        <v>-63.226680000000002</v>
      </c>
      <c r="M6084">
        <v>0.99987649999999995</v>
      </c>
      <c r="N6084">
        <v>0</v>
      </c>
      <c r="O6084">
        <v>1.212945E-2</v>
      </c>
      <c r="P6084">
        <v>0.99103640000000004</v>
      </c>
      <c r="Q6084">
        <v>3.0243480000000001E-3</v>
      </c>
      <c r="R6084">
        <v>0.13355919999999999</v>
      </c>
      <c r="S6084">
        <v>3.0101170000000002</v>
      </c>
      <c r="T6084">
        <v>-0.194101</v>
      </c>
      <c r="U6084">
        <v>0.130188</v>
      </c>
      <c r="V6084">
        <v>-0.12152789999999999</v>
      </c>
      <c r="W6084">
        <v>1.2954169999999999E-2</v>
      </c>
      <c r="X6084">
        <v>0.99250349999999998</v>
      </c>
      <c r="Y6084">
        <v>-3.1048639999999999E-2</v>
      </c>
      <c r="Z6084">
        <v>2.186089E-4</v>
      </c>
      <c r="AA6084">
        <v>0.99951789999999996</v>
      </c>
      <c r="AB6084">
        <v>29</v>
      </c>
      <c r="AC6084">
        <v>17.061799999999899</v>
      </c>
      <c r="AD6084">
        <v>-1.10927732539599</v>
      </c>
      <c r="AE6084">
        <v>0.74236000000000502</v>
      </c>
      <c r="AF6084">
        <v>-0.53309567043143602</v>
      </c>
      <c r="AG6084">
        <v>-1.10927732539599</v>
      </c>
      <c r="AH6084">
        <v>16.997835787919101</v>
      </c>
      <c r="AI6084">
        <v>93.731993351319204</v>
      </c>
      <c r="AJ6084">
        <v>91.796353593022999</v>
      </c>
      <c r="AK6084">
        <v>17.042332840651099</v>
      </c>
      <c r="AL6084">
        <v>89.257759985929994</v>
      </c>
      <c r="AM6084">
        <v>96.980878770444605</v>
      </c>
      <c r="AN6084">
        <v>1.0000000192555201</v>
      </c>
    </row>
    <row r="6085" spans="1:40" x14ac:dyDescent="0.25">
      <c r="A6085" t="str">
        <f>"20190312151652883"</f>
        <v>20190312151652883</v>
      </c>
      <c r="B6085" t="str">
        <f>"1552375012874253"</f>
        <v>1552375012874253</v>
      </c>
      <c r="C6085" t="s">
        <v>40</v>
      </c>
      <c r="D6085">
        <v>4.3182809999999998</v>
      </c>
      <c r="E6085">
        <v>0.53471459999999904</v>
      </c>
      <c r="F6085" t="s">
        <v>78</v>
      </c>
      <c r="G6085">
        <v>-218.96459999999999</v>
      </c>
      <c r="H6085" s="1">
        <v>-3.2834650000000001E-6</v>
      </c>
      <c r="I6085">
        <v>-62.486829999999998</v>
      </c>
      <c r="J6085">
        <v>-236.00389999999999</v>
      </c>
      <c r="K6085">
        <v>1.1092759999999999</v>
      </c>
      <c r="L6085">
        <v>-63.224910000000001</v>
      </c>
      <c r="M6085">
        <v>0.9998766</v>
      </c>
      <c r="N6085">
        <v>0</v>
      </c>
      <c r="O6085">
        <v>1.2129259999999999E-2</v>
      </c>
      <c r="P6085">
        <v>0.9910175</v>
      </c>
      <c r="Q6085">
        <v>3.0917940000000001E-3</v>
      </c>
      <c r="R6085">
        <v>0.13369800000000001</v>
      </c>
      <c r="S6085">
        <v>3.0102540000000002</v>
      </c>
      <c r="T6085">
        <v>-0.19429350000000001</v>
      </c>
      <c r="U6085">
        <v>0.12957759999999999</v>
      </c>
      <c r="V6085">
        <v>-0.121666899999999</v>
      </c>
      <c r="W6085">
        <v>1.3022830000000001E-2</v>
      </c>
      <c r="X6085">
        <v>0.99248550000000002</v>
      </c>
      <c r="Y6085">
        <v>-3.0844920000000001E-2</v>
      </c>
      <c r="Z6085">
        <v>2.1226369999999999E-4</v>
      </c>
      <c r="AA6085">
        <v>0.99952419999999997</v>
      </c>
      <c r="AB6085">
        <v>29</v>
      </c>
      <c r="AC6085">
        <v>17.039299999999901</v>
      </c>
      <c r="AD6085">
        <v>-1.1092792834649901</v>
      </c>
      <c r="AE6085">
        <v>0.73807999999998897</v>
      </c>
      <c r="AF6085">
        <v>-0.52910307113638999</v>
      </c>
      <c r="AG6085">
        <v>-1.1092792834649901</v>
      </c>
      <c r="AH6085">
        <v>16.9751902420136</v>
      </c>
      <c r="AI6085">
        <v>93.736986958020694</v>
      </c>
      <c r="AJ6085">
        <v>91.785285517901997</v>
      </c>
      <c r="AK6085">
        <v>17.019622038728201</v>
      </c>
      <c r="AL6085">
        <v>89.253825672877497</v>
      </c>
      <c r="AM6085">
        <v>96.988909870617803</v>
      </c>
      <c r="AN6085">
        <v>0.99999994818353299</v>
      </c>
    </row>
    <row r="6086" spans="1:40" x14ac:dyDescent="0.25">
      <c r="A6086" t="str">
        <f>"20190312151652894"</f>
        <v>20190312151652894</v>
      </c>
      <c r="B6086" t="str">
        <f>"1552375012884013"</f>
        <v>1552375012884013</v>
      </c>
      <c r="C6086" t="s">
        <v>40</v>
      </c>
      <c r="D6086">
        <v>4.2903589999999996</v>
      </c>
      <c r="E6086">
        <v>0.53485479999999996</v>
      </c>
      <c r="F6086" t="s">
        <v>78</v>
      </c>
      <c r="G6086">
        <v>-218.83099999999999</v>
      </c>
      <c r="H6086" s="1">
        <v>-3.2385419999999999E-6</v>
      </c>
      <c r="I6086">
        <v>-62.489870000000003</v>
      </c>
      <c r="J6086">
        <v>-235.85480000000001</v>
      </c>
      <c r="K6086">
        <v>1.1092759999999999</v>
      </c>
      <c r="L6086">
        <v>-63.223080000000003</v>
      </c>
      <c r="M6086">
        <v>0.99987649999999995</v>
      </c>
      <c r="N6086">
        <v>0</v>
      </c>
      <c r="O6086">
        <v>1.212943E-2</v>
      </c>
      <c r="P6086">
        <v>0.99094899999999997</v>
      </c>
      <c r="Q6086">
        <v>3.03755E-3</v>
      </c>
      <c r="R6086">
        <v>0.1342052</v>
      </c>
      <c r="S6086">
        <v>3.010437</v>
      </c>
      <c r="T6086">
        <v>-0.19445879999999999</v>
      </c>
      <c r="U6086">
        <v>0.12884519999999999</v>
      </c>
      <c r="V6086">
        <v>-0.1221748</v>
      </c>
      <c r="W6086">
        <v>1.2969909999999999E-2</v>
      </c>
      <c r="X6086">
        <v>0.99242379999999997</v>
      </c>
      <c r="Y6086">
        <v>-3.0599850000000001E-2</v>
      </c>
      <c r="Z6086">
        <v>2.0451719999999999E-4</v>
      </c>
      <c r="AA6086">
        <v>0.99953170000000002</v>
      </c>
      <c r="AB6086">
        <v>29</v>
      </c>
      <c r="AC6086">
        <v>17.023800000000001</v>
      </c>
      <c r="AD6086">
        <v>-1.1092792385419901</v>
      </c>
      <c r="AE6086">
        <v>0.73321000000000602</v>
      </c>
      <c r="AF6086">
        <v>-0.52443418811383502</v>
      </c>
      <c r="AG6086">
        <v>-1.1092792385419901</v>
      </c>
      <c r="AH6086">
        <v>16.9595662685924</v>
      </c>
      <c r="AI6086">
        <v>93.740448257042104</v>
      </c>
      <c r="AJ6086">
        <v>91.771171107036494</v>
      </c>
      <c r="AK6086">
        <v>17.003894250009299</v>
      </c>
      <c r="AL6086">
        <v>89.256858022813503</v>
      </c>
      <c r="AM6086">
        <v>97.018226787909001</v>
      </c>
      <c r="AN6086">
        <v>0.99999994956344196</v>
      </c>
    </row>
    <row r="6087" spans="1:40" x14ac:dyDescent="0.25">
      <c r="A6087" t="str">
        <f>"20190312151652906"</f>
        <v>20190312151652906</v>
      </c>
      <c r="B6087" t="str">
        <f>"1552375012893773"</f>
        <v>1552375012893773</v>
      </c>
      <c r="C6087" t="s">
        <v>40</v>
      </c>
      <c r="D6087">
        <v>4.283131</v>
      </c>
      <c r="E6087">
        <v>0.53500080000000005</v>
      </c>
      <c r="F6087" t="s">
        <v>78</v>
      </c>
      <c r="G6087">
        <v>-218.7363</v>
      </c>
      <c r="H6087" s="1">
        <v>-3.2059129999999998E-6</v>
      </c>
      <c r="I6087">
        <v>-62.487589999999997</v>
      </c>
      <c r="J6087">
        <v>-235.70650000000001</v>
      </c>
      <c r="K6087">
        <v>1.109278</v>
      </c>
      <c r="L6087">
        <v>-63.221310000000003</v>
      </c>
      <c r="M6087">
        <v>0.99987649999999995</v>
      </c>
      <c r="N6087">
        <v>0</v>
      </c>
      <c r="O6087">
        <v>1.2129600000000001E-2</v>
      </c>
      <c r="P6087">
        <v>0.99095200000000006</v>
      </c>
      <c r="Q6087">
        <v>3.155302E-3</v>
      </c>
      <c r="R6087">
        <v>0.1341802</v>
      </c>
      <c r="S6087">
        <v>3.0104679999999999</v>
      </c>
      <c r="T6087">
        <v>-0.19507910000000001</v>
      </c>
      <c r="U6087">
        <v>0.12933349999999999</v>
      </c>
      <c r="V6087">
        <v>-0.1221491</v>
      </c>
      <c r="W6087">
        <v>1.308959E-2</v>
      </c>
      <c r="X6087">
        <v>0.99242540000000001</v>
      </c>
      <c r="Y6087">
        <v>-3.0760490000000001E-2</v>
      </c>
      <c r="Z6087">
        <v>2.103517E-4</v>
      </c>
      <c r="AA6087">
        <v>0.99952669999999999</v>
      </c>
      <c r="AB6087">
        <v>29</v>
      </c>
      <c r="AC6087">
        <v>16.970199999999998</v>
      </c>
      <c r="AD6087">
        <v>-1.1092812059129999</v>
      </c>
      <c r="AE6087">
        <v>0.73371999999999005</v>
      </c>
      <c r="AF6087">
        <v>-0.52557254152975097</v>
      </c>
      <c r="AG6087">
        <v>-1.1092812059129999</v>
      </c>
      <c r="AH6087">
        <v>16.9057520241623</v>
      </c>
      <c r="AI6087">
        <v>93.752308281612997</v>
      </c>
      <c r="AJ6087">
        <v>91.780659785275006</v>
      </c>
      <c r="AK6087">
        <v>16.950256127642099</v>
      </c>
      <c r="AL6087">
        <v>89.250000287200905</v>
      </c>
      <c r="AM6087">
        <v>97.016753991995301</v>
      </c>
      <c r="AN6087">
        <v>0.99999995728116797</v>
      </c>
    </row>
    <row r="6088" spans="1:40" x14ac:dyDescent="0.25">
      <c r="A6088" t="str">
        <f>"20190312151652918"</f>
        <v>20190312151652918</v>
      </c>
      <c r="B6088" t="str">
        <f>"1552375012914269"</f>
        <v>1552375012914269</v>
      </c>
      <c r="C6088" t="s">
        <v>40</v>
      </c>
      <c r="D6088">
        <v>4.2407879999999896</v>
      </c>
      <c r="E6088">
        <v>0.53525310000000004</v>
      </c>
      <c r="F6088" t="s">
        <v>78</v>
      </c>
      <c r="G6088">
        <v>-218.58760000000001</v>
      </c>
      <c r="H6088" s="1">
        <v>-3.156294E-6</v>
      </c>
      <c r="I6088">
        <v>-62.49315</v>
      </c>
      <c r="J6088">
        <v>-235.559</v>
      </c>
      <c r="K6088">
        <v>1.1092770000000001</v>
      </c>
      <c r="L6088">
        <v>-63.21951</v>
      </c>
      <c r="M6088">
        <v>0.9998764</v>
      </c>
      <c r="N6088">
        <v>0</v>
      </c>
      <c r="O6088">
        <v>1.212977E-2</v>
      </c>
      <c r="P6088">
        <v>0.99088220000000005</v>
      </c>
      <c r="Q6088">
        <v>3.192102E-3</v>
      </c>
      <c r="R6088">
        <v>0.134693799999999</v>
      </c>
      <c r="S6088">
        <v>3.0106809999999999</v>
      </c>
      <c r="T6088">
        <v>-0.1950887</v>
      </c>
      <c r="U6088">
        <v>0.12805179999999999</v>
      </c>
      <c r="V6088">
        <v>-0.12266340000000001</v>
      </c>
      <c r="W6088">
        <v>1.312725E-2</v>
      </c>
      <c r="X6088">
        <v>0.99236150000000001</v>
      </c>
      <c r="Y6088">
        <v>-3.033342E-2</v>
      </c>
      <c r="Z6088">
        <v>1.965212E-4</v>
      </c>
      <c r="AA6088">
        <v>0.99953979999999998</v>
      </c>
      <c r="AB6088">
        <v>29</v>
      </c>
      <c r="AC6088">
        <v>16.971399999999999</v>
      </c>
      <c r="AD6088">
        <v>-1.109280156294</v>
      </c>
      <c r="AE6088">
        <v>0.72635999999999901</v>
      </c>
      <c r="AF6088">
        <v>-0.51822718013963398</v>
      </c>
      <c r="AG6088">
        <v>-1.109280156294</v>
      </c>
      <c r="AH6088">
        <v>16.9068656261474</v>
      </c>
      <c r="AI6088">
        <v>93.752108661896997</v>
      </c>
      <c r="AJ6088">
        <v>91.7556735326812</v>
      </c>
      <c r="AK6088">
        <v>16.951140586284598</v>
      </c>
      <c r="AL6088">
        <v>89.247842367658805</v>
      </c>
      <c r="AM6088">
        <v>97.046450326952396</v>
      </c>
      <c r="AN6088">
        <v>0.99999999053718602</v>
      </c>
    </row>
    <row r="6089" spans="1:40" x14ac:dyDescent="0.25">
      <c r="A6089" t="str">
        <f>"20190312151652929"</f>
        <v>20190312151652929</v>
      </c>
      <c r="B6089" t="str">
        <f>"1552375012924444"</f>
        <v>1552375012924444</v>
      </c>
      <c r="C6089" t="s">
        <v>40</v>
      </c>
      <c r="D6089">
        <v>4.3374639999999998</v>
      </c>
      <c r="E6089">
        <v>0.53543929999999995</v>
      </c>
      <c r="F6089" t="s">
        <v>78</v>
      </c>
      <c r="G6089">
        <v>-218.50129999999999</v>
      </c>
      <c r="H6089" s="1">
        <v>-3.1275530000000001E-6</v>
      </c>
      <c r="I6089">
        <v>-62.496760000000002</v>
      </c>
      <c r="J6089">
        <v>-235.4092</v>
      </c>
      <c r="K6089">
        <v>1.109278</v>
      </c>
      <c r="L6089">
        <v>-63.217680000000001</v>
      </c>
      <c r="M6089">
        <v>0.9998764</v>
      </c>
      <c r="N6089">
        <v>0</v>
      </c>
      <c r="O6089">
        <v>1.2129940000000001E-2</v>
      </c>
      <c r="P6089">
        <v>0.99086569999999996</v>
      </c>
      <c r="Q6089">
        <v>3.427594E-3</v>
      </c>
      <c r="R6089">
        <v>0.13480929999999999</v>
      </c>
      <c r="S6089">
        <v>3.0108950000000001</v>
      </c>
      <c r="T6089">
        <v>-0.19580130000000001</v>
      </c>
      <c r="U6089">
        <v>0.1275635</v>
      </c>
      <c r="V6089">
        <v>-0.122779399999999</v>
      </c>
      <c r="W6089">
        <v>1.33647E-2</v>
      </c>
      <c r="X6089">
        <v>0.992344</v>
      </c>
      <c r="Y6089">
        <v>-3.0168500000000001E-2</v>
      </c>
      <c r="Z6089">
        <v>1.9185860000000001E-4</v>
      </c>
      <c r="AA6089">
        <v>0.99954480000000001</v>
      </c>
      <c r="AB6089">
        <v>29</v>
      </c>
      <c r="AC6089">
        <v>16.907900000000001</v>
      </c>
      <c r="AD6089">
        <v>-1.1092811275529999</v>
      </c>
      <c r="AE6089">
        <v>0.720920000000006</v>
      </c>
      <c r="AF6089">
        <v>-0.51355837847012398</v>
      </c>
      <c r="AG6089">
        <v>-1.1092811275529999</v>
      </c>
      <c r="AH6089">
        <v>16.843034965008801</v>
      </c>
      <c r="AI6089">
        <v>93.766309074164695</v>
      </c>
      <c r="AJ6089">
        <v>91.746455678731905</v>
      </c>
      <c r="AK6089">
        <v>16.887334711568599</v>
      </c>
      <c r="AL6089">
        <v>89.234236302275406</v>
      </c>
      <c r="AM6089">
        <v>97.053170040349499</v>
      </c>
      <c r="AN6089">
        <v>1.0000000053032201</v>
      </c>
    </row>
    <row r="6090" spans="1:40" x14ac:dyDescent="0.25">
      <c r="A6090" t="str">
        <f>"20190312151652939"</f>
        <v>20190312151652939</v>
      </c>
      <c r="B6090" t="str">
        <f>"1552375012934204"</f>
        <v>1552375012934204</v>
      </c>
      <c r="C6090" t="s">
        <v>40</v>
      </c>
      <c r="D6090">
        <v>4.2598640000000003</v>
      </c>
      <c r="E6090">
        <v>0.5356033</v>
      </c>
      <c r="F6090" t="s">
        <v>78</v>
      </c>
      <c r="G6090">
        <v>-218.28739999999999</v>
      </c>
      <c r="H6090" s="1">
        <v>-3.0550910000000002E-6</v>
      </c>
      <c r="I6090">
        <v>-62.498530000000002</v>
      </c>
      <c r="J6090">
        <v>-235.2757</v>
      </c>
      <c r="K6090">
        <v>1.109278</v>
      </c>
      <c r="L6090">
        <v>-63.216059999999999</v>
      </c>
      <c r="M6090">
        <v>0.9998764</v>
      </c>
      <c r="N6090">
        <v>0</v>
      </c>
      <c r="O6090">
        <v>1.213005E-2</v>
      </c>
      <c r="P6090">
        <v>0.99083659999999996</v>
      </c>
      <c r="Q6090">
        <v>3.4033470000000001E-3</v>
      </c>
      <c r="R6090">
        <v>0.135023799999999</v>
      </c>
      <c r="S6090">
        <v>3.011139</v>
      </c>
      <c r="T6090">
        <v>-0.19508519999999999</v>
      </c>
      <c r="U6090">
        <v>0.12646479999999999</v>
      </c>
      <c r="V6090">
        <v>-0.1229938</v>
      </c>
      <c r="W6090">
        <v>1.3343239999999999E-2</v>
      </c>
      <c r="X6090">
        <v>0.99231769999999997</v>
      </c>
      <c r="Y6090">
        <v>-2.9801979999999999E-2</v>
      </c>
      <c r="Z6090">
        <v>1.7928160000000001E-4</v>
      </c>
      <c r="AA6090">
        <v>0.99955579999999999</v>
      </c>
      <c r="AB6090">
        <v>29</v>
      </c>
      <c r="AC6090">
        <v>16.988299999999999</v>
      </c>
      <c r="AD6090">
        <v>-1.1092810550909999</v>
      </c>
      <c r="AE6090">
        <v>0.717529999999996</v>
      </c>
      <c r="AF6090">
        <v>-0.50923064346793701</v>
      </c>
      <c r="AG6090">
        <v>-1.1092810550909999</v>
      </c>
      <c r="AH6090">
        <v>16.923725479223101</v>
      </c>
      <c r="AI6090">
        <v>93.748448157338998</v>
      </c>
      <c r="AJ6090">
        <v>91.723495574650499</v>
      </c>
      <c r="AK6090">
        <v>16.967684120219101</v>
      </c>
      <c r="AL6090">
        <v>89.235465950298604</v>
      </c>
      <c r="AM6090">
        <v>97.065547428903699</v>
      </c>
      <c r="AN6090">
        <v>0.99999996731271301</v>
      </c>
    </row>
    <row r="6091" spans="1:40" x14ac:dyDescent="0.25">
      <c r="A6091" t="str">
        <f>"20190312151652949"</f>
        <v>20190312151652949</v>
      </c>
      <c r="B6091" t="str">
        <f>"1552375012943964"</f>
        <v>1552375012943964</v>
      </c>
      <c r="C6091" t="s">
        <v>40</v>
      </c>
      <c r="D6091">
        <v>4.4216110000000004</v>
      </c>
      <c r="E6091">
        <v>0.53581350000000005</v>
      </c>
      <c r="F6091" t="s">
        <v>78</v>
      </c>
      <c r="G6091">
        <v>-218.09469999999999</v>
      </c>
      <c r="H6091" s="1">
        <v>-2.9893790000000002E-6</v>
      </c>
      <c r="I6091">
        <v>-62.497929999999997</v>
      </c>
      <c r="J6091">
        <v>-235.14099999999999</v>
      </c>
      <c r="K6091">
        <v>1.1092789999999999</v>
      </c>
      <c r="L6091">
        <v>-63.214449999999999</v>
      </c>
      <c r="M6091">
        <v>0.9998764</v>
      </c>
      <c r="N6091">
        <v>0</v>
      </c>
      <c r="O6091">
        <v>1.213003E-2</v>
      </c>
      <c r="P6091">
        <v>0.99085210000000001</v>
      </c>
      <c r="Q6091">
        <v>3.5446789999999998E-3</v>
      </c>
      <c r="R6091">
        <v>0.1349071</v>
      </c>
      <c r="S6091">
        <v>3.0112610000000002</v>
      </c>
      <c r="T6091">
        <v>-0.19441929999999999</v>
      </c>
      <c r="U6091">
        <v>0.12585450000000001</v>
      </c>
      <c r="V6091">
        <v>-0.12287670000000001</v>
      </c>
      <c r="W6091">
        <v>1.348866E-2</v>
      </c>
      <c r="X6091">
        <v>0.9923303</v>
      </c>
      <c r="Y6091">
        <v>-2.959873E-2</v>
      </c>
      <c r="Z6091">
        <v>1.72114199999999E-4</v>
      </c>
      <c r="AA6091">
        <v>0.99956179999999994</v>
      </c>
      <c r="AB6091">
        <v>29</v>
      </c>
      <c r="AC6091">
        <v>17.046299999999999</v>
      </c>
      <c r="AD6091">
        <v>-1.109281989379</v>
      </c>
      <c r="AE6091">
        <v>0.71651999999999505</v>
      </c>
      <c r="AF6091">
        <v>-0.50753931357297999</v>
      </c>
      <c r="AG6091">
        <v>-1.109281989379</v>
      </c>
      <c r="AH6091">
        <v>16.981950795858001</v>
      </c>
      <c r="AI6091">
        <v>93.735658228391202</v>
      </c>
      <c r="AJ6091">
        <v>91.711888536164807</v>
      </c>
      <c r="AK6091">
        <v>17.025708664244299</v>
      </c>
      <c r="AL6091">
        <v>89.227133293061101</v>
      </c>
      <c r="AM6091">
        <v>97.058799629111206</v>
      </c>
      <c r="AN6091">
        <v>1.0000000258247801</v>
      </c>
    </row>
    <row r="6092" spans="1:40" x14ac:dyDescent="0.25">
      <c r="A6092" t="str">
        <f>"20190312151652960"</f>
        <v>20190312151652960</v>
      </c>
      <c r="B6092" t="str">
        <f>"1552375012953724"</f>
        <v>1552375012953724</v>
      </c>
      <c r="C6092" t="s">
        <v>40</v>
      </c>
      <c r="D6092">
        <v>4.4813099999999997</v>
      </c>
      <c r="E6092">
        <v>0.53605599999999998</v>
      </c>
      <c r="F6092" t="s">
        <v>78</v>
      </c>
      <c r="G6092">
        <v>-217.9796</v>
      </c>
      <c r="H6092" s="1">
        <v>-2.9521449999999998E-6</v>
      </c>
      <c r="I6092">
        <v>-62.508679999999998</v>
      </c>
      <c r="J6092">
        <v>-235.0026</v>
      </c>
      <c r="K6092">
        <v>1.109281</v>
      </c>
      <c r="L6092">
        <v>-63.2127699999999</v>
      </c>
      <c r="M6092">
        <v>0.99987619999999999</v>
      </c>
      <c r="N6092">
        <v>0</v>
      </c>
      <c r="O6092">
        <v>1.2130180000000001E-2</v>
      </c>
      <c r="P6092">
        <v>0.99079329999999999</v>
      </c>
      <c r="Q6092">
        <v>3.4965830000000002E-3</v>
      </c>
      <c r="R6092">
        <v>0.13533709999999999</v>
      </c>
      <c r="S6092">
        <v>3.011536</v>
      </c>
      <c r="T6092">
        <v>-0.19466030000000001</v>
      </c>
      <c r="U6092">
        <v>0.1238403</v>
      </c>
      <c r="V6092">
        <v>-0.1233078</v>
      </c>
      <c r="W6092">
        <v>1.344527E-2</v>
      </c>
      <c r="X6092">
        <v>0.99227739999999998</v>
      </c>
      <c r="Y6092">
        <v>-2.892871E-2</v>
      </c>
      <c r="Z6092">
        <v>1.5068009999999999E-4</v>
      </c>
      <c r="AA6092">
        <v>0.99958150000000001</v>
      </c>
      <c r="AB6092">
        <v>29</v>
      </c>
      <c r="AC6092">
        <v>17.0229999999999</v>
      </c>
      <c r="AD6092">
        <v>-1.109283952145</v>
      </c>
      <c r="AE6092">
        <v>0.704089999999986</v>
      </c>
      <c r="AF6092">
        <v>-0.49543557947635197</v>
      </c>
      <c r="AG6092">
        <v>-1.109283952145</v>
      </c>
      <c r="AH6092">
        <v>16.958400698116598</v>
      </c>
      <c r="AI6092">
        <v>93.740911846386695</v>
      </c>
      <c r="AJ6092">
        <v>91.673406379610398</v>
      </c>
      <c r="AK6092">
        <v>17.001862296165701</v>
      </c>
      <c r="AL6092">
        <v>89.229619572985897</v>
      </c>
      <c r="AM6092">
        <v>97.083687342612606</v>
      </c>
      <c r="AN6092">
        <v>1.0000000136884799</v>
      </c>
    </row>
    <row r="6093" spans="1:40" x14ac:dyDescent="0.25">
      <c r="A6093" t="str">
        <f>"20190312151652972"</f>
        <v>20190312151652972</v>
      </c>
      <c r="B6093" t="str">
        <f>"1552375012963484"</f>
        <v>1552375012963484</v>
      </c>
      <c r="C6093" t="s">
        <v>40</v>
      </c>
      <c r="D6093">
        <v>4.2980199999999904</v>
      </c>
      <c r="E6093">
        <v>0.53596469999999996</v>
      </c>
      <c r="F6093" t="s">
        <v>78</v>
      </c>
      <c r="G6093">
        <v>-217.9657</v>
      </c>
      <c r="H6093" s="1">
        <v>-2.9487179999999999E-6</v>
      </c>
      <c r="I6093">
        <v>-62.516129999999997</v>
      </c>
      <c r="J6093">
        <v>-234.85300000000001</v>
      </c>
      <c r="K6093">
        <v>1.1092799999999901</v>
      </c>
      <c r="L6093">
        <v>-63.210940000000001</v>
      </c>
      <c r="M6093">
        <v>0.99987610000000005</v>
      </c>
      <c r="N6093">
        <v>0</v>
      </c>
      <c r="O6093">
        <v>1.213032E-2</v>
      </c>
      <c r="P6093">
        <v>0.99078370000000004</v>
      </c>
      <c r="Q6093">
        <v>3.2910959999999999E-3</v>
      </c>
      <c r="R6093">
        <v>0.13541510000000001</v>
      </c>
      <c r="S6093">
        <v>3.0117340000000001</v>
      </c>
      <c r="T6093">
        <v>-0.1960953</v>
      </c>
      <c r="U6093">
        <v>0.1231384</v>
      </c>
      <c r="V6093">
        <v>-0.1233858</v>
      </c>
      <c r="W6093">
        <v>1.324645E-2</v>
      </c>
      <c r="X6093">
        <v>0.9922704</v>
      </c>
      <c r="Y6093">
        <v>-2.869327E-2</v>
      </c>
      <c r="Z6093">
        <v>1.441162E-4</v>
      </c>
      <c r="AA6093">
        <v>0.99958829999999999</v>
      </c>
      <c r="AB6093">
        <v>29</v>
      </c>
      <c r="AC6093">
        <v>16.8872999999999</v>
      </c>
      <c r="AD6093">
        <v>-1.10928294871799</v>
      </c>
      <c r="AE6093">
        <v>0.69480999999999604</v>
      </c>
      <c r="AF6093">
        <v>-0.48779899708598901</v>
      </c>
      <c r="AG6093">
        <v>-1.10928294871799</v>
      </c>
      <c r="AH6093">
        <v>16.8220244802453</v>
      </c>
      <c r="AI6093">
        <v>93.771172612005401</v>
      </c>
      <c r="AJ6093">
        <v>91.660976896988004</v>
      </c>
      <c r="AK6093">
        <v>16.865614846066102</v>
      </c>
      <c r="AL6093">
        <v>89.2410121508305</v>
      </c>
      <c r="AM6093">
        <v>97.088172154311494</v>
      </c>
      <c r="AN6093">
        <v>1.0000000353977001</v>
      </c>
    </row>
    <row r="6094" spans="1:40" x14ac:dyDescent="0.25">
      <c r="A6094" t="str">
        <f>"20190312151652988"</f>
        <v>20190312151652988</v>
      </c>
      <c r="B6094" t="str">
        <f>"1552375012984956"</f>
        <v>1552375012984956</v>
      </c>
      <c r="C6094" t="s">
        <v>40</v>
      </c>
      <c r="D6094">
        <v>4.2639950000000004</v>
      </c>
      <c r="E6094">
        <v>0.53596829999999995</v>
      </c>
      <c r="F6094" t="s">
        <v>78</v>
      </c>
      <c r="G6094">
        <v>-217.84530000000001</v>
      </c>
      <c r="H6094" s="1">
        <v>-2.900369E-6</v>
      </c>
      <c r="I6094">
        <v>-62.509950000000003</v>
      </c>
      <c r="J6094">
        <v>-234.65219999999999</v>
      </c>
      <c r="K6094">
        <v>1.1092799999999901</v>
      </c>
      <c r="L6094">
        <v>-63.208500000000001</v>
      </c>
      <c r="M6094">
        <v>0.99987610000000005</v>
      </c>
      <c r="N6094">
        <v>0</v>
      </c>
      <c r="O6094">
        <v>1.213063E-2</v>
      </c>
      <c r="P6094">
        <v>0.99073829999999996</v>
      </c>
      <c r="Q6094">
        <v>3.358696E-3</v>
      </c>
      <c r="R6094">
        <v>0.13574369999999999</v>
      </c>
      <c r="S6094">
        <v>3.0115970000000001</v>
      </c>
      <c r="T6094">
        <v>-0.19642270000000001</v>
      </c>
      <c r="U6094">
        <v>0.124115</v>
      </c>
      <c r="V6094">
        <v>-0.12371450000000001</v>
      </c>
      <c r="W6094">
        <v>1.3322260000000001E-2</v>
      </c>
      <c r="X6094">
        <v>0.99222840000000001</v>
      </c>
      <c r="Y6094">
        <v>-2.9017600000000001E-2</v>
      </c>
      <c r="Z6094">
        <v>1.5490299999999999E-4</v>
      </c>
      <c r="AA6094">
        <v>0.99957890000000005</v>
      </c>
      <c r="AB6094">
        <v>29</v>
      </c>
      <c r="AC6094">
        <v>16.806899999999899</v>
      </c>
      <c r="AD6094">
        <v>-1.1092829003689999</v>
      </c>
      <c r="AE6094">
        <v>0.69854999999999701</v>
      </c>
      <c r="AF6094">
        <v>-0.49246845252911797</v>
      </c>
      <c r="AG6094">
        <v>-1.1092829003689999</v>
      </c>
      <c r="AH6094">
        <v>16.741334421190899</v>
      </c>
      <c r="AI6094">
        <v>93.789249793623</v>
      </c>
      <c r="AJ6094">
        <v>91.684945098136794</v>
      </c>
      <c r="AK6094">
        <v>16.7852706839044</v>
      </c>
      <c r="AL6094">
        <v>89.2366681315265</v>
      </c>
      <c r="AM6094">
        <v>97.107159973887505</v>
      </c>
      <c r="AN6094">
        <v>0.99999997894415804</v>
      </c>
    </row>
    <row r="6095" spans="1:40" x14ac:dyDescent="0.25">
      <c r="A6095" t="str">
        <f>"20190312151653000"</f>
        <v>20190312151653000</v>
      </c>
      <c r="B6095" t="str">
        <f>"1552375012993740"</f>
        <v>1552375012993740</v>
      </c>
      <c r="C6095" t="s">
        <v>40</v>
      </c>
      <c r="D6095">
        <v>4.2448800000000002</v>
      </c>
      <c r="E6095">
        <v>0.52375070000000001</v>
      </c>
      <c r="F6095" t="s">
        <v>78</v>
      </c>
      <c r="G6095">
        <v>-217.56960000000001</v>
      </c>
      <c r="H6095" s="1">
        <v>-2.779278E-6</v>
      </c>
      <c r="I6095">
        <v>-62.499229999999997</v>
      </c>
      <c r="J6095">
        <v>-234.49979999999999</v>
      </c>
      <c r="K6095">
        <v>1.109281</v>
      </c>
      <c r="L6095">
        <v>-63.206670000000003</v>
      </c>
      <c r="M6095">
        <v>0.99987599999999999</v>
      </c>
      <c r="N6095">
        <v>0</v>
      </c>
      <c r="O6095">
        <v>1.2130719999999999E-2</v>
      </c>
      <c r="P6095">
        <v>0.9907203</v>
      </c>
      <c r="Q6095">
        <v>3.1450649999999998E-3</v>
      </c>
      <c r="R6095">
        <v>0.13587959999999999</v>
      </c>
      <c r="S6095">
        <v>3.0115660000000002</v>
      </c>
      <c r="T6095">
        <v>-0.19556109999999999</v>
      </c>
      <c r="U6095">
        <v>0.12503049999999999</v>
      </c>
      <c r="V6095">
        <v>-0.12385060000000001</v>
      </c>
      <c r="W6095">
        <v>1.311533E-2</v>
      </c>
      <c r="X6095">
        <v>0.99221420000000005</v>
      </c>
      <c r="Y6095">
        <v>-2.9320969999999998E-2</v>
      </c>
      <c r="Z6095">
        <v>1.6405549999999901E-4</v>
      </c>
      <c r="AA6095">
        <v>0.99956999999999996</v>
      </c>
      <c r="AB6095">
        <v>29</v>
      </c>
      <c r="AC6095">
        <v>16.9301999999999</v>
      </c>
      <c r="AD6095">
        <v>-1.1092837792779999</v>
      </c>
      <c r="AE6095">
        <v>0.70743999999999096</v>
      </c>
      <c r="AF6095">
        <v>-0.49985991125579199</v>
      </c>
      <c r="AG6095">
        <v>-1.1092837792779999</v>
      </c>
      <c r="AH6095">
        <v>16.865259934951801</v>
      </c>
      <c r="AI6095">
        <v>93.761465102149103</v>
      </c>
      <c r="AJ6095">
        <v>91.697660260607094</v>
      </c>
      <c r="AK6095">
        <v>16.909091137827001</v>
      </c>
      <c r="AL6095">
        <v>89.248525399900998</v>
      </c>
      <c r="AM6095">
        <v>97.114999351105894</v>
      </c>
      <c r="AN6095">
        <v>1.0000000008415</v>
      </c>
    </row>
    <row r="6096" spans="1:40" x14ac:dyDescent="0.25">
      <c r="A6096" t="str">
        <f>"20190312151653010"</f>
        <v>20190312151653010</v>
      </c>
      <c r="B6096" t="str">
        <f>"1552375013003500"</f>
        <v>1552375013003500</v>
      </c>
      <c r="C6096" t="s">
        <v>40</v>
      </c>
      <c r="D6096">
        <v>4.2069020000000004</v>
      </c>
      <c r="E6096">
        <v>0.52538879999999999</v>
      </c>
      <c r="F6096" t="s">
        <v>64</v>
      </c>
      <c r="G6096">
        <v>-192.48179999999999</v>
      </c>
      <c r="H6096" s="1">
        <v>-6.5414459999999997E-6</v>
      </c>
      <c r="I6096">
        <v>-60.111789999999999</v>
      </c>
      <c r="J6096">
        <v>-234.35640000000001</v>
      </c>
      <c r="K6096">
        <v>1.1092820000000001</v>
      </c>
      <c r="L6096">
        <v>-63.204929999999997</v>
      </c>
      <c r="M6096">
        <v>0.99987599999999999</v>
      </c>
      <c r="N6096">
        <v>0</v>
      </c>
      <c r="O6096">
        <v>1.213086E-2</v>
      </c>
      <c r="P6096">
        <v>0.9907144</v>
      </c>
      <c r="Q6096">
        <v>2.979008E-3</v>
      </c>
      <c r="R6096">
        <v>0.13592660000000001</v>
      </c>
      <c r="S6096">
        <v>2.998062</v>
      </c>
      <c r="T6096">
        <v>-7.9149720000000007E-2</v>
      </c>
      <c r="U6096">
        <v>0.2208252</v>
      </c>
      <c r="V6096">
        <v>-0.1238972</v>
      </c>
      <c r="W6096">
        <v>1.2955609999999999E-2</v>
      </c>
      <c r="X6096">
        <v>0.9922105</v>
      </c>
      <c r="Y6096">
        <v>-6.1335840000000003E-2</v>
      </c>
      <c r="Z6096">
        <v>4.8866239999999998E-4</v>
      </c>
      <c r="AA6096">
        <v>0.99811709999999998</v>
      </c>
      <c r="AB6096">
        <v>29</v>
      </c>
      <c r="AC6096">
        <v>41.874600000000001</v>
      </c>
      <c r="AD6096">
        <v>-1.1092885414460001</v>
      </c>
      <c r="AE6096">
        <v>3.09314</v>
      </c>
      <c r="AF6096">
        <v>-2.5831089762937798</v>
      </c>
      <c r="AG6096">
        <v>-1.1092885414460001</v>
      </c>
      <c r="AH6096">
        <v>41.8798128008224</v>
      </c>
      <c r="AI6096">
        <v>91.514386572458093</v>
      </c>
      <c r="AJ6096">
        <v>93.529480644874397</v>
      </c>
      <c r="AK6096">
        <v>41.974059766521499</v>
      </c>
      <c r="AL6096">
        <v>89.257677473751997</v>
      </c>
      <c r="AM6096">
        <v>97.117675256767697</v>
      </c>
      <c r="AN6096">
        <v>1.00000002015428</v>
      </c>
    </row>
    <row r="6097" spans="1:40" x14ac:dyDescent="0.25">
      <c r="A6097" t="str">
        <f>"20190312151653021"</f>
        <v>20190312151653021</v>
      </c>
      <c r="B6097" t="str">
        <f>"1552375013014236"</f>
        <v>1552375013014236</v>
      </c>
      <c r="C6097" t="s">
        <v>40</v>
      </c>
      <c r="D6097">
        <v>4.2304339999999998</v>
      </c>
      <c r="E6097">
        <v>0.52641930000000003</v>
      </c>
      <c r="F6097" t="s">
        <v>64</v>
      </c>
      <c r="G6097">
        <v>-201.39109999999999</v>
      </c>
      <c r="H6097" s="1">
        <v>-5.0248749999999999E-6</v>
      </c>
      <c r="I6097">
        <v>-60.91713</v>
      </c>
      <c r="J6097">
        <v>-234.2217</v>
      </c>
      <c r="K6097">
        <v>1.1092820000000001</v>
      </c>
      <c r="L6097">
        <v>-63.203279999999999</v>
      </c>
      <c r="M6097">
        <v>0.99987599999999999</v>
      </c>
      <c r="N6097">
        <v>0</v>
      </c>
      <c r="O6097">
        <v>1.2131009999999999E-2</v>
      </c>
      <c r="P6097">
        <v>0.9906488</v>
      </c>
      <c r="Q6097">
        <v>2.748594E-3</v>
      </c>
      <c r="R6097">
        <v>0.13640969999999999</v>
      </c>
      <c r="S6097">
        <v>2.9998629999999999</v>
      </c>
      <c r="T6097">
        <v>-0.1009457</v>
      </c>
      <c r="U6097">
        <v>0.20819090000000001</v>
      </c>
      <c r="V6097">
        <v>-0.12438109999999999</v>
      </c>
      <c r="W6097">
        <v>1.273008E-2</v>
      </c>
      <c r="X6097">
        <v>0.9921529</v>
      </c>
      <c r="Y6097">
        <v>-5.7100690000000003E-2</v>
      </c>
      <c r="Z6097">
        <v>5.5172290000000002E-4</v>
      </c>
      <c r="AA6097">
        <v>0.99836829999999999</v>
      </c>
      <c r="AB6097">
        <v>29</v>
      </c>
      <c r="AC6097">
        <v>32.830599999999997</v>
      </c>
      <c r="AD6097">
        <v>-1.109287024875</v>
      </c>
      <c r="AE6097">
        <v>2.2861499999999899</v>
      </c>
      <c r="AF6097">
        <v>-1.8855511064883901</v>
      </c>
      <c r="AG6097">
        <v>-1.109287024875</v>
      </c>
      <c r="AH6097">
        <v>32.818632323019301</v>
      </c>
      <c r="AI6097">
        <v>91.932705648860207</v>
      </c>
      <c r="AJ6097">
        <v>93.288238322324702</v>
      </c>
      <c r="AK6097">
        <v>32.891464671435102</v>
      </c>
      <c r="AL6097">
        <v>89.270600474572305</v>
      </c>
      <c r="AM6097">
        <v>97.145598212582996</v>
      </c>
      <c r="AN6097">
        <v>1.0000000449762101</v>
      </c>
    </row>
    <row r="6098" spans="1:40" x14ac:dyDescent="0.25">
      <c r="A6098" t="str">
        <f>"20190312151653032"</f>
        <v>20190312151653032</v>
      </c>
      <c r="B6098" t="str">
        <f>"1552375013023526"</f>
        <v>1552375013023526</v>
      </c>
      <c r="C6098" t="s">
        <v>40</v>
      </c>
      <c r="D6098">
        <v>4.1774050000000003</v>
      </c>
      <c r="E6098">
        <v>0.52698140000000004</v>
      </c>
      <c r="F6098" t="s">
        <v>64</v>
      </c>
      <c r="G6098">
        <v>-203.8861</v>
      </c>
      <c r="H6098" s="1">
        <v>-3.7679439999999999E-6</v>
      </c>
      <c r="I6098">
        <v>-61.165019999999998</v>
      </c>
      <c r="J6098">
        <v>-234.083</v>
      </c>
      <c r="K6098">
        <v>1.1092820000000001</v>
      </c>
      <c r="L6098">
        <v>-63.201599999999999</v>
      </c>
      <c r="M6098">
        <v>0.99987590000000004</v>
      </c>
      <c r="N6098">
        <v>0</v>
      </c>
      <c r="O6098">
        <v>1.213116E-2</v>
      </c>
      <c r="P6098">
        <v>0.99060760000000003</v>
      </c>
      <c r="Q6098">
        <v>2.8605750000000002E-3</v>
      </c>
      <c r="R6098">
        <v>0.13670579999999999</v>
      </c>
      <c r="S6098">
        <v>3.0008539999999999</v>
      </c>
      <c r="T6098">
        <v>-0.1097327</v>
      </c>
      <c r="U6098">
        <v>0.20162959999999999</v>
      </c>
      <c r="V6098">
        <v>-0.1246775</v>
      </c>
      <c r="W6098">
        <v>1.2847849999999999E-2</v>
      </c>
      <c r="X6098">
        <v>0.9921141</v>
      </c>
      <c r="Y6098">
        <v>-5.4901730000000003E-2</v>
      </c>
      <c r="Z6098">
        <v>5.5941170000000002E-4</v>
      </c>
      <c r="AA6098">
        <v>0.99849160000000003</v>
      </c>
      <c r="AB6098">
        <v>29</v>
      </c>
      <c r="AC6098">
        <v>30.196899999999999</v>
      </c>
      <c r="AD6098">
        <v>-1.10928576794399</v>
      </c>
      <c r="AE6098">
        <v>2.0365799999999998</v>
      </c>
      <c r="AF6098">
        <v>-1.6678476793004899</v>
      </c>
      <c r="AG6098">
        <v>-1.10928576794399</v>
      </c>
      <c r="AH6098">
        <v>30.178844116158601</v>
      </c>
      <c r="AI6098">
        <v>92.101872538636698</v>
      </c>
      <c r="AJ6098">
        <v>93.163259701791603</v>
      </c>
      <c r="AK6098">
        <v>30.2452452954793</v>
      </c>
      <c r="AL6098">
        <v>89.263852141505197</v>
      </c>
      <c r="AM6098">
        <v>97.162726728778196</v>
      </c>
      <c r="AN6098">
        <v>0.99999996683734005</v>
      </c>
    </row>
    <row r="6099" spans="1:40" x14ac:dyDescent="0.25">
      <c r="A6099" t="str">
        <f>"20190312151653042"</f>
        <v>20190312151653042</v>
      </c>
      <c r="B6099" t="str">
        <f>"1552375013034262"</f>
        <v>1552375013034262</v>
      </c>
      <c r="C6099" t="s">
        <v>40</v>
      </c>
      <c r="D6099">
        <v>4.2070319999999999</v>
      </c>
      <c r="E6099">
        <v>0.52671089999999998</v>
      </c>
      <c r="F6099" t="s">
        <v>64</v>
      </c>
      <c r="G6099">
        <v>-204.9102</v>
      </c>
      <c r="H6099" s="1">
        <v>-3.3173169999999998E-6</v>
      </c>
      <c r="I6099">
        <v>-61.275939999999999</v>
      </c>
      <c r="J6099">
        <v>-233.95820000000001</v>
      </c>
      <c r="K6099">
        <v>1.109286</v>
      </c>
      <c r="L6099">
        <v>-63.200069999999997</v>
      </c>
      <c r="M6099">
        <v>0.99987590000000004</v>
      </c>
      <c r="N6099">
        <v>0</v>
      </c>
      <c r="O6099">
        <v>1.213113E-2</v>
      </c>
      <c r="P6099">
        <v>0.99057729999999999</v>
      </c>
      <c r="Q6099">
        <v>2.7383339999999998E-3</v>
      </c>
      <c r="R6099">
        <v>0.1369281</v>
      </c>
      <c r="S6099">
        <v>3.0014189999999998</v>
      </c>
      <c r="T6099">
        <v>-0.1141278</v>
      </c>
      <c r="U6099">
        <v>0.19812009999999999</v>
      </c>
      <c r="V6099">
        <v>-0.1249001</v>
      </c>
      <c r="W6099">
        <v>1.273008E-2</v>
      </c>
      <c r="X6099">
        <v>0.99208770000000002</v>
      </c>
      <c r="Y6099">
        <v>-5.3725299999999997E-2</v>
      </c>
      <c r="Z6099">
        <v>5.5938089999999895E-4</v>
      </c>
      <c r="AA6099">
        <v>0.99855559999999999</v>
      </c>
      <c r="AB6099">
        <v>29</v>
      </c>
      <c r="AC6099">
        <v>29.047999999999998</v>
      </c>
      <c r="AD6099">
        <v>-1.109289317317</v>
      </c>
      <c r="AE6099">
        <v>1.9241299999999899</v>
      </c>
      <c r="AF6099">
        <v>-1.56930695725472</v>
      </c>
      <c r="AG6099">
        <v>-1.109289317317</v>
      </c>
      <c r="AH6099">
        <v>29.027059100392702</v>
      </c>
      <c r="AI6099">
        <v>92.185344890537806</v>
      </c>
      <c r="AJ6099">
        <v>93.094602708697806</v>
      </c>
      <c r="AK6099">
        <v>29.090606853988</v>
      </c>
      <c r="AL6099">
        <v>89.270600476197302</v>
      </c>
      <c r="AM6099">
        <v>97.175570881196606</v>
      </c>
      <c r="AN6099">
        <v>1.00000004720405</v>
      </c>
    </row>
    <row r="6100" spans="1:40" x14ac:dyDescent="0.25">
      <c r="A6100" t="str">
        <f>"20190312151653052"</f>
        <v>20190312151653052</v>
      </c>
      <c r="B6100" t="str">
        <f>"1552375013044023"</f>
        <v>1552375013044023</v>
      </c>
      <c r="C6100" t="s">
        <v>40</v>
      </c>
      <c r="D6100">
        <v>4.1998749999999996</v>
      </c>
      <c r="E6100">
        <v>0.52649619999999997</v>
      </c>
      <c r="F6100" t="s">
        <v>64</v>
      </c>
      <c r="G6100">
        <v>-203.91210000000001</v>
      </c>
      <c r="H6100" s="1">
        <v>-3.75612E-6</v>
      </c>
      <c r="I6100">
        <v>-61.189030000000002</v>
      </c>
      <c r="J6100">
        <v>-233.8152</v>
      </c>
      <c r="K6100">
        <v>1.1092850000000001</v>
      </c>
      <c r="L6100">
        <v>-63.198360000000001</v>
      </c>
      <c r="M6100">
        <v>0.99987570000000003</v>
      </c>
      <c r="N6100">
        <v>0</v>
      </c>
      <c r="O6100">
        <v>1.2131400000000001E-2</v>
      </c>
      <c r="P6100">
        <v>0.99051750000000005</v>
      </c>
      <c r="Q6100">
        <v>2.8851630000000001E-3</v>
      </c>
      <c r="R6100">
        <v>0.13735649999999999</v>
      </c>
      <c r="S6100">
        <v>3.0010680000000001</v>
      </c>
      <c r="T6100">
        <v>-0.11079799999999999</v>
      </c>
      <c r="U6100">
        <v>0.20086670000000001</v>
      </c>
      <c r="V6100">
        <v>-0.12532889999999999</v>
      </c>
      <c r="W6100">
        <v>1.2882660000000001E-2</v>
      </c>
      <c r="X6100">
        <v>0.99203160000000001</v>
      </c>
      <c r="Y6100">
        <v>-5.464364E-2</v>
      </c>
      <c r="Z6100">
        <v>5.6003689999999996E-4</v>
      </c>
      <c r="AA6100">
        <v>0.9985058</v>
      </c>
      <c r="AB6100">
        <v>29</v>
      </c>
      <c r="AC6100">
        <v>29.903099999999899</v>
      </c>
      <c r="AD6100">
        <v>-1.10928875612</v>
      </c>
      <c r="AE6100">
        <v>2.0093299999999901</v>
      </c>
      <c r="AF6100">
        <v>-1.6441448852126099</v>
      </c>
      <c r="AG6100">
        <v>-1.10928875612</v>
      </c>
      <c r="AH6100">
        <v>29.884336853149399</v>
      </c>
      <c r="AI6100">
        <v>92.1226021206664</v>
      </c>
      <c r="AJ6100">
        <v>93.149063986819698</v>
      </c>
      <c r="AK6100">
        <v>29.950080519099298</v>
      </c>
      <c r="AL6100">
        <v>89.261857531620507</v>
      </c>
      <c r="AM6100">
        <v>97.2003504479854</v>
      </c>
      <c r="AN6100">
        <v>0.999999995751222</v>
      </c>
    </row>
    <row r="6101" spans="1:40" x14ac:dyDescent="0.25">
      <c r="A6101" t="str">
        <f>"20190312151653063"</f>
        <v>20190312151653063</v>
      </c>
      <c r="B6101" t="str">
        <f>"1552375013053783"</f>
        <v>1552375013053783</v>
      </c>
      <c r="C6101" t="s">
        <v>40</v>
      </c>
      <c r="D6101">
        <v>4.1437460000000002</v>
      </c>
      <c r="E6101">
        <v>0.52688380000000001</v>
      </c>
      <c r="F6101" t="s">
        <v>64</v>
      </c>
      <c r="G6101">
        <v>-202.75470000000001</v>
      </c>
      <c r="H6101" s="1">
        <v>-4.340011E-6</v>
      </c>
      <c r="I6101">
        <v>-61.088569999999997</v>
      </c>
      <c r="J6101">
        <v>-233.68610000000001</v>
      </c>
      <c r="K6101">
        <v>1.109286</v>
      </c>
      <c r="L6101">
        <v>-63.196779999999997</v>
      </c>
      <c r="M6101">
        <v>0.99987570000000003</v>
      </c>
      <c r="N6101">
        <v>0</v>
      </c>
      <c r="O6101">
        <v>1.2131380000000001E-2</v>
      </c>
      <c r="P6101">
        <v>0.99048849999999999</v>
      </c>
      <c r="Q6101">
        <v>2.79474E-3</v>
      </c>
      <c r="R6101">
        <v>0.13756769999999999</v>
      </c>
      <c r="S6101">
        <v>3.0007480000000002</v>
      </c>
      <c r="T6101">
        <v>-0.10716820000000001</v>
      </c>
      <c r="U6101">
        <v>0.20382690000000001</v>
      </c>
      <c r="V6101">
        <v>-0.1255404</v>
      </c>
      <c r="W6101">
        <v>1.279683E-2</v>
      </c>
      <c r="X6101">
        <v>0.9920059</v>
      </c>
      <c r="Y6101">
        <v>-5.5632529999999999E-2</v>
      </c>
      <c r="Z6101">
        <v>5.593757E-4</v>
      </c>
      <c r="AA6101">
        <v>0.99845119999999998</v>
      </c>
      <c r="AB6101">
        <v>29</v>
      </c>
      <c r="AC6101">
        <v>30.9314</v>
      </c>
      <c r="AD6101">
        <v>-1.1092903400109999</v>
      </c>
      <c r="AE6101">
        <v>2.1082100000000001</v>
      </c>
      <c r="AF6101">
        <v>-1.7305797578179201</v>
      </c>
      <c r="AG6101">
        <v>-1.1092903400109999</v>
      </c>
      <c r="AH6101">
        <v>30.915122785729601</v>
      </c>
      <c r="AI6101">
        <v>92.051784774813001</v>
      </c>
      <c r="AJ6101">
        <v>93.2039834077043</v>
      </c>
      <c r="AK6101">
        <v>30.983386648546801</v>
      </c>
      <c r="AL6101">
        <v>89.266775584325003</v>
      </c>
      <c r="AM6101">
        <v>97.212558504472597</v>
      </c>
      <c r="AN6101">
        <v>0.99999992826250605</v>
      </c>
    </row>
    <row r="6102" spans="1:40" x14ac:dyDescent="0.25">
      <c r="A6102" t="str">
        <f>"20190312151653074"</f>
        <v>20190312151653074</v>
      </c>
      <c r="B6102" t="str">
        <f>"1552375013063543"</f>
        <v>1552375013063543</v>
      </c>
      <c r="C6102" t="s">
        <v>40</v>
      </c>
      <c r="D6102">
        <v>4.1798120000000001</v>
      </c>
      <c r="E6102">
        <v>0.52712119999999996</v>
      </c>
      <c r="F6102" t="s">
        <v>64</v>
      </c>
      <c r="G6102">
        <v>-201.96789999999999</v>
      </c>
      <c r="H6102" s="1">
        <v>-4.7397440000000001E-6</v>
      </c>
      <c r="I6102">
        <v>-61.068069999999999</v>
      </c>
      <c r="J6102">
        <v>-233.54730000000001</v>
      </c>
      <c r="K6102">
        <v>1.109281</v>
      </c>
      <c r="L6102">
        <v>-63.195099999999996</v>
      </c>
      <c r="M6102">
        <v>0.99987570000000003</v>
      </c>
      <c r="N6102">
        <v>0</v>
      </c>
      <c r="O6102">
        <v>1.213153E-2</v>
      </c>
      <c r="P6102">
        <v>0.99045939999999999</v>
      </c>
      <c r="Q6102">
        <v>2.976813E-3</v>
      </c>
      <c r="R6102">
        <v>0.13777249999999999</v>
      </c>
      <c r="S6102">
        <v>3.001144</v>
      </c>
      <c r="T6102">
        <v>-0.10496</v>
      </c>
      <c r="U6102">
        <v>0.20141600000000001</v>
      </c>
      <c r="V6102">
        <v>-0.12574540000000001</v>
      </c>
      <c r="W6102">
        <v>1.298421E-2</v>
      </c>
      <c r="X6102">
        <v>0.99197760000000001</v>
      </c>
      <c r="Y6102">
        <v>-5.4826609999999998E-2</v>
      </c>
      <c r="Z6102">
        <v>5.3372059999999999E-4</v>
      </c>
      <c r="AA6102">
        <v>0.99849580000000004</v>
      </c>
      <c r="AB6102">
        <v>29</v>
      </c>
      <c r="AC6102">
        <v>31.5794</v>
      </c>
      <c r="AD6102">
        <v>-1.1092857397439999</v>
      </c>
      <c r="AE6102">
        <v>2.1270299999999902</v>
      </c>
      <c r="AF6102">
        <v>-1.7416083299880101</v>
      </c>
      <c r="AG6102">
        <v>-1.1092857397439999</v>
      </c>
      <c r="AH6102">
        <v>31.5641102948065</v>
      </c>
      <c r="AI6102">
        <v>92.009713975358594</v>
      </c>
      <c r="AJ6102">
        <v>93.158198473974593</v>
      </c>
      <c r="AK6102">
        <v>31.631578732813701</v>
      </c>
      <c r="AL6102">
        <v>89.256038681826595</v>
      </c>
      <c r="AM6102">
        <v>97.224415774543502</v>
      </c>
      <c r="AN6102">
        <v>1.00000002711612</v>
      </c>
    </row>
    <row r="6103" spans="1:40" x14ac:dyDescent="0.25">
      <c r="A6103" t="str">
        <f>"20190312151653085"</f>
        <v>20190312151653085</v>
      </c>
      <c r="B6103" t="str">
        <f>"1552375013074279"</f>
        <v>1552375013074279</v>
      </c>
      <c r="C6103" t="s">
        <v>40</v>
      </c>
      <c r="D6103">
        <v>4.1555419999999996</v>
      </c>
      <c r="E6103">
        <v>0.52739749999999996</v>
      </c>
      <c r="F6103" t="s">
        <v>64</v>
      </c>
      <c r="G6103">
        <v>-202.60390000000001</v>
      </c>
      <c r="H6103" s="1">
        <v>-4.4192839999999998E-6</v>
      </c>
      <c r="I6103">
        <v>-61.130830000000003</v>
      </c>
      <c r="J6103">
        <v>-233.39689999999999</v>
      </c>
      <c r="K6103">
        <v>1.109281</v>
      </c>
      <c r="L6103">
        <v>-63.193269999999998</v>
      </c>
      <c r="M6103">
        <v>0.99987539999999997</v>
      </c>
      <c r="N6103">
        <v>0</v>
      </c>
      <c r="O6103">
        <v>1.213186E-2</v>
      </c>
      <c r="P6103">
        <v>0.99039670000000002</v>
      </c>
      <c r="Q6103">
        <v>2.9857680000000002E-3</v>
      </c>
      <c r="R6103">
        <v>0.1382215</v>
      </c>
      <c r="S6103">
        <v>3.0013730000000001</v>
      </c>
      <c r="T6103">
        <v>-0.107596</v>
      </c>
      <c r="U6103">
        <v>0.20022580000000001</v>
      </c>
      <c r="V6103">
        <v>-0.1261948</v>
      </c>
      <c r="W6103">
        <v>1.2998040000000001E-2</v>
      </c>
      <c r="X6103">
        <v>0.99192040000000004</v>
      </c>
      <c r="Y6103">
        <v>-5.4425939999999999E-2</v>
      </c>
      <c r="Z6103">
        <v>5.3989849999999998E-4</v>
      </c>
      <c r="AA6103">
        <v>0.99851769999999995</v>
      </c>
      <c r="AB6103">
        <v>29</v>
      </c>
      <c r="AC6103">
        <v>30.7929999999999</v>
      </c>
      <c r="AD6103">
        <v>-1.109285419284</v>
      </c>
      <c r="AE6103">
        <v>2.0624399999999898</v>
      </c>
      <c r="AF6103">
        <v>-1.6865139259759501</v>
      </c>
      <c r="AG6103">
        <v>-1.109285419284</v>
      </c>
      <c r="AH6103">
        <v>30.775995698882902</v>
      </c>
      <c r="AI6103">
        <v>92.061177075584396</v>
      </c>
      <c r="AJ6103">
        <v>93.136651631817898</v>
      </c>
      <c r="AK6103">
        <v>30.842126298645599</v>
      </c>
      <c r="AL6103">
        <v>89.255246252436905</v>
      </c>
      <c r="AM6103">
        <v>97.250374418212004</v>
      </c>
      <c r="AN6103">
        <v>1.0000000782635099</v>
      </c>
    </row>
    <row r="6104" spans="1:40" x14ac:dyDescent="0.25">
      <c r="A6104" t="str">
        <f>"20190312151653095"</f>
        <v>20190312151653095</v>
      </c>
      <c r="B6104" t="str">
        <f>"1552375013084038"</f>
        <v>1552375013084038</v>
      </c>
      <c r="C6104" t="s">
        <v>40</v>
      </c>
      <c r="D6104">
        <v>4.1643400000000002</v>
      </c>
      <c r="E6104">
        <v>0.52763939999999998</v>
      </c>
      <c r="F6104" t="s">
        <v>64</v>
      </c>
      <c r="G6104">
        <v>-203.27379999999999</v>
      </c>
      <c r="H6104" s="1">
        <v>-4.0815499999999999E-6</v>
      </c>
      <c r="I6104">
        <v>-61.192430000000002</v>
      </c>
      <c r="J6104">
        <v>-233.26439999999999</v>
      </c>
      <c r="K6104">
        <v>1.1092799999999901</v>
      </c>
      <c r="L6104">
        <v>-63.191650000000003</v>
      </c>
      <c r="M6104">
        <v>0.99987550000000003</v>
      </c>
      <c r="N6104">
        <v>0</v>
      </c>
      <c r="O6104">
        <v>1.213183E-2</v>
      </c>
      <c r="P6104">
        <v>0.9903807</v>
      </c>
      <c r="Q6104">
        <v>3.063339E-3</v>
      </c>
      <c r="R6104">
        <v>0.1383354</v>
      </c>
      <c r="S6104">
        <v>3.0015869999999998</v>
      </c>
      <c r="T6104">
        <v>-0.1105337</v>
      </c>
      <c r="U6104">
        <v>0.1993713</v>
      </c>
      <c r="V6104">
        <v>-0.12630910000000001</v>
      </c>
      <c r="W6104">
        <v>1.3080049999999999E-2</v>
      </c>
      <c r="X6104">
        <v>0.99190469999999997</v>
      </c>
      <c r="Y6104">
        <v>-5.4136940000000001E-2</v>
      </c>
      <c r="Z6104">
        <v>5.4928249999999996E-4</v>
      </c>
      <c r="AA6104">
        <v>0.99853340000000002</v>
      </c>
      <c r="AB6104">
        <v>29</v>
      </c>
      <c r="AC6104">
        <v>29.990600000000001</v>
      </c>
      <c r="AD6104">
        <v>-1.10928408154999</v>
      </c>
      <c r="AE6104">
        <v>1.99922</v>
      </c>
      <c r="AF6104">
        <v>-1.63298927790354</v>
      </c>
      <c r="AG6104">
        <v>-1.10928408154999</v>
      </c>
      <c r="AH6104">
        <v>29.971825295391401</v>
      </c>
      <c r="AI6104">
        <v>92.116464426850897</v>
      </c>
      <c r="AJ6104">
        <v>93.1186280974281</v>
      </c>
      <c r="AK6104">
        <v>30.036768745868599</v>
      </c>
      <c r="AL6104">
        <v>89.2505469716492</v>
      </c>
      <c r="AM6104">
        <v>97.256985054391507</v>
      </c>
      <c r="AN6104">
        <v>1.0000000051664499</v>
      </c>
    </row>
    <row r="6105" spans="1:40" x14ac:dyDescent="0.25">
      <c r="A6105" t="str">
        <f>"20190312151653107"</f>
        <v>20190312151653107</v>
      </c>
      <c r="B6105" t="str">
        <f>"1552375013103559"</f>
        <v>1552375013103559</v>
      </c>
      <c r="C6105" t="s">
        <v>40</v>
      </c>
      <c r="D6105">
        <v>4.1524619999999999</v>
      </c>
      <c r="E6105">
        <v>0.52758719999999903</v>
      </c>
      <c r="F6105" t="s">
        <v>64</v>
      </c>
      <c r="G6105">
        <v>-203.8305</v>
      </c>
      <c r="H6105" s="1">
        <v>-3.801302E-6</v>
      </c>
      <c r="I6105">
        <v>-61.251420000000003</v>
      </c>
      <c r="J6105">
        <v>-233.1103</v>
      </c>
      <c r="K6105">
        <v>1.1092789999999999</v>
      </c>
      <c r="L6105">
        <v>-63.18976</v>
      </c>
      <c r="M6105">
        <v>0.99987539999999997</v>
      </c>
      <c r="N6105">
        <v>0</v>
      </c>
      <c r="O6105">
        <v>1.2131980000000001E-2</v>
      </c>
      <c r="P6105">
        <v>0.99033870000000002</v>
      </c>
      <c r="Q6105">
        <v>2.9624109999999999E-3</v>
      </c>
      <c r="R6105">
        <v>0.13863839999999999</v>
      </c>
      <c r="S6105">
        <v>3.0018310000000001</v>
      </c>
      <c r="T6105">
        <v>-0.113131</v>
      </c>
      <c r="U6105">
        <v>0.197876</v>
      </c>
      <c r="V6105">
        <v>-0.12661240000000001</v>
      </c>
      <c r="W6105">
        <v>1.298421E-2</v>
      </c>
      <c r="X6105">
        <v>0.99186730000000001</v>
      </c>
      <c r="Y6105">
        <v>-5.3635179999999998E-2</v>
      </c>
      <c r="Z6105">
        <v>5.5269659999999997E-4</v>
      </c>
      <c r="AA6105">
        <v>0.99856040000000001</v>
      </c>
      <c r="AB6105">
        <v>29</v>
      </c>
      <c r="AC6105">
        <v>29.279799999999899</v>
      </c>
      <c r="AD6105">
        <v>-1.109282801302</v>
      </c>
      <c r="AE6105">
        <v>1.93834</v>
      </c>
      <c r="AF6105">
        <v>-1.58069836110197</v>
      </c>
      <c r="AG6105">
        <v>-1.109282801302</v>
      </c>
      <c r="AH6105">
        <v>29.259348786017501</v>
      </c>
      <c r="AI6105">
        <v>92.168004012837002</v>
      </c>
      <c r="AJ6105">
        <v>93.092324120011995</v>
      </c>
      <c r="AK6105">
        <v>29.323004740712999</v>
      </c>
      <c r="AL6105">
        <v>89.256038672943305</v>
      </c>
      <c r="AM6105">
        <v>97.274495822645804</v>
      </c>
      <c r="AN6105">
        <v>1.0000000151761801</v>
      </c>
    </row>
    <row r="6106" spans="1:40" x14ac:dyDescent="0.25">
      <c r="A6106" t="str">
        <f>"20190312151653118"</f>
        <v>20190312151653118</v>
      </c>
      <c r="B6106" t="str">
        <f>"1552375013114295"</f>
        <v>1552375013114295</v>
      </c>
      <c r="C6106" t="s">
        <v>40</v>
      </c>
      <c r="D6106">
        <v>4.2331560000000001</v>
      </c>
      <c r="E6106">
        <v>0.52770169999999905</v>
      </c>
      <c r="F6106" t="s">
        <v>64</v>
      </c>
      <c r="G6106">
        <v>-203.01920000000001</v>
      </c>
      <c r="H6106" s="1">
        <v>-4.2112980000000002E-6</v>
      </c>
      <c r="I6106">
        <v>-61.193269999999998</v>
      </c>
      <c r="J6106">
        <v>-232.96879999999999</v>
      </c>
      <c r="K6106">
        <v>1.1092820000000001</v>
      </c>
      <c r="L6106">
        <v>-63.188049999999997</v>
      </c>
      <c r="M6106">
        <v>0.99987539999999997</v>
      </c>
      <c r="N6106">
        <v>0</v>
      </c>
      <c r="O6106">
        <v>1.213214E-2</v>
      </c>
      <c r="P6106">
        <v>0.99029639999999997</v>
      </c>
      <c r="Q6106">
        <v>2.7999119999999999E-3</v>
      </c>
      <c r="R6106">
        <v>0.13894400000000001</v>
      </c>
      <c r="S6106">
        <v>3.001709</v>
      </c>
      <c r="T6106">
        <v>-0.1106558</v>
      </c>
      <c r="U6106">
        <v>0.19915769999999999</v>
      </c>
      <c r="V6106">
        <v>-0.12691820000000001</v>
      </c>
      <c r="W6106">
        <v>1.2825919999999999E-2</v>
      </c>
      <c r="X6106">
        <v>0.99183030000000005</v>
      </c>
      <c r="Y6106">
        <v>-5.4063199999999902E-2</v>
      </c>
      <c r="Z6106">
        <v>5.4849919999999999E-4</v>
      </c>
      <c r="AA6106">
        <v>0.99853740000000002</v>
      </c>
      <c r="AB6106">
        <v>29</v>
      </c>
      <c r="AC6106">
        <v>29.949599999999901</v>
      </c>
      <c r="AD6106">
        <v>-1.109286211298</v>
      </c>
      <c r="AE6106">
        <v>1.99477999999999</v>
      </c>
      <c r="AF6106">
        <v>-1.6290369863834899</v>
      </c>
      <c r="AG6106">
        <v>-1.109286211298</v>
      </c>
      <c r="AH6106">
        <v>29.9307187820243</v>
      </c>
      <c r="AI6106">
        <v>92.119379150124303</v>
      </c>
      <c r="AJ6106">
        <v>93.115359321284004</v>
      </c>
      <c r="AK6106">
        <v>29.9955364047754</v>
      </c>
      <c r="AL6106">
        <v>89.265108794459906</v>
      </c>
      <c r="AM6106">
        <v>97.292145728624106</v>
      </c>
      <c r="AN6106">
        <v>1.00000003885658</v>
      </c>
    </row>
    <row r="6107" spans="1:40" x14ac:dyDescent="0.25">
      <c r="A6107" t="str">
        <f>"20190312151653129"</f>
        <v>20190312151653129</v>
      </c>
      <c r="B6107" t="str">
        <f>"1552375013123586"</f>
        <v>1552375013123586</v>
      </c>
      <c r="C6107" t="s">
        <v>40</v>
      </c>
      <c r="D6107">
        <v>4.1648329999999998</v>
      </c>
      <c r="E6107">
        <v>0.527779199999999</v>
      </c>
      <c r="F6107" t="s">
        <v>64</v>
      </c>
      <c r="G6107">
        <v>-202.9188</v>
      </c>
      <c r="H6107" s="1">
        <v>-4.2625229999999998E-6</v>
      </c>
      <c r="I6107">
        <v>-61.194020000000002</v>
      </c>
      <c r="J6107">
        <v>-232.8201</v>
      </c>
      <c r="K6107">
        <v>1.1092820000000001</v>
      </c>
      <c r="L6107">
        <v>-63.186250000000001</v>
      </c>
      <c r="M6107">
        <v>0.99987550000000003</v>
      </c>
      <c r="N6107">
        <v>0</v>
      </c>
      <c r="O6107">
        <v>1.213211E-2</v>
      </c>
      <c r="P6107">
        <v>0.9902898</v>
      </c>
      <c r="Q6107">
        <v>2.8475089999999998E-3</v>
      </c>
      <c r="R6107">
        <v>0.13899059999999999</v>
      </c>
      <c r="S6107">
        <v>3.0017550000000002</v>
      </c>
      <c r="T6107">
        <v>-0.110809</v>
      </c>
      <c r="U6107">
        <v>0.19918820000000001</v>
      </c>
      <c r="V6107">
        <v>-0.12696489999999999</v>
      </c>
      <c r="W6107">
        <v>1.287836E-2</v>
      </c>
      <c r="X6107">
        <v>0.99182360000000003</v>
      </c>
      <c r="Y6107">
        <v>-5.4072240000000001E-2</v>
      </c>
      <c r="Z6107">
        <v>5.4941690000000004E-4</v>
      </c>
      <c r="AA6107">
        <v>0.99853689999999995</v>
      </c>
      <c r="AB6107">
        <v>29</v>
      </c>
      <c r="AC6107">
        <v>29.9012999999999</v>
      </c>
      <c r="AD6107">
        <v>-1.10928626252299</v>
      </c>
      <c r="AE6107">
        <v>1.9922299999999999</v>
      </c>
      <c r="AF6107">
        <v>-1.6270696286914601</v>
      </c>
      <c r="AG6107">
        <v>-1.10928626252299</v>
      </c>
      <c r="AH6107">
        <v>29.8823256021094</v>
      </c>
      <c r="AI6107">
        <v>92.122805788958502</v>
      </c>
      <c r="AJ6107">
        <v>93.116633544753398</v>
      </c>
      <c r="AK6107">
        <v>29.9471410151172</v>
      </c>
      <c r="AL6107">
        <v>89.262103923914495</v>
      </c>
      <c r="AM6107">
        <v>97.294848749720501</v>
      </c>
      <c r="AN6107">
        <v>0.99999999575262899</v>
      </c>
    </row>
    <row r="6108" spans="1:40" x14ac:dyDescent="0.25">
      <c r="A6108" t="str">
        <f>"20190312151653141"</f>
        <v>20190312151653141</v>
      </c>
      <c r="B6108" t="str">
        <f>"1552375013134322"</f>
        <v>1552375013134322</v>
      </c>
      <c r="C6108" t="s">
        <v>40</v>
      </c>
      <c r="D6108">
        <v>4.1572649999999998</v>
      </c>
      <c r="E6108">
        <v>0.52781820000000002</v>
      </c>
      <c r="F6108" t="s">
        <v>64</v>
      </c>
      <c r="G6108">
        <v>-202.6541</v>
      </c>
      <c r="H6108" s="1">
        <v>-4.3971440000000002E-6</v>
      </c>
      <c r="I6108">
        <v>-61.189480000000003</v>
      </c>
      <c r="J6108">
        <v>-232.67679999999999</v>
      </c>
      <c r="K6108">
        <v>1.1092820000000001</v>
      </c>
      <c r="L6108">
        <v>-63.184510000000003</v>
      </c>
      <c r="M6108">
        <v>0.99987519999999996</v>
      </c>
      <c r="N6108">
        <v>0</v>
      </c>
      <c r="O6108">
        <v>1.2132560000000001E-2</v>
      </c>
      <c r="P6108">
        <v>0.99027679999999996</v>
      </c>
      <c r="Q6108">
        <v>3.0547529999999999E-3</v>
      </c>
      <c r="R6108">
        <v>0.13907710000000001</v>
      </c>
      <c r="S6108">
        <v>3.0018310000000001</v>
      </c>
      <c r="T6108">
        <v>-0.1103855</v>
      </c>
      <c r="U6108">
        <v>0.19869999999999999</v>
      </c>
      <c r="V6108">
        <v>-0.12705159999999999</v>
      </c>
      <c r="W6108">
        <v>1.309197E-2</v>
      </c>
      <c r="X6108">
        <v>0.99180970000000002</v>
      </c>
      <c r="Y6108">
        <v>-5.390872E-2</v>
      </c>
      <c r="Z6108">
        <v>5.4428919999999995E-4</v>
      </c>
      <c r="AA6108">
        <v>0.99854569999999998</v>
      </c>
      <c r="AB6108">
        <v>29</v>
      </c>
      <c r="AC6108">
        <v>30.022699999999901</v>
      </c>
      <c r="AD6108">
        <v>-1.1092863971439999</v>
      </c>
      <c r="AE6108">
        <v>1.9950299999999901</v>
      </c>
      <c r="AF6108">
        <v>-1.6283990145407701</v>
      </c>
      <c r="AG6108">
        <v>-1.1092863971439999</v>
      </c>
      <c r="AH6108">
        <v>30.003915617646001</v>
      </c>
      <c r="AI6108">
        <v>92.114231447521902</v>
      </c>
      <c r="AJ6108">
        <v>93.106559383222304</v>
      </c>
      <c r="AK6108">
        <v>30.068540903280802</v>
      </c>
      <c r="AL6108">
        <v>89.2498639397581</v>
      </c>
      <c r="AM6108">
        <v>97.299877641517497</v>
      </c>
      <c r="AN6108">
        <v>0.99999999487756497</v>
      </c>
    </row>
    <row r="6109" spans="1:40" x14ac:dyDescent="0.25">
      <c r="A6109" t="str">
        <f>"20190312151653150"</f>
        <v>20190312151653150</v>
      </c>
      <c r="B6109" t="str">
        <f>"1552375013144082"</f>
        <v>1552375013144082</v>
      </c>
      <c r="C6109" t="s">
        <v>40</v>
      </c>
      <c r="D6109">
        <v>4.1506530000000001</v>
      </c>
      <c r="E6109">
        <v>0.52785029999999999</v>
      </c>
      <c r="F6109" t="s">
        <v>64</v>
      </c>
      <c r="G6109">
        <v>-203.00630000000001</v>
      </c>
      <c r="H6109" s="1">
        <v>-4.2194940000000003E-6</v>
      </c>
      <c r="I6109">
        <v>-61.220570000000002</v>
      </c>
      <c r="J6109">
        <v>-232.54159999999999</v>
      </c>
      <c r="K6109">
        <v>1.109283</v>
      </c>
      <c r="L6109">
        <v>-63.182859999999998</v>
      </c>
      <c r="M6109">
        <v>0.99987519999999996</v>
      </c>
      <c r="N6109">
        <v>0</v>
      </c>
      <c r="O6109">
        <v>1.2132520000000001E-2</v>
      </c>
      <c r="P6109">
        <v>0.99024959999999995</v>
      </c>
      <c r="Q6109">
        <v>2.9947540000000001E-3</v>
      </c>
      <c r="R6109">
        <v>0.1392726</v>
      </c>
      <c r="S6109">
        <v>3.0018919999999998</v>
      </c>
      <c r="T6109">
        <v>-0.11223130000000001</v>
      </c>
      <c r="U6109">
        <v>0.19869999999999999</v>
      </c>
      <c r="V6109">
        <v>-0.127247</v>
      </c>
      <c r="W6109">
        <v>1.303809E-2</v>
      </c>
      <c r="X6109">
        <v>0.99178529999999998</v>
      </c>
      <c r="Y6109">
        <v>-5.390648E-2</v>
      </c>
      <c r="Z6109">
        <v>5.5333219999999998E-4</v>
      </c>
      <c r="AA6109">
        <v>0.99854580000000004</v>
      </c>
      <c r="AB6109">
        <v>29</v>
      </c>
      <c r="AC6109">
        <v>29.5352999999999</v>
      </c>
      <c r="AD6109">
        <v>-1.109287219494</v>
      </c>
      <c r="AE6109">
        <v>1.9622900000000001</v>
      </c>
      <c r="AF6109">
        <v>-1.6015403817706799</v>
      </c>
      <c r="AG6109">
        <v>-1.109287219494</v>
      </c>
      <c r="AH6109">
        <v>29.515482971082399</v>
      </c>
      <c r="AI6109">
        <v>92.149188923699697</v>
      </c>
      <c r="AJ6109">
        <v>93.105881983988198</v>
      </c>
      <c r="AK6109">
        <v>29.579709003741499</v>
      </c>
      <c r="AL6109">
        <v>89.252951255933098</v>
      </c>
      <c r="AM6109">
        <v>97.311161088737904</v>
      </c>
      <c r="AN6109">
        <v>0.999999936047967</v>
      </c>
    </row>
    <row r="6110" spans="1:40" x14ac:dyDescent="0.25">
      <c r="A6110" t="str">
        <f>"20190312151653162"</f>
        <v>20190312151653162</v>
      </c>
      <c r="B6110" t="str">
        <f>"1552375013153843"</f>
        <v>1552375013153843</v>
      </c>
      <c r="C6110" t="s">
        <v>40</v>
      </c>
      <c r="D6110">
        <v>4.1372900000000001</v>
      </c>
      <c r="E6110">
        <v>0.52789180000000002</v>
      </c>
      <c r="F6110" t="s">
        <v>64</v>
      </c>
      <c r="G6110">
        <v>-203.67449999999999</v>
      </c>
      <c r="H6110" s="1">
        <v>-3.8818370000000002E-6</v>
      </c>
      <c r="I6110">
        <v>-61.269469999999998</v>
      </c>
      <c r="J6110">
        <v>-232.40190000000001</v>
      </c>
      <c r="K6110">
        <v>1.1092839999999999</v>
      </c>
      <c r="L6110">
        <v>-63.181179999999998</v>
      </c>
      <c r="M6110">
        <v>0.99987510000000002</v>
      </c>
      <c r="N6110">
        <v>0</v>
      </c>
      <c r="O6110">
        <v>1.213266E-2</v>
      </c>
      <c r="P6110">
        <v>0.99023439999999996</v>
      </c>
      <c r="Q6110">
        <v>3.2503499999999999E-3</v>
      </c>
      <c r="R6110">
        <v>0.139374</v>
      </c>
      <c r="S6110">
        <v>3.0019070000000001</v>
      </c>
      <c r="T6110">
        <v>-0.115355399999999</v>
      </c>
      <c r="U6110">
        <v>0.1989746</v>
      </c>
      <c r="V6110">
        <v>-0.12734870000000001</v>
      </c>
      <c r="W6110">
        <v>1.330128E-2</v>
      </c>
      <c r="X6110">
        <v>0.99176880000000001</v>
      </c>
      <c r="Y6110">
        <v>-5.3995260000000003E-2</v>
      </c>
      <c r="Z6110">
        <v>5.7041730000000003E-4</v>
      </c>
      <c r="AA6110">
        <v>0.99854109999999996</v>
      </c>
      <c r="AB6110">
        <v>29</v>
      </c>
      <c r="AC6110">
        <v>28.727399999999999</v>
      </c>
      <c r="AD6110">
        <v>-1.109287881837</v>
      </c>
      <c r="AE6110">
        <v>1.91171</v>
      </c>
      <c r="AF6110">
        <v>-1.56069478802662</v>
      </c>
      <c r="AG6110">
        <v>-1.109287881837</v>
      </c>
      <c r="AH6110">
        <v>28.705867130321899</v>
      </c>
      <c r="AI6110">
        <v>92.2097335191594</v>
      </c>
      <c r="AJ6110">
        <v>93.112021395092995</v>
      </c>
      <c r="AK6110">
        <v>28.769655811807301</v>
      </c>
      <c r="AL6110">
        <v>89.237870307414596</v>
      </c>
      <c r="AM6110">
        <v>97.317061523389398</v>
      </c>
      <c r="AN6110">
        <v>0.99999998404738399</v>
      </c>
    </row>
    <row r="6111" spans="1:40" x14ac:dyDescent="0.25">
      <c r="A6111" t="str">
        <f>"20190312151653173"</f>
        <v>20190312151653173</v>
      </c>
      <c r="B6111" t="str">
        <f>"1552375013163602"</f>
        <v>1552375013163602</v>
      </c>
      <c r="C6111" t="s">
        <v>40</v>
      </c>
      <c r="D6111">
        <v>4.1378009999999996</v>
      </c>
      <c r="E6111">
        <v>0.52790899999999996</v>
      </c>
      <c r="F6111" t="s">
        <v>64</v>
      </c>
      <c r="G6111">
        <v>-203.7449</v>
      </c>
      <c r="H6111" s="1">
        <v>-3.8466510000000001E-6</v>
      </c>
      <c r="I6111">
        <v>-61.280859999999997</v>
      </c>
      <c r="J6111">
        <v>-232.25399999999999</v>
      </c>
      <c r="K6111">
        <v>1.1092869999999999</v>
      </c>
      <c r="L6111">
        <v>-63.179380000000002</v>
      </c>
      <c r="M6111">
        <v>0.99987499999999996</v>
      </c>
      <c r="N6111">
        <v>0</v>
      </c>
      <c r="O6111">
        <v>1.213291E-2</v>
      </c>
      <c r="P6111">
        <v>0.99020839999999999</v>
      </c>
      <c r="Q6111">
        <v>3.381317E-3</v>
      </c>
      <c r="R6111">
        <v>0.13955699999999999</v>
      </c>
      <c r="S6111">
        <v>3.0019529999999999</v>
      </c>
      <c r="T6111">
        <v>-0.11620279999999999</v>
      </c>
      <c r="U6111">
        <v>0.1990662</v>
      </c>
      <c r="V6111">
        <v>-0.12753149999999999</v>
      </c>
      <c r="W6111">
        <v>1.3440509999999999E-2</v>
      </c>
      <c r="X6111">
        <v>0.99174340000000005</v>
      </c>
      <c r="Y6111">
        <v>-5.4023849999999998E-2</v>
      </c>
      <c r="Z6111">
        <v>5.7513810000000003E-4</v>
      </c>
      <c r="AA6111">
        <v>0.99853950000000002</v>
      </c>
      <c r="AB6111">
        <v>29</v>
      </c>
      <c r="AC6111">
        <v>28.5091</v>
      </c>
      <c r="AD6111">
        <v>-1.1092908466509901</v>
      </c>
      <c r="AE6111">
        <v>1.89852</v>
      </c>
      <c r="AF6111">
        <v>-1.5501276008040299</v>
      </c>
      <c r="AG6111">
        <v>-1.1092908466509901</v>
      </c>
      <c r="AH6111">
        <v>28.4870982418784</v>
      </c>
      <c r="AI6111">
        <v>92.226686649217299</v>
      </c>
      <c r="AJ6111">
        <v>93.114682398061603</v>
      </c>
      <c r="AK6111">
        <v>28.550800128957398</v>
      </c>
      <c r="AL6111">
        <v>89.229892277353002</v>
      </c>
      <c r="AM6111">
        <v>97.327636204564499</v>
      </c>
      <c r="AN6111">
        <v>0.99999995112243401</v>
      </c>
    </row>
    <row r="6112" spans="1:40" x14ac:dyDescent="0.25">
      <c r="A6112" t="str">
        <f>"20190312151653184"</f>
        <v>20190312151653184</v>
      </c>
      <c r="B6112" t="str">
        <f>"1552375013174339"</f>
        <v>1552375013174339</v>
      </c>
      <c r="C6112" t="s">
        <v>40</v>
      </c>
      <c r="D6112">
        <v>4.1661669999999997</v>
      </c>
      <c r="E6112">
        <v>0.52796730000000003</v>
      </c>
      <c r="F6112" t="s">
        <v>64</v>
      </c>
      <c r="G6112">
        <v>-204.05619999999999</v>
      </c>
      <c r="H6112" s="1">
        <v>-3.6894359999999999E-6</v>
      </c>
      <c r="I6112">
        <v>-61.305500000000002</v>
      </c>
      <c r="J6112">
        <v>-232.102</v>
      </c>
      <c r="K6112">
        <v>1.1092879999999901</v>
      </c>
      <c r="L6112">
        <v>-63.177520000000001</v>
      </c>
      <c r="M6112">
        <v>0.99987499999999996</v>
      </c>
      <c r="N6112">
        <v>0</v>
      </c>
      <c r="O6112">
        <v>1.213287E-2</v>
      </c>
      <c r="P6112">
        <v>0.99019009999999996</v>
      </c>
      <c r="Q6112">
        <v>3.4249749999999998E-3</v>
      </c>
      <c r="R6112">
        <v>0.13968620000000001</v>
      </c>
      <c r="S6112">
        <v>3.001938</v>
      </c>
      <c r="T6112">
        <v>-0.1180952</v>
      </c>
      <c r="U6112">
        <v>0.19949339999999999</v>
      </c>
      <c r="V6112">
        <v>-0.127661</v>
      </c>
      <c r="W6112">
        <v>1.3493430000000001E-2</v>
      </c>
      <c r="X6112">
        <v>0.991726</v>
      </c>
      <c r="Y6112">
        <v>-5.4164589999999999E-2</v>
      </c>
      <c r="Z6112">
        <v>5.8726340000000001E-4</v>
      </c>
      <c r="AA6112">
        <v>0.99853190000000003</v>
      </c>
      <c r="AB6112">
        <v>29</v>
      </c>
      <c r="AC6112">
        <v>28.0458</v>
      </c>
      <c r="AD6112">
        <v>-1.1092916894360001</v>
      </c>
      <c r="AE6112">
        <v>1.87201999999999</v>
      </c>
      <c r="AF6112">
        <v>-1.5292069366100201</v>
      </c>
      <c r="AG6112">
        <v>-1.1092916894360001</v>
      </c>
      <c r="AH6112">
        <v>28.022804360890301</v>
      </c>
      <c r="AI6112">
        <v>92.263523963339694</v>
      </c>
      <c r="AJ6112">
        <v>93.123537741151907</v>
      </c>
      <c r="AK6112">
        <v>28.0864124828352</v>
      </c>
      <c r="AL6112">
        <v>89.226859894258993</v>
      </c>
      <c r="AM6112">
        <v>97.335123246504196</v>
      </c>
      <c r="AN6112">
        <v>0.99999993132508003</v>
      </c>
    </row>
    <row r="6113" spans="1:40" x14ac:dyDescent="0.25">
      <c r="A6113" t="str">
        <f>"20190312151653195"</f>
        <v>20190312151653195</v>
      </c>
      <c r="B6113" t="str">
        <f>"1552375013184099"</f>
        <v>1552375013184099</v>
      </c>
      <c r="C6113" t="s">
        <v>40</v>
      </c>
      <c r="D6113">
        <v>4.1785410000000001</v>
      </c>
      <c r="E6113">
        <v>0.52798679999999998</v>
      </c>
      <c r="F6113" t="s">
        <v>64</v>
      </c>
      <c r="G6113">
        <v>-204.4041</v>
      </c>
      <c r="H6113" s="1">
        <v>-3.5140179999999998E-6</v>
      </c>
      <c r="I6113">
        <v>-61.337179999999996</v>
      </c>
      <c r="J6113">
        <v>-231.96080000000001</v>
      </c>
      <c r="K6113">
        <v>1.1092869999999999</v>
      </c>
      <c r="L6113">
        <v>-63.175809999999998</v>
      </c>
      <c r="M6113">
        <v>0.99987490000000001</v>
      </c>
      <c r="N6113">
        <v>0</v>
      </c>
      <c r="O6113">
        <v>1.2133E-2</v>
      </c>
      <c r="P6113">
        <v>0.99018099999999998</v>
      </c>
      <c r="Q6113">
        <v>3.6260089999999999E-3</v>
      </c>
      <c r="R6113">
        <v>0.1397456</v>
      </c>
      <c r="S6113">
        <v>3.0019990000000001</v>
      </c>
      <c r="T6113">
        <v>-0.12022919999999999</v>
      </c>
      <c r="U6113">
        <v>0.1994629</v>
      </c>
      <c r="V6113">
        <v>-0.12772020000000001</v>
      </c>
      <c r="W6113">
        <v>1.370274E-2</v>
      </c>
      <c r="X6113">
        <v>0.99171560000000003</v>
      </c>
      <c r="Y6113">
        <v>-5.4151850000000001E-2</v>
      </c>
      <c r="Z6113">
        <v>5.9759509999999995E-4</v>
      </c>
      <c r="AA6113">
        <v>0.99853250000000005</v>
      </c>
      <c r="AB6113">
        <v>29</v>
      </c>
      <c r="AC6113">
        <v>27.556699999999999</v>
      </c>
      <c r="AD6113">
        <v>-1.1092905140180001</v>
      </c>
      <c r="AE6113">
        <v>1.83862999999999</v>
      </c>
      <c r="AF6113">
        <v>-1.5017093292516399</v>
      </c>
      <c r="AG6113">
        <v>-1.1092905140180001</v>
      </c>
      <c r="AH6113">
        <v>27.532563195122702</v>
      </c>
      <c r="AI6113">
        <v>92.303785872443697</v>
      </c>
      <c r="AJ6113">
        <v>93.121991768983605</v>
      </c>
      <c r="AK6113">
        <v>27.595791208941201</v>
      </c>
      <c r="AL6113">
        <v>89.214866276812799</v>
      </c>
      <c r="AM6113">
        <v>97.338563798509</v>
      </c>
      <c r="AN6113">
        <v>1.0000000229274499</v>
      </c>
    </row>
    <row r="6114" spans="1:40" x14ac:dyDescent="0.25">
      <c r="A6114" t="str">
        <f>"20190312151653206"</f>
        <v>20190312151653206</v>
      </c>
      <c r="B6114" t="str">
        <f>"1552375013203618"</f>
        <v>1552375013203618</v>
      </c>
      <c r="C6114" t="s">
        <v>40</v>
      </c>
      <c r="D6114">
        <v>4.1649609999999999</v>
      </c>
      <c r="E6114">
        <v>0.52804119999999999</v>
      </c>
      <c r="F6114" t="s">
        <v>64</v>
      </c>
      <c r="G6114">
        <v>-204.6001</v>
      </c>
      <c r="H6114" s="1">
        <v>-3.436351E-6</v>
      </c>
      <c r="I6114">
        <v>-61.357610000000001</v>
      </c>
      <c r="J6114">
        <v>-231.81729999999999</v>
      </c>
      <c r="K6114">
        <v>1.109291</v>
      </c>
      <c r="L6114">
        <v>-63.174069999999901</v>
      </c>
      <c r="M6114">
        <v>0.99987479999999995</v>
      </c>
      <c r="N6114">
        <v>0</v>
      </c>
      <c r="O6114">
        <v>1.213332E-2</v>
      </c>
      <c r="P6114">
        <v>0.99015799999999998</v>
      </c>
      <c r="Q6114">
        <v>3.4906429999999999E-3</v>
      </c>
      <c r="R6114">
        <v>0.1399117</v>
      </c>
      <c r="S6114">
        <v>3.0020289999999998</v>
      </c>
      <c r="T6114">
        <v>-0.1217115</v>
      </c>
      <c r="U6114">
        <v>0.19949339999999999</v>
      </c>
      <c r="V6114">
        <v>-0.12788640000000001</v>
      </c>
      <c r="W6114">
        <v>1.357496E-2</v>
      </c>
      <c r="X6114">
        <v>0.99169589999999996</v>
      </c>
      <c r="Y6114">
        <v>-5.4160109999999997E-2</v>
      </c>
      <c r="Z6114">
        <v>6.0510449999999895E-4</v>
      </c>
      <c r="AA6114">
        <v>0.99853210000000003</v>
      </c>
      <c r="AB6114">
        <v>29</v>
      </c>
      <c r="AC6114">
        <v>27.217199999999899</v>
      </c>
      <c r="AD6114">
        <v>-1.109294436351</v>
      </c>
      <c r="AE6114">
        <v>1.81645999999999</v>
      </c>
      <c r="AF6114">
        <v>-1.48362066477118</v>
      </c>
      <c r="AG6114">
        <v>-1.109294436351</v>
      </c>
      <c r="AH6114">
        <v>27.192267206885901</v>
      </c>
      <c r="AI6114">
        <v>92.332590851197295</v>
      </c>
      <c r="AJ6114">
        <v>93.122983579511697</v>
      </c>
      <c r="AK6114">
        <v>27.255294169649702</v>
      </c>
      <c r="AL6114">
        <v>89.222188182472493</v>
      </c>
      <c r="AM6114">
        <v>97.348153413456004</v>
      </c>
      <c r="AN6114">
        <v>0.99999998446038496</v>
      </c>
    </row>
    <row r="6115" spans="1:40" x14ac:dyDescent="0.25">
      <c r="A6115" t="str">
        <f>"20190312151653218"</f>
        <v>20190312151653218</v>
      </c>
      <c r="B6115" t="str">
        <f>"1552375013214354"</f>
        <v>1552375013214354</v>
      </c>
      <c r="C6115" t="s">
        <v>40</v>
      </c>
      <c r="D6115">
        <v>4.170928</v>
      </c>
      <c r="E6115">
        <v>0.52801290000000001</v>
      </c>
      <c r="F6115" t="s">
        <v>64</v>
      </c>
      <c r="G6115">
        <v>-205.3871</v>
      </c>
      <c r="H6115" s="1">
        <v>-3.0475559999999999E-6</v>
      </c>
      <c r="I6115">
        <v>-61.417180000000002</v>
      </c>
      <c r="J6115">
        <v>-231.66380000000001</v>
      </c>
      <c r="K6115">
        <v>1.109294</v>
      </c>
      <c r="L6115">
        <v>-63.17221</v>
      </c>
      <c r="M6115">
        <v>0.99987470000000001</v>
      </c>
      <c r="N6115">
        <v>0</v>
      </c>
      <c r="O6115">
        <v>1.213345E-2</v>
      </c>
      <c r="P6115">
        <v>0.99012659999999997</v>
      </c>
      <c r="Q6115">
        <v>3.044326E-3</v>
      </c>
      <c r="R6115">
        <v>0.1401435</v>
      </c>
      <c r="S6115">
        <v>3.0020449999999999</v>
      </c>
      <c r="T6115">
        <v>-0.1259979</v>
      </c>
      <c r="U6115">
        <v>0.19955439999999999</v>
      </c>
      <c r="V6115">
        <v>-0.12811839999999999</v>
      </c>
      <c r="W6115">
        <v>1.313631E-2</v>
      </c>
      <c r="X6115">
        <v>0.99167190000000005</v>
      </c>
      <c r="Y6115">
        <v>-5.4177370000000002E-2</v>
      </c>
      <c r="Z6115">
        <v>6.2674900000000001E-4</v>
      </c>
      <c r="AA6115">
        <v>0.9985311</v>
      </c>
      <c r="AB6115">
        <v>29</v>
      </c>
      <c r="AC6115">
        <v>26.276700000000002</v>
      </c>
      <c r="AD6115">
        <v>-1.109297047556</v>
      </c>
      <c r="AE6115">
        <v>1.7550299999999901</v>
      </c>
      <c r="AF6115">
        <v>-1.4335138409111401</v>
      </c>
      <c r="AG6115">
        <v>-1.109297047556</v>
      </c>
      <c r="AH6115">
        <v>26.249487344867902</v>
      </c>
      <c r="AI6115">
        <v>92.416269916079699</v>
      </c>
      <c r="AJ6115">
        <v>93.125881505709003</v>
      </c>
      <c r="AK6115">
        <v>26.311995130361701</v>
      </c>
      <c r="AL6115">
        <v>89.247323246926797</v>
      </c>
      <c r="AM6115">
        <v>97.361513891297705</v>
      </c>
      <c r="AN6115">
        <v>1.00000002215429</v>
      </c>
    </row>
    <row r="6116" spans="1:40" x14ac:dyDescent="0.25">
      <c r="A6116" t="str">
        <f>"20190312151653228"</f>
        <v>20190312151653228</v>
      </c>
      <c r="B6116" t="str">
        <f>"1552375013223646"</f>
        <v>1552375013223646</v>
      </c>
      <c r="C6116" t="s">
        <v>40</v>
      </c>
      <c r="D6116">
        <v>4.1961240000000002</v>
      </c>
      <c r="E6116">
        <v>0.52794160000000001</v>
      </c>
      <c r="F6116" t="s">
        <v>64</v>
      </c>
      <c r="G6116">
        <v>-205.8116</v>
      </c>
      <c r="H6116" s="1">
        <v>-2.7816810000000001E-6</v>
      </c>
      <c r="I6116">
        <v>-61.445549999999997</v>
      </c>
      <c r="J6116">
        <v>-231.52379999999999</v>
      </c>
      <c r="K6116">
        <v>1.109294</v>
      </c>
      <c r="L6116">
        <v>-63.170499999999997</v>
      </c>
      <c r="M6116">
        <v>0.9998745</v>
      </c>
      <c r="N6116">
        <v>0</v>
      </c>
      <c r="O6116">
        <v>1.213353E-2</v>
      </c>
      <c r="P6116">
        <v>0.99007489999999998</v>
      </c>
      <c r="Q6116">
        <v>2.9576799999999999E-3</v>
      </c>
      <c r="R6116">
        <v>0.1405101</v>
      </c>
      <c r="S6116">
        <v>3.0019529999999999</v>
      </c>
      <c r="T6116">
        <v>-0.1288117</v>
      </c>
      <c r="U6116">
        <v>0.2005005</v>
      </c>
      <c r="V6116">
        <v>-0.1284855</v>
      </c>
      <c r="W6116">
        <v>1.305716E-2</v>
      </c>
      <c r="X6116">
        <v>0.99162539999999999</v>
      </c>
      <c r="Y6116">
        <v>-5.4490660000000003E-2</v>
      </c>
      <c r="Z6116">
        <v>6.4745349999999896E-4</v>
      </c>
      <c r="AA6116">
        <v>0.99851409999999996</v>
      </c>
      <c r="AB6116">
        <v>29</v>
      </c>
      <c r="AC6116">
        <v>25.712199999999999</v>
      </c>
      <c r="AD6116">
        <v>-1.109296781681</v>
      </c>
      <c r="AE6116">
        <v>1.72494999999999</v>
      </c>
      <c r="AF6116">
        <v>-1.41021399453736</v>
      </c>
      <c r="AG6116">
        <v>-1.109296781681</v>
      </c>
      <c r="AH6116">
        <v>25.683646989943799</v>
      </c>
      <c r="AI6116">
        <v>92.469397495012501</v>
      </c>
      <c r="AJ6116">
        <v>93.142788059473006</v>
      </c>
      <c r="AK6116">
        <v>25.7462417755346</v>
      </c>
      <c r="AL6116">
        <v>89.251858560375496</v>
      </c>
      <c r="AM6116">
        <v>97.382716982077</v>
      </c>
      <c r="AN6116">
        <v>0.99999997353133696</v>
      </c>
    </row>
    <row r="6117" spans="1:40" x14ac:dyDescent="0.25">
      <c r="A6117" t="str">
        <f>"20190312151653240"</f>
        <v>20190312151653240</v>
      </c>
      <c r="B6117" t="str">
        <f>"1552375013234382"</f>
        <v>1552375013234382</v>
      </c>
      <c r="C6117" t="s">
        <v>40</v>
      </c>
      <c r="D6117">
        <v>4.2586009999999996</v>
      </c>
      <c r="E6117">
        <v>0.52794160000000001</v>
      </c>
      <c r="F6117" t="s">
        <v>64</v>
      </c>
      <c r="G6117">
        <v>-206.1046</v>
      </c>
      <c r="H6117" s="1">
        <v>-2.5972220000000001E-6</v>
      </c>
      <c r="I6117">
        <v>-61.458440000000003</v>
      </c>
      <c r="J6117">
        <v>-231.3827</v>
      </c>
      <c r="K6117">
        <v>1.1092949999999999</v>
      </c>
      <c r="L6117">
        <v>-63.168790000000001</v>
      </c>
      <c r="M6117">
        <v>0.99987459999999995</v>
      </c>
      <c r="N6117">
        <v>0</v>
      </c>
      <c r="O6117">
        <v>1.21335E-2</v>
      </c>
      <c r="P6117">
        <v>0.9900909</v>
      </c>
      <c r="Q6117">
        <v>2.9612000000000002E-3</v>
      </c>
      <c r="R6117">
        <v>0.14039760000000001</v>
      </c>
      <c r="S6117">
        <v>3.0017550000000002</v>
      </c>
      <c r="T6117">
        <v>-0.1309969</v>
      </c>
      <c r="U6117">
        <v>0.202179</v>
      </c>
      <c r="V6117">
        <v>-0.12837290000000001</v>
      </c>
      <c r="W6117">
        <v>1.306765E-2</v>
      </c>
      <c r="X6117">
        <v>0.99163990000000002</v>
      </c>
      <c r="Y6117">
        <v>-5.504904E-2</v>
      </c>
      <c r="Z6117">
        <v>6.7062429999999998E-4</v>
      </c>
      <c r="AA6117">
        <v>0.99848340000000002</v>
      </c>
      <c r="AB6117">
        <v>29</v>
      </c>
      <c r="AC6117">
        <v>25.278099999999899</v>
      </c>
      <c r="AD6117">
        <v>-1.1092975972220001</v>
      </c>
      <c r="AE6117">
        <v>1.71034999999999</v>
      </c>
      <c r="AF6117">
        <v>-1.40081100849342</v>
      </c>
      <c r="AG6117">
        <v>-1.1092975972220001</v>
      </c>
      <c r="AH6117">
        <v>25.248590886498199</v>
      </c>
      <c r="AI6117">
        <v>92.511816064919302</v>
      </c>
      <c r="AJ6117">
        <v>93.175557812198406</v>
      </c>
      <c r="AK6117">
        <v>25.311739458095001</v>
      </c>
      <c r="AL6117">
        <v>89.251257517211201</v>
      </c>
      <c r="AM6117">
        <v>97.376211651776202</v>
      </c>
      <c r="AN6117">
        <v>1.00000002810147</v>
      </c>
    </row>
    <row r="6118" spans="1:40" x14ac:dyDescent="0.25">
      <c r="A6118" t="str">
        <f>"20190312151653250"</f>
        <v>20190312151653250</v>
      </c>
      <c r="B6118" t="str">
        <f>"1552375013244143"</f>
        <v>1552375013244143</v>
      </c>
      <c r="C6118" t="s">
        <v>40</v>
      </c>
      <c r="D6118">
        <v>4.185543</v>
      </c>
      <c r="E6118">
        <v>0.50974830000000004</v>
      </c>
      <c r="F6118" t="s">
        <v>64</v>
      </c>
      <c r="G6118">
        <v>-205.96770000000001</v>
      </c>
      <c r="H6118" s="1">
        <v>-2.684451E-6</v>
      </c>
      <c r="I6118">
        <v>-61.459589999999999</v>
      </c>
      <c r="J6118">
        <v>-231.23840000000001</v>
      </c>
      <c r="K6118">
        <v>1.109297</v>
      </c>
      <c r="L6118">
        <v>-63.167050000000003</v>
      </c>
      <c r="M6118">
        <v>0.9998745</v>
      </c>
      <c r="N6118">
        <v>0</v>
      </c>
      <c r="O6118">
        <v>1.213382E-2</v>
      </c>
      <c r="P6118">
        <v>0.99008350000000001</v>
      </c>
      <c r="Q6118">
        <v>2.6190929999999999E-3</v>
      </c>
      <c r="R6118">
        <v>0.14045679999999999</v>
      </c>
      <c r="S6118">
        <v>3.0017849999999999</v>
      </c>
      <c r="T6118">
        <v>-0.13101969999999999</v>
      </c>
      <c r="U6118">
        <v>0.20187379999999999</v>
      </c>
      <c r="V6118">
        <v>-0.12843160000000001</v>
      </c>
      <c r="W6118">
        <v>1.273294E-2</v>
      </c>
      <c r="X6118">
        <v>0.99163659999999998</v>
      </c>
      <c r="Y6118">
        <v>-5.4947080000000002E-2</v>
      </c>
      <c r="Z6118">
        <v>6.6850069999999995E-4</v>
      </c>
      <c r="AA6118">
        <v>0.99848899999999996</v>
      </c>
      <c r="AB6118">
        <v>29</v>
      </c>
      <c r="AC6118">
        <v>25.270700000000001</v>
      </c>
      <c r="AD6118">
        <v>-1.1092996844509999</v>
      </c>
      <c r="AE6118">
        <v>1.70745999999999</v>
      </c>
      <c r="AF6118">
        <v>-1.39800665259794</v>
      </c>
      <c r="AG6118">
        <v>-1.1092996844509999</v>
      </c>
      <c r="AH6118">
        <v>25.241141952160099</v>
      </c>
      <c r="AI6118">
        <v>92.512574237419102</v>
      </c>
      <c r="AJ6118">
        <v>93.170146832940503</v>
      </c>
      <c r="AK6118">
        <v>25.304154114289801</v>
      </c>
      <c r="AL6118">
        <v>89.270436544349295</v>
      </c>
      <c r="AM6118">
        <v>97.3795716283133</v>
      </c>
      <c r="AN6118">
        <v>0.99999997504958105</v>
      </c>
    </row>
    <row r="6119" spans="1:40" x14ac:dyDescent="0.25">
      <c r="A6119" t="str">
        <f>"20190312151653262"</f>
        <v>20190312151653262</v>
      </c>
      <c r="B6119" t="str">
        <f>"1552375013253902"</f>
        <v>1552375013253902</v>
      </c>
      <c r="C6119" t="s">
        <v>40</v>
      </c>
      <c r="D6119">
        <v>4.2038529999999996</v>
      </c>
      <c r="E6119">
        <v>0.49758259999999999</v>
      </c>
      <c r="F6119" t="s">
        <v>64</v>
      </c>
      <c r="G6119">
        <v>-193.26220000000001</v>
      </c>
      <c r="H6119" s="1">
        <v>-7.1008620000000003E-6</v>
      </c>
      <c r="I6119">
        <v>-58.76811</v>
      </c>
      <c r="J6119">
        <v>-231.09280000000001</v>
      </c>
      <c r="K6119">
        <v>1.1092979999999999</v>
      </c>
      <c r="L6119">
        <v>-63.165280000000003</v>
      </c>
      <c r="M6119">
        <v>0.9998745</v>
      </c>
      <c r="N6119">
        <v>0</v>
      </c>
      <c r="O6119">
        <v>1.213378E-2</v>
      </c>
      <c r="P6119">
        <v>0.99008669999999999</v>
      </c>
      <c r="Q6119">
        <v>2.5589800000000002E-3</v>
      </c>
      <c r="R6119">
        <v>0.14043639999999999</v>
      </c>
      <c r="S6119">
        <v>2.9813079999999998</v>
      </c>
      <c r="T6119">
        <v>-8.7085599999999999E-2</v>
      </c>
      <c r="U6119">
        <v>0.3453369</v>
      </c>
      <c r="V6119">
        <v>-0.1284119</v>
      </c>
      <c r="W6119">
        <v>1.267954E-2</v>
      </c>
      <c r="X6119">
        <v>0.99163990000000002</v>
      </c>
      <c r="Y6119">
        <v>-0.10296420000000001</v>
      </c>
      <c r="Z6119">
        <v>1.1453629999999999E-3</v>
      </c>
      <c r="AA6119">
        <v>0.99468440000000002</v>
      </c>
      <c r="AB6119">
        <v>29</v>
      </c>
      <c r="AC6119">
        <v>37.830599999999997</v>
      </c>
      <c r="AD6119">
        <v>-1.1093051008619901</v>
      </c>
      <c r="AE6119">
        <v>4.39717</v>
      </c>
      <c r="AF6119">
        <v>-3.9344563756237201</v>
      </c>
      <c r="AG6119">
        <v>-1.1093051008619901</v>
      </c>
      <c r="AH6119">
        <v>37.849061628595102</v>
      </c>
      <c r="AI6119">
        <v>91.669789296081603</v>
      </c>
      <c r="AJ6119">
        <v>95.934651468161206</v>
      </c>
      <c r="AK6119">
        <v>38.069173499613498</v>
      </c>
      <c r="AL6119">
        <v>89.273496432553003</v>
      </c>
      <c r="AM6119">
        <v>97.378427873466194</v>
      </c>
      <c r="AN6119">
        <v>1.0000000390341099</v>
      </c>
    </row>
    <row r="6120" spans="1:40" x14ac:dyDescent="0.25">
      <c r="A6120" t="str">
        <f>"20190312151653273"</f>
        <v>20190312151653273</v>
      </c>
      <c r="B6120" t="str">
        <f>"1552375013263662"</f>
        <v>1552375013263662</v>
      </c>
      <c r="C6120" t="s">
        <v>40</v>
      </c>
      <c r="D6120">
        <v>4.1081089999999998</v>
      </c>
      <c r="E6120">
        <v>0.48904940000000002</v>
      </c>
      <c r="F6120" t="s">
        <v>64</v>
      </c>
      <c r="G6120">
        <v>-192.26910000000001</v>
      </c>
      <c r="H6120" s="1">
        <v>-7.4810820000000002E-6</v>
      </c>
      <c r="I6120">
        <v>-57.391080000000002</v>
      </c>
      <c r="J6120">
        <v>-230.94409999999999</v>
      </c>
      <c r="K6120">
        <v>1.109294</v>
      </c>
      <c r="L6120">
        <v>-63.16348</v>
      </c>
      <c r="M6120">
        <v>0.99987440000000005</v>
      </c>
      <c r="N6120">
        <v>0</v>
      </c>
      <c r="O6120">
        <v>1.2133919999999999E-2</v>
      </c>
      <c r="P6120">
        <v>0.99007769999999995</v>
      </c>
      <c r="Q6120">
        <v>2.5807989999999999E-3</v>
      </c>
      <c r="R6120">
        <v>0.1404977</v>
      </c>
      <c r="S6120">
        <v>2.967651</v>
      </c>
      <c r="T6120">
        <v>-8.4794519999999998E-2</v>
      </c>
      <c r="U6120">
        <v>0.44137569999999998</v>
      </c>
      <c r="V6120">
        <v>-0.1284728</v>
      </c>
      <c r="W6120">
        <v>1.270815E-2</v>
      </c>
      <c r="X6120">
        <v>0.99163159999999895</v>
      </c>
      <c r="Y6120">
        <v>-0.13504840000000001</v>
      </c>
      <c r="Z6120">
        <v>1.5737559999999999E-3</v>
      </c>
      <c r="AA6120">
        <v>0.99083779999999999</v>
      </c>
      <c r="AB6120">
        <v>29</v>
      </c>
      <c r="AC6120">
        <v>38.674999999999898</v>
      </c>
      <c r="AD6120">
        <v>-1.1093014810819899</v>
      </c>
      <c r="AE6120">
        <v>5.7724000000000002</v>
      </c>
      <c r="AF6120">
        <v>-5.2984072676798597</v>
      </c>
      <c r="AG6120">
        <v>-1.1093014810819899</v>
      </c>
      <c r="AH6120">
        <v>38.711044617345003</v>
      </c>
      <c r="AI6120">
        <v>91.626261473522504</v>
      </c>
      <c r="AJ6120">
        <v>97.793685577863201</v>
      </c>
      <c r="AK6120">
        <v>39.087704520938701</v>
      </c>
      <c r="AL6120">
        <v>89.271857035318902</v>
      </c>
      <c r="AM6120">
        <v>97.381949649714699</v>
      </c>
      <c r="AN6120">
        <v>0.999999993767411</v>
      </c>
    </row>
    <row r="6121" spans="1:40" x14ac:dyDescent="0.25">
      <c r="A6121" t="str">
        <f>"20190312151653285"</f>
        <v>20190312151653285</v>
      </c>
      <c r="B6121" t="str">
        <f>"1552375013274399"</f>
        <v>1552375013274399</v>
      </c>
      <c r="C6121" t="s">
        <v>40</v>
      </c>
      <c r="D6121">
        <v>4.2170889999999996</v>
      </c>
      <c r="E6121">
        <v>0.48364220000000002</v>
      </c>
      <c r="F6121" t="s">
        <v>64</v>
      </c>
      <c r="G6121">
        <v>-186.96100000000001</v>
      </c>
      <c r="H6121" s="1">
        <v>-1.206521E-5</v>
      </c>
      <c r="I6121">
        <v>-55.597850000000001</v>
      </c>
      <c r="J6121">
        <v>-230.78970000000001</v>
      </c>
      <c r="K6121">
        <v>1.109294</v>
      </c>
      <c r="L6121">
        <v>-63.161589999999997</v>
      </c>
      <c r="M6121">
        <v>0.99987440000000005</v>
      </c>
      <c r="N6121">
        <v>0</v>
      </c>
      <c r="O6121">
        <v>1.213407E-2</v>
      </c>
      <c r="P6121">
        <v>0.99004890000000001</v>
      </c>
      <c r="Q6121">
        <v>2.480693E-3</v>
      </c>
      <c r="R6121">
        <v>0.14070250000000001</v>
      </c>
      <c r="S6121">
        <v>2.9580380000000002</v>
      </c>
      <c r="T6121">
        <v>-7.4605350000000001E-2</v>
      </c>
      <c r="U6121">
        <v>0.50881960000000004</v>
      </c>
      <c r="V6121">
        <v>-0.12867770000000001</v>
      </c>
      <c r="W6121">
        <v>1.261469E-2</v>
      </c>
      <c r="X6121">
        <v>0.99160619999999999</v>
      </c>
      <c r="Y6121">
        <v>-0.15750639999999999</v>
      </c>
      <c r="Z6121">
        <v>1.6677770000000001E-3</v>
      </c>
      <c r="AA6121">
        <v>0.98751659999999997</v>
      </c>
      <c r="AB6121">
        <v>29</v>
      </c>
      <c r="AC6121">
        <v>43.828699999999998</v>
      </c>
      <c r="AD6121">
        <v>-1.10930606521</v>
      </c>
      <c r="AE6121">
        <v>7.5637400000000001</v>
      </c>
      <c r="AF6121">
        <v>-7.0269636653926604</v>
      </c>
      <c r="AG6121">
        <v>-1.10930606521</v>
      </c>
      <c r="AH6121">
        <v>43.889954007897899</v>
      </c>
      <c r="AI6121">
        <v>91.429626822806995</v>
      </c>
      <c r="AJ6121">
        <v>99.096095084712303</v>
      </c>
      <c r="AK6121">
        <v>44.462757911722697</v>
      </c>
      <c r="AL6121">
        <v>89.277212309831597</v>
      </c>
      <c r="AM6121">
        <v>97.393780175952102</v>
      </c>
      <c r="AN6121">
        <v>0.99999996837976202</v>
      </c>
    </row>
    <row r="6122" spans="1:40" x14ac:dyDescent="0.25">
      <c r="A6122" t="str">
        <f>"20190312151653295"</f>
        <v>20190312151653295</v>
      </c>
      <c r="B6122" t="str">
        <f>"1552375013293919"</f>
        <v>1552375013293919</v>
      </c>
      <c r="C6122" t="s">
        <v>40</v>
      </c>
      <c r="D6122">
        <v>4.2020929999999996</v>
      </c>
      <c r="E6122">
        <v>0.47549989999999998</v>
      </c>
      <c r="F6122" t="s">
        <v>64</v>
      </c>
      <c r="G6122">
        <v>-183.5153</v>
      </c>
      <c r="H6122" s="1">
        <v>-1.2349619999999999E-5</v>
      </c>
      <c r="I6122">
        <v>-54.3202199999999</v>
      </c>
      <c r="J6122">
        <v>-230.65129999999999</v>
      </c>
      <c r="K6122">
        <v>1.109294</v>
      </c>
      <c r="L6122">
        <v>-63.159939999999999</v>
      </c>
      <c r="M6122">
        <v>0.99987420000000005</v>
      </c>
      <c r="N6122">
        <v>0</v>
      </c>
      <c r="O6122">
        <v>1.213433E-2</v>
      </c>
      <c r="P6122">
        <v>0.9900101</v>
      </c>
      <c r="Q6122">
        <v>2.4809160000000001E-3</v>
      </c>
      <c r="R6122">
        <v>0.1409755</v>
      </c>
      <c r="S6122">
        <v>2.9518589999999998</v>
      </c>
      <c r="T6122">
        <v>-6.9266079999999994E-2</v>
      </c>
      <c r="U6122">
        <v>0.55206299999999997</v>
      </c>
      <c r="V6122">
        <v>-0.12895100000000001</v>
      </c>
      <c r="W6122">
        <v>1.262042E-2</v>
      </c>
      <c r="X6122">
        <v>0.99157070000000003</v>
      </c>
      <c r="Y6122">
        <v>-0.1718507</v>
      </c>
      <c r="Z6122">
        <v>1.7164820000000001E-3</v>
      </c>
      <c r="AA6122">
        <v>0.98512149999999998</v>
      </c>
      <c r="AB6122">
        <v>29</v>
      </c>
      <c r="AC6122">
        <v>47.136000000000003</v>
      </c>
      <c r="AD6122">
        <v>-1.10930634962</v>
      </c>
      <c r="AE6122">
        <v>8.8397199999999998</v>
      </c>
      <c r="AF6122">
        <v>-8.2626546509186092</v>
      </c>
      <c r="AG6122">
        <v>-1.10930634962</v>
      </c>
      <c r="AH6122">
        <v>47.214537342126803</v>
      </c>
      <c r="AI6122">
        <v>91.325776643942007</v>
      </c>
      <c r="AJ6122">
        <v>99.926375752587404</v>
      </c>
      <c r="AK6122">
        <v>47.944911710094303</v>
      </c>
      <c r="AL6122">
        <v>89.276884033734007</v>
      </c>
      <c r="AM6122">
        <v>97.409571919064206</v>
      </c>
      <c r="AN6122">
        <v>1.0000000442502299</v>
      </c>
    </row>
    <row r="6123" spans="1:40" x14ac:dyDescent="0.25">
      <c r="A6123" t="str">
        <f>"20190312151653307"</f>
        <v>20190312151653307</v>
      </c>
      <c r="B6123" t="str">
        <f>"1552375013303679"</f>
        <v>1552375013303679</v>
      </c>
      <c r="C6123" t="s">
        <v>40</v>
      </c>
      <c r="D6123">
        <v>4.1955439999999999</v>
      </c>
      <c r="E6123">
        <v>0.47297319999999998</v>
      </c>
      <c r="F6123" t="s">
        <v>64</v>
      </c>
      <c r="G6123">
        <v>-189.08279999999999</v>
      </c>
      <c r="H6123" s="1">
        <v>-1.124037E-5</v>
      </c>
      <c r="I6123">
        <v>-54.440800000000003</v>
      </c>
      <c r="J6123">
        <v>-230.49610000000001</v>
      </c>
      <c r="K6123">
        <v>1.1092949999999999</v>
      </c>
      <c r="L6123">
        <v>-63.158050000000003</v>
      </c>
      <c r="M6123">
        <v>0.99987420000000005</v>
      </c>
      <c r="N6123">
        <v>0</v>
      </c>
      <c r="O6123">
        <v>1.2134300000000001E-2</v>
      </c>
      <c r="P6123">
        <v>0.98998140000000001</v>
      </c>
      <c r="Q6123">
        <v>2.3787420000000001E-3</v>
      </c>
      <c r="R6123">
        <v>0.14117869999999999</v>
      </c>
      <c r="S6123">
        <v>2.9425810000000001</v>
      </c>
      <c r="T6123">
        <v>-7.8526380000000007E-2</v>
      </c>
      <c r="U6123">
        <v>0.61721800000000004</v>
      </c>
      <c r="V6123">
        <v>-0.12915450000000001</v>
      </c>
      <c r="W6123">
        <v>1.25241E-2</v>
      </c>
      <c r="X6123">
        <v>0.99154540000000002</v>
      </c>
      <c r="Y6123">
        <v>-0.19333320000000001</v>
      </c>
      <c r="Z6123">
        <v>2.2312719999999999E-3</v>
      </c>
      <c r="AA6123">
        <v>0.98113059999999996</v>
      </c>
      <c r="AB6123">
        <v>29</v>
      </c>
      <c r="AC6123">
        <v>41.4133</v>
      </c>
      <c r="AD6123">
        <v>-1.10930624037</v>
      </c>
      <c r="AE6123">
        <v>8.7172499999999999</v>
      </c>
      <c r="AF6123">
        <v>-8.2084208358186501</v>
      </c>
      <c r="AG6123">
        <v>-1.10930624037</v>
      </c>
      <c r="AH6123">
        <v>41.487529514904097</v>
      </c>
      <c r="AI6123">
        <v>91.502514674328793</v>
      </c>
      <c r="AJ6123">
        <v>101.191585982828</v>
      </c>
      <c r="AK6123">
        <v>42.3063096736511</v>
      </c>
      <c r="AL6123">
        <v>89.282403173955601</v>
      </c>
      <c r="AM6123">
        <v>97.421322109104594</v>
      </c>
      <c r="AN6123">
        <v>1.0000000091061001</v>
      </c>
    </row>
    <row r="6124" spans="1:40" x14ac:dyDescent="0.25">
      <c r="A6124" t="str">
        <f>"20190312151653319"</f>
        <v>20190312151653319</v>
      </c>
      <c r="B6124" t="str">
        <f>"1552375013314415"</f>
        <v>1552375013314415</v>
      </c>
      <c r="C6124" t="s">
        <v>40</v>
      </c>
      <c r="D6124">
        <v>4.1811669999999896</v>
      </c>
      <c r="E6124">
        <v>0.47126610000000002</v>
      </c>
      <c r="F6124" t="s">
        <v>64</v>
      </c>
      <c r="G6124">
        <v>-190.86879999999999</v>
      </c>
      <c r="H6124" s="1">
        <v>-8.3704119999999998E-6</v>
      </c>
      <c r="I6124">
        <v>-54.560369999999899</v>
      </c>
      <c r="J6124">
        <v>-230.34880000000001</v>
      </c>
      <c r="K6124">
        <v>1.1092959999999901</v>
      </c>
      <c r="L6124">
        <v>-63.15625</v>
      </c>
      <c r="M6124">
        <v>0.99987409999999999</v>
      </c>
      <c r="N6124">
        <v>0</v>
      </c>
      <c r="O6124">
        <v>1.213445E-2</v>
      </c>
      <c r="P6124">
        <v>0.98993929999999997</v>
      </c>
      <c r="Q6124">
        <v>2.5538829999999998E-3</v>
      </c>
      <c r="R6124">
        <v>0.1414705</v>
      </c>
      <c r="S6124">
        <v>2.9396059999999999</v>
      </c>
      <c r="T6124">
        <v>-8.2289580000000001E-2</v>
      </c>
      <c r="U6124">
        <v>0.63778690000000005</v>
      </c>
      <c r="V6124">
        <v>-0.1294468</v>
      </c>
      <c r="W6124">
        <v>1.270481E-2</v>
      </c>
      <c r="X6124">
        <v>0.99150499999999997</v>
      </c>
      <c r="Y6124">
        <v>-0.20008529999999999</v>
      </c>
      <c r="Z6124">
        <v>2.4321899999999999E-3</v>
      </c>
      <c r="AA6124">
        <v>0.97977550000000002</v>
      </c>
      <c r="AB6124">
        <v>29</v>
      </c>
      <c r="AC6124">
        <v>39.479999999999997</v>
      </c>
      <c r="AD6124">
        <v>-1.10930437041199</v>
      </c>
      <c r="AE6124">
        <v>8.5958799999999993</v>
      </c>
      <c r="AF6124">
        <v>-8.1100409172179795</v>
      </c>
      <c r="AG6124">
        <v>-1.10930437041199</v>
      </c>
      <c r="AH6124">
        <v>39.551592341609599</v>
      </c>
      <c r="AI6124">
        <v>91.5738263908639</v>
      </c>
      <c r="AJ6124">
        <v>101.58785724861001</v>
      </c>
      <c r="AK6124">
        <v>40.389748409986801</v>
      </c>
      <c r="AL6124">
        <v>89.272048441867099</v>
      </c>
      <c r="AM6124">
        <v>97.438229722090796</v>
      </c>
      <c r="AN6124">
        <v>1.0000000256261801</v>
      </c>
    </row>
    <row r="6125" spans="1:40" x14ac:dyDescent="0.25">
      <c r="A6125" t="str">
        <f>"20190312151653329"</f>
        <v>20190312151653329</v>
      </c>
      <c r="B6125" t="str">
        <f>"1552375013323706"</f>
        <v>1552375013323706</v>
      </c>
      <c r="C6125" t="s">
        <v>40</v>
      </c>
      <c r="D6125">
        <v>4.163062</v>
      </c>
      <c r="E6125">
        <v>0.47034619999999999</v>
      </c>
      <c r="F6125" t="s">
        <v>64</v>
      </c>
      <c r="G6125">
        <v>-193.12909999999999</v>
      </c>
      <c r="H6125" s="1">
        <v>-8.4753959999999992E-6</v>
      </c>
      <c r="I6125">
        <v>-54.89264</v>
      </c>
      <c r="J6125">
        <v>-230.202</v>
      </c>
      <c r="K6125">
        <v>1.1092949999999999</v>
      </c>
      <c r="L6125">
        <v>-63.15448</v>
      </c>
      <c r="M6125">
        <v>0.99987409999999999</v>
      </c>
      <c r="N6125">
        <v>0</v>
      </c>
      <c r="O6125">
        <v>1.2134600000000001E-2</v>
      </c>
      <c r="P6125">
        <v>0.98990520000000004</v>
      </c>
      <c r="Q6125">
        <v>2.6555749999999999E-3</v>
      </c>
      <c r="R6125">
        <v>0.14170659999999999</v>
      </c>
      <c r="S6125">
        <v>2.9375</v>
      </c>
      <c r="T6125">
        <v>-8.7549920000000003E-2</v>
      </c>
      <c r="U6125">
        <v>0.65219119999999997</v>
      </c>
      <c r="V6125">
        <v>-0.12968250000000001</v>
      </c>
      <c r="W6125">
        <v>1.2811609999999999E-2</v>
      </c>
      <c r="X6125">
        <v>0.99147280000000004</v>
      </c>
      <c r="Y6125">
        <v>-0.2048005</v>
      </c>
      <c r="Z6125">
        <v>2.6574739999999999E-3</v>
      </c>
      <c r="AA6125">
        <v>0.97880009999999995</v>
      </c>
      <c r="AB6125">
        <v>29</v>
      </c>
      <c r="AC6125">
        <v>37.072899999999997</v>
      </c>
      <c r="AD6125">
        <v>-1.109303475396</v>
      </c>
      <c r="AE6125">
        <v>8.2618399999999994</v>
      </c>
      <c r="AF6125">
        <v>-7.8046860958212703</v>
      </c>
      <c r="AG6125">
        <v>-1.109303475396</v>
      </c>
      <c r="AH6125">
        <v>37.1387510084352</v>
      </c>
      <c r="AI6125">
        <v>91.674318068540103</v>
      </c>
      <c r="AJ6125">
        <v>101.867977098119</v>
      </c>
      <c r="AK6125">
        <v>37.966175811126703</v>
      </c>
      <c r="AL6125">
        <v>89.265928736355605</v>
      </c>
      <c r="AM6125">
        <v>97.451860653679006</v>
      </c>
      <c r="AN6125">
        <v>1.00000000064844</v>
      </c>
    </row>
    <row r="6126" spans="1:40" x14ac:dyDescent="0.25">
      <c r="A6126" t="str">
        <f>"20190312151653341"</f>
        <v>20190312151653341</v>
      </c>
      <c r="B6126" t="str">
        <f>"1552375013334443"</f>
        <v>1552375013334443</v>
      </c>
      <c r="C6126" t="s">
        <v>40</v>
      </c>
      <c r="D6126">
        <v>4.1601910000000002</v>
      </c>
      <c r="E6126">
        <v>0.46960819999999998</v>
      </c>
      <c r="F6126" t="s">
        <v>64</v>
      </c>
      <c r="G6126">
        <v>-194.11799999999999</v>
      </c>
      <c r="H6126" s="1">
        <v>-8.5198969999999997E-6</v>
      </c>
      <c r="I6126">
        <v>-55.04195</v>
      </c>
      <c r="J6126">
        <v>-230.06180000000001</v>
      </c>
      <c r="K6126">
        <v>1.1092959999999901</v>
      </c>
      <c r="L6126">
        <v>-63.152769999999997</v>
      </c>
      <c r="M6126">
        <v>0.99987409999999999</v>
      </c>
      <c r="N6126">
        <v>0</v>
      </c>
      <c r="O6126">
        <v>1.213475E-2</v>
      </c>
      <c r="P6126">
        <v>0.98986980000000002</v>
      </c>
      <c r="Q6126">
        <v>2.733606E-3</v>
      </c>
      <c r="R6126">
        <v>0.14195179999999999</v>
      </c>
      <c r="S6126">
        <v>2.9363250000000001</v>
      </c>
      <c r="T6126">
        <v>-9.0269329999999995E-2</v>
      </c>
      <c r="U6126">
        <v>0.66015630000000003</v>
      </c>
      <c r="V6126">
        <v>-0.1299283</v>
      </c>
      <c r="W6126">
        <v>1.28941E-2</v>
      </c>
      <c r="X6126">
        <v>0.99143959999999998</v>
      </c>
      <c r="Y6126">
        <v>-0.20740500000000001</v>
      </c>
      <c r="Z6126">
        <v>2.7797799999999999E-3</v>
      </c>
      <c r="AA6126">
        <v>0.97825119999999999</v>
      </c>
      <c r="AB6126">
        <v>29</v>
      </c>
      <c r="AC6126">
        <v>35.943800000000003</v>
      </c>
      <c r="AD6126">
        <v>-1.10930451989699</v>
      </c>
      <c r="AE6126">
        <v>8.1108199999999897</v>
      </c>
      <c r="AF6126">
        <v>-7.6670820490951996</v>
      </c>
      <c r="AG6126">
        <v>-1.10930451989699</v>
      </c>
      <c r="AH6126">
        <v>36.006947123370203</v>
      </c>
      <c r="AI6126">
        <v>91.7259444225095</v>
      </c>
      <c r="AJ6126">
        <v>102.020656901358</v>
      </c>
      <c r="AK6126">
        <v>36.8308966061186</v>
      </c>
      <c r="AL6126">
        <v>89.261202054053399</v>
      </c>
      <c r="AM6126">
        <v>97.466072897019004</v>
      </c>
      <c r="AN6126">
        <v>1.00000005070192</v>
      </c>
    </row>
    <row r="6127" spans="1:40" x14ac:dyDescent="0.25">
      <c r="A6127" t="str">
        <f>"20190312151653351"</f>
        <v>20190312151653351</v>
      </c>
      <c r="B6127" t="str">
        <f>"1552375013344202"</f>
        <v>1552375013344202</v>
      </c>
      <c r="C6127" t="s">
        <v>40</v>
      </c>
      <c r="D6127">
        <v>4.2441979999999999</v>
      </c>
      <c r="E6127">
        <v>0.46884500000000001</v>
      </c>
      <c r="F6127" t="s">
        <v>64</v>
      </c>
      <c r="G6127">
        <v>-194.2533</v>
      </c>
      <c r="H6127" s="1">
        <v>-8.5417449999999996E-6</v>
      </c>
      <c r="I6127">
        <v>-55.019039999999997</v>
      </c>
      <c r="J6127">
        <v>-229.9247</v>
      </c>
      <c r="K6127">
        <v>1.109297</v>
      </c>
      <c r="L6127">
        <v>-63.151090000000003</v>
      </c>
      <c r="M6127">
        <v>0.99987389999999998</v>
      </c>
      <c r="N6127">
        <v>0</v>
      </c>
      <c r="O6127">
        <v>1.213502E-2</v>
      </c>
      <c r="P6127">
        <v>0.98982270000000006</v>
      </c>
      <c r="Q6127">
        <v>2.8124159999999999E-3</v>
      </c>
      <c r="R6127">
        <v>0.14227870000000001</v>
      </c>
      <c r="S6127">
        <v>2.935333</v>
      </c>
      <c r="T6127">
        <v>-9.0933319999999998E-2</v>
      </c>
      <c r="U6127">
        <v>0.66674800000000001</v>
      </c>
      <c r="V6127">
        <v>-0.13025529999999999</v>
      </c>
      <c r="W6127">
        <v>1.297706E-2</v>
      </c>
      <c r="X6127">
        <v>0.99139560000000004</v>
      </c>
      <c r="Y6127">
        <v>-0.20956269999999999</v>
      </c>
      <c r="Z6127">
        <v>2.8334440000000001E-3</v>
      </c>
      <c r="AA6127">
        <v>0.97779110000000002</v>
      </c>
      <c r="AB6127">
        <v>29</v>
      </c>
      <c r="AC6127">
        <v>35.671399999999998</v>
      </c>
      <c r="AD6127">
        <v>-1.109305541745</v>
      </c>
      <c r="AE6127">
        <v>8.1320499999999996</v>
      </c>
      <c r="AF6127">
        <v>-7.6914844941273097</v>
      </c>
      <c r="AG6127">
        <v>-1.109305541745</v>
      </c>
      <c r="AH6127">
        <v>35.734610022787798</v>
      </c>
      <c r="AI6127">
        <v>91.738271457577</v>
      </c>
      <c r="AJ6127">
        <v>102.14697243598501</v>
      </c>
      <c r="AK6127">
        <v>36.569821519786998</v>
      </c>
      <c r="AL6127">
        <v>89.256448391839299</v>
      </c>
      <c r="AM6127">
        <v>97.484978944932394</v>
      </c>
      <c r="AN6127">
        <v>1.00000004148184</v>
      </c>
    </row>
    <row r="6128" spans="1:40" x14ac:dyDescent="0.25">
      <c r="A6128" t="str">
        <f>"20190312151653362"</f>
        <v>20190312151653362</v>
      </c>
      <c r="B6128" t="str">
        <f>"1552375013353963"</f>
        <v>1552375013353963</v>
      </c>
      <c r="C6128" t="s">
        <v>40</v>
      </c>
      <c r="D6128">
        <v>4.2083449999999996</v>
      </c>
      <c r="E6128">
        <v>0.46845520000000002</v>
      </c>
      <c r="F6128" t="s">
        <v>64</v>
      </c>
      <c r="G6128">
        <v>-193.47450000000001</v>
      </c>
      <c r="H6128" s="1">
        <v>-8.5502319999999906E-6</v>
      </c>
      <c r="I6128">
        <v>-54.781709999999997</v>
      </c>
      <c r="J6128">
        <v>-229.77440000000001</v>
      </c>
      <c r="K6128">
        <v>1.109297</v>
      </c>
      <c r="L6128">
        <v>-63.149290000000001</v>
      </c>
      <c r="M6128">
        <v>0.99987380000000003</v>
      </c>
      <c r="N6128">
        <v>0</v>
      </c>
      <c r="O6128">
        <v>1.213536E-2</v>
      </c>
      <c r="P6128">
        <v>0.9897492</v>
      </c>
      <c r="Q6128">
        <v>2.921898E-3</v>
      </c>
      <c r="R6128">
        <v>0.14278640000000001</v>
      </c>
      <c r="S6128">
        <v>2.93425</v>
      </c>
      <c r="T6128">
        <v>-8.9299199999999995E-2</v>
      </c>
      <c r="U6128">
        <v>0.67373660000000002</v>
      </c>
      <c r="V6128">
        <v>-0.13076369999999901</v>
      </c>
      <c r="W6128">
        <v>1.309102E-2</v>
      </c>
      <c r="X6128">
        <v>0.99132710000000002</v>
      </c>
      <c r="Y6128">
        <v>-0.2118553</v>
      </c>
      <c r="Z6128">
        <v>2.8172430000000001E-3</v>
      </c>
      <c r="AA6128">
        <v>0.97729690000000002</v>
      </c>
      <c r="AB6128">
        <v>29</v>
      </c>
      <c r="AC6128">
        <v>36.299900000000001</v>
      </c>
      <c r="AD6128">
        <v>-1.1093055502319999</v>
      </c>
      <c r="AE6128">
        <v>8.3675800000000002</v>
      </c>
      <c r="AF6128">
        <v>-7.9194056418470202</v>
      </c>
      <c r="AG6128">
        <v>-1.1093055502319999</v>
      </c>
      <c r="AH6128">
        <v>36.366527212680602</v>
      </c>
      <c r="AI6128">
        <v>91.707192737080803</v>
      </c>
      <c r="AJ6128">
        <v>102.285290585349</v>
      </c>
      <c r="AK6128">
        <v>37.235357471555602</v>
      </c>
      <c r="AL6128">
        <v>89.249918356466395</v>
      </c>
      <c r="AM6128">
        <v>97.514373695898499</v>
      </c>
      <c r="AN6128">
        <v>0.99999996961836901</v>
      </c>
    </row>
    <row r="6129" spans="1:40" x14ac:dyDescent="0.25">
      <c r="A6129" t="str">
        <f>"20190312151653374"</f>
        <v>20190312151653374</v>
      </c>
      <c r="B6129" t="str">
        <f>"1552375013363723"</f>
        <v>1552375013363723</v>
      </c>
      <c r="C6129" t="s">
        <v>40</v>
      </c>
      <c r="D6129">
        <v>4.2103890000000002</v>
      </c>
      <c r="E6129">
        <v>0.46779680000000001</v>
      </c>
      <c r="F6129" t="s">
        <v>64</v>
      </c>
      <c r="G6129">
        <v>-192.50800000000001</v>
      </c>
      <c r="H6129" s="1">
        <v>-8.5441319999999993E-6</v>
      </c>
      <c r="I6129">
        <v>-54.53295</v>
      </c>
      <c r="J6129">
        <v>-229.62</v>
      </c>
      <c r="K6129">
        <v>1.1092979999999999</v>
      </c>
      <c r="L6129">
        <v>-63.147399999999998</v>
      </c>
      <c r="M6129">
        <v>0.99987389999999998</v>
      </c>
      <c r="N6129">
        <v>0</v>
      </c>
      <c r="O6129">
        <v>1.213533E-2</v>
      </c>
      <c r="P6129">
        <v>0.98968880000000004</v>
      </c>
      <c r="Q6129">
        <v>2.9889339999999999E-3</v>
      </c>
      <c r="R6129">
        <v>0.1432042</v>
      </c>
      <c r="S6129">
        <v>2.9335019999999998</v>
      </c>
      <c r="T6129">
        <v>-8.7321280000000001E-2</v>
      </c>
      <c r="U6129">
        <v>0.678253199999999</v>
      </c>
      <c r="V6129">
        <v>-0.13118239999999901</v>
      </c>
      <c r="W6129">
        <v>1.316253E-2</v>
      </c>
      <c r="X6129">
        <v>0.99127080000000001</v>
      </c>
      <c r="Y6129">
        <v>-0.21334149999999999</v>
      </c>
      <c r="Z6129">
        <v>2.776911E-3</v>
      </c>
      <c r="AA6129">
        <v>0.9769738</v>
      </c>
      <c r="AB6129">
        <v>29</v>
      </c>
      <c r="AC6129">
        <v>37.112000000000002</v>
      </c>
      <c r="AD6129">
        <v>-1.10930654413199</v>
      </c>
      <c r="AE6129">
        <v>8.6144499999999908</v>
      </c>
      <c r="AF6129">
        <v>-8.1565106775089191</v>
      </c>
      <c r="AG6129">
        <v>-1.10930654413199</v>
      </c>
      <c r="AH6129">
        <v>37.182289205408701</v>
      </c>
      <c r="AI6129">
        <v>91.6692040729084</v>
      </c>
      <c r="AJ6129">
        <v>102.37273689925399</v>
      </c>
      <c r="AK6129">
        <v>38.082566326284102</v>
      </c>
      <c r="AL6129">
        <v>89.245820757197905</v>
      </c>
      <c r="AM6129">
        <v>97.538581363755199</v>
      </c>
      <c r="AN6129">
        <v>0.99999993659919795</v>
      </c>
    </row>
    <row r="6130" spans="1:40" x14ac:dyDescent="0.25">
      <c r="A6130" t="str">
        <f>"20190312151653385"</f>
        <v>20190312151653385</v>
      </c>
      <c r="B6130" t="str">
        <f>"1552375013374459"</f>
        <v>1552375013374459</v>
      </c>
      <c r="C6130" t="s">
        <v>40</v>
      </c>
      <c r="D6130">
        <v>4.2405799999999996</v>
      </c>
      <c r="E6130">
        <v>0.46747850000000002</v>
      </c>
      <c r="F6130" t="s">
        <v>64</v>
      </c>
      <c r="G6130">
        <v>-192.59549999999999</v>
      </c>
      <c r="H6130" s="1">
        <v>-8.5643239999999993E-6</v>
      </c>
      <c r="I6130">
        <v>-54.501460000000002</v>
      </c>
      <c r="J6130">
        <v>-229.4761</v>
      </c>
      <c r="K6130">
        <v>1.1093</v>
      </c>
      <c r="L6130">
        <v>-63.145659999999999</v>
      </c>
      <c r="M6130">
        <v>0.99987380000000003</v>
      </c>
      <c r="N6130">
        <v>0</v>
      </c>
      <c r="O6130">
        <v>1.2135490000000001E-2</v>
      </c>
      <c r="P6130">
        <v>0.98964940000000001</v>
      </c>
      <c r="Q6130">
        <v>2.8936809999999999E-3</v>
      </c>
      <c r="R6130">
        <v>0.14347789999999999</v>
      </c>
      <c r="S6130">
        <v>2.9324490000000001</v>
      </c>
      <c r="T6130">
        <v>-8.7860350000000004E-2</v>
      </c>
      <c r="U6130">
        <v>0.6847839</v>
      </c>
      <c r="V6130">
        <v>-0.13145670000000001</v>
      </c>
      <c r="W6130">
        <v>1.3070989999999999E-2</v>
      </c>
      <c r="X6130">
        <v>0.99123570000000005</v>
      </c>
      <c r="Y6130">
        <v>-0.21548010000000001</v>
      </c>
      <c r="Z6130">
        <v>2.8259309999999998E-3</v>
      </c>
      <c r="AA6130">
        <v>0.97650409999999999</v>
      </c>
      <c r="AB6130">
        <v>29</v>
      </c>
      <c r="AC6130">
        <v>36.880600000000001</v>
      </c>
      <c r="AD6130">
        <v>-1.1093085643239999</v>
      </c>
      <c r="AE6130">
        <v>8.6441999999999997</v>
      </c>
      <c r="AF6130">
        <v>-8.1889529017564495</v>
      </c>
      <c r="AG6130">
        <v>-1.1093085643239999</v>
      </c>
      <c r="AH6130">
        <v>36.951101901831599</v>
      </c>
      <c r="AI6130">
        <v>91.678850502738499</v>
      </c>
      <c r="AJ6130">
        <v>102.495700337286</v>
      </c>
      <c r="AK6130">
        <v>37.863880504744998</v>
      </c>
      <c r="AL6130">
        <v>89.251066084847906</v>
      </c>
      <c r="AM6130">
        <v>97.554426952522107</v>
      </c>
      <c r="AN6130">
        <v>0.99999996385447898</v>
      </c>
    </row>
    <row r="6131" spans="1:40" x14ac:dyDescent="0.25">
      <c r="A6131" t="str">
        <f>"20190312151653396"</f>
        <v>20190312151653396</v>
      </c>
      <c r="B6131" t="str">
        <f>"1552375013393979"</f>
        <v>1552375013393979</v>
      </c>
      <c r="C6131" t="s">
        <v>40</v>
      </c>
      <c r="D6131">
        <v>4.2498189999999996</v>
      </c>
      <c r="E6131">
        <v>0.46695920000000002</v>
      </c>
      <c r="F6131" t="s">
        <v>64</v>
      </c>
      <c r="G6131">
        <v>-193.42949999999999</v>
      </c>
      <c r="H6131" s="1">
        <v>-8.5808180000000001E-6</v>
      </c>
      <c r="I6131">
        <v>-54.68524</v>
      </c>
      <c r="J6131">
        <v>-229.33160000000001</v>
      </c>
      <c r="K6131">
        <v>1.1093</v>
      </c>
      <c r="L6131">
        <v>-63.143859999999997</v>
      </c>
      <c r="M6131">
        <v>0.99987380000000003</v>
      </c>
      <c r="N6131">
        <v>0</v>
      </c>
      <c r="O6131">
        <v>1.2135460000000001E-2</v>
      </c>
      <c r="P6131">
        <v>0.98959589999999997</v>
      </c>
      <c r="Q6131">
        <v>2.9464719999999999E-3</v>
      </c>
      <c r="R6131">
        <v>0.1438458</v>
      </c>
      <c r="S6131">
        <v>2.9319000000000002</v>
      </c>
      <c r="T6131">
        <v>-9.0227249999999995E-2</v>
      </c>
      <c r="U6131">
        <v>0.68814090000000006</v>
      </c>
      <c r="V6131">
        <v>-0.13182479999999999</v>
      </c>
      <c r="W6131">
        <v>1.312725E-2</v>
      </c>
      <c r="X6131">
        <v>0.99118609999999896</v>
      </c>
      <c r="Y6131">
        <v>-0.2165753</v>
      </c>
      <c r="Z6131">
        <v>2.918805E-3</v>
      </c>
      <c r="AA6131">
        <v>0.97626159999999995</v>
      </c>
      <c r="AB6131">
        <v>29</v>
      </c>
      <c r="AC6131">
        <v>35.902099999999997</v>
      </c>
      <c r="AD6131">
        <v>-1.1093085808180001</v>
      </c>
      <c r="AE6131">
        <v>8.4586199999999891</v>
      </c>
      <c r="AF6131">
        <v>-8.0150361523393006</v>
      </c>
      <c r="AG6131">
        <v>-1.1093085808180001</v>
      </c>
      <c r="AH6131">
        <v>35.969576536469297</v>
      </c>
      <c r="AI6131">
        <v>91.724192703038398</v>
      </c>
      <c r="AJ6131">
        <v>102.561889788206</v>
      </c>
      <c r="AK6131">
        <v>36.868439162293001</v>
      </c>
      <c r="AL6131">
        <v>89.247842370045703</v>
      </c>
      <c r="AM6131">
        <v>97.575709921050006</v>
      </c>
      <c r="AN6131">
        <v>0.99999999371040604</v>
      </c>
    </row>
    <row r="6132" spans="1:40" x14ac:dyDescent="0.25">
      <c r="A6132" t="str">
        <f>"20190312151653407"</f>
        <v>20190312151653407</v>
      </c>
      <c r="B6132" t="str">
        <f>"1552375013403738"</f>
        <v>1552375013403738</v>
      </c>
      <c r="C6132" t="s">
        <v>40</v>
      </c>
      <c r="D6132">
        <v>4.2766859999999998</v>
      </c>
      <c r="E6132">
        <v>0.46668589999999999</v>
      </c>
      <c r="F6132" t="s">
        <v>64</v>
      </c>
      <c r="G6132">
        <v>-194.69450000000001</v>
      </c>
      <c r="H6132" s="1">
        <v>-8.6104619999999994E-6</v>
      </c>
      <c r="I6132">
        <v>-54.951259999999998</v>
      </c>
      <c r="J6132">
        <v>-229.18459999999999</v>
      </c>
      <c r="K6132">
        <v>1.1093</v>
      </c>
      <c r="L6132">
        <v>-63.142090000000003</v>
      </c>
      <c r="M6132">
        <v>0.99987360000000003</v>
      </c>
      <c r="N6132">
        <v>0</v>
      </c>
      <c r="O6132">
        <v>1.2135740000000001E-2</v>
      </c>
      <c r="P6132">
        <v>0.98956920000000004</v>
      </c>
      <c r="Q6132">
        <v>3.0295750000000001E-3</v>
      </c>
      <c r="R6132">
        <v>0.14402519999999999</v>
      </c>
      <c r="S6132">
        <v>2.9310299999999998</v>
      </c>
      <c r="T6132">
        <v>-9.3870999999999996E-2</v>
      </c>
      <c r="U6132">
        <v>0.69326779999999999</v>
      </c>
      <c r="V6132">
        <v>-0.13200419999999999</v>
      </c>
      <c r="W6132">
        <v>1.3214979999999999E-2</v>
      </c>
      <c r="X6132">
        <v>0.99116099999999996</v>
      </c>
      <c r="Y6132">
        <v>-0.21824859999999999</v>
      </c>
      <c r="Z6132">
        <v>3.0633129999999998E-3</v>
      </c>
      <c r="AA6132">
        <v>0.97588839999999999</v>
      </c>
      <c r="AB6132">
        <v>29</v>
      </c>
      <c r="AC6132">
        <v>34.490099999999899</v>
      </c>
      <c r="AD6132">
        <v>-1.109308610462</v>
      </c>
      <c r="AE6132">
        <v>8.1908300000000001</v>
      </c>
      <c r="AF6132">
        <v>-7.7640389487546102</v>
      </c>
      <c r="AG6132">
        <v>-1.109308610462</v>
      </c>
      <c r="AH6132">
        <v>34.553131152603498</v>
      </c>
      <c r="AI6132">
        <v>91.794112965576801</v>
      </c>
      <c r="AJ6132">
        <v>102.66394362983699</v>
      </c>
      <c r="AK6132">
        <v>35.432043955155102</v>
      </c>
      <c r="AL6132">
        <v>89.242815331684398</v>
      </c>
      <c r="AM6132">
        <v>97.586089568890102</v>
      </c>
      <c r="AN6132">
        <v>0.99999993621751804</v>
      </c>
    </row>
    <row r="6133" spans="1:40" x14ac:dyDescent="0.25">
      <c r="A6133" t="str">
        <f>"20190312151653418"</f>
        <v>20190312151653418</v>
      </c>
      <c r="B6133" t="str">
        <f>"1552375013414475"</f>
        <v>1552375013414475</v>
      </c>
      <c r="C6133" t="s">
        <v>40</v>
      </c>
      <c r="D6133">
        <v>4.2718970000000001</v>
      </c>
      <c r="E6133">
        <v>0.46648800000000001</v>
      </c>
      <c r="F6133" t="s">
        <v>64</v>
      </c>
      <c r="G6133">
        <v>-194.93729999999999</v>
      </c>
      <c r="H6133" s="1">
        <v>-8.6136659999999904E-6</v>
      </c>
      <c r="I6133">
        <v>-55.009140000000002</v>
      </c>
      <c r="J6133">
        <v>-229.03620000000001</v>
      </c>
      <c r="K6133">
        <v>1.1093010000000001</v>
      </c>
      <c r="L6133">
        <v>-63.14029</v>
      </c>
      <c r="M6133">
        <v>0.99987369999999998</v>
      </c>
      <c r="N6133">
        <v>0</v>
      </c>
      <c r="O6133">
        <v>1.2135709999999999E-2</v>
      </c>
      <c r="P6133">
        <v>0.98953469999999999</v>
      </c>
      <c r="Q6133">
        <v>3.1605729999999999E-3</v>
      </c>
      <c r="R6133">
        <v>0.144261</v>
      </c>
      <c r="S6133">
        <v>2.9306179999999999</v>
      </c>
      <c r="T6133">
        <v>-9.4925880000000004E-2</v>
      </c>
      <c r="U6133">
        <v>0.69595340000000006</v>
      </c>
      <c r="V6133">
        <v>-0.13224079999999999</v>
      </c>
      <c r="W6133">
        <v>1.335039E-2</v>
      </c>
      <c r="X6133">
        <v>0.99112769999999994</v>
      </c>
      <c r="Y6133">
        <v>-0.21912329999999999</v>
      </c>
      <c r="Z6133">
        <v>3.1117929999999999E-3</v>
      </c>
      <c r="AA6133">
        <v>0.97569220000000001</v>
      </c>
      <c r="AB6133">
        <v>29</v>
      </c>
      <c r="AC6133">
        <v>34.0989</v>
      </c>
      <c r="AD6133">
        <v>-1.1093096136659999</v>
      </c>
      <c r="AE6133">
        <v>8.1311499999999892</v>
      </c>
      <c r="AF6133">
        <v>-7.7089952348801898</v>
      </c>
      <c r="AG6133">
        <v>-1.1093096136659999</v>
      </c>
      <c r="AH6133">
        <v>34.160862551985602</v>
      </c>
      <c r="AI6133">
        <v>91.814326144334004</v>
      </c>
      <c r="AJ6133">
        <v>102.71677842241</v>
      </c>
      <c r="AK6133">
        <v>35.037461461213603</v>
      </c>
      <c r="AL6133">
        <v>89.235056266249501</v>
      </c>
      <c r="AM6133">
        <v>97.599780201216007</v>
      </c>
      <c r="AN6133">
        <v>0.99999998990254002</v>
      </c>
    </row>
    <row r="6134" spans="1:40" x14ac:dyDescent="0.25">
      <c r="A6134" t="str">
        <f>"20190312151653430"</f>
        <v>20190312151653430</v>
      </c>
      <c r="B6134" t="str">
        <f>"1552375013424234"</f>
        <v>1552375013424234</v>
      </c>
      <c r="C6134" t="s">
        <v>40</v>
      </c>
      <c r="D6134">
        <v>4.2641559999999998</v>
      </c>
      <c r="E6134">
        <v>0.4663291</v>
      </c>
      <c r="F6134" t="s">
        <v>64</v>
      </c>
      <c r="G6134">
        <v>-195.1044</v>
      </c>
      <c r="H6134" s="1">
        <v>-8.6138009999999998E-6</v>
      </c>
      <c r="I6134">
        <v>-55.054699999999997</v>
      </c>
      <c r="J6134">
        <v>-228.88820000000001</v>
      </c>
      <c r="K6134">
        <v>1.1093029999999999</v>
      </c>
      <c r="L6134">
        <v>-63.138489999999997</v>
      </c>
      <c r="M6134">
        <v>0.99987360000000003</v>
      </c>
      <c r="N6134">
        <v>0</v>
      </c>
      <c r="O6134">
        <v>1.213586E-2</v>
      </c>
      <c r="P6134">
        <v>0.98949129999999996</v>
      </c>
      <c r="Q6134">
        <v>3.1425860000000002E-3</v>
      </c>
      <c r="R6134">
        <v>0.14455899999999999</v>
      </c>
      <c r="S6134">
        <v>2.9302220000000001</v>
      </c>
      <c r="T6134">
        <v>-9.5795870000000005E-2</v>
      </c>
      <c r="U6134">
        <v>0.69824219999999904</v>
      </c>
      <c r="V6134">
        <v>-0.13253899999999999</v>
      </c>
      <c r="W6134">
        <v>1.333895E-2</v>
      </c>
      <c r="X6134">
        <v>0.99108799999999997</v>
      </c>
      <c r="Y6134">
        <v>-0.2198717</v>
      </c>
      <c r="Z6134">
        <v>3.1524880000000002E-3</v>
      </c>
      <c r="AA6134">
        <v>0.97552369999999999</v>
      </c>
      <c r="AB6134">
        <v>29</v>
      </c>
      <c r="AC6134">
        <v>33.783799999999999</v>
      </c>
      <c r="AD6134">
        <v>-1.109311613801</v>
      </c>
      <c r="AE6134">
        <v>8.0837900000000005</v>
      </c>
      <c r="AF6134">
        <v>-7.6653604799346597</v>
      </c>
      <c r="AG6134">
        <v>-1.109311613801</v>
      </c>
      <c r="AH6134">
        <v>33.844906072613099</v>
      </c>
      <c r="AI6134">
        <v>91.830933743560607</v>
      </c>
      <c r="AJ6134">
        <v>102.761337141833</v>
      </c>
      <c r="AK6134">
        <v>34.719821292856103</v>
      </c>
      <c r="AL6134">
        <v>89.235711772311006</v>
      </c>
      <c r="AM6134">
        <v>97.617018085318307</v>
      </c>
      <c r="AN6134">
        <v>0.99999996892605003</v>
      </c>
    </row>
    <row r="6135" spans="1:40" x14ac:dyDescent="0.25">
      <c r="A6135" t="str">
        <f>"20190312151653441"</f>
        <v>20190312151653441</v>
      </c>
      <c r="B6135" t="str">
        <f>"1552375013433994"</f>
        <v>1552375013433994</v>
      </c>
      <c r="C6135" t="s">
        <v>40</v>
      </c>
      <c r="D6135">
        <v>4.2768449999999998</v>
      </c>
      <c r="E6135">
        <v>0.46615699999999999</v>
      </c>
      <c r="F6135" t="s">
        <v>64</v>
      </c>
      <c r="G6135">
        <v>-195.71639999999999</v>
      </c>
      <c r="H6135" s="1">
        <v>-8.6263689999999995E-6</v>
      </c>
      <c r="I6135">
        <v>-55.208480000000002</v>
      </c>
      <c r="J6135">
        <v>-228.7431</v>
      </c>
      <c r="K6135">
        <v>1.1093040000000001</v>
      </c>
      <c r="L6135">
        <v>-63.136749999999999</v>
      </c>
      <c r="M6135">
        <v>0.99987349999999997</v>
      </c>
      <c r="N6135">
        <v>0</v>
      </c>
      <c r="O6135">
        <v>1.2135999999999999E-2</v>
      </c>
      <c r="P6135">
        <v>0.98946979999999995</v>
      </c>
      <c r="Q6135">
        <v>3.3343510000000002E-3</v>
      </c>
      <c r="R6135">
        <v>0.1447021</v>
      </c>
      <c r="S6135">
        <v>2.9298549999999999</v>
      </c>
      <c r="T6135">
        <v>-9.7978709999999997E-2</v>
      </c>
      <c r="U6135">
        <v>0.7004089</v>
      </c>
      <c r="V6135">
        <v>-0.13268279999999999</v>
      </c>
      <c r="W6135">
        <v>1.3537769999999999E-2</v>
      </c>
      <c r="X6135">
        <v>0.99106609999999995</v>
      </c>
      <c r="Y6135">
        <v>-0.22057640000000001</v>
      </c>
      <c r="Z6135">
        <v>3.2360150000000001E-3</v>
      </c>
      <c r="AA6135">
        <v>0.97536429999999996</v>
      </c>
      <c r="AB6135">
        <v>29</v>
      </c>
      <c r="AC6135">
        <v>33.026699999999998</v>
      </c>
      <c r="AD6135">
        <v>-1.1093126263689901</v>
      </c>
      <c r="AE6135">
        <v>7.9282699999999897</v>
      </c>
      <c r="AF6135">
        <v>-7.5188324645608899</v>
      </c>
      <c r="AG6135">
        <v>-1.1093126263689901</v>
      </c>
      <c r="AH6135">
        <v>33.085197896328403</v>
      </c>
      <c r="AI6135">
        <v>91.872636428273907</v>
      </c>
      <c r="AJ6135">
        <v>102.803392164945</v>
      </c>
      <c r="AK6135">
        <v>33.946925280095201</v>
      </c>
      <c r="AL6135">
        <v>89.224319224768706</v>
      </c>
      <c r="AM6135">
        <v>97.625351603492803</v>
      </c>
      <c r="AN6135">
        <v>1.00000000560081</v>
      </c>
    </row>
    <row r="6136" spans="1:40" x14ac:dyDescent="0.25">
      <c r="A6136" t="str">
        <f>"20190312151653451"</f>
        <v>20190312151653451</v>
      </c>
      <c r="B6136" t="str">
        <f>"1552375013443754"</f>
        <v>1552375013443754</v>
      </c>
      <c r="C6136" t="s">
        <v>40</v>
      </c>
      <c r="D6136">
        <v>4.3464510000000001</v>
      </c>
      <c r="E6136">
        <v>0.46601550000000003</v>
      </c>
      <c r="F6136" t="s">
        <v>64</v>
      </c>
      <c r="G6136">
        <v>-195.9042</v>
      </c>
      <c r="H6136" s="1">
        <v>-8.6272899999999904E-6</v>
      </c>
      <c r="I6136">
        <v>-55.266019999999997</v>
      </c>
      <c r="J6136">
        <v>-228.59780000000001</v>
      </c>
      <c r="K6136">
        <v>1.109307</v>
      </c>
      <c r="L6136">
        <v>-63.134979999999999</v>
      </c>
      <c r="M6136">
        <v>0.99987340000000002</v>
      </c>
      <c r="N6136">
        <v>0</v>
      </c>
      <c r="O6136">
        <v>1.213614E-2</v>
      </c>
      <c r="P6136">
        <v>0.98943040000000004</v>
      </c>
      <c r="Q6136">
        <v>3.1471770000000001E-3</v>
      </c>
      <c r="R6136">
        <v>0.14497599999999999</v>
      </c>
      <c r="S6136">
        <v>2.9295650000000002</v>
      </c>
      <c r="T6136">
        <v>-9.8961830000000001E-2</v>
      </c>
      <c r="U6136">
        <v>0.70214840000000001</v>
      </c>
      <c r="V6136">
        <v>-0.1329563</v>
      </c>
      <c r="W6136">
        <v>1.335802E-2</v>
      </c>
      <c r="X6136">
        <v>0.99103189999999997</v>
      </c>
      <c r="Y6136">
        <v>-0.22114329999999999</v>
      </c>
      <c r="Z6136">
        <v>3.2779929999999999E-3</v>
      </c>
      <c r="AA6136">
        <v>0.97523579999999999</v>
      </c>
      <c r="AB6136">
        <v>29</v>
      </c>
      <c r="AC6136">
        <v>32.693600000000004</v>
      </c>
      <c r="AD6136">
        <v>-1.10931562729</v>
      </c>
      <c r="AE6136">
        <v>7.8689600000000004</v>
      </c>
      <c r="AF6136">
        <v>-7.4634632142825197</v>
      </c>
      <c r="AG6136">
        <v>-1.10931562729</v>
      </c>
      <c r="AH6136">
        <v>32.751054619301897</v>
      </c>
      <c r="AI6136">
        <v>91.891476508045898</v>
      </c>
      <c r="AJ6136">
        <v>102.83760120001099</v>
      </c>
      <c r="AK6136">
        <v>33.609008360681997</v>
      </c>
      <c r="AL6136">
        <v>89.234619083967601</v>
      </c>
      <c r="AM6136">
        <v>97.641144851523293</v>
      </c>
      <c r="AN6136">
        <v>1.0000000206128099</v>
      </c>
    </row>
    <row r="6137" spans="1:40" x14ac:dyDescent="0.25">
      <c r="A6137" t="str">
        <f>"20190312151653464"</f>
        <v>20190312151653464</v>
      </c>
      <c r="B6137" t="str">
        <f>"1552375013453515"</f>
        <v>1552375013453515</v>
      </c>
      <c r="C6137" t="s">
        <v>40</v>
      </c>
      <c r="D6137">
        <v>4.1995129999999996</v>
      </c>
      <c r="E6137">
        <v>0.46587830000000002</v>
      </c>
      <c r="F6137" t="s">
        <v>64</v>
      </c>
      <c r="G6137">
        <v>-195.7286</v>
      </c>
      <c r="H6137" s="1">
        <v>-8.6185019999999994E-6</v>
      </c>
      <c r="I6137">
        <v>-55.234780000000001</v>
      </c>
      <c r="J6137">
        <v>-228.44579999999999</v>
      </c>
      <c r="K6137">
        <v>1.1093090000000001</v>
      </c>
      <c r="L6137">
        <v>-63.133119999999998</v>
      </c>
      <c r="M6137">
        <v>0.99987340000000002</v>
      </c>
      <c r="N6137">
        <v>0</v>
      </c>
      <c r="O6137">
        <v>1.2136269999999999E-2</v>
      </c>
      <c r="P6137">
        <v>0.98943780000000003</v>
      </c>
      <c r="Q6137">
        <v>3.1077689999999998E-3</v>
      </c>
      <c r="R6137">
        <v>0.14492459999999999</v>
      </c>
      <c r="S6137">
        <v>2.9291990000000001</v>
      </c>
      <c r="T6137">
        <v>-9.8858710000000002E-2</v>
      </c>
      <c r="U6137">
        <v>0.70404049999999996</v>
      </c>
      <c r="V6137">
        <v>-0.13290479999999999</v>
      </c>
      <c r="W6137">
        <v>1.332703E-2</v>
      </c>
      <c r="X6137">
        <v>0.99103920000000001</v>
      </c>
      <c r="Y6137">
        <v>-0.2217663</v>
      </c>
      <c r="Z6137">
        <v>3.2850919999999999E-3</v>
      </c>
      <c r="AA6137">
        <v>0.97509429999999997</v>
      </c>
      <c r="AB6137">
        <v>29</v>
      </c>
      <c r="AC6137">
        <v>32.717199999999899</v>
      </c>
      <c r="AD6137">
        <v>-1.1093176185019999</v>
      </c>
      <c r="AE6137">
        <v>7.8983399999999904</v>
      </c>
      <c r="AF6137">
        <v>-7.4925331381547897</v>
      </c>
      <c r="AG6137">
        <v>-1.1093176185019999</v>
      </c>
      <c r="AH6137">
        <v>32.775047387474103</v>
      </c>
      <c r="AI6137">
        <v>91.8898012117874</v>
      </c>
      <c r="AJ6137">
        <v>102.87681862919101</v>
      </c>
      <c r="AK6137">
        <v>33.638852085887798</v>
      </c>
      <c r="AL6137">
        <v>89.236394819232004</v>
      </c>
      <c r="AM6137">
        <v>97.638164440614503</v>
      </c>
      <c r="AN6137">
        <v>0.99999999576415</v>
      </c>
    </row>
    <row r="6138" spans="1:40" x14ac:dyDescent="0.25">
      <c r="A6138" t="str">
        <f>"20190312151653474"</f>
        <v>20190312151653474</v>
      </c>
      <c r="B6138" t="str">
        <f>"1552375013464251"</f>
        <v>1552375013464251</v>
      </c>
      <c r="C6138" t="s">
        <v>40</v>
      </c>
      <c r="D6138">
        <v>4.3090590000000004</v>
      </c>
      <c r="E6138">
        <v>0.46577259999999998</v>
      </c>
      <c r="F6138" t="s">
        <v>64</v>
      </c>
      <c r="G6138">
        <v>-197.2217</v>
      </c>
      <c r="H6138" s="1">
        <v>-8.6519510000000005E-6</v>
      </c>
      <c r="I6138">
        <v>-55.617980000000003</v>
      </c>
      <c r="J6138">
        <v>-228.29650000000001</v>
      </c>
      <c r="K6138">
        <v>1.109307</v>
      </c>
      <c r="L6138">
        <v>-63.131320000000002</v>
      </c>
      <c r="M6138">
        <v>0.99987320000000002</v>
      </c>
      <c r="N6138">
        <v>0</v>
      </c>
      <c r="O6138">
        <v>1.2136350000000001E-2</v>
      </c>
      <c r="P6138">
        <v>0.98939449999999995</v>
      </c>
      <c r="Q6138">
        <v>3.3483839999999998E-3</v>
      </c>
      <c r="R6138">
        <v>0.14521600000000001</v>
      </c>
      <c r="S6138">
        <v>2.9290919999999998</v>
      </c>
      <c r="T6138">
        <v>-0.1040637</v>
      </c>
      <c r="U6138">
        <v>0.70498660000000002</v>
      </c>
      <c r="V6138">
        <v>-0.133196799999999</v>
      </c>
      <c r="W6138">
        <v>1.3575439999999999E-2</v>
      </c>
      <c r="X6138">
        <v>0.99099660000000001</v>
      </c>
      <c r="Y6138">
        <v>-0.2220597</v>
      </c>
      <c r="Z6138">
        <v>3.463084E-3</v>
      </c>
      <c r="AA6138">
        <v>0.97502690000000003</v>
      </c>
      <c r="AB6138">
        <v>29</v>
      </c>
      <c r="AC6138">
        <v>31.0748</v>
      </c>
      <c r="AD6138">
        <v>-1.1093156519509999</v>
      </c>
      <c r="AE6138">
        <v>7.5133399999999897</v>
      </c>
      <c r="AF6138">
        <v>-7.1270510684711397</v>
      </c>
      <c r="AG6138">
        <v>-1.1093156519509999</v>
      </c>
      <c r="AH6138">
        <v>31.126225137280802</v>
      </c>
      <c r="AI6138">
        <v>91.989667063313505</v>
      </c>
      <c r="AJ6138">
        <v>102.89684098786</v>
      </c>
      <c r="AK6138">
        <v>31.951014529196801</v>
      </c>
      <c r="AL6138">
        <v>89.222160667225594</v>
      </c>
      <c r="AM6138">
        <v>97.655072345135494</v>
      </c>
      <c r="AN6138">
        <v>0.99999997065649604</v>
      </c>
    </row>
    <row r="6139" spans="1:40" x14ac:dyDescent="0.25">
      <c r="A6139" t="str">
        <f>"20190312151653485"</f>
        <v>20190312151653485</v>
      </c>
      <c r="B6139" t="str">
        <f>"1552375013483771"</f>
        <v>1552375013483771</v>
      </c>
      <c r="C6139" t="s">
        <v>40</v>
      </c>
      <c r="D6139">
        <v>4.4170299999999996</v>
      </c>
      <c r="E6139">
        <v>0.46554760000000001</v>
      </c>
      <c r="F6139" t="s">
        <v>64</v>
      </c>
      <c r="G6139">
        <v>-197.286</v>
      </c>
      <c r="H6139" s="1">
        <v>-8.6482699999999994E-6</v>
      </c>
      <c r="I6139">
        <v>-55.649050000000003</v>
      </c>
      <c r="J6139">
        <v>-228.1506</v>
      </c>
      <c r="K6139">
        <v>1.10931</v>
      </c>
      <c r="L6139">
        <v>-63.129550000000002</v>
      </c>
      <c r="M6139">
        <v>0.99987320000000002</v>
      </c>
      <c r="N6139">
        <v>0</v>
      </c>
      <c r="O6139">
        <v>1.2136310000000001E-2</v>
      </c>
      <c r="P6139">
        <v>0.9893691</v>
      </c>
      <c r="Q6139">
        <v>3.2203539999999999E-3</v>
      </c>
      <c r="R6139">
        <v>0.145392299999999</v>
      </c>
      <c r="S6139">
        <v>2.9288020000000001</v>
      </c>
      <c r="T6139">
        <v>-0.10476969999999999</v>
      </c>
      <c r="U6139">
        <v>0.70666499999999999</v>
      </c>
      <c r="V6139">
        <v>-0.1333733</v>
      </c>
      <c r="W6139">
        <v>1.345433E-2</v>
      </c>
      <c r="X6139">
        <v>0.99097449999999998</v>
      </c>
      <c r="Y6139">
        <v>-0.22260769999999999</v>
      </c>
      <c r="Z6139">
        <v>3.4963279999999999E-3</v>
      </c>
      <c r="AA6139">
        <v>0.97490189999999999</v>
      </c>
      <c r="AB6139">
        <v>30</v>
      </c>
      <c r="AC6139">
        <v>30.864599999999999</v>
      </c>
      <c r="AD6139">
        <v>-1.1093186482699999</v>
      </c>
      <c r="AE6139">
        <v>7.4804999999999904</v>
      </c>
      <c r="AF6139">
        <v>-7.0966879631309396</v>
      </c>
      <c r="AG6139">
        <v>-1.1093186482699999</v>
      </c>
      <c r="AH6139">
        <v>30.9153967256761</v>
      </c>
      <c r="AI6139">
        <v>92.002977476287299</v>
      </c>
      <c r="AJ6139">
        <v>102.928377652523</v>
      </c>
      <c r="AK6139">
        <v>31.7388613944387</v>
      </c>
      <c r="AL6139">
        <v>89.229100383261994</v>
      </c>
      <c r="AM6139">
        <v>97.665264522612901</v>
      </c>
      <c r="AN6139">
        <v>0.99999995789944296</v>
      </c>
    </row>
    <row r="6140" spans="1:40" x14ac:dyDescent="0.25">
      <c r="A6140" t="str">
        <f>"20190312151653497"</f>
        <v>20190312151653497</v>
      </c>
      <c r="B6140" t="str">
        <f>"1552375013493531"</f>
        <v>1552375013493531</v>
      </c>
      <c r="C6140" t="s">
        <v>40</v>
      </c>
      <c r="D6140">
        <v>4.3421059999999896</v>
      </c>
      <c r="E6140">
        <v>0.4653989</v>
      </c>
      <c r="F6140" t="s">
        <v>64</v>
      </c>
      <c r="G6140">
        <v>-197.55289999999999</v>
      </c>
      <c r="H6140" s="1">
        <v>-8.6527189999999996E-6</v>
      </c>
      <c r="I6140">
        <v>-55.721899999999998</v>
      </c>
      <c r="J6140">
        <v>-228.00530000000001</v>
      </c>
      <c r="K6140">
        <v>1.1093120000000001</v>
      </c>
      <c r="L6140">
        <v>-63.127780000000001</v>
      </c>
      <c r="M6140">
        <v>0.99987320000000002</v>
      </c>
      <c r="N6140">
        <v>0</v>
      </c>
      <c r="O6140">
        <v>1.213645E-2</v>
      </c>
      <c r="P6140">
        <v>0.98932339999999996</v>
      </c>
      <c r="Q6140">
        <v>3.3033289999999998E-3</v>
      </c>
      <c r="R6140">
        <v>0.14570169999999999</v>
      </c>
      <c r="S6140">
        <v>2.928375</v>
      </c>
      <c r="T6140">
        <v>-0.1061682</v>
      </c>
      <c r="U6140">
        <v>0.70895390000000003</v>
      </c>
      <c r="V6140">
        <v>-0.13368269999999999</v>
      </c>
      <c r="W6140">
        <v>1.354445E-2</v>
      </c>
      <c r="X6140">
        <v>0.99093160000000002</v>
      </c>
      <c r="Y6140">
        <v>-0.2233559</v>
      </c>
      <c r="Z6140">
        <v>3.556511E-3</v>
      </c>
      <c r="AA6140">
        <v>0.97473050000000006</v>
      </c>
      <c r="AB6140">
        <v>30</v>
      </c>
      <c r="AC6140">
        <v>30.452400000000001</v>
      </c>
      <c r="AD6140">
        <v>-1.109320652719</v>
      </c>
      <c r="AE6140">
        <v>7.4058799999999998</v>
      </c>
      <c r="AF6140">
        <v>-7.0269267985687502</v>
      </c>
      <c r="AG6140">
        <v>-1.109320652719</v>
      </c>
      <c r="AH6140">
        <v>30.5018271123331</v>
      </c>
      <c r="AI6140">
        <v>92.029751010708694</v>
      </c>
      <c r="AJ6140">
        <v>102.973291228514</v>
      </c>
      <c r="AK6140">
        <v>31.320436614671401</v>
      </c>
      <c r="AL6140">
        <v>89.223936431005896</v>
      </c>
      <c r="AM6140">
        <v>97.683162932214799</v>
      </c>
      <c r="AN6140">
        <v>0.99999997614182501</v>
      </c>
    </row>
    <row r="6141" spans="1:40" x14ac:dyDescent="0.25">
      <c r="A6141" t="str">
        <f>"20190312151653508"</f>
        <v>20190312151653508</v>
      </c>
      <c r="B6141" t="str">
        <f>"1552375013504267"</f>
        <v>1552375013504267</v>
      </c>
      <c r="C6141" t="s">
        <v>40</v>
      </c>
      <c r="D6141">
        <v>4.3287380000000004</v>
      </c>
      <c r="E6141">
        <v>0.46526669999999998</v>
      </c>
      <c r="F6141" t="s">
        <v>64</v>
      </c>
      <c r="G6141">
        <v>-197.09479999999999</v>
      </c>
      <c r="H6141" s="1">
        <v>-8.6365249999999994E-6</v>
      </c>
      <c r="I6141">
        <v>-55.621250000000003</v>
      </c>
      <c r="J6141">
        <v>-227.85939999999999</v>
      </c>
      <c r="K6141">
        <v>1.1093059999999999</v>
      </c>
      <c r="L6141">
        <v>-63.126010000000001</v>
      </c>
      <c r="M6141">
        <v>0.99987300000000001</v>
      </c>
      <c r="N6141">
        <v>0</v>
      </c>
      <c r="O6141">
        <v>1.2136589999999999E-2</v>
      </c>
      <c r="P6141">
        <v>0.98929999999999996</v>
      </c>
      <c r="Q6141">
        <v>3.2701150000000001E-3</v>
      </c>
      <c r="R6141">
        <v>0.14585989999999999</v>
      </c>
      <c r="S6141">
        <v>2.9280089999999999</v>
      </c>
      <c r="T6141">
        <v>-0.10508099999999999</v>
      </c>
      <c r="U6141">
        <v>0.71105959999999901</v>
      </c>
      <c r="V6141">
        <v>-0.13384099999999999</v>
      </c>
      <c r="W6141">
        <v>1.3518229999999999E-2</v>
      </c>
      <c r="X6141">
        <v>0.99091059999999997</v>
      </c>
      <c r="Y6141">
        <v>-0.22404789999999999</v>
      </c>
      <c r="Z6141">
        <v>3.5324789999999998E-3</v>
      </c>
      <c r="AA6141">
        <v>0.97457169999999904</v>
      </c>
      <c r="AB6141">
        <v>30</v>
      </c>
      <c r="AC6141">
        <v>30.764600000000002</v>
      </c>
      <c r="AD6141">
        <v>-1.109314636525</v>
      </c>
      <c r="AE6141">
        <v>7.5047599999999903</v>
      </c>
      <c r="AF6141">
        <v>-7.12206999682292</v>
      </c>
      <c r="AG6141">
        <v>-1.109314636525</v>
      </c>
      <c r="AH6141">
        <v>30.815605134754499</v>
      </c>
      <c r="AI6141">
        <v>92.0087631622673</v>
      </c>
      <c r="AJ6141">
        <v>103.01363910148601</v>
      </c>
      <c r="AK6141">
        <v>31.647369240168398</v>
      </c>
      <c r="AL6141">
        <v>89.225438871962098</v>
      </c>
      <c r="AM6141">
        <v>97.692313128733801</v>
      </c>
      <c r="AN6141">
        <v>0.99999998650784605</v>
      </c>
    </row>
    <row r="6142" spans="1:40" x14ac:dyDescent="0.25">
      <c r="A6142" t="str">
        <f>"20190312151653520"</f>
        <v>20190312151653520</v>
      </c>
      <c r="B6142" t="str">
        <f>"1552375013514029"</f>
        <v>1552375013514029</v>
      </c>
      <c r="C6142" t="s">
        <v>40</v>
      </c>
      <c r="D6142">
        <v>4.3609169999999997</v>
      </c>
      <c r="E6142">
        <v>0.46513650000000001</v>
      </c>
      <c r="F6142" t="s">
        <v>64</v>
      </c>
      <c r="G6142">
        <v>-197.53579999999999</v>
      </c>
      <c r="H6142" s="1">
        <v>-8.6425030000000006E-6</v>
      </c>
      <c r="I6142">
        <v>-55.745539999999998</v>
      </c>
      <c r="J6142">
        <v>-227.70160000000001</v>
      </c>
      <c r="K6142">
        <v>1.109308</v>
      </c>
      <c r="L6142">
        <v>-63.124079999999999</v>
      </c>
      <c r="M6142">
        <v>0.99987300000000001</v>
      </c>
      <c r="N6142">
        <v>0</v>
      </c>
      <c r="O6142">
        <v>1.2136549999999999E-2</v>
      </c>
      <c r="P6142">
        <v>0.98926919999999996</v>
      </c>
      <c r="Q6142">
        <v>3.2913119999999998E-3</v>
      </c>
      <c r="R6142">
        <v>0.146067899999999</v>
      </c>
      <c r="S6142">
        <v>2.9277500000000001</v>
      </c>
      <c r="T6142">
        <v>-0.1071047</v>
      </c>
      <c r="U6142">
        <v>0.71258540000000004</v>
      </c>
      <c r="V6142">
        <v>-0.134049799999999</v>
      </c>
      <c r="W6142">
        <v>1.3546829999999999E-2</v>
      </c>
      <c r="X6142">
        <v>0.99088200000000004</v>
      </c>
      <c r="Y6142">
        <v>-0.22454199999999999</v>
      </c>
      <c r="Z6142">
        <v>3.6094650000000001E-3</v>
      </c>
      <c r="AA6142">
        <v>0.97445769999999998</v>
      </c>
      <c r="AB6142">
        <v>30</v>
      </c>
      <c r="AC6142">
        <v>30.165800000000001</v>
      </c>
      <c r="AD6142">
        <v>-1.1093166425030001</v>
      </c>
      <c r="AE6142">
        <v>7.3785400000000001</v>
      </c>
      <c r="AF6142">
        <v>-7.0029325990971198</v>
      </c>
      <c r="AG6142">
        <v>-1.1093166425030001</v>
      </c>
      <c r="AH6142">
        <v>30.2145794770368</v>
      </c>
      <c r="AI6142">
        <v>92.048397057509206</v>
      </c>
      <c r="AJ6142">
        <v>103.04922457530201</v>
      </c>
      <c r="AK6142">
        <v>31.035342134009198</v>
      </c>
      <c r="AL6142">
        <v>89.223800074377607</v>
      </c>
      <c r="AM6142">
        <v>97.704389279273599</v>
      </c>
      <c r="AN6142">
        <v>1.00000000170354</v>
      </c>
    </row>
    <row r="6143" spans="1:40" x14ac:dyDescent="0.25">
      <c r="A6143" t="str">
        <f>"20190312151653530"</f>
        <v>20190312151653530</v>
      </c>
      <c r="B6143" t="str">
        <f>"1552375013523787"</f>
        <v>1552375013523787</v>
      </c>
      <c r="C6143" t="s">
        <v>40</v>
      </c>
      <c r="D6143">
        <v>4.3349979999999997</v>
      </c>
      <c r="E6143">
        <v>0.46501579999999898</v>
      </c>
      <c r="F6143" t="s">
        <v>64</v>
      </c>
      <c r="G6143">
        <v>-197.78579999999999</v>
      </c>
      <c r="H6143" s="1">
        <v>-8.6427469999999997E-6</v>
      </c>
      <c r="I6143">
        <v>-55.824950000000001</v>
      </c>
      <c r="J6143">
        <v>-227.55850000000001</v>
      </c>
      <c r="K6143">
        <v>1.109308</v>
      </c>
      <c r="L6143">
        <v>-63.122340000000001</v>
      </c>
      <c r="M6143">
        <v>0.99987289999999995</v>
      </c>
      <c r="N6143">
        <v>0</v>
      </c>
      <c r="O6143">
        <v>1.2136869999999999E-2</v>
      </c>
      <c r="P6143">
        <v>0.98926389999999997</v>
      </c>
      <c r="Q6143">
        <v>3.4675159999999999E-3</v>
      </c>
      <c r="R6143">
        <v>0.14610029999999999</v>
      </c>
      <c r="S6143">
        <v>2.9274439999999999</v>
      </c>
      <c r="T6143">
        <v>-0.10855330000000001</v>
      </c>
      <c r="U6143">
        <v>0.71426389999999995</v>
      </c>
      <c r="V6143">
        <v>-0.13408210000000001</v>
      </c>
      <c r="W6143">
        <v>1.3729440000000001E-2</v>
      </c>
      <c r="X6143">
        <v>0.99087510000000001</v>
      </c>
      <c r="Y6143">
        <v>-0.22508839999999999</v>
      </c>
      <c r="Z6143">
        <v>3.6683470000000002E-3</v>
      </c>
      <c r="AA6143">
        <v>0.97433139999999996</v>
      </c>
      <c r="AB6143">
        <v>30</v>
      </c>
      <c r="AC6143">
        <v>29.7727</v>
      </c>
      <c r="AD6143">
        <v>-1.109316642747</v>
      </c>
      <c r="AE6143">
        <v>7.2973899999999903</v>
      </c>
      <c r="AF6143">
        <v>-6.9264149415920002</v>
      </c>
      <c r="AG6143">
        <v>-1.109316642747</v>
      </c>
      <c r="AH6143">
        <v>29.820026854596701</v>
      </c>
      <c r="AI6143">
        <v>92.075247556213299</v>
      </c>
      <c r="AJ6143">
        <v>103.076443797899</v>
      </c>
      <c r="AK6143">
        <v>30.6339649566597</v>
      </c>
      <c r="AL6143">
        <v>89.213336306114797</v>
      </c>
      <c r="AM6143">
        <v>97.706276405100795</v>
      </c>
      <c r="AN6143">
        <v>0.99999998543156599</v>
      </c>
    </row>
    <row r="6144" spans="1:40" x14ac:dyDescent="0.25">
      <c r="A6144" t="str">
        <f>"20190312151653542"</f>
        <v>20190312151653542</v>
      </c>
      <c r="B6144" t="str">
        <f>"1552375013533547"</f>
        <v>1552375013533547</v>
      </c>
      <c r="C6144" t="s">
        <v>40</v>
      </c>
      <c r="D6144">
        <v>4.3607389999999997</v>
      </c>
      <c r="E6144">
        <v>0.46491749999999998</v>
      </c>
      <c r="F6144" t="s">
        <v>64</v>
      </c>
      <c r="G6144">
        <v>-197.9391</v>
      </c>
      <c r="H6144" s="1">
        <v>-8.6390059999999995E-6</v>
      </c>
      <c r="I6144">
        <v>-55.884740000000001</v>
      </c>
      <c r="J6144">
        <v>-227.4117</v>
      </c>
      <c r="K6144">
        <v>1.1093120000000001</v>
      </c>
      <c r="L6144">
        <v>-63.120570000000001</v>
      </c>
      <c r="M6144">
        <v>0.99987269999999995</v>
      </c>
      <c r="N6144">
        <v>0</v>
      </c>
      <c r="O6144">
        <v>1.213702E-2</v>
      </c>
      <c r="P6144">
        <v>0.98923220000000001</v>
      </c>
      <c r="Q6144">
        <v>3.4052050000000001E-3</v>
      </c>
      <c r="R6144">
        <v>0.1463149</v>
      </c>
      <c r="S6144">
        <v>2.9273220000000002</v>
      </c>
      <c r="T6144">
        <v>-0.1096352</v>
      </c>
      <c r="U6144">
        <v>0.71530150000000003</v>
      </c>
      <c r="V6144">
        <v>-0.1342971</v>
      </c>
      <c r="W6144">
        <v>1.3672709999999999E-2</v>
      </c>
      <c r="X6144">
        <v>0.99084680000000003</v>
      </c>
      <c r="Y6144">
        <v>-0.2254205</v>
      </c>
      <c r="Z6144">
        <v>3.7110020000000001E-3</v>
      </c>
      <c r="AA6144">
        <v>0.97425450000000002</v>
      </c>
      <c r="AB6144">
        <v>30</v>
      </c>
      <c r="AC6144">
        <v>29.4726</v>
      </c>
      <c r="AD6144">
        <v>-1.109320639006</v>
      </c>
      <c r="AE6144">
        <v>7.2358299999999902</v>
      </c>
      <c r="AF6144">
        <v>-6.8683909814532198</v>
      </c>
      <c r="AG6144">
        <v>-1.109320639006</v>
      </c>
      <c r="AH6144">
        <v>29.5188131764715</v>
      </c>
      <c r="AI6144">
        <v>92.096225536391302</v>
      </c>
      <c r="AJ6144">
        <v>103.098431174388</v>
      </c>
      <c r="AK6144">
        <v>30.3276395108762</v>
      </c>
      <c r="AL6144">
        <v>89.216587026036194</v>
      </c>
      <c r="AM6144">
        <v>97.718702334607102</v>
      </c>
      <c r="AN6144">
        <v>1.0000000175686901</v>
      </c>
    </row>
    <row r="6145" spans="1:40" x14ac:dyDescent="0.25">
      <c r="A6145" t="str">
        <f>"20190312151653554"</f>
        <v>20190312151653554</v>
      </c>
      <c r="B6145" t="str">
        <f>"1552375013544284"</f>
        <v>1552375013544284</v>
      </c>
      <c r="C6145" t="s">
        <v>40</v>
      </c>
      <c r="D6145">
        <v>4.3285450000000001</v>
      </c>
      <c r="E6145">
        <v>0.46477230000000003</v>
      </c>
      <c r="F6145" t="s">
        <v>64</v>
      </c>
      <c r="G6145">
        <v>-198.3125</v>
      </c>
      <c r="H6145" s="1">
        <v>-8.6422580000000004E-6</v>
      </c>
      <c r="I6145">
        <v>-55.995130000000003</v>
      </c>
      <c r="J6145">
        <v>-227.2602</v>
      </c>
      <c r="K6145">
        <v>1.1093090000000001</v>
      </c>
      <c r="L6145">
        <v>-63.118740000000003</v>
      </c>
      <c r="M6145">
        <v>0.99987269999999995</v>
      </c>
      <c r="N6145">
        <v>0</v>
      </c>
      <c r="O6145">
        <v>1.21371E-2</v>
      </c>
      <c r="P6145">
        <v>0.98918099999999998</v>
      </c>
      <c r="Q6145">
        <v>3.687807E-3</v>
      </c>
      <c r="R6145">
        <v>0.1466537</v>
      </c>
      <c r="S6145">
        <v>2.9270320000000001</v>
      </c>
      <c r="T6145">
        <v>-0.1115847</v>
      </c>
      <c r="U6145">
        <v>0.71673580000000003</v>
      </c>
      <c r="V6145">
        <v>-0.1346358</v>
      </c>
      <c r="W6145">
        <v>1.3961640000000001E-2</v>
      </c>
      <c r="X6145">
        <v>0.99079680000000003</v>
      </c>
      <c r="Y6145">
        <v>-0.2258877</v>
      </c>
      <c r="Z6145">
        <v>3.7858599999999998E-3</v>
      </c>
      <c r="AA6145">
        <v>0.97414599999999996</v>
      </c>
      <c r="AB6145">
        <v>30</v>
      </c>
      <c r="AC6145">
        <v>28.947700000000001</v>
      </c>
      <c r="AD6145">
        <v>-1.109317642258</v>
      </c>
      <c r="AE6145">
        <v>7.1236099999999896</v>
      </c>
      <c r="AF6145">
        <v>-6.7623615583383296</v>
      </c>
      <c r="AG6145">
        <v>-1.109317642258</v>
      </c>
      <c r="AH6145">
        <v>28.991887694526898</v>
      </c>
      <c r="AI6145">
        <v>92.134014246873093</v>
      </c>
      <c r="AJ6145">
        <v>103.129501140792</v>
      </c>
      <c r="AK6145">
        <v>29.790764870496002</v>
      </c>
      <c r="AL6145">
        <v>89.200030972140098</v>
      </c>
      <c r="AM6145">
        <v>97.738319265600296</v>
      </c>
      <c r="AN6145">
        <v>1.0000000124616799</v>
      </c>
    </row>
    <row r="6146" spans="1:40" x14ac:dyDescent="0.25">
      <c r="A6146" t="str">
        <f>"20190312151653563"</f>
        <v>20190312151653563</v>
      </c>
      <c r="B6146" t="str">
        <f>"1552375013554043"</f>
        <v>1552375013554043</v>
      </c>
      <c r="C6146" t="s">
        <v>40</v>
      </c>
      <c r="D6146">
        <v>4.3381999999999996</v>
      </c>
      <c r="E6146">
        <v>0.4646593</v>
      </c>
      <c r="F6146" t="s">
        <v>64</v>
      </c>
      <c r="G6146">
        <v>-198.30350000000001</v>
      </c>
      <c r="H6146" s="1">
        <v>-8.6376110000000002E-6</v>
      </c>
      <c r="I6146">
        <v>-56.005490000000002</v>
      </c>
      <c r="J6146">
        <v>-227.12219999999999</v>
      </c>
      <c r="K6146">
        <v>1.1093090000000001</v>
      </c>
      <c r="L6146">
        <v>-63.117069999999998</v>
      </c>
      <c r="M6146">
        <v>0.9998726</v>
      </c>
      <c r="N6146">
        <v>0</v>
      </c>
      <c r="O6146">
        <v>1.213725E-2</v>
      </c>
      <c r="P6146">
        <v>0.98915229999999998</v>
      </c>
      <c r="Q6146">
        <v>3.809144E-3</v>
      </c>
      <c r="R6146">
        <v>0.14684449999999999</v>
      </c>
      <c r="S6146">
        <v>2.9266359999999998</v>
      </c>
      <c r="T6146">
        <v>-0.1121181</v>
      </c>
      <c r="U6146">
        <v>0.71893309999999999</v>
      </c>
      <c r="V6146">
        <v>-0.1348269</v>
      </c>
      <c r="W6146">
        <v>1.4088470000000001E-2</v>
      </c>
      <c r="X6146">
        <v>0.99076900000000001</v>
      </c>
      <c r="Y6146">
        <v>-0.2266059</v>
      </c>
      <c r="Z6146">
        <v>3.8176579999999998E-3</v>
      </c>
      <c r="AA6146">
        <v>0.97397909999999999</v>
      </c>
      <c r="AB6146">
        <v>30</v>
      </c>
      <c r="AC6146">
        <v>28.8186999999999</v>
      </c>
      <c r="AD6146">
        <v>-1.1093176376109899</v>
      </c>
      <c r="AE6146">
        <v>7.1115799999999902</v>
      </c>
      <c r="AF6146">
        <v>-6.7518275427301297</v>
      </c>
      <c r="AG6146">
        <v>-1.1093176376109899</v>
      </c>
      <c r="AH6146">
        <v>28.862585468385301</v>
      </c>
      <c r="AI6146">
        <v>92.143243033064607</v>
      </c>
      <c r="AJ6146">
        <v>103.16644484730899</v>
      </c>
      <c r="AK6146">
        <v>29.662545418553101</v>
      </c>
      <c r="AL6146">
        <v>89.192763419330106</v>
      </c>
      <c r="AM6146">
        <v>97.749384348686704</v>
      </c>
      <c r="AN6146">
        <v>0.99999999465577505</v>
      </c>
    </row>
    <row r="6147" spans="1:40" x14ac:dyDescent="0.25">
      <c r="A6147" t="str">
        <f>"20190312151653575"</f>
        <v>20190312151653575</v>
      </c>
      <c r="B6147" t="str">
        <f>"1552375013563803"</f>
        <v>1552375013563803</v>
      </c>
      <c r="C6147" t="s">
        <v>40</v>
      </c>
      <c r="D6147">
        <v>4.3808720000000001</v>
      </c>
      <c r="E6147">
        <v>0.46454410000000002</v>
      </c>
      <c r="F6147" t="s">
        <v>64</v>
      </c>
      <c r="G6147">
        <v>-198.51490000000001</v>
      </c>
      <c r="H6147" s="1">
        <v>-8.6367850000000007E-6</v>
      </c>
      <c r="I6147">
        <v>-56.075580000000002</v>
      </c>
      <c r="J6147">
        <v>-226.97030000000001</v>
      </c>
      <c r="K6147">
        <v>1.10931</v>
      </c>
      <c r="L6147">
        <v>-63.115229999999997</v>
      </c>
      <c r="M6147">
        <v>0.99987250000000005</v>
      </c>
      <c r="N6147">
        <v>0</v>
      </c>
      <c r="O6147">
        <v>1.21374E-2</v>
      </c>
      <c r="P6147">
        <v>0.98908220000000002</v>
      </c>
      <c r="Q6147">
        <v>3.7360039999999998E-3</v>
      </c>
      <c r="R6147">
        <v>0.1473178</v>
      </c>
      <c r="S6147">
        <v>2.9263759999999999</v>
      </c>
      <c r="T6147">
        <v>-0.1134772</v>
      </c>
      <c r="U6147">
        <v>0.72030640000000001</v>
      </c>
      <c r="V6147">
        <v>-0.1353009</v>
      </c>
      <c r="W6147">
        <v>1.402076E-2</v>
      </c>
      <c r="X6147">
        <v>0.99070539999999996</v>
      </c>
      <c r="Y6147">
        <v>-0.2270529</v>
      </c>
      <c r="Z6147">
        <v>3.8725510000000001E-3</v>
      </c>
      <c r="AA6147">
        <v>0.97387469999999998</v>
      </c>
      <c r="AB6147">
        <v>30</v>
      </c>
      <c r="AC6147">
        <v>28.455400000000001</v>
      </c>
      <c r="AD6147">
        <v>-1.1093186367849901</v>
      </c>
      <c r="AE6147">
        <v>7.03965</v>
      </c>
      <c r="AF6147">
        <v>-6.6841655855135604</v>
      </c>
      <c r="AG6147">
        <v>-1.1093186367849901</v>
      </c>
      <c r="AH6147">
        <v>28.497938400308499</v>
      </c>
      <c r="AI6147">
        <v>92.170344862590696</v>
      </c>
      <c r="AJ6147">
        <v>103.200065704723</v>
      </c>
      <c r="AK6147">
        <v>29.292339450447798</v>
      </c>
      <c r="AL6147">
        <v>89.196643346210706</v>
      </c>
      <c r="AM6147">
        <v>97.776788574624007</v>
      </c>
      <c r="AN6147">
        <v>1.00000005242047</v>
      </c>
    </row>
    <row r="6148" spans="1:40" x14ac:dyDescent="0.25">
      <c r="A6148" t="str">
        <f>"20190312151653586"</f>
        <v>20190312151653586</v>
      </c>
      <c r="B6148" t="str">
        <f>"1552375013573563"</f>
        <v>1552375013573563</v>
      </c>
      <c r="C6148" t="s">
        <v>40</v>
      </c>
      <c r="D6148">
        <v>4.3877759999999997</v>
      </c>
      <c r="E6148">
        <v>0.46440550000000003</v>
      </c>
      <c r="F6148" t="s">
        <v>64</v>
      </c>
      <c r="G6148">
        <v>-198.88929999999999</v>
      </c>
      <c r="H6148" s="1">
        <v>-8.6422559999999999E-6</v>
      </c>
      <c r="I6148">
        <v>-56.179969999999997</v>
      </c>
      <c r="J6148">
        <v>-226.82390000000001</v>
      </c>
      <c r="K6148">
        <v>1.1093090000000001</v>
      </c>
      <c r="L6148">
        <v>-63.113430000000001</v>
      </c>
      <c r="M6148">
        <v>0.99987239999999999</v>
      </c>
      <c r="N6148">
        <v>0</v>
      </c>
      <c r="O6148">
        <v>1.213755E-2</v>
      </c>
      <c r="P6148">
        <v>0.98907069999999997</v>
      </c>
      <c r="Q6148">
        <v>3.7772930000000001E-3</v>
      </c>
      <c r="R6148">
        <v>0.14739440000000001</v>
      </c>
      <c r="S6148">
        <v>2.9259189999999999</v>
      </c>
      <c r="T6148">
        <v>-0.11558640000000001</v>
      </c>
      <c r="U6148">
        <v>0.72262569999999904</v>
      </c>
      <c r="V6148">
        <v>-0.13537739999999901</v>
      </c>
      <c r="W6148">
        <v>1.406701E-2</v>
      </c>
      <c r="X6148">
        <v>0.99069419999999997</v>
      </c>
      <c r="Y6148">
        <v>-0.2278094</v>
      </c>
      <c r="Z6148">
        <v>3.9594189999999996E-3</v>
      </c>
      <c r="AA6148">
        <v>0.9736977</v>
      </c>
      <c r="AB6148">
        <v>30</v>
      </c>
      <c r="AC6148">
        <v>27.9346</v>
      </c>
      <c r="AD6148">
        <v>-1.109317642256</v>
      </c>
      <c r="AE6148">
        <v>6.9334600000000099</v>
      </c>
      <c r="AF6148">
        <v>-6.5840928398996397</v>
      </c>
      <c r="AG6148">
        <v>-1.109317642256</v>
      </c>
      <c r="AH6148">
        <v>27.975145542043801</v>
      </c>
      <c r="AI6148">
        <v>92.210465551231394</v>
      </c>
      <c r="AJ6148">
        <v>103.24382995483801</v>
      </c>
      <c r="AK6148">
        <v>28.760904579904398</v>
      </c>
      <c r="AL6148">
        <v>89.193993080331296</v>
      </c>
      <c r="AM6148">
        <v>97.781218660356004</v>
      </c>
      <c r="AN6148">
        <v>0.99999995955736898</v>
      </c>
    </row>
    <row r="6149" spans="1:40" x14ac:dyDescent="0.25">
      <c r="A6149" t="str">
        <f>"20190312151653597"</f>
        <v>20190312151653597</v>
      </c>
      <c r="B6149" t="str">
        <f>"1552375013594059"</f>
        <v>1552375013594059</v>
      </c>
      <c r="C6149" t="s">
        <v>40</v>
      </c>
      <c r="D6149">
        <v>4.4043150000000004</v>
      </c>
      <c r="E6149">
        <v>0.46418340000000002</v>
      </c>
      <c r="F6149" t="s">
        <v>64</v>
      </c>
      <c r="G6149">
        <v>-199.1086</v>
      </c>
      <c r="H6149" s="1">
        <v>-8.6405999999999999E-6</v>
      </c>
      <c r="I6149">
        <v>-56.254980000000003</v>
      </c>
      <c r="J6149">
        <v>-226.6729</v>
      </c>
      <c r="K6149">
        <v>1.1093090000000001</v>
      </c>
      <c r="L6149">
        <v>-63.111600000000003</v>
      </c>
      <c r="M6149">
        <v>0.99987239999999999</v>
      </c>
      <c r="N6149">
        <v>0</v>
      </c>
      <c r="O6149">
        <v>1.21377E-2</v>
      </c>
      <c r="P6149">
        <v>0.98905829999999995</v>
      </c>
      <c r="Q6149">
        <v>3.618497E-3</v>
      </c>
      <c r="R6149">
        <v>0.14748120000000001</v>
      </c>
      <c r="S6149">
        <v>2.9257049999999998</v>
      </c>
      <c r="T6149">
        <v>-0.1171029</v>
      </c>
      <c r="U6149">
        <v>0.72399899999999995</v>
      </c>
      <c r="V6149">
        <v>-0.1354641</v>
      </c>
      <c r="W6149">
        <v>1.3913490000000001E-2</v>
      </c>
      <c r="X6149">
        <v>0.99068460000000003</v>
      </c>
      <c r="Y6149">
        <v>-0.22825210000000001</v>
      </c>
      <c r="Z6149">
        <v>4.0201059999999999E-3</v>
      </c>
      <c r="AA6149">
        <v>0.97359379999999995</v>
      </c>
      <c r="AB6149">
        <v>30</v>
      </c>
      <c r="AC6149">
        <v>27.564299999999999</v>
      </c>
      <c r="AD6149">
        <v>-1.1093176406</v>
      </c>
      <c r="AE6149">
        <v>6.8566200000000004</v>
      </c>
      <c r="AF6149">
        <v>-6.5115977274394297</v>
      </c>
      <c r="AG6149">
        <v>-1.1093176406</v>
      </c>
      <c r="AH6149">
        <v>27.603395000509799</v>
      </c>
      <c r="AI6149">
        <v>92.239933580551096</v>
      </c>
      <c r="AJ6149">
        <v>103.27332403160899</v>
      </c>
      <c r="AK6149">
        <v>28.382721965060199</v>
      </c>
      <c r="AL6149">
        <v>89.202790055541399</v>
      </c>
      <c r="AM6149">
        <v>97.786215418411501</v>
      </c>
      <c r="AN6149">
        <v>1.00000004213497</v>
      </c>
    </row>
    <row r="6150" spans="1:40" x14ac:dyDescent="0.25">
      <c r="A6150" t="str">
        <f>"20190312151653608"</f>
        <v>20190312151653608</v>
      </c>
      <c r="B6150" t="str">
        <f>"1552375013603819"</f>
        <v>1552375013603819</v>
      </c>
      <c r="C6150" t="s">
        <v>40</v>
      </c>
      <c r="D6150">
        <v>4.4470989999999997</v>
      </c>
      <c r="E6150">
        <v>0.46408310000000003</v>
      </c>
      <c r="F6150" t="s">
        <v>64</v>
      </c>
      <c r="G6150">
        <v>-199.43260000000001</v>
      </c>
      <c r="H6150" s="1">
        <v>-8.643279E-6</v>
      </c>
      <c r="I6150">
        <v>-56.351149999999997</v>
      </c>
      <c r="J6150">
        <v>-226.52539999999999</v>
      </c>
      <c r="K6150">
        <v>1.1093040000000001</v>
      </c>
      <c r="L6150">
        <v>-63.1098</v>
      </c>
      <c r="M6150">
        <v>0.99987239999999999</v>
      </c>
      <c r="N6150">
        <v>0</v>
      </c>
      <c r="O6150">
        <v>1.213767E-2</v>
      </c>
      <c r="P6150">
        <v>0.98902990000000002</v>
      </c>
      <c r="Q6150">
        <v>3.6679310000000001E-3</v>
      </c>
      <c r="R6150">
        <v>0.14766989999999999</v>
      </c>
      <c r="S6150">
        <v>2.9253689999999999</v>
      </c>
      <c r="T6150">
        <v>-0.1191311</v>
      </c>
      <c r="U6150">
        <v>0.72601319999999903</v>
      </c>
      <c r="V6150">
        <v>-0.13565289999999999</v>
      </c>
      <c r="W6150">
        <v>1.396784E-2</v>
      </c>
      <c r="X6150">
        <v>0.99065789999999998</v>
      </c>
      <c r="Y6150">
        <v>-0.22890340000000001</v>
      </c>
      <c r="Z6150">
        <v>4.1028619999999997E-3</v>
      </c>
      <c r="AA6150">
        <v>0.97344050000000004</v>
      </c>
      <c r="AB6150">
        <v>30</v>
      </c>
      <c r="AC6150">
        <v>27.092799999999901</v>
      </c>
      <c r="AD6150">
        <v>-1.1093126432789999</v>
      </c>
      <c r="AE6150">
        <v>6.7586500000000003</v>
      </c>
      <c r="AF6150">
        <v>-6.4191597168225298</v>
      </c>
      <c r="AG6150">
        <v>-1.1093126432789999</v>
      </c>
      <c r="AH6150">
        <v>27.130024242618699</v>
      </c>
      <c r="AI6150">
        <v>92.278604297435507</v>
      </c>
      <c r="AJ6150">
        <v>103.31178767591</v>
      </c>
      <c r="AK6150">
        <v>27.9011541233636</v>
      </c>
      <c r="AL6150">
        <v>89.199675647538896</v>
      </c>
      <c r="AM6150">
        <v>97.797141449021794</v>
      </c>
      <c r="AN6150">
        <v>0.99999994233254097</v>
      </c>
    </row>
    <row r="6151" spans="1:40" x14ac:dyDescent="0.25">
      <c r="A6151" t="str">
        <f>"20190312151653620"</f>
        <v>20190312151653620</v>
      </c>
      <c r="B6151" t="str">
        <f>"1552375013613579"</f>
        <v>1552375013613579</v>
      </c>
      <c r="C6151" t="s">
        <v>40</v>
      </c>
      <c r="D6151">
        <v>4.4346670000000001</v>
      </c>
      <c r="E6151">
        <v>0.46402339999999997</v>
      </c>
      <c r="F6151" t="s">
        <v>64</v>
      </c>
      <c r="G6151">
        <v>-199.65729999999999</v>
      </c>
      <c r="H6151" s="1">
        <v>-8.6415080000000004E-6</v>
      </c>
      <c r="I6151">
        <v>-56.428220000000003</v>
      </c>
      <c r="J6151">
        <v>-226.3785</v>
      </c>
      <c r="K6151">
        <v>1.1093040000000001</v>
      </c>
      <c r="L6151">
        <v>-63.108029999999999</v>
      </c>
      <c r="M6151">
        <v>0.99987239999999999</v>
      </c>
      <c r="N6151">
        <v>0</v>
      </c>
      <c r="O6151">
        <v>1.2137770000000001E-2</v>
      </c>
      <c r="P6151">
        <v>0.98897080000000004</v>
      </c>
      <c r="Q6151">
        <v>3.6740359999999999E-3</v>
      </c>
      <c r="R6151">
        <v>0.14806569999999999</v>
      </c>
      <c r="S6151">
        <v>2.9250949999999998</v>
      </c>
      <c r="T6151">
        <v>-0.1207696</v>
      </c>
      <c r="U6151">
        <v>0.72741699999999998</v>
      </c>
      <c r="V6151">
        <v>-0.1360497</v>
      </c>
      <c r="W6151">
        <v>1.397785E-2</v>
      </c>
      <c r="X6151">
        <v>0.99060340000000002</v>
      </c>
      <c r="Y6151">
        <v>-0.2293596</v>
      </c>
      <c r="Z6151">
        <v>4.1686589999999999E-3</v>
      </c>
      <c r="AA6151">
        <v>0.9733328</v>
      </c>
      <c r="AB6151">
        <v>30</v>
      </c>
      <c r="AC6151">
        <v>26.7212</v>
      </c>
      <c r="AD6151">
        <v>-1.1093126415079999</v>
      </c>
      <c r="AE6151">
        <v>6.6798100000000096</v>
      </c>
      <c r="AF6151">
        <v>-6.3446730705709697</v>
      </c>
      <c r="AG6151">
        <v>-1.1093126415079999</v>
      </c>
      <c r="AH6151">
        <v>26.756912022064299</v>
      </c>
      <c r="AI6151">
        <v>92.310077301981593</v>
      </c>
      <c r="AJ6151">
        <v>103.33975702458</v>
      </c>
      <c r="AK6151">
        <v>27.521224388924399</v>
      </c>
      <c r="AL6151">
        <v>89.199102105844901</v>
      </c>
      <c r="AM6151">
        <v>97.820092097332406</v>
      </c>
      <c r="AN6151">
        <v>0.99999999862613598</v>
      </c>
    </row>
    <row r="6152" spans="1:40" x14ac:dyDescent="0.25">
      <c r="A6152" t="str">
        <f>"20190312151653630"</f>
        <v>20190312151653630</v>
      </c>
      <c r="B6152" t="str">
        <f>"1552375013624315"</f>
        <v>1552375013624315</v>
      </c>
      <c r="C6152" t="s">
        <v>40</v>
      </c>
      <c r="D6152">
        <v>4.4125730000000001</v>
      </c>
      <c r="E6152">
        <v>0.46390910000000002</v>
      </c>
      <c r="F6152" t="s">
        <v>64</v>
      </c>
      <c r="G6152">
        <v>-199.87469999999999</v>
      </c>
      <c r="H6152" s="1">
        <v>-8.6400969999999905E-6</v>
      </c>
      <c r="I6152">
        <v>-56.501899999999999</v>
      </c>
      <c r="J6152">
        <v>-226.23249999999999</v>
      </c>
      <c r="K6152">
        <v>1.1093029999999999</v>
      </c>
      <c r="L6152">
        <v>-63.106259999999999</v>
      </c>
      <c r="M6152">
        <v>0.99987230000000005</v>
      </c>
      <c r="N6152">
        <v>0</v>
      </c>
      <c r="O6152">
        <v>1.213792E-2</v>
      </c>
      <c r="P6152">
        <v>0.98895920000000004</v>
      </c>
      <c r="Q6152">
        <v>3.6895109999999999E-3</v>
      </c>
      <c r="R6152">
        <v>0.14814349999999901</v>
      </c>
      <c r="S6152">
        <v>2.9247589999999999</v>
      </c>
      <c r="T6152">
        <v>-0.1224157</v>
      </c>
      <c r="U6152">
        <v>0.72900390000000004</v>
      </c>
      <c r="V6152">
        <v>-0.1361281</v>
      </c>
      <c r="W6152">
        <v>1.399835E-2</v>
      </c>
      <c r="X6152">
        <v>0.99059240000000004</v>
      </c>
      <c r="Y6152">
        <v>-0.22987769999999999</v>
      </c>
      <c r="Z6152">
        <v>4.2362939999999998E-3</v>
      </c>
      <c r="AA6152">
        <v>0.97321029999999997</v>
      </c>
      <c r="AB6152">
        <v>30</v>
      </c>
      <c r="AC6152">
        <v>26.357800000000001</v>
      </c>
      <c r="AD6152">
        <v>-1.109311640097</v>
      </c>
      <c r="AE6152">
        <v>6.6043599999999998</v>
      </c>
      <c r="AF6152">
        <v>-6.2734715927279101</v>
      </c>
      <c r="AG6152">
        <v>-1.109311640097</v>
      </c>
      <c r="AH6152">
        <v>26.392039340440601</v>
      </c>
      <c r="AI6152">
        <v>92.3416717926129</v>
      </c>
      <c r="AJ6152">
        <v>103.37123753869299</v>
      </c>
      <c r="AK6152">
        <v>27.1500784287446</v>
      </c>
      <c r="AL6152">
        <v>89.197927475200402</v>
      </c>
      <c r="AM6152">
        <v>97.824628510204604</v>
      </c>
      <c r="AN6152">
        <v>1.0000000581750399</v>
      </c>
    </row>
    <row r="6153" spans="1:40" x14ac:dyDescent="0.25">
      <c r="A6153" t="str">
        <f>"20190312151653641"</f>
        <v>20190312151653641</v>
      </c>
      <c r="B6153" t="str">
        <f>"1552375013634074"</f>
        <v>1552375013634074</v>
      </c>
      <c r="C6153" t="s">
        <v>40</v>
      </c>
      <c r="D6153">
        <v>4.41181</v>
      </c>
      <c r="E6153">
        <v>0.46380680000000002</v>
      </c>
      <c r="F6153" t="s">
        <v>64</v>
      </c>
      <c r="G6153">
        <v>-200.0625</v>
      </c>
      <c r="H6153" s="1">
        <v>-6.2799230000000002E-6</v>
      </c>
      <c r="I6153">
        <v>-56.572000000000003</v>
      </c>
      <c r="J6153">
        <v>-226.08279999999999</v>
      </c>
      <c r="K6153">
        <v>1.1093059999999999</v>
      </c>
      <c r="L6153">
        <v>-63.104430000000001</v>
      </c>
      <c r="M6153">
        <v>0.99987210000000004</v>
      </c>
      <c r="N6153">
        <v>0</v>
      </c>
      <c r="O6153">
        <v>1.2138080000000001E-2</v>
      </c>
      <c r="P6153">
        <v>0.98891680000000004</v>
      </c>
      <c r="Q6153">
        <v>3.7210379999999999E-3</v>
      </c>
      <c r="R6153">
        <v>0.1484239</v>
      </c>
      <c r="S6153">
        <v>2.9245760000000001</v>
      </c>
      <c r="T6153">
        <v>-0.1239687</v>
      </c>
      <c r="U6153">
        <v>0.7302246</v>
      </c>
      <c r="V6153">
        <v>-0.13640859999999999</v>
      </c>
      <c r="W6153">
        <v>1.4034110000000001E-2</v>
      </c>
      <c r="X6153">
        <v>0.99055329999999997</v>
      </c>
      <c r="Y6153">
        <v>-0.23026930000000001</v>
      </c>
      <c r="Z6153">
        <v>4.2982050000000003E-3</v>
      </c>
      <c r="AA6153">
        <v>0.97311749999999997</v>
      </c>
      <c r="AB6153">
        <v>30</v>
      </c>
      <c r="AC6153">
        <v>26.020299999999899</v>
      </c>
      <c r="AD6153">
        <v>-1.109312279923</v>
      </c>
      <c r="AE6153">
        <v>6.5324300000000104</v>
      </c>
      <c r="AF6153">
        <v>-6.2054851175946197</v>
      </c>
      <c r="AG6153">
        <v>-1.109312279923</v>
      </c>
      <c r="AH6153">
        <v>26.0531333707405</v>
      </c>
      <c r="AI6153">
        <v>92.371842190898704</v>
      </c>
      <c r="AJ6153">
        <v>103.397405399723</v>
      </c>
      <c r="AK6153">
        <v>26.804931966201</v>
      </c>
      <c r="AL6153">
        <v>89.195878371403197</v>
      </c>
      <c r="AM6153">
        <v>97.840856932044005</v>
      </c>
      <c r="AN6153">
        <v>1.00000005126916</v>
      </c>
    </row>
    <row r="6154" spans="1:40" x14ac:dyDescent="0.25">
      <c r="A6154" t="str">
        <f>"20190312151653653"</f>
        <v>20190312151653653</v>
      </c>
      <c r="B6154" t="str">
        <f>"1552375013643835"</f>
        <v>1552375013643835</v>
      </c>
      <c r="C6154" t="s">
        <v>40</v>
      </c>
      <c r="D6154">
        <v>4.4404130000000004</v>
      </c>
      <c r="E6154">
        <v>0.46370210000000001</v>
      </c>
      <c r="F6154" t="s">
        <v>64</v>
      </c>
      <c r="G6154">
        <v>-200.27619999999999</v>
      </c>
      <c r="H6154" s="1">
        <v>-6.1876009999999899E-6</v>
      </c>
      <c r="I6154">
        <v>-56.645389999999999</v>
      </c>
      <c r="J6154">
        <v>-225.93029999999999</v>
      </c>
      <c r="K6154">
        <v>1.1093059999999999</v>
      </c>
      <c r="L6154">
        <v>-63.102600000000002</v>
      </c>
      <c r="M6154">
        <v>0.99987230000000005</v>
      </c>
      <c r="N6154">
        <v>0</v>
      </c>
      <c r="O6154">
        <v>1.213823E-2</v>
      </c>
      <c r="P6154">
        <v>0.98889709999999997</v>
      </c>
      <c r="Q6154">
        <v>3.651268E-3</v>
      </c>
      <c r="R6154">
        <v>0.1485582</v>
      </c>
      <c r="S6154">
        <v>2.924255</v>
      </c>
      <c r="T6154">
        <v>-0.12570110000000001</v>
      </c>
      <c r="U6154">
        <v>0.73190310000000003</v>
      </c>
      <c r="V6154">
        <v>-0.13654279999999999</v>
      </c>
      <c r="W6154">
        <v>1.3968319999999999E-2</v>
      </c>
      <c r="X6154">
        <v>0.99053570000000002</v>
      </c>
      <c r="Y6154">
        <v>-0.2308142</v>
      </c>
      <c r="Z6154">
        <v>4.369904E-3</v>
      </c>
      <c r="AA6154">
        <v>0.97298799999999996</v>
      </c>
      <c r="AB6154">
        <v>30</v>
      </c>
      <c r="AC6154">
        <v>25.6541</v>
      </c>
      <c r="AD6154">
        <v>-1.1093121876009999</v>
      </c>
      <c r="AE6154">
        <v>6.4572099999999999</v>
      </c>
      <c r="AF6154">
        <v>-6.1345351240255299</v>
      </c>
      <c r="AG6154">
        <v>-1.1093121876009999</v>
      </c>
      <c r="AH6154">
        <v>25.6854280839827</v>
      </c>
      <c r="AI6154">
        <v>92.405405881488605</v>
      </c>
      <c r="AJ6154">
        <v>103.432509363256</v>
      </c>
      <c r="AK6154">
        <v>26.431123899201001</v>
      </c>
      <c r="AL6154">
        <v>89.199648198309802</v>
      </c>
      <c r="AM6154">
        <v>97.848612464199206</v>
      </c>
      <c r="AN6154">
        <v>1.0000000115849701</v>
      </c>
    </row>
    <row r="6155" spans="1:40" x14ac:dyDescent="0.25">
      <c r="A6155" t="str">
        <f>"20190312151653664"</f>
        <v>20190312151653664</v>
      </c>
      <c r="B6155" t="str">
        <f>"1552375013653596"</f>
        <v>1552375013653596</v>
      </c>
      <c r="C6155" t="s">
        <v>40</v>
      </c>
      <c r="D6155">
        <v>4.603059</v>
      </c>
      <c r="E6155">
        <v>0.46361409999999997</v>
      </c>
      <c r="F6155" t="s">
        <v>64</v>
      </c>
      <c r="G6155">
        <v>-200.48740000000001</v>
      </c>
      <c r="H6155" s="1">
        <v>-6.0955909999999899E-6</v>
      </c>
      <c r="I6155">
        <v>-56.722850000000001</v>
      </c>
      <c r="J6155">
        <v>-225.78280000000001</v>
      </c>
      <c r="K6155">
        <v>1.1093059999999999</v>
      </c>
      <c r="L6155">
        <v>-63.1008</v>
      </c>
      <c r="M6155">
        <v>0.99987219999999999</v>
      </c>
      <c r="N6155">
        <v>0</v>
      </c>
      <c r="O6155">
        <v>1.2138390000000001E-2</v>
      </c>
      <c r="P6155">
        <v>0.98886790000000002</v>
      </c>
      <c r="Q6155">
        <v>3.6085589999999999E-3</v>
      </c>
      <c r="R6155">
        <v>0.148753</v>
      </c>
      <c r="S6155">
        <v>2.9239959999999998</v>
      </c>
      <c r="T6155">
        <v>-0.12748619999999999</v>
      </c>
      <c r="U6155">
        <v>0.73318479999999997</v>
      </c>
      <c r="V6155">
        <v>-0.136738</v>
      </c>
      <c r="W6155">
        <v>1.3929220000000001E-2</v>
      </c>
      <c r="X6155">
        <v>0.99050930000000004</v>
      </c>
      <c r="Y6155">
        <v>-0.23122989999999999</v>
      </c>
      <c r="Z6155">
        <v>4.4409690000000003E-3</v>
      </c>
      <c r="AA6155">
        <v>0.972889</v>
      </c>
      <c r="AB6155">
        <v>30</v>
      </c>
      <c r="AC6155">
        <v>25.295400000000001</v>
      </c>
      <c r="AD6155">
        <v>-1.1093120955910001</v>
      </c>
      <c r="AE6155">
        <v>6.3779499999999896</v>
      </c>
      <c r="AF6155">
        <v>-6.0594610412186602</v>
      </c>
      <c r="AG6155">
        <v>-1.1093120955910001</v>
      </c>
      <c r="AH6155">
        <v>25.325164403588101</v>
      </c>
      <c r="AI6155">
        <v>92.439344146120405</v>
      </c>
      <c r="AJ6155">
        <v>103.45598394951</v>
      </c>
      <c r="AK6155">
        <v>26.063606686417</v>
      </c>
      <c r="AL6155">
        <v>89.201888662891307</v>
      </c>
      <c r="AM6155">
        <v>97.859899482320799</v>
      </c>
      <c r="AN6155">
        <v>0.99999998860014905</v>
      </c>
    </row>
    <row r="6156" spans="1:40" x14ac:dyDescent="0.25">
      <c r="A6156" t="str">
        <f>"20190312151653676"</f>
        <v>20190312151653676</v>
      </c>
      <c r="B6156" t="str">
        <f>"1552375013674091"</f>
        <v>1552375013674091</v>
      </c>
      <c r="C6156" t="s">
        <v>40</v>
      </c>
      <c r="D6156">
        <v>4.4222910000000004</v>
      </c>
      <c r="E6156">
        <v>0.46355239999999998</v>
      </c>
      <c r="F6156" t="s">
        <v>64</v>
      </c>
      <c r="G6156">
        <v>-200.45760000000001</v>
      </c>
      <c r="H6156" s="1">
        <v>-6.1043579999999996E-6</v>
      </c>
      <c r="I6156">
        <v>-56.738930000000003</v>
      </c>
      <c r="J6156">
        <v>-225.63329999999999</v>
      </c>
      <c r="K6156">
        <v>1.1093109999999999</v>
      </c>
      <c r="L6156">
        <v>-63.098999999999997</v>
      </c>
      <c r="M6156">
        <v>0.99987219999999999</v>
      </c>
      <c r="N6156">
        <v>0</v>
      </c>
      <c r="O6156">
        <v>1.2138370000000001E-2</v>
      </c>
      <c r="P6156">
        <v>0.98886079999999998</v>
      </c>
      <c r="Q6156">
        <v>3.6610359999999999E-3</v>
      </c>
      <c r="R6156">
        <v>0.14879870000000001</v>
      </c>
      <c r="S6156">
        <v>2.9237519999999999</v>
      </c>
      <c r="T6156">
        <v>-0.12806799999999999</v>
      </c>
      <c r="U6156">
        <v>0.73446659999999997</v>
      </c>
      <c r="V6156">
        <v>-0.13678370000000001</v>
      </c>
      <c r="W6156">
        <v>1.398548E-2</v>
      </c>
      <c r="X6156">
        <v>0.9905022</v>
      </c>
      <c r="Y6156">
        <v>-0.2316481</v>
      </c>
      <c r="Z6156">
        <v>4.4703599999999996E-3</v>
      </c>
      <c r="AA6156">
        <v>0.97278929999999997</v>
      </c>
      <c r="AB6156">
        <v>30</v>
      </c>
      <c r="AC6156">
        <v>25.1756999999999</v>
      </c>
      <c r="AD6156">
        <v>-1.1093171043579999</v>
      </c>
      <c r="AE6156">
        <v>6.3600699999999897</v>
      </c>
      <c r="AF6156">
        <v>-6.0429640409117296</v>
      </c>
      <c r="AG6156">
        <v>-1.1093171043579999</v>
      </c>
      <c r="AH6156">
        <v>25.205049077022</v>
      </c>
      <c r="AI6156">
        <v>92.450696497221401</v>
      </c>
      <c r="AJ6156">
        <v>103.48230374985199</v>
      </c>
      <c r="AK6156">
        <v>25.943062614365001</v>
      </c>
      <c r="AL6156">
        <v>89.198664890375497</v>
      </c>
      <c r="AM6156">
        <v>97.862549190096104</v>
      </c>
      <c r="AN6156">
        <v>0.99999999122067995</v>
      </c>
    </row>
    <row r="6157" spans="1:40" x14ac:dyDescent="0.25">
      <c r="A6157" t="str">
        <f>"20190312151653686"</f>
        <v>20190312151653686</v>
      </c>
      <c r="B6157" t="str">
        <f>"1552375013683850"</f>
        <v>1552375013683850</v>
      </c>
      <c r="C6157" t="s">
        <v>40</v>
      </c>
      <c r="D6157">
        <v>4.4247579999999997</v>
      </c>
      <c r="E6157">
        <v>0.46347739999999998</v>
      </c>
      <c r="F6157" t="s">
        <v>64</v>
      </c>
      <c r="G6157">
        <v>-200.37360000000001</v>
      </c>
      <c r="H6157" s="1">
        <v>-6.1346959999999998E-6</v>
      </c>
      <c r="I6157">
        <v>-56.748100000000001</v>
      </c>
      <c r="J6157">
        <v>-225.48589999999999</v>
      </c>
      <c r="K6157">
        <v>1.10931</v>
      </c>
      <c r="L6157">
        <v>-63.097200000000001</v>
      </c>
      <c r="M6157">
        <v>0.99987219999999999</v>
      </c>
      <c r="N6157">
        <v>0</v>
      </c>
      <c r="O6157">
        <v>1.213847E-2</v>
      </c>
      <c r="P6157">
        <v>0.9888306</v>
      </c>
      <c r="Q6157">
        <v>3.8605599999999999E-3</v>
      </c>
      <c r="R6157">
        <v>0.14899490000000001</v>
      </c>
      <c r="S6157">
        <v>2.923645</v>
      </c>
      <c r="T6157">
        <v>-0.12839629999999999</v>
      </c>
      <c r="U6157">
        <v>0.73507690000000003</v>
      </c>
      <c r="V6157">
        <v>-0.1369803</v>
      </c>
      <c r="W6157">
        <v>1.4188589999999999E-2</v>
      </c>
      <c r="X6157">
        <v>0.99047209999999997</v>
      </c>
      <c r="Y6157">
        <v>-0.2318462</v>
      </c>
      <c r="Z6157">
        <v>4.4861329999999998E-3</v>
      </c>
      <c r="AA6157">
        <v>0.97274210000000005</v>
      </c>
      <c r="AB6157">
        <v>30</v>
      </c>
      <c r="AC6157">
        <v>25.112299999999902</v>
      </c>
      <c r="AD6157">
        <v>-1.1093161346960001</v>
      </c>
      <c r="AE6157">
        <v>6.3491</v>
      </c>
      <c r="AF6157">
        <v>-6.0327260417488802</v>
      </c>
      <c r="AG6157">
        <v>-1.1093161346960001</v>
      </c>
      <c r="AH6157">
        <v>25.1414098375371</v>
      </c>
      <c r="AI6157">
        <v>92.456778974019201</v>
      </c>
      <c r="AJ6157">
        <v>103.493120919026</v>
      </c>
      <c r="AK6157">
        <v>25.878849557128699</v>
      </c>
      <c r="AL6157">
        <v>89.187026355925099</v>
      </c>
      <c r="AM6157">
        <v>97.873944713621597</v>
      </c>
      <c r="AN6157">
        <v>0.99999994977634199</v>
      </c>
    </row>
    <row r="6158" spans="1:40" x14ac:dyDescent="0.25">
      <c r="A6158" t="str">
        <f>"20190312151653698"</f>
        <v>20190312151653698</v>
      </c>
      <c r="B6158" t="str">
        <f>"1552375013693611"</f>
        <v>1552375013693611</v>
      </c>
      <c r="C6158" t="s">
        <v>40</v>
      </c>
      <c r="D6158">
        <v>4.4276339999999896</v>
      </c>
      <c r="E6158">
        <v>0.46337990000000001</v>
      </c>
      <c r="F6158" t="s">
        <v>64</v>
      </c>
      <c r="G6158">
        <v>-200.34010000000001</v>
      </c>
      <c r="H6158" s="1">
        <v>-6.1449049999999997E-6</v>
      </c>
      <c r="I6158">
        <v>-56.76399</v>
      </c>
      <c r="J6158">
        <v>-225.33590000000001</v>
      </c>
      <c r="K6158">
        <v>1.10931</v>
      </c>
      <c r="L6158">
        <v>-63.095370000000003</v>
      </c>
      <c r="M6158">
        <v>0.99987199999999998</v>
      </c>
      <c r="N6158">
        <v>0</v>
      </c>
      <c r="O6158">
        <v>1.21388E-2</v>
      </c>
      <c r="P6158">
        <v>0.98883109999999996</v>
      </c>
      <c r="Q6158">
        <v>3.7741710000000002E-3</v>
      </c>
      <c r="R6158">
        <v>0.14899299999999999</v>
      </c>
      <c r="S6158">
        <v>2.9234469999999999</v>
      </c>
      <c r="T6158">
        <v>-0.128969</v>
      </c>
      <c r="U6158">
        <v>0.7362976</v>
      </c>
      <c r="V6158">
        <v>-0.1369776</v>
      </c>
      <c r="W6158">
        <v>1.4105629999999999E-2</v>
      </c>
      <c r="X6158">
        <v>0.99047370000000001</v>
      </c>
      <c r="Y6158">
        <v>-0.23224130000000001</v>
      </c>
      <c r="Z6158">
        <v>4.5147570000000003E-3</v>
      </c>
      <c r="AA6158">
        <v>0.9726477</v>
      </c>
      <c r="AB6158">
        <v>30</v>
      </c>
      <c r="AC6158">
        <v>24.995799999999999</v>
      </c>
      <c r="AD6158">
        <v>-1.109316144905</v>
      </c>
      <c r="AE6158">
        <v>6.3313799999999896</v>
      </c>
      <c r="AF6158">
        <v>-6.0163426569884004</v>
      </c>
      <c r="AG6158">
        <v>-1.109316144905</v>
      </c>
      <c r="AH6158">
        <v>25.024501249435598</v>
      </c>
      <c r="AI6158">
        <v>92.467981302208599</v>
      </c>
      <c r="AJ6158">
        <v>103.51838097932701</v>
      </c>
      <c r="AK6158">
        <v>25.761456171161001</v>
      </c>
      <c r="AL6158">
        <v>89.1917801231222</v>
      </c>
      <c r="AM6158">
        <v>97.873778898344298</v>
      </c>
      <c r="AN6158">
        <v>0.99999999104557302</v>
      </c>
    </row>
    <row r="6159" spans="1:40" x14ac:dyDescent="0.25">
      <c r="A6159" t="str">
        <f>"20190312151653709"</f>
        <v>20190312151653709</v>
      </c>
      <c r="B6159" t="str">
        <f>"1552375013704347"</f>
        <v>1552375013704347</v>
      </c>
      <c r="C6159" t="s">
        <v>40</v>
      </c>
      <c r="D6159">
        <v>4.4334030000000002</v>
      </c>
      <c r="E6159">
        <v>0.46331169999999999</v>
      </c>
      <c r="F6159" t="s">
        <v>64</v>
      </c>
      <c r="G6159">
        <v>-200.47040000000001</v>
      </c>
      <c r="H6159" s="1">
        <v>-6.0861059999999998E-6</v>
      </c>
      <c r="I6159">
        <v>-56.824710000000003</v>
      </c>
      <c r="J6159">
        <v>-225.18709999999999</v>
      </c>
      <c r="K6159">
        <v>1.1093120000000001</v>
      </c>
      <c r="L6159">
        <v>-63.0935699999999</v>
      </c>
      <c r="M6159">
        <v>0.99987199999999998</v>
      </c>
      <c r="N6159">
        <v>0</v>
      </c>
      <c r="O6159">
        <v>1.2138960000000001E-2</v>
      </c>
      <c r="P6159">
        <v>0.98882040000000004</v>
      </c>
      <c r="Q6159">
        <v>3.8551060000000001E-3</v>
      </c>
      <c r="R6159">
        <v>0.14906220000000001</v>
      </c>
      <c r="S6159">
        <v>2.9233250000000002</v>
      </c>
      <c r="T6159">
        <v>-0.13041720000000001</v>
      </c>
      <c r="U6159">
        <v>0.73721309999999995</v>
      </c>
      <c r="V6159">
        <v>-0.13704729999999901</v>
      </c>
      <c r="W6159">
        <v>1.4190019999999999E-2</v>
      </c>
      <c r="X6159">
        <v>0.99046279999999998</v>
      </c>
      <c r="Y6159">
        <v>-0.2325324</v>
      </c>
      <c r="Z6159">
        <v>4.5718019999999998E-3</v>
      </c>
      <c r="AA6159">
        <v>0.9725779</v>
      </c>
      <c r="AB6159">
        <v>30</v>
      </c>
      <c r="AC6159">
        <v>24.7166999999999</v>
      </c>
      <c r="AD6159">
        <v>-1.1093180861059999</v>
      </c>
      <c r="AE6159">
        <v>6.2688599999999903</v>
      </c>
      <c r="AF6159">
        <v>-5.9570724499485097</v>
      </c>
      <c r="AG6159">
        <v>-1.1093180861059999</v>
      </c>
      <c r="AH6159">
        <v>24.744149784789801</v>
      </c>
      <c r="AI6159">
        <v>92.495726466971206</v>
      </c>
      <c r="AJ6159">
        <v>103.536179202977</v>
      </c>
      <c r="AK6159">
        <v>25.475286992734901</v>
      </c>
      <c r="AL6159">
        <v>89.186944405655495</v>
      </c>
      <c r="AM6159">
        <v>97.8778207258555</v>
      </c>
      <c r="AN6159">
        <v>0.99999993864436298</v>
      </c>
    </row>
    <row r="6160" spans="1:40" x14ac:dyDescent="0.25">
      <c r="A6160" t="str">
        <f>"20190312151653720"</f>
        <v>20190312151653720</v>
      </c>
      <c r="B6160" t="str">
        <f>"1552375013714106"</f>
        <v>1552375013714106</v>
      </c>
      <c r="C6160" t="s">
        <v>40</v>
      </c>
      <c r="D6160">
        <v>4.424461</v>
      </c>
      <c r="E6160">
        <v>0.46323300000000001</v>
      </c>
      <c r="F6160" t="s">
        <v>64</v>
      </c>
      <c r="G6160">
        <v>-200.5966</v>
      </c>
      <c r="H6160" s="1">
        <v>-6.0287559999999901E-6</v>
      </c>
      <c r="I6160">
        <v>-56.886020000000002</v>
      </c>
      <c r="J6160">
        <v>-225.03489999999999</v>
      </c>
      <c r="K6160">
        <v>1.109313</v>
      </c>
      <c r="L6160">
        <v>-63.091740000000001</v>
      </c>
      <c r="M6160">
        <v>0.99987199999999998</v>
      </c>
      <c r="N6160">
        <v>0</v>
      </c>
      <c r="O6160">
        <v>1.2138950000000001E-2</v>
      </c>
      <c r="P6160">
        <v>0.98883350000000003</v>
      </c>
      <c r="Q6160">
        <v>3.9271339999999997E-3</v>
      </c>
      <c r="R6160">
        <v>0.1489732</v>
      </c>
      <c r="S6160">
        <v>2.9231720000000001</v>
      </c>
      <c r="T6160">
        <v>-0.13186879999999901</v>
      </c>
      <c r="U6160">
        <v>0.73791499999999999</v>
      </c>
      <c r="V6160">
        <v>-0.13695789999999999</v>
      </c>
      <c r="W6160">
        <v>1.4265359999999999E-2</v>
      </c>
      <c r="X6160">
        <v>0.99047419999999997</v>
      </c>
      <c r="Y6160">
        <v>-0.2327592</v>
      </c>
      <c r="Z6160">
        <v>4.6277749999999998E-3</v>
      </c>
      <c r="AA6160">
        <v>0.97252340000000004</v>
      </c>
      <c r="AB6160">
        <v>30</v>
      </c>
      <c r="AC6160">
        <v>24.438300000000002</v>
      </c>
      <c r="AD6160">
        <v>-1.109319028756</v>
      </c>
      <c r="AE6160">
        <v>6.2057200000000003</v>
      </c>
      <c r="AF6160">
        <v>-5.8971762832177399</v>
      </c>
      <c r="AG6160">
        <v>-1.109319028756</v>
      </c>
      <c r="AH6160">
        <v>24.464478938609499</v>
      </c>
      <c r="AI6160">
        <v>92.524047934976494</v>
      </c>
      <c r="AJ6160">
        <v>103.55263393835099</v>
      </c>
      <c r="AK6160">
        <v>25.189640858110199</v>
      </c>
      <c r="AL6160">
        <v>89.182627398575903</v>
      </c>
      <c r="AM6160">
        <v>97.872656774199399</v>
      </c>
      <c r="AN6160">
        <v>1.00000005386698</v>
      </c>
    </row>
    <row r="6161" spans="1:40" x14ac:dyDescent="0.25">
      <c r="A6161" t="str">
        <f>"20190312151653732"</f>
        <v>20190312151653732</v>
      </c>
      <c r="B6161" t="str">
        <f>"1552375013723867"</f>
        <v>1552375013723867</v>
      </c>
      <c r="C6161" t="s">
        <v>40</v>
      </c>
      <c r="D6161">
        <v>4.4499029999999999</v>
      </c>
      <c r="E6161">
        <v>0.46316160000000001</v>
      </c>
      <c r="F6161" t="s">
        <v>64</v>
      </c>
      <c r="G6161">
        <v>-200.67339999999999</v>
      </c>
      <c r="H6161" s="1">
        <v>-5.9914209999999999E-6</v>
      </c>
      <c r="I6161">
        <v>-56.938960000000002</v>
      </c>
      <c r="J6161">
        <v>-224.88050000000001</v>
      </c>
      <c r="K6161">
        <v>1.109313</v>
      </c>
      <c r="L6161">
        <v>-63.089840000000002</v>
      </c>
      <c r="M6161">
        <v>0.99987190000000004</v>
      </c>
      <c r="N6161">
        <v>0</v>
      </c>
      <c r="O6161">
        <v>1.213911E-2</v>
      </c>
      <c r="P6161">
        <v>0.98882590000000004</v>
      </c>
      <c r="Q6161">
        <v>3.9243079999999996E-3</v>
      </c>
      <c r="R6161">
        <v>0.1490234</v>
      </c>
      <c r="S6161">
        <v>2.9231720000000001</v>
      </c>
      <c r="T6161">
        <v>-0.1331089</v>
      </c>
      <c r="U6161">
        <v>0.73828130000000003</v>
      </c>
      <c r="V6161">
        <v>-0.1370075</v>
      </c>
      <c r="W6161">
        <v>1.4266310000000001E-2</v>
      </c>
      <c r="X6161">
        <v>0.99046730000000005</v>
      </c>
      <c r="Y6161">
        <v>-0.23286950000000001</v>
      </c>
      <c r="Z6161">
        <v>4.6736449999999997E-3</v>
      </c>
      <c r="AA6161">
        <v>0.97249669999999999</v>
      </c>
      <c r="AB6161">
        <v>30</v>
      </c>
      <c r="AC6161">
        <v>24.207100000000001</v>
      </c>
      <c r="AD6161">
        <v>-1.109318991421</v>
      </c>
      <c r="AE6161">
        <v>6.1508799999999999</v>
      </c>
      <c r="AF6161">
        <v>-5.8450277591533402</v>
      </c>
      <c r="AG6161">
        <v>-1.109318991421</v>
      </c>
      <c r="AH6161">
        <v>24.2321842180659</v>
      </c>
      <c r="AI6161">
        <v>92.548120104894394</v>
      </c>
      <c r="AJ6161">
        <v>103.56122847968</v>
      </c>
      <c r="AK6161">
        <v>24.951827390158801</v>
      </c>
      <c r="AL6161">
        <v>89.182572940504997</v>
      </c>
      <c r="AM6161">
        <v>97.8755263025852</v>
      </c>
      <c r="AN6161">
        <v>1.0000000275132701</v>
      </c>
    </row>
    <row r="6162" spans="1:40" x14ac:dyDescent="0.25">
      <c r="A6162" t="str">
        <f>"20190312151653743"</f>
        <v>20190312151653743</v>
      </c>
      <c r="B6162" t="str">
        <f>"1552375013734603"</f>
        <v>1552375013734603</v>
      </c>
      <c r="C6162" t="s">
        <v>40</v>
      </c>
      <c r="D6162">
        <v>4.4511830000000003</v>
      </c>
      <c r="E6162">
        <v>0.46306540000000002</v>
      </c>
      <c r="F6162" t="s">
        <v>64</v>
      </c>
      <c r="G6162">
        <v>-200.71850000000001</v>
      </c>
      <c r="H6162" s="1">
        <v>-5.9677649999999999E-6</v>
      </c>
      <c r="I6162">
        <v>-56.981169999999999</v>
      </c>
      <c r="J6162">
        <v>-224.73259999999999</v>
      </c>
      <c r="K6162">
        <v>1.1093120000000001</v>
      </c>
      <c r="L6162">
        <v>-63.088039999999999</v>
      </c>
      <c r="M6162">
        <v>0.99987190000000004</v>
      </c>
      <c r="N6162">
        <v>0</v>
      </c>
      <c r="O6162">
        <v>1.2139260000000001E-2</v>
      </c>
      <c r="P6162">
        <v>0.98885389999999995</v>
      </c>
      <c r="Q6162">
        <v>4.1661600000000003E-3</v>
      </c>
      <c r="R6162">
        <v>0.14883099999999999</v>
      </c>
      <c r="S6162">
        <v>2.9230649999999998</v>
      </c>
      <c r="T6162">
        <v>-0.13420279999999901</v>
      </c>
      <c r="U6162">
        <v>0.7390137</v>
      </c>
      <c r="V6162">
        <v>-0.13681479999999999</v>
      </c>
      <c r="W6162">
        <v>1.4513760000000001E-2</v>
      </c>
      <c r="X6162">
        <v>0.99049030000000005</v>
      </c>
      <c r="Y6162">
        <v>-0.233103</v>
      </c>
      <c r="Z6162">
        <v>4.7173090000000003E-3</v>
      </c>
      <c r="AA6162">
        <v>0.97244059999999999</v>
      </c>
      <c r="AB6162">
        <v>30</v>
      </c>
      <c r="AC6162">
        <v>24.0140999999999</v>
      </c>
      <c r="AD6162">
        <v>-1.109317967765</v>
      </c>
      <c r="AE6162">
        <v>6.1068699999999998</v>
      </c>
      <c r="AF6162">
        <v>-5.8032591933965403</v>
      </c>
      <c r="AG6162">
        <v>-1.109317967765</v>
      </c>
      <c r="AH6162">
        <v>24.0382871629653</v>
      </c>
      <c r="AI6162">
        <v>92.568522206407394</v>
      </c>
      <c r="AJ6162">
        <v>103.572493000457</v>
      </c>
      <c r="AK6162">
        <v>24.7537401890811</v>
      </c>
      <c r="AL6162">
        <v>89.168393598007299</v>
      </c>
      <c r="AM6162">
        <v>97.864407804118798</v>
      </c>
      <c r="AN6162">
        <v>0.99999998656123301</v>
      </c>
    </row>
    <row r="6163" spans="1:40" x14ac:dyDescent="0.25">
      <c r="A6163" t="str">
        <f>"20190312151653755"</f>
        <v>20190312151653755</v>
      </c>
      <c r="B6163" t="str">
        <f>"1552375013744363"</f>
        <v>1552375013744363</v>
      </c>
      <c r="C6163" t="s">
        <v>40</v>
      </c>
      <c r="D6163">
        <v>4.4666519999999998</v>
      </c>
      <c r="E6163">
        <v>0.46301100000000001</v>
      </c>
      <c r="F6163" t="s">
        <v>64</v>
      </c>
      <c r="G6163">
        <v>-200.59690000000001</v>
      </c>
      <c r="H6163" s="1">
        <v>-6.0134300000000003E-6</v>
      </c>
      <c r="I6163">
        <v>-56.983359999999998</v>
      </c>
      <c r="J6163">
        <v>-224.57429999999999</v>
      </c>
      <c r="K6163">
        <v>1.109313</v>
      </c>
      <c r="L6163">
        <v>-63.086120000000001</v>
      </c>
      <c r="M6163">
        <v>0.99987190000000004</v>
      </c>
      <c r="N6163">
        <v>0</v>
      </c>
      <c r="O6163">
        <v>1.2139219999999999E-2</v>
      </c>
      <c r="P6163">
        <v>0.98882029999999999</v>
      </c>
      <c r="Q6163">
        <v>4.0397389999999997E-3</v>
      </c>
      <c r="R6163">
        <v>0.14905850000000001</v>
      </c>
      <c r="S6163">
        <v>2.923111</v>
      </c>
      <c r="T6163">
        <v>-0.13435150000000001</v>
      </c>
      <c r="U6163">
        <v>0.73934940000000005</v>
      </c>
      <c r="V6163">
        <v>-0.1370432</v>
      </c>
      <c r="W6163">
        <v>1.439266E-2</v>
      </c>
      <c r="X6163">
        <v>0.99046049999999997</v>
      </c>
      <c r="Y6163">
        <v>-0.23320379999999999</v>
      </c>
      <c r="Z6163">
        <v>4.7246750000000002E-3</v>
      </c>
      <c r="AA6163">
        <v>0.97241639999999996</v>
      </c>
      <c r="AB6163">
        <v>30</v>
      </c>
      <c r="AC6163">
        <v>23.9773999999999</v>
      </c>
      <c r="AD6163">
        <v>-1.1093190134299999</v>
      </c>
      <c r="AE6163">
        <v>6.1027599999999902</v>
      </c>
      <c r="AF6163">
        <v>-5.7995689702089299</v>
      </c>
      <c r="AG6163">
        <v>-1.1093190134299999</v>
      </c>
      <c r="AH6163">
        <v>24.001471086010302</v>
      </c>
      <c r="AI6163">
        <v>92.572332256248004</v>
      </c>
      <c r="AJ6163">
        <v>103.584217185475</v>
      </c>
      <c r="AK6163">
        <v>24.717123683923202</v>
      </c>
      <c r="AL6163">
        <v>89.175332848536797</v>
      </c>
      <c r="AM6163">
        <v>97.877606069843793</v>
      </c>
      <c r="AN6163">
        <v>0.99999999469418199</v>
      </c>
    </row>
    <row r="6164" spans="1:40" x14ac:dyDescent="0.25">
      <c r="A6164" t="str">
        <f>"20190312151653765"</f>
        <v>20190312151653765</v>
      </c>
      <c r="B6164" t="str">
        <f>"1552375013754123"</f>
        <v>1552375013754123</v>
      </c>
      <c r="C6164" t="s">
        <v>40</v>
      </c>
      <c r="D6164">
        <v>4.4467699999999999</v>
      </c>
      <c r="E6164">
        <v>0.46293329999999999</v>
      </c>
      <c r="F6164" t="s">
        <v>64</v>
      </c>
      <c r="G6164">
        <v>-200.69329999999999</v>
      </c>
      <c r="H6164" s="1">
        <v>-5.96856199999999E-6</v>
      </c>
      <c r="I6164">
        <v>-57.037089999999999</v>
      </c>
      <c r="J6164">
        <v>-224.42760000000001</v>
      </c>
      <c r="K6164">
        <v>1.1093139999999999</v>
      </c>
      <c r="L6164">
        <v>-63.084350000000001</v>
      </c>
      <c r="M6164">
        <v>0.99987170000000003</v>
      </c>
      <c r="N6164">
        <v>0</v>
      </c>
      <c r="O6164">
        <v>1.2139479999999999E-2</v>
      </c>
      <c r="P6164">
        <v>0.98882809999999999</v>
      </c>
      <c r="Q6164">
        <v>4.1236600000000003E-3</v>
      </c>
      <c r="R6164">
        <v>0.14900350000000001</v>
      </c>
      <c r="S6164">
        <v>2.9228519999999998</v>
      </c>
      <c r="T6164">
        <v>-0.13577220000000001</v>
      </c>
      <c r="U6164">
        <v>0.74035640000000003</v>
      </c>
      <c r="V6164">
        <v>-0.13698769999999999</v>
      </c>
      <c r="W6164">
        <v>1.448468E-2</v>
      </c>
      <c r="X6164">
        <v>0.99046679999999998</v>
      </c>
      <c r="Y6164">
        <v>-0.23353389999999999</v>
      </c>
      <c r="Z6164">
        <v>4.7823290000000001E-3</v>
      </c>
      <c r="AA6164">
        <v>0.97233689999999995</v>
      </c>
      <c r="AB6164">
        <v>30</v>
      </c>
      <c r="AC6164">
        <v>23.734300000000001</v>
      </c>
      <c r="AD6164">
        <v>-1.1093199685620001</v>
      </c>
      <c r="AE6164">
        <v>6.0472599999999996</v>
      </c>
      <c r="AF6164">
        <v>-5.7468875451983301</v>
      </c>
      <c r="AG6164">
        <v>-1.1093199685620001</v>
      </c>
      <c r="AH6164">
        <v>23.757230572967799</v>
      </c>
      <c r="AI6164">
        <v>92.598585675636301</v>
      </c>
      <c r="AJ6164">
        <v>103.598652535393</v>
      </c>
      <c r="AK6164">
        <v>24.467597179677501</v>
      </c>
      <c r="AL6164">
        <v>89.170059911506598</v>
      </c>
      <c r="AM6164">
        <v>97.874406354088094</v>
      </c>
      <c r="AN6164">
        <v>0.99999995890411497</v>
      </c>
    </row>
    <row r="6165" spans="1:40" x14ac:dyDescent="0.25">
      <c r="A6165" t="str">
        <f>"20190312151653777"</f>
        <v>20190312151653777</v>
      </c>
      <c r="B6165" t="str">
        <f>"1552375013773644"</f>
        <v>1552375013773644</v>
      </c>
      <c r="C6165" t="s">
        <v>40</v>
      </c>
      <c r="D6165">
        <v>4.4557079999999996</v>
      </c>
      <c r="E6165">
        <v>0.46280120000000002</v>
      </c>
      <c r="F6165" t="s">
        <v>64</v>
      </c>
      <c r="G6165">
        <v>-200.6754</v>
      </c>
      <c r="H6165" s="1">
        <v>-5.9711359999999996E-6</v>
      </c>
      <c r="I6165">
        <v>-57.063929999999999</v>
      </c>
      <c r="J6165">
        <v>-224.28280000000001</v>
      </c>
      <c r="K6165">
        <v>1.109316</v>
      </c>
      <c r="L6165">
        <v>-63.08258</v>
      </c>
      <c r="M6165">
        <v>0.99987170000000003</v>
      </c>
      <c r="N6165">
        <v>0</v>
      </c>
      <c r="O6165">
        <v>1.213962E-2</v>
      </c>
      <c r="P6165">
        <v>0.98881090000000005</v>
      </c>
      <c r="Q6165">
        <v>4.0287489999999999E-3</v>
      </c>
      <c r="R6165">
        <v>0.14912139999999999</v>
      </c>
      <c r="S6165">
        <v>2.9228360000000002</v>
      </c>
      <c r="T6165">
        <v>-0.13650770000000001</v>
      </c>
      <c r="U6165">
        <v>0.74084469999999902</v>
      </c>
      <c r="V6165">
        <v>-0.13710549999999999</v>
      </c>
      <c r="W6165">
        <v>1.439647E-2</v>
      </c>
      <c r="X6165">
        <v>0.99045179999999999</v>
      </c>
      <c r="Y6165">
        <v>-0.23368510000000001</v>
      </c>
      <c r="Z6165">
        <v>4.811605E-3</v>
      </c>
      <c r="AA6165">
        <v>0.97230039999999995</v>
      </c>
      <c r="AB6165">
        <v>30</v>
      </c>
      <c r="AC6165">
        <v>23.607399999999998</v>
      </c>
      <c r="AD6165">
        <v>-1.1093219711360001</v>
      </c>
      <c r="AE6165">
        <v>6.0186500000000001</v>
      </c>
      <c r="AF6165">
        <v>-5.7197469680131396</v>
      </c>
      <c r="AG6165">
        <v>-1.1093219711360001</v>
      </c>
      <c r="AH6165">
        <v>23.629735926278101</v>
      </c>
      <c r="AI6165">
        <v>92.612498330025204</v>
      </c>
      <c r="AJ6165">
        <v>103.607128817366</v>
      </c>
      <c r="AK6165">
        <v>24.337430442825699</v>
      </c>
      <c r="AL6165">
        <v>89.175114510523102</v>
      </c>
      <c r="AM6165">
        <v>97.881210604771297</v>
      </c>
      <c r="AN6165">
        <v>0.99999997230097504</v>
      </c>
    </row>
    <row r="6166" spans="1:40" x14ac:dyDescent="0.25">
      <c r="A6166" t="str">
        <f>"20190312151653788"</f>
        <v>20190312151653788</v>
      </c>
      <c r="B6166" t="str">
        <f>"1552375013784379"</f>
        <v>1552375013784379</v>
      </c>
      <c r="C6166" t="s">
        <v>40</v>
      </c>
      <c r="D6166">
        <v>4.4612119999999997</v>
      </c>
      <c r="E6166">
        <v>0.462696</v>
      </c>
      <c r="F6166" t="s">
        <v>64</v>
      </c>
      <c r="G6166">
        <v>-200.91120000000001</v>
      </c>
      <c r="H6166" s="1">
        <v>-5.8689169999999997E-6</v>
      </c>
      <c r="I6166">
        <v>-57.147109999999998</v>
      </c>
      <c r="J6166">
        <v>-224.13200000000001</v>
      </c>
      <c r="K6166">
        <v>1.109316</v>
      </c>
      <c r="L6166">
        <v>-63.080750000000002</v>
      </c>
      <c r="M6166">
        <v>0.99987159999999997</v>
      </c>
      <c r="N6166">
        <v>0</v>
      </c>
      <c r="O6166">
        <v>1.2139759999999999E-2</v>
      </c>
      <c r="P6166">
        <v>0.98879309999999998</v>
      </c>
      <c r="Q6166">
        <v>4.1365389999999998E-3</v>
      </c>
      <c r="R6166">
        <v>0.14923629999999999</v>
      </c>
      <c r="S6166">
        <v>2.922577</v>
      </c>
      <c r="T6166">
        <v>-0.13871849999999999</v>
      </c>
      <c r="U6166">
        <v>0.74221800000000004</v>
      </c>
      <c r="V6166">
        <v>-0.1372205</v>
      </c>
      <c r="W6166">
        <v>1.451186E-2</v>
      </c>
      <c r="X6166">
        <v>0.99043419999999904</v>
      </c>
      <c r="Y6166">
        <v>-0.2341268</v>
      </c>
      <c r="Z6166">
        <v>4.8998959999999999E-3</v>
      </c>
      <c r="AA6166">
        <v>0.97219370000000005</v>
      </c>
      <c r="AB6166">
        <v>30</v>
      </c>
      <c r="AC6166">
        <v>23.220800000000001</v>
      </c>
      <c r="AD6166">
        <v>-1.1093218689169999</v>
      </c>
      <c r="AE6166">
        <v>5.9336399999999996</v>
      </c>
      <c r="AF6166">
        <v>-5.6392111796567201</v>
      </c>
      <c r="AG6166">
        <v>-1.1093218689169999</v>
      </c>
      <c r="AH6166">
        <v>23.241334516476499</v>
      </c>
      <c r="AI6166">
        <v>92.655743179443206</v>
      </c>
      <c r="AJ6166">
        <v>103.6385159097</v>
      </c>
      <c r="AK6166">
        <v>23.941406137576401</v>
      </c>
      <c r="AL6166">
        <v>89.168502467758998</v>
      </c>
      <c r="AM6166">
        <v>97.887876357125407</v>
      </c>
      <c r="AN6166">
        <v>0.99999998211527397</v>
      </c>
    </row>
    <row r="6167" spans="1:40" x14ac:dyDescent="0.25">
      <c r="A6167" t="str">
        <f>"20190312151653799"</f>
        <v>20190312151653799</v>
      </c>
      <c r="B6167" t="str">
        <f>"1552375013794140"</f>
        <v>1552375013794140</v>
      </c>
      <c r="C6167" t="s">
        <v>40</v>
      </c>
      <c r="D6167">
        <v>4.4540800000000003</v>
      </c>
      <c r="E6167">
        <v>0.46261839999999999</v>
      </c>
      <c r="F6167" t="s">
        <v>64</v>
      </c>
      <c r="G6167">
        <v>-200.7715</v>
      </c>
      <c r="H6167" s="1">
        <v>-5.9231969999999996E-6</v>
      </c>
      <c r="I6167">
        <v>-57.137979999999999</v>
      </c>
      <c r="J6167">
        <v>-223.9803</v>
      </c>
      <c r="K6167">
        <v>1.109316</v>
      </c>
      <c r="L6167">
        <v>-63.078919999999997</v>
      </c>
      <c r="M6167">
        <v>0.99987159999999997</v>
      </c>
      <c r="N6167">
        <v>0</v>
      </c>
      <c r="O6167">
        <v>1.213972E-2</v>
      </c>
      <c r="P6167">
        <v>0.98876909999999896</v>
      </c>
      <c r="Q6167">
        <v>4.0123559999999999E-3</v>
      </c>
      <c r="R6167">
        <v>0.14939849999999999</v>
      </c>
      <c r="S6167">
        <v>2.9223789999999998</v>
      </c>
      <c r="T6167">
        <v>-0.1387756</v>
      </c>
      <c r="U6167">
        <v>0.74343870000000001</v>
      </c>
      <c r="V6167">
        <v>-0.13738320000000001</v>
      </c>
      <c r="W6167">
        <v>1.4394570000000001E-2</v>
      </c>
      <c r="X6167">
        <v>0.9904134</v>
      </c>
      <c r="Y6167">
        <v>-0.23452339999999999</v>
      </c>
      <c r="Z6167">
        <v>4.9112510000000002E-3</v>
      </c>
      <c r="AA6167">
        <v>0.97209809999999996</v>
      </c>
      <c r="AB6167">
        <v>30</v>
      </c>
      <c r="AC6167">
        <v>23.2088</v>
      </c>
      <c r="AD6167">
        <v>-1.109321923197</v>
      </c>
      <c r="AE6167">
        <v>5.9409399999999897</v>
      </c>
      <c r="AF6167">
        <v>-5.6466314437557497</v>
      </c>
      <c r="AG6167">
        <v>-1.109321923197</v>
      </c>
      <c r="AH6167">
        <v>23.229408550690898</v>
      </c>
      <c r="AI6167">
        <v>92.656834655354004</v>
      </c>
      <c r="AJ6167">
        <v>103.662538584176</v>
      </c>
      <c r="AK6167">
        <v>23.931578790497898</v>
      </c>
      <c r="AL6167">
        <v>89.175223427333904</v>
      </c>
      <c r="AM6167">
        <v>97.897274703954395</v>
      </c>
      <c r="AN6167">
        <v>1.0000000250936401</v>
      </c>
    </row>
    <row r="6168" spans="1:40" x14ac:dyDescent="0.25">
      <c r="A6168" t="str">
        <f>"20190312151653809"</f>
        <v>20190312151653809</v>
      </c>
      <c r="B6168" t="str">
        <f>"1552375013803899"</f>
        <v>1552375013803899</v>
      </c>
      <c r="C6168" t="s">
        <v>40</v>
      </c>
      <c r="D6168">
        <v>4.453176</v>
      </c>
      <c r="E6168">
        <v>0.46251880000000001</v>
      </c>
      <c r="F6168" t="s">
        <v>64</v>
      </c>
      <c r="G6168">
        <v>-200.8759</v>
      </c>
      <c r="H6168" s="1">
        <v>-5.8752650000000004E-6</v>
      </c>
      <c r="I6168">
        <v>-57.191899999999997</v>
      </c>
      <c r="J6168">
        <v>-223.83420000000001</v>
      </c>
      <c r="K6168">
        <v>1.109316</v>
      </c>
      <c r="L6168">
        <v>-63.077150000000003</v>
      </c>
      <c r="M6168">
        <v>0.99987150000000002</v>
      </c>
      <c r="N6168">
        <v>0</v>
      </c>
      <c r="O6168">
        <v>1.2139860000000001E-2</v>
      </c>
      <c r="P6168">
        <v>0.98876520000000001</v>
      </c>
      <c r="Q6168">
        <v>4.034045E-3</v>
      </c>
      <c r="R6168">
        <v>0.14942279999999999</v>
      </c>
      <c r="S6168">
        <v>2.9221499999999998</v>
      </c>
      <c r="T6168">
        <v>-0.1403027</v>
      </c>
      <c r="U6168">
        <v>0.74456789999999995</v>
      </c>
      <c r="V6168">
        <v>-0.13740769999999999</v>
      </c>
      <c r="W6168">
        <v>1.44227E-2</v>
      </c>
      <c r="X6168">
        <v>0.9904096</v>
      </c>
      <c r="Y6168">
        <v>-0.2348886</v>
      </c>
      <c r="Z6168">
        <v>4.973997E-3</v>
      </c>
      <c r="AA6168">
        <v>0.97200949999999997</v>
      </c>
      <c r="AB6168">
        <v>30</v>
      </c>
      <c r="AC6168">
        <v>22.958300000000001</v>
      </c>
      <c r="AD6168">
        <v>-1.109321875265</v>
      </c>
      <c r="AE6168">
        <v>5.8852500000000001</v>
      </c>
      <c r="AF6168">
        <v>-5.5938356692004296</v>
      </c>
      <c r="AG6168">
        <v>-1.109321875265</v>
      </c>
      <c r="AH6168">
        <v>22.9777192771685</v>
      </c>
      <c r="AI6168">
        <v>92.6856693446733</v>
      </c>
      <c r="AJ6168">
        <v>103.682279061342</v>
      </c>
      <c r="AK6168">
        <v>23.674821555765199</v>
      </c>
      <c r="AL6168">
        <v>89.173611536327698</v>
      </c>
      <c r="AM6168">
        <v>97.898695199835203</v>
      </c>
      <c r="AN6168">
        <v>1.00000003303336</v>
      </c>
    </row>
    <row r="6169" spans="1:40" x14ac:dyDescent="0.25">
      <c r="A6169" t="str">
        <f>"20190312151653821"</f>
        <v>20190312151653821</v>
      </c>
      <c r="B6169" t="str">
        <f>"1552375013813659"</f>
        <v>1552375013813659</v>
      </c>
      <c r="C6169" t="s">
        <v>40</v>
      </c>
      <c r="D6169">
        <v>4.4320909999999998</v>
      </c>
      <c r="E6169">
        <v>0.46251880000000001</v>
      </c>
      <c r="F6169" t="s">
        <v>64</v>
      </c>
      <c r="G6169">
        <v>-200.84809999999999</v>
      </c>
      <c r="H6169" s="1">
        <v>-5.8824450000000004E-6</v>
      </c>
      <c r="I6169">
        <v>-57.21331</v>
      </c>
      <c r="J6169">
        <v>-223.68709999999999</v>
      </c>
      <c r="K6169">
        <v>1.1093170000000001</v>
      </c>
      <c r="L6169">
        <v>-63.07535</v>
      </c>
      <c r="M6169">
        <v>0.99987139999999997</v>
      </c>
      <c r="N6169">
        <v>0</v>
      </c>
      <c r="O6169">
        <v>1.213995E-2</v>
      </c>
      <c r="P6169">
        <v>0.98874050000000002</v>
      </c>
      <c r="Q6169">
        <v>4.0770110000000002E-3</v>
      </c>
      <c r="R6169">
        <v>0.14958589999999999</v>
      </c>
      <c r="S6169">
        <v>2.9220280000000001</v>
      </c>
      <c r="T6169">
        <v>-0.14101910000000001</v>
      </c>
      <c r="U6169">
        <v>0.74542240000000004</v>
      </c>
      <c r="V6169">
        <v>-0.13757049999999901</v>
      </c>
      <c r="W6169">
        <v>1.4472280000000001E-2</v>
      </c>
      <c r="X6169">
        <v>0.99038619999999999</v>
      </c>
      <c r="Y6169">
        <v>-0.23516239999999999</v>
      </c>
      <c r="Z6169">
        <v>5.005888E-3</v>
      </c>
      <c r="AA6169">
        <v>0.97194320000000001</v>
      </c>
      <c r="AB6169">
        <v>30</v>
      </c>
      <c r="AC6169">
        <v>22.838999999999999</v>
      </c>
      <c r="AD6169">
        <v>-1.1093228824449901</v>
      </c>
      <c r="AE6169">
        <v>5.8620400000000004</v>
      </c>
      <c r="AF6169">
        <v>-5.5719955360196396</v>
      </c>
      <c r="AG6169">
        <v>-1.1093228824449901</v>
      </c>
      <c r="AH6169">
        <v>22.857892563562601</v>
      </c>
      <c r="AI6169">
        <v>92.699531141691594</v>
      </c>
      <c r="AJ6169">
        <v>103.699626089227</v>
      </c>
      <c r="AK6169">
        <v>23.553364599528201</v>
      </c>
      <c r="AL6169">
        <v>89.170770452311999</v>
      </c>
      <c r="AM6169">
        <v>97.908119688593601</v>
      </c>
      <c r="AN6169">
        <v>0.99999995725454305</v>
      </c>
    </row>
    <row r="6170" spans="1:40" x14ac:dyDescent="0.25">
      <c r="A6170" t="str">
        <f>"20190312151653833"</f>
        <v>20190312151653833</v>
      </c>
      <c r="B6170" t="str">
        <f>"1552375013824395"</f>
        <v>1552375013824395</v>
      </c>
      <c r="C6170" t="s">
        <v>40</v>
      </c>
      <c r="D6170">
        <v>4.4784100000000002</v>
      </c>
      <c r="E6170">
        <v>0.46243250000000002</v>
      </c>
      <c r="F6170" t="s">
        <v>64</v>
      </c>
      <c r="G6170">
        <v>-200.68020000000001</v>
      </c>
      <c r="H6170" s="1">
        <v>-5.9477260000000001E-6</v>
      </c>
      <c r="I6170">
        <v>-57.202330000000003</v>
      </c>
      <c r="J6170">
        <v>-223.53219999999999</v>
      </c>
      <c r="K6170">
        <v>1.1093170000000001</v>
      </c>
      <c r="L6170">
        <v>-63.07349</v>
      </c>
      <c r="M6170">
        <v>0.99987139999999997</v>
      </c>
      <c r="N6170">
        <v>0</v>
      </c>
      <c r="O6170">
        <v>1.2140089999999999E-2</v>
      </c>
      <c r="P6170">
        <v>0.98873160000000004</v>
      </c>
      <c r="Q6170">
        <v>4.2572679999999998E-3</v>
      </c>
      <c r="R6170">
        <v>0.14963889999999999</v>
      </c>
      <c r="S6170">
        <v>2.9219059999999999</v>
      </c>
      <c r="T6170">
        <v>-0.14088519999999999</v>
      </c>
      <c r="U6170">
        <v>0.74588009999999905</v>
      </c>
      <c r="V6170">
        <v>-0.13762349999999901</v>
      </c>
      <c r="W6170">
        <v>1.4659180000000001E-2</v>
      </c>
      <c r="X6170">
        <v>0.99037609999999998</v>
      </c>
      <c r="Y6170">
        <v>-0.2353152</v>
      </c>
      <c r="Z6170">
        <v>5.0048649999999998E-3</v>
      </c>
      <c r="AA6170">
        <v>0.97190620000000005</v>
      </c>
      <c r="AB6170">
        <v>30</v>
      </c>
      <c r="AC6170">
        <v>22.851999999999901</v>
      </c>
      <c r="AD6170">
        <v>-1.109322947726</v>
      </c>
      <c r="AE6170">
        <v>5.8711599999999899</v>
      </c>
      <c r="AF6170">
        <v>-5.5809495616835401</v>
      </c>
      <c r="AG6170">
        <v>-1.109322947726</v>
      </c>
      <c r="AH6170">
        <v>22.871037754284998</v>
      </c>
      <c r="AI6170">
        <v>92.697826130935496</v>
      </c>
      <c r="AJ6170">
        <v>103.713221271701</v>
      </c>
      <c r="AK6170">
        <v>23.568240565861899</v>
      </c>
      <c r="AL6170">
        <v>89.160060744683904</v>
      </c>
      <c r="AM6170">
        <v>97.911207436573406</v>
      </c>
      <c r="AN6170">
        <v>0.99999996938086499</v>
      </c>
    </row>
    <row r="6171" spans="1:40" x14ac:dyDescent="0.25">
      <c r="A6171" t="str">
        <f>"20190312151653843"</f>
        <v>20190312151653843</v>
      </c>
      <c r="B6171" t="str">
        <f>"1552375013834155"</f>
        <v>1552375013834155</v>
      </c>
      <c r="C6171" t="s">
        <v>40</v>
      </c>
      <c r="D6171">
        <v>4.463419</v>
      </c>
      <c r="E6171">
        <v>0.46233940000000001</v>
      </c>
      <c r="F6171" t="s">
        <v>64</v>
      </c>
      <c r="G6171">
        <v>-200.58539999999999</v>
      </c>
      <c r="H6171" s="1">
        <v>-5.9825169999999997E-6</v>
      </c>
      <c r="I6171">
        <v>-57.209130000000002</v>
      </c>
      <c r="J6171">
        <v>-223.38329999999999</v>
      </c>
      <c r="K6171">
        <v>1.109318</v>
      </c>
      <c r="L6171">
        <v>-63.071660000000001</v>
      </c>
      <c r="M6171">
        <v>0.99987110000000001</v>
      </c>
      <c r="N6171">
        <v>0</v>
      </c>
      <c r="O6171">
        <v>1.2140410000000001E-2</v>
      </c>
      <c r="P6171">
        <v>0.98869960000000001</v>
      </c>
      <c r="Q6171">
        <v>4.0821240000000003E-3</v>
      </c>
      <c r="R6171">
        <v>0.14985490000000001</v>
      </c>
      <c r="S6171">
        <v>2.921783</v>
      </c>
      <c r="T6171">
        <v>-0.14124890000000001</v>
      </c>
      <c r="U6171">
        <v>0.74670409999999998</v>
      </c>
      <c r="V6171">
        <v>-0.1378392</v>
      </c>
      <c r="W6171">
        <v>1.4490400000000001E-2</v>
      </c>
      <c r="X6171">
        <v>0.99034860000000002</v>
      </c>
      <c r="Y6171">
        <v>-0.2355804</v>
      </c>
      <c r="Z6171">
        <v>5.0240909999999996E-3</v>
      </c>
      <c r="AA6171">
        <v>0.97184190000000004</v>
      </c>
      <c r="AB6171">
        <v>30</v>
      </c>
      <c r="AC6171">
        <v>22.797899999999998</v>
      </c>
      <c r="AD6171">
        <v>-1.109323982517</v>
      </c>
      <c r="AE6171">
        <v>5.8625299999999898</v>
      </c>
      <c r="AF6171">
        <v>-5.5729301579381998</v>
      </c>
      <c r="AG6171">
        <v>-1.109323982517</v>
      </c>
      <c r="AH6171">
        <v>22.8167247248305</v>
      </c>
      <c r="AI6171">
        <v>92.704098336404996</v>
      </c>
      <c r="AJ6171">
        <v>103.725625157696</v>
      </c>
      <c r="AK6171">
        <v>23.513635988764801</v>
      </c>
      <c r="AL6171">
        <v>89.1697321653552</v>
      </c>
      <c r="AM6171">
        <v>97.923666689011</v>
      </c>
      <c r="AN6171">
        <v>0.99999998313537897</v>
      </c>
    </row>
    <row r="6172" spans="1:40" x14ac:dyDescent="0.25">
      <c r="A6172" t="str">
        <f>"20190312151653856"</f>
        <v>20190312151653856</v>
      </c>
      <c r="B6172" t="str">
        <f>"1552375013843916"</f>
        <v>1552375013843916</v>
      </c>
      <c r="C6172" t="s">
        <v>40</v>
      </c>
      <c r="D6172">
        <v>4.5179340000000003</v>
      </c>
      <c r="E6172">
        <v>0.46230900000000003</v>
      </c>
      <c r="F6172" t="s">
        <v>64</v>
      </c>
      <c r="G6172">
        <v>-200.66630000000001</v>
      </c>
      <c r="H6172" s="1">
        <v>-5.9449389999999996E-6</v>
      </c>
      <c r="I6172">
        <v>-57.253790000000002</v>
      </c>
      <c r="J6172">
        <v>-223.22829999999999</v>
      </c>
      <c r="K6172">
        <v>1.1093170000000001</v>
      </c>
      <c r="L6172">
        <v>-63.069789999999998</v>
      </c>
      <c r="M6172">
        <v>0.99987110000000001</v>
      </c>
      <c r="N6172">
        <v>0</v>
      </c>
      <c r="O6172">
        <v>1.214056E-2</v>
      </c>
      <c r="P6172">
        <v>0.98869249999999997</v>
      </c>
      <c r="Q6172">
        <v>4.2421020000000002E-3</v>
      </c>
      <c r="R6172">
        <v>0.14989720000000001</v>
      </c>
      <c r="S6172">
        <v>2.921494</v>
      </c>
      <c r="T6172">
        <v>-0.14266309999999999</v>
      </c>
      <c r="U6172">
        <v>0.74819950000000002</v>
      </c>
      <c r="V6172">
        <v>-0.1378818</v>
      </c>
      <c r="W6172">
        <v>1.465632E-2</v>
      </c>
      <c r="X6172">
        <v>0.9903402</v>
      </c>
      <c r="Y6172">
        <v>-0.23606479999999999</v>
      </c>
      <c r="Z6172">
        <v>5.086134E-3</v>
      </c>
      <c r="AA6172">
        <v>0.97172400000000003</v>
      </c>
      <c r="AB6172">
        <v>30</v>
      </c>
      <c r="AC6172">
        <v>22.561999999999902</v>
      </c>
      <c r="AD6172">
        <v>-1.1093229449390001</v>
      </c>
      <c r="AE6172">
        <v>5.8159999999999998</v>
      </c>
      <c r="AF6172">
        <v>-5.5291072949262201</v>
      </c>
      <c r="AG6172">
        <v>-1.1093229449390001</v>
      </c>
      <c r="AH6172">
        <v>22.5797657472209</v>
      </c>
      <c r="AI6172">
        <v>92.732038813852697</v>
      </c>
      <c r="AJ6172">
        <v>103.75927393423601</v>
      </c>
      <c r="AK6172">
        <v>23.273320478056899</v>
      </c>
      <c r="AL6172">
        <v>89.160224616240598</v>
      </c>
      <c r="AM6172">
        <v>97.926150799710001</v>
      </c>
      <c r="AN6172">
        <v>0.99999995511160999</v>
      </c>
    </row>
    <row r="6173" spans="1:40" x14ac:dyDescent="0.25">
      <c r="A6173" t="str">
        <f>"20190312151653866"</f>
        <v>20190312151653866</v>
      </c>
      <c r="B6173" t="str">
        <f>"1552375013853675"</f>
        <v>1552375013853675</v>
      </c>
      <c r="C6173" t="s">
        <v>40</v>
      </c>
      <c r="D6173">
        <v>4.5703880000000003</v>
      </c>
      <c r="E6173">
        <v>0.46230900000000003</v>
      </c>
      <c r="F6173" t="s">
        <v>64</v>
      </c>
      <c r="G6173">
        <v>-200.62180000000001</v>
      </c>
      <c r="H6173" s="1">
        <v>-5.9581179999999998E-6</v>
      </c>
      <c r="I6173">
        <v>-57.277279999999998</v>
      </c>
      <c r="J6173">
        <v>-223.0857</v>
      </c>
      <c r="K6173">
        <v>1.1093170000000001</v>
      </c>
      <c r="L6173">
        <v>-63.068049999999999</v>
      </c>
      <c r="M6173">
        <v>0.99987110000000001</v>
      </c>
      <c r="N6173">
        <v>0</v>
      </c>
      <c r="O6173">
        <v>1.214053E-2</v>
      </c>
      <c r="P6173">
        <v>0.98865760000000003</v>
      </c>
      <c r="Q6173">
        <v>4.0917169999999999E-3</v>
      </c>
      <c r="R6173">
        <v>0.15013170000000001</v>
      </c>
      <c r="S6173">
        <v>2.9214319999999998</v>
      </c>
      <c r="T6173">
        <v>-0.1433576</v>
      </c>
      <c r="U6173">
        <v>0.748565699999999</v>
      </c>
      <c r="V6173">
        <v>-0.13811679999999901</v>
      </c>
      <c r="W6173">
        <v>1.451186E-2</v>
      </c>
      <c r="X6173">
        <v>0.99030969999999996</v>
      </c>
      <c r="Y6173">
        <v>-0.23618140000000001</v>
      </c>
      <c r="Z6173">
        <v>5.113706E-3</v>
      </c>
      <c r="AA6173">
        <v>0.97169550000000005</v>
      </c>
      <c r="AB6173">
        <v>30</v>
      </c>
      <c r="AC6173">
        <v>22.463899999999899</v>
      </c>
      <c r="AD6173">
        <v>-1.109322958118</v>
      </c>
      <c r="AE6173">
        <v>5.7907699999999904</v>
      </c>
      <c r="AF6173">
        <v>-5.5050162815174701</v>
      </c>
      <c r="AG6173">
        <v>-1.109322958118</v>
      </c>
      <c r="AH6173">
        <v>22.481144044771401</v>
      </c>
      <c r="AI6173">
        <v>92.744004002263907</v>
      </c>
      <c r="AJ6173">
        <v>103.75941455338101</v>
      </c>
      <c r="AK6173">
        <v>23.171914880884199</v>
      </c>
      <c r="AL6173">
        <v>89.168502543516396</v>
      </c>
      <c r="AM6173">
        <v>97.939729082673693</v>
      </c>
      <c r="AN6173">
        <v>1.0000000732184899</v>
      </c>
    </row>
    <row r="6174" spans="1:40" x14ac:dyDescent="0.25">
      <c r="A6174" t="str">
        <f>"20190312151653878"</f>
        <v>20190312151653878</v>
      </c>
      <c r="B6174" t="str">
        <f>"1552375013874171"</f>
        <v>1552375013874171</v>
      </c>
      <c r="C6174" t="s">
        <v>40</v>
      </c>
      <c r="D6174">
        <v>4.8124510000000003</v>
      </c>
      <c r="E6174">
        <v>0.4892474</v>
      </c>
      <c r="F6174" t="s">
        <v>64</v>
      </c>
      <c r="G6174">
        <v>-200.53479999999999</v>
      </c>
      <c r="H6174" s="1">
        <v>-5.9899979999999998E-6</v>
      </c>
      <c r="I6174">
        <v>-57.283969999999997</v>
      </c>
      <c r="J6174">
        <v>-222.93469999999999</v>
      </c>
      <c r="K6174">
        <v>1.1093170000000001</v>
      </c>
      <c r="L6174">
        <v>-63.066220000000001</v>
      </c>
      <c r="M6174">
        <v>0.99987099999999995</v>
      </c>
      <c r="N6174">
        <v>0</v>
      </c>
      <c r="O6174">
        <v>1.214061E-2</v>
      </c>
      <c r="P6174">
        <v>0.98860190000000003</v>
      </c>
      <c r="Q6174">
        <v>4.3906409999999998E-3</v>
      </c>
      <c r="R6174">
        <v>0.15048889999999901</v>
      </c>
      <c r="S6174">
        <v>2.9212340000000001</v>
      </c>
      <c r="T6174">
        <v>-0.1437012</v>
      </c>
      <c r="U6174">
        <v>0.74926759999999903</v>
      </c>
      <c r="V6174">
        <v>-0.13847409999999999</v>
      </c>
      <c r="W6174">
        <v>1.481557E-2</v>
      </c>
      <c r="X6174">
        <v>0.9902552</v>
      </c>
      <c r="Y6174">
        <v>-0.23641470000000001</v>
      </c>
      <c r="Z6174">
        <v>5.1317740000000004E-3</v>
      </c>
      <c r="AA6174">
        <v>0.97163869999999997</v>
      </c>
      <c r="AB6174">
        <v>30</v>
      </c>
      <c r="AC6174">
        <v>22.399899999999999</v>
      </c>
      <c r="AD6174">
        <v>-1.1093229899979999</v>
      </c>
      <c r="AE6174">
        <v>5.7822499999999897</v>
      </c>
      <c r="AF6174">
        <v>-5.4972201923103103</v>
      </c>
      <c r="AG6174">
        <v>-1.1093229899979999</v>
      </c>
      <c r="AH6174">
        <v>22.416908196020401</v>
      </c>
      <c r="AI6174">
        <v>92.751630199878605</v>
      </c>
      <c r="AJ6174">
        <v>103.778543288365</v>
      </c>
      <c r="AK6174">
        <v>23.1077432997619</v>
      </c>
      <c r="AL6174">
        <v>89.151099284155194</v>
      </c>
      <c r="AM6174">
        <v>97.960438226286101</v>
      </c>
      <c r="AN6174">
        <v>0.99999996930613699</v>
      </c>
    </row>
    <row r="6175" spans="1:40" x14ac:dyDescent="0.25">
      <c r="A6175" t="str">
        <f>"20190312151653888"</f>
        <v>20190312151653888</v>
      </c>
      <c r="B6175" t="str">
        <f>"1552375013883931"</f>
        <v>1552375013883931</v>
      </c>
      <c r="C6175" t="s">
        <v>40</v>
      </c>
      <c r="D6175">
        <v>4.7189870000000003</v>
      </c>
      <c r="E6175">
        <v>0.49222759999999999</v>
      </c>
      <c r="F6175" t="s">
        <v>64</v>
      </c>
      <c r="G6175">
        <v>-201.2953</v>
      </c>
      <c r="H6175" s="1">
        <v>-5.3219569999999999E-6</v>
      </c>
      <c r="I6175">
        <v>-59.124319999999997</v>
      </c>
      <c r="J6175">
        <v>-222.77940000000001</v>
      </c>
      <c r="K6175">
        <v>1.109318</v>
      </c>
      <c r="L6175">
        <v>-63.064329999999998</v>
      </c>
      <c r="M6175">
        <v>0.99987099999999995</v>
      </c>
      <c r="N6175">
        <v>0</v>
      </c>
      <c r="O6175">
        <v>1.214076E-2</v>
      </c>
      <c r="P6175">
        <v>0.98857399999999995</v>
      </c>
      <c r="Q6175">
        <v>4.3200779999999998E-3</v>
      </c>
      <c r="R6175">
        <v>0.150675799999999</v>
      </c>
      <c r="S6175">
        <v>2.9533689999999999</v>
      </c>
      <c r="T6175">
        <v>-0.15140120000000001</v>
      </c>
      <c r="U6175">
        <v>0.53799439999999998</v>
      </c>
      <c r="V6175">
        <v>-0.1386617</v>
      </c>
      <c r="W6175">
        <v>1.475073E-2</v>
      </c>
      <c r="X6175">
        <v>0.99023000000000005</v>
      </c>
      <c r="Y6175">
        <v>-0.16705889999999901</v>
      </c>
      <c r="Z6175">
        <v>3.6276160000000002E-3</v>
      </c>
      <c r="AA6175">
        <v>0.98594029999999999</v>
      </c>
      <c r="AB6175">
        <v>30</v>
      </c>
      <c r="AC6175">
        <v>21.484100000000002</v>
      </c>
      <c r="AD6175">
        <v>-1.109323321957</v>
      </c>
      <c r="AE6175">
        <v>3.94001</v>
      </c>
      <c r="AF6175">
        <v>-3.6694070523714601</v>
      </c>
      <c r="AG6175">
        <v>-1.109323321957</v>
      </c>
      <c r="AH6175">
        <v>21.474961628261301</v>
      </c>
      <c r="AI6175">
        <v>92.914904773274202</v>
      </c>
      <c r="AJ6175">
        <v>99.696434629179294</v>
      </c>
      <c r="AK6175">
        <v>21.814424660850602</v>
      </c>
      <c r="AL6175">
        <v>89.154814818516599</v>
      </c>
      <c r="AM6175">
        <v>97.9712844772409</v>
      </c>
      <c r="AN6175">
        <v>1.00000005199121</v>
      </c>
    </row>
    <row r="6176" spans="1:40" x14ac:dyDescent="0.25">
      <c r="A6176" t="str">
        <f>"20190312151653900"</f>
        <v>20190312151653900</v>
      </c>
      <c r="B6176" t="str">
        <f>"1552375013893691"</f>
        <v>1552375013893691</v>
      </c>
      <c r="C6176" t="s">
        <v>40</v>
      </c>
      <c r="D6176">
        <v>4.8204250000000002</v>
      </c>
      <c r="E6176">
        <v>0.49351080000000003</v>
      </c>
      <c r="F6176" t="s">
        <v>64</v>
      </c>
      <c r="G6176">
        <v>-200.56890000000001</v>
      </c>
      <c r="H6176" s="1">
        <v>-5.6762869999999996E-6</v>
      </c>
      <c r="I6176">
        <v>-59.195529999999998</v>
      </c>
      <c r="J6176">
        <v>-222.63159999999999</v>
      </c>
      <c r="K6176">
        <v>1.1093189999999999</v>
      </c>
      <c r="L6176">
        <v>-63.062559999999998</v>
      </c>
      <c r="M6176">
        <v>0.99987090000000001</v>
      </c>
      <c r="N6176">
        <v>0</v>
      </c>
      <c r="O6176">
        <v>1.214091E-2</v>
      </c>
      <c r="P6176">
        <v>0.98850660000000001</v>
      </c>
      <c r="Q6176">
        <v>4.5285020000000002E-3</v>
      </c>
      <c r="R6176">
        <v>0.1511112</v>
      </c>
      <c r="S6176">
        <v>2.956833</v>
      </c>
      <c r="T6176">
        <v>-0.1476817</v>
      </c>
      <c r="U6176">
        <v>0.51504519999999998</v>
      </c>
      <c r="V6176">
        <v>-0.13909759999999999</v>
      </c>
      <c r="W6176">
        <v>1.4963850000000001E-2</v>
      </c>
      <c r="X6176">
        <v>0.99016559999999998</v>
      </c>
      <c r="Y6176">
        <v>-0.15945200000000001</v>
      </c>
      <c r="Z6176">
        <v>3.3484690000000002E-3</v>
      </c>
      <c r="AA6176">
        <v>0.98719999999999997</v>
      </c>
      <c r="AB6176">
        <v>30</v>
      </c>
      <c r="AC6176">
        <v>22.0626999999999</v>
      </c>
      <c r="AD6176">
        <v>-1.1093246762869999</v>
      </c>
      <c r="AE6176">
        <v>3.86702999999999</v>
      </c>
      <c r="AF6176">
        <v>-3.5900632211440602</v>
      </c>
      <c r="AG6176">
        <v>-1.1093246762869999</v>
      </c>
      <c r="AH6176">
        <v>22.053932111261599</v>
      </c>
      <c r="AI6176">
        <v>92.8422320570495</v>
      </c>
      <c r="AJ6176">
        <v>99.245829855738194</v>
      </c>
      <c r="AK6176">
        <v>22.371747288429798</v>
      </c>
      <c r="AL6176">
        <v>89.142602539177702</v>
      </c>
      <c r="AM6176">
        <v>97.996532913583593</v>
      </c>
      <c r="AN6176">
        <v>0.99999998727797101</v>
      </c>
    </row>
    <row r="6177" spans="1:40" x14ac:dyDescent="0.25">
      <c r="A6177" t="str">
        <f>"20190312151653911"</f>
        <v>20190312151653911</v>
      </c>
      <c r="B6177" t="str">
        <f>"1552375013904427"</f>
        <v>1552375013904427</v>
      </c>
      <c r="C6177" t="s">
        <v>40</v>
      </c>
      <c r="D6177">
        <v>4.616339</v>
      </c>
      <c r="E6177">
        <v>0.49531500000000001</v>
      </c>
      <c r="F6177" t="s">
        <v>64</v>
      </c>
      <c r="G6177">
        <v>-199.77</v>
      </c>
      <c r="H6177" s="1">
        <v>-7.6986320000000003E-6</v>
      </c>
      <c r="I6177">
        <v>-59.150539999999999</v>
      </c>
      <c r="J6177">
        <v>-222.4821</v>
      </c>
      <c r="K6177">
        <v>1.1093189999999999</v>
      </c>
      <c r="L6177">
        <v>-63.06073</v>
      </c>
      <c r="M6177">
        <v>0.99987079999999995</v>
      </c>
      <c r="N6177">
        <v>0</v>
      </c>
      <c r="O6177">
        <v>1.214106E-2</v>
      </c>
      <c r="P6177">
        <v>0.98844739999999998</v>
      </c>
      <c r="Q6177">
        <v>4.5595619999999996E-3</v>
      </c>
      <c r="R6177">
        <v>0.15149599999999999</v>
      </c>
      <c r="S6177">
        <v>2.9581599999999999</v>
      </c>
      <c r="T6177">
        <v>-0.143541</v>
      </c>
      <c r="U6177">
        <v>0.50619510000000001</v>
      </c>
      <c r="V6177">
        <v>-0.13948269999999999</v>
      </c>
      <c r="W6177">
        <v>1.499961E-2</v>
      </c>
      <c r="X6177">
        <v>0.99011090000000002</v>
      </c>
      <c r="Y6177">
        <v>-0.15652149999999901</v>
      </c>
      <c r="Z6177">
        <v>3.1835209999999999E-3</v>
      </c>
      <c r="AA6177">
        <v>0.98766940000000003</v>
      </c>
      <c r="AB6177">
        <v>30</v>
      </c>
      <c r="AC6177">
        <v>22.7120999999999</v>
      </c>
      <c r="AD6177">
        <v>-1.1093266986319901</v>
      </c>
      <c r="AE6177">
        <v>3.9101900000000001</v>
      </c>
      <c r="AF6177">
        <v>-3.62573680147577</v>
      </c>
      <c r="AG6177">
        <v>-1.1093266986319901</v>
      </c>
      <c r="AH6177">
        <v>22.705294996854398</v>
      </c>
      <c r="AI6177">
        <v>92.762170670198401</v>
      </c>
      <c r="AJ6177">
        <v>99.072781169872698</v>
      </c>
      <c r="AK6177">
        <v>23.019708815970201</v>
      </c>
      <c r="AL6177">
        <v>89.140553425696098</v>
      </c>
      <c r="AM6177">
        <v>98.018821472512599</v>
      </c>
      <c r="AN6177">
        <v>1.0000000030991201</v>
      </c>
    </row>
    <row r="6178" spans="1:40" x14ac:dyDescent="0.25">
      <c r="A6178" t="str">
        <f>"20190312151653921"</f>
        <v>20190312151653921</v>
      </c>
      <c r="B6178" t="str">
        <f>"1552375013914187"</f>
        <v>1552375013914187</v>
      </c>
      <c r="C6178" t="s">
        <v>40</v>
      </c>
      <c r="D6178">
        <v>4.697114</v>
      </c>
      <c r="E6178">
        <v>0.49605909999999898</v>
      </c>
      <c r="F6178" t="s">
        <v>64</v>
      </c>
      <c r="G6178">
        <v>-199.58080000000001</v>
      </c>
      <c r="H6178" s="1">
        <v>-7.6439819999999906E-6</v>
      </c>
      <c r="I6178">
        <v>-59.245600000000003</v>
      </c>
      <c r="J6178">
        <v>-222.3356</v>
      </c>
      <c r="K6178">
        <v>1.1093200000000001</v>
      </c>
      <c r="L6178">
        <v>-63.058959999999999</v>
      </c>
      <c r="M6178">
        <v>0.99987079999999995</v>
      </c>
      <c r="N6178">
        <v>0</v>
      </c>
      <c r="O6178">
        <v>1.2141040000000001E-2</v>
      </c>
      <c r="P6178">
        <v>0.9883923</v>
      </c>
      <c r="Q6178">
        <v>4.7016790000000003E-3</v>
      </c>
      <c r="R6178">
        <v>0.1518505</v>
      </c>
      <c r="S6178">
        <v>2.960159</v>
      </c>
      <c r="T6178">
        <v>-0.1433885</v>
      </c>
      <c r="U6178">
        <v>0.4931335</v>
      </c>
      <c r="V6178">
        <v>-0.13983789999999999</v>
      </c>
      <c r="W6178">
        <v>1.514598E-2</v>
      </c>
      <c r="X6178">
        <v>0.99005849999999995</v>
      </c>
      <c r="Y6178">
        <v>-0.15217720000000001</v>
      </c>
      <c r="Z6178">
        <v>3.0747449999999998E-3</v>
      </c>
      <c r="AA6178">
        <v>0.98834840000000002</v>
      </c>
      <c r="AB6178">
        <v>30</v>
      </c>
      <c r="AC6178">
        <v>22.7547999999999</v>
      </c>
      <c r="AD6178">
        <v>-1.1093276439819999</v>
      </c>
      <c r="AE6178">
        <v>3.8133599999999901</v>
      </c>
      <c r="AF6178">
        <v>-3.5286392320296298</v>
      </c>
      <c r="AG6178">
        <v>-1.1093276439819999</v>
      </c>
      <c r="AH6178">
        <v>22.746837922538901</v>
      </c>
      <c r="AI6178">
        <v>92.759065155500906</v>
      </c>
      <c r="AJ6178">
        <v>98.817815342492693</v>
      </c>
      <c r="AK6178">
        <v>23.0456186318739</v>
      </c>
      <c r="AL6178">
        <v>89.132166031599297</v>
      </c>
      <c r="AM6178">
        <v>98.039395120423706</v>
      </c>
      <c r="AN6178">
        <v>0.99999993620440797</v>
      </c>
    </row>
    <row r="6179" spans="1:40" x14ac:dyDescent="0.25">
      <c r="A6179" t="str">
        <f>"20190312151653934"</f>
        <v>20190312151653934</v>
      </c>
      <c r="B6179" t="str">
        <f>"1552375013923947"</f>
        <v>1552375013923947</v>
      </c>
      <c r="C6179" t="s">
        <v>40</v>
      </c>
      <c r="D6179">
        <v>4.557131</v>
      </c>
      <c r="E6179">
        <v>0.49704720000000002</v>
      </c>
      <c r="F6179" t="s">
        <v>64</v>
      </c>
      <c r="G6179">
        <v>-199.1404</v>
      </c>
      <c r="H6179" s="1">
        <v>-7.5985780000000002E-6</v>
      </c>
      <c r="I6179">
        <v>-59.233829999999998</v>
      </c>
      <c r="J6179">
        <v>-222.1746</v>
      </c>
      <c r="K6179">
        <v>1.109321</v>
      </c>
      <c r="L6179">
        <v>-63.057009999999998</v>
      </c>
      <c r="M6179">
        <v>0.99987079999999995</v>
      </c>
      <c r="N6179">
        <v>0</v>
      </c>
      <c r="O6179">
        <v>1.214119E-2</v>
      </c>
      <c r="P6179">
        <v>0.9883227</v>
      </c>
      <c r="Q6179">
        <v>4.6509719999999997E-3</v>
      </c>
      <c r="R6179">
        <v>0.152305</v>
      </c>
      <c r="S6179">
        <v>2.9608759999999998</v>
      </c>
      <c r="T6179">
        <v>-0.1416066</v>
      </c>
      <c r="U6179">
        <v>0.48828129999999997</v>
      </c>
      <c r="V6179">
        <v>-0.1402931</v>
      </c>
      <c r="W6179">
        <v>1.509973E-2</v>
      </c>
      <c r="X6179">
        <v>0.98999490000000001</v>
      </c>
      <c r="Y6179">
        <v>-0.15056729999999999</v>
      </c>
      <c r="Z6179">
        <v>2.998031E-3</v>
      </c>
      <c r="AA6179">
        <v>0.98859520000000001</v>
      </c>
      <c r="AB6179">
        <v>30</v>
      </c>
      <c r="AC6179">
        <v>23.034199999999998</v>
      </c>
      <c r="AD6179">
        <v>-1.1093285985779999</v>
      </c>
      <c r="AE6179">
        <v>3.82317999999999</v>
      </c>
      <c r="AF6179">
        <v>-3.5352402815068902</v>
      </c>
      <c r="AG6179">
        <v>-1.1093285985779999</v>
      </c>
      <c r="AH6179">
        <v>23.026945942648901</v>
      </c>
      <c r="AI6179">
        <v>92.726212735272995</v>
      </c>
      <c r="AJ6179">
        <v>98.728255138224498</v>
      </c>
      <c r="AK6179">
        <v>23.323138151485701</v>
      </c>
      <c r="AL6179">
        <v>89.134816344839606</v>
      </c>
      <c r="AM6179">
        <v>98.065732470769404</v>
      </c>
      <c r="AN6179">
        <v>1.0000000288898401</v>
      </c>
    </row>
    <row r="6180" spans="1:40" x14ac:dyDescent="0.25">
      <c r="A6180" t="str">
        <f>"20190312151653944"</f>
        <v>20190312151653944</v>
      </c>
      <c r="B6180" t="str">
        <f>"1552375013933707"</f>
        <v>1552375013933707</v>
      </c>
      <c r="C6180" t="s">
        <v>40</v>
      </c>
      <c r="D6180">
        <v>4.5791500000000003</v>
      </c>
      <c r="E6180">
        <v>0.49786560000000002</v>
      </c>
      <c r="F6180" t="s">
        <v>64</v>
      </c>
      <c r="G6180">
        <v>-199.02950000000001</v>
      </c>
      <c r="H6180" s="1">
        <v>-7.5660329999999902E-6</v>
      </c>
      <c r="I6180">
        <v>-59.290999999999997</v>
      </c>
      <c r="J6180">
        <v>-222.0324</v>
      </c>
      <c r="K6180">
        <v>1.109321</v>
      </c>
      <c r="L6180">
        <v>-63.055269999999901</v>
      </c>
      <c r="M6180">
        <v>0.9998707</v>
      </c>
      <c r="N6180">
        <v>0</v>
      </c>
      <c r="O6180">
        <v>1.2143030000000001E-2</v>
      </c>
      <c r="P6180">
        <v>0.98824849999999997</v>
      </c>
      <c r="Q6180">
        <v>4.7177950000000003E-3</v>
      </c>
      <c r="R6180">
        <v>0.15278340000000001</v>
      </c>
      <c r="S6180">
        <v>2.9618679999999999</v>
      </c>
      <c r="T6180">
        <v>-0.14196029999999901</v>
      </c>
      <c r="U6180">
        <v>0.48193359999999902</v>
      </c>
      <c r="V6180">
        <v>-0.1407707</v>
      </c>
      <c r="W6180">
        <v>1.516934E-2</v>
      </c>
      <c r="X6180">
        <v>0.98992599999999997</v>
      </c>
      <c r="Y6180">
        <v>-0.14845029999999901</v>
      </c>
      <c r="Z6180">
        <v>2.9545719999999999E-3</v>
      </c>
      <c r="AA6180">
        <v>0.9889154</v>
      </c>
      <c r="AB6180">
        <v>30</v>
      </c>
      <c r="AC6180">
        <v>23.002899999999901</v>
      </c>
      <c r="AD6180">
        <v>-1.1093285660329999</v>
      </c>
      <c r="AE6180">
        <v>3.7642699999999798</v>
      </c>
      <c r="AF6180">
        <v>-3.4767769247588398</v>
      </c>
      <c r="AG6180">
        <v>-1.1093285660329999</v>
      </c>
      <c r="AH6180">
        <v>22.994831517681298</v>
      </c>
      <c r="AI6180">
        <v>92.730959421698202</v>
      </c>
      <c r="AJ6180">
        <v>98.597894395608904</v>
      </c>
      <c r="AK6180">
        <v>23.2826300958139</v>
      </c>
      <c r="AL6180">
        <v>89.130827496966106</v>
      </c>
      <c r="AM6180">
        <v>98.093383317082498</v>
      </c>
      <c r="AN6180">
        <v>0.99999999216526203</v>
      </c>
    </row>
    <row r="6181" spans="1:40" x14ac:dyDescent="0.25">
      <c r="A6181" t="str">
        <f>"20190312151653957"</f>
        <v>20190312151653957</v>
      </c>
      <c r="B6181" t="str">
        <f>"1552375013944443"</f>
        <v>1552375013944443</v>
      </c>
      <c r="C6181" t="s">
        <v>40</v>
      </c>
      <c r="D6181">
        <v>4.7092159999999996</v>
      </c>
      <c r="E6181">
        <v>0.49858239999999998</v>
      </c>
      <c r="F6181" t="s">
        <v>64</v>
      </c>
      <c r="G6181">
        <v>-198.88679999999999</v>
      </c>
      <c r="H6181" s="1">
        <v>-7.5364719999999998E-6</v>
      </c>
      <c r="I6181">
        <v>-59.32949</v>
      </c>
      <c r="J6181">
        <v>-221.87639999999999</v>
      </c>
      <c r="K6181">
        <v>1.109324</v>
      </c>
      <c r="L6181">
        <v>-63.053339999999999</v>
      </c>
      <c r="M6181">
        <v>0.9998705</v>
      </c>
      <c r="N6181">
        <v>0</v>
      </c>
      <c r="O6181">
        <v>1.214666E-2</v>
      </c>
      <c r="P6181">
        <v>0.98813519999999999</v>
      </c>
      <c r="Q6181">
        <v>4.6738329999999996E-3</v>
      </c>
      <c r="R6181">
        <v>0.1535155</v>
      </c>
      <c r="S6181">
        <v>2.962631</v>
      </c>
      <c r="T6181">
        <v>-0.141993799999999</v>
      </c>
      <c r="U6181">
        <v>0.47689819999999999</v>
      </c>
      <c r="V6181">
        <v>-0.1415005</v>
      </c>
      <c r="W6181">
        <v>1.5128340000000001E-2</v>
      </c>
      <c r="X6181">
        <v>0.9898226</v>
      </c>
      <c r="Y6181">
        <v>-0.14677009999999999</v>
      </c>
      <c r="Z6181">
        <v>2.914757E-3</v>
      </c>
      <c r="AA6181">
        <v>0.98916630000000005</v>
      </c>
      <c r="AB6181">
        <v>30</v>
      </c>
      <c r="AC6181">
        <v>22.989599999999999</v>
      </c>
      <c r="AD6181">
        <v>-1.109331536472</v>
      </c>
      <c r="AE6181">
        <v>3.7238500000000001</v>
      </c>
      <c r="AF6181">
        <v>-3.4365157813857801</v>
      </c>
      <c r="AG6181">
        <v>-1.109331536472</v>
      </c>
      <c r="AH6181">
        <v>22.9809974643352</v>
      </c>
      <c r="AI6181">
        <v>92.733274656393206</v>
      </c>
      <c r="AJ6181">
        <v>98.504835166536793</v>
      </c>
      <c r="AK6181">
        <v>23.262985655957898</v>
      </c>
      <c r="AL6181">
        <v>89.133176916646207</v>
      </c>
      <c r="AM6181">
        <v>98.135620213940896</v>
      </c>
      <c r="AN6181">
        <v>1.00000001882108</v>
      </c>
    </row>
    <row r="6182" spans="1:40" x14ac:dyDescent="0.25">
      <c r="A6182" t="str">
        <f>"20190312151653967"</f>
        <v>20190312151653967</v>
      </c>
      <c r="B6182" t="str">
        <f>"1552375013963964"</f>
        <v>1552375013963964</v>
      </c>
      <c r="C6182" t="s">
        <v>40</v>
      </c>
      <c r="D6182">
        <v>4.7207330000000001</v>
      </c>
      <c r="E6182">
        <v>0.49963410000000003</v>
      </c>
      <c r="F6182" t="s">
        <v>64</v>
      </c>
      <c r="G6182">
        <v>-197.8244</v>
      </c>
      <c r="H6182" s="1">
        <v>-7.4585440000000002E-6</v>
      </c>
      <c r="I6182">
        <v>-59.211039999999997</v>
      </c>
      <c r="J6182">
        <v>-221.7253</v>
      </c>
      <c r="K6182">
        <v>1.1093280000000001</v>
      </c>
      <c r="L6182">
        <v>-63.05151</v>
      </c>
      <c r="M6182">
        <v>0.99987040000000005</v>
      </c>
      <c r="N6182">
        <v>0</v>
      </c>
      <c r="O6182">
        <v>1.215377E-2</v>
      </c>
      <c r="P6182">
        <v>0.98803600000000003</v>
      </c>
      <c r="Q6182">
        <v>4.689169E-3</v>
      </c>
      <c r="R6182">
        <v>0.15415279999999901</v>
      </c>
      <c r="S6182">
        <v>2.96312</v>
      </c>
      <c r="T6182">
        <v>-0.1366657</v>
      </c>
      <c r="U6182">
        <v>0.47335820000000001</v>
      </c>
      <c r="V6182">
        <v>-0.14213190000000001</v>
      </c>
      <c r="W6182">
        <v>1.514598E-2</v>
      </c>
      <c r="X6182">
        <v>0.98973180000000005</v>
      </c>
      <c r="Y6182">
        <v>-0.14559749999999999</v>
      </c>
      <c r="Z6182">
        <v>2.778127E-3</v>
      </c>
      <c r="AA6182">
        <v>0.98934</v>
      </c>
      <c r="AB6182">
        <v>30</v>
      </c>
      <c r="AC6182">
        <v>23.9009</v>
      </c>
      <c r="AD6182">
        <v>-1.1093354585439901</v>
      </c>
      <c r="AE6182">
        <v>3.8404699999999901</v>
      </c>
      <c r="AF6182">
        <v>-3.5422452404423899</v>
      </c>
      <c r="AG6182">
        <v>-1.1093354585439901</v>
      </c>
      <c r="AH6182">
        <v>23.8956316171741</v>
      </c>
      <c r="AI6182">
        <v>92.629311005330607</v>
      </c>
      <c r="AJ6182">
        <v>98.432017318153299</v>
      </c>
      <c r="AK6182">
        <v>24.182211166200499</v>
      </c>
      <c r="AL6182">
        <v>89.132166049491204</v>
      </c>
      <c r="AM6182">
        <v>98.172173114958795</v>
      </c>
      <c r="AN6182">
        <v>0.99999995681950404</v>
      </c>
    </row>
    <row r="6183" spans="1:40" x14ac:dyDescent="0.25">
      <c r="A6183" t="str">
        <f>"20190312151653978"</f>
        <v>20190312151653978</v>
      </c>
      <c r="B6183" t="str">
        <f>"1552375013973723"</f>
        <v>1552375013973723</v>
      </c>
      <c r="C6183" t="s">
        <v>40</v>
      </c>
      <c r="D6183">
        <v>4.7680119999999997</v>
      </c>
      <c r="E6183">
        <v>0.49988830000000001</v>
      </c>
      <c r="F6183" t="s">
        <v>64</v>
      </c>
      <c r="G6183">
        <v>-196.7602</v>
      </c>
      <c r="H6183" s="1">
        <v>-7.3711950000000003E-6</v>
      </c>
      <c r="I6183">
        <v>-59.118879999999997</v>
      </c>
      <c r="J6183">
        <v>-221.57409999999999</v>
      </c>
      <c r="K6183">
        <v>1.1093360000000001</v>
      </c>
      <c r="L6183">
        <v>-63.04965</v>
      </c>
      <c r="M6183">
        <v>0.99987020000000004</v>
      </c>
      <c r="N6183">
        <v>0</v>
      </c>
      <c r="O6183">
        <v>1.2168180000000001E-2</v>
      </c>
      <c r="P6183">
        <v>0.9879561</v>
      </c>
      <c r="Q6183">
        <v>4.656487E-3</v>
      </c>
      <c r="R6183">
        <v>0.15466479999999999</v>
      </c>
      <c r="S6183">
        <v>2.9640960000000001</v>
      </c>
      <c r="T6183">
        <v>-0.13171079999999999</v>
      </c>
      <c r="U6183">
        <v>0.46691890000000003</v>
      </c>
      <c r="V6183">
        <v>-0.1426308</v>
      </c>
      <c r="W6183">
        <v>1.5115470000000001E-2</v>
      </c>
      <c r="X6183">
        <v>0.9896606</v>
      </c>
      <c r="Y6183">
        <v>-0.14344760000000001</v>
      </c>
      <c r="Z6183">
        <v>2.6289960000000002E-3</v>
      </c>
      <c r="AA6183">
        <v>0.98965440000000005</v>
      </c>
      <c r="AB6183">
        <v>30</v>
      </c>
      <c r="AC6183">
        <v>24.813899999999901</v>
      </c>
      <c r="AD6183">
        <v>-1.109343371195</v>
      </c>
      <c r="AE6183">
        <v>3.9307699999999901</v>
      </c>
      <c r="AF6183">
        <v>-3.6214611791824001</v>
      </c>
      <c r="AG6183">
        <v>-1.109343371195</v>
      </c>
      <c r="AH6183">
        <v>24.811519485105499</v>
      </c>
      <c r="AI6183">
        <v>92.533230057965497</v>
      </c>
      <c r="AJ6183">
        <v>98.304187400537799</v>
      </c>
      <c r="AK6183">
        <v>25.098946650154701</v>
      </c>
      <c r="AL6183">
        <v>89.1339144357907</v>
      </c>
      <c r="AM6183">
        <v>98.201050897489694</v>
      </c>
      <c r="AN6183">
        <v>1.0000000628671499</v>
      </c>
    </row>
    <row r="6184" spans="1:40" x14ac:dyDescent="0.25">
      <c r="A6184" t="str">
        <f>"20190312151653989"</f>
        <v>20190312151653989</v>
      </c>
      <c r="B6184" t="str">
        <f>"1552375013983483"</f>
        <v>1552375013983483</v>
      </c>
      <c r="C6184" t="s">
        <v>40</v>
      </c>
      <c r="D6184">
        <v>4.6398070000000002</v>
      </c>
      <c r="E6184">
        <v>0.50014890000000001</v>
      </c>
      <c r="F6184" t="s">
        <v>64</v>
      </c>
      <c r="G6184">
        <v>-196.44460000000001</v>
      </c>
      <c r="H6184" s="1">
        <v>-7.3440509999999998E-6</v>
      </c>
      <c r="I6184">
        <v>-59.095089999999999</v>
      </c>
      <c r="J6184">
        <v>-221.422</v>
      </c>
      <c r="K6184">
        <v>1.109348</v>
      </c>
      <c r="L6184">
        <v>-63.047820000000002</v>
      </c>
      <c r="M6184">
        <v>0.99986980000000003</v>
      </c>
      <c r="N6184">
        <v>0</v>
      </c>
      <c r="O6184">
        <v>1.2189530000000001E-2</v>
      </c>
      <c r="P6184">
        <v>0.98786410000000002</v>
      </c>
      <c r="Q6184">
        <v>4.7748340000000004E-3</v>
      </c>
      <c r="R6184">
        <v>0.15524749999999901</v>
      </c>
      <c r="S6184">
        <v>2.9641570000000002</v>
      </c>
      <c r="T6184">
        <v>-0.13085289999999999</v>
      </c>
      <c r="U6184">
        <v>0.46646120000000002</v>
      </c>
      <c r="V6184">
        <v>-0.14319399999999999</v>
      </c>
      <c r="W6184">
        <v>1.523657E-2</v>
      </c>
      <c r="X6184">
        <v>0.98957740000000005</v>
      </c>
      <c r="Y6184">
        <v>-0.14327609999999999</v>
      </c>
      <c r="Z6184">
        <v>2.6071699999999998E-3</v>
      </c>
      <c r="AA6184">
        <v>0.98967930000000004</v>
      </c>
      <c r="AB6184">
        <v>30</v>
      </c>
      <c r="AC6184">
        <v>24.9773999999999</v>
      </c>
      <c r="AD6184">
        <v>-1.109355344051</v>
      </c>
      <c r="AE6184">
        <v>3.9527299999999901</v>
      </c>
      <c r="AF6184">
        <v>-3.64094972039319</v>
      </c>
      <c r="AG6184">
        <v>-1.109355344051</v>
      </c>
      <c r="AH6184">
        <v>24.975664528694502</v>
      </c>
      <c r="AI6184">
        <v>92.516694015694199</v>
      </c>
      <c r="AJ6184">
        <v>98.294146843969699</v>
      </c>
      <c r="AK6184">
        <v>25.264025862789499</v>
      </c>
      <c r="AL6184">
        <v>89.126975109251205</v>
      </c>
      <c r="AM6184">
        <v>98.233673672391504</v>
      </c>
      <c r="AN6184">
        <v>1.00000005264606</v>
      </c>
    </row>
    <row r="6185" spans="1:40" x14ac:dyDescent="0.25">
      <c r="A6185" t="str">
        <f>"20190312151654002"</f>
        <v>20190312151654002</v>
      </c>
      <c r="B6185" t="str">
        <f>"1552375013994221"</f>
        <v>1552375013994221</v>
      </c>
      <c r="C6185" t="s">
        <v>40</v>
      </c>
      <c r="D6185">
        <v>4.6875999999999998</v>
      </c>
      <c r="E6185">
        <v>0.50034990000000001</v>
      </c>
      <c r="F6185" t="s">
        <v>64</v>
      </c>
      <c r="G6185">
        <v>-196.4521</v>
      </c>
      <c r="H6185" s="1">
        <v>-7.3360590000000003E-6</v>
      </c>
      <c r="I6185">
        <v>-59.120260000000002</v>
      </c>
      <c r="J6185">
        <v>-221.26759999999999</v>
      </c>
      <c r="K6185">
        <v>1.1093649999999999</v>
      </c>
      <c r="L6185">
        <v>-63.045870000000001</v>
      </c>
      <c r="M6185">
        <v>0.99986920000000001</v>
      </c>
      <c r="N6185">
        <v>0</v>
      </c>
      <c r="O6185">
        <v>1.222955E-2</v>
      </c>
      <c r="P6185">
        <v>0.9877532</v>
      </c>
      <c r="Q6185">
        <v>5.0969300000000004E-3</v>
      </c>
      <c r="R6185">
        <v>0.1559401</v>
      </c>
      <c r="S6185">
        <v>2.9642179999999998</v>
      </c>
      <c r="T6185">
        <v>-0.13169349999999999</v>
      </c>
      <c r="U6185">
        <v>0.46624759999999998</v>
      </c>
      <c r="V6185">
        <v>-0.1438487</v>
      </c>
      <c r="W6185">
        <v>1.55602999999999E-2</v>
      </c>
      <c r="X6185">
        <v>0.9894773</v>
      </c>
      <c r="Y6185">
        <v>-0.14316219999999999</v>
      </c>
      <c r="Z6185">
        <v>2.6195849999999998E-3</v>
      </c>
      <c r="AA6185">
        <v>0.98969580000000001</v>
      </c>
      <c r="AB6185">
        <v>30</v>
      </c>
      <c r="AC6185">
        <v>24.815499999999901</v>
      </c>
      <c r="AD6185">
        <v>-1.109372336059</v>
      </c>
      <c r="AE6185">
        <v>3.9256099999999901</v>
      </c>
      <c r="AF6185">
        <v>-3.61476917675285</v>
      </c>
      <c r="AG6185">
        <v>-1.109372336059</v>
      </c>
      <c r="AH6185">
        <v>24.813275961234901</v>
      </c>
      <c r="AI6185">
        <v>92.533218173135495</v>
      </c>
      <c r="AJ6185">
        <v>98.288477112043097</v>
      </c>
      <c r="AK6185">
        <v>25.0997196619726</v>
      </c>
      <c r="AL6185">
        <v>89.108424455907198</v>
      </c>
      <c r="AM6185">
        <v>98.271624515304097</v>
      </c>
      <c r="AN6185">
        <v>0.99999994932153302</v>
      </c>
    </row>
    <row r="6186" spans="1:40" x14ac:dyDescent="0.25">
      <c r="A6186" t="str">
        <f>"20190312151654012"</f>
        <v>20190312151654012</v>
      </c>
      <c r="B6186" t="str">
        <f>"1552375014003980"</f>
        <v>1552375014003980</v>
      </c>
      <c r="C6186" t="s">
        <v>40</v>
      </c>
      <c r="D6186">
        <v>4.603059</v>
      </c>
      <c r="E6186">
        <v>0.50053970000000003</v>
      </c>
      <c r="F6186" t="s">
        <v>64</v>
      </c>
      <c r="G6186">
        <v>-196.07939999999999</v>
      </c>
      <c r="H6186" s="1">
        <v>-7.3082520000000003E-6</v>
      </c>
      <c r="I6186">
        <v>-59.080030000000001</v>
      </c>
      <c r="J6186">
        <v>-221.11429999999999</v>
      </c>
      <c r="K6186">
        <v>1.109383</v>
      </c>
      <c r="L6186">
        <v>-63.043979999999998</v>
      </c>
      <c r="M6186">
        <v>0.99986870000000005</v>
      </c>
      <c r="N6186">
        <v>0</v>
      </c>
      <c r="O6186">
        <v>1.2275319999999999E-2</v>
      </c>
      <c r="P6186">
        <v>0.98763900000000004</v>
      </c>
      <c r="Q6186">
        <v>5.3050609999999998E-3</v>
      </c>
      <c r="R6186">
        <v>0.1566565</v>
      </c>
      <c r="S6186">
        <v>2.964188</v>
      </c>
      <c r="T6186">
        <v>-0.13055259999999999</v>
      </c>
      <c r="U6186">
        <v>0.46670529999999999</v>
      </c>
      <c r="V6186">
        <v>-0.14452190000000001</v>
      </c>
      <c r="W6186">
        <v>1.5769129999999999E-2</v>
      </c>
      <c r="X6186">
        <v>0.98937589999999997</v>
      </c>
      <c r="Y6186">
        <v>-0.143269799999999</v>
      </c>
      <c r="Z6186">
        <v>2.5972600000000001E-3</v>
      </c>
      <c r="AA6186">
        <v>0.98968029999999996</v>
      </c>
      <c r="AB6186">
        <v>30</v>
      </c>
      <c r="AC6186">
        <v>25.0349</v>
      </c>
      <c r="AD6186">
        <v>-1.109390308252</v>
      </c>
      <c r="AE6186">
        <v>3.9639499999999899</v>
      </c>
      <c r="AF6186">
        <v>-3.6493317441275601</v>
      </c>
      <c r="AG6186">
        <v>-1.109390308252</v>
      </c>
      <c r="AH6186">
        <v>25.033718398475798</v>
      </c>
      <c r="AI6186">
        <v>92.510945406462895</v>
      </c>
      <c r="AJ6186">
        <v>98.293965171734399</v>
      </c>
      <c r="AK6186">
        <v>25.322626757288099</v>
      </c>
      <c r="AL6186">
        <v>89.096457917444397</v>
      </c>
      <c r="AM6186">
        <v>98.310635468264493</v>
      </c>
      <c r="AN6186">
        <v>0.99999995827068699</v>
      </c>
    </row>
    <row r="6187" spans="1:40" x14ac:dyDescent="0.25">
      <c r="A6187" t="str">
        <f>"20190312151654025"</f>
        <v>20190312151654025</v>
      </c>
      <c r="B6187" t="str">
        <f>"1552375014013740"</f>
        <v>1552375014013740</v>
      </c>
      <c r="C6187" t="s">
        <v>40</v>
      </c>
      <c r="D6187">
        <v>4.6747579999999997</v>
      </c>
      <c r="E6187">
        <v>0.50070870000000001</v>
      </c>
      <c r="F6187" t="s">
        <v>64</v>
      </c>
      <c r="G6187">
        <v>-195.6772</v>
      </c>
      <c r="H6187" s="1">
        <v>-7.2795009999999997E-6</v>
      </c>
      <c r="I6187">
        <v>-59.033070000000002</v>
      </c>
      <c r="J6187">
        <v>-220.95359999999999</v>
      </c>
      <c r="K6187">
        <v>1.1094139999999999</v>
      </c>
      <c r="L6187">
        <v>-63.041930000000001</v>
      </c>
      <c r="M6187">
        <v>0.99986739999999996</v>
      </c>
      <c r="N6187">
        <v>0</v>
      </c>
      <c r="O6187">
        <v>1.23629E-2</v>
      </c>
      <c r="P6187">
        <v>0.98749889999999996</v>
      </c>
      <c r="Q6187">
        <v>5.341564E-3</v>
      </c>
      <c r="R6187">
        <v>0.15753549999999999</v>
      </c>
      <c r="S6187">
        <v>2.9640960000000001</v>
      </c>
      <c r="T6187">
        <v>-0.12927339999999901</v>
      </c>
      <c r="U6187">
        <v>0.46737669999999998</v>
      </c>
      <c r="V6187">
        <v>-0.14531720000000001</v>
      </c>
      <c r="W6187">
        <v>1.5802509999999999E-2</v>
      </c>
      <c r="X6187">
        <v>0.98925890000000005</v>
      </c>
      <c r="Y6187">
        <v>-0.14340890000000001</v>
      </c>
      <c r="Z6187">
        <v>2.571088E-3</v>
      </c>
      <c r="AA6187">
        <v>0.98966019999999999</v>
      </c>
      <c r="AB6187">
        <v>30</v>
      </c>
      <c r="AC6187">
        <v>25.276399999999899</v>
      </c>
      <c r="AD6187">
        <v>-1.1094212795009999</v>
      </c>
      <c r="AE6187">
        <v>4.0088600000000101</v>
      </c>
      <c r="AF6187">
        <v>-3.6891138465065598</v>
      </c>
      <c r="AG6187">
        <v>-1.1094212795009999</v>
      </c>
      <c r="AH6187">
        <v>25.276532294642799</v>
      </c>
      <c r="AI6187">
        <v>92.486862737247193</v>
      </c>
      <c r="AJ6187">
        <v>98.303698951917795</v>
      </c>
      <c r="AK6187">
        <v>25.568407486388701</v>
      </c>
      <c r="AL6187">
        <v>89.094545174260503</v>
      </c>
      <c r="AM6187">
        <v>98.356698993752303</v>
      </c>
      <c r="AN6187">
        <v>0.99999998958367498</v>
      </c>
    </row>
    <row r="6188" spans="1:40" x14ac:dyDescent="0.25">
      <c r="A6188" t="str">
        <f>"20190312151654036"</f>
        <v>20190312151654036</v>
      </c>
      <c r="B6188" t="str">
        <f>"1552375014023499"</f>
        <v>1552375014023499</v>
      </c>
      <c r="C6188" t="s">
        <v>40</v>
      </c>
      <c r="D6188">
        <v>4.6969599999999998</v>
      </c>
      <c r="E6188">
        <v>0.50091239999999904</v>
      </c>
      <c r="F6188" t="s">
        <v>64</v>
      </c>
      <c r="G6188">
        <v>-195.37629999999999</v>
      </c>
      <c r="H6188" s="1">
        <v>-7.2581019999999996E-6</v>
      </c>
      <c r="I6188">
        <v>-58.997599999999998</v>
      </c>
      <c r="J6188">
        <v>-220.80279999999999</v>
      </c>
      <c r="K6188">
        <v>1.1094459999999999</v>
      </c>
      <c r="L6188">
        <v>-63.040010000000002</v>
      </c>
      <c r="M6188">
        <v>0.99986609999999998</v>
      </c>
      <c r="N6188">
        <v>0</v>
      </c>
      <c r="O6188">
        <v>1.2459090000000001E-2</v>
      </c>
      <c r="P6188">
        <v>0.98737620000000004</v>
      </c>
      <c r="Q6188">
        <v>5.4556759999999996E-3</v>
      </c>
      <c r="R6188">
        <v>0.158299</v>
      </c>
      <c r="S6188">
        <v>2.9639129999999998</v>
      </c>
      <c r="T6188">
        <v>-0.12856010000000001</v>
      </c>
      <c r="U6188">
        <v>0.46865839999999998</v>
      </c>
      <c r="V6188">
        <v>-0.14598820000000001</v>
      </c>
      <c r="W6188">
        <v>1.5912639999999999E-2</v>
      </c>
      <c r="X6188">
        <v>0.98915830000000005</v>
      </c>
      <c r="Y6188">
        <v>-0.1437417</v>
      </c>
      <c r="Z6188">
        <v>2.5600129999999999E-3</v>
      </c>
      <c r="AA6188">
        <v>0.98961189999999999</v>
      </c>
      <c r="AB6188">
        <v>30</v>
      </c>
      <c r="AC6188">
        <v>25.426500000000001</v>
      </c>
      <c r="AD6188">
        <v>-1.109453258102</v>
      </c>
      <c r="AE6188">
        <v>4.0424099999999896</v>
      </c>
      <c r="AF6188">
        <v>-3.7183824099452099</v>
      </c>
      <c r="AG6188">
        <v>-1.109453258102</v>
      </c>
      <c r="AH6188">
        <v>25.4276754787847</v>
      </c>
      <c r="AI6188">
        <v>92.4720701513953</v>
      </c>
      <c r="AJ6188">
        <v>98.319603854469506</v>
      </c>
      <c r="AK6188">
        <v>25.722051522631102</v>
      </c>
      <c r="AL6188">
        <v>89.088234364540696</v>
      </c>
      <c r="AM6188">
        <v>98.395578899169493</v>
      </c>
      <c r="AN6188">
        <v>0.99999995455494795</v>
      </c>
    </row>
    <row r="6189" spans="1:40" x14ac:dyDescent="0.25">
      <c r="A6189" t="str">
        <f>"20190312151654045"</f>
        <v>20190312151654045</v>
      </c>
      <c r="B6189" t="str">
        <f>"1552375014034235"</f>
        <v>1552375014034235</v>
      </c>
      <c r="C6189" t="s">
        <v>40</v>
      </c>
      <c r="D6189">
        <v>4.5411710000000003</v>
      </c>
      <c r="E6189">
        <v>0.50113830000000004</v>
      </c>
      <c r="F6189" t="s">
        <v>64</v>
      </c>
      <c r="G6189">
        <v>-195.0609</v>
      </c>
      <c r="H6189" s="1">
        <v>-7.234518E-6</v>
      </c>
      <c r="I6189">
        <v>-58.963709999999999</v>
      </c>
      <c r="J6189">
        <v>-220.66079999999999</v>
      </c>
      <c r="K6189">
        <v>1.109483</v>
      </c>
      <c r="L6189">
        <v>-63.0381199999999</v>
      </c>
      <c r="M6189">
        <v>0.99986459999999999</v>
      </c>
      <c r="N6189">
        <v>0</v>
      </c>
      <c r="O6189">
        <v>1.258517E-2</v>
      </c>
      <c r="P6189">
        <v>0.98721769999999998</v>
      </c>
      <c r="Q6189">
        <v>5.5653710000000004E-3</v>
      </c>
      <c r="R6189">
        <v>0.1592809</v>
      </c>
      <c r="S6189">
        <v>2.9638369999999998</v>
      </c>
      <c r="T6189">
        <v>-0.12773860000000001</v>
      </c>
      <c r="U6189">
        <v>0.46932980000000002</v>
      </c>
      <c r="V6189">
        <v>-0.1468487</v>
      </c>
      <c r="W6189">
        <v>1.6015149999999999E-2</v>
      </c>
      <c r="X6189">
        <v>0.9890293</v>
      </c>
      <c r="Y6189">
        <v>-0.1438411</v>
      </c>
      <c r="Z6189">
        <v>2.540423E-3</v>
      </c>
      <c r="AA6189">
        <v>0.98959759999999997</v>
      </c>
      <c r="AB6189">
        <v>30</v>
      </c>
      <c r="AC6189">
        <v>25.599899999999899</v>
      </c>
      <c r="AD6189">
        <v>-1.109490234518</v>
      </c>
      <c r="AE6189">
        <v>4.0744099999999897</v>
      </c>
      <c r="AF6189">
        <v>-3.7450294928329702</v>
      </c>
      <c r="AG6189">
        <v>-1.109490234518</v>
      </c>
      <c r="AH6189">
        <v>25.602251120041299</v>
      </c>
      <c r="AI6189">
        <v>92.455300785216295</v>
      </c>
      <c r="AJ6189">
        <v>98.322053987874398</v>
      </c>
      <c r="AK6189">
        <v>25.8984840656038</v>
      </c>
      <c r="AL6189">
        <v>89.082360258802197</v>
      </c>
      <c r="AM6189">
        <v>98.445439126217295</v>
      </c>
      <c r="AN6189">
        <v>0.99999999098985104</v>
      </c>
    </row>
    <row r="6190" spans="1:40" x14ac:dyDescent="0.25">
      <c r="A6190" t="str">
        <f>"20190312151654057"</f>
        <v>20190312151654057</v>
      </c>
      <c r="B6190" t="str">
        <f>"1552375014053755"</f>
        <v>1552375014053755</v>
      </c>
      <c r="C6190" t="s">
        <v>40</v>
      </c>
      <c r="D6190">
        <v>4.570341</v>
      </c>
      <c r="E6190">
        <v>0.50144540000000004</v>
      </c>
      <c r="F6190" t="s">
        <v>64</v>
      </c>
      <c r="G6190">
        <v>-194.8083</v>
      </c>
      <c r="H6190" s="1">
        <v>-7.216467E-6</v>
      </c>
      <c r="I6190">
        <v>-58.934220000000003</v>
      </c>
      <c r="J6190">
        <v>-220.5179</v>
      </c>
      <c r="K6190">
        <v>1.1095250000000001</v>
      </c>
      <c r="L6190">
        <v>-63.036219999999901</v>
      </c>
      <c r="M6190">
        <v>0.99986260000000005</v>
      </c>
      <c r="N6190">
        <v>0</v>
      </c>
      <c r="O6190">
        <v>1.273256E-2</v>
      </c>
      <c r="P6190">
        <v>0.98712549999999999</v>
      </c>
      <c r="Q6190">
        <v>5.3909860000000004E-3</v>
      </c>
      <c r="R6190">
        <v>0.15985729999999901</v>
      </c>
      <c r="S6190">
        <v>2.963654</v>
      </c>
      <c r="T6190">
        <v>-0.12718869999999999</v>
      </c>
      <c r="U6190">
        <v>0.47045900000000002</v>
      </c>
      <c r="V6190">
        <v>-0.14728160000000001</v>
      </c>
      <c r="W6190">
        <v>1.5832539999999999E-2</v>
      </c>
      <c r="X6190">
        <v>0.98896790000000001</v>
      </c>
      <c r="Y6190">
        <v>-0.14407339999999999</v>
      </c>
      <c r="Z6190">
        <v>2.5282479999999999E-3</v>
      </c>
      <c r="AA6190">
        <v>0.98956379999999999</v>
      </c>
      <c r="AB6190">
        <v>30</v>
      </c>
      <c r="AC6190">
        <v>25.709599999999899</v>
      </c>
      <c r="AD6190">
        <v>-1.1095322164669901</v>
      </c>
      <c r="AE6190">
        <v>4.1019999999999897</v>
      </c>
      <c r="AF6190">
        <v>-3.7674573928519002</v>
      </c>
      <c r="AG6190">
        <v>-1.1095322164669901</v>
      </c>
      <c r="AH6190">
        <v>25.713046668132598</v>
      </c>
      <c r="AI6190">
        <v>92.4447416667103</v>
      </c>
      <c r="AJ6190">
        <v>98.335625276194605</v>
      </c>
      <c r="AK6190">
        <v>26.0112584452174</v>
      </c>
      <c r="AL6190">
        <v>89.092824397133597</v>
      </c>
      <c r="AM6190">
        <v>98.470493320729901</v>
      </c>
      <c r="AN6190">
        <v>1.0000000231259101</v>
      </c>
    </row>
    <row r="6191" spans="1:40" x14ac:dyDescent="0.25">
      <c r="A6191" t="str">
        <f>"20190312151654068"</f>
        <v>20190312151654068</v>
      </c>
      <c r="B6191" t="str">
        <f>"1552375014063515"</f>
        <v>1552375014063515</v>
      </c>
      <c r="C6191" t="s">
        <v>40</v>
      </c>
      <c r="D6191">
        <v>4.6275829999999996</v>
      </c>
      <c r="E6191">
        <v>0.50150289999999997</v>
      </c>
      <c r="F6191" t="s">
        <v>64</v>
      </c>
      <c r="G6191">
        <v>-194.79499999999999</v>
      </c>
      <c r="H6191" s="1">
        <v>-7.2063300000000003E-6</v>
      </c>
      <c r="I6191">
        <v>-58.95881</v>
      </c>
      <c r="J6191">
        <v>-220.3639</v>
      </c>
      <c r="K6191">
        <v>1.109577</v>
      </c>
      <c r="L6191">
        <v>-63.034059999999997</v>
      </c>
      <c r="M6191">
        <v>0.99986010000000003</v>
      </c>
      <c r="N6191">
        <v>0</v>
      </c>
      <c r="O6191">
        <v>1.2927259999999999E-2</v>
      </c>
      <c r="P6191">
        <v>0.98702570000000001</v>
      </c>
      <c r="Q6191">
        <v>5.1088849999999996E-3</v>
      </c>
      <c r="R6191">
        <v>0.16048180000000001</v>
      </c>
      <c r="S6191">
        <v>2.96373</v>
      </c>
      <c r="T6191">
        <v>-0.12783720000000001</v>
      </c>
      <c r="U6191">
        <v>0.46978760000000003</v>
      </c>
      <c r="V6191">
        <v>-0.14771699999999999</v>
      </c>
      <c r="W6191">
        <v>1.5539320000000001E-2</v>
      </c>
      <c r="X6191">
        <v>0.9889076</v>
      </c>
      <c r="Y6191">
        <v>-0.14365749999999999</v>
      </c>
      <c r="Z6191">
        <v>2.523857E-3</v>
      </c>
      <c r="AA6191">
        <v>0.98962430000000001</v>
      </c>
      <c r="AB6191">
        <v>30</v>
      </c>
      <c r="AC6191">
        <v>25.568899999999999</v>
      </c>
      <c r="AD6191">
        <v>-1.1095842063299901</v>
      </c>
      <c r="AE6191">
        <v>4.0752499999999898</v>
      </c>
      <c r="AF6191">
        <v>-3.7374909167071699</v>
      </c>
      <c r="AG6191">
        <v>-1.1095842063299901</v>
      </c>
      <c r="AH6191">
        <v>25.572482944892801</v>
      </c>
      <c r="AI6191">
        <v>92.458407137418007</v>
      </c>
      <c r="AJ6191">
        <v>98.315069113275001</v>
      </c>
      <c r="AK6191">
        <v>25.867970531725899</v>
      </c>
      <c r="AL6191">
        <v>89.109626722540298</v>
      </c>
      <c r="AM6191">
        <v>98.495679735913598</v>
      </c>
      <c r="AN6191">
        <v>1.0000000119464101</v>
      </c>
    </row>
    <row r="6192" spans="1:40" x14ac:dyDescent="0.25">
      <c r="A6192" t="str">
        <f>"20190312151654079"</f>
        <v>20190312151654079</v>
      </c>
      <c r="B6192" t="str">
        <f>"1552375014074251"</f>
        <v>1552375014074251</v>
      </c>
      <c r="C6192" t="s">
        <v>40</v>
      </c>
      <c r="D6192">
        <v>4.6329760000000002</v>
      </c>
      <c r="E6192">
        <v>0.50165280000000001</v>
      </c>
      <c r="F6192" t="s">
        <v>64</v>
      </c>
      <c r="G6192">
        <v>-195.2911</v>
      </c>
      <c r="H6192" s="1">
        <v>-7.23128799999999E-6</v>
      </c>
      <c r="I6192">
        <v>-59.046700000000001</v>
      </c>
      <c r="J6192">
        <v>-220.22460000000001</v>
      </c>
      <c r="K6192">
        <v>1.1096250000000001</v>
      </c>
      <c r="L6192">
        <v>-63.0321</v>
      </c>
      <c r="M6192">
        <v>0.99985710000000005</v>
      </c>
      <c r="N6192">
        <v>0</v>
      </c>
      <c r="O6192">
        <v>1.314037E-2</v>
      </c>
      <c r="P6192">
        <v>0.98693390000000003</v>
      </c>
      <c r="Q6192">
        <v>5.0913379999999999E-3</v>
      </c>
      <c r="R6192">
        <v>0.16104549999999901</v>
      </c>
      <c r="S6192">
        <v>2.9634550000000002</v>
      </c>
      <c r="T6192">
        <v>-0.1311464</v>
      </c>
      <c r="U6192">
        <v>0.47128300000000001</v>
      </c>
      <c r="V6192">
        <v>-0.14807310000000001</v>
      </c>
      <c r="W6192">
        <v>1.5511199999999999E-2</v>
      </c>
      <c r="X6192">
        <v>0.98885480000000003</v>
      </c>
      <c r="Y6192">
        <v>-0.1439415</v>
      </c>
      <c r="Z6192">
        <v>2.5861450000000002E-3</v>
      </c>
      <c r="AA6192">
        <v>0.98958279999999998</v>
      </c>
      <c r="AB6192">
        <v>30</v>
      </c>
      <c r="AC6192">
        <v>24.933499999999999</v>
      </c>
      <c r="AD6192">
        <v>-1.109632231288</v>
      </c>
      <c r="AE6192">
        <v>3.9853999999999998</v>
      </c>
      <c r="AF6192">
        <v>-3.6503522334819101</v>
      </c>
      <c r="AG6192">
        <v>-1.109632231288</v>
      </c>
      <c r="AH6192">
        <v>24.935563197445902</v>
      </c>
      <c r="AI6192">
        <v>92.521144246511199</v>
      </c>
      <c r="AJ6192">
        <v>98.328451987824096</v>
      </c>
      <c r="AK6192">
        <v>25.225754044052302</v>
      </c>
      <c r="AL6192">
        <v>89.111238088206505</v>
      </c>
      <c r="AM6192">
        <v>98.516308292268903</v>
      </c>
      <c r="AN6192">
        <v>1.0000000278760399</v>
      </c>
    </row>
    <row r="6193" spans="1:40" x14ac:dyDescent="0.25">
      <c r="A6193" t="str">
        <f>"20190312151654089"</f>
        <v>20190312151654089</v>
      </c>
      <c r="B6193" t="str">
        <f>"1552375014084012"</f>
        <v>1552375014084012</v>
      </c>
      <c r="C6193" t="s">
        <v>40</v>
      </c>
      <c r="D6193">
        <v>4.5923939999999996</v>
      </c>
      <c r="E6193">
        <v>0.5018106</v>
      </c>
      <c r="F6193" t="s">
        <v>64</v>
      </c>
      <c r="G6193">
        <v>-195.57210000000001</v>
      </c>
      <c r="H6193" s="1">
        <v>-7.2418379999999996E-6</v>
      </c>
      <c r="I6193">
        <v>-59.106670000000001</v>
      </c>
      <c r="J6193">
        <v>-220.0669</v>
      </c>
      <c r="K6193">
        <v>1.109688</v>
      </c>
      <c r="L6193">
        <v>-63.029820000000001</v>
      </c>
      <c r="M6193">
        <v>0.9998534</v>
      </c>
      <c r="N6193">
        <v>0</v>
      </c>
      <c r="O6193">
        <v>1.341462E-2</v>
      </c>
      <c r="P6193">
        <v>0.98680979999999996</v>
      </c>
      <c r="Q6193">
        <v>4.7367049999999999E-3</v>
      </c>
      <c r="R6193">
        <v>0.1618155</v>
      </c>
      <c r="S6193">
        <v>2.9633940000000001</v>
      </c>
      <c r="T6193">
        <v>-0.13338510000000001</v>
      </c>
      <c r="U6193">
        <v>0.47186280000000003</v>
      </c>
      <c r="V6193">
        <v>-0.14857509999999999</v>
      </c>
      <c r="W6193">
        <v>1.51436E-2</v>
      </c>
      <c r="X6193">
        <v>0.98878509999999997</v>
      </c>
      <c r="Y6193">
        <v>-0.14385809999999999</v>
      </c>
      <c r="Z6193">
        <v>2.6161410000000002E-3</v>
      </c>
      <c r="AA6193">
        <v>0.98959490000000006</v>
      </c>
      <c r="AB6193">
        <v>30</v>
      </c>
      <c r="AC6193">
        <v>24.494800000000001</v>
      </c>
      <c r="AD6193">
        <v>-1.1096952418379999</v>
      </c>
      <c r="AE6193">
        <v>3.9231500000000001</v>
      </c>
      <c r="AF6193">
        <v>-3.58701209872455</v>
      </c>
      <c r="AG6193">
        <v>-1.1096952418379999</v>
      </c>
      <c r="AH6193">
        <v>24.4962079285878</v>
      </c>
      <c r="AI6193">
        <v>92.566433540721604</v>
      </c>
      <c r="AJ6193">
        <v>98.330690807220805</v>
      </c>
      <c r="AK6193">
        <v>24.782297758818999</v>
      </c>
      <c r="AL6193">
        <v>89.132302407097399</v>
      </c>
      <c r="AM6193">
        <v>98.545348368013507</v>
      </c>
      <c r="AN6193">
        <v>0.99999993147148702</v>
      </c>
    </row>
    <row r="6194" spans="1:40" x14ac:dyDescent="0.25">
      <c r="A6194" t="str">
        <f>"20190312151654100"</f>
        <v>20190312151654100</v>
      </c>
      <c r="B6194" t="str">
        <f>"1552375014093771"</f>
        <v>1552375014093771</v>
      </c>
      <c r="C6194" t="s">
        <v>40</v>
      </c>
      <c r="D6194">
        <v>4.8353400000000004</v>
      </c>
      <c r="E6194">
        <v>0.502027</v>
      </c>
      <c r="F6194" t="s">
        <v>64</v>
      </c>
      <c r="G6194">
        <v>-195.88290000000001</v>
      </c>
      <c r="H6194" s="1">
        <v>-7.2543769999999898E-6</v>
      </c>
      <c r="I6194">
        <v>-59.170560000000002</v>
      </c>
      <c r="J6194">
        <v>-219.9272</v>
      </c>
      <c r="K6194">
        <v>1.1097520000000001</v>
      </c>
      <c r="L6194">
        <v>-63.027650000000001</v>
      </c>
      <c r="M6194">
        <v>0.99984930000000005</v>
      </c>
      <c r="N6194">
        <v>0</v>
      </c>
      <c r="O6194">
        <v>1.371958E-2</v>
      </c>
      <c r="P6194">
        <v>0.98670060000000004</v>
      </c>
      <c r="Q6194">
        <v>4.5230000000000001E-3</v>
      </c>
      <c r="R6194">
        <v>0.16248650000000001</v>
      </c>
      <c r="S6194">
        <v>2.9632420000000002</v>
      </c>
      <c r="T6194">
        <v>-0.1359696</v>
      </c>
      <c r="U6194">
        <v>0.47286990000000001</v>
      </c>
      <c r="V6194">
        <v>-0.1489481</v>
      </c>
      <c r="W6194">
        <v>1.49176E-2</v>
      </c>
      <c r="X6194">
        <v>0.98873250000000001</v>
      </c>
      <c r="Y6194">
        <v>-0.1438875</v>
      </c>
      <c r="Z6194">
        <v>2.6536260000000001E-3</v>
      </c>
      <c r="AA6194">
        <v>0.98959050000000004</v>
      </c>
      <c r="AB6194">
        <v>30</v>
      </c>
      <c r="AC6194">
        <v>24.0443</v>
      </c>
      <c r="AD6194">
        <v>-1.1097592543770001</v>
      </c>
      <c r="AE6194">
        <v>3.8570899999999999</v>
      </c>
      <c r="AF6194">
        <v>-3.5195211645575299</v>
      </c>
      <c r="AG6194">
        <v>-1.1097592543770001</v>
      </c>
      <c r="AH6194">
        <v>24.0450202194091</v>
      </c>
      <c r="AI6194">
        <v>92.614697387552198</v>
      </c>
      <c r="AJ6194">
        <v>98.327371339920404</v>
      </c>
      <c r="AK6194">
        <v>24.326561454143899</v>
      </c>
      <c r="AL6194">
        <v>89.145252787602999</v>
      </c>
      <c r="AM6194">
        <v>98.566932664153299</v>
      </c>
      <c r="AN6194">
        <v>1.00000001391981</v>
      </c>
    </row>
    <row r="6195" spans="1:40" x14ac:dyDescent="0.25">
      <c r="A6195" t="str">
        <f>"20190312151654111"</f>
        <v>20190312151654111</v>
      </c>
      <c r="B6195" t="str">
        <f>"1552375014103531"</f>
        <v>1552375014103531</v>
      </c>
      <c r="C6195" t="s">
        <v>40</v>
      </c>
      <c r="D6195">
        <v>4.8829269999999996</v>
      </c>
      <c r="E6195">
        <v>0.502027</v>
      </c>
      <c r="F6195" t="s">
        <v>64</v>
      </c>
      <c r="G6195">
        <v>-195.70849999999999</v>
      </c>
      <c r="H6195" s="1">
        <v>-7.23838999999999E-6</v>
      </c>
      <c r="I6195">
        <v>-59.160229999999999</v>
      </c>
      <c r="J6195">
        <v>-219.77680000000001</v>
      </c>
      <c r="K6195">
        <v>1.109823</v>
      </c>
      <c r="L6195">
        <v>-63.025300000000001</v>
      </c>
      <c r="M6195">
        <v>0.99984430000000002</v>
      </c>
      <c r="N6195">
        <v>0</v>
      </c>
      <c r="O6195">
        <v>1.407067E-2</v>
      </c>
      <c r="P6195">
        <v>0.98657760000000005</v>
      </c>
      <c r="Q6195">
        <v>4.4830060000000003E-3</v>
      </c>
      <c r="R6195">
        <v>0.16323309999999999</v>
      </c>
      <c r="S6195">
        <v>2.9631349999999999</v>
      </c>
      <c r="T6195">
        <v>-0.13577809999999901</v>
      </c>
      <c r="U6195">
        <v>0.47317500000000001</v>
      </c>
      <c r="V6195">
        <v>-0.14935129999999999</v>
      </c>
      <c r="W6195">
        <v>1.4862770000000001E-2</v>
      </c>
      <c r="X6195">
        <v>0.98867249999999995</v>
      </c>
      <c r="Y6195">
        <v>-0.14364589999999999</v>
      </c>
      <c r="Z6195">
        <v>2.6284960000000001E-3</v>
      </c>
      <c r="AA6195">
        <v>0.98962570000000005</v>
      </c>
      <c r="AB6195">
        <v>30</v>
      </c>
      <c r="AC6195">
        <v>24.068300000000001</v>
      </c>
      <c r="AD6195">
        <v>-1.1098302383900001</v>
      </c>
      <c r="AE6195">
        <v>3.86506999999999</v>
      </c>
      <c r="AF6195">
        <v>-3.5187173017106899</v>
      </c>
      <c r="AG6195">
        <v>-1.1098302383900001</v>
      </c>
      <c r="AH6195">
        <v>24.070410291219499</v>
      </c>
      <c r="AI6195">
        <v>92.612180153568602</v>
      </c>
      <c r="AJ6195">
        <v>98.316836982757295</v>
      </c>
      <c r="AK6195">
        <v>24.351545047389699</v>
      </c>
      <c r="AL6195">
        <v>89.148394662265105</v>
      </c>
      <c r="AM6195">
        <v>98.590291249424894</v>
      </c>
      <c r="AN6195">
        <v>1.0000000124999999</v>
      </c>
    </row>
    <row r="6196" spans="1:40" x14ac:dyDescent="0.25">
      <c r="A6196" t="str">
        <f>"20190312151654123"</f>
        <v>20190312151654123</v>
      </c>
      <c r="B6196" t="str">
        <f>"1552375014114268"</f>
        <v>1552375014114268</v>
      </c>
      <c r="C6196" t="s">
        <v>40</v>
      </c>
      <c r="D6196">
        <v>4.6397719999999998</v>
      </c>
      <c r="E6196">
        <v>0.50155909999999904</v>
      </c>
      <c r="F6196" t="s">
        <v>64</v>
      </c>
      <c r="G6196">
        <v>-195.58019999999999</v>
      </c>
      <c r="H6196" s="1">
        <v>-7.2301810000000004E-6</v>
      </c>
      <c r="I6196">
        <v>-59.142490000000002</v>
      </c>
      <c r="J6196">
        <v>-219.63059999999999</v>
      </c>
      <c r="K6196">
        <v>1.1099019999999999</v>
      </c>
      <c r="L6196">
        <v>-63.022829999999999</v>
      </c>
      <c r="M6196">
        <v>0.99983789999999995</v>
      </c>
      <c r="N6196">
        <v>0</v>
      </c>
      <c r="O6196">
        <v>1.450221E-2</v>
      </c>
      <c r="P6196">
        <v>0.9864079</v>
      </c>
      <c r="Q6196">
        <v>4.4085000000000001E-3</v>
      </c>
      <c r="R6196">
        <v>0.16425600000000001</v>
      </c>
      <c r="S6196">
        <v>2.9627690000000002</v>
      </c>
      <c r="T6196">
        <v>-0.13589389999999901</v>
      </c>
      <c r="U6196">
        <v>0.4754333</v>
      </c>
      <c r="V6196">
        <v>-0.14995259999999999</v>
      </c>
      <c r="W6196">
        <v>1.4769320000000001E-2</v>
      </c>
      <c r="X6196">
        <v>0.98858279999999998</v>
      </c>
      <c r="Y6196">
        <v>-0.1439732</v>
      </c>
      <c r="Z6196">
        <v>2.6187089999999999E-3</v>
      </c>
      <c r="AA6196">
        <v>0.98957810000000002</v>
      </c>
      <c r="AB6196">
        <v>30</v>
      </c>
      <c r="AC6196">
        <v>24.0504</v>
      </c>
      <c r="AD6196">
        <v>-1.1099092301810001</v>
      </c>
      <c r="AE6196">
        <v>3.8803399999999999</v>
      </c>
      <c r="AF6196">
        <v>-3.5238136110994001</v>
      </c>
      <c r="AG6196">
        <v>-1.1099092301810001</v>
      </c>
      <c r="AH6196">
        <v>24.054217288890399</v>
      </c>
      <c r="AI6196">
        <v>92.614005946898203</v>
      </c>
      <c r="AJ6196">
        <v>98.334241822344794</v>
      </c>
      <c r="AK6196">
        <v>24.336280123432299</v>
      </c>
      <c r="AL6196">
        <v>89.153749473926098</v>
      </c>
      <c r="AM6196">
        <v>98.625128179251007</v>
      </c>
      <c r="AN6196">
        <v>0.99999993375792895</v>
      </c>
    </row>
    <row r="6197" spans="1:40" x14ac:dyDescent="0.25">
      <c r="A6197" t="str">
        <f>"20190312151654134"</f>
        <v>20190312151654134</v>
      </c>
      <c r="B6197" t="str">
        <f>"1552375014124028"</f>
        <v>1552375014124028</v>
      </c>
      <c r="C6197" t="s">
        <v>40</v>
      </c>
      <c r="D6197">
        <v>4.5996499999999996</v>
      </c>
      <c r="E6197">
        <v>0.50155909999999904</v>
      </c>
      <c r="F6197" t="s">
        <v>64</v>
      </c>
      <c r="G6197">
        <v>-196.45939999999999</v>
      </c>
      <c r="H6197" s="1">
        <v>-7.291371E-6</v>
      </c>
      <c r="I6197">
        <v>-59.249920000000003</v>
      </c>
      <c r="J6197">
        <v>-219.47069999999999</v>
      </c>
      <c r="K6197">
        <v>1.109993</v>
      </c>
      <c r="L6197">
        <v>-63.02008</v>
      </c>
      <c r="M6197">
        <v>0.99983040000000001</v>
      </c>
      <c r="N6197">
        <v>0</v>
      </c>
      <c r="O6197">
        <v>1.5001260000000001E-2</v>
      </c>
      <c r="P6197">
        <v>0.98626610000000003</v>
      </c>
      <c r="Q6197">
        <v>4.6092579999999998E-3</v>
      </c>
      <c r="R6197">
        <v>0.1651001</v>
      </c>
      <c r="S6197">
        <v>2.9616549999999999</v>
      </c>
      <c r="T6197">
        <v>-0.1418645</v>
      </c>
      <c r="U6197">
        <v>0.48223880000000002</v>
      </c>
      <c r="V6197">
        <v>-0.15030850000000001</v>
      </c>
      <c r="W6197">
        <v>1.4949550000000001E-2</v>
      </c>
      <c r="X6197">
        <v>0.98852609999999996</v>
      </c>
      <c r="Y6197">
        <v>-0.1457398</v>
      </c>
      <c r="Z6197">
        <v>2.7524490000000001E-3</v>
      </c>
      <c r="AA6197">
        <v>0.98931910000000001</v>
      </c>
      <c r="AB6197">
        <v>30</v>
      </c>
      <c r="AC6197">
        <v>23.011299999999999</v>
      </c>
      <c r="AD6197">
        <v>-1.1100002913709901</v>
      </c>
      <c r="AE6197">
        <v>3.7701600000000099</v>
      </c>
      <c r="AF6197">
        <v>-3.4167751100139601</v>
      </c>
      <c r="AG6197">
        <v>-1.1100002913709901</v>
      </c>
      <c r="AH6197">
        <v>23.013123022538299</v>
      </c>
      <c r="AI6197">
        <v>92.731531813897604</v>
      </c>
      <c r="AJ6197">
        <v>98.445053654879899</v>
      </c>
      <c r="AK6197">
        <v>23.291850163731802</v>
      </c>
      <c r="AL6197">
        <v>89.143421964795294</v>
      </c>
      <c r="AM6197">
        <v>98.645778641009798</v>
      </c>
      <c r="AN6197">
        <v>0.99999999229933101</v>
      </c>
    </row>
    <row r="6198" spans="1:40" x14ac:dyDescent="0.25">
      <c r="A6198" t="str">
        <f>"20190312151654147"</f>
        <v>20190312151654147</v>
      </c>
      <c r="B6198" t="str">
        <f>"1552375014143549"</f>
        <v>1552375014143549</v>
      </c>
      <c r="C6198" t="s">
        <v>40</v>
      </c>
      <c r="D6198">
        <v>4.5785900000000002</v>
      </c>
      <c r="E6198">
        <v>0.44143480000000002</v>
      </c>
      <c r="F6198" t="s">
        <v>64</v>
      </c>
      <c r="G6198">
        <v>-196.20169999999999</v>
      </c>
      <c r="H6198" s="1">
        <v>-7.2761779999999997E-6</v>
      </c>
      <c r="I6198">
        <v>-59.210599999999999</v>
      </c>
      <c r="J6198">
        <v>-219.29570000000001</v>
      </c>
      <c r="K6198">
        <v>1.1101080000000001</v>
      </c>
      <c r="L6198">
        <v>-63.016849999999998</v>
      </c>
      <c r="M6198">
        <v>0.99982000000000004</v>
      </c>
      <c r="N6198">
        <v>0</v>
      </c>
      <c r="O6198">
        <v>1.5665200000000001E-2</v>
      </c>
      <c r="P6198">
        <v>0.98607979999999995</v>
      </c>
      <c r="Q6198">
        <v>4.6143099999999999E-3</v>
      </c>
      <c r="R6198">
        <v>0.16620940000000001</v>
      </c>
      <c r="S6198">
        <v>2.9612579999999999</v>
      </c>
      <c r="T6198">
        <v>-0.14126089999999999</v>
      </c>
      <c r="U6198">
        <v>0.48480220000000002</v>
      </c>
      <c r="V6198">
        <v>-0.15076809999999999</v>
      </c>
      <c r="W6198">
        <v>1.492856E-2</v>
      </c>
      <c r="X6198">
        <v>0.98845640000000001</v>
      </c>
      <c r="Y6198">
        <v>-0.14593979999999901</v>
      </c>
      <c r="Z6198">
        <v>2.7142339999999998E-3</v>
      </c>
      <c r="AA6198">
        <v>0.9892898</v>
      </c>
      <c r="AB6198">
        <v>30</v>
      </c>
      <c r="AC6198">
        <v>23.094000000000001</v>
      </c>
      <c r="AD6198">
        <v>-1.110115276178</v>
      </c>
      <c r="AE6198">
        <v>3.8062499999999901</v>
      </c>
      <c r="AF6198">
        <v>-3.4362599592849699</v>
      </c>
      <c r="AG6198">
        <v>-1.110115276178</v>
      </c>
      <c r="AH6198">
        <v>23.098832710977899</v>
      </c>
      <c r="AI6198">
        <v>92.721577411102302</v>
      </c>
      <c r="AJ6198">
        <v>98.461457940924006</v>
      </c>
      <c r="AK6198">
        <v>23.379399287491001</v>
      </c>
      <c r="AL6198">
        <v>89.144624716901106</v>
      </c>
      <c r="AM6198">
        <v>98.672415843609798</v>
      </c>
      <c r="AN6198">
        <v>0.99999996829112103</v>
      </c>
    </row>
    <row r="6199" spans="1:40" x14ac:dyDescent="0.25">
      <c r="A6199" t="str">
        <f>"20190312151654159"</f>
        <v>20190312151654159</v>
      </c>
      <c r="B6199" t="str">
        <f>"1552375014154284"</f>
        <v>1552375014154284</v>
      </c>
      <c r="C6199" t="s">
        <v>40</v>
      </c>
      <c r="D6199">
        <v>4.5863529999999999</v>
      </c>
      <c r="E6199">
        <v>0.4368726</v>
      </c>
      <c r="F6199" t="s">
        <v>64</v>
      </c>
      <c r="G6199">
        <v>-207.2458</v>
      </c>
      <c r="H6199" s="1">
        <v>-2.0924489999999999E-6</v>
      </c>
      <c r="I6199">
        <v>-58.992199999999997</v>
      </c>
      <c r="J6199">
        <v>-219.14439999999999</v>
      </c>
      <c r="K6199">
        <v>1.1102099999999999</v>
      </c>
      <c r="L6199">
        <v>-63.013950000000001</v>
      </c>
      <c r="M6199">
        <v>0.99980970000000002</v>
      </c>
      <c r="N6199">
        <v>0</v>
      </c>
      <c r="O6199">
        <v>1.629512E-2</v>
      </c>
      <c r="P6199">
        <v>0.98589099999999996</v>
      </c>
      <c r="Q6199">
        <v>4.820777E-3</v>
      </c>
      <c r="R6199">
        <v>0.16731889999999999</v>
      </c>
      <c r="S6199">
        <v>2.8813629999999999</v>
      </c>
      <c r="T6199">
        <v>-0.2654493</v>
      </c>
      <c r="U6199">
        <v>0.9623718</v>
      </c>
      <c r="V6199">
        <v>-0.1512616</v>
      </c>
      <c r="W6199">
        <v>1.5111650000000001E-2</v>
      </c>
      <c r="X6199">
        <v>0.98837819999999998</v>
      </c>
      <c r="Y6199">
        <v>-0.3002167</v>
      </c>
      <c r="Z6199">
        <v>1.197935E-2</v>
      </c>
      <c r="AA6199">
        <v>0.95379579999999997</v>
      </c>
      <c r="AB6199">
        <v>30</v>
      </c>
      <c r="AC6199">
        <v>11.898599999999901</v>
      </c>
      <c r="AD6199">
        <v>-1.110212092449</v>
      </c>
      <c r="AE6199">
        <v>4.0217499999999999</v>
      </c>
      <c r="AF6199">
        <v>-3.7976432281633699</v>
      </c>
      <c r="AG6199">
        <v>-1.110212092449</v>
      </c>
      <c r="AH6199">
        <v>11.8698151939565</v>
      </c>
      <c r="AI6199">
        <v>95.090700164419601</v>
      </c>
      <c r="AJ6199">
        <v>107.741616883611</v>
      </c>
      <c r="AK6199">
        <v>12.5118814619271</v>
      </c>
      <c r="AL6199">
        <v>89.134133232849507</v>
      </c>
      <c r="AM6199">
        <v>98.701046894145094</v>
      </c>
      <c r="AN6199">
        <v>0.99999994991775998</v>
      </c>
    </row>
    <row r="6200" spans="1:40" x14ac:dyDescent="0.25">
      <c r="A6200" t="str">
        <f>"20190312151654169"</f>
        <v>20190312151654169</v>
      </c>
      <c r="B6200" t="str">
        <f>"1552375014164043"</f>
        <v>1552375014164043</v>
      </c>
      <c r="C6200" t="s">
        <v>40</v>
      </c>
      <c r="D6200">
        <v>4.5824470000000002</v>
      </c>
      <c r="E6200">
        <v>0.4339076</v>
      </c>
      <c r="F6200" t="s">
        <v>64</v>
      </c>
      <c r="G6200">
        <v>-207.19759999999999</v>
      </c>
      <c r="H6200" s="1">
        <v>-2.1607750000000001E-6</v>
      </c>
      <c r="I6200">
        <v>-58.8506199999999</v>
      </c>
      <c r="J6200">
        <v>-218.99350000000001</v>
      </c>
      <c r="K6200">
        <v>1.110317</v>
      </c>
      <c r="L6200">
        <v>-63.010860000000001</v>
      </c>
      <c r="M6200">
        <v>0.99979819999999997</v>
      </c>
      <c r="N6200">
        <v>0</v>
      </c>
      <c r="O6200">
        <v>1.6981079999999999E-2</v>
      </c>
      <c r="P6200">
        <v>0.98562839999999996</v>
      </c>
      <c r="Q6200">
        <v>4.8939959999999899E-3</v>
      </c>
      <c r="R6200">
        <v>0.16885829999999999</v>
      </c>
      <c r="S6200">
        <v>2.8742679999999998</v>
      </c>
      <c r="T6200">
        <v>-0.26710390000000001</v>
      </c>
      <c r="U6200">
        <v>1.0016480000000001</v>
      </c>
      <c r="V6200">
        <v>-0.15213109999999999</v>
      </c>
      <c r="W6200">
        <v>1.5159809999999999E-2</v>
      </c>
      <c r="X6200">
        <v>0.98824409999999896</v>
      </c>
      <c r="Y6200">
        <v>-0.311863</v>
      </c>
      <c r="Z6200">
        <v>1.2519000000000001E-2</v>
      </c>
      <c r="AA6200">
        <v>0.95004460000000002</v>
      </c>
      <c r="AB6200">
        <v>30</v>
      </c>
      <c r="AC6200">
        <v>11.7959</v>
      </c>
      <c r="AD6200">
        <v>-1.110319160775</v>
      </c>
      <c r="AE6200">
        <v>4.1602399999999999</v>
      </c>
      <c r="AF6200">
        <v>-3.9283664867501402</v>
      </c>
      <c r="AG6200">
        <v>-1.110319160775</v>
      </c>
      <c r="AH6200">
        <v>11.7720861770617</v>
      </c>
      <c r="AI6200">
        <v>95.112525488115296</v>
      </c>
      <c r="AJ6200">
        <v>108.45394776039799</v>
      </c>
      <c r="AK6200">
        <v>12.459810787214</v>
      </c>
      <c r="AL6200">
        <v>89.131373635574903</v>
      </c>
      <c r="AM6200">
        <v>98.751460345587006</v>
      </c>
      <c r="AN6200">
        <v>1.00000004630562</v>
      </c>
    </row>
    <row r="6201" spans="1:40" x14ac:dyDescent="0.25">
      <c r="A6201" t="str">
        <f>"20190312151654180"</f>
        <v>20190312151654180</v>
      </c>
      <c r="B6201" t="str">
        <f>"1552375014173803"</f>
        <v>1552375014173803</v>
      </c>
      <c r="C6201" t="s">
        <v>40</v>
      </c>
      <c r="D6201">
        <v>4.6258650000000001</v>
      </c>
      <c r="E6201">
        <v>0.43262820000000002</v>
      </c>
      <c r="F6201" t="s">
        <v>64</v>
      </c>
      <c r="G6201">
        <v>-207.06540000000001</v>
      </c>
      <c r="H6201" s="1">
        <v>-2.2767639999999998E-6</v>
      </c>
      <c r="I6201">
        <v>-58.730530000000002</v>
      </c>
      <c r="J6201">
        <v>-218.8459</v>
      </c>
      <c r="K6201">
        <v>1.1104259999999999</v>
      </c>
      <c r="L6201">
        <v>-63.007629999999999</v>
      </c>
      <c r="M6201">
        <v>0.99978489999999998</v>
      </c>
      <c r="N6201">
        <v>0</v>
      </c>
      <c r="O6201">
        <v>1.77404E-2</v>
      </c>
      <c r="P6201">
        <v>0.98538570000000003</v>
      </c>
      <c r="Q6201">
        <v>5.2467119999999997E-3</v>
      </c>
      <c r="R6201">
        <v>0.17025770000000001</v>
      </c>
      <c r="S6201">
        <v>2.8687130000000001</v>
      </c>
      <c r="T6201">
        <v>-0.26703189999999999</v>
      </c>
      <c r="U6201">
        <v>1.0294190000000001</v>
      </c>
      <c r="V6201">
        <v>-0.15278900000000001</v>
      </c>
      <c r="W6201">
        <v>1.548688E-2</v>
      </c>
      <c r="X6201">
        <v>0.9881375</v>
      </c>
      <c r="Y6201">
        <v>-0.31984810000000002</v>
      </c>
      <c r="Z6201">
        <v>1.281032E-2</v>
      </c>
      <c r="AA6201">
        <v>0.94738219999999995</v>
      </c>
      <c r="AB6201">
        <v>30</v>
      </c>
      <c r="AC6201">
        <v>11.7804999999999</v>
      </c>
      <c r="AD6201">
        <v>-1.1104282767639999</v>
      </c>
      <c r="AE6201">
        <v>4.2770999999999999</v>
      </c>
      <c r="AF6201">
        <v>-4.0357428316381698</v>
      </c>
      <c r="AG6201">
        <v>-1.1104282767639999</v>
      </c>
      <c r="AH6201">
        <v>11.762192840465101</v>
      </c>
      <c r="AI6201">
        <v>95.102780786980105</v>
      </c>
      <c r="AJ6201">
        <v>108.93768057339101</v>
      </c>
      <c r="AK6201">
        <v>12.4847687834915</v>
      </c>
      <c r="AL6201">
        <v>89.112631682321805</v>
      </c>
      <c r="AM6201">
        <v>98.789650245705801</v>
      </c>
      <c r="AN6201">
        <v>1.0000000204396899</v>
      </c>
    </row>
    <row r="6202" spans="1:40" x14ac:dyDescent="0.25">
      <c r="A6202" t="str">
        <f>"20190312151654190"</f>
        <v>20190312151654190</v>
      </c>
      <c r="B6202" t="str">
        <f>"1552375014183564"</f>
        <v>1552375014183564</v>
      </c>
      <c r="C6202" t="s">
        <v>40</v>
      </c>
      <c r="D6202">
        <v>4.5657040000000002</v>
      </c>
      <c r="E6202">
        <v>0.43158600000000003</v>
      </c>
      <c r="F6202" t="s">
        <v>64</v>
      </c>
      <c r="G6202">
        <v>-207.07640000000001</v>
      </c>
      <c r="H6202" s="1">
        <v>-2.272207E-6</v>
      </c>
      <c r="I6202">
        <v>-58.721200000000003</v>
      </c>
      <c r="J6202">
        <v>-218.71039999999999</v>
      </c>
      <c r="K6202">
        <v>1.110528</v>
      </c>
      <c r="L6202">
        <v>-63.00461</v>
      </c>
      <c r="M6202">
        <v>0.99977139999999998</v>
      </c>
      <c r="N6202">
        <v>0</v>
      </c>
      <c r="O6202">
        <v>1.8474009999999999E-2</v>
      </c>
      <c r="P6202">
        <v>0.98516349999999997</v>
      </c>
      <c r="Q6202">
        <v>5.6135919999999997E-3</v>
      </c>
      <c r="R6202">
        <v>0.17152829999999999</v>
      </c>
      <c r="S6202">
        <v>2.8655849999999998</v>
      </c>
      <c r="T6202">
        <v>-0.27036209999999899</v>
      </c>
      <c r="U6202">
        <v>1.0436399999999999</v>
      </c>
      <c r="V6202">
        <v>-0.1533427</v>
      </c>
      <c r="W6202">
        <v>1.5829200000000002E-2</v>
      </c>
      <c r="X6202">
        <v>0.98804630000000004</v>
      </c>
      <c r="Y6202">
        <v>-0.32359640000000001</v>
      </c>
      <c r="Z6202">
        <v>1.3076330000000001E-2</v>
      </c>
      <c r="AA6202">
        <v>0.94610479999999997</v>
      </c>
      <c r="AB6202">
        <v>30</v>
      </c>
      <c r="AC6202">
        <v>11.633999999999901</v>
      </c>
      <c r="AD6202">
        <v>-1.1105302722069901</v>
      </c>
      <c r="AE6202">
        <v>4.2834099999999902</v>
      </c>
      <c r="AF6202">
        <v>-4.03535988321579</v>
      </c>
      <c r="AG6202">
        <v>-1.1105302722069901</v>
      </c>
      <c r="AH6202">
        <v>11.617927786832601</v>
      </c>
      <c r="AI6202">
        <v>95.159579153482397</v>
      </c>
      <c r="AJ6202">
        <v>109.15411027386899</v>
      </c>
      <c r="AK6202">
        <v>12.348832047307701</v>
      </c>
      <c r="AL6202">
        <v>89.093015785347106</v>
      </c>
      <c r="AM6202">
        <v>98.821804849561204</v>
      </c>
      <c r="AN6202">
        <v>1.00000001907981</v>
      </c>
    </row>
    <row r="6203" spans="1:40" x14ac:dyDescent="0.25">
      <c r="A6203" t="str">
        <f>"20190312151654201"</f>
        <v>20190312151654201</v>
      </c>
      <c r="B6203" t="str">
        <f>"1552375014194299"</f>
        <v>1552375014194299</v>
      </c>
      <c r="C6203" t="s">
        <v>40</v>
      </c>
      <c r="D6203">
        <v>4.5307690000000003</v>
      </c>
      <c r="E6203">
        <v>0.43062309999999998</v>
      </c>
      <c r="F6203" t="s">
        <v>64</v>
      </c>
      <c r="G6203">
        <v>-207.1738</v>
      </c>
      <c r="H6203" s="1">
        <v>-2.2025090000000001E-6</v>
      </c>
      <c r="I6203">
        <v>-58.750639999999997</v>
      </c>
      <c r="J6203">
        <v>-218.57</v>
      </c>
      <c r="K6203">
        <v>1.110638</v>
      </c>
      <c r="L6203">
        <v>-63.001190000000001</v>
      </c>
      <c r="M6203">
        <v>0.9997549</v>
      </c>
      <c r="N6203">
        <v>0</v>
      </c>
      <c r="O6203">
        <v>1.9337380000000001E-2</v>
      </c>
      <c r="P6203">
        <v>0.98484090000000002</v>
      </c>
      <c r="Q6203">
        <v>6.1104649999999998E-3</v>
      </c>
      <c r="R6203">
        <v>0.17335320000000001</v>
      </c>
      <c r="S6203">
        <v>2.86293</v>
      </c>
      <c r="T6203">
        <v>-0.27558909999999998</v>
      </c>
      <c r="U6203">
        <v>1.0556639999999999</v>
      </c>
      <c r="V6203">
        <v>-0.1543262</v>
      </c>
      <c r="W6203">
        <v>1.629597E-2</v>
      </c>
      <c r="X6203">
        <v>0.98788549999999997</v>
      </c>
      <c r="Y6203">
        <v>-0.32650810000000002</v>
      </c>
      <c r="Z6203">
        <v>1.3385640000000001E-2</v>
      </c>
      <c r="AA6203">
        <v>0.94509960000000004</v>
      </c>
      <c r="AB6203">
        <v>30</v>
      </c>
      <c r="AC6203">
        <v>11.396199999999901</v>
      </c>
      <c r="AD6203">
        <v>-1.1106402025090001</v>
      </c>
      <c r="AE6203">
        <v>4.2505499999999898</v>
      </c>
      <c r="AF6203">
        <v>-3.9960507729492099</v>
      </c>
      <c r="AG6203">
        <v>-1.1106402025090001</v>
      </c>
      <c r="AH6203">
        <v>11.381370756762699</v>
      </c>
      <c r="AI6203">
        <v>95.260605723453807</v>
      </c>
      <c r="AJ6203">
        <v>109.346405070646</v>
      </c>
      <c r="AK6203">
        <v>12.1135273038992</v>
      </c>
      <c r="AL6203">
        <v>89.066268317395298</v>
      </c>
      <c r="AM6203">
        <v>98.878909171726704</v>
      </c>
      <c r="AN6203">
        <v>0.99999994787746405</v>
      </c>
    </row>
    <row r="6204" spans="1:40" x14ac:dyDescent="0.25">
      <c r="A6204" t="str">
        <f>"20190312151654210"</f>
        <v>20190312151654210</v>
      </c>
      <c r="B6204" t="str">
        <f>"1552375014204060"</f>
        <v>1552375014204060</v>
      </c>
      <c r="C6204" t="s">
        <v>40</v>
      </c>
      <c r="D6204">
        <v>4.5432420000000002</v>
      </c>
      <c r="E6204">
        <v>0.42993340000000002</v>
      </c>
      <c r="F6204" t="s">
        <v>64</v>
      </c>
      <c r="G6204">
        <v>-207.19550000000001</v>
      </c>
      <c r="H6204" s="1">
        <v>-2.1885739999999998E-6</v>
      </c>
      <c r="I6204">
        <v>-58.751100000000001</v>
      </c>
      <c r="J6204">
        <v>-218.422</v>
      </c>
      <c r="K6204">
        <v>1.110757</v>
      </c>
      <c r="L6204">
        <v>-62.997529999999998</v>
      </c>
      <c r="M6204">
        <v>0.99973599999999996</v>
      </c>
      <c r="N6204">
        <v>0</v>
      </c>
      <c r="O6204">
        <v>2.0281609999999999E-2</v>
      </c>
      <c r="P6204">
        <v>0.98453769999999996</v>
      </c>
      <c r="Q6204">
        <v>6.5309549999999997E-3</v>
      </c>
      <c r="R6204">
        <v>0.17505119999999999</v>
      </c>
      <c r="S6204">
        <v>2.8598180000000002</v>
      </c>
      <c r="T6204">
        <v>-0.27924120000000002</v>
      </c>
      <c r="U6204">
        <v>1.068573</v>
      </c>
      <c r="V6204">
        <v>-0.1551024</v>
      </c>
      <c r="W6204">
        <v>1.6684540000000001E-2</v>
      </c>
      <c r="X6204">
        <v>0.98775749999999995</v>
      </c>
      <c r="Y6204">
        <v>-0.32965430000000001</v>
      </c>
      <c r="Z6204">
        <v>1.362526E-2</v>
      </c>
      <c r="AA6204">
        <v>0.94400340000000005</v>
      </c>
      <c r="AB6204">
        <v>30</v>
      </c>
      <c r="AC6204">
        <v>11.2264999999999</v>
      </c>
      <c r="AD6204">
        <v>-1.110759188574</v>
      </c>
      <c r="AE6204">
        <v>4.2464300000000001</v>
      </c>
      <c r="AF6204">
        <v>-3.9837349423534798</v>
      </c>
      <c r="AG6204">
        <v>-1.110759188574</v>
      </c>
      <c r="AH6204">
        <v>11.2142808188025</v>
      </c>
      <c r="AI6204">
        <v>95.332221685544297</v>
      </c>
      <c r="AJ6204">
        <v>109.55695462491801</v>
      </c>
      <c r="AK6204">
        <v>11.9525739633307</v>
      </c>
      <c r="AL6204">
        <v>89.0440019206616</v>
      </c>
      <c r="AM6204">
        <v>98.923987461142104</v>
      </c>
      <c r="AN6204">
        <v>1.0000000035835099</v>
      </c>
    </row>
    <row r="6205" spans="1:40" x14ac:dyDescent="0.25">
      <c r="A6205" t="str">
        <f>"20190312151654223"</f>
        <v>20190312151654223</v>
      </c>
      <c r="B6205" t="str">
        <f>"1552375014213820"</f>
        <v>1552375014213820</v>
      </c>
      <c r="C6205" t="s">
        <v>40</v>
      </c>
      <c r="D6205">
        <v>4.5443249999999997</v>
      </c>
      <c r="E6205">
        <v>0.42994159999999998</v>
      </c>
      <c r="F6205" t="s">
        <v>64</v>
      </c>
      <c r="G6205">
        <v>-207.06890000000001</v>
      </c>
      <c r="H6205" s="1">
        <v>-2.2801150000000002E-6</v>
      </c>
      <c r="I6205">
        <v>-58.7095699999999</v>
      </c>
      <c r="J6205">
        <v>-218.26349999999999</v>
      </c>
      <c r="K6205">
        <v>1.110889</v>
      </c>
      <c r="L6205">
        <v>-62.993189999999998</v>
      </c>
      <c r="M6205">
        <v>0.99971169999999998</v>
      </c>
      <c r="N6205">
        <v>0</v>
      </c>
      <c r="O6205">
        <v>2.1434720000000001E-2</v>
      </c>
      <c r="P6205">
        <v>0.98420549999999996</v>
      </c>
      <c r="Q6205">
        <v>7.1488180000000004E-3</v>
      </c>
      <c r="R6205">
        <v>0.1768854</v>
      </c>
      <c r="S6205">
        <v>2.8571010000000001</v>
      </c>
      <c r="T6205">
        <v>-0.27953210000000001</v>
      </c>
      <c r="U6205">
        <v>1.079102</v>
      </c>
      <c r="V6205">
        <v>-0.15581159999999999</v>
      </c>
      <c r="W6205">
        <v>1.7268099999999901E-2</v>
      </c>
      <c r="X6205">
        <v>0.98763590000000001</v>
      </c>
      <c r="Y6205">
        <v>-0.33189999999999997</v>
      </c>
      <c r="Z6205">
        <v>1.3640360000000001E-2</v>
      </c>
      <c r="AA6205">
        <v>0.94321600000000005</v>
      </c>
      <c r="AB6205">
        <v>30</v>
      </c>
      <c r="AC6205">
        <v>11.1945999999999</v>
      </c>
      <c r="AD6205">
        <v>-1.1108912801149999</v>
      </c>
      <c r="AE6205">
        <v>4.2836200000000098</v>
      </c>
      <c r="AF6205">
        <v>-4.00823870200208</v>
      </c>
      <c r="AG6205">
        <v>-1.1108912801149999</v>
      </c>
      <c r="AH6205">
        <v>11.1877510757219</v>
      </c>
      <c r="AI6205">
        <v>95.340326749816498</v>
      </c>
      <c r="AJ6205">
        <v>109.71109281670699</v>
      </c>
      <c r="AK6205">
        <v>11.9359051211368</v>
      </c>
      <c r="AL6205">
        <v>89.010561628522794</v>
      </c>
      <c r="AM6205">
        <v>98.965216675140198</v>
      </c>
      <c r="AN6205">
        <v>1.0000000564704801</v>
      </c>
    </row>
    <row r="6206" spans="1:40" x14ac:dyDescent="0.25">
      <c r="A6206" t="str">
        <f>"20190312151654235"</f>
        <v>20190312151654235</v>
      </c>
      <c r="B6206" t="str">
        <f>"1552375014223579"</f>
        <v>1552375014223579</v>
      </c>
      <c r="C6206" t="s">
        <v>40</v>
      </c>
      <c r="D6206">
        <v>4.5320299999999998</v>
      </c>
      <c r="E6206">
        <v>0.43002810000000002</v>
      </c>
      <c r="F6206" t="s">
        <v>64</v>
      </c>
      <c r="G6206">
        <v>-206.8184</v>
      </c>
      <c r="H6206" s="1">
        <v>-2.4561699999999999E-6</v>
      </c>
      <c r="I6206">
        <v>-58.646180000000001</v>
      </c>
      <c r="J6206">
        <v>-218.10919999999999</v>
      </c>
      <c r="K6206">
        <v>1.111019</v>
      </c>
      <c r="L6206">
        <v>-62.988889999999998</v>
      </c>
      <c r="M6206">
        <v>0.99968590000000002</v>
      </c>
      <c r="N6206">
        <v>0</v>
      </c>
      <c r="O6206">
        <v>2.2598750000000001E-2</v>
      </c>
      <c r="P6206">
        <v>0.9837844</v>
      </c>
      <c r="Q6206">
        <v>7.340081E-3</v>
      </c>
      <c r="R6206">
        <v>0.179205</v>
      </c>
      <c r="S6206">
        <v>2.85527</v>
      </c>
      <c r="T6206">
        <v>-0.27713989999999999</v>
      </c>
      <c r="U6206">
        <v>1.084473</v>
      </c>
      <c r="V6206">
        <v>-0.15699639999999901</v>
      </c>
      <c r="W6206">
        <v>1.742258E-2</v>
      </c>
      <c r="X6206">
        <v>0.98744549999999998</v>
      </c>
      <c r="Y6206">
        <v>-0.33257720000000002</v>
      </c>
      <c r="Z6206">
        <v>1.345086E-2</v>
      </c>
      <c r="AA6206">
        <v>0.94298009999999999</v>
      </c>
      <c r="AB6206">
        <v>30</v>
      </c>
      <c r="AC6206">
        <v>11.2907999999999</v>
      </c>
      <c r="AD6206">
        <v>-1.11102145617</v>
      </c>
      <c r="AE6206">
        <v>4.3427099999999896</v>
      </c>
      <c r="AF6206">
        <v>-4.05224771261003</v>
      </c>
      <c r="AG6206">
        <v>-1.11102145617</v>
      </c>
      <c r="AH6206">
        <v>11.2908251902966</v>
      </c>
      <c r="AI6206">
        <v>95.291421008055806</v>
      </c>
      <c r="AJ6206">
        <v>109.74293001886301</v>
      </c>
      <c r="AK6206">
        <v>12.0473156212602</v>
      </c>
      <c r="AL6206">
        <v>89.001709204510604</v>
      </c>
      <c r="AM6206">
        <v>99.0339818572387</v>
      </c>
      <c r="AN6206">
        <v>1.00000001568853</v>
      </c>
    </row>
    <row r="6207" spans="1:40" x14ac:dyDescent="0.25">
      <c r="A6207" t="str">
        <f>"20190312151654245"</f>
        <v>20190312151654245</v>
      </c>
      <c r="B6207" t="str">
        <f>"1552375014234315"</f>
        <v>1552375014234315</v>
      </c>
      <c r="C6207" t="s">
        <v>40</v>
      </c>
      <c r="D6207">
        <v>4.5490769999999996</v>
      </c>
      <c r="E6207">
        <v>0.43011120000000003</v>
      </c>
      <c r="F6207" t="s">
        <v>64</v>
      </c>
      <c r="G6207">
        <v>-206.63630000000001</v>
      </c>
      <c r="H6207" s="1">
        <v>-2.583463E-6</v>
      </c>
      <c r="I6207">
        <v>-58.602809999999998</v>
      </c>
      <c r="J6207">
        <v>-217.96129999999999</v>
      </c>
      <c r="K6207">
        <v>1.1111489999999999</v>
      </c>
      <c r="L6207">
        <v>-62.984380000000002</v>
      </c>
      <c r="M6207">
        <v>0.99965700000000002</v>
      </c>
      <c r="N6207">
        <v>0</v>
      </c>
      <c r="O6207">
        <v>2.3837210000000001E-2</v>
      </c>
      <c r="P6207">
        <v>0.98338899999999996</v>
      </c>
      <c r="Q6207">
        <v>7.7066749999999996E-3</v>
      </c>
      <c r="R6207">
        <v>0.18134700000000001</v>
      </c>
      <c r="S6207">
        <v>2.8528440000000002</v>
      </c>
      <c r="T6207">
        <v>-0.2762656</v>
      </c>
      <c r="U6207">
        <v>1.0906370000000001</v>
      </c>
      <c r="V6207">
        <v>-0.1579305</v>
      </c>
      <c r="W6207">
        <v>1.77544E-2</v>
      </c>
      <c r="X6207">
        <v>0.98729060000000002</v>
      </c>
      <c r="Y6207">
        <v>-0.33346330000000002</v>
      </c>
      <c r="Z6207">
        <v>1.3340299999999999E-2</v>
      </c>
      <c r="AA6207">
        <v>0.94266870000000003</v>
      </c>
      <c r="AB6207">
        <v>30</v>
      </c>
      <c r="AC6207">
        <v>11.3249999999999</v>
      </c>
      <c r="AD6207">
        <v>-1.1111515834629999</v>
      </c>
      <c r="AE6207">
        <v>4.38157</v>
      </c>
      <c r="AF6207">
        <v>-4.0762215983563097</v>
      </c>
      <c r="AG6207">
        <v>-1.1111515834629999</v>
      </c>
      <c r="AH6207">
        <v>11.331352693277999</v>
      </c>
      <c r="AI6207">
        <v>95.271828470940704</v>
      </c>
      <c r="AJ6207">
        <v>109.78515374508</v>
      </c>
      <c r="AK6207">
        <v>12.093378114480499</v>
      </c>
      <c r="AL6207">
        <v>88.9826943569241</v>
      </c>
      <c r="AM6207">
        <v>99.088240083560706</v>
      </c>
      <c r="AN6207">
        <v>0.99999999519898497</v>
      </c>
    </row>
    <row r="6208" spans="1:40" x14ac:dyDescent="0.25">
      <c r="A6208" t="str">
        <f>"20190312151654256"</f>
        <v>20190312151654256</v>
      </c>
      <c r="B6208" t="str">
        <f>"1552375014253835"</f>
        <v>1552375014253835</v>
      </c>
      <c r="C6208" t="s">
        <v>40</v>
      </c>
      <c r="D6208">
        <v>4.5444239999999896</v>
      </c>
      <c r="E6208">
        <v>0.42970160000000002</v>
      </c>
      <c r="F6208" t="s">
        <v>64</v>
      </c>
      <c r="G6208">
        <v>-206.40450000000001</v>
      </c>
      <c r="H6208" s="1">
        <v>-2.7476019999999998E-6</v>
      </c>
      <c r="I6208">
        <v>-58.539810000000003</v>
      </c>
      <c r="J6208">
        <v>-217.81309999999999</v>
      </c>
      <c r="K6208">
        <v>1.111278</v>
      </c>
      <c r="L6208">
        <v>-62.979709999999997</v>
      </c>
      <c r="M6208">
        <v>0.99962519999999999</v>
      </c>
      <c r="N6208">
        <v>0</v>
      </c>
      <c r="O6208">
        <v>2.5122889999999998E-2</v>
      </c>
      <c r="P6208">
        <v>0.98290359999999999</v>
      </c>
      <c r="Q6208">
        <v>8.0441090000000007E-3</v>
      </c>
      <c r="R6208">
        <v>0.183945</v>
      </c>
      <c r="S6208">
        <v>2.8506469999999999</v>
      </c>
      <c r="T6208">
        <v>-0.27408110000000002</v>
      </c>
      <c r="U6208">
        <v>1.0963130000000001</v>
      </c>
      <c r="V6208">
        <v>-0.15927639999999901</v>
      </c>
      <c r="W6208">
        <v>1.8054279999999999E-2</v>
      </c>
      <c r="X6208">
        <v>0.98706899999999997</v>
      </c>
      <c r="Y6208">
        <v>-0.33415149999999999</v>
      </c>
      <c r="Z6208">
        <v>1.315329E-2</v>
      </c>
      <c r="AA6208">
        <v>0.94242760000000003</v>
      </c>
      <c r="AB6208">
        <v>30</v>
      </c>
      <c r="AC6208">
        <v>11.4085999999999</v>
      </c>
      <c r="AD6208">
        <v>-1.1112807476019999</v>
      </c>
      <c r="AE6208">
        <v>4.4398999999999997</v>
      </c>
      <c r="AF6208">
        <v>-4.1179320532635098</v>
      </c>
      <c r="AG6208">
        <v>-1.1112807476019999</v>
      </c>
      <c r="AH6208">
        <v>11.422425672756001</v>
      </c>
      <c r="AI6208">
        <v>95.229334958942999</v>
      </c>
      <c r="AJ6208">
        <v>109.824888614442</v>
      </c>
      <c r="AK6208">
        <v>12.192789571911799</v>
      </c>
      <c r="AL6208">
        <v>88.965509820870693</v>
      </c>
      <c r="AM6208">
        <v>99.166404676616096</v>
      </c>
      <c r="AN6208">
        <v>1.0000000696921301</v>
      </c>
    </row>
    <row r="6209" spans="1:40" x14ac:dyDescent="0.25">
      <c r="A6209" t="str">
        <f>"20190312151654267"</f>
        <v>20190312151654267</v>
      </c>
      <c r="B6209" t="str">
        <f>"1552375014263595"</f>
        <v>1552375014263595</v>
      </c>
      <c r="C6209" t="s">
        <v>40</v>
      </c>
      <c r="D6209">
        <v>4.5321889999999998</v>
      </c>
      <c r="E6209">
        <v>0.4294674</v>
      </c>
      <c r="F6209" t="s">
        <v>64</v>
      </c>
      <c r="G6209">
        <v>-206.2603</v>
      </c>
      <c r="H6209" s="1">
        <v>-2.8533790000000001E-6</v>
      </c>
      <c r="I6209">
        <v>-58.486569999999901</v>
      </c>
      <c r="J6209">
        <v>-217.6619</v>
      </c>
      <c r="K6209">
        <v>1.11141</v>
      </c>
      <c r="L6209">
        <v>-62.974580000000003</v>
      </c>
      <c r="M6209">
        <v>0.99958880000000006</v>
      </c>
      <c r="N6209">
        <v>0</v>
      </c>
      <c r="O6209">
        <v>2.6525119999999999E-2</v>
      </c>
      <c r="P6209">
        <v>0.98236659999999998</v>
      </c>
      <c r="Q6209">
        <v>8.4080159999999904E-3</v>
      </c>
      <c r="R6209">
        <v>0.18677669999999999</v>
      </c>
      <c r="S6209">
        <v>2.8471829999999998</v>
      </c>
      <c r="T6209">
        <v>-0.27387460000000002</v>
      </c>
      <c r="U6209">
        <v>1.1073299999999999</v>
      </c>
      <c r="V6209">
        <v>-0.16074379999999999</v>
      </c>
      <c r="W6209">
        <v>1.8379429999999999E-2</v>
      </c>
      <c r="X6209">
        <v>0.98682499999999995</v>
      </c>
      <c r="Y6209">
        <v>-0.33638279999999998</v>
      </c>
      <c r="Z6209">
        <v>1.3123289999999999E-2</v>
      </c>
      <c r="AA6209">
        <v>0.94163390000000002</v>
      </c>
      <c r="AB6209">
        <v>30</v>
      </c>
      <c r="AC6209">
        <v>11.4016</v>
      </c>
      <c r="AD6209">
        <v>-1.111412853379</v>
      </c>
      <c r="AE6209">
        <v>4.4880100000000098</v>
      </c>
      <c r="AF6209">
        <v>-4.1498418851730401</v>
      </c>
      <c r="AG6209">
        <v>-1.111412853379</v>
      </c>
      <c r="AH6209">
        <v>11.4226620643263</v>
      </c>
      <c r="AI6209">
        <v>95.225210832373094</v>
      </c>
      <c r="AJ6209">
        <v>109.96603341824</v>
      </c>
      <c r="AK6209">
        <v>12.203836890027301</v>
      </c>
      <c r="AL6209">
        <v>88.946876909446701</v>
      </c>
      <c r="AM6209">
        <v>99.251648348315499</v>
      </c>
      <c r="AN6209">
        <v>0.99999997665528195</v>
      </c>
    </row>
    <row r="6210" spans="1:40" x14ac:dyDescent="0.25">
      <c r="A6210" t="str">
        <f>"20190312151654279"</f>
        <v>20190312151654279</v>
      </c>
      <c r="B6210" t="str">
        <f>"1552375014274331"</f>
        <v>1552375014274331</v>
      </c>
      <c r="C6210" t="s">
        <v>40</v>
      </c>
      <c r="D6210">
        <v>4.5615430000000003</v>
      </c>
      <c r="E6210">
        <v>0.42925550000000001</v>
      </c>
      <c r="F6210" t="s">
        <v>64</v>
      </c>
      <c r="G6210">
        <v>-206.11199999999999</v>
      </c>
      <c r="H6210" s="1">
        <v>-2.960936E-6</v>
      </c>
      <c r="I6210">
        <v>-58.436770000000003</v>
      </c>
      <c r="J6210">
        <v>-217.5067</v>
      </c>
      <c r="K6210">
        <v>1.1115379999999999</v>
      </c>
      <c r="L6210">
        <v>-62.969059999999999</v>
      </c>
      <c r="M6210">
        <v>0.99954719999999997</v>
      </c>
      <c r="N6210">
        <v>0</v>
      </c>
      <c r="O6210">
        <v>2.804038E-2</v>
      </c>
      <c r="P6210">
        <v>0.981823</v>
      </c>
      <c r="Q6210">
        <v>8.2192369999999904E-3</v>
      </c>
      <c r="R6210">
        <v>0.18962080000000001</v>
      </c>
      <c r="S6210">
        <v>2.8437649999999999</v>
      </c>
      <c r="T6210">
        <v>-0.27364729999999998</v>
      </c>
      <c r="U6210">
        <v>1.1172789999999999</v>
      </c>
      <c r="V6210">
        <v>-0.16211029999999901</v>
      </c>
      <c r="W6210">
        <v>1.8152979999999999E-2</v>
      </c>
      <c r="X6210">
        <v>0.98660559999999997</v>
      </c>
      <c r="Y6210">
        <v>-0.33819480000000002</v>
      </c>
      <c r="Z6210">
        <v>1.306307E-2</v>
      </c>
      <c r="AA6210">
        <v>0.94098539999999997</v>
      </c>
      <c r="AB6210">
        <v>30</v>
      </c>
      <c r="AC6210">
        <v>11.3947</v>
      </c>
      <c r="AD6210">
        <v>-1.1115409609360001</v>
      </c>
      <c r="AE6210">
        <v>4.5322899999999997</v>
      </c>
      <c r="AF6210">
        <v>-4.1766616057454096</v>
      </c>
      <c r="AG6210">
        <v>-1.1115409609360001</v>
      </c>
      <c r="AH6210">
        <v>11.4234589673739</v>
      </c>
      <c r="AI6210">
        <v>95.221565919417401</v>
      </c>
      <c r="AJ6210">
        <v>110.08349621038001</v>
      </c>
      <c r="AK6210">
        <v>12.2137398144885</v>
      </c>
      <c r="AL6210">
        <v>88.959853671180596</v>
      </c>
      <c r="AM6210">
        <v>99.330958654472099</v>
      </c>
      <c r="AN6210">
        <v>0.99999994500016298</v>
      </c>
    </row>
    <row r="6211" spans="1:40" x14ac:dyDescent="0.25">
      <c r="A6211" t="str">
        <f>"20190312151654289"</f>
        <v>20190312151654289</v>
      </c>
      <c r="B6211" t="str">
        <f>"1552375014284091"</f>
        <v>1552375014284091</v>
      </c>
      <c r="C6211" t="s">
        <v>40</v>
      </c>
      <c r="D6211">
        <v>4.5549530000000003</v>
      </c>
      <c r="E6211">
        <v>0.42913230000000002</v>
      </c>
      <c r="F6211" t="s">
        <v>64</v>
      </c>
      <c r="G6211">
        <v>-206.0729</v>
      </c>
      <c r="H6211" s="1">
        <v>-2.9874139999999999E-6</v>
      </c>
      <c r="I6211">
        <v>-58.430720000000001</v>
      </c>
      <c r="J6211">
        <v>-217.3614</v>
      </c>
      <c r="K6211">
        <v>1.111653</v>
      </c>
      <c r="L6211">
        <v>-62.963650000000001</v>
      </c>
      <c r="M6211">
        <v>0.99950450000000002</v>
      </c>
      <c r="N6211">
        <v>0</v>
      </c>
      <c r="O6211">
        <v>2.9515119999999999E-2</v>
      </c>
      <c r="P6211">
        <v>0.98125079999999998</v>
      </c>
      <c r="Q6211">
        <v>8.1534469999999994E-3</v>
      </c>
      <c r="R6211">
        <v>0.19256309999999999</v>
      </c>
      <c r="S6211">
        <v>2.8401489999999998</v>
      </c>
      <c r="T6211">
        <v>-0.27610610000000002</v>
      </c>
      <c r="U6211">
        <v>1.127319</v>
      </c>
      <c r="V6211">
        <v>-0.16361729999999899</v>
      </c>
      <c r="W6211">
        <v>1.8050469999999999E-2</v>
      </c>
      <c r="X6211">
        <v>0.98635879999999998</v>
      </c>
      <c r="Y6211">
        <v>-0.3400666</v>
      </c>
      <c r="Z6211">
        <v>1.3137380000000001E-2</v>
      </c>
      <c r="AA6211">
        <v>0.94030959999999997</v>
      </c>
      <c r="AB6211">
        <v>30</v>
      </c>
      <c r="AC6211">
        <v>11.288500000000001</v>
      </c>
      <c r="AD6211">
        <v>-1.111655987414</v>
      </c>
      <c r="AE6211">
        <v>4.5329300000000003</v>
      </c>
      <c r="AF6211">
        <v>-4.16298795858504</v>
      </c>
      <c r="AG6211">
        <v>-1.111655987414</v>
      </c>
      <c r="AH6211">
        <v>11.322821161467999</v>
      </c>
      <c r="AI6211">
        <v>95.264801311449702</v>
      </c>
      <c r="AJ6211">
        <v>110.186632406054</v>
      </c>
      <c r="AK6211">
        <v>12.1149711857794</v>
      </c>
      <c r="AL6211">
        <v>88.965728144706702</v>
      </c>
      <c r="AM6211">
        <v>99.418467902919602</v>
      </c>
      <c r="AN6211">
        <v>1.0000000613319699</v>
      </c>
    </row>
    <row r="6212" spans="1:40" x14ac:dyDescent="0.25">
      <c r="A6212" t="str">
        <f>"20190312151654301"</f>
        <v>20190312151654301</v>
      </c>
      <c r="B6212" t="str">
        <f>"1552375014293852"</f>
        <v>1552375014293852</v>
      </c>
      <c r="C6212" t="s">
        <v>40</v>
      </c>
      <c r="D6212">
        <v>4.5476369999999999</v>
      </c>
      <c r="E6212">
        <v>0.42887900000000001</v>
      </c>
      <c r="F6212" t="s">
        <v>64</v>
      </c>
      <c r="G6212">
        <v>-205.9768</v>
      </c>
      <c r="H6212" s="1">
        <v>-3.0563840000000001E-6</v>
      </c>
      <c r="I6212">
        <v>-58.401020000000003</v>
      </c>
      <c r="J6212">
        <v>-217.20480000000001</v>
      </c>
      <c r="K6212">
        <v>1.1117779999999999</v>
      </c>
      <c r="L6212">
        <v>-62.957430000000002</v>
      </c>
      <c r="M6212">
        <v>0.99945289999999998</v>
      </c>
      <c r="N6212">
        <v>0</v>
      </c>
      <c r="O6212">
        <v>3.1206270000000001E-2</v>
      </c>
      <c r="P6212">
        <v>0.98064929999999995</v>
      </c>
      <c r="Q6212">
        <v>7.6813990000000002E-3</v>
      </c>
      <c r="R6212">
        <v>0.19562280000000001</v>
      </c>
      <c r="S6212">
        <v>2.8365480000000001</v>
      </c>
      <c r="T6212">
        <v>-0.27697630000000001</v>
      </c>
      <c r="U6212">
        <v>1.1368100000000001</v>
      </c>
      <c r="V6212">
        <v>-0.1650277</v>
      </c>
      <c r="W6212">
        <v>1.7544150000000001E-2</v>
      </c>
      <c r="X6212">
        <v>0.98613289999999998</v>
      </c>
      <c r="Y6212">
        <v>-0.34159089999999998</v>
      </c>
      <c r="Z6212">
        <v>1.3099660000000001E-2</v>
      </c>
      <c r="AA6212">
        <v>0.93975750000000002</v>
      </c>
      <c r="AB6212">
        <v>30</v>
      </c>
      <c r="AC6212">
        <v>11.228</v>
      </c>
      <c r="AD6212">
        <v>-1.111781056384</v>
      </c>
      <c r="AE6212">
        <v>4.5564099999999996</v>
      </c>
      <c r="AF6212">
        <v>-4.16869204856118</v>
      </c>
      <c r="AG6212">
        <v>-1.111781056384</v>
      </c>
      <c r="AH6212">
        <v>11.269854409525699</v>
      </c>
      <c r="AI6212">
        <v>95.286183352165494</v>
      </c>
      <c r="AJ6212">
        <v>110.299312713476</v>
      </c>
      <c r="AK6212">
        <v>12.0674632348716</v>
      </c>
      <c r="AL6212">
        <v>88.994742693935393</v>
      </c>
      <c r="AM6212">
        <v>99.500319195744396</v>
      </c>
      <c r="AN6212">
        <v>1.0000000177144599</v>
      </c>
    </row>
    <row r="6213" spans="1:40" x14ac:dyDescent="0.25">
      <c r="A6213" t="str">
        <f>"20190312151654311"</f>
        <v>20190312151654311</v>
      </c>
      <c r="B6213" t="str">
        <f>"1552375014303612"</f>
        <v>1552375014303612</v>
      </c>
      <c r="C6213" t="s">
        <v>40</v>
      </c>
      <c r="D6213">
        <v>4.5508889999999997</v>
      </c>
      <c r="E6213">
        <v>0.4288073</v>
      </c>
      <c r="F6213" t="s">
        <v>64</v>
      </c>
      <c r="G6213">
        <v>-205.86</v>
      </c>
      <c r="H6213" s="1">
        <v>-3.1315800000000001E-6</v>
      </c>
      <c r="I6213">
        <v>-58.360959999999999</v>
      </c>
      <c r="J6213">
        <v>-217.06129999999999</v>
      </c>
      <c r="K6213">
        <v>1.1118920000000001</v>
      </c>
      <c r="L6213">
        <v>-62.951599999999999</v>
      </c>
      <c r="M6213">
        <v>0.99940189999999995</v>
      </c>
      <c r="N6213">
        <v>0</v>
      </c>
      <c r="O6213">
        <v>3.278789E-2</v>
      </c>
      <c r="P6213">
        <v>0.98005189999999998</v>
      </c>
      <c r="Q6213">
        <v>7.5623050000000001E-3</v>
      </c>
      <c r="R6213">
        <v>0.198598</v>
      </c>
      <c r="S6213">
        <v>2.8324129999999998</v>
      </c>
      <c r="T6213">
        <v>-0.27757470000000001</v>
      </c>
      <c r="U6213">
        <v>1.147583</v>
      </c>
      <c r="V6213">
        <v>-0.166464</v>
      </c>
      <c r="W6213">
        <v>1.7392060000000001E-2</v>
      </c>
      <c r="X6213">
        <v>0.9858941</v>
      </c>
      <c r="Y6213">
        <v>-0.34364299999999998</v>
      </c>
      <c r="Z6213">
        <v>1.3084899999999899E-2</v>
      </c>
      <c r="AA6213">
        <v>0.93900919999999999</v>
      </c>
      <c r="AB6213">
        <v>30</v>
      </c>
      <c r="AC6213">
        <v>11.2012999999999</v>
      </c>
      <c r="AD6213">
        <v>-1.1118951315799901</v>
      </c>
      <c r="AE6213">
        <v>4.5906399999999996</v>
      </c>
      <c r="AF6213">
        <v>-4.1855707218837503</v>
      </c>
      <c r="AG6213">
        <v>-1.1118951315799901</v>
      </c>
      <c r="AH6213">
        <v>11.250885101628301</v>
      </c>
      <c r="AI6213">
        <v>95.291940164171905</v>
      </c>
      <c r="AJ6213">
        <v>110.406281222353</v>
      </c>
      <c r="AK6213">
        <v>12.055609840301001</v>
      </c>
      <c r="AL6213">
        <v>89.0034580828938</v>
      </c>
      <c r="AM6213">
        <v>99.583755383984496</v>
      </c>
      <c r="AN6213">
        <v>0.99999996173092598</v>
      </c>
    </row>
    <row r="6214" spans="1:40" x14ac:dyDescent="0.25">
      <c r="A6214" t="str">
        <f>"20190312151654324"</f>
        <v>20190312151654324</v>
      </c>
      <c r="B6214" t="str">
        <f>"1552375014314348"</f>
        <v>1552375014314348</v>
      </c>
      <c r="C6214" t="s">
        <v>40</v>
      </c>
      <c r="D6214">
        <v>4.5531069999999998</v>
      </c>
      <c r="E6214">
        <v>0.42870170000000002</v>
      </c>
      <c r="F6214" t="s">
        <v>64</v>
      </c>
      <c r="G6214">
        <v>-205.7807</v>
      </c>
      <c r="H6214" s="1">
        <v>-3.1798710000000001E-6</v>
      </c>
      <c r="I6214">
        <v>-58.338909999999998</v>
      </c>
      <c r="J6214">
        <v>-216.9083</v>
      </c>
      <c r="K6214">
        <v>1.1120099999999999</v>
      </c>
      <c r="L6214">
        <v>-62.944789999999998</v>
      </c>
      <c r="M6214">
        <v>0.99934060000000002</v>
      </c>
      <c r="N6214">
        <v>0</v>
      </c>
      <c r="O6214">
        <v>3.4596710000000003E-2</v>
      </c>
      <c r="P6214">
        <v>0.9794581</v>
      </c>
      <c r="Q6214">
        <v>8.0350749999999992E-3</v>
      </c>
      <c r="R6214">
        <v>0.20148740000000001</v>
      </c>
      <c r="S6214">
        <v>2.8288120000000001</v>
      </c>
      <c r="T6214">
        <v>-0.27882649999999998</v>
      </c>
      <c r="U6214">
        <v>1.1567080000000001</v>
      </c>
      <c r="V6214">
        <v>-0.1675951</v>
      </c>
      <c r="W6214">
        <v>1.7837840000000001E-2</v>
      </c>
      <c r="X6214">
        <v>0.98569450000000003</v>
      </c>
      <c r="Y6214">
        <v>-0.34494740000000002</v>
      </c>
      <c r="Z6214">
        <v>1.304276E-2</v>
      </c>
      <c r="AA6214">
        <v>0.93853140000000002</v>
      </c>
      <c r="AB6214">
        <v>30</v>
      </c>
      <c r="AC6214">
        <v>11.127599999999999</v>
      </c>
      <c r="AD6214">
        <v>-1.112013179871</v>
      </c>
      <c r="AE6214">
        <v>4.60588</v>
      </c>
      <c r="AF6214">
        <v>-4.1824614838161898</v>
      </c>
      <c r="AG6214">
        <v>-1.112013179871</v>
      </c>
      <c r="AH6214">
        <v>11.1849342652558</v>
      </c>
      <c r="AI6214">
        <v>95.320207887913099</v>
      </c>
      <c r="AJ6214">
        <v>110.50263327395101</v>
      </c>
      <c r="AK6214">
        <v>11.9930109603013</v>
      </c>
      <c r="AL6214">
        <v>88.977912820935103</v>
      </c>
      <c r="AM6214">
        <v>99.649572641369204</v>
      </c>
      <c r="AN6214">
        <v>0.99999997670506202</v>
      </c>
    </row>
    <row r="6215" spans="1:40" x14ac:dyDescent="0.25">
      <c r="A6215" t="str">
        <f>"20190312151654335"</f>
        <v>20190312151654335</v>
      </c>
      <c r="B6215" t="str">
        <f>"1552375014324107"</f>
        <v>1552375014324107</v>
      </c>
      <c r="C6215" t="s">
        <v>40</v>
      </c>
      <c r="D6215">
        <v>4.5681989999999999</v>
      </c>
      <c r="E6215">
        <v>0.42861129999999997</v>
      </c>
      <c r="F6215" t="s">
        <v>64</v>
      </c>
      <c r="G6215">
        <v>-205.64259999999999</v>
      </c>
      <c r="H6215" s="1">
        <v>-3.264975E-6</v>
      </c>
      <c r="I6215">
        <v>-58.2956</v>
      </c>
      <c r="J6215">
        <v>-216.7483</v>
      </c>
      <c r="K6215">
        <v>1.112134</v>
      </c>
      <c r="L6215">
        <v>-62.937530000000002</v>
      </c>
      <c r="M6215">
        <v>0.99927169999999998</v>
      </c>
      <c r="N6215">
        <v>0</v>
      </c>
      <c r="O6215">
        <v>3.6522939999999997E-2</v>
      </c>
      <c r="P6215">
        <v>0.9787884</v>
      </c>
      <c r="Q6215">
        <v>8.3747249999999995E-3</v>
      </c>
      <c r="R6215">
        <v>0.204703</v>
      </c>
      <c r="S6215">
        <v>2.825348</v>
      </c>
      <c r="T6215">
        <v>-0.278885099999999</v>
      </c>
      <c r="U6215">
        <v>1.165985</v>
      </c>
      <c r="V6215">
        <v>-0.16894010000000001</v>
      </c>
      <c r="W6215">
        <v>1.8147730000000001E-2</v>
      </c>
      <c r="X6215">
        <v>0.98545919999999998</v>
      </c>
      <c r="Y6215">
        <v>-0.34617969999999998</v>
      </c>
      <c r="Z6215">
        <v>1.292923E-2</v>
      </c>
      <c r="AA6215">
        <v>0.93807910000000005</v>
      </c>
      <c r="AB6215">
        <v>30</v>
      </c>
      <c r="AC6215">
        <v>11.105700000000001</v>
      </c>
      <c r="AD6215">
        <v>-1.1121372649750001</v>
      </c>
      <c r="AE6215">
        <v>4.6419300000000003</v>
      </c>
      <c r="AF6215">
        <v>-4.1973628768554301</v>
      </c>
      <c r="AG6215">
        <v>-1.1121372649750001</v>
      </c>
      <c r="AH6215">
        <v>11.172459551761101</v>
      </c>
      <c r="AI6215">
        <v>95.323657697959106</v>
      </c>
      <c r="AJ6215">
        <v>110.59061445265201</v>
      </c>
      <c r="AK6215">
        <v>11.986599052770901</v>
      </c>
      <c r="AL6215">
        <v>88.960154545623894</v>
      </c>
      <c r="AM6215">
        <v>99.727817870733602</v>
      </c>
      <c r="AN6215">
        <v>0.99999996617840003</v>
      </c>
    </row>
    <row r="6216" spans="1:40" x14ac:dyDescent="0.25">
      <c r="A6216" t="str">
        <f>"20190312151654346"</f>
        <v>20190312151654346</v>
      </c>
      <c r="B6216" t="str">
        <f>"1552375014333868"</f>
        <v>1552375014333868</v>
      </c>
      <c r="C6216" t="s">
        <v>40</v>
      </c>
      <c r="D6216">
        <v>4.5718819999999996</v>
      </c>
      <c r="E6216">
        <v>0.42856379999999999</v>
      </c>
      <c r="F6216" t="s">
        <v>64</v>
      </c>
      <c r="G6216">
        <v>-205.49549999999999</v>
      </c>
      <c r="H6216" s="1">
        <v>-3.356332E-6</v>
      </c>
      <c r="I6216">
        <v>-58.246400000000001</v>
      </c>
      <c r="J6216">
        <v>-216.59739999999999</v>
      </c>
      <c r="K6216">
        <v>1.1122529999999999</v>
      </c>
      <c r="L6216">
        <v>-62.930210000000002</v>
      </c>
      <c r="M6216">
        <v>0.99919959999999997</v>
      </c>
      <c r="N6216">
        <v>0</v>
      </c>
      <c r="O6216">
        <v>3.843825E-2</v>
      </c>
      <c r="P6216">
        <v>0.97814449999999997</v>
      </c>
      <c r="Q6216">
        <v>8.6415520000000003E-3</v>
      </c>
      <c r="R6216">
        <v>0.20774690000000001</v>
      </c>
      <c r="S6216">
        <v>2.821396</v>
      </c>
      <c r="T6216">
        <v>-0.27884639999999999</v>
      </c>
      <c r="U6216">
        <v>1.1762079999999999</v>
      </c>
      <c r="V6216">
        <v>-0.17012389999999999</v>
      </c>
      <c r="W6216">
        <v>1.839087E-2</v>
      </c>
      <c r="X6216">
        <v>0.98525110000000005</v>
      </c>
      <c r="Y6216">
        <v>-0.34774569999999999</v>
      </c>
      <c r="Z6216">
        <v>1.2829159999999999E-2</v>
      </c>
      <c r="AA6216">
        <v>0.93750109999999998</v>
      </c>
      <c r="AB6216">
        <v>30</v>
      </c>
      <c r="AC6216">
        <v>11.101900000000001</v>
      </c>
      <c r="AD6216">
        <v>-1.112256356332</v>
      </c>
      <c r="AE6216">
        <v>4.6838099999999896</v>
      </c>
      <c r="AF6216">
        <v>-4.2176472897847903</v>
      </c>
      <c r="AG6216">
        <v>-1.112256356332</v>
      </c>
      <c r="AH6216">
        <v>11.1784949883653</v>
      </c>
      <c r="AI6216">
        <v>95.318555149398804</v>
      </c>
      <c r="AJ6216">
        <v>110.671496247696</v>
      </c>
      <c r="AK6216">
        <v>11.999350526930201</v>
      </c>
      <c r="AL6216">
        <v>88.946221409835303</v>
      </c>
      <c r="AM6216">
        <v>99.796695680547998</v>
      </c>
      <c r="AN6216">
        <v>1.0000000477508799</v>
      </c>
    </row>
    <row r="6217" spans="1:40" x14ac:dyDescent="0.25">
      <c r="A6217" t="str">
        <f>"20190312151654359"</f>
        <v>20190312151654359</v>
      </c>
      <c r="B6217" t="str">
        <f>"1552375014354363"</f>
        <v>1552375014354363</v>
      </c>
      <c r="C6217" t="s">
        <v>40</v>
      </c>
      <c r="D6217">
        <v>4.5221090000000004</v>
      </c>
      <c r="E6217">
        <v>0.42854520000000002</v>
      </c>
      <c r="F6217" t="s">
        <v>64</v>
      </c>
      <c r="G6217">
        <v>-205.3682</v>
      </c>
      <c r="H6217" s="1">
        <v>-3.434888E-6</v>
      </c>
      <c r="I6217">
        <v>-58.206180000000003</v>
      </c>
      <c r="J6217">
        <v>-216.43539999999999</v>
      </c>
      <c r="K6217">
        <v>1.1123769999999999</v>
      </c>
      <c r="L6217">
        <v>-62.921999999999997</v>
      </c>
      <c r="M6217">
        <v>0.9991158</v>
      </c>
      <c r="N6217">
        <v>0</v>
      </c>
      <c r="O6217">
        <v>4.0546840000000001E-2</v>
      </c>
      <c r="P6217">
        <v>0.97740289999999996</v>
      </c>
      <c r="Q6217">
        <v>8.9417969999999996E-3</v>
      </c>
      <c r="R6217">
        <v>0.2111953</v>
      </c>
      <c r="S6217">
        <v>2.8177340000000002</v>
      </c>
      <c r="T6217">
        <v>-0.2790974</v>
      </c>
      <c r="U6217">
        <v>1.1853940000000001</v>
      </c>
      <c r="V6217">
        <v>-0.17152700000000001</v>
      </c>
      <c r="W6217">
        <v>1.8665959999999999E-2</v>
      </c>
      <c r="X6217">
        <v>0.98500259999999995</v>
      </c>
      <c r="Y6217">
        <v>-0.34880139999999998</v>
      </c>
      <c r="Z6217">
        <v>1.269935E-2</v>
      </c>
      <c r="AA6217">
        <v>0.93711069999999996</v>
      </c>
      <c r="AB6217">
        <v>30</v>
      </c>
      <c r="AC6217">
        <v>11.0671999999999</v>
      </c>
      <c r="AD6217">
        <v>-1.112380434888</v>
      </c>
      <c r="AE6217">
        <v>4.7158199999999901</v>
      </c>
      <c r="AF6217">
        <v>-4.2270320410257902</v>
      </c>
      <c r="AG6217">
        <v>-1.112380434888</v>
      </c>
      <c r="AH6217">
        <v>11.1539533480807</v>
      </c>
      <c r="AI6217">
        <v>95.327851098507296</v>
      </c>
      <c r="AJ6217">
        <v>110.755287560664</v>
      </c>
      <c r="AK6217">
        <v>11.9798107413657</v>
      </c>
      <c r="AL6217">
        <v>88.930457185003704</v>
      </c>
      <c r="AM6217">
        <v>99.878351979759898</v>
      </c>
      <c r="AN6217">
        <v>1.0000000258992401</v>
      </c>
    </row>
    <row r="6218" spans="1:40" x14ac:dyDescent="0.25">
      <c r="A6218" t="str">
        <f>"20190312151654369"</f>
        <v>20190312151654369</v>
      </c>
      <c r="B6218" t="str">
        <f>"1552375014364124"</f>
        <v>1552375014364124</v>
      </c>
      <c r="C6218" t="s">
        <v>40</v>
      </c>
      <c r="D6218">
        <v>4.6054060000000003</v>
      </c>
      <c r="E6218">
        <v>0.42866870000000001</v>
      </c>
      <c r="F6218" t="s">
        <v>64</v>
      </c>
      <c r="G6218">
        <v>-205.2234</v>
      </c>
      <c r="H6218" s="1">
        <v>-3.5249049999999998E-6</v>
      </c>
      <c r="I6218">
        <v>-58.157380000000003</v>
      </c>
      <c r="J6218">
        <v>-216.29249999999999</v>
      </c>
      <c r="K6218">
        <v>1.1124879999999999</v>
      </c>
      <c r="L6218">
        <v>-62.914459999999998</v>
      </c>
      <c r="M6218">
        <v>0.99903589999999998</v>
      </c>
      <c r="N6218">
        <v>0</v>
      </c>
      <c r="O6218">
        <v>4.2461020000000002E-2</v>
      </c>
      <c r="P6218">
        <v>0.97670970000000001</v>
      </c>
      <c r="Q6218">
        <v>9.0524200000000003E-3</v>
      </c>
      <c r="R6218">
        <v>0.2143745</v>
      </c>
      <c r="S6218">
        <v>2.8135680000000001</v>
      </c>
      <c r="T6218">
        <v>-0.27914430000000001</v>
      </c>
      <c r="U6218">
        <v>1.195648</v>
      </c>
      <c r="V6218">
        <v>-0.17285020000000001</v>
      </c>
      <c r="W6218">
        <v>1.875655E-2</v>
      </c>
      <c r="X6218">
        <v>0.98476949999999996</v>
      </c>
      <c r="Y6218">
        <v>-0.3503986</v>
      </c>
      <c r="Z6218">
        <v>1.260521E-2</v>
      </c>
      <c r="AA6218">
        <v>0.93651589999999996</v>
      </c>
      <c r="AB6218">
        <v>30</v>
      </c>
      <c r="AC6218">
        <v>11.069099999999899</v>
      </c>
      <c r="AD6218">
        <v>-1.112491524905</v>
      </c>
      <c r="AE6218">
        <v>4.7570799999999904</v>
      </c>
      <c r="AF6218">
        <v>-4.2465472163721101</v>
      </c>
      <c r="AG6218">
        <v>-1.112491524905</v>
      </c>
      <c r="AH6218">
        <v>11.165914575137499</v>
      </c>
      <c r="AI6218">
        <v>95.320349324045495</v>
      </c>
      <c r="AJ6218">
        <v>110.82248138832701</v>
      </c>
      <c r="AK6218">
        <v>11.997851847440501</v>
      </c>
      <c r="AL6218">
        <v>88.925265806550001</v>
      </c>
      <c r="AM6218">
        <v>99.955346578846402</v>
      </c>
      <c r="AN6218">
        <v>0.99999998396909595</v>
      </c>
    </row>
    <row r="6219" spans="1:40" x14ac:dyDescent="0.25">
      <c r="A6219" t="str">
        <f>"20190312151654380"</f>
        <v>20190312151654380</v>
      </c>
      <c r="B6219" t="str">
        <f>"1552375014373884"</f>
        <v>1552375014373884</v>
      </c>
      <c r="C6219" t="s">
        <v>40</v>
      </c>
      <c r="D6219">
        <v>4.5561069999999999</v>
      </c>
      <c r="E6219">
        <v>0.42886079999999999</v>
      </c>
      <c r="F6219" t="s">
        <v>64</v>
      </c>
      <c r="G6219">
        <v>-205.08420000000001</v>
      </c>
      <c r="H6219" s="1">
        <v>-3.6110330000000001E-6</v>
      </c>
      <c r="I6219">
        <v>-58.112369999999999</v>
      </c>
      <c r="J6219">
        <v>-216.14230000000001</v>
      </c>
      <c r="K6219">
        <v>1.112598</v>
      </c>
      <c r="L6219">
        <v>-62.906129999999997</v>
      </c>
      <c r="M6219">
        <v>0.99894479999999997</v>
      </c>
      <c r="N6219">
        <v>0</v>
      </c>
      <c r="O6219">
        <v>4.4542499999999999E-2</v>
      </c>
      <c r="P6219">
        <v>0.97593810000000003</v>
      </c>
      <c r="Q6219">
        <v>8.8975740000000001E-3</v>
      </c>
      <c r="R6219">
        <v>0.21786630000000001</v>
      </c>
      <c r="S6219">
        <v>2.8098749999999999</v>
      </c>
      <c r="T6219">
        <v>-0.27889570000000002</v>
      </c>
      <c r="U6219">
        <v>1.203857</v>
      </c>
      <c r="V6219">
        <v>-0.1743246</v>
      </c>
      <c r="W6219">
        <v>1.8582049999999999E-2</v>
      </c>
      <c r="X6219">
        <v>0.98451290000000002</v>
      </c>
      <c r="Y6219">
        <v>-0.35121149999999901</v>
      </c>
      <c r="Z6219">
        <v>1.2444480000000001E-2</v>
      </c>
      <c r="AA6219">
        <v>0.93621339999999997</v>
      </c>
      <c r="AB6219">
        <v>30</v>
      </c>
      <c r="AC6219">
        <v>11.0580999999999</v>
      </c>
      <c r="AD6219">
        <v>-1.1126016110329999</v>
      </c>
      <c r="AE6219">
        <v>4.7937599999999998</v>
      </c>
      <c r="AF6219">
        <v>-4.2601117223950702</v>
      </c>
      <c r="AG6219">
        <v>-1.1126016110329999</v>
      </c>
      <c r="AH6219">
        <v>11.1655131951757</v>
      </c>
      <c r="AI6219">
        <v>95.318901263674107</v>
      </c>
      <c r="AJ6219">
        <v>110.883951266171</v>
      </c>
      <c r="AK6219">
        <v>12.0022964112624</v>
      </c>
      <c r="AL6219">
        <v>88.935265684958594</v>
      </c>
      <c r="AM6219">
        <v>100.041108036376</v>
      </c>
      <c r="AN6219">
        <v>1.00000000450688</v>
      </c>
    </row>
    <row r="6220" spans="1:40" x14ac:dyDescent="0.25">
      <c r="A6220" t="str">
        <f>"20190312151654390"</f>
        <v>20190312151654390</v>
      </c>
      <c r="B6220" t="str">
        <f>"1552375014383644"</f>
        <v>1552375014383644</v>
      </c>
      <c r="C6220" t="s">
        <v>40</v>
      </c>
      <c r="D6220">
        <v>4.5752119999999996</v>
      </c>
      <c r="E6220">
        <v>0.42875960000000002</v>
      </c>
      <c r="F6220" t="s">
        <v>64</v>
      </c>
      <c r="G6220">
        <v>-204.94820000000001</v>
      </c>
      <c r="H6220" s="1">
        <v>-3.6944909999999999E-6</v>
      </c>
      <c r="I6220">
        <v>-58.06973</v>
      </c>
      <c r="J6220">
        <v>-215.9973</v>
      </c>
      <c r="K6220">
        <v>1.1127020000000001</v>
      </c>
      <c r="L6220">
        <v>-62.897829999999999</v>
      </c>
      <c r="M6220">
        <v>0.99885109999999999</v>
      </c>
      <c r="N6220">
        <v>0</v>
      </c>
      <c r="O6220">
        <v>4.6587450000000002E-2</v>
      </c>
      <c r="P6220">
        <v>0.97520589999999996</v>
      </c>
      <c r="Q6220">
        <v>9.0375860000000002E-3</v>
      </c>
      <c r="R6220">
        <v>0.2211149</v>
      </c>
      <c r="S6220">
        <v>2.8058779999999999</v>
      </c>
      <c r="T6220">
        <v>-0.27888190000000002</v>
      </c>
      <c r="U6220">
        <v>1.21228</v>
      </c>
      <c r="V6220">
        <v>-0.1755929</v>
      </c>
      <c r="W6220">
        <v>1.8705530000000001E-2</v>
      </c>
      <c r="X6220">
        <v>0.98428510000000002</v>
      </c>
      <c r="Y6220">
        <v>-0.35215269999999999</v>
      </c>
      <c r="Z6220">
        <v>1.23047E-2</v>
      </c>
      <c r="AA6220">
        <v>0.93586170000000002</v>
      </c>
      <c r="AB6220">
        <v>30</v>
      </c>
      <c r="AC6220">
        <v>11.0490999999999</v>
      </c>
      <c r="AD6220">
        <v>-1.1127056944910001</v>
      </c>
      <c r="AE6220">
        <v>4.8280999999999903</v>
      </c>
      <c r="AF6220">
        <v>-4.2716990156188004</v>
      </c>
      <c r="AG6220">
        <v>-1.1127056944910001</v>
      </c>
      <c r="AH6220">
        <v>11.166950999186099</v>
      </c>
      <c r="AI6220">
        <v>95.316972567849405</v>
      </c>
      <c r="AJ6220">
        <v>110.933375512615</v>
      </c>
      <c r="AK6220">
        <v>12.007760867906001</v>
      </c>
      <c r="AL6220">
        <v>88.928189525305299</v>
      </c>
      <c r="AM6220">
        <v>100.11495182493501</v>
      </c>
      <c r="AN6220">
        <v>0.99999996073249897</v>
      </c>
    </row>
    <row r="6221" spans="1:40" x14ac:dyDescent="0.25">
      <c r="A6221" t="str">
        <f>"20190312151654402"</f>
        <v>20190312151654402</v>
      </c>
      <c r="B6221" t="str">
        <f>"1552375014394380"</f>
        <v>1552375014394380</v>
      </c>
      <c r="C6221" t="s">
        <v>40</v>
      </c>
      <c r="D6221">
        <v>4.6006640000000001</v>
      </c>
      <c r="E6221">
        <v>0.4287822</v>
      </c>
      <c r="F6221" t="s">
        <v>64</v>
      </c>
      <c r="G6221">
        <v>-204.8443</v>
      </c>
      <c r="H6221" s="1">
        <v>-3.755812E-6</v>
      </c>
      <c r="I6221">
        <v>-58.031930000000003</v>
      </c>
      <c r="J6221">
        <v>-215.8494</v>
      </c>
      <c r="K6221">
        <v>1.1128100000000001</v>
      </c>
      <c r="L6221">
        <v>-62.88879</v>
      </c>
      <c r="M6221">
        <v>0.99874689999999999</v>
      </c>
      <c r="N6221">
        <v>0</v>
      </c>
      <c r="O6221">
        <v>4.8760230000000002E-2</v>
      </c>
      <c r="P6221">
        <v>0.97441960000000005</v>
      </c>
      <c r="Q6221">
        <v>8.7574550000000008E-3</v>
      </c>
      <c r="R6221">
        <v>0.22456599999999999</v>
      </c>
      <c r="S6221">
        <v>2.8017120000000002</v>
      </c>
      <c r="T6221">
        <v>-0.27951989999999999</v>
      </c>
      <c r="U6221">
        <v>1.222351</v>
      </c>
      <c r="V6221">
        <v>-0.17693929999999999</v>
      </c>
      <c r="W6221">
        <v>1.8412810000000002E-2</v>
      </c>
      <c r="X6221">
        <v>0.98404950000000002</v>
      </c>
      <c r="Y6221">
        <v>-0.3534505</v>
      </c>
      <c r="Z6221">
        <v>1.219726E-2</v>
      </c>
      <c r="AA6221">
        <v>0.93537369999999997</v>
      </c>
      <c r="AB6221">
        <v>30</v>
      </c>
      <c r="AC6221">
        <v>11.005100000000001</v>
      </c>
      <c r="AD6221">
        <v>-1.1128137558119999</v>
      </c>
      <c r="AE6221">
        <v>4.8568599999999904</v>
      </c>
      <c r="AF6221">
        <v>-4.2778271250899804</v>
      </c>
      <c r="AG6221">
        <v>-1.1128137558119999</v>
      </c>
      <c r="AH6221">
        <v>11.133563483036999</v>
      </c>
      <c r="AI6221">
        <v>95.330332418448293</v>
      </c>
      <c r="AJ6221">
        <v>111.018174581444</v>
      </c>
      <c r="AK6221">
        <v>11.978914608515</v>
      </c>
      <c r="AL6221">
        <v>88.944964059228099</v>
      </c>
      <c r="AM6221">
        <v>100.193279885845</v>
      </c>
      <c r="AN6221">
        <v>0.99999998295341797</v>
      </c>
    </row>
    <row r="6222" spans="1:40" x14ac:dyDescent="0.25">
      <c r="A6222" t="str">
        <f>"20190312151654411"</f>
        <v>20190312151654411</v>
      </c>
      <c r="B6222" t="str">
        <f>"1552375014404140"</f>
        <v>1552375014404140</v>
      </c>
      <c r="C6222" t="s">
        <v>40</v>
      </c>
      <c r="D6222">
        <v>4.5888140000000002</v>
      </c>
      <c r="E6222">
        <v>0.42884529999999899</v>
      </c>
      <c r="F6222" t="s">
        <v>64</v>
      </c>
      <c r="G6222">
        <v>-204.77850000000001</v>
      </c>
      <c r="H6222" s="1">
        <v>-3.7935499999999999E-6</v>
      </c>
      <c r="I6222">
        <v>-58.012990000000002</v>
      </c>
      <c r="J6222">
        <v>-215.6985</v>
      </c>
      <c r="K6222">
        <v>1.112916</v>
      </c>
      <c r="L6222">
        <v>-62.879489999999997</v>
      </c>
      <c r="M6222">
        <v>0.99863480000000004</v>
      </c>
      <c r="N6222">
        <v>0</v>
      </c>
      <c r="O6222">
        <v>5.0996239999999998E-2</v>
      </c>
      <c r="P6222">
        <v>0.97364759999999995</v>
      </c>
      <c r="Q6222">
        <v>8.5705450000000006E-3</v>
      </c>
      <c r="R6222">
        <v>0.2278973</v>
      </c>
      <c r="S6222">
        <v>2.7973330000000001</v>
      </c>
      <c r="T6222">
        <v>-0.2811805</v>
      </c>
      <c r="U6222">
        <v>1.231995</v>
      </c>
      <c r="V6222">
        <v>-0.17810500000000001</v>
      </c>
      <c r="W6222">
        <v>1.8214950000000001E-2</v>
      </c>
      <c r="X6222">
        <v>0.98384289999999996</v>
      </c>
      <c r="Y6222">
        <v>-0.35458600000000001</v>
      </c>
      <c r="Z6222">
        <v>1.212035E-2</v>
      </c>
      <c r="AA6222">
        <v>0.93494489999999997</v>
      </c>
      <c r="AB6222">
        <v>30</v>
      </c>
      <c r="AC6222">
        <v>10.9199999999999</v>
      </c>
      <c r="AD6222">
        <v>-1.1129197935499999</v>
      </c>
      <c r="AE6222">
        <v>4.8665000000000003</v>
      </c>
      <c r="AF6222">
        <v>-4.2662819780747903</v>
      </c>
      <c r="AG6222">
        <v>-1.1129197935499999</v>
      </c>
      <c r="AH6222">
        <v>11.058151352063099</v>
      </c>
      <c r="AI6222">
        <v>95.364160685068398</v>
      </c>
      <c r="AJ6222">
        <v>111.096827239869</v>
      </c>
      <c r="AK6222">
        <v>11.904724428077101</v>
      </c>
      <c r="AL6222">
        <v>88.956302536026996</v>
      </c>
      <c r="AM6222">
        <v>100.26112150276801</v>
      </c>
      <c r="AN6222">
        <v>1.00000001365445</v>
      </c>
    </row>
    <row r="6223" spans="1:40" x14ac:dyDescent="0.25">
      <c r="A6223" t="str">
        <f>"20190312151654424"</f>
        <v>20190312151654424</v>
      </c>
      <c r="B6223" t="str">
        <f>"1552375014413899"</f>
        <v>1552375014413899</v>
      </c>
      <c r="C6223" t="s">
        <v>40</v>
      </c>
      <c r="D6223">
        <v>4.5341149999999999</v>
      </c>
      <c r="E6223">
        <v>0.42891820000000003</v>
      </c>
      <c r="F6223" t="s">
        <v>64</v>
      </c>
      <c r="G6223">
        <v>-204.71209999999999</v>
      </c>
      <c r="H6223" s="1">
        <v>-3.830638E-6</v>
      </c>
      <c r="I6223">
        <v>-57.998420000000003</v>
      </c>
      <c r="J6223">
        <v>-215.54310000000001</v>
      </c>
      <c r="K6223">
        <v>1.113029</v>
      </c>
      <c r="L6223">
        <v>-62.869140000000002</v>
      </c>
      <c r="M6223">
        <v>0.99850779999999995</v>
      </c>
      <c r="N6223">
        <v>0</v>
      </c>
      <c r="O6223">
        <v>5.3413309999999999E-2</v>
      </c>
      <c r="P6223">
        <v>0.9728774</v>
      </c>
      <c r="Q6223">
        <v>8.4763189999999995E-3</v>
      </c>
      <c r="R6223">
        <v>0.2311666</v>
      </c>
      <c r="S6223">
        <v>2.7932130000000002</v>
      </c>
      <c r="T6223">
        <v>-0.28294989999999998</v>
      </c>
      <c r="U6223">
        <v>1.2409669999999999</v>
      </c>
      <c r="V6223">
        <v>-0.17903269999999999</v>
      </c>
      <c r="W6223">
        <v>1.812008E-2</v>
      </c>
      <c r="X6223">
        <v>0.98367629999999995</v>
      </c>
      <c r="Y6223">
        <v>-0.35533340000000002</v>
      </c>
      <c r="Z6223">
        <v>1.2009509999999999E-2</v>
      </c>
      <c r="AA6223">
        <v>0.93466249999999995</v>
      </c>
      <c r="AB6223">
        <v>30</v>
      </c>
      <c r="AC6223">
        <v>10.831</v>
      </c>
      <c r="AD6223">
        <v>-1.113032830638</v>
      </c>
      <c r="AE6223">
        <v>4.8707200000000004</v>
      </c>
      <c r="AF6223">
        <v>-4.2478957927104597</v>
      </c>
      <c r="AG6223">
        <v>-1.113032830638</v>
      </c>
      <c r="AH6223">
        <v>10.979273160727001</v>
      </c>
      <c r="AI6223">
        <v>95.401036027379106</v>
      </c>
      <c r="AJ6223">
        <v>111.15152218772501</v>
      </c>
      <c r="AK6223">
        <v>11.8248847726168</v>
      </c>
      <c r="AL6223">
        <v>88.961739125792604</v>
      </c>
      <c r="AM6223">
        <v>100.315133923207</v>
      </c>
      <c r="AN6223">
        <v>1.00000005407509</v>
      </c>
    </row>
    <row r="6224" spans="1:40" x14ac:dyDescent="0.25">
      <c r="A6224" t="str">
        <f>"20190312151654435"</f>
        <v>20190312151654435</v>
      </c>
      <c r="B6224" t="str">
        <f>"1552375014423661"</f>
        <v>1552375014423661</v>
      </c>
      <c r="C6224" t="s">
        <v>40</v>
      </c>
      <c r="D6224">
        <v>4.56867</v>
      </c>
      <c r="E6224">
        <v>0.42894389999999999</v>
      </c>
      <c r="F6224" t="s">
        <v>64</v>
      </c>
      <c r="G6224">
        <v>-204.59610000000001</v>
      </c>
      <c r="H6224" s="1">
        <v>-3.8973739999999999E-6</v>
      </c>
      <c r="I6224">
        <v>-57.963859999999997</v>
      </c>
      <c r="J6224">
        <v>-215.39259999999999</v>
      </c>
      <c r="K6224">
        <v>1.113135</v>
      </c>
      <c r="L6224">
        <v>-62.85895</v>
      </c>
      <c r="M6224">
        <v>0.99837770000000003</v>
      </c>
      <c r="N6224">
        <v>0</v>
      </c>
      <c r="O6224">
        <v>5.5778250000000001E-2</v>
      </c>
      <c r="P6224">
        <v>0.972113</v>
      </c>
      <c r="Q6224">
        <v>8.2560140000000008E-3</v>
      </c>
      <c r="R6224">
        <v>0.23436779999999999</v>
      </c>
      <c r="S6224">
        <v>2.7891689999999998</v>
      </c>
      <c r="T6224">
        <v>-0.2835896</v>
      </c>
      <c r="U6224">
        <v>1.249817</v>
      </c>
      <c r="V6224">
        <v>-0.1799433</v>
      </c>
      <c r="W6224">
        <v>1.790077E-2</v>
      </c>
      <c r="X6224">
        <v>0.98351409999999995</v>
      </c>
      <c r="Y6224">
        <v>-0.35609580000000002</v>
      </c>
      <c r="Z6224">
        <v>1.185465E-2</v>
      </c>
      <c r="AA6224">
        <v>0.93437429999999999</v>
      </c>
      <c r="AB6224">
        <v>30</v>
      </c>
      <c r="AC6224">
        <v>10.796499999999901</v>
      </c>
      <c r="AD6224">
        <v>-1.113138897374</v>
      </c>
      <c r="AE6224">
        <v>4.8950899999999997</v>
      </c>
      <c r="AF6224">
        <v>-4.2477647011998299</v>
      </c>
      <c r="AG6224">
        <v>-1.113138897374</v>
      </c>
      <c r="AH6224">
        <v>10.9561422152095</v>
      </c>
      <c r="AI6224">
        <v>95.411425572890295</v>
      </c>
      <c r="AJ6224">
        <v>111.19162275674699</v>
      </c>
      <c r="AK6224">
        <v>11.8033738990808</v>
      </c>
      <c r="AL6224">
        <v>88.974306652560898</v>
      </c>
      <c r="AM6224">
        <v>100.36813681076499</v>
      </c>
      <c r="AN6224">
        <v>1.00000000684014</v>
      </c>
    </row>
    <row r="6225" spans="1:40" x14ac:dyDescent="0.25">
      <c r="A6225" t="str">
        <f>"20190312151654446"</f>
        <v>20190312151654446</v>
      </c>
      <c r="B6225" t="str">
        <f>"1552375014444260"</f>
        <v>1552375014444260</v>
      </c>
      <c r="C6225" t="s">
        <v>40</v>
      </c>
      <c r="D6225">
        <v>4.5648299999999997</v>
      </c>
      <c r="E6225">
        <v>0.4289694</v>
      </c>
      <c r="F6225" t="s">
        <v>64</v>
      </c>
      <c r="G6225">
        <v>-204.5001</v>
      </c>
      <c r="H6225" s="1">
        <v>-3.9526400000000003E-6</v>
      </c>
      <c r="I6225">
        <v>-57.935279999999999</v>
      </c>
      <c r="J6225">
        <v>-215.2474</v>
      </c>
      <c r="K6225">
        <v>1.1132409999999999</v>
      </c>
      <c r="L6225">
        <v>-62.84854</v>
      </c>
      <c r="M6225">
        <v>0.99824219999999997</v>
      </c>
      <c r="N6225">
        <v>0</v>
      </c>
      <c r="O6225">
        <v>5.8141560000000002E-2</v>
      </c>
      <c r="P6225">
        <v>0.9712963</v>
      </c>
      <c r="Q6225">
        <v>8.64586E-3</v>
      </c>
      <c r="R6225">
        <v>0.23771539999999999</v>
      </c>
      <c r="S6225">
        <v>2.7849879999999998</v>
      </c>
      <c r="T6225">
        <v>-0.28460649999999998</v>
      </c>
      <c r="U6225">
        <v>1.2588809999999999</v>
      </c>
      <c r="V6225">
        <v>-0.18101159999999999</v>
      </c>
      <c r="W6225">
        <v>1.8294089999999999E-2</v>
      </c>
      <c r="X6225">
        <v>0.98331080000000004</v>
      </c>
      <c r="Y6225">
        <v>-0.35693239999999998</v>
      </c>
      <c r="Z6225">
        <v>1.1718320000000001E-2</v>
      </c>
      <c r="AA6225">
        <v>0.93405669999999996</v>
      </c>
      <c r="AB6225">
        <v>30</v>
      </c>
      <c r="AC6225">
        <v>10.7472999999999</v>
      </c>
      <c r="AD6225">
        <v>-1.1132449526399999</v>
      </c>
      <c r="AE6225">
        <v>4.9132599999999904</v>
      </c>
      <c r="AF6225">
        <v>-4.2423910550798603</v>
      </c>
      <c r="AG6225">
        <v>-1.1132449526399999</v>
      </c>
      <c r="AH6225">
        <v>10.9179064091001</v>
      </c>
      <c r="AI6225">
        <v>95.429202208704496</v>
      </c>
      <c r="AJ6225">
        <v>111.234724946716</v>
      </c>
      <c r="AK6225">
        <v>11.765962627285001</v>
      </c>
      <c r="AL6225">
        <v>88.951767379391697</v>
      </c>
      <c r="AM6225">
        <v>100.430453250409</v>
      </c>
      <c r="AN6225">
        <v>1.0000000012300601</v>
      </c>
    </row>
    <row r="6226" spans="1:40" x14ac:dyDescent="0.25">
      <c r="A6226" t="str">
        <f>"20190312151654457"</f>
        <v>20190312151654457</v>
      </c>
      <c r="B6226" t="str">
        <f>"1552375014454019"</f>
        <v>1552375014454019</v>
      </c>
      <c r="C6226" t="s">
        <v>40</v>
      </c>
      <c r="D6226">
        <v>4.5731549999999999</v>
      </c>
      <c r="E6226">
        <v>0.42899969999999998</v>
      </c>
      <c r="F6226" t="s">
        <v>64</v>
      </c>
      <c r="G6226">
        <v>-204.46119999999999</v>
      </c>
      <c r="H6226" s="1">
        <v>-3.9738570000000001E-6</v>
      </c>
      <c r="I6226">
        <v>-57.929099999999998</v>
      </c>
      <c r="J6226">
        <v>-215.09549999999999</v>
      </c>
      <c r="K6226">
        <v>1.113351</v>
      </c>
      <c r="L6226">
        <v>-62.8373699999999</v>
      </c>
      <c r="M6226">
        <v>0.99809179999999997</v>
      </c>
      <c r="N6226">
        <v>0</v>
      </c>
      <c r="O6226">
        <v>6.0656790000000002E-2</v>
      </c>
      <c r="P6226">
        <v>0.97045769999999998</v>
      </c>
      <c r="Q6226">
        <v>8.8284769999999995E-3</v>
      </c>
      <c r="R6226">
        <v>0.24110970000000001</v>
      </c>
      <c r="S6226">
        <v>2.7808069999999998</v>
      </c>
      <c r="T6226">
        <v>-0.28700550000000002</v>
      </c>
      <c r="U6226">
        <v>1.2682800000000001</v>
      </c>
      <c r="V6226">
        <v>-0.18197820000000001</v>
      </c>
      <c r="W6226">
        <v>1.8482889999999998E-2</v>
      </c>
      <c r="X6226">
        <v>0.98312880000000002</v>
      </c>
      <c r="Y6226">
        <v>-0.35770849999999998</v>
      </c>
      <c r="Z6226">
        <v>1.161826E-2</v>
      </c>
      <c r="AA6226">
        <v>0.93376110000000001</v>
      </c>
      <c r="AB6226">
        <v>30</v>
      </c>
      <c r="AC6226">
        <v>10.6342999999999</v>
      </c>
      <c r="AD6226">
        <v>-1.1133549738570001</v>
      </c>
      <c r="AE6226">
        <v>4.9082699999999901</v>
      </c>
      <c r="AF6226">
        <v>-4.2160491401233298</v>
      </c>
      <c r="AG6226">
        <v>-1.1133549738570001</v>
      </c>
      <c r="AH6226">
        <v>10.814733642061499</v>
      </c>
      <c r="AI6226">
        <v>95.478880992772503</v>
      </c>
      <c r="AJ6226">
        <v>111.297979631671</v>
      </c>
      <c r="AK6226">
        <v>11.660750121603799</v>
      </c>
      <c r="AL6226">
        <v>88.940948063137</v>
      </c>
      <c r="AM6226">
        <v>100.486817697126</v>
      </c>
      <c r="AN6226">
        <v>0.99999995994371504</v>
      </c>
    </row>
    <row r="6227" spans="1:40" x14ac:dyDescent="0.25">
      <c r="A6227" t="str">
        <f>"20190312151654468"</f>
        <v>20190312151654468</v>
      </c>
      <c r="B6227" t="str">
        <f>"1552375014463779"</f>
        <v>1552375014463779</v>
      </c>
      <c r="C6227" t="s">
        <v>40</v>
      </c>
      <c r="D6227">
        <v>4.5924110000000002</v>
      </c>
      <c r="E6227">
        <v>0.42909459999999999</v>
      </c>
      <c r="F6227" t="s">
        <v>64</v>
      </c>
      <c r="G6227">
        <v>-204.40260000000001</v>
      </c>
      <c r="H6227" s="1">
        <v>-4.0064460000000003E-6</v>
      </c>
      <c r="I6227">
        <v>-57.916649999999997</v>
      </c>
      <c r="J6227">
        <v>-214.94149999999999</v>
      </c>
      <c r="K6227">
        <v>1.1134599999999999</v>
      </c>
      <c r="L6227">
        <v>-62.825589999999998</v>
      </c>
      <c r="M6227">
        <v>0.99792899999999995</v>
      </c>
      <c r="N6227">
        <v>0</v>
      </c>
      <c r="O6227">
        <v>6.3267009999999999E-2</v>
      </c>
      <c r="P6227">
        <v>0.96962550000000003</v>
      </c>
      <c r="Q6227">
        <v>8.8660289999999992E-3</v>
      </c>
      <c r="R6227">
        <v>0.24443380000000001</v>
      </c>
      <c r="S6227">
        <v>2.7765049999999998</v>
      </c>
      <c r="T6227">
        <v>-0.28909269999999998</v>
      </c>
      <c r="U6227">
        <v>1.2777099999999999</v>
      </c>
      <c r="V6227">
        <v>-0.182782</v>
      </c>
      <c r="W6227">
        <v>1.8531039999999999E-2</v>
      </c>
      <c r="X6227">
        <v>0.98297880000000004</v>
      </c>
      <c r="Y6227">
        <v>-0.35842239999999997</v>
      </c>
      <c r="Z6227">
        <v>1.149035E-2</v>
      </c>
      <c r="AA6227">
        <v>0.93348880000000001</v>
      </c>
      <c r="AB6227">
        <v>30</v>
      </c>
      <c r="AC6227">
        <v>10.5388999999999</v>
      </c>
      <c r="AD6227">
        <v>-1.113464006446</v>
      </c>
      <c r="AE6227">
        <v>4.9089400000000003</v>
      </c>
      <c r="AF6227">
        <v>-4.1938269769635497</v>
      </c>
      <c r="AG6227">
        <v>-1.113464006446</v>
      </c>
      <c r="AH6227">
        <v>10.729958981091199</v>
      </c>
      <c r="AI6227">
        <v>95.520563637335897</v>
      </c>
      <c r="AJ6227">
        <v>111.34814757921001</v>
      </c>
      <c r="AK6227">
        <v>11.574109319608899</v>
      </c>
      <c r="AL6227">
        <v>88.938188830700398</v>
      </c>
      <c r="AM6227">
        <v>100.533675096625</v>
      </c>
      <c r="AN6227">
        <v>0.99999999010845997</v>
      </c>
    </row>
    <row r="6228" spans="1:40" x14ac:dyDescent="0.25">
      <c r="A6228" t="str">
        <f>"20190312151654480"</f>
        <v>20190312151654480</v>
      </c>
      <c r="B6228" t="str">
        <f>"1552375014473539"</f>
        <v>1552375014473539</v>
      </c>
      <c r="C6228" t="s">
        <v>40</v>
      </c>
      <c r="D6228">
        <v>4.5944989999999999</v>
      </c>
      <c r="E6228">
        <v>0.42916929999999998</v>
      </c>
      <c r="F6228" t="s">
        <v>64</v>
      </c>
      <c r="G6228">
        <v>-204.27029999999999</v>
      </c>
      <c r="H6228" s="1">
        <v>-4.0834660000000003E-6</v>
      </c>
      <c r="I6228">
        <v>-57.873350000000002</v>
      </c>
      <c r="J6228">
        <v>-214.79159999999999</v>
      </c>
      <c r="K6228">
        <v>1.113564</v>
      </c>
      <c r="L6228">
        <v>-62.813569999999999</v>
      </c>
      <c r="M6228">
        <v>0.99775970000000003</v>
      </c>
      <c r="N6228">
        <v>0</v>
      </c>
      <c r="O6228">
        <v>6.5872089999999994E-2</v>
      </c>
      <c r="P6228">
        <v>0.96879199999999999</v>
      </c>
      <c r="Q6228">
        <v>8.6616460000000003E-3</v>
      </c>
      <c r="R6228">
        <v>0.24772379999999999</v>
      </c>
      <c r="S6228">
        <v>2.7723080000000002</v>
      </c>
      <c r="T6228">
        <v>-0.28927049999999999</v>
      </c>
      <c r="U6228">
        <v>1.2865599999999999</v>
      </c>
      <c r="V6228">
        <v>-0.183555</v>
      </c>
      <c r="W6228">
        <v>1.833748E-2</v>
      </c>
      <c r="X6228">
        <v>0.9828384</v>
      </c>
      <c r="Y6228">
        <v>-0.35898419999999998</v>
      </c>
      <c r="Z6228">
        <v>1.127804E-2</v>
      </c>
      <c r="AA6228">
        <v>0.93327550000000004</v>
      </c>
      <c r="AB6228">
        <v>30</v>
      </c>
      <c r="AC6228">
        <v>10.521299999999901</v>
      </c>
      <c r="AD6228">
        <v>-1.113568083466</v>
      </c>
      <c r="AE6228">
        <v>4.9402199999999903</v>
      </c>
      <c r="AF6228">
        <v>-4.1978518858684302</v>
      </c>
      <c r="AG6228">
        <v>-1.113568083466</v>
      </c>
      <c r="AH6228">
        <v>10.725447803535999</v>
      </c>
      <c r="AI6228">
        <v>95.522379485590093</v>
      </c>
      <c r="AJ6228">
        <v>111.374965414882</v>
      </c>
      <c r="AK6228">
        <v>11.571396843880899</v>
      </c>
      <c r="AL6228">
        <v>88.949280908534604</v>
      </c>
      <c r="AM6228">
        <v>100.578696533951</v>
      </c>
      <c r="AN6228">
        <v>1.00000001085615</v>
      </c>
    </row>
    <row r="6229" spans="1:40" x14ac:dyDescent="0.25">
      <c r="A6229" t="str">
        <f>"20190312151654491"</f>
        <v>20190312151654491</v>
      </c>
      <c r="B6229" t="str">
        <f>"1552375014484275"</f>
        <v>1552375014484275</v>
      </c>
      <c r="C6229" t="s">
        <v>40</v>
      </c>
      <c r="D6229">
        <v>4.5938879999999997</v>
      </c>
      <c r="E6229">
        <v>0.42922149999999998</v>
      </c>
      <c r="F6229" t="s">
        <v>64</v>
      </c>
      <c r="G6229">
        <v>-204.16540000000001</v>
      </c>
      <c r="H6229" s="1">
        <v>-4.1440700000000003E-6</v>
      </c>
      <c r="I6229">
        <v>-57.841079999999998</v>
      </c>
      <c r="J6229">
        <v>-214.64320000000001</v>
      </c>
      <c r="K6229">
        <v>1.1136649999999999</v>
      </c>
      <c r="L6229">
        <v>-62.801389999999998</v>
      </c>
      <c r="M6229">
        <v>0.99758309999999994</v>
      </c>
      <c r="N6229">
        <v>0</v>
      </c>
      <c r="O6229">
        <v>6.848448E-2</v>
      </c>
      <c r="P6229">
        <v>0.96794279999999999</v>
      </c>
      <c r="Q6229">
        <v>8.5304760000000004E-3</v>
      </c>
      <c r="R6229">
        <v>0.25102619999999998</v>
      </c>
      <c r="S6229">
        <v>2.7680210000000001</v>
      </c>
      <c r="T6229">
        <v>-0.2900742</v>
      </c>
      <c r="U6229">
        <v>1.295288</v>
      </c>
      <c r="V6229">
        <v>-0.18433659999999999</v>
      </c>
      <c r="W6229">
        <v>1.8217339999999999E-2</v>
      </c>
      <c r="X6229">
        <v>0.98269430000000002</v>
      </c>
      <c r="Y6229">
        <v>-0.35951119999999998</v>
      </c>
      <c r="Z6229">
        <v>1.1087E-2</v>
      </c>
      <c r="AA6229">
        <v>0.93307490000000004</v>
      </c>
      <c r="AB6229">
        <v>30</v>
      </c>
      <c r="AC6229">
        <v>10.4778</v>
      </c>
      <c r="AD6229">
        <v>-1.11366914407</v>
      </c>
      <c r="AE6229">
        <v>4.9603099999999998</v>
      </c>
      <c r="AF6229">
        <v>-4.1923556193817904</v>
      </c>
      <c r="AG6229">
        <v>-1.11366914407</v>
      </c>
      <c r="AH6229">
        <v>10.6942286040179</v>
      </c>
      <c r="AI6229">
        <v>95.537725168816905</v>
      </c>
      <c r="AJ6229">
        <v>111.406191849557</v>
      </c>
      <c r="AK6229">
        <v>11.5404778946459</v>
      </c>
      <c r="AL6229">
        <v>88.956165531249894</v>
      </c>
      <c r="AM6229">
        <v>100.624241087652</v>
      </c>
      <c r="AN6229">
        <v>0.99999997041436195</v>
      </c>
    </row>
    <row r="6230" spans="1:40" x14ac:dyDescent="0.25">
      <c r="A6230" t="str">
        <f>"20190312151654502"</f>
        <v>20190312151654502</v>
      </c>
      <c r="B6230" t="str">
        <f>"1552375014494036"</f>
        <v>1552375014494036</v>
      </c>
      <c r="C6230" t="s">
        <v>40</v>
      </c>
      <c r="D6230">
        <v>4.5622170000000004</v>
      </c>
      <c r="E6230">
        <v>0.42932569999999998</v>
      </c>
      <c r="F6230" t="s">
        <v>64</v>
      </c>
      <c r="G6230">
        <v>-204.06720000000001</v>
      </c>
      <c r="H6230" s="1">
        <v>-4.2009849999999999E-6</v>
      </c>
      <c r="I6230">
        <v>-57.810029999999998</v>
      </c>
      <c r="J6230">
        <v>-214.4933</v>
      </c>
      <c r="K6230">
        <v>1.113766</v>
      </c>
      <c r="L6230">
        <v>-62.78839</v>
      </c>
      <c r="M6230">
        <v>0.99739149999999999</v>
      </c>
      <c r="N6230">
        <v>0</v>
      </c>
      <c r="O6230">
        <v>7.1207720000000002E-2</v>
      </c>
      <c r="P6230">
        <v>0.96708139999999998</v>
      </c>
      <c r="Q6230">
        <v>8.3705350000000001E-3</v>
      </c>
      <c r="R6230">
        <v>0.25432949999999999</v>
      </c>
      <c r="S6230">
        <v>2.7636720000000001</v>
      </c>
      <c r="T6230">
        <v>-0.29101939999999998</v>
      </c>
      <c r="U6230">
        <v>1.3043209999999901</v>
      </c>
      <c r="V6230">
        <v>-0.1850118</v>
      </c>
      <c r="W6230">
        <v>1.8071449999999999E-2</v>
      </c>
      <c r="X6230">
        <v>0.9825701</v>
      </c>
      <c r="Y6230">
        <v>-0.36002630000000002</v>
      </c>
      <c r="Z6230">
        <v>1.0888180000000001E-2</v>
      </c>
      <c r="AA6230">
        <v>0.9328786</v>
      </c>
      <c r="AB6230">
        <v>30</v>
      </c>
      <c r="AC6230">
        <v>10.4260999999999</v>
      </c>
      <c r="AD6230">
        <v>-1.1137702009849999</v>
      </c>
      <c r="AE6230">
        <v>4.9783599999999897</v>
      </c>
      <c r="AF6230">
        <v>-4.1843652607994501</v>
      </c>
      <c r="AG6230">
        <v>-1.1137702009849999</v>
      </c>
      <c r="AH6230">
        <v>10.6551352952555</v>
      </c>
      <c r="AI6230">
        <v>95.557124317113804</v>
      </c>
      <c r="AJ6230">
        <v>111.440372294071</v>
      </c>
      <c r="AK6230">
        <v>11.501361000185501</v>
      </c>
      <c r="AL6230">
        <v>88.964525791155793</v>
      </c>
      <c r="AM6230">
        <v>100.66358242951</v>
      </c>
      <c r="AN6230">
        <v>0.99999997242917504</v>
      </c>
    </row>
    <row r="6231" spans="1:40" x14ac:dyDescent="0.25">
      <c r="A6231" t="str">
        <f>"20190312151654513"</f>
        <v>20190312151654513</v>
      </c>
      <c r="B6231" t="str">
        <f>"1552375014503796"</f>
        <v>1552375014503796</v>
      </c>
      <c r="C6231" t="s">
        <v>40</v>
      </c>
      <c r="D6231">
        <v>4.5942749999999997</v>
      </c>
      <c r="E6231">
        <v>0.42938009999999899</v>
      </c>
      <c r="F6231" t="s">
        <v>64</v>
      </c>
      <c r="G6231">
        <v>-203.93799999999999</v>
      </c>
      <c r="H6231" s="1">
        <v>-4.2765599999999996E-6</v>
      </c>
      <c r="I6231">
        <v>-57.766179999999999</v>
      </c>
      <c r="J6231">
        <v>-214.34</v>
      </c>
      <c r="K6231">
        <v>1.1138669999999999</v>
      </c>
      <c r="L6231">
        <v>-62.774929999999998</v>
      </c>
      <c r="M6231">
        <v>0.99718620000000002</v>
      </c>
      <c r="N6231">
        <v>0</v>
      </c>
      <c r="O6231">
        <v>7.4016239999999997E-2</v>
      </c>
      <c r="P6231">
        <v>0.96623689999999995</v>
      </c>
      <c r="Q6231">
        <v>8.1818919999999996E-3</v>
      </c>
      <c r="R6231">
        <v>0.25752530000000001</v>
      </c>
      <c r="S6231">
        <v>2.7593540000000001</v>
      </c>
      <c r="T6231">
        <v>-0.29115990000000003</v>
      </c>
      <c r="U6231">
        <v>1.312897</v>
      </c>
      <c r="V6231">
        <v>-0.18549589999999999</v>
      </c>
      <c r="W6231">
        <v>1.789934E-2</v>
      </c>
      <c r="X6231">
        <v>0.98248199999999997</v>
      </c>
      <c r="Y6231">
        <v>-0.36033929999999997</v>
      </c>
      <c r="Z6231">
        <v>1.063997E-2</v>
      </c>
      <c r="AA6231">
        <v>0.9327607</v>
      </c>
      <c r="AB6231">
        <v>30</v>
      </c>
      <c r="AC6231">
        <v>10.401999999999999</v>
      </c>
      <c r="AD6231">
        <v>-1.1138712765599901</v>
      </c>
      <c r="AE6231">
        <v>5.0087499999999903</v>
      </c>
      <c r="AF6231">
        <v>-4.1860722735195397</v>
      </c>
      <c r="AG6231">
        <v>-1.1138712765599901</v>
      </c>
      <c r="AH6231">
        <v>10.6451295453556</v>
      </c>
      <c r="AI6231">
        <v>95.561820291509505</v>
      </c>
      <c r="AJ6231">
        <v>111.466650963505</v>
      </c>
      <c r="AK6231">
        <v>11.4927234952067</v>
      </c>
      <c r="AL6231">
        <v>88.974388589388496</v>
      </c>
      <c r="AM6231">
        <v>100.691778883051</v>
      </c>
      <c r="AN6231">
        <v>0.99999999780662197</v>
      </c>
    </row>
    <row r="6232" spans="1:40" x14ac:dyDescent="0.25">
      <c r="A6232" t="str">
        <f>"20190312151654525"</f>
        <v>20190312151654525</v>
      </c>
      <c r="B6232" t="str">
        <f>"1552375014513556"</f>
        <v>1552375014513556</v>
      </c>
      <c r="C6232" t="s">
        <v>40</v>
      </c>
      <c r="D6232">
        <v>4.5745189999999996</v>
      </c>
      <c r="E6232">
        <v>0.42947619999999997</v>
      </c>
      <c r="F6232" t="s">
        <v>64</v>
      </c>
      <c r="G6232">
        <v>-203.816</v>
      </c>
      <c r="H6232" s="1">
        <v>-4.3474549999999997E-6</v>
      </c>
      <c r="I6232">
        <v>-57.72663</v>
      </c>
      <c r="J6232">
        <v>-214.18379999999999</v>
      </c>
      <c r="K6232">
        <v>1.113969</v>
      </c>
      <c r="L6232">
        <v>-62.760379999999998</v>
      </c>
      <c r="M6232">
        <v>0.99696119999999999</v>
      </c>
      <c r="N6232">
        <v>0</v>
      </c>
      <c r="O6232">
        <v>7.6977710000000005E-2</v>
      </c>
      <c r="P6232">
        <v>0.96531029999999995</v>
      </c>
      <c r="Q6232">
        <v>8.0156180000000004E-3</v>
      </c>
      <c r="R6232">
        <v>0.26098270000000001</v>
      </c>
      <c r="S6232">
        <v>2.7550509999999999</v>
      </c>
      <c r="T6232">
        <v>-0.29159990000000002</v>
      </c>
      <c r="U6232">
        <v>1.3215939999999999</v>
      </c>
      <c r="V6232">
        <v>-0.1860984</v>
      </c>
      <c r="W6232">
        <v>1.7748199999999999E-2</v>
      </c>
      <c r="X6232">
        <v>0.98237079999999999</v>
      </c>
      <c r="Y6232">
        <v>-0.36053940000000001</v>
      </c>
      <c r="Z6232">
        <v>1.038093E-2</v>
      </c>
      <c r="AA6232">
        <v>0.93268620000000002</v>
      </c>
      <c r="AB6232">
        <v>30</v>
      </c>
      <c r="AC6232">
        <v>10.367800000000001</v>
      </c>
      <c r="AD6232">
        <v>-1.113973347455</v>
      </c>
      <c r="AE6232">
        <v>5.0337499999999897</v>
      </c>
      <c r="AF6232">
        <v>-4.1815995525879996</v>
      </c>
      <c r="AG6232">
        <v>-1.113973347455</v>
      </c>
      <c r="AH6232">
        <v>10.6252820771595</v>
      </c>
      <c r="AI6232">
        <v>95.572059981272602</v>
      </c>
      <c r="AJ6232">
        <v>111.482210754538</v>
      </c>
      <c r="AK6232">
        <v>11.4727211530766</v>
      </c>
      <c r="AL6232">
        <v>88.983049652527896</v>
      </c>
      <c r="AM6232">
        <v>100.72688786086</v>
      </c>
      <c r="AN6232">
        <v>1.00000000088922</v>
      </c>
    </row>
    <row r="6233" spans="1:40" x14ac:dyDescent="0.25">
      <c r="A6233" t="str">
        <f>"20190312151654536"</f>
        <v>20190312151654536</v>
      </c>
      <c r="B6233" t="str">
        <f>"1552375014534052"</f>
        <v>1552375014534052</v>
      </c>
      <c r="C6233" t="s">
        <v>40</v>
      </c>
      <c r="D6233">
        <v>4.612603</v>
      </c>
      <c r="E6233">
        <v>0.42963849999999998</v>
      </c>
      <c r="F6233" t="s">
        <v>64</v>
      </c>
      <c r="G6233">
        <v>-203.6823</v>
      </c>
      <c r="H6233" s="1">
        <v>-4.4259600000000002E-6</v>
      </c>
      <c r="I6233">
        <v>-57.679969999999997</v>
      </c>
      <c r="J6233">
        <v>-214.03540000000001</v>
      </c>
      <c r="K6233">
        <v>1.114063</v>
      </c>
      <c r="L6233">
        <v>-62.746310000000001</v>
      </c>
      <c r="M6233">
        <v>0.99673690000000004</v>
      </c>
      <c r="N6233">
        <v>0</v>
      </c>
      <c r="O6233">
        <v>7.9821909999999996E-2</v>
      </c>
      <c r="P6233">
        <v>0.96443259999999997</v>
      </c>
      <c r="Q6233">
        <v>7.7365699999999999E-3</v>
      </c>
      <c r="R6233">
        <v>0.2642157</v>
      </c>
      <c r="S6233">
        <v>2.7505039999999998</v>
      </c>
      <c r="T6233">
        <v>-0.29176469999999999</v>
      </c>
      <c r="U6233">
        <v>1.330627</v>
      </c>
      <c r="V6233">
        <v>-0.1865878</v>
      </c>
      <c r="W6233">
        <v>1.7484079999999999E-2</v>
      </c>
      <c r="X6233">
        <v>0.98228269999999995</v>
      </c>
      <c r="Y6233">
        <v>-0.36097420000000002</v>
      </c>
      <c r="Z6233">
        <v>1.013524E-2</v>
      </c>
      <c r="AA6233">
        <v>0.93252069999999998</v>
      </c>
      <c r="AB6233">
        <v>30</v>
      </c>
      <c r="AC6233">
        <v>10.3531</v>
      </c>
      <c r="AD6233">
        <v>-1.1140674259600001</v>
      </c>
      <c r="AE6233">
        <v>5.0663400000000003</v>
      </c>
      <c r="AF6233">
        <v>-4.18461466898236</v>
      </c>
      <c r="AG6233">
        <v>-1.1140674259600001</v>
      </c>
      <c r="AH6233">
        <v>10.625231519832299</v>
      </c>
      <c r="AI6233">
        <v>95.572014816615095</v>
      </c>
      <c r="AJ6233">
        <v>111.496380581205</v>
      </c>
      <c r="AK6233">
        <v>11.4737827680101</v>
      </c>
      <c r="AL6233">
        <v>88.998184963036493</v>
      </c>
      <c r="AM6233">
        <v>100.755382306771</v>
      </c>
      <c r="AN6233">
        <v>1.0000000014407799</v>
      </c>
    </row>
    <row r="6234" spans="1:40" x14ac:dyDescent="0.25">
      <c r="A6234" t="str">
        <f>"20190312151654547"</f>
        <v>20190312151654547</v>
      </c>
      <c r="B6234" t="str">
        <f>"1552375014543811"</f>
        <v>1552375014543811</v>
      </c>
      <c r="C6234" t="s">
        <v>40</v>
      </c>
      <c r="D6234">
        <v>4.6012959999999996</v>
      </c>
      <c r="E6234">
        <v>0.429755</v>
      </c>
      <c r="F6234" t="s">
        <v>64</v>
      </c>
      <c r="G6234">
        <v>-203.59049999999999</v>
      </c>
      <c r="H6234" s="1">
        <v>-4.4781240000000002E-6</v>
      </c>
      <c r="I6234">
        <v>-57.655560000000001</v>
      </c>
      <c r="J6234">
        <v>-213.8828</v>
      </c>
      <c r="K6234">
        <v>1.1141570000000001</v>
      </c>
      <c r="L6234">
        <v>-62.731169999999999</v>
      </c>
      <c r="M6234">
        <v>0.99649200000000004</v>
      </c>
      <c r="N6234">
        <v>0</v>
      </c>
      <c r="O6234">
        <v>8.2812499999999997E-2</v>
      </c>
      <c r="P6234">
        <v>0.96350690000000005</v>
      </c>
      <c r="Q6234">
        <v>7.6251799999999996E-3</v>
      </c>
      <c r="R6234">
        <v>0.26757540000000002</v>
      </c>
      <c r="S6234">
        <v>2.7463069999999998</v>
      </c>
      <c r="T6234">
        <v>-0.29292629999999997</v>
      </c>
      <c r="U6234">
        <v>1.3385309999999999</v>
      </c>
      <c r="V6234">
        <v>-0.18706719999999999</v>
      </c>
      <c r="W6234">
        <v>1.73892E-2</v>
      </c>
      <c r="X6234">
        <v>0.98219319999999999</v>
      </c>
      <c r="Y6234">
        <v>-0.36090939999999999</v>
      </c>
      <c r="Z6234">
        <v>9.8825059999999992E-3</v>
      </c>
      <c r="AA6234">
        <v>0.9325485</v>
      </c>
      <c r="AB6234">
        <v>30</v>
      </c>
      <c r="AC6234">
        <v>10.292299999999999</v>
      </c>
      <c r="AD6234">
        <v>-1.1141614781239999</v>
      </c>
      <c r="AE6234">
        <v>5.0756100000000002</v>
      </c>
      <c r="AF6234">
        <v>-4.1665062768041201</v>
      </c>
      <c r="AG6234">
        <v>-1.1141614781239999</v>
      </c>
      <c r="AH6234">
        <v>10.577591287770201</v>
      </c>
      <c r="AI6234">
        <v>95.597303759888007</v>
      </c>
      <c r="AJ6234">
        <v>111.499447908862</v>
      </c>
      <c r="AK6234">
        <v>11.423071732467401</v>
      </c>
      <c r="AL6234">
        <v>89.0036220136015</v>
      </c>
      <c r="AM6234">
        <v>100.783328566641</v>
      </c>
      <c r="AN6234">
        <v>1.00000000185936</v>
      </c>
    </row>
    <row r="6235" spans="1:40" x14ac:dyDescent="0.25">
      <c r="A6235" t="str">
        <f>"20190312151654559"</f>
        <v>20190312151654559</v>
      </c>
      <c r="B6235" t="str">
        <f>"1552375014553571"</f>
        <v>1552375014553571</v>
      </c>
      <c r="C6235" t="s">
        <v>40</v>
      </c>
      <c r="D6235">
        <v>4.5763870000000004</v>
      </c>
      <c r="E6235">
        <v>0.42987720000000001</v>
      </c>
      <c r="F6235" t="s">
        <v>64</v>
      </c>
      <c r="G6235">
        <v>-203.46729999999999</v>
      </c>
      <c r="H6235" s="1">
        <v>-4.5500959999999997E-6</v>
      </c>
      <c r="I6235">
        <v>-57.614040000000003</v>
      </c>
      <c r="J6235">
        <v>-213.73099999999999</v>
      </c>
      <c r="K6235">
        <v>1.11425</v>
      </c>
      <c r="L6235">
        <v>-62.715670000000003</v>
      </c>
      <c r="M6235">
        <v>0.99623510000000004</v>
      </c>
      <c r="N6235">
        <v>0</v>
      </c>
      <c r="O6235">
        <v>8.5839960000000007E-2</v>
      </c>
      <c r="P6235">
        <v>0.96253630000000001</v>
      </c>
      <c r="Q6235">
        <v>6.970843E-3</v>
      </c>
      <c r="R6235">
        <v>0.2710632</v>
      </c>
      <c r="S6235">
        <v>2.7418520000000002</v>
      </c>
      <c r="T6235">
        <v>-0.29330119999999998</v>
      </c>
      <c r="U6235">
        <v>1.3470759999999999</v>
      </c>
      <c r="V6235">
        <v>-0.18763640000000001</v>
      </c>
      <c r="W6235">
        <v>1.6748900000000001E-2</v>
      </c>
      <c r="X6235">
        <v>0.98209579999999996</v>
      </c>
      <c r="Y6235">
        <v>-0.36102669999999998</v>
      </c>
      <c r="Z6235">
        <v>9.6074149999999994E-3</v>
      </c>
      <c r="AA6235">
        <v>0.93250599999999995</v>
      </c>
      <c r="AB6235">
        <v>30</v>
      </c>
      <c r="AC6235">
        <v>10.2637</v>
      </c>
      <c r="AD6235">
        <v>-1.1142545500959999</v>
      </c>
      <c r="AE6235">
        <v>5.1016299999999903</v>
      </c>
      <c r="AF6235">
        <v>-4.1623584430893104</v>
      </c>
      <c r="AG6235">
        <v>-1.1142545500959999</v>
      </c>
      <c r="AH6235">
        <v>10.5639280248784</v>
      </c>
      <c r="AI6235">
        <v>95.604740503055893</v>
      </c>
      <c r="AJ6235">
        <v>111.50524213160899</v>
      </c>
      <c r="AK6235">
        <v>11.408916089005899</v>
      </c>
      <c r="AL6235">
        <v>89.040313895728403</v>
      </c>
      <c r="AM6235">
        <v>100.81641418738801</v>
      </c>
      <c r="AN6235">
        <v>1.0000000523168999</v>
      </c>
    </row>
    <row r="6236" spans="1:40" x14ac:dyDescent="0.25">
      <c r="A6236" t="str">
        <f>"20190312151654570"</f>
        <v>20190312151654570</v>
      </c>
      <c r="B6236" t="str">
        <f>"1552375014564307"</f>
        <v>1552375014564307</v>
      </c>
      <c r="C6236" t="s">
        <v>40</v>
      </c>
      <c r="D6236">
        <v>4.6229839999999998</v>
      </c>
      <c r="E6236">
        <v>0.43000830000000001</v>
      </c>
      <c r="F6236" t="s">
        <v>64</v>
      </c>
      <c r="G6236">
        <v>-203.3886</v>
      </c>
      <c r="H6236" s="1">
        <v>-4.5951119999999998E-6</v>
      </c>
      <c r="I6236">
        <v>-57.59196</v>
      </c>
      <c r="J6236">
        <v>-213.5761</v>
      </c>
      <c r="K6236">
        <v>1.1143419999999999</v>
      </c>
      <c r="L6236">
        <v>-62.699370000000002</v>
      </c>
      <c r="M6236">
        <v>0.99595919999999905</v>
      </c>
      <c r="N6236">
        <v>0</v>
      </c>
      <c r="O6236">
        <v>8.8975079999999998E-2</v>
      </c>
      <c r="P6236">
        <v>0.96154589999999995</v>
      </c>
      <c r="Q6236">
        <v>6.5485109999999999E-3</v>
      </c>
      <c r="R6236">
        <v>0.27456659999999999</v>
      </c>
      <c r="S6236">
        <v>2.7370450000000002</v>
      </c>
      <c r="T6236">
        <v>-0.29488049999999999</v>
      </c>
      <c r="U6236">
        <v>1.3559570000000001</v>
      </c>
      <c r="V6236">
        <v>-0.18812090000000001</v>
      </c>
      <c r="W6236">
        <v>1.6340779999999999E-2</v>
      </c>
      <c r="X6236">
        <v>0.98200989999999999</v>
      </c>
      <c r="Y6236">
        <v>-0.36117250000000001</v>
      </c>
      <c r="Z6236">
        <v>9.3608630000000005E-3</v>
      </c>
      <c r="AA6236">
        <v>0.93245199999999995</v>
      </c>
      <c r="AB6236">
        <v>30</v>
      </c>
      <c r="AC6236">
        <v>10.1875</v>
      </c>
      <c r="AD6236">
        <v>-1.114346595112</v>
      </c>
      <c r="AE6236">
        <v>5.10740999999999</v>
      </c>
      <c r="AF6236">
        <v>-4.1410542388299696</v>
      </c>
      <c r="AG6236">
        <v>-1.114346595112</v>
      </c>
      <c r="AH6236">
        <v>10.501147427497401</v>
      </c>
      <c r="AI6236">
        <v>95.637870977786406</v>
      </c>
      <c r="AJ6236">
        <v>111.52145110695</v>
      </c>
      <c r="AK6236">
        <v>11.3430241045766</v>
      </c>
      <c r="AL6236">
        <v>89.063700571161903</v>
      </c>
      <c r="AM6236">
        <v>100.844608186234</v>
      </c>
      <c r="AN6236">
        <v>0.99999996890291298</v>
      </c>
    </row>
    <row r="6237" spans="1:40" x14ac:dyDescent="0.25">
      <c r="A6237" t="str">
        <f>"20190312151654580"</f>
        <v>20190312151654580</v>
      </c>
      <c r="B6237" t="str">
        <f>"1552375014574068"</f>
        <v>1552375014574068</v>
      </c>
      <c r="C6237" t="s">
        <v>40</v>
      </c>
      <c r="D6237">
        <v>4.6099119999999996</v>
      </c>
      <c r="E6237">
        <v>0.43014000000000002</v>
      </c>
      <c r="F6237" t="s">
        <v>64</v>
      </c>
      <c r="G6237">
        <v>-203.292</v>
      </c>
      <c r="H6237" s="1">
        <v>-4.6509569999999999E-6</v>
      </c>
      <c r="I6237">
        <v>-57.561979999999998</v>
      </c>
      <c r="J6237">
        <v>-213.4385</v>
      </c>
      <c r="K6237">
        <v>1.114425</v>
      </c>
      <c r="L6237">
        <v>-62.6843</v>
      </c>
      <c r="M6237">
        <v>0.995699</v>
      </c>
      <c r="N6237">
        <v>0</v>
      </c>
      <c r="O6237">
        <v>9.1832659999999997E-2</v>
      </c>
      <c r="P6237">
        <v>0.96059879999999997</v>
      </c>
      <c r="Q6237">
        <v>6.0294509999999999E-3</v>
      </c>
      <c r="R6237">
        <v>0.27787319999999999</v>
      </c>
      <c r="S6237">
        <v>2.7322540000000002</v>
      </c>
      <c r="T6237">
        <v>-0.29605870000000001</v>
      </c>
      <c r="U6237">
        <v>1.3648990000000001</v>
      </c>
      <c r="V6237">
        <v>-0.1886787</v>
      </c>
      <c r="W6237">
        <v>1.5830159999999999E-2</v>
      </c>
      <c r="X6237">
        <v>0.98191119999999998</v>
      </c>
      <c r="Y6237">
        <v>-0.36159350000000001</v>
      </c>
      <c r="Z6237">
        <v>9.1404099999999999E-3</v>
      </c>
      <c r="AA6237">
        <v>0.93229099999999998</v>
      </c>
      <c r="AB6237">
        <v>30</v>
      </c>
      <c r="AC6237">
        <v>10.1465</v>
      </c>
      <c r="AD6237">
        <v>-1.114429650957</v>
      </c>
      <c r="AE6237">
        <v>5.1223199999999904</v>
      </c>
      <c r="AF6237">
        <v>-4.1291270297238203</v>
      </c>
      <c r="AG6237">
        <v>-1.114429650957</v>
      </c>
      <c r="AH6237">
        <v>10.473365843502799</v>
      </c>
      <c r="AI6237">
        <v>95.653325646449503</v>
      </c>
      <c r="AJ6237">
        <v>111.516850388035</v>
      </c>
      <c r="AK6237">
        <v>11.312958745013599</v>
      </c>
      <c r="AL6237">
        <v>89.092960689385805</v>
      </c>
      <c r="AM6237">
        <v>100.877065062425</v>
      </c>
      <c r="AN6237">
        <v>0.99999992524237402</v>
      </c>
    </row>
    <row r="6238" spans="1:40" x14ac:dyDescent="0.25">
      <c r="A6238" t="str">
        <f>"20190312151654590"</f>
        <v>20190312151654590</v>
      </c>
      <c r="B6238" t="str">
        <f>"1552375014583827"</f>
        <v>1552375014583827</v>
      </c>
      <c r="C6238" t="s">
        <v>40</v>
      </c>
      <c r="D6238">
        <v>4.6145319999999996</v>
      </c>
      <c r="E6238">
        <v>0.43026550000000002</v>
      </c>
      <c r="F6238" t="s">
        <v>64</v>
      </c>
      <c r="G6238">
        <v>-203.2176</v>
      </c>
      <c r="H6238" s="1">
        <v>-4.6940089999999999E-6</v>
      </c>
      <c r="I6238">
        <v>-57.538939999999997</v>
      </c>
      <c r="J6238">
        <v>-213.29339999999999</v>
      </c>
      <c r="K6238">
        <v>1.114514</v>
      </c>
      <c r="L6238">
        <v>-62.668149999999997</v>
      </c>
      <c r="M6238">
        <v>0.99541400000000002</v>
      </c>
      <c r="N6238">
        <v>0</v>
      </c>
      <c r="O6238">
        <v>9.4866850000000003E-2</v>
      </c>
      <c r="P6238">
        <v>0.95964939999999999</v>
      </c>
      <c r="Q6238">
        <v>5.350924E-3</v>
      </c>
      <c r="R6238">
        <v>0.28114830000000002</v>
      </c>
      <c r="S6238">
        <v>2.7277070000000001</v>
      </c>
      <c r="T6238">
        <v>-0.29741380000000001</v>
      </c>
      <c r="U6238">
        <v>1.3731690000000001</v>
      </c>
      <c r="V6238">
        <v>-0.1890309</v>
      </c>
      <c r="W6238">
        <v>1.516314E-2</v>
      </c>
      <c r="X6238">
        <v>0.98185409999999995</v>
      </c>
      <c r="Y6238">
        <v>-0.3616337</v>
      </c>
      <c r="Z6238">
        <v>8.885212E-3</v>
      </c>
      <c r="AA6238">
        <v>0.93227789999999999</v>
      </c>
      <c r="AB6238">
        <v>30</v>
      </c>
      <c r="AC6238">
        <v>10.0757999999999</v>
      </c>
      <c r="AD6238">
        <v>-1.1145186940089999</v>
      </c>
      <c r="AE6238">
        <v>5.1292099999999898</v>
      </c>
      <c r="AF6238">
        <v>-4.1102023394489304</v>
      </c>
      <c r="AG6238">
        <v>-1.1145186940089999</v>
      </c>
      <c r="AH6238">
        <v>10.415767895926299</v>
      </c>
      <c r="AI6238">
        <v>95.684134736966399</v>
      </c>
      <c r="AJ6238">
        <v>111.53486003048501</v>
      </c>
      <c r="AK6238">
        <v>11.252739046664001</v>
      </c>
      <c r="AL6238">
        <v>89.131182811339201</v>
      </c>
      <c r="AM6238">
        <v>100.89750180212801</v>
      </c>
      <c r="AN6238">
        <v>1.00000003782813</v>
      </c>
    </row>
    <row r="6239" spans="1:40" x14ac:dyDescent="0.25">
      <c r="A6239" t="str">
        <f>"20190312151654603"</f>
        <v>20190312151654603</v>
      </c>
      <c r="B6239" t="str">
        <f>"1552375014593587"</f>
        <v>1552375014593587</v>
      </c>
      <c r="C6239" t="s">
        <v>40</v>
      </c>
      <c r="D6239">
        <v>4.5831350000000004</v>
      </c>
      <c r="E6239">
        <v>0.4304673</v>
      </c>
      <c r="F6239" t="s">
        <v>64</v>
      </c>
      <c r="G6239">
        <v>-203.1507</v>
      </c>
      <c r="H6239" s="1">
        <v>-4.7317720000000002E-6</v>
      </c>
      <c r="I6239">
        <v>-57.522199999999998</v>
      </c>
      <c r="J6239">
        <v>-213.1439</v>
      </c>
      <c r="K6239">
        <v>1.1146039999999999</v>
      </c>
      <c r="L6239">
        <v>-62.650669999999998</v>
      </c>
      <c r="M6239">
        <v>0.99510109999999996</v>
      </c>
      <c r="N6239">
        <v>0</v>
      </c>
      <c r="O6239">
        <v>9.8085809999999996E-2</v>
      </c>
      <c r="P6239">
        <v>0.95861019999999997</v>
      </c>
      <c r="Q6239">
        <v>4.7865370000000004E-3</v>
      </c>
      <c r="R6239">
        <v>0.28468159999999998</v>
      </c>
      <c r="S6239">
        <v>2.7230530000000002</v>
      </c>
      <c r="T6239">
        <v>-0.29922100000000001</v>
      </c>
      <c r="U6239">
        <v>1.381561</v>
      </c>
      <c r="V6239">
        <v>-0.18946879999999999</v>
      </c>
      <c r="W6239">
        <v>1.460673E-2</v>
      </c>
      <c r="X6239">
        <v>0.98177809999999999</v>
      </c>
      <c r="Y6239">
        <v>-0.3615468</v>
      </c>
      <c r="Z6239">
        <v>8.6148309999999999E-3</v>
      </c>
      <c r="AA6239">
        <v>0.93231419999999998</v>
      </c>
      <c r="AB6239">
        <v>30</v>
      </c>
      <c r="AC6239">
        <v>9.9931999999999999</v>
      </c>
      <c r="AD6239">
        <v>-1.1146087317719999</v>
      </c>
      <c r="AE6239">
        <v>5.1284700000000001</v>
      </c>
      <c r="AF6239">
        <v>-4.0832624318994597</v>
      </c>
      <c r="AG6239">
        <v>-1.1146087317719999</v>
      </c>
      <c r="AH6239">
        <v>10.3461943675307</v>
      </c>
      <c r="AI6239">
        <v>95.722467816000005</v>
      </c>
      <c r="AJ6239">
        <v>111.537326486883</v>
      </c>
      <c r="AK6239">
        <v>11.1785116452696</v>
      </c>
      <c r="AL6239">
        <v>89.163066264355905</v>
      </c>
      <c r="AM6239">
        <v>100.922965120982</v>
      </c>
      <c r="AN6239">
        <v>1.00000001018717</v>
      </c>
    </row>
    <row r="6240" spans="1:40" x14ac:dyDescent="0.25">
      <c r="A6240" t="str">
        <f>"20190312151654615"</f>
        <v>20190312151654615</v>
      </c>
      <c r="B6240" t="str">
        <f>"1552375014604324"</f>
        <v>1552375014604324</v>
      </c>
      <c r="C6240" t="s">
        <v>40</v>
      </c>
      <c r="D6240">
        <v>4.6119279999999998</v>
      </c>
      <c r="E6240">
        <v>0.43057879999999898</v>
      </c>
      <c r="F6240" t="s">
        <v>64</v>
      </c>
      <c r="G6240">
        <v>-203.06720000000001</v>
      </c>
      <c r="H6240" s="1">
        <v>-4.7797070000000001E-6</v>
      </c>
      <c r="I6240">
        <v>-57.497880000000002</v>
      </c>
      <c r="J6240">
        <v>-212.9864</v>
      </c>
      <c r="K6240">
        <v>1.1147020000000001</v>
      </c>
      <c r="L6240">
        <v>-62.631990000000002</v>
      </c>
      <c r="M6240">
        <v>0.99475749999999996</v>
      </c>
      <c r="N6240">
        <v>0</v>
      </c>
      <c r="O6240">
        <v>0.1015047</v>
      </c>
      <c r="P6240">
        <v>0.9574878</v>
      </c>
      <c r="Q6240">
        <v>4.4320439999999996E-3</v>
      </c>
      <c r="R6240">
        <v>0.28844039999999999</v>
      </c>
      <c r="S6240">
        <v>2.718216</v>
      </c>
      <c r="T6240">
        <v>-0.30066989999999999</v>
      </c>
      <c r="U6240">
        <v>1.3899840000000001</v>
      </c>
      <c r="V6240">
        <v>-0.1899468</v>
      </c>
      <c r="W6240">
        <v>1.425916E-2</v>
      </c>
      <c r="X6240">
        <v>0.98169079999999997</v>
      </c>
      <c r="Y6240">
        <v>-0.36131069999999998</v>
      </c>
      <c r="Z6240">
        <v>8.3025900000000003E-3</v>
      </c>
      <c r="AA6240">
        <v>0.93240849999999997</v>
      </c>
      <c r="AB6240">
        <v>30</v>
      </c>
      <c r="AC6240">
        <v>9.9191999999999894</v>
      </c>
      <c r="AD6240">
        <v>-1.1147067797070001</v>
      </c>
      <c r="AE6240">
        <v>5.1341099999999997</v>
      </c>
      <c r="AF6240">
        <v>-4.0602234685175604</v>
      </c>
      <c r="AG6240">
        <v>-1.1147067797070001</v>
      </c>
      <c r="AH6240">
        <v>10.2866758496061</v>
      </c>
      <c r="AI6240">
        <v>95.755773584086398</v>
      </c>
      <c r="AJ6240">
        <v>111.53949900925301</v>
      </c>
      <c r="AK6240">
        <v>11.1150207311501</v>
      </c>
      <c r="AL6240">
        <v>89.182982598887506</v>
      </c>
      <c r="AM6240">
        <v>100.950806963774</v>
      </c>
      <c r="AN6240">
        <v>0.999999968639392</v>
      </c>
    </row>
    <row r="6241" spans="1:40" x14ac:dyDescent="0.25">
      <c r="A6241" t="str">
        <f>"20190312151654624"</f>
        <v>20190312151654624</v>
      </c>
      <c r="B6241" t="str">
        <f>"1552375014614084"</f>
        <v>1552375014614084</v>
      </c>
      <c r="C6241" t="s">
        <v>40</v>
      </c>
      <c r="D6241">
        <v>4.5815989999999998</v>
      </c>
      <c r="E6241">
        <v>0.4307436</v>
      </c>
      <c r="F6241" t="s">
        <v>64</v>
      </c>
      <c r="G6241">
        <v>-202.99930000000001</v>
      </c>
      <c r="H6241" s="1">
        <v>-4.8186489999999998E-6</v>
      </c>
      <c r="I6241">
        <v>-57.478340000000003</v>
      </c>
      <c r="J6241">
        <v>-212.84110000000001</v>
      </c>
      <c r="K6241">
        <v>1.1147990000000001</v>
      </c>
      <c r="L6241">
        <v>-62.613950000000003</v>
      </c>
      <c r="M6241">
        <v>0.99442050000000004</v>
      </c>
      <c r="N6241">
        <v>0</v>
      </c>
      <c r="O6241">
        <v>0.1047481</v>
      </c>
      <c r="P6241">
        <v>0.95619860000000001</v>
      </c>
      <c r="Q6241">
        <v>4.008172E-3</v>
      </c>
      <c r="R6241">
        <v>0.29269119999999998</v>
      </c>
      <c r="S6241">
        <v>2.7128909999999999</v>
      </c>
      <c r="T6241">
        <v>-0.30279820000000002</v>
      </c>
      <c r="U6241">
        <v>1.3999330000000001</v>
      </c>
      <c r="V6241">
        <v>-0.19110450000000001</v>
      </c>
      <c r="W6241">
        <v>1.3829569999999999E-2</v>
      </c>
      <c r="X6241">
        <v>0.98147229999999996</v>
      </c>
      <c r="Y6241">
        <v>-0.36171219999999998</v>
      </c>
      <c r="Z6241">
        <v>8.0562979999999999E-3</v>
      </c>
      <c r="AA6241">
        <v>0.93225499999999994</v>
      </c>
      <c r="AB6241">
        <v>30</v>
      </c>
      <c r="AC6241">
        <v>9.8417999999999992</v>
      </c>
      <c r="AD6241">
        <v>-1.1148038186489999</v>
      </c>
      <c r="AE6241">
        <v>5.1356099999999998</v>
      </c>
      <c r="AF6241">
        <v>-4.0356650941190102</v>
      </c>
      <c r="AG6241">
        <v>-1.1148038186489999</v>
      </c>
      <c r="AH6241">
        <v>10.2225461324074</v>
      </c>
      <c r="AI6241">
        <v>95.791992748379997</v>
      </c>
      <c r="AJ6241">
        <v>111.543155698194</v>
      </c>
      <c r="AK6241">
        <v>11.0467112633201</v>
      </c>
      <c r="AL6241">
        <v>89.207598771236405</v>
      </c>
      <c r="AM6241">
        <v>101.01831511683601</v>
      </c>
      <c r="AN6241">
        <v>1.0000000312969599</v>
      </c>
    </row>
    <row r="6242" spans="1:40" x14ac:dyDescent="0.25">
      <c r="A6242" t="str">
        <f>"20190312151654636"</f>
        <v>20190312151654636</v>
      </c>
      <c r="B6242" t="str">
        <f>"1552375014633603"</f>
        <v>1552375014633603</v>
      </c>
      <c r="C6242" t="s">
        <v>40</v>
      </c>
      <c r="D6242">
        <v>4.6217889999999997</v>
      </c>
      <c r="E6242">
        <v>0.43105209999999999</v>
      </c>
      <c r="F6242" t="s">
        <v>64</v>
      </c>
      <c r="G6242">
        <v>-202.9008</v>
      </c>
      <c r="H6242" s="1">
        <v>-4.8786470000000004E-6</v>
      </c>
      <c r="I6242">
        <v>-57.434260000000002</v>
      </c>
      <c r="J6242">
        <v>-212.69630000000001</v>
      </c>
      <c r="K6242">
        <v>1.114887</v>
      </c>
      <c r="L6242">
        <v>-62.595669999999998</v>
      </c>
      <c r="M6242">
        <v>0.99407080000000003</v>
      </c>
      <c r="N6242">
        <v>0</v>
      </c>
      <c r="O6242">
        <v>0.1080101</v>
      </c>
      <c r="P6242">
        <v>0.95504610000000001</v>
      </c>
      <c r="Q6242">
        <v>3.8163210000000001E-3</v>
      </c>
      <c r="R6242">
        <v>0.29643330000000001</v>
      </c>
      <c r="S6242">
        <v>2.7069399999999999</v>
      </c>
      <c r="T6242">
        <v>-0.30358099999999999</v>
      </c>
      <c r="U6242">
        <v>1.4105219999999901</v>
      </c>
      <c r="V6242">
        <v>-0.1917288</v>
      </c>
      <c r="W6242">
        <v>1.363838E-2</v>
      </c>
      <c r="X6242">
        <v>0.98135320000000004</v>
      </c>
      <c r="Y6242">
        <v>-0.3623672</v>
      </c>
      <c r="Z6242">
        <v>7.783758E-3</v>
      </c>
      <c r="AA6242">
        <v>0.93200289999999997</v>
      </c>
      <c r="AB6242">
        <v>30</v>
      </c>
      <c r="AC6242">
        <v>9.7955000000000005</v>
      </c>
      <c r="AD6242">
        <v>-1.1148918786469999</v>
      </c>
      <c r="AE6242">
        <v>5.1614100000000001</v>
      </c>
      <c r="AF6242">
        <v>-4.0322303443623699</v>
      </c>
      <c r="AG6242">
        <v>-1.1148918786469999</v>
      </c>
      <c r="AH6242">
        <v>10.192371064803901</v>
      </c>
      <c r="AI6242">
        <v>95.807838707756801</v>
      </c>
      <c r="AJ6242">
        <v>111.584375351424</v>
      </c>
      <c r="AK6242">
        <v>11.017544797899401</v>
      </c>
      <c r="AL6242">
        <v>89.218554175943197</v>
      </c>
      <c r="AM6242">
        <v>101.054733094043</v>
      </c>
      <c r="AN6242">
        <v>1.00000002065435</v>
      </c>
    </row>
    <row r="6243" spans="1:40" x14ac:dyDescent="0.25">
      <c r="A6243" t="str">
        <f>"20190312151654647"</f>
        <v>20190312151654647</v>
      </c>
      <c r="B6243" t="str">
        <f>"1552375014644340"</f>
        <v>1552375014644340</v>
      </c>
      <c r="C6243" t="s">
        <v>40</v>
      </c>
      <c r="D6243">
        <v>4.594042</v>
      </c>
      <c r="E6243">
        <v>0.43125190000000002</v>
      </c>
      <c r="F6243" t="s">
        <v>64</v>
      </c>
      <c r="G6243">
        <v>-202.8424</v>
      </c>
      <c r="H6243" s="1">
        <v>-4.9111189999999998E-6</v>
      </c>
      <c r="I6243">
        <v>-57.421849999999999</v>
      </c>
      <c r="J6243">
        <v>-212.54499999999999</v>
      </c>
      <c r="K6243">
        <v>1.1149819999999999</v>
      </c>
      <c r="L6243">
        <v>-62.575839999999999</v>
      </c>
      <c r="M6243">
        <v>0.99368610000000002</v>
      </c>
      <c r="N6243">
        <v>0</v>
      </c>
      <c r="O6243">
        <v>0.1114879</v>
      </c>
      <c r="P6243">
        <v>0.95387370000000005</v>
      </c>
      <c r="Q6243">
        <v>3.8063900000000002E-3</v>
      </c>
      <c r="R6243">
        <v>0.30018430000000002</v>
      </c>
      <c r="S6243">
        <v>2.7020719999999998</v>
      </c>
      <c r="T6243">
        <v>-0.30571880000000001</v>
      </c>
      <c r="U6243">
        <v>1.4187320000000001</v>
      </c>
      <c r="V6243">
        <v>-0.1921551</v>
      </c>
      <c r="W6243">
        <v>1.3630750000000001E-2</v>
      </c>
      <c r="X6243">
        <v>0.98126990000000003</v>
      </c>
      <c r="Y6243">
        <v>-0.3620178</v>
      </c>
      <c r="Z6243">
        <v>7.4655059999999898E-3</v>
      </c>
      <c r="AA6243">
        <v>0.93214129999999995</v>
      </c>
      <c r="AB6243">
        <v>30</v>
      </c>
      <c r="AC6243">
        <v>9.7025999999999897</v>
      </c>
      <c r="AD6243">
        <v>-1.1149869111189901</v>
      </c>
      <c r="AE6243">
        <v>5.1539900000000003</v>
      </c>
      <c r="AF6243">
        <v>-3.99885927835519</v>
      </c>
      <c r="AG6243">
        <v>-1.1149869111189901</v>
      </c>
      <c r="AH6243">
        <v>10.1126002957559</v>
      </c>
      <c r="AI6243">
        <v>95.854187433238707</v>
      </c>
      <c r="AJ6243">
        <v>111.575494102332</v>
      </c>
      <c r="AK6243">
        <v>10.9315486588944</v>
      </c>
      <c r="AL6243">
        <v>89.218991365852901</v>
      </c>
      <c r="AM6243">
        <v>101.079622531908</v>
      </c>
      <c r="AN6243">
        <v>0.99999999822379104</v>
      </c>
    </row>
    <row r="6244" spans="1:40" x14ac:dyDescent="0.25">
      <c r="A6244" t="str">
        <f>"20190312151654658"</f>
        <v>20190312151654658</v>
      </c>
      <c r="B6244" t="str">
        <f>"1552375014654100"</f>
        <v>1552375014654100</v>
      </c>
      <c r="C6244" t="s">
        <v>40</v>
      </c>
      <c r="D6244">
        <v>4.6237959999999996</v>
      </c>
      <c r="E6244">
        <v>0.43138579999999999</v>
      </c>
      <c r="F6244" t="s">
        <v>64</v>
      </c>
      <c r="G6244">
        <v>-202.6925</v>
      </c>
      <c r="H6244" s="1">
        <v>-5.001283E-6</v>
      </c>
      <c r="I6244">
        <v>-57.359830000000002</v>
      </c>
      <c r="J6244">
        <v>-212.39320000000001</v>
      </c>
      <c r="K6244">
        <v>1.115078</v>
      </c>
      <c r="L6244">
        <v>-62.55536</v>
      </c>
      <c r="M6244">
        <v>0.99328179999999999</v>
      </c>
      <c r="N6244">
        <v>0</v>
      </c>
      <c r="O6244">
        <v>0.1150292</v>
      </c>
      <c r="P6244">
        <v>0.95246260000000005</v>
      </c>
      <c r="Q6244">
        <v>3.870863E-3</v>
      </c>
      <c r="R6244">
        <v>0.30463079999999998</v>
      </c>
      <c r="S6244">
        <v>2.6969599999999998</v>
      </c>
      <c r="T6244">
        <v>-0.30520900000000001</v>
      </c>
      <c r="U6244">
        <v>1.4277949999999999</v>
      </c>
      <c r="V6244">
        <v>-0.19323950000000001</v>
      </c>
      <c r="W6244">
        <v>1.3685579999999999E-2</v>
      </c>
      <c r="X6244">
        <v>0.98105620000000004</v>
      </c>
      <c r="Y6244">
        <v>-0.36189470000000001</v>
      </c>
      <c r="Z6244">
        <v>7.0860649999999999E-3</v>
      </c>
      <c r="AA6244">
        <v>0.93219209999999997</v>
      </c>
      <c r="AB6244">
        <v>30</v>
      </c>
      <c r="AC6244">
        <v>9.7007000000000101</v>
      </c>
      <c r="AD6244">
        <v>-1.115083001283</v>
      </c>
      <c r="AE6244">
        <v>5.19552999999999</v>
      </c>
      <c r="AF6244">
        <v>-4.0039720498812201</v>
      </c>
      <c r="AG6244">
        <v>-1.115083001283</v>
      </c>
      <c r="AH6244">
        <v>10.129969591129001</v>
      </c>
      <c r="AI6244">
        <v>95.845063239756001</v>
      </c>
      <c r="AJ6244">
        <v>111.56690640820599</v>
      </c>
      <c r="AK6244">
        <v>10.949497074897</v>
      </c>
      <c r="AL6244">
        <v>89.215849572867299</v>
      </c>
      <c r="AM6244">
        <v>101.14295493831099</v>
      </c>
      <c r="AN6244">
        <v>1.00000003350931</v>
      </c>
    </row>
    <row r="6245" spans="1:40" x14ac:dyDescent="0.25">
      <c r="A6245" t="str">
        <f>"20190312151654669"</f>
        <v>20190312151654669</v>
      </c>
      <c r="B6245" t="str">
        <f>"1552375014663859"</f>
        <v>1552375014663859</v>
      </c>
      <c r="C6245" t="s">
        <v>40</v>
      </c>
      <c r="D6245">
        <v>4.6937300000000004</v>
      </c>
      <c r="E6245">
        <v>0.43152439999999997</v>
      </c>
      <c r="F6245" t="s">
        <v>64</v>
      </c>
      <c r="G6245">
        <v>-202.62700000000001</v>
      </c>
      <c r="H6245" s="1">
        <v>-5.041097E-6</v>
      </c>
      <c r="I6245">
        <v>-57.3307199999999</v>
      </c>
      <c r="J6245">
        <v>-212.2424</v>
      </c>
      <c r="K6245">
        <v>1.1151719999999901</v>
      </c>
      <c r="L6245">
        <v>-62.534579999999998</v>
      </c>
      <c r="M6245">
        <v>0.99286140000000001</v>
      </c>
      <c r="N6245">
        <v>0</v>
      </c>
      <c r="O6245">
        <v>0.1185966</v>
      </c>
      <c r="P6245">
        <v>0.95111699999999999</v>
      </c>
      <c r="Q6245">
        <v>3.838714E-3</v>
      </c>
      <c r="R6245">
        <v>0.30880730000000001</v>
      </c>
      <c r="S6245">
        <v>2.6906129999999999</v>
      </c>
      <c r="T6245">
        <v>-0.30720649999999999</v>
      </c>
      <c r="U6245">
        <v>1.439392</v>
      </c>
      <c r="V6245">
        <v>-0.19402259999999999</v>
      </c>
      <c r="W6245">
        <v>1.364601E-2</v>
      </c>
      <c r="X6245">
        <v>0.9809021</v>
      </c>
      <c r="Y6245">
        <v>-0.36258269999999998</v>
      </c>
      <c r="Z6245">
        <v>6.8044269999999896E-3</v>
      </c>
      <c r="AA6245">
        <v>0.93192680000000006</v>
      </c>
      <c r="AB6245">
        <v>30</v>
      </c>
      <c r="AC6245">
        <v>9.6153999999999904</v>
      </c>
      <c r="AD6245">
        <v>-1.1151770410970001</v>
      </c>
      <c r="AE6245">
        <v>5.2038600000000104</v>
      </c>
      <c r="AF6245">
        <v>-3.9852211889151401</v>
      </c>
      <c r="AG6245">
        <v>-1.1151770410970001</v>
      </c>
      <c r="AH6245">
        <v>10.060076131752</v>
      </c>
      <c r="AI6245">
        <v>95.884117388370697</v>
      </c>
      <c r="AJ6245">
        <v>111.61061084257</v>
      </c>
      <c r="AK6245">
        <v>10.8779933597247</v>
      </c>
      <c r="AL6245">
        <v>89.218116918180598</v>
      </c>
      <c r="AM6245">
        <v>101.188687998421</v>
      </c>
      <c r="AN6245">
        <v>0.99999995634204397</v>
      </c>
    </row>
    <row r="6246" spans="1:40" x14ac:dyDescent="0.25">
      <c r="A6246" t="str">
        <f>"20190312151654680"</f>
        <v>20190312151654680</v>
      </c>
      <c r="B6246" t="str">
        <f>"1552375014673619"</f>
        <v>1552375014673619</v>
      </c>
      <c r="C6246" t="s">
        <v>40</v>
      </c>
      <c r="D6246">
        <v>4.6608679999999998</v>
      </c>
      <c r="E6246">
        <v>0.43170320000000001</v>
      </c>
      <c r="F6246" t="s">
        <v>64</v>
      </c>
      <c r="G6246">
        <v>-202.54249999999999</v>
      </c>
      <c r="H6246" s="1">
        <v>-5.0922119999999996E-6</v>
      </c>
      <c r="I6246">
        <v>-57.294330000000002</v>
      </c>
      <c r="J6246">
        <v>-212.10329999999999</v>
      </c>
      <c r="K6246">
        <v>1.1152550000000001</v>
      </c>
      <c r="L6246">
        <v>-62.514589999999998</v>
      </c>
      <c r="M6246">
        <v>0.99245320000000004</v>
      </c>
      <c r="N6246">
        <v>0</v>
      </c>
      <c r="O6246">
        <v>0.1219615</v>
      </c>
      <c r="P6246">
        <v>0.94986029999999999</v>
      </c>
      <c r="Q6246">
        <v>3.9889419999999997E-3</v>
      </c>
      <c r="R6246">
        <v>0.31264910000000001</v>
      </c>
      <c r="S6246">
        <v>2.6845400000000001</v>
      </c>
      <c r="T6246">
        <v>-0.3086354</v>
      </c>
      <c r="U6246">
        <v>1.4502870000000001</v>
      </c>
      <c r="V6246">
        <v>-0.19466810000000001</v>
      </c>
      <c r="W6246">
        <v>1.3789040000000001E-2</v>
      </c>
      <c r="X6246">
        <v>0.98077230000000004</v>
      </c>
      <c r="Y6246">
        <v>-0.36323480000000002</v>
      </c>
      <c r="Z6246">
        <v>6.525304E-3</v>
      </c>
      <c r="AA6246">
        <v>0.93167480000000003</v>
      </c>
      <c r="AB6246">
        <v>30</v>
      </c>
      <c r="AC6246">
        <v>9.5608000000000004</v>
      </c>
      <c r="AD6246">
        <v>-1.115260092212</v>
      </c>
      <c r="AE6246">
        <v>5.2202599999999997</v>
      </c>
      <c r="AF6246">
        <v>-3.9734890737025998</v>
      </c>
      <c r="AG6246">
        <v>-1.115260092212</v>
      </c>
      <c r="AH6246">
        <v>10.021095698689599</v>
      </c>
      <c r="AI6246">
        <v>95.906537228306405</v>
      </c>
      <c r="AJ6246">
        <v>111.62894168257201</v>
      </c>
      <c r="AK6246">
        <v>10.837655627228999</v>
      </c>
      <c r="AL6246">
        <v>89.209921209771196</v>
      </c>
      <c r="AM6246">
        <v>101.226416145584</v>
      </c>
      <c r="AN6246">
        <v>1.0000000556144999</v>
      </c>
    </row>
    <row r="6247" spans="1:40" x14ac:dyDescent="0.25">
      <c r="A6247" t="str">
        <f>"20190312151654692"</f>
        <v>20190312151654692</v>
      </c>
      <c r="B6247" t="str">
        <f>"1552375014684356"</f>
        <v>1552375014684356</v>
      </c>
      <c r="C6247" t="s">
        <v>40</v>
      </c>
      <c r="D6247">
        <v>4.619974</v>
      </c>
      <c r="E6247">
        <v>0.4319288</v>
      </c>
      <c r="F6247" t="s">
        <v>64</v>
      </c>
      <c r="G6247">
        <v>-202.3921</v>
      </c>
      <c r="H6247" s="1">
        <v>-5.1845790000000004E-6</v>
      </c>
      <c r="I6247">
        <v>-57.223439999999997</v>
      </c>
      <c r="J6247">
        <v>-211.95060000000001</v>
      </c>
      <c r="K6247">
        <v>1.115345</v>
      </c>
      <c r="L6247">
        <v>-62.492429999999999</v>
      </c>
      <c r="M6247">
        <v>0.99198900000000001</v>
      </c>
      <c r="N6247">
        <v>0</v>
      </c>
      <c r="O6247">
        <v>0.12567739999999999</v>
      </c>
      <c r="P6247">
        <v>0.9483414</v>
      </c>
      <c r="Q6247">
        <v>4.2474239999999996E-3</v>
      </c>
      <c r="R6247">
        <v>0.31722349999999999</v>
      </c>
      <c r="S6247">
        <v>2.6791689999999999</v>
      </c>
      <c r="T6247">
        <v>-0.3076835</v>
      </c>
      <c r="U6247">
        <v>1.4597469999999999</v>
      </c>
      <c r="V6247">
        <v>-0.1957294</v>
      </c>
      <c r="W6247">
        <v>1.4031729999999999E-2</v>
      </c>
      <c r="X6247">
        <v>0.98055760000000003</v>
      </c>
      <c r="Y6247">
        <v>-0.36309399999999997</v>
      </c>
      <c r="Z6247">
        <v>6.1152209999999997E-3</v>
      </c>
      <c r="AA6247">
        <v>0.93173240000000002</v>
      </c>
      <c r="AB6247">
        <v>30</v>
      </c>
      <c r="AC6247">
        <v>9.5585000000000093</v>
      </c>
      <c r="AD6247">
        <v>-1.1153501845789999</v>
      </c>
      <c r="AE6247">
        <v>5.2689899999999996</v>
      </c>
      <c r="AF6247">
        <v>-3.9842149912144702</v>
      </c>
      <c r="AG6247">
        <v>-1.1153501845789999</v>
      </c>
      <c r="AH6247">
        <v>10.040101259900601</v>
      </c>
      <c r="AI6247">
        <v>95.895270580601107</v>
      </c>
      <c r="AJ6247">
        <v>111.644670930597</v>
      </c>
      <c r="AK6247">
        <v>10.8591716276849</v>
      </c>
      <c r="AL6247">
        <v>89.196014745503803</v>
      </c>
      <c r="AM6247">
        <v>101.288461661502</v>
      </c>
      <c r="AN6247">
        <v>1.0000000471944499</v>
      </c>
    </row>
    <row r="6248" spans="1:40" x14ac:dyDescent="0.25">
      <c r="A6248" t="str">
        <f>"20190312151654703"</f>
        <v>20190312151654703</v>
      </c>
      <c r="B6248" t="str">
        <f>"1552375014694116"</f>
        <v>1552375014694116</v>
      </c>
      <c r="C6248" t="s">
        <v>40</v>
      </c>
      <c r="D6248">
        <v>4.6154929999999998</v>
      </c>
      <c r="E6248">
        <v>0.43215340000000002</v>
      </c>
      <c r="F6248" t="s">
        <v>64</v>
      </c>
      <c r="G6248">
        <v>-202.23220000000001</v>
      </c>
      <c r="H6248" s="1">
        <v>-5.2837989999999999E-6</v>
      </c>
      <c r="I6248">
        <v>-57.143340000000002</v>
      </c>
      <c r="J6248">
        <v>-211.804</v>
      </c>
      <c r="K6248">
        <v>1.1154299999999999</v>
      </c>
      <c r="L6248">
        <v>-62.470149999999997</v>
      </c>
      <c r="M6248">
        <v>0.99151659999999997</v>
      </c>
      <c r="N6248">
        <v>0</v>
      </c>
      <c r="O6248">
        <v>0.12934660000000001</v>
      </c>
      <c r="P6248">
        <v>0.94691440000000004</v>
      </c>
      <c r="Q6248">
        <v>4.1801640000000001E-3</v>
      </c>
      <c r="R6248">
        <v>0.32145869999999999</v>
      </c>
      <c r="S6248">
        <v>2.6727289999999999</v>
      </c>
      <c r="T6248">
        <v>-0.30674210000000002</v>
      </c>
      <c r="U6248">
        <v>1.4711000000000001</v>
      </c>
      <c r="V6248">
        <v>-0.1964861</v>
      </c>
      <c r="W6248">
        <v>1.395067E-2</v>
      </c>
      <c r="X6248">
        <v>0.98040740000000004</v>
      </c>
      <c r="Y6248">
        <v>-0.3636549</v>
      </c>
      <c r="Z6248">
        <v>5.7509750000000002E-3</v>
      </c>
      <c r="AA6248">
        <v>0.93151600000000001</v>
      </c>
      <c r="AB6248">
        <v>30</v>
      </c>
      <c r="AC6248">
        <v>9.5717999999999908</v>
      </c>
      <c r="AD6248">
        <v>-1.115435283799</v>
      </c>
      <c r="AE6248">
        <v>5.3268099999999903</v>
      </c>
      <c r="AF6248">
        <v>-4.0023731632394597</v>
      </c>
      <c r="AG6248">
        <v>-1.115435283799</v>
      </c>
      <c r="AH6248">
        <v>10.0759640509125</v>
      </c>
      <c r="AI6248">
        <v>95.874100280615195</v>
      </c>
      <c r="AJ6248">
        <v>111.663959421877</v>
      </c>
      <c r="AK6248">
        <v>10.899001714168399</v>
      </c>
      <c r="AL6248">
        <v>89.200659589532506</v>
      </c>
      <c r="AM6248">
        <v>101.332667505945</v>
      </c>
      <c r="AN6248">
        <v>1.0000000393307</v>
      </c>
    </row>
    <row r="6249" spans="1:40" x14ac:dyDescent="0.25">
      <c r="A6249" t="str">
        <f>"20190312151654714"</f>
        <v>20190312151654714</v>
      </c>
      <c r="B6249" t="str">
        <f>"1552375014703876"</f>
        <v>1552375014703876</v>
      </c>
      <c r="C6249" t="s">
        <v>40</v>
      </c>
      <c r="D6249">
        <v>4.6121850000000002</v>
      </c>
      <c r="E6249">
        <v>0.43236039999999998</v>
      </c>
      <c r="F6249" t="s">
        <v>64</v>
      </c>
      <c r="G6249">
        <v>-202.08789999999999</v>
      </c>
      <c r="H6249" s="1">
        <v>-5.3728689999999899E-6</v>
      </c>
      <c r="I6249">
        <v>-57.073169999999998</v>
      </c>
      <c r="J6249">
        <v>-211.65430000000001</v>
      </c>
      <c r="K6249">
        <v>1.1155200000000001</v>
      </c>
      <c r="L6249">
        <v>-62.447139999999997</v>
      </c>
      <c r="M6249">
        <v>0.99101740000000005</v>
      </c>
      <c r="N6249">
        <v>0</v>
      </c>
      <c r="O6249">
        <v>0.13311400000000001</v>
      </c>
      <c r="P6249">
        <v>0.94538129999999998</v>
      </c>
      <c r="Q6249">
        <v>4.0099649999999999E-3</v>
      </c>
      <c r="R6249">
        <v>0.32594190000000001</v>
      </c>
      <c r="S6249">
        <v>2.6666720000000002</v>
      </c>
      <c r="T6249">
        <v>-0.30614350000000001</v>
      </c>
      <c r="U6249">
        <v>1.4812620000000001</v>
      </c>
      <c r="V6249">
        <v>-0.1974061</v>
      </c>
      <c r="W6249">
        <v>1.376282E-2</v>
      </c>
      <c r="X6249">
        <v>0.98022520000000002</v>
      </c>
      <c r="Y6249">
        <v>-0.36374810000000002</v>
      </c>
      <c r="Z6249">
        <v>5.3589950000000001E-3</v>
      </c>
      <c r="AA6249">
        <v>0.93148200000000003</v>
      </c>
      <c r="AB6249">
        <v>30</v>
      </c>
      <c r="AC6249">
        <v>9.5664000000000105</v>
      </c>
      <c r="AD6249">
        <v>-1.115525372869</v>
      </c>
      <c r="AE6249">
        <v>5.3739699999999999</v>
      </c>
      <c r="AF6249">
        <v>-4.0111518417042697</v>
      </c>
      <c r="AG6249">
        <v>-1.115525372869</v>
      </c>
      <c r="AH6249">
        <v>10.092348122728</v>
      </c>
      <c r="AI6249">
        <v>95.864651419796701</v>
      </c>
      <c r="AJ6249">
        <v>111.67509236586</v>
      </c>
      <c r="AK6249">
        <v>10.917381855786401</v>
      </c>
      <c r="AL6249">
        <v>89.211423614087096</v>
      </c>
      <c r="AM6249">
        <v>101.386408355532</v>
      </c>
      <c r="AN6249">
        <v>1.0000000131233</v>
      </c>
    </row>
    <row r="6250" spans="1:40" x14ac:dyDescent="0.25">
      <c r="A6250" t="str">
        <f>"20190312151654725"</f>
        <v>20190312151654725</v>
      </c>
      <c r="B6250" t="str">
        <f>"1552375014713636"</f>
        <v>1552375014713636</v>
      </c>
      <c r="C6250" t="s">
        <v>40</v>
      </c>
      <c r="D6250">
        <v>4.5837120000000002</v>
      </c>
      <c r="E6250">
        <v>0.43259409999999998</v>
      </c>
      <c r="F6250" t="s">
        <v>64</v>
      </c>
      <c r="G6250">
        <v>-201.95740000000001</v>
      </c>
      <c r="H6250" s="1">
        <v>-5.454238E-6</v>
      </c>
      <c r="I6250">
        <v>-57.006250000000001</v>
      </c>
      <c r="J6250">
        <v>-211.50460000000001</v>
      </c>
      <c r="K6250">
        <v>1.1156109999999999</v>
      </c>
      <c r="L6250">
        <v>-62.423160000000003</v>
      </c>
      <c r="M6250">
        <v>0.99049050000000005</v>
      </c>
      <c r="N6250">
        <v>0</v>
      </c>
      <c r="O6250">
        <v>0.13697529999999999</v>
      </c>
      <c r="P6250">
        <v>0.94369539999999996</v>
      </c>
      <c r="Q6250">
        <v>3.7877280000000002E-3</v>
      </c>
      <c r="R6250">
        <v>0.33079389999999997</v>
      </c>
      <c r="S6250">
        <v>2.660034</v>
      </c>
      <c r="T6250">
        <v>-0.30600640000000001</v>
      </c>
      <c r="U6250">
        <v>1.492523</v>
      </c>
      <c r="V6250">
        <v>-0.19862189999999999</v>
      </c>
      <c r="W6250">
        <v>1.3514409999999999E-2</v>
      </c>
      <c r="X6250">
        <v>0.97998300000000005</v>
      </c>
      <c r="Y6250">
        <v>-0.36412660000000002</v>
      </c>
      <c r="Z6250">
        <v>4.9815349999999996E-3</v>
      </c>
      <c r="AA6250">
        <v>0.93133619999999995</v>
      </c>
      <c r="AB6250">
        <v>30</v>
      </c>
      <c r="AC6250">
        <v>9.5472000000000001</v>
      </c>
      <c r="AD6250">
        <v>-1.115616454238</v>
      </c>
      <c r="AE6250">
        <v>5.4169099999999899</v>
      </c>
      <c r="AF6250">
        <v>-4.0165169246976804</v>
      </c>
      <c r="AG6250">
        <v>-1.115616454238</v>
      </c>
      <c r="AH6250">
        <v>10.094967888268</v>
      </c>
      <c r="AI6250">
        <v>95.8627591754382</v>
      </c>
      <c r="AJ6250">
        <v>111.696282419732</v>
      </c>
      <c r="AK6250">
        <v>10.9217848790621</v>
      </c>
      <c r="AL6250">
        <v>89.225657764049402</v>
      </c>
      <c r="AM6250">
        <v>101.457443692006</v>
      </c>
      <c r="AN6250">
        <v>0.99999998936312895</v>
      </c>
    </row>
    <row r="6251" spans="1:40" x14ac:dyDescent="0.25">
      <c r="A6251" t="str">
        <f>"20190312151654737"</f>
        <v>20190312151654737</v>
      </c>
      <c r="B6251" t="str">
        <f>"1552375014734132"</f>
        <v>1552375014734132</v>
      </c>
      <c r="C6251" t="s">
        <v>40</v>
      </c>
      <c r="D6251">
        <v>4.6030610000000003</v>
      </c>
      <c r="E6251">
        <v>0.43280760000000001</v>
      </c>
      <c r="F6251" t="s">
        <v>64</v>
      </c>
      <c r="G6251">
        <v>-201.83189999999999</v>
      </c>
      <c r="H6251" s="1">
        <v>-5.5333150000000002E-6</v>
      </c>
      <c r="I6251">
        <v>-56.937869999999997</v>
      </c>
      <c r="J6251">
        <v>-211.3613</v>
      </c>
      <c r="K6251">
        <v>1.1156999999999999</v>
      </c>
      <c r="L6251">
        <v>-62.399810000000002</v>
      </c>
      <c r="M6251">
        <v>0.98996759999999995</v>
      </c>
      <c r="N6251">
        <v>0</v>
      </c>
      <c r="O6251">
        <v>0.14070250000000001</v>
      </c>
      <c r="P6251">
        <v>0.9420752</v>
      </c>
      <c r="Q6251">
        <v>3.5372390000000002E-3</v>
      </c>
      <c r="R6251">
        <v>0.3353835</v>
      </c>
      <c r="S6251">
        <v>2.6528779999999998</v>
      </c>
      <c r="T6251">
        <v>-0.3059751</v>
      </c>
      <c r="U6251">
        <v>1.5044249999999999</v>
      </c>
      <c r="V6251">
        <v>-0.1997024</v>
      </c>
      <c r="W6251">
        <v>1.323978E-2</v>
      </c>
      <c r="X6251">
        <v>0.9797671</v>
      </c>
      <c r="Y6251">
        <v>-0.3648748</v>
      </c>
      <c r="Z6251">
        <v>4.6399099999999997E-3</v>
      </c>
      <c r="AA6251">
        <v>0.93104509999999996</v>
      </c>
      <c r="AB6251">
        <v>30</v>
      </c>
      <c r="AC6251">
        <v>9.5294000000000096</v>
      </c>
      <c r="AD6251">
        <v>-1.1157055333150001</v>
      </c>
      <c r="AE6251">
        <v>5.4619399999999896</v>
      </c>
      <c r="AF6251">
        <v>-4.0251409177141104</v>
      </c>
      <c r="AG6251">
        <v>-1.1157055333150001</v>
      </c>
      <c r="AH6251">
        <v>10.0989556079453</v>
      </c>
      <c r="AI6251">
        <v>95.859531134170496</v>
      </c>
      <c r="AJ6251">
        <v>111.73074369645499</v>
      </c>
      <c r="AK6251">
        <v>10.928653284635599</v>
      </c>
      <c r="AL6251">
        <v>89.2413942864099</v>
      </c>
      <c r="AM6251">
        <v>101.52058086762899</v>
      </c>
      <c r="AN6251">
        <v>0.99999995529130803</v>
      </c>
    </row>
    <row r="6252" spans="1:40" x14ac:dyDescent="0.25">
      <c r="A6252" t="str">
        <f>"20190312151654748"</f>
        <v>20190312151654748</v>
      </c>
      <c r="B6252" t="str">
        <f>"1552375014743893"</f>
        <v>1552375014743893</v>
      </c>
      <c r="C6252" t="s">
        <v>40</v>
      </c>
      <c r="D6252">
        <v>4.6770160000000001</v>
      </c>
      <c r="E6252">
        <v>0.4461735</v>
      </c>
      <c r="F6252" t="s">
        <v>64</v>
      </c>
      <c r="G6252">
        <v>-201.71449999999999</v>
      </c>
      <c r="H6252" s="1">
        <v>-5.6074690000000003E-6</v>
      </c>
      <c r="I6252">
        <v>-56.873370000000001</v>
      </c>
      <c r="J6252">
        <v>-211.20779999999999</v>
      </c>
      <c r="K6252">
        <v>1.115791</v>
      </c>
      <c r="L6252">
        <v>-62.374049999999997</v>
      </c>
      <c r="M6252">
        <v>0.98938170000000003</v>
      </c>
      <c r="N6252">
        <v>0</v>
      </c>
      <c r="O6252">
        <v>0.14476069999999999</v>
      </c>
      <c r="P6252">
        <v>0.94034150000000005</v>
      </c>
      <c r="Q6252">
        <v>3.4188399999999998E-3</v>
      </c>
      <c r="R6252">
        <v>0.34021489999999999</v>
      </c>
      <c r="S6252">
        <v>2.645966</v>
      </c>
      <c r="T6252">
        <v>-0.30601869999999998</v>
      </c>
      <c r="U6252">
        <v>1.515808</v>
      </c>
      <c r="V6252">
        <v>-0.20071549999999999</v>
      </c>
      <c r="W6252">
        <v>1.3096740000000001E-2</v>
      </c>
      <c r="X6252">
        <v>0.97956200000000004</v>
      </c>
      <c r="Y6252">
        <v>-0.36513960000000001</v>
      </c>
      <c r="Z6252">
        <v>4.2382779999999998E-3</v>
      </c>
      <c r="AA6252">
        <v>0.93094310000000002</v>
      </c>
      <c r="AB6252">
        <v>30</v>
      </c>
      <c r="AC6252">
        <v>9.4932999999999996</v>
      </c>
      <c r="AD6252">
        <v>-1.115796607469</v>
      </c>
      <c r="AE6252">
        <v>5.50068</v>
      </c>
      <c r="AF6252">
        <v>-4.0267122677225</v>
      </c>
      <c r="AG6252">
        <v>-1.115796607469</v>
      </c>
      <c r="AH6252">
        <v>10.085331527263699</v>
      </c>
      <c r="AI6252">
        <v>95.866475088158197</v>
      </c>
      <c r="AJ6252">
        <v>111.765059136446</v>
      </c>
      <c r="AK6252">
        <v>10.916653597650001</v>
      </c>
      <c r="AL6252">
        <v>89.249590599931096</v>
      </c>
      <c r="AM6252">
        <v>101.57980983695499</v>
      </c>
      <c r="AN6252">
        <v>0.99999997419143805</v>
      </c>
    </row>
    <row r="6253" spans="1:40" x14ac:dyDescent="0.25">
      <c r="A6253" t="str">
        <f>"20190312151654760"</f>
        <v>20190312151654760</v>
      </c>
      <c r="B6253" t="str">
        <f>"1552375014753652"</f>
        <v>1552375014753652</v>
      </c>
      <c r="C6253" t="s">
        <v>40</v>
      </c>
      <c r="D6253">
        <v>4.6277359999999996</v>
      </c>
      <c r="E6253">
        <v>0.44738410000000001</v>
      </c>
      <c r="F6253" t="s">
        <v>64</v>
      </c>
      <c r="G6253">
        <v>-202.1902</v>
      </c>
      <c r="H6253" s="1">
        <v>-5.2143570000000003E-6</v>
      </c>
      <c r="I6253">
        <v>-57.553150000000002</v>
      </c>
      <c r="J6253">
        <v>-211.05279999999999</v>
      </c>
      <c r="K6253">
        <v>1.1158779999999999</v>
      </c>
      <c r="L6253">
        <v>-62.347290000000001</v>
      </c>
      <c r="M6253">
        <v>0.98876390000000003</v>
      </c>
      <c r="N6253">
        <v>0</v>
      </c>
      <c r="O6253">
        <v>0.148919</v>
      </c>
      <c r="P6253">
        <v>0.93840460000000003</v>
      </c>
      <c r="Q6253">
        <v>3.1991509999999999E-3</v>
      </c>
      <c r="R6253">
        <v>0.34552379999999999</v>
      </c>
      <c r="S6253">
        <v>2.6742710000000001</v>
      </c>
      <c r="T6253">
        <v>-0.33090079999999999</v>
      </c>
      <c r="U6253">
        <v>1.4296879999999901</v>
      </c>
      <c r="V6253">
        <v>-0.2021327</v>
      </c>
      <c r="W6253">
        <v>1.284356E-2</v>
      </c>
      <c r="X6253">
        <v>0.97927390000000003</v>
      </c>
      <c r="Y6253">
        <v>-0.33378350000000001</v>
      </c>
      <c r="Z6253">
        <v>2.281843E-3</v>
      </c>
      <c r="AA6253">
        <v>0.94264700000000001</v>
      </c>
      <c r="AB6253">
        <v>30</v>
      </c>
      <c r="AC6253">
        <v>8.8625999999999792</v>
      </c>
      <c r="AD6253">
        <v>-1.1158832143569899</v>
      </c>
      <c r="AE6253">
        <v>4.7941399999999899</v>
      </c>
      <c r="AF6253">
        <v>-3.3793071487894299</v>
      </c>
      <c r="AG6253">
        <v>-1.1158832143569899</v>
      </c>
      <c r="AH6253">
        <v>9.3629283005424995</v>
      </c>
      <c r="AI6253">
        <v>96.396315288009603</v>
      </c>
      <c r="AJ6253">
        <v>109.845738588259</v>
      </c>
      <c r="AK6253">
        <v>10.0164533900499</v>
      </c>
      <c r="AL6253">
        <v>89.264097969149304</v>
      </c>
      <c r="AM6253">
        <v>101.662677026667</v>
      </c>
      <c r="AN6253">
        <v>0.99999997833198595</v>
      </c>
    </row>
    <row r="6254" spans="1:40" x14ac:dyDescent="0.25">
      <c r="A6254" t="str">
        <f>"20190312151654771"</f>
        <v>20190312151654771</v>
      </c>
      <c r="B6254" t="str">
        <f>"1552375014764388"</f>
        <v>1552375014764388</v>
      </c>
      <c r="C6254" t="s">
        <v>40</v>
      </c>
      <c r="D6254">
        <v>4.6465100000000001</v>
      </c>
      <c r="E6254">
        <v>0.44754359999999999</v>
      </c>
      <c r="F6254" t="s">
        <v>64</v>
      </c>
      <c r="G6254">
        <v>-201.45580000000001</v>
      </c>
      <c r="H6254" s="1">
        <v>-5.6565620000000004E-6</v>
      </c>
      <c r="I6254">
        <v>-57.187019999999997</v>
      </c>
      <c r="J6254">
        <v>-210.90950000000001</v>
      </c>
      <c r="K6254">
        <v>1.115958</v>
      </c>
      <c r="L6254">
        <v>-62.322110000000002</v>
      </c>
      <c r="M6254">
        <v>0.98817129999999997</v>
      </c>
      <c r="N6254">
        <v>0</v>
      </c>
      <c r="O6254">
        <v>0.15279960000000001</v>
      </c>
      <c r="P6254">
        <v>0.93673609999999896</v>
      </c>
      <c r="Q6254">
        <v>3.2010739999999999E-3</v>
      </c>
      <c r="R6254">
        <v>0.35002179999999999</v>
      </c>
      <c r="S6254">
        <v>2.6694640000000001</v>
      </c>
      <c r="T6254">
        <v>-0.31039050000000001</v>
      </c>
      <c r="U6254">
        <v>1.4353640000000001</v>
      </c>
      <c r="V6254">
        <v>-0.202989</v>
      </c>
      <c r="W6254">
        <v>1.282115E-2</v>
      </c>
      <c r="X6254">
        <v>0.97909710000000005</v>
      </c>
      <c r="Y6254">
        <v>-0.33250000000000002</v>
      </c>
      <c r="Z6254">
        <v>1.6646370000000001E-3</v>
      </c>
      <c r="AA6254">
        <v>0.94310179999999999</v>
      </c>
      <c r="AB6254">
        <v>30</v>
      </c>
      <c r="AC6254">
        <v>9.4536999999999907</v>
      </c>
      <c r="AD6254">
        <v>-1.1159636565619999</v>
      </c>
      <c r="AE6254">
        <v>5.1350899999999902</v>
      </c>
      <c r="AF6254">
        <v>-3.59149083196376</v>
      </c>
      <c r="AG6254">
        <v>-1.1159636565619999</v>
      </c>
      <c r="AH6254">
        <v>10.019564277144401</v>
      </c>
      <c r="AI6254">
        <v>95.985385818892993</v>
      </c>
      <c r="AJ6254">
        <v>109.720106766832</v>
      </c>
      <c r="AK6254">
        <v>10.702142289405201</v>
      </c>
      <c r="AL6254">
        <v>89.265382106596704</v>
      </c>
      <c r="AM6254">
        <v>101.712778370188</v>
      </c>
      <c r="AN6254">
        <v>1.0000000236183599</v>
      </c>
    </row>
    <row r="6255" spans="1:40" x14ac:dyDescent="0.25">
      <c r="A6255" t="str">
        <f>"20190312151654781"</f>
        <v>20190312151654781</v>
      </c>
      <c r="B6255" t="str">
        <f>"1552375014774148"</f>
        <v>1552375014774148</v>
      </c>
      <c r="C6255" t="s">
        <v>40</v>
      </c>
      <c r="D6255">
        <v>4.6579879999999996</v>
      </c>
      <c r="E6255">
        <v>0.44477680000000003</v>
      </c>
      <c r="F6255" t="s">
        <v>64</v>
      </c>
      <c r="G6255">
        <v>-201.2919</v>
      </c>
      <c r="H6255" s="1">
        <v>-5.7329060000000004E-6</v>
      </c>
      <c r="I6255">
        <v>-57.09543</v>
      </c>
      <c r="J6255">
        <v>-210.77199999999999</v>
      </c>
      <c r="K6255">
        <v>1.116034</v>
      </c>
      <c r="L6255">
        <v>-62.297029999999999</v>
      </c>
      <c r="M6255">
        <v>0.98757640000000002</v>
      </c>
      <c r="N6255">
        <v>0</v>
      </c>
      <c r="O6255">
        <v>0.15659500000000001</v>
      </c>
      <c r="P6255">
        <v>0.93500870000000003</v>
      </c>
      <c r="Q6255">
        <v>2.9582380000000002E-3</v>
      </c>
      <c r="R6255">
        <v>0.3546127</v>
      </c>
      <c r="S6255">
        <v>2.6629330000000002</v>
      </c>
      <c r="T6255">
        <v>-0.30899019999999999</v>
      </c>
      <c r="U6255">
        <v>1.447174</v>
      </c>
      <c r="V6255">
        <v>-0.2040294</v>
      </c>
      <c r="W6255">
        <v>1.255271E-2</v>
      </c>
      <c r="X6255">
        <v>0.97888430000000004</v>
      </c>
      <c r="Y6255">
        <v>-0.33310020000000001</v>
      </c>
      <c r="Z6255">
        <v>1.2937580000000001E-3</v>
      </c>
      <c r="AA6255">
        <v>0.94289049999999996</v>
      </c>
      <c r="AB6255">
        <v>30</v>
      </c>
      <c r="AC6255">
        <v>9.4801000000000197</v>
      </c>
      <c r="AD6255">
        <v>-1.1160397329059999</v>
      </c>
      <c r="AE6255">
        <v>5.2015999999999902</v>
      </c>
      <c r="AF6255">
        <v>-3.6142536363003899</v>
      </c>
      <c r="AG6255">
        <v>-1.1160397329059999</v>
      </c>
      <c r="AH6255">
        <v>10.070464991941501</v>
      </c>
      <c r="AI6255">
        <v>95.954911104199994</v>
      </c>
      <c r="AJ6255">
        <v>109.742879696828</v>
      </c>
      <c r="AK6255">
        <v>10.7574457557012</v>
      </c>
      <c r="AL6255">
        <v>89.280763820462695</v>
      </c>
      <c r="AM6255">
        <v>101.773627622234</v>
      </c>
      <c r="AN6255">
        <v>1.00000001968959</v>
      </c>
    </row>
    <row r="6256" spans="1:40" x14ac:dyDescent="0.25">
      <c r="A6256" t="str">
        <f>"20190312151654792"</f>
        <v>20190312151654792</v>
      </c>
      <c r="B6256" t="str">
        <f>"1552375014783908"</f>
        <v>1552375014783908</v>
      </c>
      <c r="C6256" t="s">
        <v>40</v>
      </c>
      <c r="D6256">
        <v>4.649572</v>
      </c>
      <c r="E6256">
        <v>0.44150889999999998</v>
      </c>
      <c r="F6256" t="s">
        <v>64</v>
      </c>
      <c r="G6256">
        <v>-201.30330000000001</v>
      </c>
      <c r="H6256" s="1">
        <v>-5.7433700000000004E-6</v>
      </c>
      <c r="I6256">
        <v>-57.000970000000002</v>
      </c>
      <c r="J6256">
        <v>-210.6259</v>
      </c>
      <c r="K6256">
        <v>1.1161160000000001</v>
      </c>
      <c r="L6256">
        <v>-62.270139999999998</v>
      </c>
      <c r="M6256">
        <v>0.98692579999999996</v>
      </c>
      <c r="N6256">
        <v>0</v>
      </c>
      <c r="O6256">
        <v>0.1606426</v>
      </c>
      <c r="P6256">
        <v>0.93317289999999997</v>
      </c>
      <c r="Q6256">
        <v>2.7479119999999999E-3</v>
      </c>
      <c r="R6256">
        <v>0.3594176</v>
      </c>
      <c r="S6256">
        <v>2.6478419999999998</v>
      </c>
      <c r="T6256">
        <v>-0.31208940000000002</v>
      </c>
      <c r="U6256">
        <v>1.480988</v>
      </c>
      <c r="V6256">
        <v>-0.20505019999999999</v>
      </c>
      <c r="W6256">
        <v>1.231574E-2</v>
      </c>
      <c r="X6256">
        <v>0.97867400000000004</v>
      </c>
      <c r="Y6256">
        <v>-0.34066039999999997</v>
      </c>
      <c r="Z6256">
        <v>1.297388E-3</v>
      </c>
      <c r="AA6256">
        <v>0.94018550000000001</v>
      </c>
      <c r="AB6256">
        <v>30</v>
      </c>
      <c r="AC6256">
        <v>9.3225999999999907</v>
      </c>
      <c r="AD6256">
        <v>-1.1161217433699999</v>
      </c>
      <c r="AE6256">
        <v>5.2691700000000097</v>
      </c>
      <c r="AF6256">
        <v>-3.6631967913994901</v>
      </c>
      <c r="AG6256">
        <v>-1.1161217433699999</v>
      </c>
      <c r="AH6256">
        <v>9.9400490104853194</v>
      </c>
      <c r="AI6256">
        <v>96.014407648247996</v>
      </c>
      <c r="AJ6256">
        <v>110.230307377931</v>
      </c>
      <c r="AK6256">
        <v>10.6521975577527</v>
      </c>
      <c r="AL6256">
        <v>89.294342258182496</v>
      </c>
      <c r="AM6256">
        <v>101.83334780274301</v>
      </c>
      <c r="AN6256">
        <v>1.00000003012389</v>
      </c>
    </row>
    <row r="6257" spans="1:40" x14ac:dyDescent="0.25">
      <c r="A6257" t="str">
        <f>"20190312151654804"</f>
        <v>20190312151654804</v>
      </c>
      <c r="B6257" t="str">
        <f>"1552375014793668"</f>
        <v>1552375014793668</v>
      </c>
      <c r="C6257" t="s">
        <v>40</v>
      </c>
      <c r="D6257">
        <v>4.6323800000000004</v>
      </c>
      <c r="E6257">
        <v>0.4378454</v>
      </c>
      <c r="F6257" t="s">
        <v>64</v>
      </c>
      <c r="G6257">
        <v>-201.3904</v>
      </c>
      <c r="H6257" s="1">
        <v>-5.7202970000000002E-6</v>
      </c>
      <c r="I6257">
        <v>-56.937480000000001</v>
      </c>
      <c r="J6257">
        <v>-210.47900000000001</v>
      </c>
      <c r="K6257">
        <v>1.1162000000000001</v>
      </c>
      <c r="L6257">
        <v>-62.241970000000002</v>
      </c>
      <c r="M6257">
        <v>0.98623910000000004</v>
      </c>
      <c r="N6257">
        <v>0</v>
      </c>
      <c r="O6257">
        <v>0.16480259999999999</v>
      </c>
      <c r="P6257">
        <v>0.93130219999999997</v>
      </c>
      <c r="Q6257">
        <v>2.8332309999999999E-3</v>
      </c>
      <c r="R6257">
        <v>0.36423650000000002</v>
      </c>
      <c r="S6257">
        <v>2.630722</v>
      </c>
      <c r="T6257">
        <v>-0.31792819999999999</v>
      </c>
      <c r="U6257">
        <v>1.519012</v>
      </c>
      <c r="V6257">
        <v>-0.20598649999999999</v>
      </c>
      <c r="W6257">
        <v>1.237772E-2</v>
      </c>
      <c r="X6257">
        <v>0.97847649999999997</v>
      </c>
      <c r="Y6257">
        <v>-0.34947859999999997</v>
      </c>
      <c r="Z6257">
        <v>1.3719820000000001E-3</v>
      </c>
      <c r="AA6257">
        <v>0.93694339999999998</v>
      </c>
      <c r="AB6257">
        <v>30</v>
      </c>
      <c r="AC6257">
        <v>9.0886000000000102</v>
      </c>
      <c r="AD6257">
        <v>-1.1162057202969999</v>
      </c>
      <c r="AE6257">
        <v>5.3044899999999799</v>
      </c>
      <c r="AF6257">
        <v>-3.6924497117984001</v>
      </c>
      <c r="AG6257">
        <v>-1.1162057202969999</v>
      </c>
      <c r="AH6257">
        <v>9.7291150332038594</v>
      </c>
      <c r="AI6257">
        <v>96.122314627549997</v>
      </c>
      <c r="AJ6257">
        <v>110.783043535313</v>
      </c>
      <c r="AK6257">
        <v>10.4659342351028</v>
      </c>
      <c r="AL6257">
        <v>89.290790740889904</v>
      </c>
      <c r="AM6257">
        <v>101.888178484417</v>
      </c>
      <c r="AN6257">
        <v>0.99999995359344795</v>
      </c>
    </row>
    <row r="6258" spans="1:40" x14ac:dyDescent="0.25">
      <c r="A6258" t="str">
        <f>"20190312151654816"</f>
        <v>20190312151654816</v>
      </c>
      <c r="B6258" t="str">
        <f>"1552375014804405"</f>
        <v>1552375014804405</v>
      </c>
      <c r="C6258" t="s">
        <v>40</v>
      </c>
      <c r="D6258">
        <v>4.6538329999999997</v>
      </c>
      <c r="E6258">
        <v>0.43531389999999998</v>
      </c>
      <c r="F6258" t="s">
        <v>64</v>
      </c>
      <c r="G6258">
        <v>-201.5419</v>
      </c>
      <c r="H6258" s="1">
        <v>-5.6682500000000003E-6</v>
      </c>
      <c r="I6258">
        <v>-56.903660000000002</v>
      </c>
      <c r="J6258">
        <v>-210.32730000000001</v>
      </c>
      <c r="K6258">
        <v>1.116282</v>
      </c>
      <c r="L6258">
        <v>-62.21255</v>
      </c>
      <c r="M6258">
        <v>0.98550720000000003</v>
      </c>
      <c r="N6258">
        <v>0</v>
      </c>
      <c r="O6258">
        <v>0.16912149999999901</v>
      </c>
      <c r="P6258">
        <v>0.92946459999999997</v>
      </c>
      <c r="Q6258">
        <v>2.9060589999999999E-3</v>
      </c>
      <c r="R6258">
        <v>0.3688999</v>
      </c>
      <c r="S6258">
        <v>2.6120760000000001</v>
      </c>
      <c r="T6258">
        <v>-0.32623590000000002</v>
      </c>
      <c r="U6258">
        <v>1.5602419999999999</v>
      </c>
      <c r="V6258">
        <v>-0.20660880000000001</v>
      </c>
      <c r="W6258">
        <v>1.243113E-2</v>
      </c>
      <c r="X6258">
        <v>0.97834469999999996</v>
      </c>
      <c r="Y6258">
        <v>-0.3591395</v>
      </c>
      <c r="Z6258">
        <v>1.4920980000000001E-3</v>
      </c>
      <c r="AA6258">
        <v>0.93328270000000002</v>
      </c>
      <c r="AB6258">
        <v>30</v>
      </c>
      <c r="AC6258">
        <v>8.7854000000000099</v>
      </c>
      <c r="AD6258">
        <v>-1.11628766825</v>
      </c>
      <c r="AE6258">
        <v>5.3088899999999999</v>
      </c>
      <c r="AF6258">
        <v>-3.7026855618638002</v>
      </c>
      <c r="AG6258">
        <v>-1.11628766825</v>
      </c>
      <c r="AH6258">
        <v>9.4450522698861406</v>
      </c>
      <c r="AI6258">
        <v>96.2792472532267</v>
      </c>
      <c r="AJ6258">
        <v>111.406362899459</v>
      </c>
      <c r="AK6258">
        <v>10.206125166252001</v>
      </c>
      <c r="AL6258">
        <v>89.287730399695505</v>
      </c>
      <c r="AM6258">
        <v>101.92462735947301</v>
      </c>
      <c r="AN6258">
        <v>1.0000000406242999</v>
      </c>
    </row>
    <row r="6259" spans="1:40" x14ac:dyDescent="0.25">
      <c r="A6259" t="str">
        <f>"20190312151654825"</f>
        <v>20190312151654825</v>
      </c>
      <c r="B6259" t="str">
        <f>"1552375014814165"</f>
        <v>1552375014814165</v>
      </c>
      <c r="C6259" t="s">
        <v>40</v>
      </c>
      <c r="D6259">
        <v>4.6605019999999904</v>
      </c>
      <c r="E6259">
        <v>0.43335050000000003</v>
      </c>
      <c r="F6259" t="s">
        <v>64</v>
      </c>
      <c r="G6259">
        <v>-201.61770000000001</v>
      </c>
      <c r="H6259" s="1">
        <v>-5.644571E-6</v>
      </c>
      <c r="I6259">
        <v>-56.871569999999998</v>
      </c>
      <c r="J6259">
        <v>-210.1875</v>
      </c>
      <c r="K6259">
        <v>1.116355</v>
      </c>
      <c r="L6259">
        <v>-62.184539999999998</v>
      </c>
      <c r="M6259">
        <v>0.98480440000000002</v>
      </c>
      <c r="N6259">
        <v>0</v>
      </c>
      <c r="O6259">
        <v>0.17316500000000001</v>
      </c>
      <c r="P6259">
        <v>0.92757449999999997</v>
      </c>
      <c r="Q6259">
        <v>3.1871339999999999E-3</v>
      </c>
      <c r="R6259">
        <v>0.37362459999999997</v>
      </c>
      <c r="S6259">
        <v>2.596695</v>
      </c>
      <c r="T6259">
        <v>-0.33281349999999998</v>
      </c>
      <c r="U6259">
        <v>1.5923769999999999</v>
      </c>
      <c r="V6259">
        <v>-0.20757829999999999</v>
      </c>
      <c r="W6259">
        <v>1.268764E-2</v>
      </c>
      <c r="X6259">
        <v>0.97813609999999895</v>
      </c>
      <c r="Y6259">
        <v>-0.36610789999999999</v>
      </c>
      <c r="Z6259">
        <v>1.4807990000000001E-3</v>
      </c>
      <c r="AA6259">
        <v>0.93057120000000004</v>
      </c>
      <c r="AB6259">
        <v>30</v>
      </c>
      <c r="AC6259">
        <v>8.5697999999999794</v>
      </c>
      <c r="AD6259">
        <v>-1.1163606445709999</v>
      </c>
      <c r="AE6259">
        <v>5.31297</v>
      </c>
      <c r="AF6259">
        <v>-3.70317967456121</v>
      </c>
      <c r="AG6259">
        <v>-1.1163606445709999</v>
      </c>
      <c r="AH6259">
        <v>9.2470618407673104</v>
      </c>
      <c r="AI6259">
        <v>96.394629052758702</v>
      </c>
      <c r="AJ6259">
        <v>111.824667484754</v>
      </c>
      <c r="AK6259">
        <v>10.0233703651918</v>
      </c>
      <c r="AL6259">
        <v>89.273032255399997</v>
      </c>
      <c r="AM6259">
        <v>101.981451043576</v>
      </c>
      <c r="AN6259">
        <v>0.99999997848143396</v>
      </c>
    </row>
    <row r="6260" spans="1:40" x14ac:dyDescent="0.25">
      <c r="A6260" t="str">
        <f>"20190312151654837"</f>
        <v>20190312151654837</v>
      </c>
      <c r="B6260" t="str">
        <f>"1552375014833683"</f>
        <v>1552375014833683</v>
      </c>
      <c r="C6260" t="s">
        <v>40</v>
      </c>
      <c r="D6260">
        <v>4.6853639999999999</v>
      </c>
      <c r="E6260">
        <v>0.43094969999999999</v>
      </c>
      <c r="F6260" t="s">
        <v>64</v>
      </c>
      <c r="G6260">
        <v>-201.6396</v>
      </c>
      <c r="H6260" s="1">
        <v>-5.6441900000000003E-6</v>
      </c>
      <c r="I6260">
        <v>-56.820909999999998</v>
      </c>
      <c r="J6260">
        <v>-210.04</v>
      </c>
      <c r="K6260">
        <v>1.1164320000000001</v>
      </c>
      <c r="L6260">
        <v>-62.154449999999997</v>
      </c>
      <c r="M6260">
        <v>0.98403799999999997</v>
      </c>
      <c r="N6260">
        <v>0</v>
      </c>
      <c r="O6260">
        <v>0.17746600000000001</v>
      </c>
      <c r="P6260">
        <v>0.9257879</v>
      </c>
      <c r="Q6260">
        <v>3.8814790000000002E-3</v>
      </c>
      <c r="R6260">
        <v>0.37802380000000002</v>
      </c>
      <c r="S6260">
        <v>2.5826259999999999</v>
      </c>
      <c r="T6260">
        <v>-0.33729239999999999</v>
      </c>
      <c r="U6260">
        <v>1.620544</v>
      </c>
      <c r="V6260">
        <v>-0.2079636</v>
      </c>
      <c r="W6260">
        <v>1.3367560000000001E-2</v>
      </c>
      <c r="X6260">
        <v>0.97804519999999995</v>
      </c>
      <c r="Y6260">
        <v>-0.37157230000000002</v>
      </c>
      <c r="Z6260">
        <v>1.33946E-3</v>
      </c>
      <c r="AA6260">
        <v>0.92840310000000004</v>
      </c>
      <c r="AB6260">
        <v>30</v>
      </c>
      <c r="AC6260">
        <v>8.4003999999999905</v>
      </c>
      <c r="AD6260">
        <v>-1.1164376441899999</v>
      </c>
      <c r="AE6260">
        <v>5.3335399999999904</v>
      </c>
      <c r="AF6260">
        <v>-3.7112305988981502</v>
      </c>
      <c r="AG6260">
        <v>-1.1164376441899999</v>
      </c>
      <c r="AH6260">
        <v>9.0990969303000302</v>
      </c>
      <c r="AI6260">
        <v>96.481641571320907</v>
      </c>
      <c r="AJ6260">
        <v>112.188976208162</v>
      </c>
      <c r="AK6260">
        <v>9.8900571544636708</v>
      </c>
      <c r="AL6260">
        <v>89.234072403791899</v>
      </c>
      <c r="AM6260">
        <v>102.004129398085</v>
      </c>
      <c r="AN6260">
        <v>0.99999998191417605</v>
      </c>
    </row>
    <row r="6261" spans="1:40" x14ac:dyDescent="0.25">
      <c r="A6261" t="str">
        <f>"20190312151654848"</f>
        <v>20190312151654848</v>
      </c>
      <c r="B6261" t="str">
        <f>"1552375014843444"</f>
        <v>1552375014843444</v>
      </c>
      <c r="C6261" t="s">
        <v>40</v>
      </c>
      <c r="D6261">
        <v>4.6585349999999996</v>
      </c>
      <c r="E6261">
        <v>0.43008940000000001</v>
      </c>
      <c r="F6261" t="s">
        <v>64</v>
      </c>
      <c r="G6261">
        <v>-201.70070000000001</v>
      </c>
      <c r="H6261" s="1">
        <v>-5.6254199999999899E-6</v>
      </c>
      <c r="I6261">
        <v>-56.793010000000002</v>
      </c>
      <c r="J6261">
        <v>-209.8871</v>
      </c>
      <c r="K6261">
        <v>1.116509</v>
      </c>
      <c r="L6261">
        <v>-62.122529999999998</v>
      </c>
      <c r="M6261">
        <v>0.9832147</v>
      </c>
      <c r="N6261">
        <v>0</v>
      </c>
      <c r="O6261">
        <v>0.18196950000000001</v>
      </c>
      <c r="P6261">
        <v>0.9237088</v>
      </c>
      <c r="Q6261">
        <v>4.2267219999999996E-3</v>
      </c>
      <c r="R6261">
        <v>0.38307229999999998</v>
      </c>
      <c r="S6261">
        <v>2.5677949999999998</v>
      </c>
      <c r="T6261">
        <v>-0.34377029999999997</v>
      </c>
      <c r="U6261">
        <v>1.650879</v>
      </c>
      <c r="V6261">
        <v>-0.2088333</v>
      </c>
      <c r="W6261">
        <v>1.368892E-2</v>
      </c>
      <c r="X6261">
        <v>0.97785540000000004</v>
      </c>
      <c r="Y6261">
        <v>-0.37747330000000001</v>
      </c>
      <c r="Z6261">
        <v>1.204459E-3</v>
      </c>
      <c r="AA6261">
        <v>0.9260197</v>
      </c>
      <c r="AB6261">
        <v>30</v>
      </c>
      <c r="AC6261">
        <v>8.1863999999999901</v>
      </c>
      <c r="AD6261">
        <v>-1.11651462542</v>
      </c>
      <c r="AE6261">
        <v>5.3295199999999996</v>
      </c>
      <c r="AF6261">
        <v>-3.7023487963549799</v>
      </c>
      <c r="AG6261">
        <v>-1.11651462542</v>
      </c>
      <c r="AH6261">
        <v>8.9032776292225098</v>
      </c>
      <c r="AI6261">
        <v>96.604994024617</v>
      </c>
      <c r="AJ6261">
        <v>112.579549096858</v>
      </c>
      <c r="AK6261">
        <v>9.7068194616806398</v>
      </c>
      <c r="AL6261">
        <v>89.215658128216802</v>
      </c>
      <c r="AM6261">
        <v>102.05513642269899</v>
      </c>
      <c r="AN6261">
        <v>0.99999995851440704</v>
      </c>
    </row>
    <row r="6262" spans="1:40" x14ac:dyDescent="0.25">
      <c r="A6262" t="str">
        <f>"20190312151654861"</f>
        <v>20190312151654861</v>
      </c>
      <c r="B6262" t="str">
        <f>"1552375014854180"</f>
        <v>1552375014854180</v>
      </c>
      <c r="C6262" t="s">
        <v>40</v>
      </c>
      <c r="D6262">
        <v>4.6479549999999996</v>
      </c>
      <c r="E6262">
        <v>0.42945040000000001</v>
      </c>
      <c r="F6262" t="s">
        <v>64</v>
      </c>
      <c r="G6262">
        <v>-201.64</v>
      </c>
      <c r="H6262" s="1">
        <v>-5.6582349999999901E-6</v>
      </c>
      <c r="I6262">
        <v>-56.730040000000002</v>
      </c>
      <c r="J6262">
        <v>-209.7396</v>
      </c>
      <c r="K6262">
        <v>1.116579</v>
      </c>
      <c r="L6262">
        <v>-62.090820000000001</v>
      </c>
      <c r="M6262">
        <v>0.9823906</v>
      </c>
      <c r="N6262">
        <v>0</v>
      </c>
      <c r="O6262">
        <v>0.18636630000000001</v>
      </c>
      <c r="P6262">
        <v>0.92189730000000003</v>
      </c>
      <c r="Q6262">
        <v>4.558444E-3</v>
      </c>
      <c r="R6262">
        <v>0.38740790000000003</v>
      </c>
      <c r="S6262">
        <v>2.5562130000000001</v>
      </c>
      <c r="T6262">
        <v>-0.34606710000000002</v>
      </c>
      <c r="U6262">
        <v>1.6714169999999999</v>
      </c>
      <c r="V6262">
        <v>-0.20906179999999999</v>
      </c>
      <c r="W6262">
        <v>1.400932E-2</v>
      </c>
      <c r="X6262">
        <v>0.97780210000000001</v>
      </c>
      <c r="Y6262">
        <v>-0.38045839999999997</v>
      </c>
      <c r="Z6262">
        <v>8.8283789999999904E-4</v>
      </c>
      <c r="AA6262">
        <v>0.9247976</v>
      </c>
      <c r="AB6262">
        <v>30</v>
      </c>
      <c r="AC6262">
        <v>8.0996000000000095</v>
      </c>
      <c r="AD6262">
        <v>-1.1165846582350001</v>
      </c>
      <c r="AE6262">
        <v>5.3607799999999903</v>
      </c>
      <c r="AF6262">
        <v>-3.7082130783302598</v>
      </c>
      <c r="AG6262">
        <v>-1.1165846582350001</v>
      </c>
      <c r="AH6262">
        <v>8.8400049835359695</v>
      </c>
      <c r="AI6262">
        <v>96.643732719888007</v>
      </c>
      <c r="AJ6262">
        <v>112.75711769857899</v>
      </c>
      <c r="AK6262">
        <v>9.6510773306531004</v>
      </c>
      <c r="AL6262">
        <v>89.1972988498691</v>
      </c>
      <c r="AM6262">
        <v>102.06857891700901</v>
      </c>
      <c r="AN6262">
        <v>1.0000000220152501</v>
      </c>
    </row>
    <row r="6263" spans="1:40" x14ac:dyDescent="0.25">
      <c r="A6263" t="str">
        <f>"20190312151654869"</f>
        <v>20190312151654869</v>
      </c>
      <c r="B6263" t="str">
        <f>"1552375014863940"</f>
        <v>1552375014863940</v>
      </c>
      <c r="C6263" t="s">
        <v>40</v>
      </c>
      <c r="D6263">
        <v>4.6625680000000003</v>
      </c>
      <c r="E6263">
        <v>0.42882310000000001</v>
      </c>
      <c r="F6263" t="s">
        <v>64</v>
      </c>
      <c r="G6263">
        <v>-201.51589999999999</v>
      </c>
      <c r="H6263" s="1">
        <v>-5.7196329999999997E-6</v>
      </c>
      <c r="I6263">
        <v>-56.637659999999997</v>
      </c>
      <c r="J6263">
        <v>-209.6063</v>
      </c>
      <c r="K6263">
        <v>1.116638</v>
      </c>
      <c r="L6263">
        <v>-62.06183</v>
      </c>
      <c r="M6263">
        <v>0.98162459999999996</v>
      </c>
      <c r="N6263">
        <v>0</v>
      </c>
      <c r="O6263">
        <v>0.1903571</v>
      </c>
      <c r="P6263">
        <v>0.9201743</v>
      </c>
      <c r="Q6263">
        <v>4.8276370000000001E-3</v>
      </c>
      <c r="R6263">
        <v>0.39147920000000003</v>
      </c>
      <c r="S6263">
        <v>2.5463100000000001</v>
      </c>
      <c r="T6263">
        <v>-0.34573100000000001</v>
      </c>
      <c r="U6263">
        <v>1.688477</v>
      </c>
      <c r="V6263">
        <v>-0.2094172</v>
      </c>
      <c r="W6263">
        <v>1.426535E-2</v>
      </c>
      <c r="X6263">
        <v>0.97772230000000004</v>
      </c>
      <c r="Y6263">
        <v>-0.38267479999999998</v>
      </c>
      <c r="Z6263">
        <v>5.5232090000000001E-4</v>
      </c>
      <c r="AA6263">
        <v>0.92388300000000001</v>
      </c>
      <c r="AB6263">
        <v>30</v>
      </c>
      <c r="AC6263">
        <v>8.0904000000000096</v>
      </c>
      <c r="AD6263">
        <v>-1.1166437196329999</v>
      </c>
      <c r="AE6263">
        <v>5.4241700000000099</v>
      </c>
      <c r="AF6263">
        <v>-3.73567377873254</v>
      </c>
      <c r="AG6263">
        <v>-1.1166437196329999</v>
      </c>
      <c r="AH6263">
        <v>8.8586376523292696</v>
      </c>
      <c r="AI6263">
        <v>96.625025182731406</v>
      </c>
      <c r="AJ6263">
        <v>112.865077483767</v>
      </c>
      <c r="AK6263">
        <v>9.6787195864417708</v>
      </c>
      <c r="AL6263">
        <v>89.182627911122694</v>
      </c>
      <c r="AM6263">
        <v>102.089449868138</v>
      </c>
      <c r="AN6263">
        <v>0.99999997989187595</v>
      </c>
    </row>
    <row r="6264" spans="1:40" x14ac:dyDescent="0.25">
      <c r="A6264" t="str">
        <f>"20190312151654882"</f>
        <v>20190312151654882</v>
      </c>
      <c r="B6264" t="str">
        <f>"1552375014873700"</f>
        <v>1552375014873700</v>
      </c>
      <c r="C6264" t="s">
        <v>40</v>
      </c>
      <c r="D6264">
        <v>4.6704569999999999</v>
      </c>
      <c r="E6264">
        <v>0.4285812</v>
      </c>
      <c r="F6264" t="s">
        <v>64</v>
      </c>
      <c r="G6264">
        <v>-201.5626</v>
      </c>
      <c r="H6264" s="1">
        <v>-5.6990050000000003E-6</v>
      </c>
      <c r="I6264">
        <v>-56.656689999999998</v>
      </c>
      <c r="J6264">
        <v>-209.46019999999999</v>
      </c>
      <c r="K6264">
        <v>1.116698</v>
      </c>
      <c r="L6264">
        <v>-62.028959999999998</v>
      </c>
      <c r="M6264">
        <v>0.98075440000000003</v>
      </c>
      <c r="N6264">
        <v>0</v>
      </c>
      <c r="O6264">
        <v>0.19478960000000001</v>
      </c>
      <c r="P6264">
        <v>0.918292</v>
      </c>
      <c r="Q6264">
        <v>4.8933859999999996E-3</v>
      </c>
      <c r="R6264">
        <v>0.39587359999999999</v>
      </c>
      <c r="S6264">
        <v>2.5368499999999998</v>
      </c>
      <c r="T6264">
        <v>-0.35216900000000001</v>
      </c>
      <c r="U6264">
        <v>1.7046809999999999</v>
      </c>
      <c r="V6264">
        <v>-0.20967820000000001</v>
      </c>
      <c r="W6264">
        <v>1.4320660000000001E-2</v>
      </c>
      <c r="X6264">
        <v>0.97766560000000002</v>
      </c>
      <c r="Y6264">
        <v>-0.38413799999999998</v>
      </c>
      <c r="Z6264">
        <v>1.260806E-4</v>
      </c>
      <c r="AA6264">
        <v>0.92327570000000003</v>
      </c>
      <c r="AB6264">
        <v>30</v>
      </c>
      <c r="AC6264">
        <v>7.8975999999999802</v>
      </c>
      <c r="AD6264">
        <v>-1.1167036990050001</v>
      </c>
      <c r="AE6264">
        <v>5.3722699999999897</v>
      </c>
      <c r="AF6264">
        <v>-3.68053131996039</v>
      </c>
      <c r="AG6264">
        <v>-1.1167036990050001</v>
      </c>
      <c r="AH6264">
        <v>8.6742852433815596</v>
      </c>
      <c r="AI6264">
        <v>96.758631652984803</v>
      </c>
      <c r="AJ6264">
        <v>112.991692052422</v>
      </c>
      <c r="AK6264">
        <v>9.4887597942053503</v>
      </c>
      <c r="AL6264">
        <v>89.179458596515801</v>
      </c>
      <c r="AM6264">
        <v>102.10475437560901</v>
      </c>
      <c r="AN6264">
        <v>1.0000000271407099</v>
      </c>
    </row>
    <row r="6265" spans="1:40" x14ac:dyDescent="0.25">
      <c r="A6265" t="str">
        <f>"20190312151654893"</f>
        <v>20190312151654893</v>
      </c>
      <c r="B6265" t="str">
        <f>"1552375014884436"</f>
        <v>1552375014884436</v>
      </c>
      <c r="C6265" t="s">
        <v>40</v>
      </c>
      <c r="D6265">
        <v>4.6610849999999999</v>
      </c>
      <c r="E6265">
        <v>0.42817070000000002</v>
      </c>
      <c r="F6265" t="s">
        <v>64</v>
      </c>
      <c r="G6265">
        <v>-201.6499</v>
      </c>
      <c r="H6265" s="1">
        <v>-5.6564179999999998E-6</v>
      </c>
      <c r="I6265">
        <v>-56.717619999999997</v>
      </c>
      <c r="J6265">
        <v>-209.31610000000001</v>
      </c>
      <c r="K6265">
        <v>1.116754</v>
      </c>
      <c r="L6265">
        <v>-61.996279999999999</v>
      </c>
      <c r="M6265">
        <v>0.9798732</v>
      </c>
      <c r="N6265">
        <v>0</v>
      </c>
      <c r="O6265">
        <v>0.19917319999999999</v>
      </c>
      <c r="P6265">
        <v>0.91645589999999999</v>
      </c>
      <c r="Q6265">
        <v>4.613219E-3</v>
      </c>
      <c r="R6265">
        <v>0.4001094</v>
      </c>
      <c r="S6265">
        <v>2.5278019999999999</v>
      </c>
      <c r="T6265">
        <v>-0.3614233</v>
      </c>
      <c r="U6265">
        <v>1.719025</v>
      </c>
      <c r="V6265">
        <v>-0.2098179</v>
      </c>
      <c r="W6265">
        <v>1.403077E-2</v>
      </c>
      <c r="X6265">
        <v>0.97763979999999995</v>
      </c>
      <c r="Y6265">
        <v>-0.38508740000000002</v>
      </c>
      <c r="Z6265">
        <v>-3.4623029999999999E-4</v>
      </c>
      <c r="AA6265">
        <v>0.92288009999999998</v>
      </c>
      <c r="AB6265">
        <v>30</v>
      </c>
      <c r="AC6265">
        <v>7.6661999999999999</v>
      </c>
      <c r="AD6265">
        <v>-1.116759656418</v>
      </c>
      <c r="AE6265">
        <v>5.2786600000000004</v>
      </c>
      <c r="AF6265">
        <v>-3.59410247991987</v>
      </c>
      <c r="AG6265">
        <v>-1.116759656418</v>
      </c>
      <c r="AH6265">
        <v>8.4425020912817992</v>
      </c>
      <c r="AI6265">
        <v>96.9392500353797</v>
      </c>
      <c r="AJ6265">
        <v>113.060197579478</v>
      </c>
      <c r="AK6265">
        <v>9.24340664082602</v>
      </c>
      <c r="AL6265">
        <v>89.196069713790294</v>
      </c>
      <c r="AM6265">
        <v>102.11289141454</v>
      </c>
      <c r="AN6265">
        <v>0.99999999610562096</v>
      </c>
    </row>
    <row r="6266" spans="1:40" x14ac:dyDescent="0.25">
      <c r="A6266" t="str">
        <f>"20190312151654903"</f>
        <v>20190312151654903</v>
      </c>
      <c r="B6266" t="str">
        <f>"1552375014894196"</f>
        <v>1552375014894196</v>
      </c>
      <c r="C6266" t="s">
        <v>40</v>
      </c>
      <c r="D6266">
        <v>4.6675950000000004</v>
      </c>
      <c r="E6266">
        <v>0.42793740000000002</v>
      </c>
      <c r="F6266" t="s">
        <v>41</v>
      </c>
      <c r="G6266">
        <v>-208.36369999999999</v>
      </c>
      <c r="H6266">
        <v>0.97765519999999995</v>
      </c>
      <c r="I6266">
        <v>-61.340519999999998</v>
      </c>
      <c r="J6266">
        <v>-209.16470000000001</v>
      </c>
      <c r="K6266">
        <v>1.1168070000000001</v>
      </c>
      <c r="L6266">
        <v>-61.960659999999997</v>
      </c>
      <c r="M6266">
        <v>0.9789118</v>
      </c>
      <c r="N6266">
        <v>0</v>
      </c>
      <c r="O6266">
        <v>0.20384469999999999</v>
      </c>
      <c r="P6266">
        <v>0.91437500000000005</v>
      </c>
      <c r="Q6266">
        <v>4.1480739999999999E-3</v>
      </c>
      <c r="R6266">
        <v>0.40484720000000002</v>
      </c>
      <c r="S6266">
        <v>2.5183260000000001</v>
      </c>
      <c r="T6266">
        <v>-0.36781439999999999</v>
      </c>
      <c r="U6266">
        <v>1.733887</v>
      </c>
      <c r="V6266">
        <v>-0.21020810000000001</v>
      </c>
      <c r="W6266">
        <v>1.3552079999999999E-2</v>
      </c>
      <c r="X6266">
        <v>0.97756270000000001</v>
      </c>
      <c r="Y6266">
        <v>-0.38598470000000001</v>
      </c>
      <c r="Z6266">
        <v>-8.7604109999999996E-4</v>
      </c>
      <c r="AA6266">
        <v>0.92250480000000001</v>
      </c>
      <c r="AB6266">
        <v>30</v>
      </c>
      <c r="AC6266">
        <v>0.80100000000001603</v>
      </c>
      <c r="AD6266">
        <v>-0.13915179999999899</v>
      </c>
      <c r="AE6266">
        <v>0.62013999999999903</v>
      </c>
      <c r="AF6266">
        <v>-0.43560295447533598</v>
      </c>
      <c r="AG6266">
        <v>-0.13915179999999899</v>
      </c>
      <c r="AH6266">
        <v>0.89373788692237599</v>
      </c>
      <c r="AI6266">
        <v>97.967231271391299</v>
      </c>
      <c r="AJ6266">
        <v>115.984350628203</v>
      </c>
      <c r="AK6266">
        <v>1.0039325514751201</v>
      </c>
      <c r="AL6266">
        <v>89.223499217984099</v>
      </c>
      <c r="AM6266">
        <v>102.135679533527</v>
      </c>
      <c r="AN6266">
        <v>0.99999996830461202</v>
      </c>
    </row>
    <row r="6267" spans="1:40" x14ac:dyDescent="0.25">
      <c r="A6267" t="str">
        <f>"20190312151654915"</f>
        <v>20190312151654915</v>
      </c>
      <c r="B6267" t="str">
        <f>"1552375014903956"</f>
        <v>1552375014903956</v>
      </c>
      <c r="C6267" t="s">
        <v>40</v>
      </c>
      <c r="D6267">
        <v>4.6795220000000004</v>
      </c>
      <c r="E6267">
        <v>0.4277495</v>
      </c>
      <c r="F6267" t="s">
        <v>64</v>
      </c>
      <c r="G6267">
        <v>-201.61949999999999</v>
      </c>
      <c r="H6267" s="1">
        <v>-5.6705470000000004E-6</v>
      </c>
      <c r="I6267">
        <v>-56.700850000000003</v>
      </c>
      <c r="J6267">
        <v>-209.02330000000001</v>
      </c>
      <c r="K6267">
        <v>1.1168559999999901</v>
      </c>
      <c r="L6267">
        <v>-61.927030000000002</v>
      </c>
      <c r="M6267">
        <v>0.97798960000000001</v>
      </c>
      <c r="N6267">
        <v>0</v>
      </c>
      <c r="O6267">
        <v>0.20822280000000001</v>
      </c>
      <c r="P6267">
        <v>0.9123734</v>
      </c>
      <c r="Q6267">
        <v>3.390821E-3</v>
      </c>
      <c r="R6267">
        <v>0.40934520000000002</v>
      </c>
      <c r="S6267">
        <v>2.5083920000000002</v>
      </c>
      <c r="T6267">
        <v>-0.37128450000000002</v>
      </c>
      <c r="U6267">
        <v>1.7486269999999999</v>
      </c>
      <c r="V6267">
        <v>-0.2106363</v>
      </c>
      <c r="W6267">
        <v>1.2780619999999999E-2</v>
      </c>
      <c r="X6267">
        <v>0.97748089999999999</v>
      </c>
      <c r="Y6267">
        <v>-0.38721680000000003</v>
      </c>
      <c r="Z6267">
        <v>-1.354117E-3</v>
      </c>
      <c r="AA6267">
        <v>0.92198769999999997</v>
      </c>
      <c r="AB6267">
        <v>30</v>
      </c>
      <c r="AC6267">
        <v>7.4038000000000102</v>
      </c>
      <c r="AD6267">
        <v>-1.11686167054699</v>
      </c>
      <c r="AE6267">
        <v>5.2261799999999896</v>
      </c>
      <c r="AF6267">
        <v>-3.5164228252342999</v>
      </c>
      <c r="AG6267">
        <v>-1.11686167054699</v>
      </c>
      <c r="AH6267">
        <v>8.2051769361324496</v>
      </c>
      <c r="AI6267">
        <v>97.131303396305398</v>
      </c>
      <c r="AJ6267">
        <v>113.19810926829</v>
      </c>
      <c r="AK6267">
        <v>8.9965292213278403</v>
      </c>
      <c r="AL6267">
        <v>89.267704442683694</v>
      </c>
      <c r="AM6267">
        <v>102.160652646278</v>
      </c>
      <c r="AN6267">
        <v>0.99999995249504103</v>
      </c>
    </row>
    <row r="6268" spans="1:40" x14ac:dyDescent="0.25">
      <c r="A6268" t="str">
        <f>"20190312151654926"</f>
        <v>20190312151654926</v>
      </c>
      <c r="B6268" t="str">
        <f>"1552375014923475"</f>
        <v>1552375014923475</v>
      </c>
      <c r="C6268" t="s">
        <v>40</v>
      </c>
      <c r="D6268">
        <v>4.6673850000000003</v>
      </c>
      <c r="E6268">
        <v>0.4275581</v>
      </c>
      <c r="F6268" t="s">
        <v>64</v>
      </c>
      <c r="G6268">
        <v>-201.5607</v>
      </c>
      <c r="H6268" s="1">
        <v>-5.6984889999999996E-6</v>
      </c>
      <c r="I6268">
        <v>-56.664569999999998</v>
      </c>
      <c r="J6268">
        <v>-208.8828</v>
      </c>
      <c r="K6268">
        <v>1.1169020000000001</v>
      </c>
      <c r="L6268">
        <v>-61.89273</v>
      </c>
      <c r="M6268">
        <v>0.97704449999999998</v>
      </c>
      <c r="N6268">
        <v>0</v>
      </c>
      <c r="O6268">
        <v>0.21261169999999999</v>
      </c>
      <c r="P6268">
        <v>0.91049999999999998</v>
      </c>
      <c r="Q6268">
        <v>2.4539649999999998E-3</v>
      </c>
      <c r="R6268">
        <v>0.41350199999999998</v>
      </c>
      <c r="S6268">
        <v>2.498901</v>
      </c>
      <c r="T6268">
        <v>-0.37398969999999998</v>
      </c>
      <c r="U6268">
        <v>1.7621770000000001</v>
      </c>
      <c r="V6268">
        <v>-0.21068999999999999</v>
      </c>
      <c r="W6268">
        <v>1.183798E-2</v>
      </c>
      <c r="X6268">
        <v>0.97748120000000005</v>
      </c>
      <c r="Y6268">
        <v>-0.38807150000000001</v>
      </c>
      <c r="Z6268">
        <v>-1.8645689999999999E-3</v>
      </c>
      <c r="AA6268">
        <v>0.92162739999999999</v>
      </c>
      <c r="AB6268">
        <v>30</v>
      </c>
      <c r="AC6268">
        <v>7.3220999999999998</v>
      </c>
      <c r="AD6268">
        <v>-1.1169076984890001</v>
      </c>
      <c r="AE6268">
        <v>5.2281600000000097</v>
      </c>
      <c r="AF6268">
        <v>-3.4977960273211899</v>
      </c>
      <c r="AG6268">
        <v>-1.1169076984890001</v>
      </c>
      <c r="AH6268">
        <v>8.1408706801853299</v>
      </c>
      <c r="AI6268">
        <v>97.184513838469599</v>
      </c>
      <c r="AJ6268">
        <v>113.251199899277</v>
      </c>
      <c r="AK6268">
        <v>8.9306122571293596</v>
      </c>
      <c r="AL6268">
        <v>89.321717834804801</v>
      </c>
      <c r="AM6268">
        <v>102.163656978834</v>
      </c>
      <c r="AN6268">
        <v>0.99999995511195905</v>
      </c>
    </row>
    <row r="6269" spans="1:40" x14ac:dyDescent="0.25">
      <c r="A6269" t="str">
        <f>"20190312151654938"</f>
        <v>20190312151654938</v>
      </c>
      <c r="B6269" t="str">
        <f>"1552375014934432"</f>
        <v>1552375014934432</v>
      </c>
      <c r="C6269" t="s">
        <v>40</v>
      </c>
      <c r="D6269">
        <v>4.6720810000000004</v>
      </c>
      <c r="E6269">
        <v>0.42753869999999999</v>
      </c>
      <c r="F6269" t="s">
        <v>64</v>
      </c>
      <c r="G6269">
        <v>-201.48910000000001</v>
      </c>
      <c r="H6269" s="1">
        <v>-5.7322620000000004E-6</v>
      </c>
      <c r="I6269">
        <v>-56.621729999999999</v>
      </c>
      <c r="J6269">
        <v>-208.73580000000001</v>
      </c>
      <c r="K6269">
        <v>1.116933</v>
      </c>
      <c r="L6269">
        <v>-61.856200000000001</v>
      </c>
      <c r="M6269">
        <v>0.97604290000000005</v>
      </c>
      <c r="N6269">
        <v>0</v>
      </c>
      <c r="O6269">
        <v>0.21716450000000001</v>
      </c>
      <c r="P6269">
        <v>0.90840940000000003</v>
      </c>
      <c r="Q6269">
        <v>1.597256E-3</v>
      </c>
      <c r="R6269">
        <v>0.41807929999999999</v>
      </c>
      <c r="S6269">
        <v>2.489792</v>
      </c>
      <c r="T6269">
        <v>-0.37611509999999998</v>
      </c>
      <c r="U6269">
        <v>1.774994</v>
      </c>
      <c r="V6269">
        <v>-0.211038</v>
      </c>
      <c r="W6269">
        <v>1.0940160000000001E-2</v>
      </c>
      <c r="X6269">
        <v>0.97741659999999997</v>
      </c>
      <c r="Y6269">
        <v>-0.38852950000000003</v>
      </c>
      <c r="Z6269">
        <v>-2.426947E-3</v>
      </c>
      <c r="AA6269">
        <v>0.9214331</v>
      </c>
      <c r="AB6269">
        <v>30</v>
      </c>
      <c r="AC6269">
        <v>7.2466999999999997</v>
      </c>
      <c r="AD6269">
        <v>-1.1169387322619999</v>
      </c>
      <c r="AE6269">
        <v>5.2344699999999902</v>
      </c>
      <c r="AF6269">
        <v>-3.48131205987224</v>
      </c>
      <c r="AG6269">
        <v>-1.1169387322619999</v>
      </c>
      <c r="AH6269">
        <v>8.0843635090100001</v>
      </c>
      <c r="AI6269">
        <v>97.231895370374005</v>
      </c>
      <c r="AJ6269">
        <v>113.297818303873</v>
      </c>
      <c r="AK6269">
        <v>8.8726556980225197</v>
      </c>
      <c r="AL6269">
        <v>89.373162479787894</v>
      </c>
      <c r="AM6269">
        <v>102.18392937338</v>
      </c>
      <c r="AN6269">
        <v>0.99999996725019202</v>
      </c>
    </row>
    <row r="6270" spans="1:40" x14ac:dyDescent="0.25">
      <c r="A6270" t="str">
        <f>"20190312151654950"</f>
        <v>20190312151654950</v>
      </c>
      <c r="B6270" t="str">
        <f>"1552375014944192"</f>
        <v>1552375014944192</v>
      </c>
      <c r="C6270" t="s">
        <v>40</v>
      </c>
      <c r="D6270">
        <v>4.8029349999999997</v>
      </c>
      <c r="E6270">
        <v>0.42775550000000001</v>
      </c>
      <c r="F6270" t="s">
        <v>64</v>
      </c>
      <c r="G6270">
        <v>-201.4091</v>
      </c>
      <c r="H6270" s="1">
        <v>-5.7697129999999997E-6</v>
      </c>
      <c r="I6270">
        <v>-56.575760000000002</v>
      </c>
      <c r="J6270">
        <v>-208.57900000000001</v>
      </c>
      <c r="K6270">
        <v>1.1169500000000001</v>
      </c>
      <c r="L6270">
        <v>-61.81644</v>
      </c>
      <c r="M6270">
        <v>0.97496050000000001</v>
      </c>
      <c r="N6270">
        <v>0</v>
      </c>
      <c r="O6270">
        <v>0.22197649999999999</v>
      </c>
      <c r="P6270">
        <v>0.90621410000000002</v>
      </c>
      <c r="Q6270">
        <v>5.5585620000000004E-4</v>
      </c>
      <c r="R6270">
        <v>0.42281879999999999</v>
      </c>
      <c r="S6270">
        <v>2.4804080000000002</v>
      </c>
      <c r="T6270">
        <v>-0.37813269999999999</v>
      </c>
      <c r="U6270">
        <v>1.7876590000000001</v>
      </c>
      <c r="V6270">
        <v>-0.2113033</v>
      </c>
      <c r="W6270">
        <v>9.8206060000000008E-3</v>
      </c>
      <c r="X6270">
        <v>0.9773712</v>
      </c>
      <c r="Y6270">
        <v>-0.38875379999999998</v>
      </c>
      <c r="Z6270">
        <v>-3.044756E-3</v>
      </c>
      <c r="AA6270">
        <v>0.92133670000000001</v>
      </c>
      <c r="AB6270">
        <v>30</v>
      </c>
      <c r="AC6270">
        <v>7.1699000000000099</v>
      </c>
      <c r="AD6270">
        <v>-1.1169557697129999</v>
      </c>
      <c r="AE6270">
        <v>5.2406800000000002</v>
      </c>
      <c r="AF6270">
        <v>-3.4634364335837802</v>
      </c>
      <c r="AG6270">
        <v>-1.1169557697129999</v>
      </c>
      <c r="AH6270">
        <v>8.0274279091994192</v>
      </c>
      <c r="AI6270">
        <v>97.280583058102906</v>
      </c>
      <c r="AJ6270">
        <v>113.337798595639</v>
      </c>
      <c r="AK6270">
        <v>8.8137722320448297</v>
      </c>
      <c r="AL6270">
        <v>89.437311676615096</v>
      </c>
      <c r="AM6270">
        <v>102.19933728698599</v>
      </c>
      <c r="AN6270">
        <v>0.99999999574126797</v>
      </c>
    </row>
    <row r="6271" spans="1:40" x14ac:dyDescent="0.25">
      <c r="A6271" t="str">
        <f>"20190312151654960"</f>
        <v>20190312151654960</v>
      </c>
      <c r="B6271" t="str">
        <f>"1552375014953952"</f>
        <v>1552375014953952</v>
      </c>
      <c r="C6271" t="s">
        <v>40</v>
      </c>
      <c r="D6271">
        <v>4.6592219999999998</v>
      </c>
      <c r="E6271">
        <v>0.42796050000000002</v>
      </c>
      <c r="F6271" t="s">
        <v>64</v>
      </c>
      <c r="G6271">
        <v>-201.30879999999999</v>
      </c>
      <c r="H6271" s="1">
        <v>-5.81582E-6</v>
      </c>
      <c r="I6271">
        <v>-56.523710000000001</v>
      </c>
      <c r="J6271">
        <v>-208.44110000000001</v>
      </c>
      <c r="K6271">
        <v>1.116935</v>
      </c>
      <c r="L6271">
        <v>-61.780549999999998</v>
      </c>
      <c r="M6271">
        <v>0.97395469999999895</v>
      </c>
      <c r="N6271">
        <v>0</v>
      </c>
      <c r="O6271">
        <v>0.22634850000000001</v>
      </c>
      <c r="P6271">
        <v>0.90415270000000003</v>
      </c>
      <c r="Q6271">
        <v>-4.5777209999999999E-4</v>
      </c>
      <c r="R6271">
        <v>0.42720930000000001</v>
      </c>
      <c r="S6271">
        <v>2.4712830000000001</v>
      </c>
      <c r="T6271">
        <v>-0.37967529999999999</v>
      </c>
      <c r="U6271">
        <v>1.7991029999999999</v>
      </c>
      <c r="V6271">
        <v>-0.21164079999999999</v>
      </c>
      <c r="W6271">
        <v>8.7959270000000003E-3</v>
      </c>
      <c r="X6271">
        <v>0.97730790000000001</v>
      </c>
      <c r="Y6271">
        <v>-0.38904569999999999</v>
      </c>
      <c r="Z6271">
        <v>-3.6040809999999999E-3</v>
      </c>
      <c r="AA6271">
        <v>0.92121140000000001</v>
      </c>
      <c r="AB6271">
        <v>30</v>
      </c>
      <c r="AC6271">
        <v>7.1323000000000096</v>
      </c>
      <c r="AD6271">
        <v>-1.11694081582</v>
      </c>
      <c r="AE6271">
        <v>5.2568400000000004</v>
      </c>
      <c r="AF6271">
        <v>-3.4510095732600399</v>
      </c>
      <c r="AG6271">
        <v>-1.11694081582</v>
      </c>
      <c r="AH6271">
        <v>8.0098521107860794</v>
      </c>
      <c r="AI6271">
        <v>97.297877066019097</v>
      </c>
      <c r="AJ6271">
        <v>113.308581413864</v>
      </c>
      <c r="AK6271">
        <v>8.7928809099999405</v>
      </c>
      <c r="AL6271">
        <v>89.496023989067993</v>
      </c>
      <c r="AM6271">
        <v>102.21900510217</v>
      </c>
      <c r="AN6271">
        <v>0.99999996397941904</v>
      </c>
    </row>
    <row r="6272" spans="1:40" x14ac:dyDescent="0.25">
      <c r="A6272" t="str">
        <f>"20190312151654972"</f>
        <v>20190312151654972</v>
      </c>
      <c r="B6272" t="str">
        <f>"1552375014963712"</f>
        <v>1552375014963712</v>
      </c>
      <c r="C6272" t="s">
        <v>40</v>
      </c>
      <c r="D6272">
        <v>4.6678639999999998</v>
      </c>
      <c r="E6272">
        <v>0.42819580000000002</v>
      </c>
      <c r="F6272" t="s">
        <v>64</v>
      </c>
      <c r="G6272">
        <v>-201.23650000000001</v>
      </c>
      <c r="H6272" s="1">
        <v>-5.8488910000000004E-6</v>
      </c>
      <c r="I6272">
        <v>-56.48704</v>
      </c>
      <c r="J6272">
        <v>-208.2988</v>
      </c>
      <c r="K6272">
        <v>1.1169089999999999</v>
      </c>
      <c r="L6272">
        <v>-61.743189999999998</v>
      </c>
      <c r="M6272">
        <v>0.97288419999999998</v>
      </c>
      <c r="N6272">
        <v>0</v>
      </c>
      <c r="O6272">
        <v>0.23090540000000001</v>
      </c>
      <c r="P6272">
        <v>0.90193369999999995</v>
      </c>
      <c r="Q6272">
        <v>-1.1433179999999999E-3</v>
      </c>
      <c r="R6272">
        <v>0.43187300000000001</v>
      </c>
      <c r="S6272">
        <v>2.4628139999999998</v>
      </c>
      <c r="T6272">
        <v>-0.38181660000000001</v>
      </c>
      <c r="U6272">
        <v>1.8095399999999999</v>
      </c>
      <c r="V6272">
        <v>-0.2121006</v>
      </c>
      <c r="W6272">
        <v>8.1174109999999997E-3</v>
      </c>
      <c r="X6272">
        <v>0.97721409999999997</v>
      </c>
      <c r="Y6272">
        <v>-0.38880039999999999</v>
      </c>
      <c r="Z6272">
        <v>-4.2359700000000004E-3</v>
      </c>
      <c r="AA6272">
        <v>0.92131229999999997</v>
      </c>
      <c r="AB6272">
        <v>30</v>
      </c>
      <c r="AC6272">
        <v>7.0622999999999898</v>
      </c>
      <c r="AD6272">
        <v>-1.1169148488909999</v>
      </c>
      <c r="AE6272">
        <v>5.2561499999999999</v>
      </c>
      <c r="AF6272">
        <v>-3.42803590288112</v>
      </c>
      <c r="AG6272">
        <v>-1.1169148488909999</v>
      </c>
      <c r="AH6272">
        <v>7.9571187416035203</v>
      </c>
      <c r="AI6272">
        <v>97.345630258247695</v>
      </c>
      <c r="AJ6272">
        <v>113.307040439785</v>
      </c>
      <c r="AK6272">
        <v>8.7358266694739992</v>
      </c>
      <c r="AL6272">
        <v>89.534901490622303</v>
      </c>
      <c r="AM6272">
        <v>102.245891246231</v>
      </c>
      <c r="AN6272">
        <v>0.99999997706025601</v>
      </c>
    </row>
    <row r="6273" spans="1:40" x14ac:dyDescent="0.25">
      <c r="A6273" t="str">
        <f>"20190312151654984"</f>
        <v>20190312151654984</v>
      </c>
      <c r="B6273" t="str">
        <f>"1552375014974450"</f>
        <v>1552375014974450</v>
      </c>
      <c r="C6273" t="s">
        <v>40</v>
      </c>
      <c r="D6273">
        <v>4.6195060000000003</v>
      </c>
      <c r="E6273">
        <v>0.4284056</v>
      </c>
      <c r="F6273" t="s">
        <v>64</v>
      </c>
      <c r="G6273">
        <v>-201.12889999999999</v>
      </c>
      <c r="H6273" s="1">
        <v>-5.899337E-6</v>
      </c>
      <c r="I6273">
        <v>-56.424959999999999</v>
      </c>
      <c r="J6273">
        <v>-208.15559999999999</v>
      </c>
      <c r="K6273">
        <v>1.1168739999999999</v>
      </c>
      <c r="L6273">
        <v>-61.70438</v>
      </c>
      <c r="M6273">
        <v>0.97174150000000004</v>
      </c>
      <c r="N6273">
        <v>0</v>
      </c>
      <c r="O6273">
        <v>0.2356656</v>
      </c>
      <c r="P6273">
        <v>0.89959409999999895</v>
      </c>
      <c r="Q6273">
        <v>-1.756063E-3</v>
      </c>
      <c r="R6273">
        <v>0.43672339999999998</v>
      </c>
      <c r="S6273">
        <v>2.4541019999999998</v>
      </c>
      <c r="T6273">
        <v>-0.3822953</v>
      </c>
      <c r="U6273">
        <v>1.8203130000000001</v>
      </c>
      <c r="V6273">
        <v>-0.21256800000000001</v>
      </c>
      <c r="W6273">
        <v>7.5418869999999997E-3</v>
      </c>
      <c r="X6273">
        <v>0.97711720000000002</v>
      </c>
      <c r="Y6273">
        <v>-0.38849739999999999</v>
      </c>
      <c r="Z6273">
        <v>-4.8849339999999996E-3</v>
      </c>
      <c r="AA6273">
        <v>0.9214369</v>
      </c>
      <c r="AB6273">
        <v>30</v>
      </c>
      <c r="AC6273">
        <v>7.0266999999999999</v>
      </c>
      <c r="AD6273">
        <v>-1.1168798993369999</v>
      </c>
      <c r="AE6273">
        <v>5.27942</v>
      </c>
      <c r="AF6273">
        <v>-3.4193752590708102</v>
      </c>
      <c r="AG6273">
        <v>-1.1168798993369999</v>
      </c>
      <c r="AH6273">
        <v>7.9447452064024899</v>
      </c>
      <c r="AI6273">
        <v>97.357825668716302</v>
      </c>
      <c r="AJ6273">
        <v>113.286781868624</v>
      </c>
      <c r="AK6273">
        <v>8.7211538380276199</v>
      </c>
      <c r="AL6273">
        <v>89.567877621107897</v>
      </c>
      <c r="AM6273">
        <v>102.27324034010201</v>
      </c>
      <c r="AN6273">
        <v>1.00000002860968</v>
      </c>
    </row>
    <row r="6274" spans="1:40" x14ac:dyDescent="0.25">
      <c r="A6274" t="str">
        <f>"20190312151654994"</f>
        <v>20190312151654994</v>
      </c>
      <c r="B6274" t="str">
        <f>"1552375014984210"</f>
        <v>1552375014984210</v>
      </c>
      <c r="C6274" t="s">
        <v>40</v>
      </c>
      <c r="D6274">
        <v>4.6575870000000004</v>
      </c>
      <c r="E6274">
        <v>0.42857329999999999</v>
      </c>
      <c r="F6274" t="s">
        <v>64</v>
      </c>
      <c r="G6274">
        <v>-201.03129999999999</v>
      </c>
      <c r="H6274" s="1">
        <v>-5.9453740000000004E-6</v>
      </c>
      <c r="I6274">
        <v>-56.366509999999998</v>
      </c>
      <c r="J6274">
        <v>-208.00559999999999</v>
      </c>
      <c r="K6274">
        <v>1.116846</v>
      </c>
      <c r="L6274">
        <v>-61.663359999999997</v>
      </c>
      <c r="M6274">
        <v>0.97051339999999997</v>
      </c>
      <c r="N6274">
        <v>0</v>
      </c>
      <c r="O6274">
        <v>0.24067079999999999</v>
      </c>
      <c r="P6274">
        <v>0.89709539999999999</v>
      </c>
      <c r="Q6274">
        <v>-2.575262E-3</v>
      </c>
      <c r="R6274">
        <v>0.44182959999999899</v>
      </c>
      <c r="S6274">
        <v>2.4448089999999998</v>
      </c>
      <c r="T6274">
        <v>-0.38327800000000001</v>
      </c>
      <c r="U6274">
        <v>1.8317870000000001</v>
      </c>
      <c r="V6274">
        <v>-0.21307190000000001</v>
      </c>
      <c r="W6274">
        <v>6.7579869999999896E-3</v>
      </c>
      <c r="X6274">
        <v>0.97701320000000003</v>
      </c>
      <c r="Y6274">
        <v>-0.38823069999999998</v>
      </c>
      <c r="Z6274">
        <v>-5.573153E-3</v>
      </c>
      <c r="AA6274">
        <v>0.92154539999999996</v>
      </c>
      <c r="AB6274">
        <v>30</v>
      </c>
      <c r="AC6274">
        <v>6.9743000000000004</v>
      </c>
      <c r="AD6274">
        <v>-1.116851945374</v>
      </c>
      <c r="AE6274">
        <v>5.2968499999999903</v>
      </c>
      <c r="AF6274">
        <v>-3.4070572623681898</v>
      </c>
      <c r="AG6274">
        <v>-1.116851945374</v>
      </c>
      <c r="AH6274">
        <v>7.91544629193129</v>
      </c>
      <c r="AI6274">
        <v>97.384479826645205</v>
      </c>
      <c r="AJ6274">
        <v>113.288565736641</v>
      </c>
      <c r="AK6274">
        <v>8.68963103114225</v>
      </c>
      <c r="AL6274">
        <v>89.612792938501599</v>
      </c>
      <c r="AM6274">
        <v>102.30271917869599</v>
      </c>
      <c r="AN6274">
        <v>1.0000000489660601</v>
      </c>
    </row>
    <row r="6275" spans="1:40" x14ac:dyDescent="0.25">
      <c r="A6275" t="str">
        <f>"20190312151655006"</f>
        <v>20190312151655006</v>
      </c>
      <c r="B6275" t="str">
        <f>"1552375015003728"</f>
        <v>1552375015003728</v>
      </c>
      <c r="C6275" t="s">
        <v>40</v>
      </c>
      <c r="D6275">
        <v>4.6804119999999996</v>
      </c>
      <c r="E6275">
        <v>0.42898199999999997</v>
      </c>
      <c r="F6275" t="s">
        <v>64</v>
      </c>
      <c r="G6275">
        <v>-200.93430000000001</v>
      </c>
      <c r="H6275" s="1">
        <v>-5.9914839999999997E-6</v>
      </c>
      <c r="I6275">
        <v>-56.306489999999997</v>
      </c>
      <c r="J6275">
        <v>-207.8597</v>
      </c>
      <c r="K6275">
        <v>1.1168469999999999</v>
      </c>
      <c r="L6275">
        <v>-61.622340000000001</v>
      </c>
      <c r="M6275">
        <v>0.96928259999999999</v>
      </c>
      <c r="N6275">
        <v>0</v>
      </c>
      <c r="O6275">
        <v>0.2455792</v>
      </c>
      <c r="P6275">
        <v>0.89477439999999997</v>
      </c>
      <c r="Q6275">
        <v>-3.3346729999999998E-3</v>
      </c>
      <c r="R6275">
        <v>0.44650600000000001</v>
      </c>
      <c r="S6275">
        <v>2.434647</v>
      </c>
      <c r="T6275">
        <v>-0.38453039999999999</v>
      </c>
      <c r="U6275">
        <v>1.84436</v>
      </c>
      <c r="V6275">
        <v>-0.21321499999999999</v>
      </c>
      <c r="W6275">
        <v>6.0103219999999898E-3</v>
      </c>
      <c r="X6275">
        <v>0.97698680000000004</v>
      </c>
      <c r="Y6275">
        <v>-0.38846829999999999</v>
      </c>
      <c r="Z6275">
        <v>-6.2226109999999899E-3</v>
      </c>
      <c r="AA6275">
        <v>0.92144110000000001</v>
      </c>
      <c r="AB6275">
        <v>30</v>
      </c>
      <c r="AC6275">
        <v>6.92539999999999</v>
      </c>
      <c r="AD6275">
        <v>-1.116852991484</v>
      </c>
      <c r="AE6275">
        <v>5.3158499999999904</v>
      </c>
      <c r="AF6275">
        <v>-3.3965550982605999</v>
      </c>
      <c r="AG6275">
        <v>-1.116852991484</v>
      </c>
      <c r="AH6275">
        <v>7.8897433273689499</v>
      </c>
      <c r="AI6275">
        <v>97.408087571323904</v>
      </c>
      <c r="AJ6275">
        <v>113.292004079637</v>
      </c>
      <c r="AK6275">
        <v>8.6621011834236707</v>
      </c>
      <c r="AL6275">
        <v>89.655631836955905</v>
      </c>
      <c r="AM6275">
        <v>102.31105237031601</v>
      </c>
      <c r="AN6275">
        <v>0.99999998378489097</v>
      </c>
    </row>
    <row r="6276" spans="1:40" x14ac:dyDescent="0.25">
      <c r="A6276" t="str">
        <f>"20190312151655018"</f>
        <v>20190312151655018</v>
      </c>
      <c r="B6276" t="str">
        <f>"1552375015014465"</f>
        <v>1552375015014465</v>
      </c>
      <c r="C6276" t="s">
        <v>40</v>
      </c>
      <c r="D6276">
        <v>4.6933220000000002</v>
      </c>
      <c r="E6276">
        <v>0.4291084</v>
      </c>
      <c r="F6276" t="s">
        <v>64</v>
      </c>
      <c r="G6276">
        <v>-200.8212</v>
      </c>
      <c r="H6276" s="1">
        <v>-6.044226E-6</v>
      </c>
      <c r="I6276">
        <v>-56.242849999999997</v>
      </c>
      <c r="J6276">
        <v>-207.71129999999999</v>
      </c>
      <c r="K6276">
        <v>1.11687</v>
      </c>
      <c r="L6276">
        <v>-61.579990000000002</v>
      </c>
      <c r="M6276">
        <v>0.96800940000000002</v>
      </c>
      <c r="N6276">
        <v>0</v>
      </c>
      <c r="O6276">
        <v>0.25054959999999998</v>
      </c>
      <c r="P6276">
        <v>0.89223899999999901</v>
      </c>
      <c r="Q6276">
        <v>-3.890906E-3</v>
      </c>
      <c r="R6276">
        <v>0.45154660000000002</v>
      </c>
      <c r="S6276">
        <v>2.4260709999999999</v>
      </c>
      <c r="T6276">
        <v>-0.38495980000000002</v>
      </c>
      <c r="U6276">
        <v>1.8542179999999999</v>
      </c>
      <c r="V6276">
        <v>-0.2137048</v>
      </c>
      <c r="W6276">
        <v>5.4438489999999997E-3</v>
      </c>
      <c r="X6276">
        <v>0.9768831</v>
      </c>
      <c r="Y6276">
        <v>-0.38771359999999999</v>
      </c>
      <c r="Z6276">
        <v>-6.9394950000000004E-3</v>
      </c>
      <c r="AA6276">
        <v>0.92175379999999996</v>
      </c>
      <c r="AB6276">
        <v>30</v>
      </c>
      <c r="AC6276">
        <v>6.8900999999999897</v>
      </c>
      <c r="AD6276">
        <v>-1.116876044226</v>
      </c>
      <c r="AE6276">
        <v>5.3371399999999998</v>
      </c>
      <c r="AF6276">
        <v>-3.3848177742665899</v>
      </c>
      <c r="AG6276">
        <v>-1.116876044226</v>
      </c>
      <c r="AH6276">
        <v>7.8782525530375302</v>
      </c>
      <c r="AI6276">
        <v>97.4212190944409</v>
      </c>
      <c r="AJ6276">
        <v>113.250327583884</v>
      </c>
      <c r="AK6276">
        <v>8.6470380334886592</v>
      </c>
      <c r="AL6276">
        <v>89.688088882399001</v>
      </c>
      <c r="AM6276">
        <v>102.339737790445</v>
      </c>
      <c r="AN6276">
        <v>0.999999984050292</v>
      </c>
    </row>
    <row r="6277" spans="1:40" x14ac:dyDescent="0.25">
      <c r="A6277" t="str">
        <f>"20190312151655029"</f>
        <v>20190312151655029</v>
      </c>
      <c r="B6277" t="str">
        <f>"1552375015024225"</f>
        <v>1552375015024225</v>
      </c>
      <c r="C6277" t="s">
        <v>40</v>
      </c>
      <c r="D6277">
        <v>4.6872499999999997</v>
      </c>
      <c r="E6277">
        <v>0.42920399999999997</v>
      </c>
      <c r="F6277" t="s">
        <v>64</v>
      </c>
      <c r="G6277">
        <v>-200.7893</v>
      </c>
      <c r="H6277" s="1">
        <v>-6.0583820000000002E-6</v>
      </c>
      <c r="I6277">
        <v>-56.229489999999998</v>
      </c>
      <c r="J6277">
        <v>-207.57320000000001</v>
      </c>
      <c r="K6277">
        <v>1.116911</v>
      </c>
      <c r="L6277">
        <v>-61.539859999999997</v>
      </c>
      <c r="M6277">
        <v>0.96680829999999995</v>
      </c>
      <c r="N6277">
        <v>0</v>
      </c>
      <c r="O6277">
        <v>0.2551446</v>
      </c>
      <c r="P6277">
        <v>0.8901751</v>
      </c>
      <c r="Q6277">
        <v>-4.2283370000000004E-3</v>
      </c>
      <c r="R6277">
        <v>0.45559909999999998</v>
      </c>
      <c r="S6277">
        <v>2.4156490000000002</v>
      </c>
      <c r="T6277">
        <v>-0.38976810000000001</v>
      </c>
      <c r="U6277">
        <v>1.867218</v>
      </c>
      <c r="V6277">
        <v>-0.2135021</v>
      </c>
      <c r="W6277">
        <v>5.094332E-3</v>
      </c>
      <c r="X6277">
        <v>0.9769293</v>
      </c>
      <c r="Y6277">
        <v>-0.38836690000000001</v>
      </c>
      <c r="Z6277">
        <v>-7.595915E-3</v>
      </c>
      <c r="AA6277">
        <v>0.9214736</v>
      </c>
      <c r="AB6277">
        <v>30</v>
      </c>
      <c r="AC6277">
        <v>6.7839000000000098</v>
      </c>
      <c r="AD6277">
        <v>-1.1169170583820001</v>
      </c>
      <c r="AE6277">
        <v>5.31036999999999</v>
      </c>
      <c r="AF6277">
        <v>-3.34728489704327</v>
      </c>
      <c r="AG6277">
        <v>-1.1169170583820001</v>
      </c>
      <c r="AH6277">
        <v>7.78354213494808</v>
      </c>
      <c r="AI6277">
        <v>97.509675525512804</v>
      </c>
      <c r="AJ6277">
        <v>113.26995231005</v>
      </c>
      <c r="AK6277">
        <v>8.5460720839336997</v>
      </c>
      <c r="AL6277">
        <v>89.708115008037893</v>
      </c>
      <c r="AM6277">
        <v>102.327826390151</v>
      </c>
      <c r="AN6277">
        <v>0.99999997806071195</v>
      </c>
    </row>
    <row r="6278" spans="1:40" x14ac:dyDescent="0.25">
      <c r="A6278" t="str">
        <f>"20190312151655040"</f>
        <v>20190312151655040</v>
      </c>
      <c r="B6278" t="str">
        <f>"1552375015033985"</f>
        <v>1552375015033985</v>
      </c>
      <c r="C6278" t="s">
        <v>40</v>
      </c>
      <c r="D6278">
        <v>4.6802729999999997</v>
      </c>
      <c r="E6278">
        <v>0.4293555</v>
      </c>
      <c r="F6278" t="s">
        <v>64</v>
      </c>
      <c r="G6278">
        <v>-200.67930000000001</v>
      </c>
      <c r="H6278" s="1">
        <v>-6.1103310000000004E-6</v>
      </c>
      <c r="I6278">
        <v>-56.163319999999999</v>
      </c>
      <c r="J6278">
        <v>-207.42740000000001</v>
      </c>
      <c r="K6278">
        <v>1.1169610000000001</v>
      </c>
      <c r="L6278">
        <v>-61.496459999999999</v>
      </c>
      <c r="M6278">
        <v>0.96552289999999996</v>
      </c>
      <c r="N6278">
        <v>0</v>
      </c>
      <c r="O6278">
        <v>0.25996570000000002</v>
      </c>
      <c r="P6278">
        <v>0.88782549999999905</v>
      </c>
      <c r="Q6278">
        <v>-4.7105559999999899E-3</v>
      </c>
      <c r="R6278">
        <v>0.46015640000000002</v>
      </c>
      <c r="S6278">
        <v>2.4073639999999998</v>
      </c>
      <c r="T6278">
        <v>-0.39003060000000001</v>
      </c>
      <c r="U6278">
        <v>1.877502</v>
      </c>
      <c r="V6278">
        <v>-0.21362790000000001</v>
      </c>
      <c r="W6278">
        <v>4.5845979999999996E-3</v>
      </c>
      <c r="X6278">
        <v>0.97690429999999995</v>
      </c>
      <c r="Y6278">
        <v>-0.38779380000000002</v>
      </c>
      <c r="Z6278">
        <v>-8.2877330000000003E-3</v>
      </c>
      <c r="AA6278">
        <v>0.92170890000000005</v>
      </c>
      <c r="AB6278">
        <v>30</v>
      </c>
      <c r="AC6278">
        <v>6.7480999999999902</v>
      </c>
      <c r="AD6278">
        <v>-1.1169671103309999</v>
      </c>
      <c r="AE6278">
        <v>5.3331400000000002</v>
      </c>
      <c r="AF6278">
        <v>-3.3389954034859399</v>
      </c>
      <c r="AG6278">
        <v>-1.1169671103309999</v>
      </c>
      <c r="AH6278">
        <v>7.77154073396414</v>
      </c>
      <c r="AI6278">
        <v>97.522559023523499</v>
      </c>
      <c r="AJ6278">
        <v>113.250485463422</v>
      </c>
      <c r="AK6278">
        <v>8.5319019690644193</v>
      </c>
      <c r="AL6278">
        <v>89.737320951763095</v>
      </c>
      <c r="AM6278">
        <v>102.335173902317</v>
      </c>
      <c r="AN6278">
        <v>0.99999995477785897</v>
      </c>
    </row>
    <row r="6279" spans="1:40" x14ac:dyDescent="0.25">
      <c r="A6279" t="str">
        <f>"20190312151655052"</f>
        <v>20190312151655052</v>
      </c>
      <c r="B6279" t="str">
        <f>"1552375015043745"</f>
        <v>1552375015043745</v>
      </c>
      <c r="C6279" t="s">
        <v>40</v>
      </c>
      <c r="D6279">
        <v>4.7038599999999997</v>
      </c>
      <c r="E6279">
        <v>0.42944579999999999</v>
      </c>
      <c r="F6279" t="s">
        <v>64</v>
      </c>
      <c r="G6279">
        <v>-200.5771</v>
      </c>
      <c r="H6279" s="1">
        <v>-6.1587929999999901E-6</v>
      </c>
      <c r="I6279">
        <v>-56.10069</v>
      </c>
      <c r="J6279">
        <v>-207.2818</v>
      </c>
      <c r="K6279">
        <v>1.117022</v>
      </c>
      <c r="L6279">
        <v>-61.452669999999998</v>
      </c>
      <c r="M6279">
        <v>0.96421869999999998</v>
      </c>
      <c r="N6279">
        <v>0</v>
      </c>
      <c r="O6279">
        <v>0.26476149999999998</v>
      </c>
      <c r="P6279">
        <v>0.88554159999999904</v>
      </c>
      <c r="Q6279">
        <v>-4.9304209999999999E-3</v>
      </c>
      <c r="R6279">
        <v>0.464534</v>
      </c>
      <c r="S6279">
        <v>2.3979949999999999</v>
      </c>
      <c r="T6279">
        <v>-0.39100180000000001</v>
      </c>
      <c r="U6279">
        <v>1.8888240000000001</v>
      </c>
      <c r="V6279">
        <v>-0.21359230000000001</v>
      </c>
      <c r="W6279">
        <v>4.3366460000000004E-3</v>
      </c>
      <c r="X6279">
        <v>0.97691329999999998</v>
      </c>
      <c r="Y6279">
        <v>-0.38767990000000002</v>
      </c>
      <c r="Z6279">
        <v>-8.9624560000000006E-3</v>
      </c>
      <c r="AA6279">
        <v>0.92175050000000003</v>
      </c>
      <c r="AB6279">
        <v>30</v>
      </c>
      <c r="AC6279">
        <v>6.7046999999999999</v>
      </c>
      <c r="AD6279">
        <v>-1.117028158793</v>
      </c>
      <c r="AE6279">
        <v>5.3519799999999904</v>
      </c>
      <c r="AF6279">
        <v>-3.3292006858525398</v>
      </c>
      <c r="AG6279">
        <v>-1.117028158793</v>
      </c>
      <c r="AH6279">
        <v>7.75110759988533</v>
      </c>
      <c r="AI6279">
        <v>97.542923483237402</v>
      </c>
      <c r="AJ6279">
        <v>113.24414684150599</v>
      </c>
      <c r="AK6279">
        <v>8.5094652087670895</v>
      </c>
      <c r="AL6279">
        <v>89.751527717186704</v>
      </c>
      <c r="AM6279">
        <v>102.33307107986801</v>
      </c>
      <c r="AN6279">
        <v>1.00000003641735</v>
      </c>
    </row>
    <row r="6280" spans="1:40" x14ac:dyDescent="0.25">
      <c r="A6280" t="str">
        <f>"20190312151655063"</f>
        <v>20190312151655063</v>
      </c>
      <c r="B6280" t="str">
        <f>"1552375015054481"</f>
        <v>1552375015054481</v>
      </c>
      <c r="C6280" t="s">
        <v>40</v>
      </c>
      <c r="D6280">
        <v>4.6840859999999997</v>
      </c>
      <c r="E6280">
        <v>0.42953150000000001</v>
      </c>
      <c r="F6280" t="s">
        <v>64</v>
      </c>
      <c r="G6280">
        <v>-200.45140000000001</v>
      </c>
      <c r="H6280" s="1">
        <v>-6.21903199999999E-6</v>
      </c>
      <c r="I6280">
        <v>-56.019530000000003</v>
      </c>
      <c r="J6280">
        <v>-207.14680000000001</v>
      </c>
      <c r="K6280">
        <v>1.1170709999999999</v>
      </c>
      <c r="L6280">
        <v>-61.410800000000002</v>
      </c>
      <c r="M6280">
        <v>0.96298510000000004</v>
      </c>
      <c r="N6280">
        <v>0</v>
      </c>
      <c r="O6280">
        <v>0.26921339999999999</v>
      </c>
      <c r="P6280">
        <v>0.88340039999999997</v>
      </c>
      <c r="Q6280">
        <v>-5.16841E-3</v>
      </c>
      <c r="R6280">
        <v>0.46859060000000002</v>
      </c>
      <c r="S6280">
        <v>2.3888090000000002</v>
      </c>
      <c r="T6280">
        <v>-0.39066139999999999</v>
      </c>
      <c r="U6280">
        <v>1.9001459999999999</v>
      </c>
      <c r="V6280">
        <v>-0.2135562</v>
      </c>
      <c r="W6280">
        <v>4.0767720000000002E-3</v>
      </c>
      <c r="X6280">
        <v>0.97692230000000002</v>
      </c>
      <c r="Y6280">
        <v>-0.38785750000000002</v>
      </c>
      <c r="Z6280">
        <v>-9.5420030000000003E-3</v>
      </c>
      <c r="AA6280">
        <v>0.92166999999999999</v>
      </c>
      <c r="AB6280">
        <v>30</v>
      </c>
      <c r="AC6280">
        <v>6.6954000000000002</v>
      </c>
      <c r="AD6280">
        <v>-1.117077219032</v>
      </c>
      <c r="AE6280">
        <v>5.3912699999999898</v>
      </c>
      <c r="AF6280">
        <v>-3.3332438978408101</v>
      </c>
      <c r="AG6280">
        <v>-1.117077219032</v>
      </c>
      <c r="AH6280">
        <v>7.7685107919597698</v>
      </c>
      <c r="AI6280">
        <v>97.527737819227795</v>
      </c>
      <c r="AJ6280">
        <v>113.222775419778</v>
      </c>
      <c r="AK6280">
        <v>8.5269066091149792</v>
      </c>
      <c r="AL6280">
        <v>89.766417529274307</v>
      </c>
      <c r="AM6280">
        <v>102.330940275193</v>
      </c>
      <c r="AN6280">
        <v>1.0000000254328301</v>
      </c>
    </row>
    <row r="6281" spans="1:40" x14ac:dyDescent="0.25">
      <c r="A6281" t="str">
        <f>"20190312151655073"</f>
        <v>20190312151655073</v>
      </c>
      <c r="B6281" t="str">
        <f>"1552375015064240"</f>
        <v>1552375015064240</v>
      </c>
      <c r="C6281" t="s">
        <v>40</v>
      </c>
      <c r="D6281">
        <v>4.6453389999999999</v>
      </c>
      <c r="E6281">
        <v>0.4296896</v>
      </c>
      <c r="F6281" t="s">
        <v>64</v>
      </c>
      <c r="G6281">
        <v>-200.33709999999999</v>
      </c>
      <c r="H6281" s="1">
        <v>-6.2739500000000003E-6</v>
      </c>
      <c r="I6281">
        <v>-55.945030000000003</v>
      </c>
      <c r="J6281">
        <v>-207.01920000000001</v>
      </c>
      <c r="K6281">
        <v>1.117111</v>
      </c>
      <c r="L6281">
        <v>-61.37115</v>
      </c>
      <c r="M6281">
        <v>0.96180060000000001</v>
      </c>
      <c r="N6281">
        <v>0</v>
      </c>
      <c r="O6281">
        <v>0.27341480000000001</v>
      </c>
      <c r="P6281">
        <v>0.88152180000000002</v>
      </c>
      <c r="Q6281">
        <v>-5.3555209999999898E-3</v>
      </c>
      <c r="R6281">
        <v>0.47211310000000001</v>
      </c>
      <c r="S6281">
        <v>2.38028</v>
      </c>
      <c r="T6281">
        <v>-0.3904666</v>
      </c>
      <c r="U6281">
        <v>1.9105220000000001</v>
      </c>
      <c r="V6281">
        <v>-0.2131884</v>
      </c>
      <c r="W6281">
        <v>3.876025E-3</v>
      </c>
      <c r="X6281">
        <v>0.97700350000000002</v>
      </c>
      <c r="Y6281">
        <v>-0.38792140000000003</v>
      </c>
      <c r="Z6281">
        <v>-1.009909E-2</v>
      </c>
      <c r="AA6281">
        <v>0.92163709999999999</v>
      </c>
      <c r="AB6281">
        <v>30</v>
      </c>
      <c r="AC6281">
        <v>6.6821000000000099</v>
      </c>
      <c r="AD6281">
        <v>-1.1171172739499999</v>
      </c>
      <c r="AE6281">
        <v>5.4261199999999903</v>
      </c>
      <c r="AF6281">
        <v>-3.33598452737577</v>
      </c>
      <c r="AG6281">
        <v>-1.1171172739499999</v>
      </c>
      <c r="AH6281">
        <v>7.7801166220776397</v>
      </c>
      <c r="AI6281">
        <v>97.517678212308894</v>
      </c>
      <c r="AJ6281">
        <v>113.20884816051699</v>
      </c>
      <c r="AK6281">
        <v>8.5385571628804406</v>
      </c>
      <c r="AL6281">
        <v>89.777919587512201</v>
      </c>
      <c r="AM6281">
        <v>102.309359320526</v>
      </c>
      <c r="AN6281">
        <v>1.0000000782383001</v>
      </c>
    </row>
    <row r="6282" spans="1:40" x14ac:dyDescent="0.25">
      <c r="A6282" t="str">
        <f>"20190312151655084"</f>
        <v>20190312151655084</v>
      </c>
      <c r="B6282" t="str">
        <f>"1552375015074001"</f>
        <v>1552375015074001</v>
      </c>
      <c r="C6282" t="s">
        <v>40</v>
      </c>
      <c r="D6282">
        <v>4.684126</v>
      </c>
      <c r="E6282">
        <v>0.42985390000000001</v>
      </c>
      <c r="F6282" t="s">
        <v>64</v>
      </c>
      <c r="G6282">
        <v>-200.22880000000001</v>
      </c>
      <c r="H6282" s="1">
        <v>-6.3250859999999998E-6</v>
      </c>
      <c r="I6282">
        <v>-55.879939999999998</v>
      </c>
      <c r="J6282">
        <v>-206.87729999999999</v>
      </c>
      <c r="K6282">
        <v>1.1171519999999999</v>
      </c>
      <c r="L6282">
        <v>-61.325620000000001</v>
      </c>
      <c r="M6282">
        <v>0.96044649999999998</v>
      </c>
      <c r="N6282">
        <v>0</v>
      </c>
      <c r="O6282">
        <v>0.27813359999999998</v>
      </c>
      <c r="P6282">
        <v>0.87924690000000005</v>
      </c>
      <c r="Q6282">
        <v>-5.1386089999999997E-3</v>
      </c>
      <c r="R6282">
        <v>0.4763387</v>
      </c>
      <c r="S6282">
        <v>2.3730470000000001</v>
      </c>
      <c r="T6282">
        <v>-0.390403</v>
      </c>
      <c r="U6282">
        <v>1.9190370000000001</v>
      </c>
      <c r="V6282">
        <v>-0.2130852</v>
      </c>
      <c r="W6282">
        <v>4.0810630000000002E-3</v>
      </c>
      <c r="X6282">
        <v>0.97702509999999998</v>
      </c>
      <c r="Y6282">
        <v>-0.38681270000000001</v>
      </c>
      <c r="Z6282">
        <v>-1.081082E-2</v>
      </c>
      <c r="AA6282">
        <v>0.92209490000000005</v>
      </c>
      <c r="AB6282">
        <v>30</v>
      </c>
      <c r="AC6282">
        <v>6.6484999999999799</v>
      </c>
      <c r="AD6282">
        <v>-1.117158325086</v>
      </c>
      <c r="AE6282">
        <v>5.4456799999999799</v>
      </c>
      <c r="AF6282">
        <v>-3.3252351389577499</v>
      </c>
      <c r="AG6282">
        <v>-1.117158325086</v>
      </c>
      <c r="AH6282">
        <v>7.7695933348822299</v>
      </c>
      <c r="AI6282">
        <v>97.530179682146297</v>
      </c>
      <c r="AJ6282">
        <v>113.16998481944</v>
      </c>
      <c r="AK6282">
        <v>8.5247763631730997</v>
      </c>
      <c r="AL6282">
        <v>89.766171665515202</v>
      </c>
      <c r="AM6282">
        <v>102.303318437852</v>
      </c>
      <c r="AN6282">
        <v>1.00000000178212</v>
      </c>
    </row>
    <row r="6283" spans="1:40" x14ac:dyDescent="0.25">
      <c r="A6283" t="str">
        <f>"20190312151655095"</f>
        <v>20190312151655095</v>
      </c>
      <c r="B6283" t="str">
        <f>"1552375015083760"</f>
        <v>1552375015083760</v>
      </c>
      <c r="C6283" t="s">
        <v>40</v>
      </c>
      <c r="D6283">
        <v>4.699484</v>
      </c>
      <c r="E6283">
        <v>0.43001220000000001</v>
      </c>
      <c r="F6283" t="s">
        <v>64</v>
      </c>
      <c r="G6283">
        <v>-200.08510000000001</v>
      </c>
      <c r="H6283" s="1">
        <v>-6.3945679999999997E-6</v>
      </c>
      <c r="I6283">
        <v>-55.783279999999998</v>
      </c>
      <c r="J6283">
        <v>-206.7381</v>
      </c>
      <c r="K6283">
        <v>1.1171899999999999</v>
      </c>
      <c r="L6283">
        <v>-61.280700000000003</v>
      </c>
      <c r="M6283">
        <v>0.95909230000000001</v>
      </c>
      <c r="N6283">
        <v>0</v>
      </c>
      <c r="O6283">
        <v>0.28276770000000001</v>
      </c>
      <c r="P6283">
        <v>0.87717649999999903</v>
      </c>
      <c r="Q6283">
        <v>-5.1605430000000001E-3</v>
      </c>
      <c r="R6283">
        <v>0.48014030000000002</v>
      </c>
      <c r="S6283">
        <v>2.3644560000000001</v>
      </c>
      <c r="T6283">
        <v>-0.38890209999999997</v>
      </c>
      <c r="U6283">
        <v>1.9293819999999999</v>
      </c>
      <c r="V6283">
        <v>-0.21259739999999999</v>
      </c>
      <c r="W6283">
        <v>4.0581760000000001E-3</v>
      </c>
      <c r="X6283">
        <v>0.97713139999999998</v>
      </c>
      <c r="Y6283">
        <v>-0.386467</v>
      </c>
      <c r="Z6283">
        <v>-1.141644E-2</v>
      </c>
      <c r="AA6283">
        <v>0.92223259999999996</v>
      </c>
      <c r="AB6283">
        <v>30</v>
      </c>
      <c r="AC6283">
        <v>6.6529999999999898</v>
      </c>
      <c r="AD6283">
        <v>-1.1171963945679999</v>
      </c>
      <c r="AE6283">
        <v>5.4974199999999902</v>
      </c>
      <c r="AF6283">
        <v>-3.3356961755024801</v>
      </c>
      <c r="AG6283">
        <v>-1.1171963945679999</v>
      </c>
      <c r="AH6283">
        <v>7.8052727428169</v>
      </c>
      <c r="AI6283">
        <v>97.498053733534704</v>
      </c>
      <c r="AJ6283">
        <v>113.14014163984</v>
      </c>
      <c r="AK6283">
        <v>8.5613830278207992</v>
      </c>
      <c r="AL6283">
        <v>89.767482992389304</v>
      </c>
      <c r="AM6283">
        <v>102.274713398755</v>
      </c>
      <c r="AN6283">
        <v>0.99999994807258197</v>
      </c>
    </row>
    <row r="6284" spans="1:40" x14ac:dyDescent="0.25">
      <c r="A6284" t="str">
        <f>"20190312151655106"</f>
        <v>20190312151655106</v>
      </c>
      <c r="B6284" t="str">
        <f>"1552375015104256"</f>
        <v>1552375015104256</v>
      </c>
      <c r="C6284" t="s">
        <v>40</v>
      </c>
      <c r="D6284">
        <v>4.6445869999999996</v>
      </c>
      <c r="E6284">
        <v>0.4302937</v>
      </c>
      <c r="F6284" t="s">
        <v>64</v>
      </c>
      <c r="G6284">
        <v>-199.95840000000001</v>
      </c>
      <c r="H6284" s="1">
        <v>-6.4550549999999996E-6</v>
      </c>
      <c r="I6284">
        <v>-55.703110000000002</v>
      </c>
      <c r="J6284">
        <v>-206.5968</v>
      </c>
      <c r="K6284">
        <v>1.117219</v>
      </c>
      <c r="L6284">
        <v>-61.23395</v>
      </c>
      <c r="M6284">
        <v>0.957677</v>
      </c>
      <c r="N6284">
        <v>0</v>
      </c>
      <c r="O6284">
        <v>0.287524</v>
      </c>
      <c r="P6284">
        <v>0.87492300000000001</v>
      </c>
      <c r="Q6284">
        <v>-5.0959309999999997E-3</v>
      </c>
      <c r="R6284">
        <v>0.48423559999999999</v>
      </c>
      <c r="S6284">
        <v>2.3565830000000001</v>
      </c>
      <c r="T6284">
        <v>-0.3883277</v>
      </c>
      <c r="U6284">
        <v>1.9387209999999999</v>
      </c>
      <c r="V6284">
        <v>-0.21231729999999999</v>
      </c>
      <c r="W6284">
        <v>4.1249320000000004E-3</v>
      </c>
      <c r="X6284">
        <v>0.97719199999999995</v>
      </c>
      <c r="Y6284">
        <v>-0.38562489999999999</v>
      </c>
      <c r="Z6284">
        <v>-1.209665E-2</v>
      </c>
      <c r="AA6284">
        <v>0.92257639999999996</v>
      </c>
      <c r="AB6284">
        <v>30</v>
      </c>
      <c r="AC6284">
        <v>6.6383999999999901</v>
      </c>
      <c r="AD6284">
        <v>-1.117225455055</v>
      </c>
      <c r="AE6284">
        <v>5.5308400000000004</v>
      </c>
      <c r="AF6284">
        <v>-3.3326542920971098</v>
      </c>
      <c r="AG6284">
        <v>-1.117225455055</v>
      </c>
      <c r="AH6284">
        <v>7.8177242892354597</v>
      </c>
      <c r="AI6284">
        <v>97.489298759374904</v>
      </c>
      <c r="AJ6284">
        <v>113.088293698499</v>
      </c>
      <c r="AK6284">
        <v>8.5715570587004901</v>
      </c>
      <c r="AL6284">
        <v>89.763658118350094</v>
      </c>
      <c r="AM6284">
        <v>102.25829341698601</v>
      </c>
      <c r="AN6284">
        <v>0.999999927903644</v>
      </c>
    </row>
    <row r="6285" spans="1:40" x14ac:dyDescent="0.25">
      <c r="A6285" t="str">
        <f>"20190312151655118"</f>
        <v>20190312151655118</v>
      </c>
      <c r="B6285" t="str">
        <f>"1552375015114016"</f>
        <v>1552375015114016</v>
      </c>
      <c r="C6285" t="s">
        <v>40</v>
      </c>
      <c r="D6285">
        <v>4.6886850000000004</v>
      </c>
      <c r="E6285">
        <v>0.43033450000000001</v>
      </c>
      <c r="F6285" t="s">
        <v>64</v>
      </c>
      <c r="G6285">
        <v>-199.80789999999999</v>
      </c>
      <c r="H6285" s="1">
        <v>-8.9479880000000002E-6</v>
      </c>
      <c r="I6285">
        <v>-55.603319999999997</v>
      </c>
      <c r="J6285">
        <v>-206.45419999999999</v>
      </c>
      <c r="K6285">
        <v>1.1172489999999999</v>
      </c>
      <c r="L6285">
        <v>-61.186190000000003</v>
      </c>
      <c r="M6285">
        <v>0.95621750000000005</v>
      </c>
      <c r="N6285">
        <v>0</v>
      </c>
      <c r="O6285">
        <v>0.2923405</v>
      </c>
      <c r="P6285">
        <v>0.87255819999999995</v>
      </c>
      <c r="Q6285">
        <v>-4.986079E-3</v>
      </c>
      <c r="R6285">
        <v>0.4884849</v>
      </c>
      <c r="S6285">
        <v>2.348557</v>
      </c>
      <c r="T6285">
        <v>-0.38649749999999999</v>
      </c>
      <c r="U6285">
        <v>1.9478759999999999</v>
      </c>
      <c r="V6285">
        <v>-0.21215419999999999</v>
      </c>
      <c r="W6285">
        <v>4.2365110000000001E-3</v>
      </c>
      <c r="X6285">
        <v>0.97722699999999996</v>
      </c>
      <c r="Y6285">
        <v>-0.38470979999999999</v>
      </c>
      <c r="Z6285">
        <v>-1.274809E-2</v>
      </c>
      <c r="AA6285">
        <v>0.92294960000000004</v>
      </c>
      <c r="AB6285">
        <v>30</v>
      </c>
      <c r="AC6285">
        <v>6.6462999999999903</v>
      </c>
      <c r="AD6285">
        <v>-1.117257947988</v>
      </c>
      <c r="AE6285">
        <v>5.5828699999999998</v>
      </c>
      <c r="AF6285">
        <v>-3.3404253481993398</v>
      </c>
      <c r="AG6285">
        <v>-1.117257947988</v>
      </c>
      <c r="AH6285">
        <v>7.8579558510681098</v>
      </c>
      <c r="AI6285">
        <v>97.454771003601095</v>
      </c>
      <c r="AJ6285">
        <v>113.03039619252201</v>
      </c>
      <c r="AK6285">
        <v>8.6112819595325494</v>
      </c>
      <c r="AL6285">
        <v>89.757265069137503</v>
      </c>
      <c r="AM6285">
        <v>102.248735675796</v>
      </c>
      <c r="AN6285">
        <v>0.99999998106604604</v>
      </c>
    </row>
    <row r="6286" spans="1:40" x14ac:dyDescent="0.25">
      <c r="A6286" t="str">
        <f>"20190312151655129"</f>
        <v>20190312151655129</v>
      </c>
      <c r="B6286" t="str">
        <f>"1552375015123776"</f>
        <v>1552375015123776</v>
      </c>
      <c r="C6286" t="s">
        <v>40</v>
      </c>
      <c r="D6286">
        <v>4.6974090000000004</v>
      </c>
      <c r="E6286">
        <v>0.4301701</v>
      </c>
      <c r="F6286" t="s">
        <v>64</v>
      </c>
      <c r="G6286">
        <v>-199.68520000000001</v>
      </c>
      <c r="H6286" s="1">
        <v>-8.9645649999999998E-6</v>
      </c>
      <c r="I6286">
        <v>-55.516770000000001</v>
      </c>
      <c r="J6286">
        <v>-206.31309999999999</v>
      </c>
      <c r="K6286">
        <v>1.117275</v>
      </c>
      <c r="L6286">
        <v>-61.138089999999998</v>
      </c>
      <c r="M6286">
        <v>0.95473750000000002</v>
      </c>
      <c r="N6286">
        <v>0</v>
      </c>
      <c r="O6286">
        <v>0.2971376</v>
      </c>
      <c r="P6286">
        <v>0.87034519999999904</v>
      </c>
      <c r="Q6286">
        <v>-4.8855649999999997E-3</v>
      </c>
      <c r="R6286">
        <v>0.49241790000000002</v>
      </c>
      <c r="S6286">
        <v>2.3391570000000002</v>
      </c>
      <c r="T6286">
        <v>-0.38608799999999999</v>
      </c>
      <c r="U6286">
        <v>1.9591670000000001</v>
      </c>
      <c r="V6286">
        <v>-0.2116606</v>
      </c>
      <c r="W6286">
        <v>4.3509500000000001E-3</v>
      </c>
      <c r="X6286">
        <v>0.97733349999999997</v>
      </c>
      <c r="Y6286">
        <v>-0.38455709999999999</v>
      </c>
      <c r="Z6286">
        <v>-1.338668E-2</v>
      </c>
      <c r="AA6286">
        <v>0.92300420000000005</v>
      </c>
      <c r="AB6286">
        <v>30</v>
      </c>
      <c r="AC6286">
        <v>6.6278999999999799</v>
      </c>
      <c r="AD6286">
        <v>-1.1172839645649999</v>
      </c>
      <c r="AE6286">
        <v>5.6213200000000096</v>
      </c>
      <c r="AF6286">
        <v>-3.3425565447048999</v>
      </c>
      <c r="AG6286">
        <v>-1.1172839645649999</v>
      </c>
      <c r="AH6286">
        <v>7.8688961013066399</v>
      </c>
      <c r="AI6286">
        <v>97.445542682240401</v>
      </c>
      <c r="AJ6286">
        <v>113.01485686113899</v>
      </c>
      <c r="AK6286">
        <v>8.6220956597095704</v>
      </c>
      <c r="AL6286">
        <v>89.7507081304298</v>
      </c>
      <c r="AM6286">
        <v>102.21980342512001</v>
      </c>
      <c r="AN6286">
        <v>0.99999995529025498</v>
      </c>
    </row>
    <row r="6287" spans="1:40" x14ac:dyDescent="0.25">
      <c r="A6287" t="str">
        <f>"20190312151655139"</f>
        <v>20190312151655139</v>
      </c>
      <c r="B6287" t="str">
        <f>"1552375015134043"</f>
        <v>1552375015134043</v>
      </c>
      <c r="C6287" t="s">
        <v>40</v>
      </c>
      <c r="D6287">
        <v>4.6287289999999999</v>
      </c>
      <c r="E6287">
        <v>0.4301701</v>
      </c>
      <c r="F6287" t="s">
        <v>64</v>
      </c>
      <c r="G6287">
        <v>-199.56700000000001</v>
      </c>
      <c r="H6287" s="1">
        <v>-8.9817549999999995E-6</v>
      </c>
      <c r="I6287">
        <v>-55.429920000000003</v>
      </c>
      <c r="J6287">
        <v>-206.17410000000001</v>
      </c>
      <c r="K6287">
        <v>1.1173029999999999</v>
      </c>
      <c r="L6287">
        <v>-61.08981</v>
      </c>
      <c r="M6287">
        <v>0.95324500000000001</v>
      </c>
      <c r="N6287">
        <v>0</v>
      </c>
      <c r="O6287">
        <v>0.30189060000000001</v>
      </c>
      <c r="P6287">
        <v>0.8681044</v>
      </c>
      <c r="Q6287">
        <v>-4.9422579999999997E-3</v>
      </c>
      <c r="R6287">
        <v>0.4963571</v>
      </c>
      <c r="S6287">
        <v>2.3295439999999998</v>
      </c>
      <c r="T6287">
        <v>-0.38581779999999999</v>
      </c>
      <c r="U6287">
        <v>1.97113</v>
      </c>
      <c r="V6287">
        <v>-0.21121970000000001</v>
      </c>
      <c r="W6287">
        <v>4.3085129999999999E-3</v>
      </c>
      <c r="X6287">
        <v>0.97742910000000005</v>
      </c>
      <c r="Y6287">
        <v>-0.38463370000000002</v>
      </c>
      <c r="Z6287">
        <v>-1.4006559999999999E-2</v>
      </c>
      <c r="AA6287">
        <v>0.92296299999999998</v>
      </c>
      <c r="AB6287">
        <v>30</v>
      </c>
      <c r="AC6287">
        <v>6.6071</v>
      </c>
      <c r="AD6287">
        <v>-1.1173119817549999</v>
      </c>
      <c r="AE6287">
        <v>5.6598899999999999</v>
      </c>
      <c r="AF6287">
        <v>-3.3457722694697498</v>
      </c>
      <c r="AG6287">
        <v>-1.1173119817549999</v>
      </c>
      <c r="AH6287">
        <v>7.8776647527708903</v>
      </c>
      <c r="AI6287">
        <v>97.437703270031705</v>
      </c>
      <c r="AJ6287">
        <v>113.01172043045</v>
      </c>
      <c r="AK6287">
        <v>8.6313486837674898</v>
      </c>
      <c r="AL6287">
        <v>89.753139621718404</v>
      </c>
      <c r="AM6287">
        <v>102.193954457491</v>
      </c>
      <c r="AN6287">
        <v>0.999999985239585</v>
      </c>
    </row>
    <row r="6288" spans="1:40" x14ac:dyDescent="0.25">
      <c r="A6288" t="str">
        <f>"20190312151655151"</f>
        <v>20190312151655151</v>
      </c>
      <c r="B6288" t="str">
        <f>"1552375015143803"</f>
        <v>1552375015143803</v>
      </c>
      <c r="C6288" t="s">
        <v>40</v>
      </c>
      <c r="D6288">
        <v>4.6155540000000004</v>
      </c>
      <c r="E6288">
        <v>0.4110143</v>
      </c>
      <c r="F6288" t="s">
        <v>64</v>
      </c>
      <c r="G6288">
        <v>-199.4487</v>
      </c>
      <c r="H6288" s="1">
        <v>-8.9982979999999994E-6</v>
      </c>
      <c r="I6288">
        <v>-55.344889999999999</v>
      </c>
      <c r="J6288">
        <v>-206.0352</v>
      </c>
      <c r="K6288">
        <v>1.1173299999999999</v>
      </c>
      <c r="L6288">
        <v>-61.041049999999998</v>
      </c>
      <c r="M6288">
        <v>0.95172409999999996</v>
      </c>
      <c r="N6288">
        <v>0</v>
      </c>
      <c r="O6288">
        <v>0.30665110000000001</v>
      </c>
      <c r="P6288">
        <v>0.86580630000000003</v>
      </c>
      <c r="Q6288">
        <v>-5.0255719999999999E-3</v>
      </c>
      <c r="R6288">
        <v>0.50035419999999997</v>
      </c>
      <c r="S6288">
        <v>2.3203429999999998</v>
      </c>
      <c r="T6288">
        <v>-0.38548339999999998</v>
      </c>
      <c r="U6288">
        <v>1.982056</v>
      </c>
      <c r="V6288">
        <v>-0.2108399</v>
      </c>
      <c r="W6288">
        <v>4.2388959999999998E-3</v>
      </c>
      <c r="X6288">
        <v>0.97751140000000003</v>
      </c>
      <c r="Y6288">
        <v>-0.38437769999999999</v>
      </c>
      <c r="Z6288">
        <v>-1.4648420000000001E-2</v>
      </c>
      <c r="AA6288">
        <v>0.92305970000000004</v>
      </c>
      <c r="AB6288">
        <v>30</v>
      </c>
      <c r="AC6288">
        <v>6.5865</v>
      </c>
      <c r="AD6288">
        <v>-1.117338998298</v>
      </c>
      <c r="AE6288">
        <v>5.6961599999999901</v>
      </c>
      <c r="AF6288">
        <v>-3.3466328034620401</v>
      </c>
      <c r="AG6288">
        <v>-1.117338998298</v>
      </c>
      <c r="AH6288">
        <v>7.8861723576064797</v>
      </c>
      <c r="AI6288">
        <v>97.430869361824605</v>
      </c>
      <c r="AJ6288">
        <v>112.994774720244</v>
      </c>
      <c r="AK6288">
        <v>8.6394509091841201</v>
      </c>
      <c r="AL6288">
        <v>89.7571284182836</v>
      </c>
      <c r="AM6288">
        <v>102.171688282039</v>
      </c>
      <c r="AN6288">
        <v>0.99999998440063398</v>
      </c>
    </row>
    <row r="6289" spans="1:40" x14ac:dyDescent="0.25">
      <c r="A6289" t="str">
        <f>"20190312151655163"</f>
        <v>20190312151655163</v>
      </c>
      <c r="B6289" t="str">
        <f>"1552375015154540"</f>
        <v>1552375015154540</v>
      </c>
      <c r="C6289" t="s">
        <v>40</v>
      </c>
      <c r="D6289">
        <v>4.6190089999999904</v>
      </c>
      <c r="E6289">
        <v>0.41043760000000001</v>
      </c>
      <c r="F6289" t="s">
        <v>64</v>
      </c>
      <c r="G6289">
        <v>-199.14099999999999</v>
      </c>
      <c r="H6289" s="1">
        <v>-9.2649100000000007E-6</v>
      </c>
      <c r="I6289">
        <v>-54.486710000000002</v>
      </c>
      <c r="J6289">
        <v>-205.89259999999999</v>
      </c>
      <c r="K6289">
        <v>1.1173599999999999</v>
      </c>
      <c r="L6289">
        <v>-60.989690000000003</v>
      </c>
      <c r="M6289">
        <v>0.95012240000000003</v>
      </c>
      <c r="N6289">
        <v>0</v>
      </c>
      <c r="O6289">
        <v>0.31157760000000001</v>
      </c>
      <c r="P6289">
        <v>0.86337540000000002</v>
      </c>
      <c r="Q6289">
        <v>-5.0005800000000001E-3</v>
      </c>
      <c r="R6289">
        <v>0.50453729999999997</v>
      </c>
      <c r="S6289">
        <v>2.2349549999999998</v>
      </c>
      <c r="T6289">
        <v>-0.36221399999999998</v>
      </c>
      <c r="U6289">
        <v>2.1247560000000001</v>
      </c>
      <c r="V6289">
        <v>-0.2105061</v>
      </c>
      <c r="W6289">
        <v>4.2756119999999998E-3</v>
      </c>
      <c r="X6289">
        <v>0.97758319999999999</v>
      </c>
      <c r="Y6289">
        <v>-0.42806739999999999</v>
      </c>
      <c r="Z6289">
        <v>-1.1464159999999999E-2</v>
      </c>
      <c r="AA6289">
        <v>0.90367410000000004</v>
      </c>
      <c r="AB6289">
        <v>30</v>
      </c>
      <c r="AC6289">
        <v>6.7515999999999901</v>
      </c>
      <c r="AD6289">
        <v>-1.11736926491</v>
      </c>
      <c r="AE6289">
        <v>6.50298</v>
      </c>
      <c r="AF6289">
        <v>-4.0182680349649296</v>
      </c>
      <c r="AG6289">
        <v>-1.11736926491</v>
      </c>
      <c r="AH6289">
        <v>8.3235552562818604</v>
      </c>
      <c r="AI6289">
        <v>96.893133308965801</v>
      </c>
      <c r="AJ6289">
        <v>115.76932751385</v>
      </c>
      <c r="AK6289">
        <v>9.3100249290409405</v>
      </c>
      <c r="AL6289">
        <v>89.755024732627305</v>
      </c>
      <c r="AM6289">
        <v>102.152125336647</v>
      </c>
      <c r="AN6289">
        <v>1.00000000595871</v>
      </c>
    </row>
    <row r="6290" spans="1:40" x14ac:dyDescent="0.25">
      <c r="A6290" t="str">
        <f>"20190312151655175"</f>
        <v>20190312151655175</v>
      </c>
      <c r="B6290" t="str">
        <f>"1552375015164299"</f>
        <v>1552375015164299</v>
      </c>
      <c r="C6290" t="s">
        <v>40</v>
      </c>
      <c r="D6290">
        <v>4.6273080000000002</v>
      </c>
      <c r="E6290">
        <v>0.41031630000000002</v>
      </c>
      <c r="F6290" t="s">
        <v>41</v>
      </c>
      <c r="G6290">
        <v>-205.1591</v>
      </c>
      <c r="H6290">
        <v>0.99914190000000003</v>
      </c>
      <c r="I6290">
        <v>-60.283610000000003</v>
      </c>
      <c r="J6290">
        <v>-205.75559999999999</v>
      </c>
      <c r="K6290">
        <v>1.1173900000000001</v>
      </c>
      <c r="L6290">
        <v>-60.940060000000003</v>
      </c>
      <c r="M6290">
        <v>0.94855679999999998</v>
      </c>
      <c r="N6290">
        <v>0</v>
      </c>
      <c r="O6290">
        <v>0.31631130000000002</v>
      </c>
      <c r="P6290">
        <v>0.86110659999999895</v>
      </c>
      <c r="Q6290">
        <v>-5.0633099999999997E-3</v>
      </c>
      <c r="R6290">
        <v>0.5083995</v>
      </c>
      <c r="S6290">
        <v>2.2223510000000002</v>
      </c>
      <c r="T6290">
        <v>-0.35819709999999899</v>
      </c>
      <c r="U6290">
        <v>2.1395569999999999</v>
      </c>
      <c r="V6290">
        <v>-0.21001020000000001</v>
      </c>
      <c r="W6290">
        <v>4.2274510000000001E-3</v>
      </c>
      <c r="X6290">
        <v>0.97768999999999995</v>
      </c>
      <c r="Y6290">
        <v>-0.4292858</v>
      </c>
      <c r="Z6290">
        <v>-1.184443E-2</v>
      </c>
      <c r="AA6290">
        <v>0.90309110000000004</v>
      </c>
      <c r="AB6290">
        <v>30</v>
      </c>
      <c r="AC6290">
        <v>0.59649999999999104</v>
      </c>
      <c r="AD6290">
        <v>-0.118248099999999</v>
      </c>
      <c r="AE6290">
        <v>0.65644999999999898</v>
      </c>
      <c r="AF6290">
        <v>-0.42646159052703098</v>
      </c>
      <c r="AG6290">
        <v>-0.118248099999999</v>
      </c>
      <c r="AH6290">
        <v>0.76002130829050496</v>
      </c>
      <c r="AI6290">
        <v>97.726952589483702</v>
      </c>
      <c r="AJ6290">
        <v>119.29756468188501</v>
      </c>
      <c r="AK6290">
        <v>0.87947967026194895</v>
      </c>
      <c r="AL6290">
        <v>89.757784165009596</v>
      </c>
      <c r="AM6290">
        <v>102.12306063292</v>
      </c>
      <c r="AN6290">
        <v>0.999999945772997</v>
      </c>
    </row>
    <row r="6291" spans="1:40" x14ac:dyDescent="0.25">
      <c r="A6291" t="str">
        <f>"20190312151655185"</f>
        <v>20190312151655185</v>
      </c>
      <c r="B6291" t="str">
        <f>"1552375015174059"</f>
        <v>1552375015174059</v>
      </c>
      <c r="C6291" t="s">
        <v>40</v>
      </c>
      <c r="D6291">
        <v>4.6458979999999999</v>
      </c>
      <c r="E6291">
        <v>0.41040660000000001</v>
      </c>
      <c r="F6291" t="s">
        <v>41</v>
      </c>
      <c r="G6291">
        <v>-204.98599999999999</v>
      </c>
      <c r="H6291">
        <v>0.99223910000000004</v>
      </c>
      <c r="I6291">
        <v>-60.191859999999998</v>
      </c>
      <c r="J6291">
        <v>-205.6156</v>
      </c>
      <c r="K6291">
        <v>1.117426</v>
      </c>
      <c r="L6291">
        <v>-60.888030000000001</v>
      </c>
      <c r="M6291">
        <v>0.94691879999999995</v>
      </c>
      <c r="N6291">
        <v>0</v>
      </c>
      <c r="O6291">
        <v>0.32118069999999999</v>
      </c>
      <c r="P6291">
        <v>0.85857099999999897</v>
      </c>
      <c r="Q6291">
        <v>-5.0448610000000003E-3</v>
      </c>
      <c r="R6291">
        <v>0.51266990000000001</v>
      </c>
      <c r="S6291">
        <v>2.212097</v>
      </c>
      <c r="T6291">
        <v>-0.35975649999999998</v>
      </c>
      <c r="U6291">
        <v>2.1505130000000001</v>
      </c>
      <c r="V6291">
        <v>-0.20984320000000001</v>
      </c>
      <c r="W6291">
        <v>4.2527229999999999E-3</v>
      </c>
      <c r="X6291">
        <v>0.97772579999999998</v>
      </c>
      <c r="Y6291">
        <v>-0.4290619</v>
      </c>
      <c r="Z6291">
        <v>-1.251765E-2</v>
      </c>
      <c r="AA6291">
        <v>0.90318830000000005</v>
      </c>
      <c r="AB6291">
        <v>30</v>
      </c>
      <c r="AC6291">
        <v>0.62960000000001004</v>
      </c>
      <c r="AD6291">
        <v>-0.12518689999999999</v>
      </c>
      <c r="AE6291">
        <v>0.69617000000000895</v>
      </c>
      <c r="AF6291">
        <v>-0.44905635509327901</v>
      </c>
      <c r="AG6291">
        <v>-0.12518689999999999</v>
      </c>
      <c r="AH6291">
        <v>0.80552503776253503</v>
      </c>
      <c r="AI6291">
        <v>97.730228105847303</v>
      </c>
      <c r="AJ6291">
        <v>119.138372319303</v>
      </c>
      <c r="AK6291">
        <v>0.930695415505849</v>
      </c>
      <c r="AL6291">
        <v>89.7563361854845</v>
      </c>
      <c r="AM6291">
        <v>102.113274761504</v>
      </c>
      <c r="AN6291">
        <v>0.99999999711239695</v>
      </c>
    </row>
    <row r="6292" spans="1:40" x14ac:dyDescent="0.25">
      <c r="A6292" t="str">
        <f>"20190312151655196"</f>
        <v>20190312151655196</v>
      </c>
      <c r="B6292" t="str">
        <f>"1552375015183819"</f>
        <v>1552375015183819</v>
      </c>
      <c r="C6292" t="s">
        <v>40</v>
      </c>
      <c r="D6292">
        <v>4.6193330000000001</v>
      </c>
      <c r="E6292">
        <v>0.41061209999999998</v>
      </c>
      <c r="F6292" t="s">
        <v>64</v>
      </c>
      <c r="G6292">
        <v>-198.87309999999999</v>
      </c>
      <c r="H6292" s="1">
        <v>-9.3114129999999992E-6</v>
      </c>
      <c r="I6292">
        <v>-54.268369999999997</v>
      </c>
      <c r="J6292">
        <v>-205.48230000000001</v>
      </c>
      <c r="K6292">
        <v>1.117459</v>
      </c>
      <c r="L6292">
        <v>-60.838039999999999</v>
      </c>
      <c r="M6292">
        <v>0.94533160000000005</v>
      </c>
      <c r="N6292">
        <v>0</v>
      </c>
      <c r="O6292">
        <v>0.32582240000000001</v>
      </c>
      <c r="P6292">
        <v>0.85623890000000002</v>
      </c>
      <c r="Q6292">
        <v>-5.0468680000000004E-3</v>
      </c>
      <c r="R6292">
        <v>0.51655549999999995</v>
      </c>
      <c r="S6292">
        <v>2.2014469999999999</v>
      </c>
      <c r="T6292">
        <v>-0.36484729999999999</v>
      </c>
      <c r="U6292">
        <v>2.161346</v>
      </c>
      <c r="V6292">
        <v>-0.20947769999999999</v>
      </c>
      <c r="W6292">
        <v>4.2598760000000001E-3</v>
      </c>
      <c r="X6292">
        <v>0.97780409999999995</v>
      </c>
      <c r="Y6292">
        <v>-0.42908560000000001</v>
      </c>
      <c r="Z6292">
        <v>-1.328116E-2</v>
      </c>
      <c r="AA6292">
        <v>0.90316620000000003</v>
      </c>
      <c r="AB6292">
        <v>30</v>
      </c>
      <c r="AC6292">
        <v>6.6092000000000102</v>
      </c>
      <c r="AD6292">
        <v>-1.117468311413</v>
      </c>
      <c r="AE6292">
        <v>6.5696700000000003</v>
      </c>
      <c r="AF6292">
        <v>-3.9999556404181802</v>
      </c>
      <c r="AG6292">
        <v>-1.117468311413</v>
      </c>
      <c r="AH6292">
        <v>8.2702978275437307</v>
      </c>
      <c r="AI6292">
        <v>96.935293059537997</v>
      </c>
      <c r="AJ6292">
        <v>115.810878953542</v>
      </c>
      <c r="AK6292">
        <v>9.2545235808549293</v>
      </c>
      <c r="AL6292">
        <v>89.755926334942302</v>
      </c>
      <c r="AM6292">
        <v>102.091857811084</v>
      </c>
      <c r="AN6292">
        <v>0.99999995565881605</v>
      </c>
    </row>
    <row r="6293" spans="1:40" x14ac:dyDescent="0.25">
      <c r="A6293" t="str">
        <f>"20190312151655207"</f>
        <v>20190312151655207</v>
      </c>
      <c r="B6293" t="str">
        <f>"1552375015204315"</f>
        <v>1552375015204315</v>
      </c>
      <c r="C6293" t="s">
        <v>40</v>
      </c>
      <c r="D6293">
        <v>4.6368179999999999</v>
      </c>
      <c r="E6293">
        <v>0.41078300000000001</v>
      </c>
      <c r="F6293" t="s">
        <v>41</v>
      </c>
      <c r="G6293">
        <v>-204.74019999999999</v>
      </c>
      <c r="H6293">
        <v>0.99253020000000003</v>
      </c>
      <c r="I6293">
        <v>-60.103630000000003</v>
      </c>
      <c r="J6293">
        <v>-205.34899999999999</v>
      </c>
      <c r="K6293">
        <v>1.117494</v>
      </c>
      <c r="L6293">
        <v>-60.787109999999998</v>
      </c>
      <c r="M6293">
        <v>0.9437122</v>
      </c>
      <c r="N6293">
        <v>0</v>
      </c>
      <c r="O6293">
        <v>0.33048300000000003</v>
      </c>
      <c r="P6293">
        <v>0.85390129999999997</v>
      </c>
      <c r="Q6293">
        <v>-4.7356739999999996E-3</v>
      </c>
      <c r="R6293">
        <v>0.52041359999999903</v>
      </c>
      <c r="S6293">
        <v>2.1923219999999999</v>
      </c>
      <c r="T6293">
        <v>-0.36910579999999998</v>
      </c>
      <c r="U6293">
        <v>2.1701350000000001</v>
      </c>
      <c r="V6293">
        <v>-0.20907120000000001</v>
      </c>
      <c r="W6293">
        <v>4.5817369999999998E-3</v>
      </c>
      <c r="X6293">
        <v>0.97788969999999997</v>
      </c>
      <c r="Y6293">
        <v>-0.4283534</v>
      </c>
      <c r="Z6293">
        <v>-1.408328E-2</v>
      </c>
      <c r="AA6293">
        <v>0.90350149999999996</v>
      </c>
      <c r="AB6293">
        <v>30</v>
      </c>
      <c r="AC6293">
        <v>0.60880000000002998</v>
      </c>
      <c r="AD6293">
        <v>-0.1249638</v>
      </c>
      <c r="AE6293">
        <v>0.68347999999999498</v>
      </c>
      <c r="AF6293">
        <v>-0.43573029747793002</v>
      </c>
      <c r="AG6293">
        <v>-0.1249638</v>
      </c>
      <c r="AH6293">
        <v>0.78583813513301204</v>
      </c>
      <c r="AI6293">
        <v>97.917446151223302</v>
      </c>
      <c r="AJ6293">
        <v>119.00742326785399</v>
      </c>
      <c r="AK6293">
        <v>0.90720362547775202</v>
      </c>
      <c r="AL6293">
        <v>89.737484891785002</v>
      </c>
      <c r="AM6293">
        <v>102.068056180987</v>
      </c>
      <c r="AN6293">
        <v>1.0000000121747299</v>
      </c>
    </row>
    <row r="6294" spans="1:40" x14ac:dyDescent="0.25">
      <c r="A6294" t="str">
        <f>"20190312151655218"</f>
        <v>20190312151655218</v>
      </c>
      <c r="B6294" t="str">
        <f>"1552375015214074"</f>
        <v>1552375015214074</v>
      </c>
      <c r="C6294" t="s">
        <v>40</v>
      </c>
      <c r="D6294">
        <v>4.6135609999999998</v>
      </c>
      <c r="E6294">
        <v>0.41094710000000001</v>
      </c>
      <c r="F6294" t="s">
        <v>64</v>
      </c>
      <c r="G6294">
        <v>-198.84889999999999</v>
      </c>
      <c r="H6294" s="1">
        <v>-9.2984159999999994E-6</v>
      </c>
      <c r="I6294">
        <v>-54.297649999999997</v>
      </c>
      <c r="J6294">
        <v>-205.21</v>
      </c>
      <c r="K6294">
        <v>1.1175310000000001</v>
      </c>
      <c r="L6294">
        <v>-60.733249999999998</v>
      </c>
      <c r="M6294">
        <v>0.94198850000000001</v>
      </c>
      <c r="N6294">
        <v>0</v>
      </c>
      <c r="O6294">
        <v>0.33536369999999999</v>
      </c>
      <c r="P6294">
        <v>0.85143819999999903</v>
      </c>
      <c r="Q6294">
        <v>-4.5442240000000004E-3</v>
      </c>
      <c r="R6294">
        <v>0.52443530000000005</v>
      </c>
      <c r="S6294">
        <v>2.1829679999999998</v>
      </c>
      <c r="T6294">
        <v>-0.37529610000000002</v>
      </c>
      <c r="U6294">
        <v>2.1793819999999999</v>
      </c>
      <c r="V6294">
        <v>-0.20862530000000001</v>
      </c>
      <c r="W6294">
        <v>4.7834380000000001E-3</v>
      </c>
      <c r="X6294">
        <v>0.97798399999999996</v>
      </c>
      <c r="Y6294">
        <v>-0.427541</v>
      </c>
      <c r="Z6294">
        <v>-1.501044E-2</v>
      </c>
      <c r="AA6294">
        <v>0.90387130000000004</v>
      </c>
      <c r="AB6294">
        <v>30</v>
      </c>
      <c r="AC6294">
        <v>6.36110000000002</v>
      </c>
      <c r="AD6294">
        <v>-1.1175402984160001</v>
      </c>
      <c r="AE6294">
        <v>6.4356</v>
      </c>
      <c r="AF6294">
        <v>-3.8703175631905098</v>
      </c>
      <c r="AG6294">
        <v>-1.1175402984160001</v>
      </c>
      <c r="AH6294">
        <v>8.0286609373030693</v>
      </c>
      <c r="AI6294">
        <v>97.146757549980606</v>
      </c>
      <c r="AJ6294">
        <v>115.736979473792</v>
      </c>
      <c r="AK6294">
        <v>8.9826305058541092</v>
      </c>
      <c r="AL6294">
        <v>89.725928159731595</v>
      </c>
      <c r="AM6294">
        <v>102.04194268887299</v>
      </c>
      <c r="AN6294">
        <v>1.0000000506675899</v>
      </c>
    </row>
    <row r="6295" spans="1:40" x14ac:dyDescent="0.25">
      <c r="A6295" t="str">
        <f>"20190312151655229"</f>
        <v>20190312151655229</v>
      </c>
      <c r="B6295" t="str">
        <f>"1552375015223835"</f>
        <v>1552375015223835</v>
      </c>
      <c r="C6295" t="s">
        <v>40</v>
      </c>
      <c r="D6295">
        <v>4.6483210000000001</v>
      </c>
      <c r="E6295">
        <v>0.41111609999999998</v>
      </c>
      <c r="F6295" t="s">
        <v>41</v>
      </c>
      <c r="G6295">
        <v>-204.49440000000001</v>
      </c>
      <c r="H6295">
        <v>0.9939905</v>
      </c>
      <c r="I6295">
        <v>-60.012509999999999</v>
      </c>
      <c r="J6295">
        <v>-205.0719</v>
      </c>
      <c r="K6295">
        <v>1.117567</v>
      </c>
      <c r="L6295">
        <v>-60.678989999999999</v>
      </c>
      <c r="M6295">
        <v>0.94024339999999995</v>
      </c>
      <c r="N6295">
        <v>0</v>
      </c>
      <c r="O6295">
        <v>0.340225</v>
      </c>
      <c r="P6295">
        <v>0.84898999999999902</v>
      </c>
      <c r="Q6295">
        <v>-4.4441059999999998E-3</v>
      </c>
      <c r="R6295">
        <v>0.52839029999999998</v>
      </c>
      <c r="S6295">
        <v>2.173279</v>
      </c>
      <c r="T6295">
        <v>-0.37520110000000001</v>
      </c>
      <c r="U6295">
        <v>2.188812</v>
      </c>
      <c r="V6295">
        <v>-0.2081257</v>
      </c>
      <c r="W6295">
        <v>4.8950169999999998E-3</v>
      </c>
      <c r="X6295">
        <v>0.97808989999999996</v>
      </c>
      <c r="Y6295">
        <v>-0.42686950000000001</v>
      </c>
      <c r="Z6295">
        <v>-1.5688210000000001E-2</v>
      </c>
      <c r="AA6295">
        <v>0.90417720000000001</v>
      </c>
      <c r="AB6295">
        <v>30</v>
      </c>
      <c r="AC6295">
        <v>0.57749999999998602</v>
      </c>
      <c r="AD6295">
        <v>-0.12357649999999901</v>
      </c>
      <c r="AE6295">
        <v>0.66647999999999996</v>
      </c>
      <c r="AF6295">
        <v>-0.42192909783738197</v>
      </c>
      <c r="AG6295">
        <v>-0.12357649999999901</v>
      </c>
      <c r="AH6295">
        <v>0.75499138431510704</v>
      </c>
      <c r="AI6295">
        <v>98.131444054983803</v>
      </c>
      <c r="AJ6295">
        <v>119.19876683522899</v>
      </c>
      <c r="AK6295">
        <v>0.87367459923255097</v>
      </c>
      <c r="AL6295">
        <v>89.719535082124395</v>
      </c>
      <c r="AM6295">
        <v>102.01268138176</v>
      </c>
      <c r="AN6295">
        <v>1.0000000603369601</v>
      </c>
    </row>
    <row r="6296" spans="1:40" x14ac:dyDescent="0.25">
      <c r="A6296" t="str">
        <f>"20190312151655241"</f>
        <v>20190312151655241</v>
      </c>
      <c r="B6296" t="str">
        <f>"1552375015233595"</f>
        <v>1552375015233595</v>
      </c>
      <c r="C6296" t="s">
        <v>40</v>
      </c>
      <c r="D6296">
        <v>4.6330619999999998</v>
      </c>
      <c r="E6296">
        <v>0.4113233</v>
      </c>
      <c r="F6296" t="s">
        <v>64</v>
      </c>
      <c r="G6296">
        <v>-198.65629999999999</v>
      </c>
      <c r="H6296" s="1">
        <v>-9.3245929999999996E-6</v>
      </c>
      <c r="I6296">
        <v>-54.161360000000002</v>
      </c>
      <c r="J6296">
        <v>-204.9357</v>
      </c>
      <c r="K6296">
        <v>1.1176060000000001</v>
      </c>
      <c r="L6296">
        <v>-60.624389999999998</v>
      </c>
      <c r="M6296">
        <v>0.93848469999999995</v>
      </c>
      <c r="N6296">
        <v>0</v>
      </c>
      <c r="O6296">
        <v>0.34504649999999998</v>
      </c>
      <c r="P6296">
        <v>0.846483599999999</v>
      </c>
      <c r="Q6296">
        <v>-4.2526040000000001E-3</v>
      </c>
      <c r="R6296">
        <v>0.53239799999999904</v>
      </c>
      <c r="S6296">
        <v>2.1636199999999999</v>
      </c>
      <c r="T6296">
        <v>-0.3768958</v>
      </c>
      <c r="U6296">
        <v>2.198029</v>
      </c>
      <c r="V6296">
        <v>-0.2077328</v>
      </c>
      <c r="W6296">
        <v>5.0948089999999996E-3</v>
      </c>
      <c r="X6296">
        <v>0.97817240000000005</v>
      </c>
      <c r="Y6296">
        <v>-0.42617090000000002</v>
      </c>
      <c r="Z6296">
        <v>-1.6440650000000001E-2</v>
      </c>
      <c r="AA6296">
        <v>0.90449329999999994</v>
      </c>
      <c r="AB6296">
        <v>30</v>
      </c>
      <c r="AC6296">
        <v>6.2794000000000096</v>
      </c>
      <c r="AD6296">
        <v>-1.1176153245929901</v>
      </c>
      <c r="AE6296">
        <v>6.4630300000000096</v>
      </c>
      <c r="AF6296">
        <v>-3.8400700711877298</v>
      </c>
      <c r="AG6296">
        <v>-1.1176153245929901</v>
      </c>
      <c r="AH6296">
        <v>8.00086466324783</v>
      </c>
      <c r="AI6296">
        <v>97.177645134305394</v>
      </c>
      <c r="AJ6296">
        <v>115.63899800577499</v>
      </c>
      <c r="AK6296">
        <v>8.9447771087380694</v>
      </c>
      <c r="AL6296">
        <v>89.708087701135099</v>
      </c>
      <c r="AM6296">
        <v>101.98967873770999</v>
      </c>
      <c r="AN6296">
        <v>1.0000000586981701</v>
      </c>
    </row>
    <row r="6297" spans="1:40" x14ac:dyDescent="0.25">
      <c r="A6297" t="str">
        <f>"20190312151655251"</f>
        <v>20190312151655251</v>
      </c>
      <c r="B6297" t="str">
        <f>"1552375015244331"</f>
        <v>1552375015244331</v>
      </c>
      <c r="C6297" t="s">
        <v>40</v>
      </c>
      <c r="D6297">
        <v>4.6120130000000001</v>
      </c>
      <c r="E6297">
        <v>0.41153859999999998</v>
      </c>
      <c r="F6297" t="s">
        <v>41</v>
      </c>
      <c r="G6297">
        <v>-204.22239999999999</v>
      </c>
      <c r="H6297">
        <v>0.99210019999999999</v>
      </c>
      <c r="I6297">
        <v>-59.893520000000002</v>
      </c>
      <c r="J6297">
        <v>-204.8115</v>
      </c>
      <c r="K6297">
        <v>1.1176379999999999</v>
      </c>
      <c r="L6297">
        <v>-60.574219999999997</v>
      </c>
      <c r="M6297">
        <v>0.93685350000000001</v>
      </c>
      <c r="N6297">
        <v>0</v>
      </c>
      <c r="O6297">
        <v>0.3494505</v>
      </c>
      <c r="P6297">
        <v>0.84400730000000002</v>
      </c>
      <c r="Q6297">
        <v>-4.1681469999999997E-3</v>
      </c>
      <c r="R6297">
        <v>0.5363156</v>
      </c>
      <c r="S6297">
        <v>2.1537929999999998</v>
      </c>
      <c r="T6297">
        <v>-0.3790114</v>
      </c>
      <c r="U6297">
        <v>2.2074579999999999</v>
      </c>
      <c r="V6297">
        <v>-0.20767440000000001</v>
      </c>
      <c r="W6297">
        <v>5.1792069999999999E-3</v>
      </c>
      <c r="X6297">
        <v>0.97818430000000001</v>
      </c>
      <c r="Y6297">
        <v>-0.42593910000000001</v>
      </c>
      <c r="Z6297">
        <v>-1.713191E-2</v>
      </c>
      <c r="AA6297">
        <v>0.90458970000000005</v>
      </c>
      <c r="AB6297">
        <v>30</v>
      </c>
      <c r="AC6297">
        <v>0.58910000000000196</v>
      </c>
      <c r="AD6297">
        <v>-0.12553779999999901</v>
      </c>
      <c r="AE6297">
        <v>0.68070000000000097</v>
      </c>
      <c r="AF6297">
        <v>-0.42365700246787003</v>
      </c>
      <c r="AG6297">
        <v>-0.12553779999999901</v>
      </c>
      <c r="AH6297">
        <v>0.77477915170784595</v>
      </c>
      <c r="AI6297">
        <v>98.091218738164102</v>
      </c>
      <c r="AJ6297">
        <v>118.670280402874</v>
      </c>
      <c r="AK6297">
        <v>0.89192361157782496</v>
      </c>
      <c r="AL6297">
        <v>89.703251971790905</v>
      </c>
      <c r="AM6297">
        <v>101.986263974699</v>
      </c>
      <c r="AN6297">
        <v>1.0000000026834901</v>
      </c>
    </row>
    <row r="6298" spans="1:40" x14ac:dyDescent="0.25">
      <c r="A6298" t="str">
        <f>"20190312151655262"</f>
        <v>20190312151655262</v>
      </c>
      <c r="B6298" t="str">
        <f>"1552375015254091"</f>
        <v>1552375015254091</v>
      </c>
      <c r="C6298" t="s">
        <v>40</v>
      </c>
      <c r="D6298">
        <v>4.6469180000000003</v>
      </c>
      <c r="E6298">
        <v>0.41181119999999999</v>
      </c>
      <c r="F6298" t="s">
        <v>64</v>
      </c>
      <c r="G6298">
        <v>-198.51230000000001</v>
      </c>
      <c r="H6298" s="1">
        <v>-9.3423670000000003E-6</v>
      </c>
      <c r="I6298">
        <v>-54.064570000000003</v>
      </c>
      <c r="J6298">
        <v>-204.672</v>
      </c>
      <c r="K6298">
        <v>1.1176740000000001</v>
      </c>
      <c r="L6298">
        <v>-60.516570000000002</v>
      </c>
      <c r="M6298">
        <v>0.93498099999999995</v>
      </c>
      <c r="N6298">
        <v>0</v>
      </c>
      <c r="O6298">
        <v>0.35442950000000001</v>
      </c>
      <c r="P6298">
        <v>0.84142150000000004</v>
      </c>
      <c r="Q6298">
        <v>-4.0383959999999997E-3</v>
      </c>
      <c r="R6298">
        <v>0.54036439999999997</v>
      </c>
      <c r="S6298">
        <v>2.1444239999999999</v>
      </c>
      <c r="T6298">
        <v>-0.38047829999999999</v>
      </c>
      <c r="U6298">
        <v>2.2160639999999998</v>
      </c>
      <c r="V6298">
        <v>-0.2071732</v>
      </c>
      <c r="W6298">
        <v>5.3193959999999997E-3</v>
      </c>
      <c r="X6298">
        <v>0.97828979999999999</v>
      </c>
      <c r="Y6298">
        <v>-0.42489080000000001</v>
      </c>
      <c r="Z6298">
        <v>-1.7932509999999999E-2</v>
      </c>
      <c r="AA6298">
        <v>0.90506699999999995</v>
      </c>
      <c r="AB6298">
        <v>30</v>
      </c>
      <c r="AC6298">
        <v>6.1596999999999804</v>
      </c>
      <c r="AD6298">
        <v>-1.1176833423670001</v>
      </c>
      <c r="AE6298">
        <v>6.4519999999999902</v>
      </c>
      <c r="AF6298">
        <v>-3.7901801536709101</v>
      </c>
      <c r="AG6298">
        <v>-1.1176833423670001</v>
      </c>
      <c r="AH6298">
        <v>7.9223695238488503</v>
      </c>
      <c r="AI6298">
        <v>97.252755748736703</v>
      </c>
      <c r="AJ6298">
        <v>115.567150292688</v>
      </c>
      <c r="AK6298">
        <v>8.8531700832806006</v>
      </c>
      <c r="AL6298">
        <v>89.695219616732999</v>
      </c>
      <c r="AM6298">
        <v>101.95691766275699</v>
      </c>
      <c r="AN6298">
        <v>0.99999998177804195</v>
      </c>
    </row>
    <row r="6299" spans="1:40" x14ac:dyDescent="0.25">
      <c r="A6299" t="str">
        <f>"20190312151655274"</f>
        <v>20190312151655274</v>
      </c>
      <c r="B6299" t="str">
        <f>"1552375015263851"</f>
        <v>1552375015263851</v>
      </c>
      <c r="C6299" t="s">
        <v>40</v>
      </c>
      <c r="D6299">
        <v>4.6066089999999997</v>
      </c>
      <c r="E6299">
        <v>0.41211360000000002</v>
      </c>
      <c r="F6299" t="s">
        <v>41</v>
      </c>
      <c r="G6299">
        <v>-203.94970000000001</v>
      </c>
      <c r="H6299">
        <v>0.98744419999999999</v>
      </c>
      <c r="I6299">
        <v>-59.763739999999999</v>
      </c>
      <c r="J6299">
        <v>-204.53149999999999</v>
      </c>
      <c r="K6299">
        <v>1.1177090000000001</v>
      </c>
      <c r="L6299">
        <v>-60.458100000000002</v>
      </c>
      <c r="M6299">
        <v>0.93306120000000004</v>
      </c>
      <c r="N6299">
        <v>0</v>
      </c>
      <c r="O6299">
        <v>0.35945280000000002</v>
      </c>
      <c r="P6299">
        <v>0.83850539999999996</v>
      </c>
      <c r="Q6299">
        <v>-3.9776689999999996E-3</v>
      </c>
      <c r="R6299">
        <v>0.5448788</v>
      </c>
      <c r="S6299">
        <v>2.1347049999999999</v>
      </c>
      <c r="T6299">
        <v>-0.384876</v>
      </c>
      <c r="U6299">
        <v>2.2249150000000002</v>
      </c>
      <c r="V6299">
        <v>-0.2071713</v>
      </c>
      <c r="W6299">
        <v>5.3790000000000001E-3</v>
      </c>
      <c r="X6299">
        <v>0.97828990000000005</v>
      </c>
      <c r="Y6299">
        <v>-0.4239058</v>
      </c>
      <c r="Z6299">
        <v>-1.8883770000000001E-2</v>
      </c>
      <c r="AA6299">
        <v>0.90550940000000002</v>
      </c>
      <c r="AB6299">
        <v>30</v>
      </c>
      <c r="AC6299">
        <v>0.58179999999998699</v>
      </c>
      <c r="AD6299">
        <v>-0.13026479999999999</v>
      </c>
      <c r="AE6299">
        <v>0.69435999999999598</v>
      </c>
      <c r="AF6299">
        <v>-0.42990299872946403</v>
      </c>
      <c r="AG6299">
        <v>-0.13026479999999999</v>
      </c>
      <c r="AH6299">
        <v>0.77646441268107302</v>
      </c>
      <c r="AI6299">
        <v>98.349793884828401</v>
      </c>
      <c r="AJ6299">
        <v>118.97186752301501</v>
      </c>
      <c r="AK6299">
        <v>0.89704096372227604</v>
      </c>
      <c r="AL6299">
        <v>89.691804517267499</v>
      </c>
      <c r="AM6299">
        <v>101.956809974094</v>
      </c>
      <c r="AN6299">
        <v>1.0000000048133499</v>
      </c>
    </row>
    <row r="6300" spans="1:40" x14ac:dyDescent="0.25">
      <c r="A6300" t="str">
        <f>"20190312151655285"</f>
        <v>20190312151655285</v>
      </c>
      <c r="B6300" t="str">
        <f>"1552375015273612"</f>
        <v>1552375015273612</v>
      </c>
      <c r="C6300" t="s">
        <v>40</v>
      </c>
      <c r="D6300">
        <v>4.6442819999999996</v>
      </c>
      <c r="E6300">
        <v>0.41250809999999999</v>
      </c>
      <c r="F6300" t="s">
        <v>41</v>
      </c>
      <c r="G6300">
        <v>-203.79560000000001</v>
      </c>
      <c r="H6300">
        <v>0.98379559999999999</v>
      </c>
      <c r="I6300">
        <v>-59.684089999999998</v>
      </c>
      <c r="J6300">
        <v>-204.3955</v>
      </c>
      <c r="K6300">
        <v>1.1177459999999999</v>
      </c>
      <c r="L6300">
        <v>-60.400149999999996</v>
      </c>
      <c r="M6300">
        <v>0.9311604</v>
      </c>
      <c r="N6300">
        <v>0</v>
      </c>
      <c r="O6300">
        <v>0.3643478</v>
      </c>
      <c r="P6300">
        <v>0.83566240000000003</v>
      </c>
      <c r="Q6300">
        <v>-4.0109300000000002E-3</v>
      </c>
      <c r="R6300">
        <v>0.54922879999999996</v>
      </c>
      <c r="S6300">
        <v>2.1239620000000001</v>
      </c>
      <c r="T6300">
        <v>-0.38654100000000002</v>
      </c>
      <c r="U6300">
        <v>2.2344360000000001</v>
      </c>
      <c r="V6300">
        <v>-0.20711769999999999</v>
      </c>
      <c r="W6300">
        <v>5.3456210000000001E-3</v>
      </c>
      <c r="X6300">
        <v>0.97830139999999999</v>
      </c>
      <c r="Y6300">
        <v>-0.42339379999999999</v>
      </c>
      <c r="Z6300">
        <v>-1.9666139999999999E-2</v>
      </c>
      <c r="AA6300">
        <v>0.90573230000000005</v>
      </c>
      <c r="AB6300">
        <v>30</v>
      </c>
      <c r="AC6300">
        <v>0.599899999999991</v>
      </c>
      <c r="AD6300">
        <v>-0.133950399999999</v>
      </c>
      <c r="AE6300">
        <v>0.71605999999999104</v>
      </c>
      <c r="AF6300">
        <v>-0.43920638729737699</v>
      </c>
      <c r="AG6300">
        <v>-0.133950399999999</v>
      </c>
      <c r="AH6300">
        <v>0.80306381192173304</v>
      </c>
      <c r="AI6300">
        <v>98.325704820898807</v>
      </c>
      <c r="AJ6300">
        <v>118.674841610294</v>
      </c>
      <c r="AK6300">
        <v>0.925071049336881</v>
      </c>
      <c r="AL6300">
        <v>89.693717010921006</v>
      </c>
      <c r="AM6300">
        <v>101.953668997335</v>
      </c>
      <c r="AN6300">
        <v>0.99999997327956203</v>
      </c>
    </row>
    <row r="6301" spans="1:40" x14ac:dyDescent="0.25">
      <c r="A6301" t="str">
        <f>"20190312151655297"</f>
        <v>20190312151655297</v>
      </c>
      <c r="B6301" t="str">
        <f>"1552375015294107"</f>
        <v>1552375015294107</v>
      </c>
      <c r="C6301" t="s">
        <v>40</v>
      </c>
      <c r="D6301">
        <v>4.6315049999999998</v>
      </c>
      <c r="E6301">
        <v>0.41297879999999998</v>
      </c>
      <c r="F6301" t="s">
        <v>64</v>
      </c>
      <c r="G6301">
        <v>-198.31469999999999</v>
      </c>
      <c r="H6301" s="1">
        <v>-9.3611930000000003E-6</v>
      </c>
      <c r="I6301">
        <v>-53.947619999999901</v>
      </c>
      <c r="J6301">
        <v>-204.2653</v>
      </c>
      <c r="K6301">
        <v>1.1177760000000001</v>
      </c>
      <c r="L6301">
        <v>-60.344180000000001</v>
      </c>
      <c r="M6301">
        <v>0.92930919999999895</v>
      </c>
      <c r="N6301">
        <v>0</v>
      </c>
      <c r="O6301">
        <v>0.36904340000000002</v>
      </c>
      <c r="P6301">
        <v>0.83299630000000002</v>
      </c>
      <c r="Q6301">
        <v>-3.8655819999999998E-3</v>
      </c>
      <c r="R6301">
        <v>0.55326519999999901</v>
      </c>
      <c r="S6301">
        <v>2.113861</v>
      </c>
      <c r="T6301">
        <v>-0.38856180000000001</v>
      </c>
      <c r="U6301">
        <v>2.2430729999999999</v>
      </c>
      <c r="V6301">
        <v>-0.2069155</v>
      </c>
      <c r="W6301">
        <v>5.4939159999999997E-3</v>
      </c>
      <c r="X6301">
        <v>0.97834339999999997</v>
      </c>
      <c r="Y6301">
        <v>-0.4227514</v>
      </c>
      <c r="Z6301">
        <v>-2.0456450000000001E-2</v>
      </c>
      <c r="AA6301">
        <v>0.90601480000000001</v>
      </c>
      <c r="AB6301">
        <v>30</v>
      </c>
      <c r="AC6301">
        <v>5.9505999999999997</v>
      </c>
      <c r="AD6301">
        <v>-1.117785361193</v>
      </c>
      <c r="AE6301">
        <v>6.39656</v>
      </c>
      <c r="AF6301">
        <v>-3.6883334169697299</v>
      </c>
      <c r="AG6301">
        <v>-1.117785361193</v>
      </c>
      <c r="AH6301">
        <v>7.76421123259954</v>
      </c>
      <c r="AI6301">
        <v>97.409133607980905</v>
      </c>
      <c r="AJ6301">
        <v>115.40972355484701</v>
      </c>
      <c r="AK6301">
        <v>8.6681153414602097</v>
      </c>
      <c r="AL6301">
        <v>89.685220219133001</v>
      </c>
      <c r="AM6301">
        <v>101.941836412797</v>
      </c>
      <c r="AN6301">
        <v>1.0000000077884099</v>
      </c>
    </row>
    <row r="6302" spans="1:40" x14ac:dyDescent="0.25">
      <c r="A6302" t="str">
        <f>"20190312151655306"</f>
        <v>20190312151655306</v>
      </c>
      <c r="B6302" t="str">
        <f>"1552375015303867"</f>
        <v>1552375015303867</v>
      </c>
      <c r="C6302" t="s">
        <v>40</v>
      </c>
      <c r="D6302">
        <v>4.6488060000000004</v>
      </c>
      <c r="E6302">
        <v>0.41340189999999999</v>
      </c>
      <c r="F6302" t="s">
        <v>41</v>
      </c>
      <c r="G6302">
        <v>-203.55500000000001</v>
      </c>
      <c r="H6302">
        <v>0.98618090000000003</v>
      </c>
      <c r="I6302">
        <v>-59.584789999999998</v>
      </c>
      <c r="J6302">
        <v>-204.13419999999999</v>
      </c>
      <c r="K6302">
        <v>1.1178090000000001</v>
      </c>
      <c r="L6302">
        <v>-60.286869999999901</v>
      </c>
      <c r="M6302">
        <v>0.92740979999999995</v>
      </c>
      <c r="N6302">
        <v>0</v>
      </c>
      <c r="O6302">
        <v>0.37379040000000002</v>
      </c>
      <c r="P6302">
        <v>0.8302311</v>
      </c>
      <c r="Q6302">
        <v>-4.106747E-3</v>
      </c>
      <c r="R6302">
        <v>0.55740419999999902</v>
      </c>
      <c r="S6302">
        <v>2.1049799999999999</v>
      </c>
      <c r="T6302">
        <v>-0.38998260000000001</v>
      </c>
      <c r="U6302">
        <v>2.2503660000000001</v>
      </c>
      <c r="V6302">
        <v>-0.2067782</v>
      </c>
      <c r="W6302">
        <v>5.2550239999999996E-3</v>
      </c>
      <c r="X6302">
        <v>0.97837379999999996</v>
      </c>
      <c r="Y6302">
        <v>-0.42152509999999999</v>
      </c>
      <c r="Z6302">
        <v>-2.1269429999999999E-2</v>
      </c>
      <c r="AA6302">
        <v>0.90656729999999996</v>
      </c>
      <c r="AB6302">
        <v>30</v>
      </c>
      <c r="AC6302">
        <v>0.57919999999998595</v>
      </c>
      <c r="AD6302">
        <v>-0.131628099999999</v>
      </c>
      <c r="AE6302">
        <v>0.70207999999998705</v>
      </c>
      <c r="AF6302">
        <v>-0.42575342199107502</v>
      </c>
      <c r="AG6302">
        <v>-0.131628099999999</v>
      </c>
      <c r="AH6302">
        <v>0.78328070501259695</v>
      </c>
      <c r="AI6302">
        <v>98.398803653573793</v>
      </c>
      <c r="AJ6302">
        <v>118.526359086844</v>
      </c>
      <c r="AK6302">
        <v>0.90117733875844397</v>
      </c>
      <c r="AL6302">
        <v>89.698907937600893</v>
      </c>
      <c r="AM6302">
        <v>101.9337794325</v>
      </c>
      <c r="AN6302">
        <v>1.0000000658994499</v>
      </c>
    </row>
    <row r="6303" spans="1:40" x14ac:dyDescent="0.25">
      <c r="A6303" t="str">
        <f>"20190312151655319"</f>
        <v>20190312151655319</v>
      </c>
      <c r="B6303" t="str">
        <f>"1552375015313627"</f>
        <v>1552375015313627</v>
      </c>
      <c r="C6303" t="s">
        <v>40</v>
      </c>
      <c r="D6303">
        <v>4.59361</v>
      </c>
      <c r="E6303">
        <v>0.4138888</v>
      </c>
      <c r="F6303" t="s">
        <v>64</v>
      </c>
      <c r="G6303">
        <v>-198.16990000000001</v>
      </c>
      <c r="H6303" s="1">
        <v>-9.3761529999999999E-6</v>
      </c>
      <c r="I6303">
        <v>-53.858600000000003</v>
      </c>
      <c r="J6303">
        <v>-203.9939</v>
      </c>
      <c r="K6303">
        <v>1.117842</v>
      </c>
      <c r="L6303">
        <v>-60.224580000000003</v>
      </c>
      <c r="M6303">
        <v>0.92533710000000002</v>
      </c>
      <c r="N6303">
        <v>0</v>
      </c>
      <c r="O6303">
        <v>0.37889230000000002</v>
      </c>
      <c r="P6303">
        <v>0.82704599999999995</v>
      </c>
      <c r="Q6303">
        <v>-4.2044150000000004E-3</v>
      </c>
      <c r="R6303">
        <v>0.56211880000000003</v>
      </c>
      <c r="S6303">
        <v>2.0953219999999999</v>
      </c>
      <c r="T6303">
        <v>-0.3926984</v>
      </c>
      <c r="U6303">
        <v>2.2583009999999999</v>
      </c>
      <c r="V6303">
        <v>-0.2069551</v>
      </c>
      <c r="W6303">
        <v>5.1520280000000003E-3</v>
      </c>
      <c r="X6303">
        <v>0.97833689999999995</v>
      </c>
      <c r="Y6303">
        <v>-0.42023899999999997</v>
      </c>
      <c r="Z6303">
        <v>-2.2214100000000001E-2</v>
      </c>
      <c r="AA6303">
        <v>0.90714150000000005</v>
      </c>
      <c r="AB6303">
        <v>30</v>
      </c>
      <c r="AC6303">
        <v>5.8239999999999803</v>
      </c>
      <c r="AD6303">
        <v>-1.117851376153</v>
      </c>
      <c r="AE6303">
        <v>6.3659800000000004</v>
      </c>
      <c r="AF6303">
        <v>-3.6235392587847102</v>
      </c>
      <c r="AG6303">
        <v>-1.117851376153</v>
      </c>
      <c r="AH6303">
        <v>7.6731351450414804</v>
      </c>
      <c r="AI6303">
        <v>97.504568070424298</v>
      </c>
      <c r="AJ6303">
        <v>115.278420275242</v>
      </c>
      <c r="AK6303">
        <v>8.5590087868392803</v>
      </c>
      <c r="AL6303">
        <v>89.704809240657099</v>
      </c>
      <c r="AM6303">
        <v>101.94413331380601</v>
      </c>
      <c r="AN6303">
        <v>1.0000000233550601</v>
      </c>
    </row>
    <row r="6304" spans="1:40" x14ac:dyDescent="0.25">
      <c r="A6304" t="str">
        <f>"20190312151655329"</f>
        <v>20190312151655329</v>
      </c>
      <c r="B6304" t="str">
        <f>"1552375015324363"</f>
        <v>1552375015324363</v>
      </c>
      <c r="C6304" t="s">
        <v>40</v>
      </c>
      <c r="D6304">
        <v>4.6237649999999997</v>
      </c>
      <c r="E6304">
        <v>0.41433940000000002</v>
      </c>
      <c r="F6304" t="s">
        <v>41</v>
      </c>
      <c r="G6304">
        <v>-203.29169999999999</v>
      </c>
      <c r="H6304">
        <v>0.98510050000000005</v>
      </c>
      <c r="I6304">
        <v>-59.461120000000001</v>
      </c>
      <c r="J6304">
        <v>-203.86199999999999</v>
      </c>
      <c r="K6304">
        <v>1.1178669999999999</v>
      </c>
      <c r="L6304">
        <v>-60.165410000000001</v>
      </c>
      <c r="M6304">
        <v>0.92335610000000001</v>
      </c>
      <c r="N6304">
        <v>0</v>
      </c>
      <c r="O6304">
        <v>0.38369439999999999</v>
      </c>
      <c r="P6304">
        <v>0.82403110000000002</v>
      </c>
      <c r="Q6304">
        <v>-3.9297809999999898E-3</v>
      </c>
      <c r="R6304">
        <v>0.56653089999999995</v>
      </c>
      <c r="S6304">
        <v>2.0844879999999999</v>
      </c>
      <c r="T6304">
        <v>-0.39412950000000002</v>
      </c>
      <c r="U6304">
        <v>2.26709</v>
      </c>
      <c r="V6304">
        <v>-0.20710690000000001</v>
      </c>
      <c r="W6304">
        <v>5.4228669999999996E-3</v>
      </c>
      <c r="X6304">
        <v>0.97830329999999999</v>
      </c>
      <c r="Y6304">
        <v>-0.41965859999999999</v>
      </c>
      <c r="Z6304">
        <v>-2.3007159999999999E-2</v>
      </c>
      <c r="AA6304">
        <v>0.90739040000000004</v>
      </c>
      <c r="AB6304">
        <v>30</v>
      </c>
      <c r="AC6304">
        <v>0.57030000000000303</v>
      </c>
      <c r="AD6304">
        <v>-0.13276650000000001</v>
      </c>
      <c r="AE6304">
        <v>0.70428999999999997</v>
      </c>
      <c r="AF6304">
        <v>-0.42246361775003399</v>
      </c>
      <c r="AG6304">
        <v>-0.13276650000000001</v>
      </c>
      <c r="AH6304">
        <v>0.78015412291403796</v>
      </c>
      <c r="AI6304">
        <v>98.5110060802985</v>
      </c>
      <c r="AJ6304">
        <v>118.436122019151</v>
      </c>
      <c r="AK6304">
        <v>0.89707463866975401</v>
      </c>
      <c r="AL6304">
        <v>89.689291088630299</v>
      </c>
      <c r="AM6304">
        <v>101.953041064432</v>
      </c>
      <c r="AN6304">
        <v>1.00000001115249</v>
      </c>
    </row>
    <row r="6305" spans="1:40" x14ac:dyDescent="0.25">
      <c r="A6305" t="str">
        <f>"20190312151655341"</f>
        <v>20190312151655341</v>
      </c>
      <c r="B6305" t="str">
        <f>"1552375015334124"</f>
        <v>1552375015334124</v>
      </c>
      <c r="C6305" t="s">
        <v>40</v>
      </c>
      <c r="D6305">
        <v>4.6386329999999996</v>
      </c>
      <c r="E6305">
        <v>0.41473389999999999</v>
      </c>
      <c r="F6305" t="s">
        <v>64</v>
      </c>
      <c r="G6305">
        <v>-197.9759</v>
      </c>
      <c r="H6305" s="1">
        <v>-9.4065159999999992E-6</v>
      </c>
      <c r="I6305">
        <v>-53.709919999999997</v>
      </c>
      <c r="J6305">
        <v>-203.73089999999999</v>
      </c>
      <c r="K6305">
        <v>1.1178889999999999</v>
      </c>
      <c r="L6305">
        <v>-60.105440000000002</v>
      </c>
      <c r="M6305">
        <v>0.92134799999999994</v>
      </c>
      <c r="N6305">
        <v>0</v>
      </c>
      <c r="O6305">
        <v>0.38849119999999998</v>
      </c>
      <c r="P6305">
        <v>0.821019099999999</v>
      </c>
      <c r="Q6305">
        <v>-4.0953710000000004E-3</v>
      </c>
      <c r="R6305">
        <v>0.57088609999999995</v>
      </c>
      <c r="S6305">
        <v>2.0745390000000001</v>
      </c>
      <c r="T6305">
        <v>-0.39399099999999998</v>
      </c>
      <c r="U6305">
        <v>2.2752080000000001</v>
      </c>
      <c r="V6305">
        <v>-0.20719609999999999</v>
      </c>
      <c r="W6305">
        <v>5.2550239999999996E-3</v>
      </c>
      <c r="X6305">
        <v>0.97828530000000002</v>
      </c>
      <c r="Y6305">
        <v>-0.41875479999999998</v>
      </c>
      <c r="Z6305">
        <v>-2.3732650000000001E-2</v>
      </c>
      <c r="AA6305">
        <v>0.90778919999999996</v>
      </c>
      <c r="AB6305">
        <v>30</v>
      </c>
      <c r="AC6305">
        <v>5.7549999999999901</v>
      </c>
      <c r="AD6305">
        <v>-1.11789840651599</v>
      </c>
      <c r="AE6305">
        <v>6.3955200000000003</v>
      </c>
      <c r="AF6305">
        <v>-3.5963685164897901</v>
      </c>
      <c r="AG6305">
        <v>-1.11789840651599</v>
      </c>
      <c r="AH6305">
        <v>7.6584162871815096</v>
      </c>
      <c r="AI6305">
        <v>97.526707108317297</v>
      </c>
      <c r="AJ6305">
        <v>115.154604266097</v>
      </c>
      <c r="AK6305">
        <v>8.5343367276817208</v>
      </c>
      <c r="AL6305">
        <v>89.698907912840298</v>
      </c>
      <c r="AM6305">
        <v>101.958254703832</v>
      </c>
      <c r="AN6305">
        <v>0.99999998366427001</v>
      </c>
    </row>
    <row r="6306" spans="1:40" x14ac:dyDescent="0.25">
      <c r="A6306" t="str">
        <f>"20190312151655352"</f>
        <v>20190312151655352</v>
      </c>
      <c r="B6306" t="str">
        <f>"1552375015343883"</f>
        <v>1552375015343883</v>
      </c>
      <c r="C6306" t="s">
        <v>40</v>
      </c>
      <c r="D6306">
        <v>4.6362290000000002</v>
      </c>
      <c r="E6306">
        <v>0.41473389999999999</v>
      </c>
      <c r="F6306" t="s">
        <v>41</v>
      </c>
      <c r="G6306">
        <v>-203.01730000000001</v>
      </c>
      <c r="H6306">
        <v>0.98088339999999996</v>
      </c>
      <c r="I6306">
        <v>-59.31588</v>
      </c>
      <c r="J6306">
        <v>-203.5993</v>
      </c>
      <c r="K6306">
        <v>1.11791</v>
      </c>
      <c r="L6306">
        <v>-60.044829999999997</v>
      </c>
      <c r="M6306">
        <v>0.9193017</v>
      </c>
      <c r="N6306">
        <v>0</v>
      </c>
      <c r="O6306">
        <v>0.39330850000000001</v>
      </c>
      <c r="P6306">
        <v>0.81786449999999999</v>
      </c>
      <c r="Q6306">
        <v>-3.8344899999999999E-3</v>
      </c>
      <c r="R6306">
        <v>0.57539810000000002</v>
      </c>
      <c r="S6306">
        <v>2.064209</v>
      </c>
      <c r="T6306">
        <v>-0.39625440000000001</v>
      </c>
      <c r="U6306">
        <v>2.2835390000000002</v>
      </c>
      <c r="V6306">
        <v>-0.2074674</v>
      </c>
      <c r="W6306">
        <v>5.5096499999999996E-3</v>
      </c>
      <c r="X6306">
        <v>0.97822640000000005</v>
      </c>
      <c r="Y6306">
        <v>-0.41794249999999999</v>
      </c>
      <c r="Z6306">
        <v>-2.460327E-2</v>
      </c>
      <c r="AA6306">
        <v>0.90814030000000001</v>
      </c>
      <c r="AB6306">
        <v>30</v>
      </c>
      <c r="AC6306">
        <v>0.58199999999999297</v>
      </c>
      <c r="AD6306">
        <v>-0.137026599999999</v>
      </c>
      <c r="AE6306">
        <v>0.72894999999999699</v>
      </c>
      <c r="AF6306">
        <v>-0.431940833705381</v>
      </c>
      <c r="AG6306">
        <v>-0.137026599999999</v>
      </c>
      <c r="AH6306">
        <v>0.80445518372105995</v>
      </c>
      <c r="AI6306">
        <v>98.534700063207794</v>
      </c>
      <c r="AJ6306">
        <v>118.232945865167</v>
      </c>
      <c r="AK6306">
        <v>0.92330781191612599</v>
      </c>
      <c r="AL6306">
        <v>89.684318706185493</v>
      </c>
      <c r="AM6306">
        <v>101.974161198923</v>
      </c>
      <c r="AN6306">
        <v>0.99999998398142098</v>
      </c>
    </row>
    <row r="6307" spans="1:40" x14ac:dyDescent="0.25">
      <c r="A6307" t="str">
        <f>"20190312151655365"</f>
        <v>20190312151655365</v>
      </c>
      <c r="B6307" t="str">
        <f>"1552375015353643"</f>
        <v>1552375015353643</v>
      </c>
      <c r="C6307" t="s">
        <v>40</v>
      </c>
      <c r="D6307">
        <v>4.6148319999999998</v>
      </c>
      <c r="E6307">
        <v>0.42380659999999998</v>
      </c>
      <c r="F6307" t="s">
        <v>64</v>
      </c>
      <c r="G6307">
        <v>-197.80179999999999</v>
      </c>
      <c r="H6307" s="1">
        <v>-9.4397140000000004E-6</v>
      </c>
      <c r="I6307">
        <v>-53.559550000000002</v>
      </c>
      <c r="J6307">
        <v>-203.4563</v>
      </c>
      <c r="K6307">
        <v>1.1179300000000001</v>
      </c>
      <c r="L6307">
        <v>-59.977420000000002</v>
      </c>
      <c r="M6307">
        <v>0.91703210000000002</v>
      </c>
      <c r="N6307">
        <v>0</v>
      </c>
      <c r="O6307">
        <v>0.39857130000000002</v>
      </c>
      <c r="P6307">
        <v>0.81443069999999995</v>
      </c>
      <c r="Q6307">
        <v>-3.8447149999999999E-3</v>
      </c>
      <c r="R6307">
        <v>0.58024819999999999</v>
      </c>
      <c r="S6307">
        <v>2.0516359999999998</v>
      </c>
      <c r="T6307">
        <v>-0.39560990000000001</v>
      </c>
      <c r="U6307">
        <v>2.295013</v>
      </c>
      <c r="V6307">
        <v>-0.20767350000000001</v>
      </c>
      <c r="W6307">
        <v>5.4953469999999898E-3</v>
      </c>
      <c r="X6307">
        <v>0.97818269999999996</v>
      </c>
      <c r="Y6307">
        <v>-0.41779480000000002</v>
      </c>
      <c r="Z6307">
        <v>-2.5308899999999999E-2</v>
      </c>
      <c r="AA6307">
        <v>0.90818889999999997</v>
      </c>
      <c r="AB6307">
        <v>30</v>
      </c>
      <c r="AC6307">
        <v>5.6545000000000103</v>
      </c>
      <c r="AD6307">
        <v>-1.1179394397139999</v>
      </c>
      <c r="AE6307">
        <v>6.41786999999999</v>
      </c>
      <c r="AF6307">
        <v>-3.5710204394384699</v>
      </c>
      <c r="AG6307">
        <v>-1.1179394397139999</v>
      </c>
      <c r="AH6307">
        <v>7.6140187326020499</v>
      </c>
      <c r="AI6307">
        <v>97.572063317644506</v>
      </c>
      <c r="AJ6307">
        <v>115.12685893250701</v>
      </c>
      <c r="AK6307">
        <v>8.4838232436897396</v>
      </c>
      <c r="AL6307">
        <v>89.6851382056647</v>
      </c>
      <c r="AM6307">
        <v>101.98623257074</v>
      </c>
      <c r="AN6307">
        <v>0.99999993801009301</v>
      </c>
    </row>
    <row r="6308" spans="1:40" x14ac:dyDescent="0.25">
      <c r="A6308" t="str">
        <f>"20190312151655376"</f>
        <v>20190312151655376</v>
      </c>
      <c r="B6308" t="str">
        <f>"1552375015364379"</f>
        <v>1552375015364379</v>
      </c>
      <c r="C6308" t="s">
        <v>40</v>
      </c>
      <c r="D6308">
        <v>4.6335839999999999</v>
      </c>
      <c r="E6308">
        <v>0.42415950000000002</v>
      </c>
      <c r="F6308" t="s">
        <v>64</v>
      </c>
      <c r="G6308">
        <v>-198.00559999999999</v>
      </c>
      <c r="H6308" s="1">
        <v>-9.2796539999999994E-6</v>
      </c>
      <c r="I6308">
        <v>-54.080889999999997</v>
      </c>
      <c r="J6308">
        <v>-203.32310000000001</v>
      </c>
      <c r="K6308">
        <v>1.1179460000000001</v>
      </c>
      <c r="L6308">
        <v>-59.914149999999999</v>
      </c>
      <c r="M6308">
        <v>0.91488619999999998</v>
      </c>
      <c r="N6308">
        <v>0</v>
      </c>
      <c r="O6308">
        <v>0.40347240000000001</v>
      </c>
      <c r="P6308">
        <v>0.81119209999999997</v>
      </c>
      <c r="Q6308">
        <v>-3.8554069999999999E-3</v>
      </c>
      <c r="R6308">
        <v>0.58476709999999998</v>
      </c>
      <c r="S6308">
        <v>2.0791019999999998</v>
      </c>
      <c r="T6308">
        <v>-0.42642760000000002</v>
      </c>
      <c r="U6308">
        <v>2.2491759999999998</v>
      </c>
      <c r="V6308">
        <v>-0.2078779</v>
      </c>
      <c r="W6308">
        <v>5.4810419999999898E-3</v>
      </c>
      <c r="X6308">
        <v>0.97813950000000005</v>
      </c>
      <c r="Y6308">
        <v>-0.3978623</v>
      </c>
      <c r="Z6308">
        <v>-2.9584059999999999E-2</v>
      </c>
      <c r="AA6308">
        <v>0.91696800000000001</v>
      </c>
      <c r="AB6308">
        <v>30</v>
      </c>
      <c r="AC6308">
        <v>5.3175000000000203</v>
      </c>
      <c r="AD6308">
        <v>-1.117955279654</v>
      </c>
      <c r="AE6308">
        <v>5.8332599999999903</v>
      </c>
      <c r="AF6308">
        <v>-3.1288467771126398</v>
      </c>
      <c r="AG6308">
        <v>-1.117955279654</v>
      </c>
      <c r="AH6308">
        <v>7.07719238294544</v>
      </c>
      <c r="AI6308">
        <v>98.221001207403702</v>
      </c>
      <c r="AJ6308">
        <v>113.850357265738</v>
      </c>
      <c r="AK6308">
        <v>7.8183219546892202</v>
      </c>
      <c r="AL6308">
        <v>89.685957876356895</v>
      </c>
      <c r="AM6308">
        <v>101.998202709377</v>
      </c>
      <c r="AN6308">
        <v>1.00000007229503</v>
      </c>
    </row>
    <row r="6309" spans="1:40" x14ac:dyDescent="0.25">
      <c r="A6309" t="str">
        <f>"20190312151655387"</f>
        <v>20190312151655387</v>
      </c>
      <c r="B6309" t="str">
        <f>"1552375015383899"</f>
        <v>1552375015383899</v>
      </c>
      <c r="C6309" t="s">
        <v>40</v>
      </c>
      <c r="D6309">
        <v>4.6355579999999996</v>
      </c>
      <c r="E6309">
        <v>0.42458950000000001</v>
      </c>
      <c r="F6309" t="s">
        <v>64</v>
      </c>
      <c r="G6309">
        <v>-197.91739999999999</v>
      </c>
      <c r="H6309" s="1">
        <v>-9.2938159999999994E-6</v>
      </c>
      <c r="I6309">
        <v>-54.012259999999998</v>
      </c>
      <c r="J6309">
        <v>-203.18389999999999</v>
      </c>
      <c r="K6309">
        <v>1.1179619999999999</v>
      </c>
      <c r="L6309">
        <v>-59.8467699999999</v>
      </c>
      <c r="M6309">
        <v>0.91260260000000004</v>
      </c>
      <c r="N6309">
        <v>0</v>
      </c>
      <c r="O6309">
        <v>0.40861120000000001</v>
      </c>
      <c r="P6309">
        <v>0.80757579999999995</v>
      </c>
      <c r="Q6309">
        <v>-3.9796659999999998E-3</v>
      </c>
      <c r="R6309">
        <v>0.58975040000000001</v>
      </c>
      <c r="S6309">
        <v>2.0683590000000001</v>
      </c>
      <c r="T6309">
        <v>-0.4277571</v>
      </c>
      <c r="U6309">
        <v>2.2582089999999999</v>
      </c>
      <c r="V6309">
        <v>-0.20839759999999999</v>
      </c>
      <c r="W6309">
        <v>5.3465750000000001E-3</v>
      </c>
      <c r="X6309">
        <v>0.97802960000000005</v>
      </c>
      <c r="Y6309">
        <v>-0.39694819999999997</v>
      </c>
      <c r="Z6309">
        <v>-3.0526080000000001E-2</v>
      </c>
      <c r="AA6309">
        <v>0.91733319999999996</v>
      </c>
      <c r="AB6309">
        <v>30</v>
      </c>
      <c r="AC6309">
        <v>5.2664999999999997</v>
      </c>
      <c r="AD6309">
        <v>-1.117971293816</v>
      </c>
      <c r="AE6309">
        <v>5.8345099999999901</v>
      </c>
      <c r="AF6309">
        <v>-3.1100240791106</v>
      </c>
      <c r="AG6309">
        <v>-1.117971293816</v>
      </c>
      <c r="AH6309">
        <v>7.0483632168045904</v>
      </c>
      <c r="AI6309">
        <v>98.256875341376201</v>
      </c>
      <c r="AJ6309">
        <v>113.809019583699</v>
      </c>
      <c r="AK6309">
        <v>7.7846986853987001</v>
      </c>
      <c r="AL6309">
        <v>89.693662364893797</v>
      </c>
      <c r="AM6309">
        <v>102.028638251849</v>
      </c>
      <c r="AN6309">
        <v>1.00000002201307</v>
      </c>
    </row>
    <row r="6310" spans="1:40" x14ac:dyDescent="0.25">
      <c r="A6310" t="str">
        <f>"20190312151655398"</f>
        <v>20190312151655398</v>
      </c>
      <c r="B6310" t="str">
        <f>"1552375015393660"</f>
        <v>1552375015393660</v>
      </c>
      <c r="C6310" t="s">
        <v>40</v>
      </c>
      <c r="D6310">
        <v>4.5733449999999998</v>
      </c>
      <c r="E6310">
        <v>0.406416</v>
      </c>
      <c r="F6310" t="s">
        <v>64</v>
      </c>
      <c r="G6310">
        <v>-197.81739999999999</v>
      </c>
      <c r="H6310" s="1">
        <v>-9.3122310000000002E-6</v>
      </c>
      <c r="I6310">
        <v>-53.92774</v>
      </c>
      <c r="J6310">
        <v>-203.0641</v>
      </c>
      <c r="K6310">
        <v>1.117972</v>
      </c>
      <c r="L6310">
        <v>-59.7881199999999</v>
      </c>
      <c r="M6310">
        <v>0.9106071</v>
      </c>
      <c r="N6310">
        <v>0</v>
      </c>
      <c r="O6310">
        <v>0.41303889999999999</v>
      </c>
      <c r="P6310">
        <v>0.80464349999999996</v>
      </c>
      <c r="Q6310">
        <v>-4.0840130000000001E-3</v>
      </c>
      <c r="R6310">
        <v>0.59374419999999895</v>
      </c>
      <c r="S6310">
        <v>2.0563959999999999</v>
      </c>
      <c r="T6310">
        <v>-0.4283923</v>
      </c>
      <c r="U6310">
        <v>2.268097</v>
      </c>
      <c r="V6310">
        <v>-0.20849090000000001</v>
      </c>
      <c r="W6310">
        <v>5.2421489999999998E-3</v>
      </c>
      <c r="X6310">
        <v>0.97801020000000005</v>
      </c>
      <c r="Y6310">
        <v>-0.39716750000000001</v>
      </c>
      <c r="Z6310">
        <v>-3.1235450000000001E-2</v>
      </c>
      <c r="AA6310">
        <v>0.91721450000000004</v>
      </c>
      <c r="AB6310">
        <v>30</v>
      </c>
      <c r="AC6310">
        <v>5.2466999999999997</v>
      </c>
      <c r="AD6310">
        <v>-1.1179813122310001</v>
      </c>
      <c r="AE6310">
        <v>5.8603799999999904</v>
      </c>
      <c r="AF6310">
        <v>-3.1069552583434801</v>
      </c>
      <c r="AG6310">
        <v>-1.1179813122310001</v>
      </c>
      <c r="AH6310">
        <v>7.0563968403465402</v>
      </c>
      <c r="AI6310">
        <v>98.250491432740702</v>
      </c>
      <c r="AJ6310">
        <v>113.76405503787799</v>
      </c>
      <c r="AK6310">
        <v>7.7907502565734097</v>
      </c>
      <c r="AL6310">
        <v>89.699645594082796</v>
      </c>
      <c r="AM6310">
        <v>102.034098296129</v>
      </c>
      <c r="AN6310">
        <v>0.99999994340649201</v>
      </c>
    </row>
    <row r="6311" spans="1:40" x14ac:dyDescent="0.25">
      <c r="A6311" t="str">
        <f>"20190312151655407"</f>
        <v>20190312151655407</v>
      </c>
      <c r="B6311" t="str">
        <f>"1552375015404396"</f>
        <v>1552375015404396</v>
      </c>
      <c r="C6311" t="s">
        <v>40</v>
      </c>
      <c r="D6311">
        <v>4.608473</v>
      </c>
      <c r="E6311">
        <v>0.406416</v>
      </c>
      <c r="F6311" t="s">
        <v>41</v>
      </c>
      <c r="G6311">
        <v>-202.4136</v>
      </c>
      <c r="H6311">
        <v>0.99058659999999998</v>
      </c>
      <c r="I6311">
        <v>-58.994079999999997</v>
      </c>
      <c r="J6311">
        <v>-202.9487</v>
      </c>
      <c r="K6311">
        <v>1.117974</v>
      </c>
      <c r="L6311">
        <v>-59.730899999999998</v>
      </c>
      <c r="M6311">
        <v>0.90865859999999998</v>
      </c>
      <c r="N6311">
        <v>0</v>
      </c>
      <c r="O6311">
        <v>0.41730800000000001</v>
      </c>
      <c r="P6311">
        <v>0.80160949999999997</v>
      </c>
      <c r="Q6311">
        <v>-4.4522119999999997E-3</v>
      </c>
      <c r="R6311">
        <v>0.59783140000000001</v>
      </c>
      <c r="S6311">
        <v>1.9602809999999999</v>
      </c>
      <c r="T6311">
        <v>-0.38393270000000002</v>
      </c>
      <c r="U6311">
        <v>2.3934630000000001</v>
      </c>
      <c r="V6311">
        <v>-0.2088709</v>
      </c>
      <c r="W6311">
        <v>4.8673600000000003E-3</v>
      </c>
      <c r="X6311">
        <v>0.97793110000000005</v>
      </c>
      <c r="Y6311">
        <v>-0.43830390000000002</v>
      </c>
      <c r="Z6311">
        <v>-2.564926E-2</v>
      </c>
      <c r="AA6311">
        <v>0.89846079999999995</v>
      </c>
      <c r="AB6311">
        <v>30</v>
      </c>
      <c r="AC6311">
        <v>0.53509999999999902</v>
      </c>
      <c r="AD6311">
        <v>-0.12738740000000001</v>
      </c>
      <c r="AE6311">
        <v>0.73681999999999404</v>
      </c>
      <c r="AF6311">
        <v>-0.43769415343385398</v>
      </c>
      <c r="AG6311">
        <v>-0.12738740000000001</v>
      </c>
      <c r="AH6311">
        <v>0.77854535641143996</v>
      </c>
      <c r="AI6311">
        <v>98.117224967830595</v>
      </c>
      <c r="AJ6311">
        <v>119.344468306046</v>
      </c>
      <c r="AK6311">
        <v>0.902184345695908</v>
      </c>
      <c r="AL6311">
        <v>89.721119710721993</v>
      </c>
      <c r="AM6311">
        <v>102.056337393549</v>
      </c>
      <c r="AN6311">
        <v>0.99999999020369401</v>
      </c>
    </row>
    <row r="6312" spans="1:40" x14ac:dyDescent="0.25">
      <c r="A6312" t="str">
        <f>"20190312151655419"</f>
        <v>20190312151655419</v>
      </c>
      <c r="B6312" t="str">
        <f>"1552375015414155"</f>
        <v>1552375015414155</v>
      </c>
      <c r="C6312" t="s">
        <v>40</v>
      </c>
      <c r="D6312">
        <v>4.6310260000000003</v>
      </c>
      <c r="E6312">
        <v>0.39499099999999998</v>
      </c>
      <c r="F6312" t="s">
        <v>64</v>
      </c>
      <c r="G6312">
        <v>-197.29050000000001</v>
      </c>
      <c r="H6312" s="1">
        <v>-9.6704729999999995E-6</v>
      </c>
      <c r="I6312">
        <v>-52.749099999999999</v>
      </c>
      <c r="J6312">
        <v>-202.81110000000001</v>
      </c>
      <c r="K6312">
        <v>1.117982</v>
      </c>
      <c r="L6312">
        <v>-59.661799999999999</v>
      </c>
      <c r="M6312">
        <v>0.90630089999999996</v>
      </c>
      <c r="N6312">
        <v>0</v>
      </c>
      <c r="O6312">
        <v>0.42240339999999998</v>
      </c>
      <c r="P6312">
        <v>0.79812459999999996</v>
      </c>
      <c r="Q6312">
        <v>-4.6087080000000004E-3</v>
      </c>
      <c r="R6312">
        <v>0.60247469999999903</v>
      </c>
      <c r="S6312">
        <v>1.947845</v>
      </c>
      <c r="T6312">
        <v>-0.38486429999999999</v>
      </c>
      <c r="U6312">
        <v>2.403473</v>
      </c>
      <c r="V6312">
        <v>-0.2090544</v>
      </c>
      <c r="W6312">
        <v>4.7095289999999996E-3</v>
      </c>
      <c r="X6312">
        <v>0.97789269999999995</v>
      </c>
      <c r="Y6312">
        <v>-0.43792569999999997</v>
      </c>
      <c r="Z6312">
        <v>-2.6434599999999999E-2</v>
      </c>
      <c r="AA6312">
        <v>0.89862249999999999</v>
      </c>
      <c r="AB6312">
        <v>30</v>
      </c>
      <c r="AC6312">
        <v>5.5206</v>
      </c>
      <c r="AD6312">
        <v>-1.117991670473</v>
      </c>
      <c r="AE6312">
        <v>6.9127000000000001</v>
      </c>
      <c r="AF6312">
        <v>-3.87161530186405</v>
      </c>
      <c r="AG6312">
        <v>-1.117991670473</v>
      </c>
      <c r="AH6312">
        <v>7.7994785193379697</v>
      </c>
      <c r="AI6312">
        <v>97.316377695367507</v>
      </c>
      <c r="AJ6312">
        <v>116.39953168698401</v>
      </c>
      <c r="AK6312">
        <v>8.7790190565056498</v>
      </c>
      <c r="AL6312">
        <v>89.730162874674406</v>
      </c>
      <c r="AM6312">
        <v>102.06707893683399</v>
      </c>
      <c r="AN6312">
        <v>1.0000000272680201</v>
      </c>
    </row>
    <row r="6313" spans="1:40" x14ac:dyDescent="0.25">
      <c r="A6313" t="str">
        <f>"20190312151655430"</f>
        <v>20190312151655430</v>
      </c>
      <c r="B6313" t="str">
        <f>"1552375015423915"</f>
        <v>1552375015423915</v>
      </c>
      <c r="C6313" t="s">
        <v>40</v>
      </c>
      <c r="D6313">
        <v>4.6307749999999999</v>
      </c>
      <c r="E6313">
        <v>0.39502989999999999</v>
      </c>
      <c r="F6313" t="s">
        <v>64</v>
      </c>
      <c r="G6313">
        <v>-198.26759999999999</v>
      </c>
      <c r="H6313" s="1">
        <v>-9.4657860000000001E-6</v>
      </c>
      <c r="I6313">
        <v>-53.634540000000001</v>
      </c>
      <c r="J6313">
        <v>-202.67859999999999</v>
      </c>
      <c r="K6313">
        <v>1.1179870000000001</v>
      </c>
      <c r="L6313">
        <v>-59.59451</v>
      </c>
      <c r="M6313">
        <v>0.90399660000000004</v>
      </c>
      <c r="N6313">
        <v>0</v>
      </c>
      <c r="O6313">
        <v>0.42731249999999998</v>
      </c>
      <c r="P6313">
        <v>0.79480490000000004</v>
      </c>
      <c r="Q6313">
        <v>-4.9446330000000004E-3</v>
      </c>
      <c r="R6313">
        <v>0.60684479999999996</v>
      </c>
      <c r="S6313">
        <v>1.8767849999999999</v>
      </c>
      <c r="T6313">
        <v>-0.46180399999999999</v>
      </c>
      <c r="U6313">
        <v>2.489655</v>
      </c>
      <c r="V6313">
        <v>-0.20911060000000001</v>
      </c>
      <c r="W6313">
        <v>4.3757459999999998E-3</v>
      </c>
      <c r="X6313">
        <v>0.97788220000000003</v>
      </c>
      <c r="Y6313">
        <v>-0.46409450000000002</v>
      </c>
      <c r="Z6313">
        <v>-3.015644E-2</v>
      </c>
      <c r="AA6313">
        <v>0.88527219999999995</v>
      </c>
      <c r="AB6313">
        <v>30</v>
      </c>
      <c r="AC6313">
        <v>4.4109999999999996</v>
      </c>
      <c r="AD6313">
        <v>-1.117996465786</v>
      </c>
      <c r="AE6313">
        <v>5.9599699999999904</v>
      </c>
      <c r="AF6313">
        <v>-3.4253820318246202</v>
      </c>
      <c r="AG6313">
        <v>-1.117996465786</v>
      </c>
      <c r="AH6313">
        <v>6.3896655726890401</v>
      </c>
      <c r="AI6313">
        <v>98.766442568495705</v>
      </c>
      <c r="AJ6313">
        <v>118.19493937543901</v>
      </c>
      <c r="AK6313">
        <v>7.3355970644702504</v>
      </c>
      <c r="AL6313">
        <v>89.749287420305606</v>
      </c>
      <c r="AM6313">
        <v>102.070353609547</v>
      </c>
      <c r="AN6313">
        <v>0.99999999363112801</v>
      </c>
    </row>
    <row r="6314" spans="1:40" x14ac:dyDescent="0.25">
      <c r="A6314" t="str">
        <f>"20190312151655441"</f>
        <v>20190312151655441</v>
      </c>
      <c r="B6314" t="str">
        <f>"1552375015433675"</f>
        <v>1552375015433675</v>
      </c>
      <c r="C6314" t="s">
        <v>40</v>
      </c>
      <c r="D6314">
        <v>4.5753539999999999</v>
      </c>
      <c r="E6314">
        <v>0.39555940000000001</v>
      </c>
      <c r="F6314" t="s">
        <v>41</v>
      </c>
      <c r="G6314">
        <v>-202.11940000000001</v>
      </c>
      <c r="H6314">
        <v>0.98044229999999999</v>
      </c>
      <c r="I6314">
        <v>-58.844180000000001</v>
      </c>
      <c r="J6314">
        <v>-202.55760000000001</v>
      </c>
      <c r="K6314">
        <v>1.117991</v>
      </c>
      <c r="L6314">
        <v>-59.531889999999997</v>
      </c>
      <c r="M6314">
        <v>0.90185899999999997</v>
      </c>
      <c r="N6314">
        <v>0</v>
      </c>
      <c r="O6314">
        <v>0.43180580000000002</v>
      </c>
      <c r="P6314">
        <v>0.79167959999999904</v>
      </c>
      <c r="Q6314">
        <v>-5.1481030000000002E-3</v>
      </c>
      <c r="R6314">
        <v>0.61091490000000004</v>
      </c>
      <c r="S6314">
        <v>1.8632660000000001</v>
      </c>
      <c r="T6314">
        <v>-0.45821879999999998</v>
      </c>
      <c r="U6314">
        <v>2.4994809999999998</v>
      </c>
      <c r="V6314">
        <v>-0.2092581</v>
      </c>
      <c r="W6314">
        <v>4.1721390000000001E-3</v>
      </c>
      <c r="X6314">
        <v>0.97785149999999998</v>
      </c>
      <c r="Y6314">
        <v>-0.46447559999999899</v>
      </c>
      <c r="Z6314">
        <v>-3.0629900000000002E-2</v>
      </c>
      <c r="AA6314">
        <v>0.88505610000000001</v>
      </c>
      <c r="AB6314">
        <v>30</v>
      </c>
      <c r="AC6314">
        <v>0.43819999999999398</v>
      </c>
      <c r="AD6314">
        <v>-0.137548699999999</v>
      </c>
      <c r="AE6314">
        <v>0.68771000000000204</v>
      </c>
      <c r="AF6314">
        <v>-0.41911721097347898</v>
      </c>
      <c r="AG6314">
        <v>-0.137548699999999</v>
      </c>
      <c r="AH6314">
        <v>0.673068728458321</v>
      </c>
      <c r="AI6314">
        <v>99.841544187316401</v>
      </c>
      <c r="AJ6314">
        <v>121.910357102498</v>
      </c>
      <c r="AK6314">
        <v>0.80473622674413003</v>
      </c>
      <c r="AL6314">
        <v>89.760953340116401</v>
      </c>
      <c r="AM6314">
        <v>102.078985796355</v>
      </c>
      <c r="AN6314">
        <v>0.99999995760584603</v>
      </c>
    </row>
    <row r="6315" spans="1:40" x14ac:dyDescent="0.25">
      <c r="A6315" t="str">
        <f>"20190312151655452"</f>
        <v>20190312151655452</v>
      </c>
      <c r="B6315" t="str">
        <f>"1552375015444413"</f>
        <v>1552375015444413</v>
      </c>
      <c r="C6315" t="s">
        <v>40</v>
      </c>
      <c r="D6315">
        <v>4.6073469999999999</v>
      </c>
      <c r="E6315">
        <v>0.39560640000000002</v>
      </c>
      <c r="F6315" t="s">
        <v>41</v>
      </c>
      <c r="G6315">
        <v>-201.9699</v>
      </c>
      <c r="H6315">
        <v>0.97331659999999998</v>
      </c>
      <c r="I6315">
        <v>-58.73751</v>
      </c>
      <c r="J6315">
        <v>-202.4263</v>
      </c>
      <c r="K6315">
        <v>1.1179969999999999</v>
      </c>
      <c r="L6315">
        <v>-59.463619999999999</v>
      </c>
      <c r="M6315">
        <v>0.89951119999999996</v>
      </c>
      <c r="N6315">
        <v>0</v>
      </c>
      <c r="O6315">
        <v>0.43667529999999999</v>
      </c>
      <c r="P6315">
        <v>0.78818319999999997</v>
      </c>
      <c r="Q6315">
        <v>-5.3360639999999997E-3</v>
      </c>
      <c r="R6315">
        <v>0.61541780000000001</v>
      </c>
      <c r="S6315">
        <v>1.852997</v>
      </c>
      <c r="T6315">
        <v>-0.45623089999999999</v>
      </c>
      <c r="U6315">
        <v>2.5055239999999999</v>
      </c>
      <c r="V6315">
        <v>-0.20954229999999999</v>
      </c>
      <c r="W6315">
        <v>3.9814050000000004E-3</v>
      </c>
      <c r="X6315">
        <v>0.97779150000000004</v>
      </c>
      <c r="Y6315">
        <v>-0.46310869999999998</v>
      </c>
      <c r="Z6315">
        <v>-3.140971E-2</v>
      </c>
      <c r="AA6315">
        <v>0.8857448</v>
      </c>
      <c r="AB6315">
        <v>30</v>
      </c>
      <c r="AC6315">
        <v>0.45640000000000203</v>
      </c>
      <c r="AD6315">
        <v>-0.14468039999999899</v>
      </c>
      <c r="AE6315">
        <v>0.72610999999999803</v>
      </c>
      <c r="AF6315">
        <v>-0.44132988929641298</v>
      </c>
      <c r="AG6315">
        <v>-0.14468039999999899</v>
      </c>
      <c r="AH6315">
        <v>0.70754606421122301</v>
      </c>
      <c r="AI6315">
        <v>99.842721294372495</v>
      </c>
      <c r="AJ6315">
        <v>121.953737704448</v>
      </c>
      <c r="AK6315">
        <v>0.846360397414326</v>
      </c>
      <c r="AL6315">
        <v>89.771881699373196</v>
      </c>
      <c r="AM6315">
        <v>102.09562825634301</v>
      </c>
      <c r="AN6315">
        <v>1.00000002227365</v>
      </c>
    </row>
    <row r="6316" spans="1:40" x14ac:dyDescent="0.25">
      <c r="A6316" t="str">
        <f>"20190312151655463"</f>
        <v>20190312151655463</v>
      </c>
      <c r="B6316" t="str">
        <f>"1552375015454172"</f>
        <v>1552375015454172</v>
      </c>
      <c r="C6316" t="s">
        <v>40</v>
      </c>
      <c r="D6316">
        <v>4.5787309999999897</v>
      </c>
      <c r="E6316">
        <v>0.39591890000000002</v>
      </c>
      <c r="F6316" t="s">
        <v>64</v>
      </c>
      <c r="G6316">
        <v>-198.0138</v>
      </c>
      <c r="H6316" s="1">
        <v>-9.5107830000000007E-6</v>
      </c>
      <c r="I6316">
        <v>-53.42503</v>
      </c>
      <c r="J6316">
        <v>-202.29669999999999</v>
      </c>
      <c r="K6316">
        <v>1.117999</v>
      </c>
      <c r="L6316">
        <v>-59.394680000000001</v>
      </c>
      <c r="M6316">
        <v>0.89715460000000002</v>
      </c>
      <c r="N6316">
        <v>0</v>
      </c>
      <c r="O6316">
        <v>0.44149670000000002</v>
      </c>
      <c r="P6316">
        <v>0.78483139999999996</v>
      </c>
      <c r="Q6316">
        <v>-5.3251469999999997E-3</v>
      </c>
      <c r="R6316">
        <v>0.61968650000000003</v>
      </c>
      <c r="S6316">
        <v>1.838516</v>
      </c>
      <c r="T6316">
        <v>-0.46583039999999998</v>
      </c>
      <c r="U6316">
        <v>2.5160520000000002</v>
      </c>
      <c r="V6316">
        <v>-0.2096015</v>
      </c>
      <c r="W6316">
        <v>3.9952340000000003E-3</v>
      </c>
      <c r="X6316">
        <v>0.9777787</v>
      </c>
      <c r="Y6316">
        <v>-0.46345809999999998</v>
      </c>
      <c r="Z6316">
        <v>-3.2836589999999999E-2</v>
      </c>
      <c r="AA6316">
        <v>0.88551029999999997</v>
      </c>
      <c r="AB6316">
        <v>30</v>
      </c>
      <c r="AC6316">
        <v>4.2828999999999802</v>
      </c>
      <c r="AD6316">
        <v>-1.118008510783</v>
      </c>
      <c r="AE6316">
        <v>5.9696499999999997</v>
      </c>
      <c r="AF6316">
        <v>-3.3867273690089901</v>
      </c>
      <c r="AG6316">
        <v>-1.118008510783</v>
      </c>
      <c r="AH6316">
        <v>6.3320115102037997</v>
      </c>
      <c r="AI6316">
        <v>98.849533272090994</v>
      </c>
      <c r="AJ6316">
        <v>118.140457862172</v>
      </c>
      <c r="AK6316">
        <v>7.2673403021690897</v>
      </c>
      <c r="AL6316">
        <v>89.771089337429899</v>
      </c>
      <c r="AM6316">
        <v>102.09909856787399</v>
      </c>
      <c r="AN6316">
        <v>0.99999996843532601</v>
      </c>
    </row>
    <row r="6317" spans="1:40" x14ac:dyDescent="0.25">
      <c r="A6317" t="str">
        <f>"20190312151655474"</f>
        <v>20190312151655474</v>
      </c>
      <c r="B6317" t="str">
        <f>"1552375015463932"</f>
        <v>1552375015463932</v>
      </c>
      <c r="C6317" t="s">
        <v>40</v>
      </c>
      <c r="D6317">
        <v>4.5799149999999997</v>
      </c>
      <c r="E6317">
        <v>0.3965534</v>
      </c>
      <c r="F6317" t="s">
        <v>41</v>
      </c>
      <c r="G6317">
        <v>-201.7379</v>
      </c>
      <c r="H6317">
        <v>0.97306530000000002</v>
      </c>
      <c r="I6317">
        <v>-58.622439999999997</v>
      </c>
      <c r="J6317">
        <v>-202.16820000000001</v>
      </c>
      <c r="K6317">
        <v>1.1179939999999999</v>
      </c>
      <c r="L6317">
        <v>-59.325960000000002</v>
      </c>
      <c r="M6317">
        <v>0.89478999999999997</v>
      </c>
      <c r="N6317">
        <v>0</v>
      </c>
      <c r="O6317">
        <v>0.44626939999999998</v>
      </c>
      <c r="P6317">
        <v>0.78137869999999998</v>
      </c>
      <c r="Q6317">
        <v>-5.2756060000000004E-3</v>
      </c>
      <c r="R6317">
        <v>0.62403489999999995</v>
      </c>
      <c r="S6317">
        <v>1.8261719999999999</v>
      </c>
      <c r="T6317">
        <v>-0.47370970000000001</v>
      </c>
      <c r="U6317">
        <v>2.5242610000000001</v>
      </c>
      <c r="V6317">
        <v>-0.20982339999999999</v>
      </c>
      <c r="W6317">
        <v>4.0433930000000002E-3</v>
      </c>
      <c r="X6317">
        <v>0.97773089999999996</v>
      </c>
      <c r="Y6317">
        <v>-0.46297769999999999</v>
      </c>
      <c r="Z6317">
        <v>-3.4237709999999998E-2</v>
      </c>
      <c r="AA6317">
        <v>0.88570849999999901</v>
      </c>
      <c r="AB6317">
        <v>30</v>
      </c>
      <c r="AC6317">
        <v>0.430300000000016</v>
      </c>
      <c r="AD6317">
        <v>-0.14492869999999999</v>
      </c>
      <c r="AE6317">
        <v>0.70351999999999004</v>
      </c>
      <c r="AF6317">
        <v>-0.42440796419097598</v>
      </c>
      <c r="AG6317">
        <v>-0.14492869999999999</v>
      </c>
      <c r="AH6317">
        <v>0.67811256951492704</v>
      </c>
      <c r="AI6317">
        <v>100.268710176008</v>
      </c>
      <c r="AJ6317">
        <v>122.04107180914301</v>
      </c>
      <c r="AK6317">
        <v>0.81299637458389395</v>
      </c>
      <c r="AL6317">
        <v>89.768330005773507</v>
      </c>
      <c r="AM6317">
        <v>102.11210423601401</v>
      </c>
      <c r="AN6317">
        <v>0.99999996051466</v>
      </c>
    </row>
    <row r="6318" spans="1:40" x14ac:dyDescent="0.25">
      <c r="A6318" t="str">
        <f>"20190312151655490"</f>
        <v>20190312151655490</v>
      </c>
      <c r="B6318" t="str">
        <f>"1552375015484427"</f>
        <v>1552375015484427</v>
      </c>
      <c r="C6318" t="s">
        <v>40</v>
      </c>
      <c r="D6318">
        <v>4.596298</v>
      </c>
      <c r="E6318">
        <v>0.3981789</v>
      </c>
      <c r="F6318" t="s">
        <v>64</v>
      </c>
      <c r="G6318">
        <v>-197.8107</v>
      </c>
      <c r="H6318" s="1">
        <v>-9.5485879999999992E-6</v>
      </c>
      <c r="I6318">
        <v>-53.252220000000001</v>
      </c>
      <c r="J6318">
        <v>-201.98560000000001</v>
      </c>
      <c r="K6318">
        <v>1.1179969999999999</v>
      </c>
      <c r="L6318">
        <v>-59.226590000000002</v>
      </c>
      <c r="M6318">
        <v>0.89137319999999998</v>
      </c>
      <c r="N6318">
        <v>0</v>
      </c>
      <c r="O6318">
        <v>0.4530554</v>
      </c>
      <c r="P6318">
        <v>0.77638160000000001</v>
      </c>
      <c r="Q6318">
        <v>-5.300969E-3</v>
      </c>
      <c r="R6318">
        <v>0.63024099999999905</v>
      </c>
      <c r="S6318">
        <v>1.8153840000000001</v>
      </c>
      <c r="T6318">
        <v>-0.46577469999999999</v>
      </c>
      <c r="U6318">
        <v>2.5303960000000001</v>
      </c>
      <c r="V6318">
        <v>-0.21018419999999999</v>
      </c>
      <c r="W6318">
        <v>4.0147840000000004E-3</v>
      </c>
      <c r="X6318">
        <v>0.97765360000000001</v>
      </c>
      <c r="Y6318">
        <v>-0.45985019999999999</v>
      </c>
      <c r="Z6318">
        <v>-3.5064409999999997E-2</v>
      </c>
      <c r="AA6318">
        <v>0.88730390000000003</v>
      </c>
      <c r="AB6318">
        <v>30</v>
      </c>
      <c r="AC6318">
        <v>4.1749000000000001</v>
      </c>
      <c r="AD6318">
        <v>-1.118006548588</v>
      </c>
      <c r="AE6318">
        <v>5.9743700000000004</v>
      </c>
      <c r="AF6318">
        <v>-3.3553185874537799</v>
      </c>
      <c r="AG6318">
        <v>-1.118006548588</v>
      </c>
      <c r="AH6318">
        <v>6.2809543967695403</v>
      </c>
      <c r="AI6318">
        <v>98.922684839841395</v>
      </c>
      <c r="AJ6318">
        <v>118.111365218736</v>
      </c>
      <c r="AK6318">
        <v>7.20822374793521</v>
      </c>
      <c r="AL6318">
        <v>89.769969212155004</v>
      </c>
      <c r="AM6318">
        <v>102.13324584329401</v>
      </c>
      <c r="AN6318">
        <v>1.00000003900658</v>
      </c>
    </row>
    <row r="6319" spans="1:40" x14ac:dyDescent="0.25">
      <c r="A6319" t="str">
        <f>"20190312151655502"</f>
        <v>20190312151655502</v>
      </c>
      <c r="B6319" t="str">
        <f>"1552375015494187"</f>
        <v>1552375015494187</v>
      </c>
      <c r="C6319" t="s">
        <v>40</v>
      </c>
      <c r="D6319">
        <v>4.5459440000000004</v>
      </c>
      <c r="E6319">
        <v>0.39880900000000002</v>
      </c>
      <c r="F6319" t="s">
        <v>41</v>
      </c>
      <c r="G6319">
        <v>-201.42840000000001</v>
      </c>
      <c r="H6319">
        <v>0.97695449999999995</v>
      </c>
      <c r="I6319">
        <v>-58.44379</v>
      </c>
      <c r="J6319">
        <v>-201.8554</v>
      </c>
      <c r="K6319">
        <v>1.1179969999999999</v>
      </c>
      <c r="L6319">
        <v>-59.154359999999997</v>
      </c>
      <c r="M6319">
        <v>0.88889319999999905</v>
      </c>
      <c r="N6319">
        <v>0</v>
      </c>
      <c r="O6319">
        <v>0.45790199999999998</v>
      </c>
      <c r="P6319">
        <v>0.77269840000000001</v>
      </c>
      <c r="Q6319">
        <v>-5.2610510000000001E-3</v>
      </c>
      <c r="R6319">
        <v>0.63475159999999997</v>
      </c>
      <c r="S6319">
        <v>1.8037259999999999</v>
      </c>
      <c r="T6319">
        <v>-0.4565823</v>
      </c>
      <c r="U6319">
        <v>2.5343019999999998</v>
      </c>
      <c r="V6319">
        <v>-0.21055479999999999</v>
      </c>
      <c r="W6319">
        <v>4.0500689999999999E-3</v>
      </c>
      <c r="X6319">
        <v>0.97757369999999999</v>
      </c>
      <c r="Y6319">
        <v>-0.45843149999999999</v>
      </c>
      <c r="Z6319">
        <v>-3.532387E-2</v>
      </c>
      <c r="AA6319">
        <v>0.88802739999999902</v>
      </c>
      <c r="AB6319">
        <v>30</v>
      </c>
      <c r="AC6319">
        <v>0.426999999999992</v>
      </c>
      <c r="AD6319">
        <v>-0.14104249999999899</v>
      </c>
      <c r="AE6319">
        <v>0.71056999999999704</v>
      </c>
      <c r="AF6319">
        <v>-0.423869693789513</v>
      </c>
      <c r="AG6319">
        <v>-0.14104249999999899</v>
      </c>
      <c r="AH6319">
        <v>0.68516448789423701</v>
      </c>
      <c r="AI6319">
        <v>99.929624807687105</v>
      </c>
      <c r="AJ6319">
        <v>121.74256447364699</v>
      </c>
      <c r="AK6319">
        <v>0.81792962997487595</v>
      </c>
      <c r="AL6319">
        <v>89.767947512798898</v>
      </c>
      <c r="AM6319">
        <v>102.154967721151</v>
      </c>
      <c r="AN6319">
        <v>1.0000000328968099</v>
      </c>
    </row>
    <row r="6320" spans="1:40" x14ac:dyDescent="0.25">
      <c r="A6320" t="str">
        <f>"20190312151655511"</f>
        <v>20190312151655511</v>
      </c>
      <c r="B6320" t="str">
        <f>"1552375015503947"</f>
        <v>1552375015503947</v>
      </c>
      <c r="C6320" t="s">
        <v>40</v>
      </c>
      <c r="D6320">
        <v>4.5903119999999999</v>
      </c>
      <c r="E6320">
        <v>0.39931719999999998</v>
      </c>
      <c r="F6320" t="s">
        <v>41</v>
      </c>
      <c r="G6320">
        <v>-201.2972</v>
      </c>
      <c r="H6320">
        <v>0.97713159999999999</v>
      </c>
      <c r="I6320">
        <v>-58.363100000000003</v>
      </c>
      <c r="J6320">
        <v>-201.74709999999999</v>
      </c>
      <c r="K6320">
        <v>1.1180000000000001</v>
      </c>
      <c r="L6320">
        <v>-59.094019999999901</v>
      </c>
      <c r="M6320">
        <v>0.88680820000000005</v>
      </c>
      <c r="N6320">
        <v>0</v>
      </c>
      <c r="O6320">
        <v>0.46192689999999997</v>
      </c>
      <c r="P6320">
        <v>0.76952019999999899</v>
      </c>
      <c r="Q6320">
        <v>-5.0453729999999997E-3</v>
      </c>
      <c r="R6320">
        <v>0.63860260000000002</v>
      </c>
      <c r="S6320">
        <v>1.7922819999999999</v>
      </c>
      <c r="T6320">
        <v>-0.45231569999999999</v>
      </c>
      <c r="U6320">
        <v>2.5407099999999998</v>
      </c>
      <c r="V6320">
        <v>-0.21100859999999999</v>
      </c>
      <c r="W6320">
        <v>4.2584449999999996E-3</v>
      </c>
      <c r="X6320">
        <v>0.97747490000000004</v>
      </c>
      <c r="Y6320">
        <v>-0.45816669999999998</v>
      </c>
      <c r="Z6320">
        <v>-3.5687660000000003E-2</v>
      </c>
      <c r="AA6320">
        <v>0.88814959999999898</v>
      </c>
      <c r="AB6320">
        <v>30</v>
      </c>
      <c r="AC6320">
        <v>0.44989999999998498</v>
      </c>
      <c r="AD6320">
        <v>-0.1408684</v>
      </c>
      <c r="AE6320">
        <v>0.73091999999999002</v>
      </c>
      <c r="AF6320">
        <v>-0.42885536644699301</v>
      </c>
      <c r="AG6320">
        <v>-0.1408684</v>
      </c>
      <c r="AH6320">
        <v>0.71735434585651703</v>
      </c>
      <c r="AI6320">
        <v>99.567220369732595</v>
      </c>
      <c r="AJ6320">
        <v>120.872214279066</v>
      </c>
      <c r="AK6320">
        <v>0.84756007985757398</v>
      </c>
      <c r="AL6320">
        <v>89.756008329907701</v>
      </c>
      <c r="AM6320">
        <v>102.181577817407</v>
      </c>
      <c r="AN6320">
        <v>0.999999971878893</v>
      </c>
    </row>
    <row r="6321" spans="1:40" x14ac:dyDescent="0.25">
      <c r="A6321" t="str">
        <f>"20190312151655520"</f>
        <v>20190312151655520</v>
      </c>
      <c r="B6321" t="str">
        <f>"1552375015513707"</f>
        <v>1552375015513707</v>
      </c>
      <c r="C6321" t="s">
        <v>40</v>
      </c>
      <c r="D6321">
        <v>4.590414</v>
      </c>
      <c r="E6321">
        <v>0.3997349</v>
      </c>
      <c r="F6321" t="s">
        <v>64</v>
      </c>
      <c r="G6321">
        <v>-197.2912</v>
      </c>
      <c r="H6321" s="1">
        <v>-9.6780499999999996E-6</v>
      </c>
      <c r="I6321">
        <v>-52.728450000000002</v>
      </c>
      <c r="J6321">
        <v>-201.64940000000001</v>
      </c>
      <c r="K6321">
        <v>1.117999</v>
      </c>
      <c r="L6321">
        <v>-59.038539999999998</v>
      </c>
      <c r="M6321">
        <v>0.88490340000000001</v>
      </c>
      <c r="N6321">
        <v>0</v>
      </c>
      <c r="O6321">
        <v>0.46556540000000002</v>
      </c>
      <c r="P6321">
        <v>0.76655059999999997</v>
      </c>
      <c r="Q6321">
        <v>-4.9281660000000003E-3</v>
      </c>
      <c r="R6321">
        <v>0.64216509999999905</v>
      </c>
      <c r="S6321">
        <v>1.7824549999999999</v>
      </c>
      <c r="T6321">
        <v>-0.44722640000000002</v>
      </c>
      <c r="U6321">
        <v>2.5463559999999998</v>
      </c>
      <c r="V6321">
        <v>-0.21152960000000001</v>
      </c>
      <c r="W6321">
        <v>4.3662099999999997E-3</v>
      </c>
      <c r="X6321">
        <v>0.97736190000000001</v>
      </c>
      <c r="Y6321">
        <v>-0.4577774</v>
      </c>
      <c r="Z6321">
        <v>-3.591747E-2</v>
      </c>
      <c r="AA6321">
        <v>0.88834099999999905</v>
      </c>
      <c r="AB6321">
        <v>30</v>
      </c>
      <c r="AC6321">
        <v>4.3582000000000098</v>
      </c>
      <c r="AD6321">
        <v>-1.11800867805</v>
      </c>
      <c r="AE6321">
        <v>6.3100899999999998</v>
      </c>
      <c r="AF6321">
        <v>-3.4811525891031398</v>
      </c>
      <c r="AG6321">
        <v>-1.11800867805</v>
      </c>
      <c r="AH6321">
        <v>6.6535952692559999</v>
      </c>
      <c r="AI6321">
        <v>98.468237631741303</v>
      </c>
      <c r="AJ6321">
        <v>117.618507229855</v>
      </c>
      <c r="AK6321">
        <v>7.59201532927064</v>
      </c>
      <c r="AL6321">
        <v>89.749833814564894</v>
      </c>
      <c r="AM6321">
        <v>102.212123247051</v>
      </c>
      <c r="AN6321">
        <v>1.0000000595187599</v>
      </c>
    </row>
    <row r="6322" spans="1:40" x14ac:dyDescent="0.25">
      <c r="A6322" t="str">
        <f>"20190312151655531"</f>
        <v>20190312151655531</v>
      </c>
      <c r="B6322" t="str">
        <f>"1552375015524444"</f>
        <v>1552375015524444</v>
      </c>
      <c r="C6322" t="s">
        <v>40</v>
      </c>
      <c r="D6322">
        <v>4.5787930000000001</v>
      </c>
      <c r="E6322">
        <v>0.40023419999999998</v>
      </c>
      <c r="F6322" t="s">
        <v>41</v>
      </c>
      <c r="G6322">
        <v>-201.0831</v>
      </c>
      <c r="H6322">
        <v>0.97536049999999996</v>
      </c>
      <c r="I6322">
        <v>-58.223260000000003</v>
      </c>
      <c r="J6322">
        <v>-201.5282</v>
      </c>
      <c r="K6322">
        <v>1.117998</v>
      </c>
      <c r="L6322">
        <v>-58.969540000000002</v>
      </c>
      <c r="M6322">
        <v>0.88251789999999997</v>
      </c>
      <c r="N6322">
        <v>0</v>
      </c>
      <c r="O6322">
        <v>0.47007169999999998</v>
      </c>
      <c r="P6322">
        <v>0.76291039999999999</v>
      </c>
      <c r="Q6322">
        <v>-5.0306120000000003E-3</v>
      </c>
      <c r="R6322">
        <v>0.64648470000000002</v>
      </c>
      <c r="S6322">
        <v>1.7727809999999999</v>
      </c>
      <c r="T6322">
        <v>-0.44652009999999998</v>
      </c>
      <c r="U6322">
        <v>2.5521240000000001</v>
      </c>
      <c r="V6322">
        <v>-0.21206420000000001</v>
      </c>
      <c r="W6322">
        <v>4.2541539999999996E-3</v>
      </c>
      <c r="X6322">
        <v>0.97724650000000002</v>
      </c>
      <c r="Y6322">
        <v>-0.45650069999999998</v>
      </c>
      <c r="Z6322">
        <v>-3.6691410000000001E-2</v>
      </c>
      <c r="AA6322">
        <v>0.88896620000000004</v>
      </c>
      <c r="AB6322">
        <v>29</v>
      </c>
      <c r="AC6322">
        <v>0.445099999999996</v>
      </c>
      <c r="AD6322">
        <v>-0.1426375</v>
      </c>
      <c r="AE6322">
        <v>0.74628000000000505</v>
      </c>
      <c r="AF6322">
        <v>-0.43762802165370701</v>
      </c>
      <c r="AG6322">
        <v>-0.1426375</v>
      </c>
      <c r="AH6322">
        <v>0.72417274814292998</v>
      </c>
      <c r="AI6322">
        <v>99.568692644517796</v>
      </c>
      <c r="AJ6322">
        <v>121.145173156962</v>
      </c>
      <c r="AK6322">
        <v>0.85807337151065999</v>
      </c>
      <c r="AL6322">
        <v>89.756254200610599</v>
      </c>
      <c r="AM6322">
        <v>102.243459359231</v>
      </c>
      <c r="AN6322">
        <v>1.00000002225507</v>
      </c>
    </row>
    <row r="6323" spans="1:40" x14ac:dyDescent="0.25">
      <c r="A6323" t="str">
        <f>"20190312151655542"</f>
        <v>20190312151655542</v>
      </c>
      <c r="B6323" t="str">
        <f>"1552375015534203"</f>
        <v>1552375015534203</v>
      </c>
      <c r="C6323" t="s">
        <v>40</v>
      </c>
      <c r="D6323">
        <v>4.6045680000000004</v>
      </c>
      <c r="E6323">
        <v>0.4007367</v>
      </c>
      <c r="F6323" t="s">
        <v>64</v>
      </c>
      <c r="G6323">
        <v>-197.1096</v>
      </c>
      <c r="H6323" s="1">
        <v>-9.7249060000000004E-6</v>
      </c>
      <c r="I6323">
        <v>-52.549709999999997</v>
      </c>
      <c r="J6323">
        <v>-201.4101</v>
      </c>
      <c r="K6323">
        <v>1.1179939999999999</v>
      </c>
      <c r="L6323">
        <v>-58.900970000000001</v>
      </c>
      <c r="M6323">
        <v>0.88015919999999903</v>
      </c>
      <c r="N6323">
        <v>0</v>
      </c>
      <c r="O6323">
        <v>0.47447309999999998</v>
      </c>
      <c r="P6323">
        <v>0.75937060000000001</v>
      </c>
      <c r="Q6323">
        <v>-5.30483E-3</v>
      </c>
      <c r="R6323">
        <v>0.65063669999999996</v>
      </c>
      <c r="S6323">
        <v>1.7611239999999999</v>
      </c>
      <c r="T6323">
        <v>-0.44560850000000002</v>
      </c>
      <c r="U6323">
        <v>2.5587770000000001</v>
      </c>
      <c r="V6323">
        <v>-0.21251039999999999</v>
      </c>
      <c r="W6323">
        <v>3.9723459999999999E-3</v>
      </c>
      <c r="X6323">
        <v>0.97715070000000004</v>
      </c>
      <c r="Y6323">
        <v>-0.45592250000000001</v>
      </c>
      <c r="Z6323">
        <v>-3.7381789999999998E-2</v>
      </c>
      <c r="AA6323">
        <v>0.88923410000000003</v>
      </c>
      <c r="AB6323">
        <v>29</v>
      </c>
      <c r="AC6323">
        <v>4.3005000000000004</v>
      </c>
      <c r="AD6323">
        <v>-1.118003724906</v>
      </c>
      <c r="AE6323">
        <v>6.3512599999999901</v>
      </c>
      <c r="AF6323">
        <v>-3.4761422226629799</v>
      </c>
      <c r="AG6323">
        <v>-1.118003724906</v>
      </c>
      <c r="AH6323">
        <v>6.65784067441255</v>
      </c>
      <c r="AI6323">
        <v>98.466598751680706</v>
      </c>
      <c r="AJ6323">
        <v>117.569626800065</v>
      </c>
      <c r="AK6323">
        <v>7.5934405592554803</v>
      </c>
      <c r="AL6323">
        <v>89.772400734052496</v>
      </c>
      <c r="AM6323">
        <v>102.269607485024</v>
      </c>
      <c r="AN6323">
        <v>0.99999997007569597</v>
      </c>
    </row>
    <row r="6324" spans="1:40" x14ac:dyDescent="0.25">
      <c r="A6324" t="str">
        <f>"20190312151655553"</f>
        <v>20190312151655553</v>
      </c>
      <c r="B6324" t="str">
        <f>"1552375015543963"</f>
        <v>1552375015543963</v>
      </c>
      <c r="C6324" t="s">
        <v>40</v>
      </c>
      <c r="D6324">
        <v>4.5553059999999999</v>
      </c>
      <c r="E6324">
        <v>0.40114179999999999</v>
      </c>
      <c r="F6324" t="s">
        <v>41</v>
      </c>
      <c r="G6324">
        <v>-200.86080000000001</v>
      </c>
      <c r="H6324">
        <v>0.97831400000000002</v>
      </c>
      <c r="I6324">
        <v>-58.095849999999999</v>
      </c>
      <c r="J6324">
        <v>-201.27510000000001</v>
      </c>
      <c r="K6324">
        <v>1.117991</v>
      </c>
      <c r="L6324">
        <v>-58.822270000000003</v>
      </c>
      <c r="M6324">
        <v>0.87743419999999905</v>
      </c>
      <c r="N6324">
        <v>0</v>
      </c>
      <c r="O6324">
        <v>0.47949370000000002</v>
      </c>
      <c r="P6324">
        <v>0.75523669999999998</v>
      </c>
      <c r="Q6324">
        <v>-5.2066450000000002E-3</v>
      </c>
      <c r="R6324">
        <v>0.6554316</v>
      </c>
      <c r="S6324">
        <v>1.749741</v>
      </c>
      <c r="T6324">
        <v>-0.4449861</v>
      </c>
      <c r="U6324">
        <v>2.5650940000000002</v>
      </c>
      <c r="V6324">
        <v>-0.213116</v>
      </c>
      <c r="W6324">
        <v>4.0596060000000003E-3</v>
      </c>
      <c r="X6324">
        <v>0.97701850000000001</v>
      </c>
      <c r="Y6324">
        <v>-0.45459749999999999</v>
      </c>
      <c r="Z6324">
        <v>-3.8250600000000003E-2</v>
      </c>
      <c r="AA6324">
        <v>0.88987519999999998</v>
      </c>
      <c r="AB6324">
        <v>29</v>
      </c>
      <c r="AC6324">
        <v>0.414299999999997</v>
      </c>
      <c r="AD6324">
        <v>-0.139677</v>
      </c>
      <c r="AE6324">
        <v>0.72641999999999696</v>
      </c>
      <c r="AF6324">
        <v>-0.42686575456181802</v>
      </c>
      <c r="AG6324">
        <v>-0.139677</v>
      </c>
      <c r="AH6324">
        <v>0.69258280308076203</v>
      </c>
      <c r="AI6324">
        <v>99.741876602755397</v>
      </c>
      <c r="AJ6324">
        <v>121.647145294933</v>
      </c>
      <c r="AK6324">
        <v>0.82546652013866395</v>
      </c>
      <c r="AL6324">
        <v>89.767401077708598</v>
      </c>
      <c r="AM6324">
        <v>102.305123212295</v>
      </c>
      <c r="AN6324">
        <v>1.0000000295995599</v>
      </c>
    </row>
    <row r="6325" spans="1:40" x14ac:dyDescent="0.25">
      <c r="A6325" t="str">
        <f>"20190312151655565"</f>
        <v>20190312151655565</v>
      </c>
      <c r="B6325" t="str">
        <f>"1552375015553723"</f>
        <v>1552375015553723</v>
      </c>
      <c r="C6325" t="s">
        <v>40</v>
      </c>
      <c r="D6325">
        <v>4.5826609999999999</v>
      </c>
      <c r="E6325">
        <v>0.4017773</v>
      </c>
      <c r="F6325" t="s">
        <v>64</v>
      </c>
      <c r="G6325">
        <v>-196.89150000000001</v>
      </c>
      <c r="H6325" s="1">
        <v>-9.7854660000000001E-6</v>
      </c>
      <c r="I6325">
        <v>-52.323219999999999</v>
      </c>
      <c r="J6325">
        <v>-201.1456</v>
      </c>
      <c r="K6325">
        <v>1.117988</v>
      </c>
      <c r="L6325">
        <v>-58.745240000000003</v>
      </c>
      <c r="M6325">
        <v>0.87477919999999998</v>
      </c>
      <c r="N6325">
        <v>0</v>
      </c>
      <c r="O6325">
        <v>0.48432059999999999</v>
      </c>
      <c r="P6325">
        <v>0.75125969999999997</v>
      </c>
      <c r="Q6325">
        <v>-5.6146429999999999E-3</v>
      </c>
      <c r="R6325">
        <v>0.65998279999999998</v>
      </c>
      <c r="S6325">
        <v>1.7358089999999999</v>
      </c>
      <c r="T6325">
        <v>-0.44270490000000001</v>
      </c>
      <c r="U6325">
        <v>2.5734859999999999</v>
      </c>
      <c r="V6325">
        <v>-0.21362919999999999</v>
      </c>
      <c r="W6325">
        <v>3.6433300000000002E-3</v>
      </c>
      <c r="X6325">
        <v>0.976908</v>
      </c>
      <c r="Y6325">
        <v>-0.45438390000000001</v>
      </c>
      <c r="Z6325">
        <v>-3.8856729999999999E-2</v>
      </c>
      <c r="AA6325">
        <v>0.88995809999999997</v>
      </c>
      <c r="AB6325">
        <v>29</v>
      </c>
      <c r="AC6325">
        <v>4.2540999999999896</v>
      </c>
      <c r="AD6325">
        <v>-1.1179977854659999</v>
      </c>
      <c r="AE6325">
        <v>6.4220199999999998</v>
      </c>
      <c r="AF6325">
        <v>-3.48445223173489</v>
      </c>
      <c r="AG6325">
        <v>-1.1179977854659999</v>
      </c>
      <c r="AH6325">
        <v>6.69143370460284</v>
      </c>
      <c r="AI6325">
        <v>98.429357880475393</v>
      </c>
      <c r="AJ6325">
        <v>117.507493127179</v>
      </c>
      <c r="AK6325">
        <v>7.6267038376118998</v>
      </c>
      <c r="AL6325">
        <v>89.791252100529704</v>
      </c>
      <c r="AM6325">
        <v>102.335201379116</v>
      </c>
      <c r="AN6325">
        <v>0.99999997470506397</v>
      </c>
    </row>
    <row r="6326" spans="1:40" x14ac:dyDescent="0.25">
      <c r="A6326" t="str">
        <f>"20190312151655578"</f>
        <v>20190312151655578</v>
      </c>
      <c r="B6326" t="str">
        <f>"1552375015574220"</f>
        <v>1552375015574220</v>
      </c>
      <c r="C6326" t="s">
        <v>40</v>
      </c>
      <c r="D6326">
        <v>4.5767559999999996</v>
      </c>
      <c r="E6326">
        <v>0.40295150000000002</v>
      </c>
      <c r="F6326" t="s">
        <v>41</v>
      </c>
      <c r="G6326">
        <v>-200.62299999999999</v>
      </c>
      <c r="H6326">
        <v>0.98332209999999998</v>
      </c>
      <c r="I6326">
        <v>-57.963009999999997</v>
      </c>
      <c r="J6326">
        <v>-201.01429999999999</v>
      </c>
      <c r="K6326">
        <v>1.11798</v>
      </c>
      <c r="L6326">
        <v>-58.666409999999999</v>
      </c>
      <c r="M6326">
        <v>0.87205239999999995</v>
      </c>
      <c r="N6326">
        <v>0</v>
      </c>
      <c r="O6326">
        <v>0.48921330000000002</v>
      </c>
      <c r="P6326">
        <v>0.74741040000000003</v>
      </c>
      <c r="Q6326">
        <v>-5.9241210000000001E-3</v>
      </c>
      <c r="R6326">
        <v>0.66433629999999999</v>
      </c>
      <c r="S6326">
        <v>1.7233889999999901</v>
      </c>
      <c r="T6326">
        <v>-0.44413999999999998</v>
      </c>
      <c r="U6326">
        <v>2.5800169999999998</v>
      </c>
      <c r="V6326">
        <v>-0.2138274</v>
      </c>
      <c r="W6326">
        <v>3.331957E-3</v>
      </c>
      <c r="X6326">
        <v>0.97686580000000001</v>
      </c>
      <c r="Y6326">
        <v>-0.45343820000000001</v>
      </c>
      <c r="Z6326">
        <v>-3.9857419999999998E-2</v>
      </c>
      <c r="AA6326">
        <v>0.89039609999999902</v>
      </c>
      <c r="AB6326">
        <v>29</v>
      </c>
      <c r="AC6326">
        <v>0.39130000000000098</v>
      </c>
      <c r="AD6326">
        <v>-0.1346579</v>
      </c>
      <c r="AE6326">
        <v>0.70340000000000202</v>
      </c>
      <c r="AF6326">
        <v>-0.41052408705267901</v>
      </c>
      <c r="AG6326">
        <v>-0.1346579</v>
      </c>
      <c r="AH6326">
        <v>0.66675280633045597</v>
      </c>
      <c r="AI6326">
        <v>99.758092275937898</v>
      </c>
      <c r="AJ6326">
        <v>121.62088030191001</v>
      </c>
      <c r="AK6326">
        <v>0.79449485890871796</v>
      </c>
      <c r="AL6326">
        <v>89.809092577925199</v>
      </c>
      <c r="AM6326">
        <v>102.346811841085</v>
      </c>
      <c r="AN6326">
        <v>1.0000000250689201</v>
      </c>
    </row>
    <row r="6327" spans="1:40" x14ac:dyDescent="0.25">
      <c r="A6327" t="str">
        <f>"20190312151655588"</f>
        <v>20190312151655588</v>
      </c>
      <c r="B6327" t="str">
        <f>"1552375015583979"</f>
        <v>1552375015583979</v>
      </c>
      <c r="C6327" t="s">
        <v>40</v>
      </c>
      <c r="D6327">
        <v>4.6114030000000001</v>
      </c>
      <c r="E6327">
        <v>0.40357769999999998</v>
      </c>
      <c r="F6327" t="s">
        <v>64</v>
      </c>
      <c r="G6327">
        <v>-196.6694</v>
      </c>
      <c r="H6327" s="1">
        <v>-9.8364900000000008E-6</v>
      </c>
      <c r="I6327">
        <v>-52.121870000000001</v>
      </c>
      <c r="J6327">
        <v>-200.8888</v>
      </c>
      <c r="K6327">
        <v>1.1179730000000001</v>
      </c>
      <c r="L6327">
        <v>-58.590179999999997</v>
      </c>
      <c r="M6327">
        <v>0.86941329999999994</v>
      </c>
      <c r="N6327">
        <v>0</v>
      </c>
      <c r="O6327">
        <v>0.49388799999999999</v>
      </c>
      <c r="P6327">
        <v>0.74361809999999995</v>
      </c>
      <c r="Q6327">
        <v>-6.2851069999999998E-3</v>
      </c>
      <c r="R6327">
        <v>0.66857509999999998</v>
      </c>
      <c r="S6327">
        <v>1.714661</v>
      </c>
      <c r="T6327">
        <v>-0.44120759999999998</v>
      </c>
      <c r="U6327">
        <v>2.5827640000000001</v>
      </c>
      <c r="V6327">
        <v>-0.21413090000000001</v>
      </c>
      <c r="W6327">
        <v>2.9671789999999999E-3</v>
      </c>
      <c r="X6327">
        <v>0.97680040000000001</v>
      </c>
      <c r="Y6327">
        <v>-0.45122630000000002</v>
      </c>
      <c r="Z6327">
        <v>-4.0540300000000001E-2</v>
      </c>
      <c r="AA6327">
        <v>0.89148830000000001</v>
      </c>
      <c r="AB6327">
        <v>29</v>
      </c>
      <c r="AC6327">
        <v>4.2194000000000003</v>
      </c>
      <c r="AD6327">
        <v>-1.11798283649</v>
      </c>
      <c r="AE6327">
        <v>6.4683099999999998</v>
      </c>
      <c r="AF6327">
        <v>-3.4674050580623299</v>
      </c>
      <c r="AG6327">
        <v>-1.11798283649</v>
      </c>
      <c r="AH6327">
        <v>6.7228075289835401</v>
      </c>
      <c r="AI6327">
        <v>98.407266265792003</v>
      </c>
      <c r="AJ6327">
        <v>117.283208979882</v>
      </c>
      <c r="AK6327">
        <v>7.6464975335849203</v>
      </c>
      <c r="AL6327">
        <v>89.829992905551407</v>
      </c>
      <c r="AM6327">
        <v>102.36460024345701</v>
      </c>
      <c r="AN6327">
        <v>0.99999993396309195</v>
      </c>
    </row>
    <row r="6328" spans="1:40" x14ac:dyDescent="0.25">
      <c r="A6328" t="str">
        <f>"20190312151655599"</f>
        <v>20190312151655599</v>
      </c>
      <c r="B6328" t="str">
        <f>"1552375015593739"</f>
        <v>1552375015593739</v>
      </c>
      <c r="C6328" t="s">
        <v>40</v>
      </c>
      <c r="D6328">
        <v>4.6131469999999997</v>
      </c>
      <c r="E6328">
        <v>0.40407739999999998</v>
      </c>
      <c r="F6328" t="s">
        <v>41</v>
      </c>
      <c r="G6328">
        <v>-200.35079999999999</v>
      </c>
      <c r="H6328">
        <v>0.97834989999999999</v>
      </c>
      <c r="I6328">
        <v>-57.772640000000003</v>
      </c>
      <c r="J6328">
        <v>-200.7713</v>
      </c>
      <c r="K6328">
        <v>1.117969</v>
      </c>
      <c r="L6328">
        <v>-58.517850000000003</v>
      </c>
      <c r="M6328">
        <v>0.86691180000000001</v>
      </c>
      <c r="N6328">
        <v>0</v>
      </c>
      <c r="O6328">
        <v>0.49826579999999898</v>
      </c>
      <c r="P6328">
        <v>0.74003750000000001</v>
      </c>
      <c r="Q6328">
        <v>-6.7830470000000004E-3</v>
      </c>
      <c r="R6328">
        <v>0.67253149999999995</v>
      </c>
      <c r="S6328">
        <v>1.7032779999999901</v>
      </c>
      <c r="T6328">
        <v>-0.44206010000000001</v>
      </c>
      <c r="U6328">
        <v>2.5885310000000001</v>
      </c>
      <c r="V6328">
        <v>-0.21440690000000001</v>
      </c>
      <c r="W6328">
        <v>2.4655480000000001E-3</v>
      </c>
      <c r="X6328">
        <v>0.97674130000000003</v>
      </c>
      <c r="Y6328">
        <v>-0.4504107</v>
      </c>
      <c r="Z6328">
        <v>-4.1400029999999997E-2</v>
      </c>
      <c r="AA6328">
        <v>0.89186109999999896</v>
      </c>
      <c r="AB6328">
        <v>29</v>
      </c>
      <c r="AC6328">
        <v>0.42050000000000398</v>
      </c>
      <c r="AD6328">
        <v>-0.1396191</v>
      </c>
      <c r="AE6328">
        <v>0.74521000000000004</v>
      </c>
      <c r="AF6328">
        <v>-0.42523150484229899</v>
      </c>
      <c r="AG6328">
        <v>-0.1396191</v>
      </c>
      <c r="AH6328">
        <v>0.71683534321499998</v>
      </c>
      <c r="AI6328">
        <v>99.509616070079502</v>
      </c>
      <c r="AJ6328">
        <v>120.676700587555</v>
      </c>
      <c r="AK6328">
        <v>0.84508475023362195</v>
      </c>
      <c r="AL6328">
        <v>89.858734359804004</v>
      </c>
      <c r="AM6328">
        <v>102.38077221639701</v>
      </c>
      <c r="AN6328">
        <v>0.99999998241012</v>
      </c>
    </row>
    <row r="6329" spans="1:40" x14ac:dyDescent="0.25">
      <c r="A6329" t="str">
        <f>"20190312151655610"</f>
        <v>20190312151655610</v>
      </c>
      <c r="B6329" t="str">
        <f>"1552375015604476"</f>
        <v>1552375015604476</v>
      </c>
      <c r="C6329" t="s">
        <v>40</v>
      </c>
      <c r="D6329">
        <v>4.6127710000000004</v>
      </c>
      <c r="E6329">
        <v>0.40463060000000001</v>
      </c>
      <c r="F6329" t="s">
        <v>41</v>
      </c>
      <c r="G6329">
        <v>-200.22110000000001</v>
      </c>
      <c r="H6329">
        <v>0.97431449999999997</v>
      </c>
      <c r="I6329">
        <v>-57.674199999999999</v>
      </c>
      <c r="J6329">
        <v>-200.6532</v>
      </c>
      <c r="K6329">
        <v>1.117966</v>
      </c>
      <c r="L6329">
        <v>-58.444519999999997</v>
      </c>
      <c r="M6329">
        <v>0.86436679999999999</v>
      </c>
      <c r="N6329">
        <v>0</v>
      </c>
      <c r="O6329">
        <v>0.50266769999999905</v>
      </c>
      <c r="P6329">
        <v>0.73648389999999997</v>
      </c>
      <c r="Q6329">
        <v>-6.9727809999999999E-3</v>
      </c>
      <c r="R6329">
        <v>0.67641909999999905</v>
      </c>
      <c r="S6329">
        <v>1.691986</v>
      </c>
      <c r="T6329">
        <v>-0.44176290000000001</v>
      </c>
      <c r="U6329">
        <v>2.5945130000000001</v>
      </c>
      <c r="V6329">
        <v>-0.2145803</v>
      </c>
      <c r="W6329">
        <v>2.274814E-3</v>
      </c>
      <c r="X6329">
        <v>0.97670369999999995</v>
      </c>
      <c r="Y6329">
        <v>-0.44957140000000001</v>
      </c>
      <c r="Z6329">
        <v>-4.2157479999999997E-2</v>
      </c>
      <c r="AA6329">
        <v>0.89224899999999996</v>
      </c>
      <c r="AB6329">
        <v>29</v>
      </c>
      <c r="AC6329">
        <v>0.43209999999999099</v>
      </c>
      <c r="AD6329">
        <v>-0.14365149999999899</v>
      </c>
      <c r="AE6329">
        <v>0.77031999999999801</v>
      </c>
      <c r="AF6329">
        <v>-0.43711723446518602</v>
      </c>
      <c r="AG6329">
        <v>-0.14365149999999899</v>
      </c>
      <c r="AH6329">
        <v>0.74117611176232101</v>
      </c>
      <c r="AI6329">
        <v>99.477828885606101</v>
      </c>
      <c r="AJ6329">
        <v>120.53047295076399</v>
      </c>
      <c r="AK6329">
        <v>0.87238137231709301</v>
      </c>
      <c r="AL6329">
        <v>89.869662646049804</v>
      </c>
      <c r="AM6329">
        <v>102.39093818613</v>
      </c>
      <c r="AN6329">
        <v>0.99999999876025703</v>
      </c>
    </row>
    <row r="6330" spans="1:40" x14ac:dyDescent="0.25">
      <c r="A6330" t="str">
        <f>"20190312151655621"</f>
        <v>20190312151655621</v>
      </c>
      <c r="B6330" t="str">
        <f>"1552375015614235"</f>
        <v>1552375015614235</v>
      </c>
      <c r="C6330" t="s">
        <v>40</v>
      </c>
      <c r="D6330">
        <v>4.6173109999999999</v>
      </c>
      <c r="E6330">
        <v>0.40463060000000001</v>
      </c>
      <c r="F6330" t="s">
        <v>64</v>
      </c>
      <c r="G6330">
        <v>-196.39429999999999</v>
      </c>
      <c r="H6330" s="1">
        <v>-9.904126E-6</v>
      </c>
      <c r="I6330">
        <v>-51.860250000000001</v>
      </c>
      <c r="J6330">
        <v>-200.53579999999999</v>
      </c>
      <c r="K6330">
        <v>1.1179600000000001</v>
      </c>
      <c r="L6330">
        <v>-58.370480000000001</v>
      </c>
      <c r="M6330">
        <v>0.86180460000000003</v>
      </c>
      <c r="N6330">
        <v>0</v>
      </c>
      <c r="O6330">
        <v>0.5070479</v>
      </c>
      <c r="P6330">
        <v>0.73299689999999995</v>
      </c>
      <c r="Q6330">
        <v>-7.170676E-3</v>
      </c>
      <c r="R6330">
        <v>0.68019410000000002</v>
      </c>
      <c r="S6330">
        <v>1.681549</v>
      </c>
      <c r="T6330">
        <v>-0.441411</v>
      </c>
      <c r="U6330">
        <v>2.5996700000000001</v>
      </c>
      <c r="V6330">
        <v>-0.21463860000000001</v>
      </c>
      <c r="W6330">
        <v>2.078356E-3</v>
      </c>
      <c r="X6330">
        <v>0.97669130000000004</v>
      </c>
      <c r="Y6330">
        <v>-0.44840950000000002</v>
      </c>
      <c r="Z6330">
        <v>-4.2931959999999998E-2</v>
      </c>
      <c r="AA6330">
        <v>0.89279660000000005</v>
      </c>
      <c r="AB6330">
        <v>29</v>
      </c>
      <c r="AC6330">
        <v>4.1414999999999997</v>
      </c>
      <c r="AD6330">
        <v>-1.1179699041260001</v>
      </c>
      <c r="AE6330">
        <v>6.51023</v>
      </c>
      <c r="AF6330">
        <v>-3.4387581425063001</v>
      </c>
      <c r="AG6330">
        <v>-1.1179699041260001</v>
      </c>
      <c r="AH6330">
        <v>6.7295554024926298</v>
      </c>
      <c r="AI6330">
        <v>98.414934271928601</v>
      </c>
      <c r="AJ6330">
        <v>117.06673085502899</v>
      </c>
      <c r="AK6330">
        <v>7.6394914872917203</v>
      </c>
      <c r="AL6330">
        <v>89.8809188837905</v>
      </c>
      <c r="AM6330">
        <v>102.3943531811</v>
      </c>
      <c r="AN6330">
        <v>0.99999997183465605</v>
      </c>
    </row>
    <row r="6331" spans="1:40" x14ac:dyDescent="0.25">
      <c r="A6331" t="str">
        <f>"20190312151655631"</f>
        <v>20190312151655631</v>
      </c>
      <c r="B6331" t="str">
        <f>"1552375015623995"</f>
        <v>1552375015623995</v>
      </c>
      <c r="C6331" t="s">
        <v>40</v>
      </c>
      <c r="D6331">
        <v>4.6541959999999998</v>
      </c>
      <c r="E6331">
        <v>0.4184737</v>
      </c>
      <c r="F6331" t="s">
        <v>41</v>
      </c>
      <c r="G6331">
        <v>-200.00409999999999</v>
      </c>
      <c r="H6331">
        <v>0.97698240000000003</v>
      </c>
      <c r="I6331">
        <v>-57.539070000000002</v>
      </c>
      <c r="J6331">
        <v>-200.4136</v>
      </c>
      <c r="K6331">
        <v>1.117955</v>
      </c>
      <c r="L6331">
        <v>-58.292909999999999</v>
      </c>
      <c r="M6331">
        <v>0.85910750000000002</v>
      </c>
      <c r="N6331">
        <v>0</v>
      </c>
      <c r="O6331">
        <v>0.51160450000000002</v>
      </c>
      <c r="P6331">
        <v>0.72927030000000004</v>
      </c>
      <c r="Q6331">
        <v>-7.5493080000000002E-3</v>
      </c>
      <c r="R6331">
        <v>0.68418419999999902</v>
      </c>
      <c r="S6331">
        <v>1.668121</v>
      </c>
      <c r="T6331">
        <v>-0.44225789999999998</v>
      </c>
      <c r="U6331">
        <v>2.608215</v>
      </c>
      <c r="V6331">
        <v>-0.2147906</v>
      </c>
      <c r="W6331">
        <v>1.6987949999999999E-3</v>
      </c>
      <c r="X6331">
        <v>0.97665860000000004</v>
      </c>
      <c r="Y6331">
        <v>-0.44829970000000002</v>
      </c>
      <c r="Z6331">
        <v>-4.3758430000000001E-2</v>
      </c>
      <c r="AA6331">
        <v>0.89281160000000004</v>
      </c>
      <c r="AB6331">
        <v>29</v>
      </c>
      <c r="AC6331">
        <v>0.40950000000000802</v>
      </c>
      <c r="AD6331">
        <v>-0.1409726</v>
      </c>
      <c r="AE6331">
        <v>0.75384000000000295</v>
      </c>
      <c r="AF6331">
        <v>-0.426649486633362</v>
      </c>
      <c r="AG6331">
        <v>-0.1409726</v>
      </c>
      <c r="AH6331">
        <v>0.71815214949334805</v>
      </c>
      <c r="AI6331">
        <v>99.579160387956705</v>
      </c>
      <c r="AJ6331">
        <v>120.714269376687</v>
      </c>
      <c r="AK6331">
        <v>0.84713963914881696</v>
      </c>
      <c r="AL6331">
        <v>89.902666164983003</v>
      </c>
      <c r="AM6331">
        <v>102.403261318741</v>
      </c>
      <c r="AN6331">
        <v>0.99999995435338496</v>
      </c>
    </row>
    <row r="6332" spans="1:40" x14ac:dyDescent="0.25">
      <c r="A6332" t="str">
        <f>"20190312151655643"</f>
        <v>20190312151655643</v>
      </c>
      <c r="B6332" t="str">
        <f>"1552375015633756"</f>
        <v>1552375015633756</v>
      </c>
      <c r="C6332" t="s">
        <v>40</v>
      </c>
      <c r="D6332">
        <v>4.6245149999999997</v>
      </c>
      <c r="E6332">
        <v>0.41881449999999998</v>
      </c>
      <c r="F6332" t="s">
        <v>64</v>
      </c>
      <c r="G6332">
        <v>-195.90389999999999</v>
      </c>
      <c r="H6332" s="1">
        <v>-9.9205909999999999E-6</v>
      </c>
      <c r="I6332">
        <v>-51.680230000000002</v>
      </c>
      <c r="J6332">
        <v>-200.2919</v>
      </c>
      <c r="K6332">
        <v>1.117953</v>
      </c>
      <c r="L6332">
        <v>-58.214230000000001</v>
      </c>
      <c r="M6332">
        <v>0.85638369999999997</v>
      </c>
      <c r="N6332">
        <v>0</v>
      </c>
      <c r="O6332">
        <v>0.51615089999999997</v>
      </c>
      <c r="P6332">
        <v>0.72576269999999998</v>
      </c>
      <c r="Q6332">
        <v>-7.6643600000000003E-3</v>
      </c>
      <c r="R6332">
        <v>0.68790249999999997</v>
      </c>
      <c r="S6332">
        <v>1.7297209999999901</v>
      </c>
      <c r="T6332">
        <v>-0.42880479999999999</v>
      </c>
      <c r="U6332">
        <v>2.536346</v>
      </c>
      <c r="V6332">
        <v>-0.21460380000000001</v>
      </c>
      <c r="W6332">
        <v>1.59103E-3</v>
      </c>
      <c r="X6332">
        <v>0.97669989999999995</v>
      </c>
      <c r="Y6332">
        <v>-0.41719060000000002</v>
      </c>
      <c r="Z6332">
        <v>-4.5674289999999999E-2</v>
      </c>
      <c r="AA6332">
        <v>0.90767059999999999</v>
      </c>
      <c r="AB6332">
        <v>29</v>
      </c>
      <c r="AC6332">
        <v>4.3879999999999999</v>
      </c>
      <c r="AD6332">
        <v>-1.117962920591</v>
      </c>
      <c r="AE6332">
        <v>6.5339999999999998</v>
      </c>
      <c r="AF6332">
        <v>-3.2651884709657399</v>
      </c>
      <c r="AG6332">
        <v>-1.117962920591</v>
      </c>
      <c r="AH6332">
        <v>6.9900090529817502</v>
      </c>
      <c r="AI6332">
        <v>98.245176530366194</v>
      </c>
      <c r="AJ6332">
        <v>115.038322762379</v>
      </c>
      <c r="AK6332">
        <v>7.7956092387645297</v>
      </c>
      <c r="AL6332">
        <v>89.908840658236798</v>
      </c>
      <c r="AM6332">
        <v>102.39229999413701</v>
      </c>
      <c r="AN6332">
        <v>1.0000000085054499</v>
      </c>
    </row>
    <row r="6333" spans="1:40" x14ac:dyDescent="0.25">
      <c r="A6333" t="str">
        <f>"20190312151655654"</f>
        <v>20190312151655654</v>
      </c>
      <c r="B6333" t="str">
        <f>"1552375015644492"</f>
        <v>1552375015644492</v>
      </c>
      <c r="C6333" t="s">
        <v>40</v>
      </c>
      <c r="D6333">
        <v>4.6024409999999998</v>
      </c>
      <c r="E6333">
        <v>0.41903659999999998</v>
      </c>
      <c r="F6333" t="s">
        <v>64</v>
      </c>
      <c r="G6333">
        <v>-195.8125</v>
      </c>
      <c r="H6333" s="1">
        <v>-9.9453600000000003E-6</v>
      </c>
      <c r="I6333">
        <v>-51.586979999999997</v>
      </c>
      <c r="J6333">
        <v>-200.16890000000001</v>
      </c>
      <c r="K6333">
        <v>1.1179410000000001</v>
      </c>
      <c r="L6333">
        <v>-58.134399999999999</v>
      </c>
      <c r="M6333">
        <v>0.853603</v>
      </c>
      <c r="N6333">
        <v>0</v>
      </c>
      <c r="O6333">
        <v>0.52073659999999999</v>
      </c>
      <c r="P6333">
        <v>0.72236279999999997</v>
      </c>
      <c r="Q6333">
        <v>-7.8617040000000006E-3</v>
      </c>
      <c r="R6333">
        <v>0.69146969999999996</v>
      </c>
      <c r="S6333">
        <v>1.718796</v>
      </c>
      <c r="T6333">
        <v>-0.4289732</v>
      </c>
      <c r="U6333">
        <v>2.5429379999999999</v>
      </c>
      <c r="V6333">
        <v>-0.214174</v>
      </c>
      <c r="W6333">
        <v>1.4064940000000001E-3</v>
      </c>
      <c r="X6333">
        <v>0.97679450000000001</v>
      </c>
      <c r="Y6333">
        <v>-0.41612290000000002</v>
      </c>
      <c r="Z6333">
        <v>-4.6495059999999998E-2</v>
      </c>
      <c r="AA6333">
        <v>0.90811889999999995</v>
      </c>
      <c r="AB6333">
        <v>29</v>
      </c>
      <c r="AC6333">
        <v>4.3563999999999998</v>
      </c>
      <c r="AD6333">
        <v>-1.1179509453600001</v>
      </c>
      <c r="AE6333">
        <v>6.5474199999999998</v>
      </c>
      <c r="AF6333">
        <v>-3.2549089223097201</v>
      </c>
      <c r="AG6333">
        <v>-1.1179509453600001</v>
      </c>
      <c r="AH6333">
        <v>6.9876066813324504</v>
      </c>
      <c r="AI6333">
        <v>98.251970124091201</v>
      </c>
      <c r="AJ6333">
        <v>114.976654418826</v>
      </c>
      <c r="AK6333">
        <v>7.7891522993047602</v>
      </c>
      <c r="AL6333">
        <v>89.919413802342007</v>
      </c>
      <c r="AM6333">
        <v>102.36708480083701</v>
      </c>
      <c r="AN6333">
        <v>0.99999998786581101</v>
      </c>
    </row>
    <row r="6334" spans="1:40" x14ac:dyDescent="0.25">
      <c r="A6334" t="str">
        <f>"20190312151655665"</f>
        <v>20190312151655665</v>
      </c>
      <c r="B6334" t="str">
        <f>"1552375015654252"</f>
        <v>1552375015654252</v>
      </c>
      <c r="C6334" t="s">
        <v>40</v>
      </c>
      <c r="D6334">
        <v>4.6342530000000002</v>
      </c>
      <c r="E6334">
        <v>0.41986109999999999</v>
      </c>
      <c r="F6334" t="s">
        <v>64</v>
      </c>
      <c r="G6334">
        <v>-195.7346</v>
      </c>
      <c r="H6334" s="1">
        <v>-9.9649910000000007E-6</v>
      </c>
      <c r="I6334">
        <v>-51.511589999999998</v>
      </c>
      <c r="J6334">
        <v>-200.04480000000001</v>
      </c>
      <c r="K6334">
        <v>1.1179349999999999</v>
      </c>
      <c r="L6334">
        <v>-58.052370000000003</v>
      </c>
      <c r="M6334">
        <v>0.85075619999999996</v>
      </c>
      <c r="N6334">
        <v>0</v>
      </c>
      <c r="O6334">
        <v>0.52537500000000004</v>
      </c>
      <c r="P6334">
        <v>0.71861399999999998</v>
      </c>
      <c r="Q6334">
        <v>-7.9228819999999991E-3</v>
      </c>
      <c r="R6334">
        <v>0.69536409999999904</v>
      </c>
      <c r="S6334">
        <v>1.7073970000000001</v>
      </c>
      <c r="T6334">
        <v>-0.43045070000000002</v>
      </c>
      <c r="U6334">
        <v>2.5500180000000001</v>
      </c>
      <c r="V6334">
        <v>-0.21413679999999999</v>
      </c>
      <c r="W6334">
        <v>1.3492739999999999E-3</v>
      </c>
      <c r="X6334">
        <v>0.97680279999999997</v>
      </c>
      <c r="Y6334">
        <v>-0.41518290000000002</v>
      </c>
      <c r="Z6334">
        <v>-4.7456409999999997E-2</v>
      </c>
      <c r="AA6334">
        <v>0.90849939999999996</v>
      </c>
      <c r="AB6334">
        <v>29</v>
      </c>
      <c r="AC6334">
        <v>4.3102</v>
      </c>
      <c r="AD6334">
        <v>-1.117944964991</v>
      </c>
      <c r="AE6334">
        <v>6.54077999999999</v>
      </c>
      <c r="AF6334">
        <v>-3.2345762901557</v>
      </c>
      <c r="AG6334">
        <v>-1.117944964991</v>
      </c>
      <c r="AH6334">
        <v>6.9621755536077403</v>
      </c>
      <c r="AI6334">
        <v>98.285459493428903</v>
      </c>
      <c r="AJ6334">
        <v>114.919239340456</v>
      </c>
      <c r="AK6334">
        <v>7.7578459098411798</v>
      </c>
      <c r="AL6334">
        <v>89.9226922747917</v>
      </c>
      <c r="AM6334">
        <v>102.36490100253501</v>
      </c>
      <c r="AN6334">
        <v>1.0000000498712001</v>
      </c>
    </row>
    <row r="6335" spans="1:40" x14ac:dyDescent="0.25">
      <c r="A6335" t="str">
        <f>"20190312151655677"</f>
        <v>20190312151655677</v>
      </c>
      <c r="B6335" t="str">
        <f>"1552375015673772"</f>
        <v>1552375015673772</v>
      </c>
      <c r="C6335" t="s">
        <v>40</v>
      </c>
      <c r="D6335">
        <v>4.5943339999999999</v>
      </c>
      <c r="E6335">
        <v>0.42039330000000003</v>
      </c>
      <c r="F6335" t="s">
        <v>64</v>
      </c>
      <c r="G6335">
        <v>-195.5821</v>
      </c>
      <c r="H6335" s="1">
        <v>-1.001249E-5</v>
      </c>
      <c r="I6335">
        <v>-51.33907</v>
      </c>
      <c r="J6335">
        <v>-199.9228</v>
      </c>
      <c r="K6335">
        <v>1.117928</v>
      </c>
      <c r="L6335">
        <v>-57.97101</v>
      </c>
      <c r="M6335">
        <v>0.84792520000000005</v>
      </c>
      <c r="N6335">
        <v>0</v>
      </c>
      <c r="O6335">
        <v>0.52993169999999901</v>
      </c>
      <c r="P6335">
        <v>0.71496850000000001</v>
      </c>
      <c r="Q6335">
        <v>-8.1050240000000006E-3</v>
      </c>
      <c r="R6335">
        <v>0.69910969999999995</v>
      </c>
      <c r="S6335">
        <v>1.698135</v>
      </c>
      <c r="T6335">
        <v>-0.4253941</v>
      </c>
      <c r="U6335">
        <v>2.5545040000000001</v>
      </c>
      <c r="V6335">
        <v>-0.21399799999999999</v>
      </c>
      <c r="W6335">
        <v>1.1728450000000001E-3</v>
      </c>
      <c r="X6335">
        <v>0.97683339999999996</v>
      </c>
      <c r="Y6335">
        <v>-0.41335139999999998</v>
      </c>
      <c r="Z6335">
        <v>-4.7761610000000003E-2</v>
      </c>
      <c r="AA6335">
        <v>0.90931810000000002</v>
      </c>
      <c r="AB6335">
        <v>29</v>
      </c>
      <c r="AC6335">
        <v>4.3406999999999902</v>
      </c>
      <c r="AD6335">
        <v>-1.11793801249</v>
      </c>
      <c r="AE6335">
        <v>6.6319399999999904</v>
      </c>
      <c r="AF6335">
        <v>-3.2586142558937401</v>
      </c>
      <c r="AG6335">
        <v>-1.11793801249</v>
      </c>
      <c r="AH6335">
        <v>7.05541096423587</v>
      </c>
      <c r="AI6335">
        <v>98.185820489595599</v>
      </c>
      <c r="AJ6335">
        <v>114.79034066101801</v>
      </c>
      <c r="AK6335">
        <v>7.8515715715227197</v>
      </c>
      <c r="AL6335">
        <v>89.932800916437898</v>
      </c>
      <c r="AM6335">
        <v>102.35675737952999</v>
      </c>
      <c r="AN6335">
        <v>1.00000000546247</v>
      </c>
    </row>
    <row r="6336" spans="1:40" x14ac:dyDescent="0.25">
      <c r="A6336" t="str">
        <f>"20190312151655688"</f>
        <v>20190312151655688</v>
      </c>
      <c r="B6336" t="str">
        <f>"1552375015684508"</f>
        <v>1552375015684508</v>
      </c>
      <c r="C6336" t="s">
        <v>40</v>
      </c>
      <c r="D6336">
        <v>4.6159999999999997</v>
      </c>
      <c r="E6336">
        <v>0.42065520000000001</v>
      </c>
      <c r="F6336" t="s">
        <v>64</v>
      </c>
      <c r="G6336">
        <v>-195.41739999999999</v>
      </c>
      <c r="H6336" s="1">
        <v>-1.0068969999999999E-5</v>
      </c>
      <c r="I6336">
        <v>-51.138469999999998</v>
      </c>
      <c r="J6336">
        <v>-199.80789999999999</v>
      </c>
      <c r="K6336">
        <v>1.1179239999999999</v>
      </c>
      <c r="L6336">
        <v>-57.893459999999997</v>
      </c>
      <c r="M6336">
        <v>0.84522600000000003</v>
      </c>
      <c r="N6336">
        <v>0</v>
      </c>
      <c r="O6336">
        <v>0.53422639999999999</v>
      </c>
      <c r="P6336">
        <v>0.71168589999999998</v>
      </c>
      <c r="Q6336">
        <v>-8.390682E-3</v>
      </c>
      <c r="R6336">
        <v>0.70244770000000001</v>
      </c>
      <c r="S6336">
        <v>1.6880489999999999</v>
      </c>
      <c r="T6336">
        <v>-0.41886079999999998</v>
      </c>
      <c r="U6336">
        <v>2.5599669999999999</v>
      </c>
      <c r="V6336">
        <v>-0.2136091</v>
      </c>
      <c r="W6336">
        <v>8.9913979999999905E-4</v>
      </c>
      <c r="X6336">
        <v>0.97691879999999998</v>
      </c>
      <c r="Y6336">
        <v>-0.41213880000000003</v>
      </c>
      <c r="Z6336">
        <v>-4.7793299999999997E-2</v>
      </c>
      <c r="AA6336">
        <v>0.90986670000000003</v>
      </c>
      <c r="AB6336">
        <v>29</v>
      </c>
      <c r="AC6336">
        <v>4.3905000000000003</v>
      </c>
      <c r="AD6336">
        <v>-1.1179340689699999</v>
      </c>
      <c r="AE6336">
        <v>6.7549899999999896</v>
      </c>
      <c r="AF6336">
        <v>-3.3007444279365599</v>
      </c>
      <c r="AG6336">
        <v>-1.1179340689699999</v>
      </c>
      <c r="AH6336">
        <v>7.1820816579373901</v>
      </c>
      <c r="AI6336">
        <v>98.050205579240796</v>
      </c>
      <c r="AJ6336">
        <v>114.682587528901</v>
      </c>
      <c r="AK6336">
        <v>7.9829184702337299</v>
      </c>
      <c r="AL6336">
        <v>89.948483077270794</v>
      </c>
      <c r="AM6336">
        <v>102.333944126296</v>
      </c>
      <c r="AN6336">
        <v>0.99999999892431402</v>
      </c>
    </row>
    <row r="6337" spans="1:40" x14ac:dyDescent="0.25">
      <c r="A6337" t="str">
        <f>"20190312151655700"</f>
        <v>20190312151655700</v>
      </c>
      <c r="B6337" t="str">
        <f>"1552375015694268"</f>
        <v>1552375015694268</v>
      </c>
      <c r="C6337" t="s">
        <v>40</v>
      </c>
      <c r="D6337">
        <v>4.6112769999999896</v>
      </c>
      <c r="E6337">
        <v>0.42100169999999998</v>
      </c>
      <c r="F6337" t="s">
        <v>64</v>
      </c>
      <c r="G6337">
        <v>-195.309</v>
      </c>
      <c r="H6337" s="1">
        <v>-1.010472E-5</v>
      </c>
      <c r="I6337">
        <v>-51.010350000000003</v>
      </c>
      <c r="J6337">
        <v>-199.68639999999999</v>
      </c>
      <c r="K6337">
        <v>1.117918</v>
      </c>
      <c r="L6337">
        <v>-57.810519999999997</v>
      </c>
      <c r="M6337">
        <v>0.84233809999999998</v>
      </c>
      <c r="N6337">
        <v>0</v>
      </c>
      <c r="O6337">
        <v>0.53876840000000004</v>
      </c>
      <c r="P6337">
        <v>0.70783419999999997</v>
      </c>
      <c r="Q6337">
        <v>-8.4465269999999901E-3</v>
      </c>
      <c r="R6337">
        <v>0.70632810000000001</v>
      </c>
      <c r="S6337">
        <v>1.6773990000000001</v>
      </c>
      <c r="T6337">
        <v>-0.41681790000000002</v>
      </c>
      <c r="U6337">
        <v>2.5663450000000001</v>
      </c>
      <c r="V6337">
        <v>-0.21369109999999999</v>
      </c>
      <c r="W6337">
        <v>8.4382679999999897E-4</v>
      </c>
      <c r="X6337">
        <v>0.97690089999999996</v>
      </c>
      <c r="Y6337">
        <v>-0.41094589999999998</v>
      </c>
      <c r="Z6337">
        <v>-4.8345449999999998E-2</v>
      </c>
      <c r="AA6337">
        <v>0.91037699999999999</v>
      </c>
      <c r="AB6337">
        <v>29</v>
      </c>
      <c r="AC6337">
        <v>4.3773999999999598</v>
      </c>
      <c r="AD6337">
        <v>-1.11792810472</v>
      </c>
      <c r="AE6337">
        <v>6.8001699999999898</v>
      </c>
      <c r="AF6337">
        <v>-3.3067791163872702</v>
      </c>
      <c r="AG6337">
        <v>-1.11792810472</v>
      </c>
      <c r="AH6337">
        <v>7.2138400543765</v>
      </c>
      <c r="AI6337">
        <v>98.018744520444102</v>
      </c>
      <c r="AJ6337">
        <v>114.626424887309</v>
      </c>
      <c r="AK6337">
        <v>8.0139902484358299</v>
      </c>
      <c r="AL6337">
        <v>89.951652279176898</v>
      </c>
      <c r="AM6337">
        <v>102.33875301893301</v>
      </c>
      <c r="AN6337">
        <v>0.99999998334184403</v>
      </c>
    </row>
    <row r="6338" spans="1:40" x14ac:dyDescent="0.25">
      <c r="A6338" t="str">
        <f>"20190312151655709"</f>
        <v>20190312151655709</v>
      </c>
      <c r="B6338" t="str">
        <f>"1552375015704027"</f>
        <v>1552375015704027</v>
      </c>
      <c r="C6338" t="s">
        <v>40</v>
      </c>
      <c r="D6338">
        <v>4.6067999999999998</v>
      </c>
      <c r="E6338">
        <v>0.42142570000000001</v>
      </c>
      <c r="F6338" t="s">
        <v>64</v>
      </c>
      <c r="G6338">
        <v>-195.22890000000001</v>
      </c>
      <c r="H6338" s="1">
        <v>-1.012921E-5</v>
      </c>
      <c r="I6338">
        <v>-50.920999999999999</v>
      </c>
      <c r="J6338">
        <v>-199.56899999999999</v>
      </c>
      <c r="K6338">
        <v>1.1179140000000001</v>
      </c>
      <c r="L6338">
        <v>-57.729680000000002</v>
      </c>
      <c r="M6338">
        <v>0.8395165</v>
      </c>
      <c r="N6338">
        <v>0</v>
      </c>
      <c r="O6338">
        <v>0.54315469999999999</v>
      </c>
      <c r="P6338">
        <v>0.70402240000000005</v>
      </c>
      <c r="Q6338">
        <v>-8.4766870000000001E-3</v>
      </c>
      <c r="R6338">
        <v>0.71012730000000002</v>
      </c>
      <c r="S6338">
        <v>1.6651309999999999</v>
      </c>
      <c r="T6338">
        <v>-0.41761169999999997</v>
      </c>
      <c r="U6338">
        <v>2.573639</v>
      </c>
      <c r="V6338">
        <v>-0.2138523</v>
      </c>
      <c r="W6338">
        <v>8.1235569999999998E-4</v>
      </c>
      <c r="X6338">
        <v>0.9768656</v>
      </c>
      <c r="Y6338">
        <v>-0.41045870000000001</v>
      </c>
      <c r="Z6338">
        <v>-4.9152019999999998E-2</v>
      </c>
      <c r="AA6338">
        <v>0.91055350000000002</v>
      </c>
      <c r="AB6338">
        <v>29</v>
      </c>
      <c r="AC6338">
        <v>4.3400999999999996</v>
      </c>
      <c r="AD6338">
        <v>-1.11792412921</v>
      </c>
      <c r="AE6338">
        <v>6.8086799999999901</v>
      </c>
      <c r="AF6338">
        <v>-3.2958018279608599</v>
      </c>
      <c r="AG6338">
        <v>-1.11792412921</v>
      </c>
      <c r="AH6338">
        <v>7.20436332003686</v>
      </c>
      <c r="AI6338">
        <v>98.031889296661902</v>
      </c>
      <c r="AJ6338">
        <v>114.582816282322</v>
      </c>
      <c r="AK6338">
        <v>8.00093212663079</v>
      </c>
      <c r="AL6338">
        <v>89.953455438702704</v>
      </c>
      <c r="AM6338">
        <v>102.348207959794</v>
      </c>
      <c r="AN6338">
        <v>0.99999993330021397</v>
      </c>
    </row>
    <row r="6339" spans="1:40" x14ac:dyDescent="0.25">
      <c r="A6339" t="str">
        <f>"20190312151655721"</f>
        <v>20190312151655721</v>
      </c>
      <c r="B6339" t="str">
        <f>"1552375015713788"</f>
        <v>1552375015713788</v>
      </c>
      <c r="C6339" t="s">
        <v>40</v>
      </c>
      <c r="D6339">
        <v>4.627847</v>
      </c>
      <c r="E6339">
        <v>0.42179820000000001</v>
      </c>
      <c r="F6339" t="s">
        <v>64</v>
      </c>
      <c r="G6339">
        <v>-195.11609999999999</v>
      </c>
      <c r="H6339" s="1">
        <v>-1.0168230000000001E-5</v>
      </c>
      <c r="I6339">
        <v>-50.782679999999999</v>
      </c>
      <c r="J6339">
        <v>-199.452</v>
      </c>
      <c r="K6339">
        <v>1.11791</v>
      </c>
      <c r="L6339">
        <v>-57.647770000000001</v>
      </c>
      <c r="M6339">
        <v>0.83666549999999995</v>
      </c>
      <c r="N6339">
        <v>0</v>
      </c>
      <c r="O6339">
        <v>0.54753600000000002</v>
      </c>
      <c r="P6339">
        <v>0.70049759999999905</v>
      </c>
      <c r="Q6339">
        <v>-8.7076099999999993E-3</v>
      </c>
      <c r="R6339">
        <v>0.71360159999999995</v>
      </c>
      <c r="S6339">
        <v>1.6537930000000001</v>
      </c>
      <c r="T6339">
        <v>-0.41518630000000001</v>
      </c>
      <c r="U6339">
        <v>2.5800480000000001</v>
      </c>
      <c r="V6339">
        <v>-0.2135756</v>
      </c>
      <c r="W6339">
        <v>5.9014949999999897E-4</v>
      </c>
      <c r="X6339">
        <v>0.97692630000000003</v>
      </c>
      <c r="Y6339">
        <v>-0.40958</v>
      </c>
      <c r="Z6339">
        <v>-4.9609710000000001E-2</v>
      </c>
      <c r="AA6339">
        <v>0.91092430000000002</v>
      </c>
      <c r="AB6339">
        <v>29</v>
      </c>
      <c r="AC6339">
        <v>4.3358999999999996</v>
      </c>
      <c r="AD6339">
        <v>-1.11792016823</v>
      </c>
      <c r="AE6339">
        <v>6.8650899999999897</v>
      </c>
      <c r="AF6339">
        <v>-3.30735791784674</v>
      </c>
      <c r="AG6339">
        <v>-1.11792016823</v>
      </c>
      <c r="AH6339">
        <v>7.2498756695156503</v>
      </c>
      <c r="AI6339">
        <v>97.985898136389693</v>
      </c>
      <c r="AJ6339">
        <v>114.522240321642</v>
      </c>
      <c r="AK6339">
        <v>8.0466800062332506</v>
      </c>
      <c r="AL6339">
        <v>89.966186920390598</v>
      </c>
      <c r="AM6339">
        <v>102.33197722692999</v>
      </c>
      <c r="AN6339">
        <v>0.99999994041173901</v>
      </c>
    </row>
    <row r="6340" spans="1:40" x14ac:dyDescent="0.25">
      <c r="A6340" t="str">
        <f>"20190312151655732"</f>
        <v>20190312151655732</v>
      </c>
      <c r="B6340" t="str">
        <f>"1552375015724523"</f>
        <v>1552375015724523</v>
      </c>
      <c r="C6340" t="s">
        <v>40</v>
      </c>
      <c r="D6340">
        <v>4.644882</v>
      </c>
      <c r="E6340">
        <v>0.42226550000000002</v>
      </c>
      <c r="F6340" t="s">
        <v>64</v>
      </c>
      <c r="G6340">
        <v>-195.02</v>
      </c>
      <c r="H6340" s="1">
        <v>-1.0198479999999999E-5</v>
      </c>
      <c r="I6340">
        <v>-50.673079999999999</v>
      </c>
      <c r="J6340">
        <v>-199.33590000000001</v>
      </c>
      <c r="K6340">
        <v>1.1179049999999999</v>
      </c>
      <c r="L6340">
        <v>-57.566189999999999</v>
      </c>
      <c r="M6340">
        <v>0.83381059999999996</v>
      </c>
      <c r="N6340">
        <v>0</v>
      </c>
      <c r="O6340">
        <v>0.55187390000000003</v>
      </c>
      <c r="P6340">
        <v>0.69681700000000002</v>
      </c>
      <c r="Q6340">
        <v>-8.9423650000000007E-3</v>
      </c>
      <c r="R6340">
        <v>0.71719319999999998</v>
      </c>
      <c r="S6340">
        <v>1.6432040000000001</v>
      </c>
      <c r="T6340">
        <v>-0.41448059999999998</v>
      </c>
      <c r="U6340">
        <v>2.5859380000000001</v>
      </c>
      <c r="V6340">
        <v>-0.21352019999999999</v>
      </c>
      <c r="W6340">
        <v>3.593604E-4</v>
      </c>
      <c r="X6340">
        <v>0.97693859999999999</v>
      </c>
      <c r="Y6340">
        <v>-0.40846900000000003</v>
      </c>
      <c r="Z6340">
        <v>-5.0273699999999998E-2</v>
      </c>
      <c r="AA6340">
        <v>0.91138669999999999</v>
      </c>
      <c r="AB6340">
        <v>29</v>
      </c>
      <c r="AC6340">
        <v>4.3158999999999903</v>
      </c>
      <c r="AD6340">
        <v>-1.11791519848</v>
      </c>
      <c r="AE6340">
        <v>6.8931100000000001</v>
      </c>
      <c r="AF6340">
        <v>-3.30362290281988</v>
      </c>
      <c r="AG6340">
        <v>-1.11791519848</v>
      </c>
      <c r="AH6340">
        <v>7.2661999653325404</v>
      </c>
      <c r="AI6340">
        <v>97.972719796154195</v>
      </c>
      <c r="AJ6340">
        <v>114.44921354248</v>
      </c>
      <c r="AK6340">
        <v>8.0598585974710009</v>
      </c>
      <c r="AL6340">
        <v>89.979410165653604</v>
      </c>
      <c r="AM6340">
        <v>102.328725765187</v>
      </c>
      <c r="AN6340">
        <v>1.00000001655894</v>
      </c>
    </row>
    <row r="6341" spans="1:40" x14ac:dyDescent="0.25">
      <c r="A6341" t="str">
        <f>"20190312151655744"</f>
        <v>20190312151655744</v>
      </c>
      <c r="B6341" t="str">
        <f>"1552375015734283"</f>
        <v>1552375015734283</v>
      </c>
      <c r="C6341" t="s">
        <v>40</v>
      </c>
      <c r="D6341">
        <v>4.6212900000000001</v>
      </c>
      <c r="E6341">
        <v>0.42261870000000001</v>
      </c>
      <c r="F6341" t="s">
        <v>64</v>
      </c>
      <c r="G6341">
        <v>-194.93459999999999</v>
      </c>
      <c r="H6341" s="1">
        <v>-1.022438E-5</v>
      </c>
      <c r="I6341">
        <v>-50.578400000000002</v>
      </c>
      <c r="J6341">
        <v>-199.21559999999999</v>
      </c>
      <c r="K6341">
        <v>1.117899</v>
      </c>
      <c r="L6341">
        <v>-57.479950000000002</v>
      </c>
      <c r="M6341">
        <v>0.83080710000000002</v>
      </c>
      <c r="N6341">
        <v>0</v>
      </c>
      <c r="O6341">
        <v>0.55638500000000002</v>
      </c>
      <c r="P6341">
        <v>0.69290909999999994</v>
      </c>
      <c r="Q6341">
        <v>-8.9585299999999993E-3</v>
      </c>
      <c r="R6341">
        <v>0.72096939999999998</v>
      </c>
      <c r="S6341">
        <v>1.6324160000000001</v>
      </c>
      <c r="T6341">
        <v>-0.41462929999999998</v>
      </c>
      <c r="U6341">
        <v>2.591736</v>
      </c>
      <c r="V6341">
        <v>-0.21353469999999999</v>
      </c>
      <c r="W6341">
        <v>3.4505510000000002E-4</v>
      </c>
      <c r="X6341">
        <v>0.97693540000000001</v>
      </c>
      <c r="Y6341">
        <v>-0.4071921</v>
      </c>
      <c r="Z6341">
        <v>-5.107925E-2</v>
      </c>
      <c r="AA6341">
        <v>0.91191319999999998</v>
      </c>
      <c r="AB6341">
        <v>29</v>
      </c>
      <c r="AC6341">
        <v>4.2809999999999997</v>
      </c>
      <c r="AD6341">
        <v>-1.11790922438</v>
      </c>
      <c r="AE6341">
        <v>6.9015500000000003</v>
      </c>
      <c r="AF6341">
        <v>-3.2899645516457299</v>
      </c>
      <c r="AG6341">
        <v>-1.11790922438</v>
      </c>
      <c r="AH6341">
        <v>7.25977461275731</v>
      </c>
      <c r="AI6341">
        <v>97.984028955881101</v>
      </c>
      <c r="AJ6341">
        <v>114.3789513695</v>
      </c>
      <c r="AK6341">
        <v>8.0484728497445399</v>
      </c>
      <c r="AL6341">
        <v>89.980229798311896</v>
      </c>
      <c r="AM6341">
        <v>102.32957654312401</v>
      </c>
      <c r="AN6341">
        <v>0.99999998147013502</v>
      </c>
    </row>
    <row r="6342" spans="1:40" x14ac:dyDescent="0.25">
      <c r="A6342" t="str">
        <f>"20190312151655754"</f>
        <v>20190312151655754</v>
      </c>
      <c r="B6342" t="str">
        <f>"1552375015744044"</f>
        <v>1552375015744044</v>
      </c>
      <c r="C6342" t="s">
        <v>40</v>
      </c>
      <c r="D6342">
        <v>4.6257250000000001</v>
      </c>
      <c r="E6342">
        <v>0.42304140000000001</v>
      </c>
      <c r="F6342" t="s">
        <v>64</v>
      </c>
      <c r="G6342">
        <v>-194.85579999999999</v>
      </c>
      <c r="H6342" s="1">
        <v>-1.024956E-5</v>
      </c>
      <c r="I6342">
        <v>-50.487479999999998</v>
      </c>
      <c r="J6342">
        <v>-199.1003</v>
      </c>
      <c r="K6342">
        <v>1.1178969999999999</v>
      </c>
      <c r="L6342">
        <v>-57.396970000000003</v>
      </c>
      <c r="M6342">
        <v>0.82790339999999996</v>
      </c>
      <c r="N6342">
        <v>0</v>
      </c>
      <c r="O6342">
        <v>0.56069669999999905</v>
      </c>
      <c r="P6342">
        <v>0.68930630000000004</v>
      </c>
      <c r="Q6342">
        <v>-9.2880689999999995E-3</v>
      </c>
      <c r="R6342">
        <v>0.72441049999999996</v>
      </c>
      <c r="S6342">
        <v>1.620285</v>
      </c>
      <c r="T6342">
        <v>-0.41546179999999999</v>
      </c>
      <c r="U6342">
        <v>2.5986940000000001</v>
      </c>
      <c r="V6342">
        <v>-0.21331520000000001</v>
      </c>
      <c r="W6342" s="1">
        <v>2.3023569999999999E-5</v>
      </c>
      <c r="X6342">
        <v>0.97698339999999995</v>
      </c>
      <c r="Y6342">
        <v>-0.40663690000000002</v>
      </c>
      <c r="Z6342">
        <v>-5.1888400000000001E-2</v>
      </c>
      <c r="AA6342">
        <v>0.91211520000000001</v>
      </c>
      <c r="AB6342">
        <v>29</v>
      </c>
      <c r="AC6342">
        <v>4.2445000000000102</v>
      </c>
      <c r="AD6342">
        <v>-1.11790724956</v>
      </c>
      <c r="AE6342">
        <v>6.9094899999999901</v>
      </c>
      <c r="AF6342">
        <v>-3.27853028531452</v>
      </c>
      <c r="AG6342">
        <v>-1.11790724956</v>
      </c>
      <c r="AH6342">
        <v>7.2510776898508196</v>
      </c>
      <c r="AI6342">
        <v>97.9965310054491</v>
      </c>
      <c r="AJ6342">
        <v>114.32981248186501</v>
      </c>
      <c r="AK6342">
        <v>8.0359570129882893</v>
      </c>
      <c r="AL6342">
        <v>89.9986808465693</v>
      </c>
      <c r="AM6342">
        <v>102.316702925611</v>
      </c>
      <c r="AN6342">
        <v>0.99999996947834102</v>
      </c>
    </row>
    <row r="6343" spans="1:40" x14ac:dyDescent="0.25">
      <c r="A6343" t="str">
        <f>"20190312151655767"</f>
        <v>20190312151655767</v>
      </c>
      <c r="B6343" t="str">
        <f>"1552375015764540"</f>
        <v>1552375015764540</v>
      </c>
      <c r="C6343" t="s">
        <v>40</v>
      </c>
      <c r="D6343">
        <v>4.6518730000000001</v>
      </c>
      <c r="E6343">
        <v>0.42374669999999998</v>
      </c>
      <c r="F6343" t="s">
        <v>64</v>
      </c>
      <c r="G6343">
        <v>-194.77690000000001</v>
      </c>
      <c r="H6343" s="1">
        <v>-1.0272940000000001E-5</v>
      </c>
      <c r="I6343">
        <v>-50.401519999999998</v>
      </c>
      <c r="J6343">
        <v>-198.97300000000001</v>
      </c>
      <c r="K6343">
        <v>1.117891</v>
      </c>
      <c r="L6343">
        <v>-57.303829999999998</v>
      </c>
      <c r="M6343">
        <v>0.82465080000000002</v>
      </c>
      <c r="N6343">
        <v>0</v>
      </c>
      <c r="O6343">
        <v>0.56546969999999996</v>
      </c>
      <c r="P6343">
        <v>0.68523480000000003</v>
      </c>
      <c r="Q6343">
        <v>-9.3947149999999997E-3</v>
      </c>
      <c r="R6343">
        <v>0.72826159999999995</v>
      </c>
      <c r="S6343">
        <v>1.6095729999999999</v>
      </c>
      <c r="T6343">
        <v>-0.41619099999999998</v>
      </c>
      <c r="U6343">
        <v>2.6043699999999999</v>
      </c>
      <c r="V6343">
        <v>-0.21314520000000001</v>
      </c>
      <c r="W6343" s="1">
        <v>-7.7163799999999995E-5</v>
      </c>
      <c r="X6343">
        <v>0.97702049999999996</v>
      </c>
      <c r="Y6343">
        <v>-0.40500330000000001</v>
      </c>
      <c r="Z6343">
        <v>-5.2832980000000002E-2</v>
      </c>
      <c r="AA6343">
        <v>0.91278740000000003</v>
      </c>
      <c r="AB6343">
        <v>29</v>
      </c>
      <c r="AC6343">
        <v>4.1960999999999702</v>
      </c>
      <c r="AD6343">
        <v>-1.11790127294</v>
      </c>
      <c r="AE6343">
        <v>6.9023099999999999</v>
      </c>
      <c r="AF6343">
        <v>-3.25716798928535</v>
      </c>
      <c r="AG6343">
        <v>-1.11790127294</v>
      </c>
      <c r="AH6343">
        <v>7.2256905448232898</v>
      </c>
      <c r="AI6343">
        <v>98.028282435768404</v>
      </c>
      <c r="AJ6343">
        <v>114.26470953330499</v>
      </c>
      <c r="AK6343">
        <v>8.0043394740612204</v>
      </c>
      <c r="AL6343">
        <v>90.004421160208906</v>
      </c>
      <c r="AM6343">
        <v>102.30673339214199</v>
      </c>
      <c r="AN6343">
        <v>0.99999996982877004</v>
      </c>
    </row>
    <row r="6344" spans="1:40" x14ac:dyDescent="0.25">
      <c r="A6344" t="str">
        <f>"20190312151655779"</f>
        <v>20190312151655779</v>
      </c>
      <c r="B6344" t="str">
        <f>"1552375015774300"</f>
        <v>1552375015774300</v>
      </c>
      <c r="C6344" t="s">
        <v>40</v>
      </c>
      <c r="D6344">
        <v>4.6348010000000004</v>
      </c>
      <c r="E6344">
        <v>0.42374669999999998</v>
      </c>
      <c r="F6344" t="s">
        <v>64</v>
      </c>
      <c r="G6344">
        <v>-194.6669</v>
      </c>
      <c r="H6344" s="1">
        <v>-1.9835979999999999E-6</v>
      </c>
      <c r="I6344">
        <v>-50.27666</v>
      </c>
      <c r="J6344">
        <v>-198.85419999999999</v>
      </c>
      <c r="K6344">
        <v>1.117883</v>
      </c>
      <c r="L6344">
        <v>-57.216030000000003</v>
      </c>
      <c r="M6344">
        <v>0.82158019999999998</v>
      </c>
      <c r="N6344">
        <v>0</v>
      </c>
      <c r="O6344">
        <v>0.56992189999999998</v>
      </c>
      <c r="P6344">
        <v>0.68125340000000001</v>
      </c>
      <c r="Q6344">
        <v>-9.3350919999999997E-3</v>
      </c>
      <c r="R6344">
        <v>0.73198819999999998</v>
      </c>
      <c r="S6344">
        <v>1.59903</v>
      </c>
      <c r="T6344">
        <v>-0.41512290000000002</v>
      </c>
      <c r="U6344">
        <v>2.6094970000000002</v>
      </c>
      <c r="V6344">
        <v>-0.2131904</v>
      </c>
      <c r="W6344" s="1">
        <v>-1.6265780000000001E-5</v>
      </c>
      <c r="X6344">
        <v>0.97701070000000001</v>
      </c>
      <c r="Y6344">
        <v>-0.4035685</v>
      </c>
      <c r="Z6344">
        <v>-5.3495830000000001E-2</v>
      </c>
      <c r="AA6344">
        <v>0.91338419999999998</v>
      </c>
      <c r="AB6344">
        <v>29</v>
      </c>
      <c r="AC6344">
        <v>4.1872999999999898</v>
      </c>
      <c r="AD6344">
        <v>-1.117884983598</v>
      </c>
      <c r="AE6344">
        <v>6.9393700000000003</v>
      </c>
      <c r="AF6344">
        <v>-3.2532478894988999</v>
      </c>
      <c r="AG6344">
        <v>-1.117884983598</v>
      </c>
      <c r="AH6344">
        <v>7.2577500917222801</v>
      </c>
      <c r="AI6344">
        <v>98.000635476442</v>
      </c>
      <c r="AJ6344">
        <v>114.14405443363199</v>
      </c>
      <c r="AK6344">
        <v>8.0317012557102601</v>
      </c>
      <c r="AL6344">
        <v>90.000931960518898</v>
      </c>
      <c r="AM6344">
        <v>102.30938333053</v>
      </c>
      <c r="AN6344">
        <v>1.00000002741561</v>
      </c>
    </row>
    <row r="6345" spans="1:40" x14ac:dyDescent="0.25">
      <c r="A6345" t="str">
        <f>"20190312151655791"</f>
        <v>20190312151655791</v>
      </c>
      <c r="B6345" t="str">
        <f>"1552375015784059"</f>
        <v>1552375015784059</v>
      </c>
      <c r="C6345" t="s">
        <v>40</v>
      </c>
      <c r="D6345">
        <v>4.6184159999999999</v>
      </c>
      <c r="E6345">
        <v>0.4318089</v>
      </c>
      <c r="F6345" t="s">
        <v>64</v>
      </c>
      <c r="G6345">
        <v>-194.58779999999999</v>
      </c>
      <c r="H6345" s="1">
        <v>-2.029777E-6</v>
      </c>
      <c r="I6345">
        <v>-50.168950000000002</v>
      </c>
      <c r="J6345">
        <v>-198.72210000000001</v>
      </c>
      <c r="K6345">
        <v>1.117883</v>
      </c>
      <c r="L6345">
        <v>-57.117489999999997</v>
      </c>
      <c r="M6345">
        <v>0.8181273</v>
      </c>
      <c r="N6345">
        <v>0</v>
      </c>
      <c r="O6345">
        <v>0.57486749999999998</v>
      </c>
      <c r="P6345">
        <v>0.67689500000000002</v>
      </c>
      <c r="Q6345">
        <v>-9.8856250000000003E-3</v>
      </c>
      <c r="R6345">
        <v>0.73601319999999903</v>
      </c>
      <c r="S6345">
        <v>1.584946</v>
      </c>
      <c r="T6345">
        <v>-0.41529729999999998</v>
      </c>
      <c r="U6345">
        <v>2.6180110000000001</v>
      </c>
      <c r="V6345">
        <v>-0.21308089999999999</v>
      </c>
      <c r="W6345">
        <v>-5.6186400000000003E-4</v>
      </c>
      <c r="X6345">
        <v>0.97703439999999997</v>
      </c>
      <c r="Y6345">
        <v>-0.40299420000000002</v>
      </c>
      <c r="Z6345">
        <v>-5.4318659999999998E-2</v>
      </c>
      <c r="AA6345">
        <v>0.91358910000000004</v>
      </c>
      <c r="AB6345">
        <v>29</v>
      </c>
      <c r="AC6345">
        <v>4.1343000000000201</v>
      </c>
      <c r="AD6345">
        <v>-1.117885029777</v>
      </c>
      <c r="AE6345">
        <v>6.9485400000000004</v>
      </c>
      <c r="AF6345">
        <v>-3.24638216706626</v>
      </c>
      <c r="AG6345">
        <v>-1.117885029777</v>
      </c>
      <c r="AH6345">
        <v>7.2392122236217</v>
      </c>
      <c r="AI6345">
        <v>98.020267831370703</v>
      </c>
      <c r="AJ6345">
        <v>114.153568896077</v>
      </c>
      <c r="AK6345">
        <v>8.0121693524961906</v>
      </c>
      <c r="AL6345">
        <v>90.032192437483005</v>
      </c>
      <c r="AM6345">
        <v>102.30296418075601</v>
      </c>
      <c r="AN6345">
        <v>1.00000000220966</v>
      </c>
    </row>
    <row r="6346" spans="1:40" x14ac:dyDescent="0.25">
      <c r="A6346" t="str">
        <f>"20190312151655803"</f>
        <v>20190312151655803</v>
      </c>
      <c r="B6346" t="str">
        <f>"1552375015793819"</f>
        <v>1552375015793819</v>
      </c>
      <c r="C6346" t="s">
        <v>40</v>
      </c>
      <c r="D6346">
        <v>4.6143809999999998</v>
      </c>
      <c r="E6346">
        <v>0.4318089</v>
      </c>
      <c r="F6346" t="s">
        <v>64</v>
      </c>
      <c r="G6346">
        <v>-194.03229999999999</v>
      </c>
      <c r="H6346" s="1">
        <v>-2.2250689999999999E-6</v>
      </c>
      <c r="I6346">
        <v>-49.630310000000001</v>
      </c>
      <c r="J6346">
        <v>-198.60230000000001</v>
      </c>
      <c r="K6346">
        <v>1.117877</v>
      </c>
      <c r="L6346">
        <v>-57.026519999999998</v>
      </c>
      <c r="M6346">
        <v>0.8149478</v>
      </c>
      <c r="N6346">
        <v>0</v>
      </c>
      <c r="O6346">
        <v>0.57936609999999999</v>
      </c>
      <c r="P6346">
        <v>0.67290209999999995</v>
      </c>
      <c r="Q6346">
        <v>-9.9605360000000007E-3</v>
      </c>
      <c r="R6346">
        <v>0.73966460000000001</v>
      </c>
      <c r="S6346">
        <v>1.617874</v>
      </c>
      <c r="T6346">
        <v>-0.3856465</v>
      </c>
      <c r="U6346">
        <v>2.582916</v>
      </c>
      <c r="V6346">
        <v>-0.21298349999999999</v>
      </c>
      <c r="W6346">
        <v>-6.3236770000000002E-4</v>
      </c>
      <c r="X6346">
        <v>0.97705560000000002</v>
      </c>
      <c r="Y6346">
        <v>-0.3839883</v>
      </c>
      <c r="Z6346">
        <v>-5.244327E-2</v>
      </c>
      <c r="AA6346">
        <v>0.92184739999999998</v>
      </c>
      <c r="AB6346">
        <v>29</v>
      </c>
      <c r="AC6346">
        <v>4.5700000000000198</v>
      </c>
      <c r="AD6346">
        <v>-1.1178792250689999</v>
      </c>
      <c r="AE6346">
        <v>7.39621</v>
      </c>
      <c r="AF6346">
        <v>-3.3251788638781599</v>
      </c>
      <c r="AG6346">
        <v>-1.1178792250689999</v>
      </c>
      <c r="AH6346">
        <v>7.8799327570135196</v>
      </c>
      <c r="AI6346">
        <v>97.446546995404304</v>
      </c>
      <c r="AJ6346">
        <v>112.87880196796699</v>
      </c>
      <c r="AK6346">
        <v>8.6255323716091699</v>
      </c>
      <c r="AL6346">
        <v>90.036232002423503</v>
      </c>
      <c r="AM6346">
        <v>102.297252908782</v>
      </c>
      <c r="AN6346">
        <v>1.0000000083262499</v>
      </c>
    </row>
    <row r="6347" spans="1:40" x14ac:dyDescent="0.25">
      <c r="A6347" t="str">
        <f>"20190312151655815"</f>
        <v>20190312151655815</v>
      </c>
      <c r="B6347" t="str">
        <f>"1552375015804556"</f>
        <v>1552375015804556</v>
      </c>
      <c r="C6347" t="s">
        <v>40</v>
      </c>
      <c r="D6347">
        <v>4.668355</v>
      </c>
      <c r="E6347">
        <v>0.41723749999999998</v>
      </c>
      <c r="F6347" t="s">
        <v>64</v>
      </c>
      <c r="G6347">
        <v>-193.95779999999999</v>
      </c>
      <c r="H6347" s="1">
        <v>-2.2727339999999999E-6</v>
      </c>
      <c r="I6347">
        <v>-49.521810000000002</v>
      </c>
      <c r="J6347">
        <v>-198.48589999999999</v>
      </c>
      <c r="K6347">
        <v>1.117866</v>
      </c>
      <c r="L6347">
        <v>-56.937739999999998</v>
      </c>
      <c r="M6347">
        <v>0.81183019999999995</v>
      </c>
      <c r="N6347">
        <v>0</v>
      </c>
      <c r="O6347">
        <v>0.58372650000000004</v>
      </c>
      <c r="P6347">
        <v>0.66914149999999994</v>
      </c>
      <c r="Q6347">
        <v>-1.0042300000000001E-2</v>
      </c>
      <c r="R6347">
        <v>0.74306729999999999</v>
      </c>
      <c r="S6347">
        <v>1.6038669999999999</v>
      </c>
      <c r="T6347">
        <v>-0.38603939999999998</v>
      </c>
      <c r="U6347">
        <v>2.5916139999999999</v>
      </c>
      <c r="V6347">
        <v>-0.21269930000000001</v>
      </c>
      <c r="W6347">
        <v>-7.0542659999999998E-4</v>
      </c>
      <c r="X6347">
        <v>0.97711749999999997</v>
      </c>
      <c r="Y6347">
        <v>-0.38404939999999999</v>
      </c>
      <c r="Z6347">
        <v>-5.3119449999999999E-2</v>
      </c>
      <c r="AA6347">
        <v>0.92178329999999997</v>
      </c>
      <c r="AB6347">
        <v>29</v>
      </c>
      <c r="AC6347">
        <v>4.5280999999999896</v>
      </c>
      <c r="AD6347">
        <v>-1.1178682727339999</v>
      </c>
      <c r="AE6347">
        <v>7.4159300000000004</v>
      </c>
      <c r="AF6347">
        <v>-3.3226389877316702</v>
      </c>
      <c r="AG6347">
        <v>-1.1178682727339999</v>
      </c>
      <c r="AH6347">
        <v>7.8753556456815197</v>
      </c>
      <c r="AI6347">
        <v>97.450957952358905</v>
      </c>
      <c r="AJ6347">
        <v>112.875044454798</v>
      </c>
      <c r="AK6347">
        <v>8.62037040178366</v>
      </c>
      <c r="AL6347">
        <v>90.040417968294705</v>
      </c>
      <c r="AM6347">
        <v>102.280587686578</v>
      </c>
      <c r="AN6347">
        <v>1.00000004932671</v>
      </c>
    </row>
    <row r="6348" spans="1:40" x14ac:dyDescent="0.25">
      <c r="A6348" t="str">
        <f>"20190312151655826"</f>
        <v>20190312151655826</v>
      </c>
      <c r="B6348" t="str">
        <f>"1552375015814315"</f>
        <v>1552375015814315</v>
      </c>
      <c r="C6348" t="s">
        <v>40</v>
      </c>
      <c r="D6348">
        <v>4.6221649999999999</v>
      </c>
      <c r="E6348">
        <v>0.41482819999999998</v>
      </c>
      <c r="F6348" t="s">
        <v>41</v>
      </c>
      <c r="G6348">
        <v>-197.9684</v>
      </c>
      <c r="H6348">
        <v>0.98043749999999996</v>
      </c>
      <c r="I6348">
        <v>-56.015999999999998</v>
      </c>
      <c r="J6348">
        <v>-198.36590000000001</v>
      </c>
      <c r="K6348">
        <v>1.1178619999999999</v>
      </c>
      <c r="L6348">
        <v>-56.844639999999998</v>
      </c>
      <c r="M6348">
        <v>0.80857100000000004</v>
      </c>
      <c r="N6348">
        <v>0</v>
      </c>
      <c r="O6348">
        <v>0.58823289999999995</v>
      </c>
      <c r="P6348">
        <v>0.66539700000000002</v>
      </c>
      <c r="Q6348">
        <v>-1.0413230000000001E-2</v>
      </c>
      <c r="R6348">
        <v>0.746417</v>
      </c>
      <c r="S6348">
        <v>1.5036620000000001</v>
      </c>
      <c r="T6348">
        <v>-0.39927770000000001</v>
      </c>
      <c r="U6348">
        <v>2.677826</v>
      </c>
      <c r="V6348">
        <v>-0.2121652</v>
      </c>
      <c r="W6348">
        <v>-1.0619640000000001E-3</v>
      </c>
      <c r="X6348">
        <v>0.97723320000000002</v>
      </c>
      <c r="Y6348">
        <v>-0.41773640000000001</v>
      </c>
      <c r="Z6348">
        <v>-5.3167560000000003E-2</v>
      </c>
      <c r="AA6348">
        <v>0.90701129999999996</v>
      </c>
      <c r="AB6348">
        <v>29</v>
      </c>
      <c r="AC6348">
        <v>0.39750000000000801</v>
      </c>
      <c r="AD6348">
        <v>-0.1374245</v>
      </c>
      <c r="AE6348">
        <v>0.82863999999999904</v>
      </c>
      <c r="AF6348">
        <v>-0.426693806234406</v>
      </c>
      <c r="AG6348">
        <v>-0.1374245</v>
      </c>
      <c r="AH6348">
        <v>0.79122812812593801</v>
      </c>
      <c r="AI6348">
        <v>98.691651531919604</v>
      </c>
      <c r="AJ6348">
        <v>118.33711415680401</v>
      </c>
      <c r="AK6348">
        <v>0.90939268097820702</v>
      </c>
      <c r="AL6348">
        <v>90.060846068851106</v>
      </c>
      <c r="AM6348">
        <v>102.249276217442</v>
      </c>
      <c r="AN6348">
        <v>0.99999996352040799</v>
      </c>
    </row>
    <row r="6349" spans="1:40" x14ac:dyDescent="0.25">
      <c r="A6349" t="str">
        <f>"20190312151655836"</f>
        <v>20190312151655836</v>
      </c>
      <c r="B6349" t="str">
        <f>"1552375015833836"</f>
        <v>1552375015833836</v>
      </c>
      <c r="C6349" t="s">
        <v>40</v>
      </c>
      <c r="D6349">
        <v>4.613467</v>
      </c>
      <c r="E6349">
        <v>0.41284650000000001</v>
      </c>
      <c r="F6349" t="s">
        <v>64</v>
      </c>
      <c r="G6349">
        <v>-194.15889999999999</v>
      </c>
      <c r="H6349" s="1">
        <v>-2.5354700000000001E-6</v>
      </c>
      <c r="I6349">
        <v>-49.153480000000002</v>
      </c>
      <c r="J6349">
        <v>-198.2638</v>
      </c>
      <c r="K6349">
        <v>1.1178570000000001</v>
      </c>
      <c r="L6349">
        <v>-56.764830000000003</v>
      </c>
      <c r="M6349">
        <v>0.80576890000000001</v>
      </c>
      <c r="N6349">
        <v>0</v>
      </c>
      <c r="O6349">
        <v>0.59206550000000002</v>
      </c>
      <c r="P6349">
        <v>0.66211439999999999</v>
      </c>
      <c r="Q6349">
        <v>-1.0553450000000001E-2</v>
      </c>
      <c r="R6349">
        <v>0.74932840000000001</v>
      </c>
      <c r="S6349">
        <v>1.47583</v>
      </c>
      <c r="T6349">
        <v>-0.39215149999999999</v>
      </c>
      <c r="U6349">
        <v>2.6980900000000001</v>
      </c>
      <c r="V6349">
        <v>-0.21181059999999999</v>
      </c>
      <c r="W6349">
        <v>-1.1921830000000001E-3</v>
      </c>
      <c r="X6349">
        <v>0.97731000000000001</v>
      </c>
      <c r="Y6349">
        <v>-0.42346270000000003</v>
      </c>
      <c r="Z6349">
        <v>-5.2382739999999997E-2</v>
      </c>
      <c r="AA6349">
        <v>0.90439780000000003</v>
      </c>
      <c r="AB6349">
        <v>29</v>
      </c>
      <c r="AC6349">
        <v>4.1049000000000104</v>
      </c>
      <c r="AD6349">
        <v>-1.1178595354699901</v>
      </c>
      <c r="AE6349">
        <v>7.6113499999999998</v>
      </c>
      <c r="AF6349">
        <v>-3.6421210808742801</v>
      </c>
      <c r="AG6349">
        <v>-1.1178595354699901</v>
      </c>
      <c r="AH6349">
        <v>7.6863425808469499</v>
      </c>
      <c r="AI6349">
        <v>97.487276782571897</v>
      </c>
      <c r="AJ6349">
        <v>115.35361502479</v>
      </c>
      <c r="AK6349">
        <v>8.5787247408301308</v>
      </c>
      <c r="AL6349">
        <v>90.068307070909</v>
      </c>
      <c r="AM6349">
        <v>102.22848806726699</v>
      </c>
      <c r="AN6349">
        <v>0.99999999383633198</v>
      </c>
    </row>
    <row r="6350" spans="1:40" x14ac:dyDescent="0.25">
      <c r="A6350" t="str">
        <f>"20190312151655847"</f>
        <v>20190312151655847</v>
      </c>
      <c r="B6350" t="str">
        <f>"1552375015844571"</f>
        <v>1552375015844571</v>
      </c>
      <c r="C6350" t="s">
        <v>40</v>
      </c>
      <c r="D6350">
        <v>4.6254520000000001</v>
      </c>
      <c r="E6350">
        <v>0.4124795</v>
      </c>
      <c r="F6350" t="s">
        <v>41</v>
      </c>
      <c r="G6350">
        <v>-197.7756</v>
      </c>
      <c r="H6350">
        <v>0.98465709999999995</v>
      </c>
      <c r="I6350">
        <v>-55.852020000000003</v>
      </c>
      <c r="J6350">
        <v>-198.15219999999999</v>
      </c>
      <c r="K6350">
        <v>1.1178520000000001</v>
      </c>
      <c r="L6350">
        <v>-56.676569999999998</v>
      </c>
      <c r="M6350">
        <v>0.80267359999999999</v>
      </c>
      <c r="N6350">
        <v>0</v>
      </c>
      <c r="O6350">
        <v>0.59625509999999904</v>
      </c>
      <c r="P6350">
        <v>0.65841949999999905</v>
      </c>
      <c r="Q6350">
        <v>-1.061224E-2</v>
      </c>
      <c r="R6350">
        <v>0.75257640000000003</v>
      </c>
      <c r="S6350">
        <v>1.4519040000000001</v>
      </c>
      <c r="T6350">
        <v>-0.39618560000000003</v>
      </c>
      <c r="U6350">
        <v>2.7150880000000002</v>
      </c>
      <c r="V6350">
        <v>-0.21152580000000001</v>
      </c>
      <c r="W6350">
        <v>-1.2424929999999999E-3</v>
      </c>
      <c r="X6350">
        <v>0.97737160000000001</v>
      </c>
      <c r="Y6350">
        <v>-0.42731390000000002</v>
      </c>
      <c r="Z6350">
        <v>-5.3248410000000003E-2</v>
      </c>
      <c r="AA6350">
        <v>0.9025339</v>
      </c>
      <c r="AB6350">
        <v>29</v>
      </c>
      <c r="AC6350">
        <v>0.37659999999999599</v>
      </c>
      <c r="AD6350">
        <v>-0.1331949</v>
      </c>
      <c r="AE6350">
        <v>0.824550000000002</v>
      </c>
      <c r="AF6350">
        <v>-0.42809482820049899</v>
      </c>
      <c r="AG6350">
        <v>-0.1331949</v>
      </c>
      <c r="AH6350">
        <v>0.77722596220208195</v>
      </c>
      <c r="AI6350">
        <v>98.536838912802807</v>
      </c>
      <c r="AJ6350">
        <v>118.845903451575</v>
      </c>
      <c r="AK6350">
        <v>0.89726599157606401</v>
      </c>
      <c r="AL6350">
        <v>90.071189624987895</v>
      </c>
      <c r="AM6350">
        <v>102.211792886946</v>
      </c>
      <c r="AN6350">
        <v>0.99999997617052705</v>
      </c>
    </row>
    <row r="6351" spans="1:40" x14ac:dyDescent="0.25">
      <c r="A6351" t="str">
        <f>"20190312151655858"</f>
        <v>20190312151655858</v>
      </c>
      <c r="B6351" t="str">
        <f>"1552375015854332"</f>
        <v>1552375015854332</v>
      </c>
      <c r="C6351" t="s">
        <v>40</v>
      </c>
      <c r="D6351">
        <v>4.637753</v>
      </c>
      <c r="E6351">
        <v>0.41277750000000002</v>
      </c>
      <c r="F6351" t="s">
        <v>64</v>
      </c>
      <c r="G6351">
        <v>-194.13550000000001</v>
      </c>
      <c r="H6351" s="1">
        <v>-2.586273E-6</v>
      </c>
      <c r="I6351">
        <v>-49.058839999999996</v>
      </c>
      <c r="J6351">
        <v>-198.05019999999999</v>
      </c>
      <c r="K6351">
        <v>1.1178509999999999</v>
      </c>
      <c r="L6351">
        <v>-56.595089999999999</v>
      </c>
      <c r="M6351">
        <v>0.79981199999999997</v>
      </c>
      <c r="N6351">
        <v>0</v>
      </c>
      <c r="O6351">
        <v>0.60008830000000002</v>
      </c>
      <c r="P6351">
        <v>0.65520789999999995</v>
      </c>
      <c r="Q6351">
        <v>-1.081967E-2</v>
      </c>
      <c r="R6351">
        <v>0.75537119999999902</v>
      </c>
      <c r="S6351">
        <v>1.436356</v>
      </c>
      <c r="T6351">
        <v>-0.39973429999999999</v>
      </c>
      <c r="U6351">
        <v>2.72403</v>
      </c>
      <c r="V6351">
        <v>-0.21100659999999999</v>
      </c>
      <c r="W6351">
        <v>-1.4362239999999901E-3</v>
      </c>
      <c r="X6351">
        <v>0.97748360000000001</v>
      </c>
      <c r="Y6351">
        <v>-0.42826789999999998</v>
      </c>
      <c r="Z6351">
        <v>-5.4228659999999998E-2</v>
      </c>
      <c r="AA6351">
        <v>0.90202320000000002</v>
      </c>
      <c r="AB6351">
        <v>29</v>
      </c>
      <c r="AC6351">
        <v>3.9146999999999799</v>
      </c>
      <c r="AD6351">
        <v>-1.1178535862729999</v>
      </c>
      <c r="AE6351">
        <v>7.5362499999999901</v>
      </c>
      <c r="AF6351">
        <v>-3.6161206014907998</v>
      </c>
      <c r="AG6351">
        <v>-1.1178535862729999</v>
      </c>
      <c r="AH6351">
        <v>7.5238224248249397</v>
      </c>
      <c r="AI6351">
        <v>97.627185143252802</v>
      </c>
      <c r="AJ6351">
        <v>115.670000580482</v>
      </c>
      <c r="AK6351">
        <v>8.4222223151118598</v>
      </c>
      <c r="AL6351">
        <v>90.082289600434095</v>
      </c>
      <c r="AM6351">
        <v>102.18136062268999</v>
      </c>
      <c r="AN6351">
        <v>1.0000000181259401</v>
      </c>
    </row>
    <row r="6352" spans="1:40" x14ac:dyDescent="0.25">
      <c r="A6352" t="str">
        <f>"20190312151655867"</f>
        <v>20190312151655867</v>
      </c>
      <c r="B6352" t="str">
        <f>"1552375015864092"</f>
        <v>1552375015864092</v>
      </c>
      <c r="C6352" t="s">
        <v>40</v>
      </c>
      <c r="D6352">
        <v>4.6395869999999997</v>
      </c>
      <c r="E6352">
        <v>0.41320669999999998</v>
      </c>
      <c r="F6352" t="s">
        <v>41</v>
      </c>
      <c r="G6352">
        <v>-197.57749999999999</v>
      </c>
      <c r="H6352">
        <v>0.9839618</v>
      </c>
      <c r="I6352">
        <v>-55.691139999999997</v>
      </c>
      <c r="J6352">
        <v>-197.9427</v>
      </c>
      <c r="K6352">
        <v>1.117845</v>
      </c>
      <c r="L6352">
        <v>-56.508450000000003</v>
      </c>
      <c r="M6352">
        <v>0.79676720000000001</v>
      </c>
      <c r="N6352">
        <v>0</v>
      </c>
      <c r="O6352">
        <v>0.60412519999999903</v>
      </c>
      <c r="P6352">
        <v>0.65168970000000004</v>
      </c>
      <c r="Q6352">
        <v>-1.086082E-2</v>
      </c>
      <c r="R6352">
        <v>0.75840799999999997</v>
      </c>
      <c r="S6352">
        <v>1.4262539999999999</v>
      </c>
      <c r="T6352">
        <v>-0.40411010000000003</v>
      </c>
      <c r="U6352">
        <v>2.7286069999999998</v>
      </c>
      <c r="V6352">
        <v>-0.21060619999999999</v>
      </c>
      <c r="W6352">
        <v>-1.4663219999999999E-3</v>
      </c>
      <c r="X6352">
        <v>0.97756989999999999</v>
      </c>
      <c r="Y6352">
        <v>-0.4269829</v>
      </c>
      <c r="Z6352">
        <v>-5.5519020000000002E-2</v>
      </c>
      <c r="AA6352">
        <v>0.90255370000000001</v>
      </c>
      <c r="AB6352">
        <v>29</v>
      </c>
      <c r="AC6352">
        <v>0.36520000000001501</v>
      </c>
      <c r="AD6352">
        <v>-0.13388319999999901</v>
      </c>
      <c r="AE6352">
        <v>0.81730999999999898</v>
      </c>
      <c r="AF6352">
        <v>-0.42119995105269997</v>
      </c>
      <c r="AG6352">
        <v>-0.13388319999999901</v>
      </c>
      <c r="AH6352">
        <v>0.76764299136043501</v>
      </c>
      <c r="AI6352">
        <v>98.693396037949796</v>
      </c>
      <c r="AJ6352">
        <v>118.753246208306</v>
      </c>
      <c r="AK6352">
        <v>0.88578206811485805</v>
      </c>
      <c r="AL6352">
        <v>90.0840140908129</v>
      </c>
      <c r="AM6352">
        <v>102.157892548513</v>
      </c>
      <c r="AN6352">
        <v>1.0000000154823201</v>
      </c>
    </row>
    <row r="6353" spans="1:40" x14ac:dyDescent="0.25">
      <c r="A6353" t="str">
        <f>"20190312151655878"</f>
        <v>20190312151655878</v>
      </c>
      <c r="B6353" t="str">
        <f>"1552375015873852"</f>
        <v>1552375015873852</v>
      </c>
      <c r="C6353" t="s">
        <v>40</v>
      </c>
      <c r="D6353">
        <v>4.6155949999999999</v>
      </c>
      <c r="E6353">
        <v>0.41345389999999999</v>
      </c>
      <c r="F6353" t="s">
        <v>64</v>
      </c>
      <c r="G6353">
        <v>-194.0667</v>
      </c>
      <c r="H6353" s="1">
        <v>-2.5892339999999998E-6</v>
      </c>
      <c r="I6353">
        <v>-49.027990000000003</v>
      </c>
      <c r="J6353">
        <v>-197.8432</v>
      </c>
      <c r="K6353">
        <v>1.1178380000000001</v>
      </c>
      <c r="L6353">
        <v>-56.427309999999999</v>
      </c>
      <c r="M6353">
        <v>0.79391659999999997</v>
      </c>
      <c r="N6353">
        <v>0</v>
      </c>
      <c r="O6353">
        <v>0.60786629999999997</v>
      </c>
      <c r="P6353">
        <v>0.6483333</v>
      </c>
      <c r="Q6353">
        <v>-1.106528E-2</v>
      </c>
      <c r="R6353">
        <v>0.76127619999999996</v>
      </c>
      <c r="S6353">
        <v>1.416107</v>
      </c>
      <c r="T6353">
        <v>-0.40840320000000002</v>
      </c>
      <c r="U6353">
        <v>2.732971</v>
      </c>
      <c r="V6353">
        <v>-0.2103199</v>
      </c>
      <c r="W6353">
        <v>-1.6625850000000001E-3</v>
      </c>
      <c r="X6353">
        <v>0.97763120000000003</v>
      </c>
      <c r="Y6353">
        <v>-0.42599809999999999</v>
      </c>
      <c r="Z6353">
        <v>-5.6752579999999997E-2</v>
      </c>
      <c r="AA6353">
        <v>0.90294229999999998</v>
      </c>
      <c r="AB6353">
        <v>29</v>
      </c>
      <c r="AC6353">
        <v>3.7764999999999902</v>
      </c>
      <c r="AD6353">
        <v>-1.117840589234</v>
      </c>
      <c r="AE6353">
        <v>7.3993199999999897</v>
      </c>
      <c r="AF6353">
        <v>-3.5155307192299201</v>
      </c>
      <c r="AG6353">
        <v>-1.117840589234</v>
      </c>
      <c r="AH6353">
        <v>7.3634279402994904</v>
      </c>
      <c r="AI6353">
        <v>97.800791266546696</v>
      </c>
      <c r="AJ6353">
        <v>115.521268281692</v>
      </c>
      <c r="AK6353">
        <v>8.2358117300464997</v>
      </c>
      <c r="AL6353">
        <v>90.095259148051497</v>
      </c>
      <c r="AM6353">
        <v>102.141116966315</v>
      </c>
      <c r="AN6353">
        <v>0.99999999386916605</v>
      </c>
    </row>
    <row r="6354" spans="1:40" x14ac:dyDescent="0.25">
      <c r="A6354" t="str">
        <f>"20190312151655889"</f>
        <v>20190312151655889</v>
      </c>
      <c r="B6354" t="str">
        <f>"1552375015883612"</f>
        <v>1552375015883612</v>
      </c>
      <c r="C6354" t="s">
        <v>40</v>
      </c>
      <c r="D6354">
        <v>4.6476980000000001</v>
      </c>
      <c r="E6354">
        <v>0.41410599999999997</v>
      </c>
      <c r="F6354" t="s">
        <v>41</v>
      </c>
      <c r="G6354">
        <v>-197.37870000000001</v>
      </c>
      <c r="H6354">
        <v>0.98360800000000004</v>
      </c>
      <c r="I6354">
        <v>-55.522739999999999</v>
      </c>
      <c r="J6354">
        <v>-197.7286</v>
      </c>
      <c r="K6354">
        <v>1.117831</v>
      </c>
      <c r="L6354">
        <v>-56.333100000000002</v>
      </c>
      <c r="M6354">
        <v>0.79060039999999998</v>
      </c>
      <c r="N6354">
        <v>0</v>
      </c>
      <c r="O6354">
        <v>0.61217339999999998</v>
      </c>
      <c r="P6354">
        <v>0.64474960000000003</v>
      </c>
      <c r="Q6354">
        <v>-1.134071E-2</v>
      </c>
      <c r="R6354">
        <v>0.76430969999999998</v>
      </c>
      <c r="S6354">
        <v>1.405624</v>
      </c>
      <c r="T6354">
        <v>-0.40622409999999998</v>
      </c>
      <c r="U6354">
        <v>2.737762</v>
      </c>
      <c r="V6354">
        <v>-0.20958969999999999</v>
      </c>
      <c r="W6354">
        <v>-1.9193369999999999E-3</v>
      </c>
      <c r="X6354">
        <v>0.97778759999999998</v>
      </c>
      <c r="Y6354">
        <v>-0.42447970000000002</v>
      </c>
      <c r="Z6354">
        <v>-5.7215530000000001E-2</v>
      </c>
      <c r="AA6354">
        <v>0.90362790000000004</v>
      </c>
      <c r="AB6354">
        <v>29</v>
      </c>
      <c r="AC6354">
        <v>0.349899999999991</v>
      </c>
      <c r="AD6354">
        <v>-0.13422299999999901</v>
      </c>
      <c r="AE6354">
        <v>0.81036000000000197</v>
      </c>
      <c r="AF6354">
        <v>-0.41687343263820797</v>
      </c>
      <c r="AG6354">
        <v>-0.13422299999999901</v>
      </c>
      <c r="AH6354">
        <v>0.75532150116355301</v>
      </c>
      <c r="AI6354">
        <v>98.843200202448998</v>
      </c>
      <c r="AJ6354">
        <v>118.894974381758</v>
      </c>
      <c r="AK6354">
        <v>0.87310356927945598</v>
      </c>
      <c r="AL6354">
        <v>90.109969970653694</v>
      </c>
      <c r="AM6354">
        <v>102.09833061115199</v>
      </c>
      <c r="AN6354">
        <v>1.00000005845718</v>
      </c>
    </row>
    <row r="6355" spans="1:40" x14ac:dyDescent="0.25">
      <c r="A6355" t="str">
        <f>"20190312151655902"</f>
        <v>20190312151655902</v>
      </c>
      <c r="B6355" t="str">
        <f>"1552375015894348"</f>
        <v>1552375015894348</v>
      </c>
      <c r="C6355" t="s">
        <v>40</v>
      </c>
      <c r="D6355">
        <v>4.6145860000000001</v>
      </c>
      <c r="E6355">
        <v>0.41467910000000002</v>
      </c>
      <c r="F6355" t="s">
        <v>64</v>
      </c>
      <c r="G6355">
        <v>-193.90719999999999</v>
      </c>
      <c r="H6355" s="1">
        <v>-2.6698260000000001E-6</v>
      </c>
      <c r="I6355">
        <v>-48.831940000000003</v>
      </c>
      <c r="J6355">
        <v>-197.61940000000001</v>
      </c>
      <c r="K6355">
        <v>1.1178250000000001</v>
      </c>
      <c r="L6355">
        <v>-56.241970000000002</v>
      </c>
      <c r="M6355">
        <v>0.78739859999999995</v>
      </c>
      <c r="N6355">
        <v>0</v>
      </c>
      <c r="O6355">
        <v>0.61628609999999995</v>
      </c>
      <c r="P6355">
        <v>0.64128079999999998</v>
      </c>
      <c r="Q6355">
        <v>-1.1498619999999999E-2</v>
      </c>
      <c r="R6355">
        <v>0.76722009999999996</v>
      </c>
      <c r="S6355">
        <v>1.396423</v>
      </c>
      <c r="T6355">
        <v>-0.40848099999999998</v>
      </c>
      <c r="U6355">
        <v>2.7410890000000001</v>
      </c>
      <c r="V6355">
        <v>-0.20891680000000001</v>
      </c>
      <c r="W6355">
        <v>-2.0600359999999999E-3</v>
      </c>
      <c r="X6355">
        <v>0.97793129999999995</v>
      </c>
      <c r="Y6355">
        <v>-0.4226492</v>
      </c>
      <c r="Z6355">
        <v>-5.8297750000000002E-2</v>
      </c>
      <c r="AA6355">
        <v>0.90441640000000001</v>
      </c>
      <c r="AB6355">
        <v>29</v>
      </c>
      <c r="AC6355">
        <v>3.7122000000000202</v>
      </c>
      <c r="AD6355">
        <v>-1.1178276698259999</v>
      </c>
      <c r="AE6355">
        <v>7.4100299999999901</v>
      </c>
      <c r="AF6355">
        <v>-3.4838402292367801</v>
      </c>
      <c r="AG6355">
        <v>-1.1178276698259999</v>
      </c>
      <c r="AH6355">
        <v>7.3565839995423596</v>
      </c>
      <c r="AI6355">
        <v>97.819432912344197</v>
      </c>
      <c r="AJ6355">
        <v>115.340721351298</v>
      </c>
      <c r="AK6355">
        <v>8.2162040861093502</v>
      </c>
      <c r="AL6355">
        <v>90.118031445991306</v>
      </c>
      <c r="AM6355">
        <v>102.058906873654</v>
      </c>
      <c r="AN6355">
        <v>1.0000000502951201</v>
      </c>
    </row>
    <row r="6356" spans="1:40" x14ac:dyDescent="0.25">
      <c r="A6356" t="str">
        <f>"20190312151655911"</f>
        <v>20190312151655911</v>
      </c>
      <c r="B6356" t="str">
        <f>"1552375015904108"</f>
        <v>1552375015904108</v>
      </c>
      <c r="C6356" t="s">
        <v>40</v>
      </c>
      <c r="D6356">
        <v>4.598865</v>
      </c>
      <c r="E6356">
        <v>0.41517799999999999</v>
      </c>
      <c r="F6356" t="s">
        <v>41</v>
      </c>
      <c r="G6356">
        <v>-197.14189999999999</v>
      </c>
      <c r="H6356">
        <v>0.97669320000000004</v>
      </c>
      <c r="I6356">
        <v>-55.297240000000002</v>
      </c>
      <c r="J6356">
        <v>-197.51230000000001</v>
      </c>
      <c r="K6356">
        <v>1.1178220000000001</v>
      </c>
      <c r="L6356">
        <v>-56.152279999999998</v>
      </c>
      <c r="M6356">
        <v>0.78423409999999905</v>
      </c>
      <c r="N6356">
        <v>0</v>
      </c>
      <c r="O6356">
        <v>0.62030810000000003</v>
      </c>
      <c r="P6356">
        <v>0.63765130000000003</v>
      </c>
      <c r="Q6356">
        <v>-1.145555E-2</v>
      </c>
      <c r="R6356">
        <v>0.77023999999999904</v>
      </c>
      <c r="S6356">
        <v>1.387283</v>
      </c>
      <c r="T6356">
        <v>-0.41000189999999997</v>
      </c>
      <c r="U6356">
        <v>2.744507</v>
      </c>
      <c r="V6356">
        <v>-0.20853070000000001</v>
      </c>
      <c r="W6356">
        <v>-2.0063310000000001E-3</v>
      </c>
      <c r="X6356">
        <v>0.97801380000000004</v>
      </c>
      <c r="Y6356">
        <v>-0.42089739999999998</v>
      </c>
      <c r="Z6356">
        <v>-5.9262200000000001E-2</v>
      </c>
      <c r="AA6356">
        <v>0.90517040000000004</v>
      </c>
      <c r="AB6356">
        <v>29</v>
      </c>
      <c r="AC6356">
        <v>0.37040000000001699</v>
      </c>
      <c r="AD6356">
        <v>-0.141128799999999</v>
      </c>
      <c r="AE6356">
        <v>0.85504000000000202</v>
      </c>
      <c r="AF6356">
        <v>-0.43094701318581102</v>
      </c>
      <c r="AG6356">
        <v>-0.141128799999999</v>
      </c>
      <c r="AH6356">
        <v>0.80253936566488504</v>
      </c>
      <c r="AI6356">
        <v>98.806764446889204</v>
      </c>
      <c r="AJ6356">
        <v>118.23487714526701</v>
      </c>
      <c r="AK6356">
        <v>0.92179287250716302</v>
      </c>
      <c r="AL6356">
        <v>90.114954371636301</v>
      </c>
      <c r="AM6356">
        <v>102.036285553395</v>
      </c>
      <c r="AN6356">
        <v>1.0000000355984999</v>
      </c>
    </row>
    <row r="6357" spans="1:40" x14ac:dyDescent="0.25">
      <c r="A6357" t="str">
        <f>"20190312151655923"</f>
        <v>20190312151655923</v>
      </c>
      <c r="B6357" t="str">
        <f>"1552375015913867"</f>
        <v>1552375015913867</v>
      </c>
      <c r="C6357" t="s">
        <v>40</v>
      </c>
      <c r="D6357">
        <v>4.6107149999999999</v>
      </c>
      <c r="E6357">
        <v>0.41562359999999998</v>
      </c>
      <c r="F6357" t="s">
        <v>64</v>
      </c>
      <c r="G6357">
        <v>-193.75800000000001</v>
      </c>
      <c r="H6357" s="1">
        <v>-2.7388029999999998E-6</v>
      </c>
      <c r="I6357">
        <v>-48.65934</v>
      </c>
      <c r="J6357">
        <v>-197.40180000000001</v>
      </c>
      <c r="K6357">
        <v>1.1178170000000001</v>
      </c>
      <c r="L6357">
        <v>-56.057980000000001</v>
      </c>
      <c r="M6357">
        <v>0.78092039999999996</v>
      </c>
      <c r="N6357">
        <v>0</v>
      </c>
      <c r="O6357">
        <v>0.62447469999999905</v>
      </c>
      <c r="P6357">
        <v>0.63405999999999996</v>
      </c>
      <c r="Q6357">
        <v>-1.152269E-2</v>
      </c>
      <c r="R6357">
        <v>0.77319799999999905</v>
      </c>
      <c r="S6357">
        <v>1.377213</v>
      </c>
      <c r="T6357">
        <v>-0.4100549</v>
      </c>
      <c r="U6357">
        <v>2.7486570000000001</v>
      </c>
      <c r="V6357">
        <v>-0.20787259999999999</v>
      </c>
      <c r="W6357">
        <v>-2.0566460000000001E-3</v>
      </c>
      <c r="X6357">
        <v>0.97815379999999996</v>
      </c>
      <c r="Y6357">
        <v>-0.41929490000000003</v>
      </c>
      <c r="Z6357">
        <v>-6.00288E-2</v>
      </c>
      <c r="AA6357">
        <v>0.90586330000000004</v>
      </c>
      <c r="AB6357">
        <v>29</v>
      </c>
      <c r="AC6357">
        <v>3.6438000000000201</v>
      </c>
      <c r="AD6357">
        <v>-1.117819738803</v>
      </c>
      <c r="AE6357">
        <v>7.3986400000000003</v>
      </c>
      <c r="AF6357">
        <v>-3.4394440480219401</v>
      </c>
      <c r="AG6357">
        <v>-1.117819738803</v>
      </c>
      <c r="AH6357">
        <v>7.3318176299161602</v>
      </c>
      <c r="AI6357">
        <v>97.858787400643493</v>
      </c>
      <c r="AJ6357">
        <v>115.131839875018</v>
      </c>
      <c r="AK6357">
        <v>8.1752581663382706</v>
      </c>
      <c r="AL6357">
        <v>90.117837212691597</v>
      </c>
      <c r="AM6357">
        <v>101.997735351595</v>
      </c>
      <c r="AN6357">
        <v>1.00000005203898</v>
      </c>
    </row>
    <row r="6358" spans="1:40" x14ac:dyDescent="0.25">
      <c r="A6358" t="str">
        <f>"20190312151655934"</f>
        <v>20190312151655934</v>
      </c>
      <c r="B6358" t="str">
        <f>"1552375015923628"</f>
        <v>1552375015923628</v>
      </c>
      <c r="C6358" t="s">
        <v>40</v>
      </c>
      <c r="D6358">
        <v>4.6096009999999996</v>
      </c>
      <c r="E6358">
        <v>0.41610750000000002</v>
      </c>
      <c r="F6358" t="s">
        <v>64</v>
      </c>
      <c r="G6358">
        <v>-193.68770000000001</v>
      </c>
      <c r="H6358" s="1">
        <v>-2.7701259999999998E-6</v>
      </c>
      <c r="I6358">
        <v>-48.580019999999998</v>
      </c>
      <c r="J6358">
        <v>-197.29849999999999</v>
      </c>
      <c r="K6358">
        <v>1.117812</v>
      </c>
      <c r="L6358">
        <v>-55.969569999999997</v>
      </c>
      <c r="M6358">
        <v>0.77779880000000001</v>
      </c>
      <c r="N6358">
        <v>0</v>
      </c>
      <c r="O6358">
        <v>0.62835839999999998</v>
      </c>
      <c r="P6358">
        <v>0.63052940000000002</v>
      </c>
      <c r="Q6358">
        <v>-1.144645E-2</v>
      </c>
      <c r="R6358">
        <v>0.77608089999999996</v>
      </c>
      <c r="S6358">
        <v>1.3671879999999901</v>
      </c>
      <c r="T6358">
        <v>-0.41147640000000002</v>
      </c>
      <c r="U6358">
        <v>2.7526860000000002</v>
      </c>
      <c r="V6358">
        <v>-0.2074589</v>
      </c>
      <c r="W6358">
        <v>-1.9692580000000002E-3</v>
      </c>
      <c r="X6358">
        <v>0.97824169999999999</v>
      </c>
      <c r="Y6358">
        <v>-0.41797679999999998</v>
      </c>
      <c r="Z6358">
        <v>-6.0936230000000001E-2</v>
      </c>
      <c r="AA6358">
        <v>0.90641170000000004</v>
      </c>
      <c r="AB6358">
        <v>29</v>
      </c>
      <c r="AC6358">
        <v>3.6107999999999798</v>
      </c>
      <c r="AD6358">
        <v>-1.1178147701259999</v>
      </c>
      <c r="AE6358">
        <v>7.3895499999999901</v>
      </c>
      <c r="AF6358">
        <v>-3.4159459250851998</v>
      </c>
      <c r="AG6358">
        <v>-1.1178147701259999</v>
      </c>
      <c r="AH6358">
        <v>7.31732161650572</v>
      </c>
      <c r="AI6358">
        <v>97.880940833859</v>
      </c>
      <c r="AJ6358">
        <v>115.024582079905</v>
      </c>
      <c r="AK6358">
        <v>8.1523856669566293</v>
      </c>
      <c r="AL6358">
        <v>90.112830250920794</v>
      </c>
      <c r="AM6358">
        <v>101.973502906337</v>
      </c>
      <c r="AN6358">
        <v>0.99999994839258399</v>
      </c>
    </row>
    <row r="6359" spans="1:40" x14ac:dyDescent="0.25">
      <c r="A6359" t="str">
        <f>"20190312151655946"</f>
        <v>20190312151655946</v>
      </c>
      <c r="B6359" t="str">
        <f>"1552375015934365"</f>
        <v>1552375015934365</v>
      </c>
      <c r="C6359" t="s">
        <v>40</v>
      </c>
      <c r="D6359">
        <v>4.5744870000000004</v>
      </c>
      <c r="E6359">
        <v>0.41644189999999998</v>
      </c>
      <c r="F6359" t="s">
        <v>41</v>
      </c>
      <c r="G6359">
        <v>-196.8279</v>
      </c>
      <c r="H6359">
        <v>0.97460049999999998</v>
      </c>
      <c r="I6359">
        <v>-55.013890000000004</v>
      </c>
      <c r="J6359">
        <v>-197.1798</v>
      </c>
      <c r="K6359">
        <v>1.117801</v>
      </c>
      <c r="L6359">
        <v>-55.866239999999998</v>
      </c>
      <c r="M6359">
        <v>0.77416099999999999</v>
      </c>
      <c r="N6359">
        <v>0</v>
      </c>
      <c r="O6359">
        <v>0.63283489999999998</v>
      </c>
      <c r="P6359">
        <v>0.62627429999999995</v>
      </c>
      <c r="Q6359">
        <v>-1.1394700000000001E-2</v>
      </c>
      <c r="R6359">
        <v>0.77951949999999903</v>
      </c>
      <c r="S6359">
        <v>1.357712</v>
      </c>
      <c r="T6359">
        <v>-0.41307260000000001</v>
      </c>
      <c r="U6359">
        <v>2.7564090000000001</v>
      </c>
      <c r="V6359">
        <v>-0.20716879999999999</v>
      </c>
      <c r="W6359">
        <v>-1.9090789999999999E-3</v>
      </c>
      <c r="X6359">
        <v>0.97830340000000005</v>
      </c>
      <c r="Y6359">
        <v>-0.41576809999999997</v>
      </c>
      <c r="Z6359">
        <v>-6.2020760000000001E-2</v>
      </c>
      <c r="AA6359">
        <v>0.90735350000000004</v>
      </c>
      <c r="AB6359">
        <v>29</v>
      </c>
      <c r="AC6359">
        <v>0.35189999999999999</v>
      </c>
      <c r="AD6359">
        <v>-0.14320050000000001</v>
      </c>
      <c r="AE6359">
        <v>0.85235000000000105</v>
      </c>
      <c r="AF6359">
        <v>-0.42690890153761701</v>
      </c>
      <c r="AG6359">
        <v>-0.14320050000000001</v>
      </c>
      <c r="AH6359">
        <v>0.79278460258309702</v>
      </c>
      <c r="AI6359">
        <v>99.036481880618197</v>
      </c>
      <c r="AJ6359">
        <v>118.30214996716499</v>
      </c>
      <c r="AK6359">
        <v>0.91173736322756005</v>
      </c>
      <c r="AL6359">
        <v>90.109382230499705</v>
      </c>
      <c r="AM6359">
        <v>101.956509593956</v>
      </c>
      <c r="AN6359">
        <v>1.0000000493638099</v>
      </c>
    </row>
    <row r="6360" spans="1:40" x14ac:dyDescent="0.25">
      <c r="A6360" t="str">
        <f>"20190312151655960"</f>
        <v>20190312151655960</v>
      </c>
      <c r="B6360" t="str">
        <f>"1552375015953884"</f>
        <v>1552375015953884</v>
      </c>
      <c r="C6360" t="s">
        <v>40</v>
      </c>
      <c r="D6360">
        <v>4.6289920000000002</v>
      </c>
      <c r="E6360">
        <v>0.4171126</v>
      </c>
      <c r="F6360" t="s">
        <v>64</v>
      </c>
      <c r="G6360">
        <v>-193.55019999999999</v>
      </c>
      <c r="H6360" s="1">
        <v>-2.8407289999999999E-6</v>
      </c>
      <c r="I6360">
        <v>-48.409100000000002</v>
      </c>
      <c r="J6360">
        <v>-197.04320000000001</v>
      </c>
      <c r="K6360">
        <v>1.1177950000000001</v>
      </c>
      <c r="L6360">
        <v>-55.746029999999998</v>
      </c>
      <c r="M6360">
        <v>0.76992260000000001</v>
      </c>
      <c r="N6360">
        <v>0</v>
      </c>
      <c r="O6360">
        <v>0.63798480000000002</v>
      </c>
      <c r="P6360">
        <v>0.62131639999999999</v>
      </c>
      <c r="Q6360">
        <v>-1.1361690000000001E-2</v>
      </c>
      <c r="R6360">
        <v>0.78347739999999999</v>
      </c>
      <c r="S6360">
        <v>1.344482</v>
      </c>
      <c r="T6360">
        <v>-0.4140605</v>
      </c>
      <c r="U6360">
        <v>2.7622990000000001</v>
      </c>
      <c r="V6360">
        <v>-0.20685110000000001</v>
      </c>
      <c r="W6360">
        <v>-1.866744E-3</v>
      </c>
      <c r="X6360">
        <v>0.97837070000000004</v>
      </c>
      <c r="Y6360">
        <v>-0.4140143</v>
      </c>
      <c r="Z6360">
        <v>-6.3092819999999994E-2</v>
      </c>
      <c r="AA6360">
        <v>0.90808120000000003</v>
      </c>
      <c r="AB6360">
        <v>29</v>
      </c>
      <c r="AC6360">
        <v>3.4930000000000199</v>
      </c>
      <c r="AD6360">
        <v>-1.1177978407289999</v>
      </c>
      <c r="AE6360">
        <v>7.3369299999999997</v>
      </c>
      <c r="AF6360">
        <v>-3.3571941821731999</v>
      </c>
      <c r="AG6360">
        <v>-1.1177978407289999</v>
      </c>
      <c r="AH6360">
        <v>7.23402202671517</v>
      </c>
      <c r="AI6360">
        <v>97.9786807332911</v>
      </c>
      <c r="AJ6360">
        <v>114.895262203378</v>
      </c>
      <c r="AK6360">
        <v>8.0530304527274907</v>
      </c>
      <c r="AL6360">
        <v>90.106956609995095</v>
      </c>
      <c r="AM6360">
        <v>101.937902756139</v>
      </c>
      <c r="AN6360">
        <v>1.0000000444614201</v>
      </c>
    </row>
    <row r="6361" spans="1:40" x14ac:dyDescent="0.25">
      <c r="A6361" t="str">
        <f>"20190312151655975"</f>
        <v>20190312151655975</v>
      </c>
      <c r="B6361" t="str">
        <f>"1552375015963644"</f>
        <v>1552375015963644</v>
      </c>
      <c r="C6361" t="s">
        <v>40</v>
      </c>
      <c r="D6361">
        <v>4.6224879999999997</v>
      </c>
      <c r="E6361">
        <v>0.41742849999999998</v>
      </c>
      <c r="F6361" t="s">
        <v>64</v>
      </c>
      <c r="G6361">
        <v>-193.43270000000001</v>
      </c>
      <c r="H6361" s="1">
        <v>-2.9143569999999999E-6</v>
      </c>
      <c r="I6361">
        <v>-48.240569999999998</v>
      </c>
      <c r="J6361">
        <v>-196.90610000000001</v>
      </c>
      <c r="K6361">
        <v>1.1177900000000001</v>
      </c>
      <c r="L6361">
        <v>-55.624020000000002</v>
      </c>
      <c r="M6361">
        <v>0.76561269999999904</v>
      </c>
      <c r="N6361">
        <v>0</v>
      </c>
      <c r="O6361">
        <v>0.64315059999999902</v>
      </c>
      <c r="P6361">
        <v>0.61641169999999901</v>
      </c>
      <c r="Q6361">
        <v>-1.139019E-2</v>
      </c>
      <c r="R6361">
        <v>0.78734169999999903</v>
      </c>
      <c r="S6361">
        <v>1.331253</v>
      </c>
      <c r="T6361">
        <v>-0.41215629999999998</v>
      </c>
      <c r="U6361">
        <v>2.7674259999999999</v>
      </c>
      <c r="V6361">
        <v>-0.20637710000000001</v>
      </c>
      <c r="W6361">
        <v>-1.88236E-3</v>
      </c>
      <c r="X6361">
        <v>0.97847070000000003</v>
      </c>
      <c r="Y6361">
        <v>-0.41209770000000001</v>
      </c>
      <c r="Z6361">
        <v>-6.3753219999999999E-2</v>
      </c>
      <c r="AA6361">
        <v>0.90890649999999995</v>
      </c>
      <c r="AB6361">
        <v>29</v>
      </c>
      <c r="AC6361">
        <v>3.4733999999999901</v>
      </c>
      <c r="AD6361">
        <v>-1.117792914357</v>
      </c>
      <c r="AE6361">
        <v>7.3834499999999901</v>
      </c>
      <c r="AF6361">
        <v>-3.3562909843511401</v>
      </c>
      <c r="AG6361">
        <v>-1.117792914357</v>
      </c>
      <c r="AH6361">
        <v>7.2721973322433504</v>
      </c>
      <c r="AI6361">
        <v>97.944948530020199</v>
      </c>
      <c r="AJ6361">
        <v>114.774440488165</v>
      </c>
      <c r="AK6361">
        <v>8.0869650803073707</v>
      </c>
      <c r="AL6361">
        <v>90.107851349294805</v>
      </c>
      <c r="AM6361">
        <v>101.910146702071</v>
      </c>
      <c r="AN6361">
        <v>0.99999998072103402</v>
      </c>
    </row>
    <row r="6362" spans="1:40" x14ac:dyDescent="0.25">
      <c r="A6362" t="str">
        <f>"20190312151655995"</f>
        <v>20190312151655995</v>
      </c>
      <c r="B6362" t="str">
        <f>"1552375015984140"</f>
        <v>1552375015984140</v>
      </c>
      <c r="C6362" t="s">
        <v>40</v>
      </c>
      <c r="D6362">
        <v>4.6258540000000004</v>
      </c>
      <c r="E6362">
        <v>0.41816520000000001</v>
      </c>
      <c r="F6362" t="s">
        <v>41</v>
      </c>
      <c r="G6362">
        <v>-196.4546</v>
      </c>
      <c r="H6362">
        <v>0.97619109999999998</v>
      </c>
      <c r="I6362">
        <v>-54.672280000000001</v>
      </c>
      <c r="J6362">
        <v>-196.71369999999999</v>
      </c>
      <c r="K6362">
        <v>1.117785</v>
      </c>
      <c r="L6362">
        <v>-55.449739999999998</v>
      </c>
      <c r="M6362">
        <v>0.75945649999999998</v>
      </c>
      <c r="N6362">
        <v>0</v>
      </c>
      <c r="O6362">
        <v>0.650408599999999</v>
      </c>
      <c r="P6362">
        <v>0.60960029999999998</v>
      </c>
      <c r="Q6362">
        <v>-1.13676E-2</v>
      </c>
      <c r="R6362">
        <v>0.79262739999999998</v>
      </c>
      <c r="S6362">
        <v>1.315887</v>
      </c>
      <c r="T6362">
        <v>-0.4127053</v>
      </c>
      <c r="U6362">
        <v>2.7741090000000002</v>
      </c>
      <c r="V6362">
        <v>-0.2055013</v>
      </c>
      <c r="W6362">
        <v>-1.836849E-3</v>
      </c>
      <c r="X6362">
        <v>0.9786551</v>
      </c>
      <c r="Y6362">
        <v>-0.4084354</v>
      </c>
      <c r="Z6362">
        <v>-6.5205570000000004E-2</v>
      </c>
      <c r="AA6362">
        <v>0.91045520000000002</v>
      </c>
      <c r="AB6362">
        <v>29</v>
      </c>
      <c r="AC6362">
        <v>0.25909999999998901</v>
      </c>
      <c r="AD6362">
        <v>-0.14159389999999999</v>
      </c>
      <c r="AE6362">
        <v>0.77745999999999704</v>
      </c>
      <c r="AF6362">
        <v>-0.40973523816471802</v>
      </c>
      <c r="AG6362">
        <v>-0.14159389999999999</v>
      </c>
      <c r="AH6362">
        <v>0.68214581257097195</v>
      </c>
      <c r="AI6362">
        <v>100.089573264409</v>
      </c>
      <c r="AJ6362">
        <v>120.991401553138</v>
      </c>
      <c r="AK6362">
        <v>0.808241738293204</v>
      </c>
      <c r="AL6362">
        <v>90.105243756428393</v>
      </c>
      <c r="AM6362">
        <v>101.858866760246</v>
      </c>
      <c r="AN6362">
        <v>0.99999998153597403</v>
      </c>
    </row>
    <row r="6363" spans="1:40" x14ac:dyDescent="0.25">
      <c r="A6363" t="str">
        <f>"20190312151656018"</f>
        <v>20190312151656018</v>
      </c>
      <c r="B6363" t="str">
        <f>"1552375016014396"</f>
        <v>1552375016014396</v>
      </c>
      <c r="C6363" t="s">
        <v>40</v>
      </c>
      <c r="D6363">
        <v>4.580832</v>
      </c>
      <c r="E6363">
        <v>0.41912670000000002</v>
      </c>
      <c r="F6363" t="s">
        <v>41</v>
      </c>
      <c r="G6363">
        <v>-196.26300000000001</v>
      </c>
      <c r="H6363">
        <v>0.97448809999999997</v>
      </c>
      <c r="I6363">
        <v>-54.482480000000002</v>
      </c>
      <c r="J6363">
        <v>-196.5059</v>
      </c>
      <c r="K6363">
        <v>1.1177760000000001</v>
      </c>
      <c r="L6363">
        <v>-55.257480000000001</v>
      </c>
      <c r="M6363">
        <v>0.75266269999999902</v>
      </c>
      <c r="N6363">
        <v>0</v>
      </c>
      <c r="O6363">
        <v>0.65825859999999903</v>
      </c>
      <c r="P6363">
        <v>0.60184959999999998</v>
      </c>
      <c r="Q6363">
        <v>-1.1387309999999999E-2</v>
      </c>
      <c r="R6363">
        <v>0.79852829999999997</v>
      </c>
      <c r="S6363">
        <v>1.296295</v>
      </c>
      <c r="T6363">
        <v>-0.41213300000000003</v>
      </c>
      <c r="U6363">
        <v>2.7820130000000001</v>
      </c>
      <c r="V6363">
        <v>-0.2048741</v>
      </c>
      <c r="W6363">
        <v>-1.839236E-3</v>
      </c>
      <c r="X6363">
        <v>0.97878659999999995</v>
      </c>
      <c r="Y6363">
        <v>-0.40526319999999999</v>
      </c>
      <c r="Z6363">
        <v>-6.6560579999999994E-2</v>
      </c>
      <c r="AA6363">
        <v>0.91177370000000002</v>
      </c>
      <c r="AB6363">
        <v>29</v>
      </c>
      <c r="AC6363">
        <v>0.24289999999999101</v>
      </c>
      <c r="AD6363">
        <v>-0.1432879</v>
      </c>
      <c r="AE6363">
        <v>0.77500000000000502</v>
      </c>
      <c r="AF6363">
        <v>-0.41068095066902099</v>
      </c>
      <c r="AG6363">
        <v>-0.1432879</v>
      </c>
      <c r="AH6363">
        <v>0.67211927295189799</v>
      </c>
      <c r="AI6363">
        <v>100.310309208482</v>
      </c>
      <c r="AJ6363">
        <v>121.425928031279</v>
      </c>
      <c r="AK6363">
        <v>0.80058390103861599</v>
      </c>
      <c r="AL6363">
        <v>90.105380520375206</v>
      </c>
      <c r="AM6363">
        <v>101.822149440377</v>
      </c>
      <c r="AN6363">
        <v>0.99999999398971595</v>
      </c>
    </row>
    <row r="6364" spans="1:40" x14ac:dyDescent="0.25">
      <c r="A6364" t="str">
        <f>"20190312151656037"</f>
        <v>20190312151656037</v>
      </c>
      <c r="B6364" t="str">
        <f>"1552375016033916"</f>
        <v>1552375016033916</v>
      </c>
      <c r="C6364" t="s">
        <v>40</v>
      </c>
      <c r="D6364">
        <v>4.6348549999999999</v>
      </c>
      <c r="E6364">
        <v>0.41992750000000001</v>
      </c>
      <c r="F6364" t="s">
        <v>64</v>
      </c>
      <c r="G6364">
        <v>-193.02889999999999</v>
      </c>
      <c r="H6364" s="1">
        <v>-3.1752889999999998E-6</v>
      </c>
      <c r="I6364">
        <v>-47.648020000000002</v>
      </c>
      <c r="J6364">
        <v>-196.32079999999999</v>
      </c>
      <c r="K6364">
        <v>1.1177680000000001</v>
      </c>
      <c r="L6364">
        <v>-55.082979999999999</v>
      </c>
      <c r="M6364">
        <v>0.74648979999999998</v>
      </c>
      <c r="N6364">
        <v>0</v>
      </c>
      <c r="O6364">
        <v>0.66525069999999997</v>
      </c>
      <c r="P6364">
        <v>0.59472919999999996</v>
      </c>
      <c r="Q6364">
        <v>-1.0748280000000001E-2</v>
      </c>
      <c r="R6364">
        <v>0.80385419999999996</v>
      </c>
      <c r="S6364">
        <v>1.274918</v>
      </c>
      <c r="T6364">
        <v>-0.4098562</v>
      </c>
      <c r="U6364">
        <v>2.7901609999999999</v>
      </c>
      <c r="V6364">
        <v>-0.20446159999999999</v>
      </c>
      <c r="W6364">
        <v>-1.188043E-3</v>
      </c>
      <c r="X6364">
        <v>0.97887380000000002</v>
      </c>
      <c r="Y6364">
        <v>-0.40354839999999997</v>
      </c>
      <c r="Z6364">
        <v>-6.7426310000000003E-2</v>
      </c>
      <c r="AA6364">
        <v>0.91247049999999996</v>
      </c>
      <c r="AB6364">
        <v>29</v>
      </c>
      <c r="AC6364">
        <v>3.2918999999999898</v>
      </c>
      <c r="AD6364">
        <v>-1.1177711752890001</v>
      </c>
      <c r="AE6364">
        <v>7.4349600000000002</v>
      </c>
      <c r="AF6364">
        <v>-3.2981824345828201</v>
      </c>
      <c r="AG6364">
        <v>-1.1177711752890001</v>
      </c>
      <c r="AH6364">
        <v>7.26687638690185</v>
      </c>
      <c r="AI6364">
        <v>97.973317358736693</v>
      </c>
      <c r="AJ6364">
        <v>114.411645562348</v>
      </c>
      <c r="AK6364">
        <v>8.0582201629521997</v>
      </c>
      <c r="AL6364">
        <v>90.068069870093296</v>
      </c>
      <c r="AM6364">
        <v>101.79799264899501</v>
      </c>
      <c r="AN6364">
        <v>0.99999993682358201</v>
      </c>
    </row>
    <row r="6365" spans="1:40" x14ac:dyDescent="0.25">
      <c r="A6365" t="str">
        <f>"20190312151656060"</f>
        <v>20190312151656060</v>
      </c>
      <c r="B6365" t="str">
        <f>"1552375016054413"</f>
        <v>1552375016054413</v>
      </c>
      <c r="C6365" t="s">
        <v>40</v>
      </c>
      <c r="D6365">
        <v>4.5979429999999999</v>
      </c>
      <c r="E6365">
        <v>0.4295834</v>
      </c>
      <c r="F6365" t="s">
        <v>64</v>
      </c>
      <c r="G6365">
        <v>-192.863</v>
      </c>
      <c r="H6365" s="1">
        <v>-3.299118E-6</v>
      </c>
      <c r="I6365">
        <v>-47.376519999999999</v>
      </c>
      <c r="J6365">
        <v>-196.11429999999999</v>
      </c>
      <c r="K6365">
        <v>1.117761</v>
      </c>
      <c r="L6365">
        <v>-54.884250000000002</v>
      </c>
      <c r="M6365">
        <v>0.73945569999999905</v>
      </c>
      <c r="N6365">
        <v>0</v>
      </c>
      <c r="O6365">
        <v>0.67306080000000001</v>
      </c>
      <c r="P6365">
        <v>0.58654410000000001</v>
      </c>
      <c r="Q6365">
        <v>-1.0211049999999999E-2</v>
      </c>
      <c r="R6365">
        <v>0.80985299999999905</v>
      </c>
      <c r="S6365">
        <v>1.2553559999999999</v>
      </c>
      <c r="T6365">
        <v>-0.40580569999999999</v>
      </c>
      <c r="U6365">
        <v>2.7978209999999999</v>
      </c>
      <c r="V6365">
        <v>-0.2041182</v>
      </c>
      <c r="W6365">
        <v>-6.3988849999999998E-4</v>
      </c>
      <c r="X6365">
        <v>0.97894599999999998</v>
      </c>
      <c r="Y6365">
        <v>-0.40020119999999998</v>
      </c>
      <c r="Z6365">
        <v>-6.8195800000000001E-2</v>
      </c>
      <c r="AA6365">
        <v>0.91388639999999999</v>
      </c>
      <c r="AB6365">
        <v>29</v>
      </c>
      <c r="AC6365">
        <v>3.2512999999999801</v>
      </c>
      <c r="AD6365">
        <v>-1.1177642991179999</v>
      </c>
      <c r="AE6365">
        <v>7.5077299999999996</v>
      </c>
      <c r="AF6365">
        <v>-3.3020053218652698</v>
      </c>
      <c r="AG6365">
        <v>-1.1177642991179999</v>
      </c>
      <c r="AH6365">
        <v>7.3214197995269199</v>
      </c>
      <c r="AI6365">
        <v>97.923019840417098</v>
      </c>
      <c r="AJ6365">
        <v>114.275667287254</v>
      </c>
      <c r="AK6365">
        <v>8.1089964887718509</v>
      </c>
      <c r="AL6365">
        <v>90.036662914378397</v>
      </c>
      <c r="AM6365">
        <v>101.77788711573</v>
      </c>
      <c r="AN6365">
        <v>0.99999995997226498</v>
      </c>
    </row>
    <row r="6366" spans="1:40" x14ac:dyDescent="0.25">
      <c r="A6366" t="str">
        <f>"20190312151656080"</f>
        <v>20190312151656080</v>
      </c>
      <c r="B6366" t="str">
        <f>"1552375016073932"</f>
        <v>1552375016073932</v>
      </c>
      <c r="C6366" t="s">
        <v>40</v>
      </c>
      <c r="D6366">
        <v>4.5934780000000002</v>
      </c>
      <c r="E6366">
        <v>0.4304675</v>
      </c>
      <c r="F6366" t="s">
        <v>64</v>
      </c>
      <c r="G6366">
        <v>-192.56530000000001</v>
      </c>
      <c r="H6366" s="1">
        <v>-3.2951929999999998E-6</v>
      </c>
      <c r="I6366">
        <v>-47.271299999999997</v>
      </c>
      <c r="J6366">
        <v>-195.92259999999999</v>
      </c>
      <c r="K6366">
        <v>1.1177520000000001</v>
      </c>
      <c r="L6366">
        <v>-54.695979999999999</v>
      </c>
      <c r="M6366">
        <v>0.73278509999999997</v>
      </c>
      <c r="N6366">
        <v>0</v>
      </c>
      <c r="O6366">
        <v>0.68031739999999996</v>
      </c>
      <c r="P6366">
        <v>0.5788932</v>
      </c>
      <c r="Q6366">
        <v>-9.9341459999999996E-3</v>
      </c>
      <c r="R6366">
        <v>0.81534280000000003</v>
      </c>
      <c r="S6366">
        <v>1.2892459999999999</v>
      </c>
      <c r="T6366">
        <v>-0.4060472</v>
      </c>
      <c r="U6366">
        <v>2.765533</v>
      </c>
      <c r="V6366">
        <v>-0.2036934</v>
      </c>
      <c r="W6366">
        <v>-3.5053169999999998E-4</v>
      </c>
      <c r="X6366">
        <v>0.97903470000000004</v>
      </c>
      <c r="Y6366">
        <v>-0.37797639999999999</v>
      </c>
      <c r="Z6366">
        <v>-7.0929499999999895E-2</v>
      </c>
      <c r="AA6366">
        <v>0.92309419999999998</v>
      </c>
      <c r="AB6366">
        <v>29</v>
      </c>
      <c r="AC6366">
        <v>3.35729999999998</v>
      </c>
      <c r="AD6366">
        <v>-1.1177552951930001</v>
      </c>
      <c r="AE6366">
        <v>7.4246800000000004</v>
      </c>
      <c r="AF6366">
        <v>-3.09866530864719</v>
      </c>
      <c r="AG6366">
        <v>-1.1177552951930001</v>
      </c>
      <c r="AH6366">
        <v>7.3733068896998502</v>
      </c>
      <c r="AI6366">
        <v>97.955844043998496</v>
      </c>
      <c r="AJ6366">
        <v>112.794799252199</v>
      </c>
      <c r="AK6366">
        <v>8.0756893256638396</v>
      </c>
      <c r="AL6366">
        <v>90.020083986725197</v>
      </c>
      <c r="AM6366">
        <v>101.753022943172</v>
      </c>
      <c r="AN6366">
        <v>1.0000000339400601</v>
      </c>
    </row>
    <row r="6367" spans="1:40" x14ac:dyDescent="0.25">
      <c r="A6367" t="str">
        <f>"20190312151656092"</f>
        <v>20190312151656092</v>
      </c>
      <c r="B6367" t="str">
        <f>"1552375016083692"</f>
        <v>1552375016083692</v>
      </c>
      <c r="C6367" t="s">
        <v>40</v>
      </c>
      <c r="D6367">
        <v>4.6370740000000001</v>
      </c>
      <c r="E6367">
        <v>0.4306934</v>
      </c>
      <c r="F6367" t="s">
        <v>64</v>
      </c>
      <c r="G6367">
        <v>-192.44159999999999</v>
      </c>
      <c r="H6367" s="1">
        <v>-3.3785899999999999E-6</v>
      </c>
      <c r="I6367">
        <v>-47.083919999999999</v>
      </c>
      <c r="J6367">
        <v>-195.8177</v>
      </c>
      <c r="K6367">
        <v>1.1177490000000001</v>
      </c>
      <c r="L6367">
        <v>-54.591799999999999</v>
      </c>
      <c r="M6367">
        <v>0.72908409999999901</v>
      </c>
      <c r="N6367">
        <v>0</v>
      </c>
      <c r="O6367">
        <v>0.68428219999999995</v>
      </c>
      <c r="P6367">
        <v>0.57467789999999996</v>
      </c>
      <c r="Q6367">
        <v>-1.0099779999999999E-2</v>
      </c>
      <c r="R6367">
        <v>0.81831739999999997</v>
      </c>
      <c r="S6367">
        <v>1.268494</v>
      </c>
      <c r="T6367">
        <v>-0.40731000000000001</v>
      </c>
      <c r="U6367">
        <v>2.7738339999999999</v>
      </c>
      <c r="V6367">
        <v>-0.20343059999999999</v>
      </c>
      <c r="W6367">
        <v>-5.087329E-4</v>
      </c>
      <c r="X6367">
        <v>0.97908930000000005</v>
      </c>
      <c r="Y6367">
        <v>-0.37972669999999997</v>
      </c>
      <c r="Z6367">
        <v>-7.1699369999999998E-2</v>
      </c>
      <c r="AA6367">
        <v>0.92231600000000002</v>
      </c>
      <c r="AB6367">
        <v>29</v>
      </c>
      <c r="AC6367">
        <v>3.3761000000000001</v>
      </c>
      <c r="AD6367">
        <v>-1.1177523785900001</v>
      </c>
      <c r="AE6367">
        <v>7.5078800000000001</v>
      </c>
      <c r="AF6367">
        <v>-3.1067015531412001</v>
      </c>
      <c r="AG6367">
        <v>-1.1177523785900001</v>
      </c>
      <c r="AH6367">
        <v>7.4621323705983</v>
      </c>
      <c r="AI6367">
        <v>97.873170301047693</v>
      </c>
      <c r="AJ6367">
        <v>112.603374431752</v>
      </c>
      <c r="AK6367">
        <v>8.1599255166002909</v>
      </c>
      <c r="AL6367">
        <v>90.029148247501993</v>
      </c>
      <c r="AM6367">
        <v>101.737644067982</v>
      </c>
      <c r="AN6367">
        <v>1.0000000626000001</v>
      </c>
    </row>
    <row r="6368" spans="1:40" x14ac:dyDescent="0.25">
      <c r="A6368" t="str">
        <f>"20190312151656114"</f>
        <v>20190312151656114</v>
      </c>
      <c r="B6368" t="str">
        <f>"1552375016104188"</f>
        <v>1552375016104188</v>
      </c>
      <c r="C6368" t="s">
        <v>40</v>
      </c>
      <c r="D6368">
        <v>4.5734779999999997</v>
      </c>
      <c r="E6368">
        <v>0.4314269</v>
      </c>
      <c r="F6368" t="s">
        <v>64</v>
      </c>
      <c r="G6368">
        <v>-192.38929999999999</v>
      </c>
      <c r="H6368" s="1">
        <v>-3.4149539999999999E-6</v>
      </c>
      <c r="I6368">
        <v>-47.002870000000001</v>
      </c>
      <c r="J6368">
        <v>-195.6258</v>
      </c>
      <c r="K6368">
        <v>1.117737</v>
      </c>
      <c r="L6368">
        <v>-54.39743</v>
      </c>
      <c r="M6368">
        <v>0.72218939999999998</v>
      </c>
      <c r="N6368">
        <v>0</v>
      </c>
      <c r="O6368">
        <v>0.69155489999999997</v>
      </c>
      <c r="P6368">
        <v>0.567331699999999</v>
      </c>
      <c r="Q6368">
        <v>-9.8622889999999998E-3</v>
      </c>
      <c r="R6368">
        <v>0.82343029999999995</v>
      </c>
      <c r="S6368">
        <v>1.2555689999999999</v>
      </c>
      <c r="T6368">
        <v>-0.40935050000000001</v>
      </c>
      <c r="U6368">
        <v>2.7792659999999998</v>
      </c>
      <c r="V6368">
        <v>-0.2023866</v>
      </c>
      <c r="W6368">
        <v>-2.447967E-4</v>
      </c>
      <c r="X6368">
        <v>0.97930569999999895</v>
      </c>
      <c r="Y6368">
        <v>-0.37475449999999999</v>
      </c>
      <c r="Z6368">
        <v>-7.3478879999999996E-2</v>
      </c>
      <c r="AA6368">
        <v>0.92420769999999997</v>
      </c>
      <c r="AB6368">
        <v>29</v>
      </c>
      <c r="AC6368">
        <v>3.2364999999999999</v>
      </c>
      <c r="AD6368">
        <v>-1.117740414954</v>
      </c>
      <c r="AE6368">
        <v>7.3945600000000002</v>
      </c>
      <c r="AF6368">
        <v>-3.0439880102565402</v>
      </c>
      <c r="AG6368">
        <v>-1.117740414954</v>
      </c>
      <c r="AH6368">
        <v>7.3116327901048201</v>
      </c>
      <c r="AI6368">
        <v>98.033070581208406</v>
      </c>
      <c r="AJ6368">
        <v>112.60299899605801</v>
      </c>
      <c r="AK6368">
        <v>7.9984486432772197</v>
      </c>
      <c r="AL6368">
        <v>90.014025817539306</v>
      </c>
      <c r="AM6368">
        <v>101.676555772554</v>
      </c>
      <c r="AN6368">
        <v>1.00000002491873</v>
      </c>
    </row>
    <row r="6369" spans="1:40" x14ac:dyDescent="0.25">
      <c r="A6369" t="str">
        <f>"20190312151656127"</f>
        <v>20190312151656127</v>
      </c>
      <c r="B6369" t="str">
        <f>"1552375016123708"</f>
        <v>1552375016123708</v>
      </c>
      <c r="C6369" t="s">
        <v>40</v>
      </c>
      <c r="D6369">
        <v>4.6080560000000004</v>
      </c>
      <c r="E6369">
        <v>0.4317183</v>
      </c>
      <c r="F6369" t="s">
        <v>64</v>
      </c>
      <c r="G6369">
        <v>-192.21789999999999</v>
      </c>
      <c r="H6369" s="1">
        <v>-3.5510049999999999E-6</v>
      </c>
      <c r="I6369">
        <v>-46.70861</v>
      </c>
      <c r="J6369">
        <v>-195.50460000000001</v>
      </c>
      <c r="K6369">
        <v>1.1177319999999999</v>
      </c>
      <c r="L6369">
        <v>-54.27243</v>
      </c>
      <c r="M6369">
        <v>0.71775610000000001</v>
      </c>
      <c r="N6369">
        <v>0</v>
      </c>
      <c r="O6369">
        <v>0.69615519999999997</v>
      </c>
      <c r="P6369">
        <v>0.56237630000000005</v>
      </c>
      <c r="Q6369">
        <v>-9.7666179999999995E-3</v>
      </c>
      <c r="R6369">
        <v>0.8268238</v>
      </c>
      <c r="S6369">
        <v>1.2353970000000001</v>
      </c>
      <c r="T6369">
        <v>-0.40519060000000001</v>
      </c>
      <c r="U6369">
        <v>2.7872620000000001</v>
      </c>
      <c r="V6369">
        <v>-0.20201350000000001</v>
      </c>
      <c r="W6369">
        <v>-1.3892120000000001E-4</v>
      </c>
      <c r="X6369">
        <v>0.9793828</v>
      </c>
      <c r="Y6369">
        <v>-0.37539440000000002</v>
      </c>
      <c r="Z6369">
        <v>-7.3449219999999996E-2</v>
      </c>
      <c r="AA6369">
        <v>0.92395039999999995</v>
      </c>
      <c r="AB6369">
        <v>29</v>
      </c>
      <c r="AC6369">
        <v>3.2867000000000202</v>
      </c>
      <c r="AD6369">
        <v>-1.117735551005</v>
      </c>
      <c r="AE6369">
        <v>7.5638199999999998</v>
      </c>
      <c r="AF6369">
        <v>-3.0845696410429602</v>
      </c>
      <c r="AG6369">
        <v>-1.117735551005</v>
      </c>
      <c r="AH6369">
        <v>7.4878389746804803</v>
      </c>
      <c r="AI6369">
        <v>97.858381747011094</v>
      </c>
      <c r="AJ6369">
        <v>112.388913479043</v>
      </c>
      <c r="AK6369">
        <v>8.1750617822233291</v>
      </c>
      <c r="AL6369">
        <v>90.007959597903707</v>
      </c>
      <c r="AM6369">
        <v>101.654727057383</v>
      </c>
      <c r="AN6369">
        <v>1.0000000712085899</v>
      </c>
    </row>
    <row r="6370" spans="1:40" x14ac:dyDescent="0.25">
      <c r="A6370" t="str">
        <f>"20190312151656141"</f>
        <v>20190312151656141</v>
      </c>
      <c r="B6370" t="str">
        <f>"1552375016134444"</f>
        <v>1552375016134444</v>
      </c>
      <c r="C6370" t="s">
        <v>40</v>
      </c>
      <c r="D6370">
        <v>4.598598</v>
      </c>
      <c r="E6370">
        <v>0.43198629999999999</v>
      </c>
      <c r="F6370" t="s">
        <v>64</v>
      </c>
      <c r="G6370">
        <v>-192.1268</v>
      </c>
      <c r="H6370" s="1">
        <v>-3.6299650000000001E-6</v>
      </c>
      <c r="I6370">
        <v>-46.540990000000001</v>
      </c>
      <c r="J6370">
        <v>-195.38579999999999</v>
      </c>
      <c r="K6370">
        <v>1.117726</v>
      </c>
      <c r="L6370">
        <v>-54.148560000000003</v>
      </c>
      <c r="M6370">
        <v>0.71335740000000003</v>
      </c>
      <c r="N6370">
        <v>0</v>
      </c>
      <c r="O6370">
        <v>0.7006618</v>
      </c>
      <c r="P6370">
        <v>0.5574751</v>
      </c>
      <c r="Q6370">
        <v>-9.7059620000000003E-3</v>
      </c>
      <c r="R6370">
        <v>0.83013700000000001</v>
      </c>
      <c r="S6370">
        <v>1.2204440000000001</v>
      </c>
      <c r="T6370">
        <v>-0.4038506</v>
      </c>
      <c r="U6370">
        <v>2.7934570000000001</v>
      </c>
      <c r="V6370">
        <v>-0.20164119999999999</v>
      </c>
      <c r="W6370" s="1">
        <v>-6.8157679999999998E-5</v>
      </c>
      <c r="X6370">
        <v>0.97945950000000004</v>
      </c>
      <c r="Y6370">
        <v>-0.3744767</v>
      </c>
      <c r="Z6370">
        <v>-7.3969759999999996E-2</v>
      </c>
      <c r="AA6370">
        <v>0.92428120000000002</v>
      </c>
      <c r="AB6370">
        <v>29</v>
      </c>
      <c r="AC6370">
        <v>3.2589999999999799</v>
      </c>
      <c r="AD6370">
        <v>-1.1177296299649999</v>
      </c>
      <c r="AE6370">
        <v>7.6075699999999902</v>
      </c>
      <c r="AF6370">
        <v>-3.0874521026728199</v>
      </c>
      <c r="AG6370">
        <v>-1.1177296299649999</v>
      </c>
      <c r="AH6370">
        <v>7.5187723315474297</v>
      </c>
      <c r="AI6370">
        <v>97.829978379464606</v>
      </c>
      <c r="AJ6370">
        <v>112.32464549990701</v>
      </c>
      <c r="AK6370">
        <v>8.2044876369974293</v>
      </c>
      <c r="AL6370">
        <v>90.003905147232004</v>
      </c>
      <c r="AM6370">
        <v>101.632947864664</v>
      </c>
      <c r="AN6370">
        <v>1.00000004516157</v>
      </c>
    </row>
    <row r="6371" spans="1:40" x14ac:dyDescent="0.25">
      <c r="A6371" t="str">
        <f>"20190312151656160"</f>
        <v>20190312151656160</v>
      </c>
      <c r="B6371" t="str">
        <f>"1552375016153963"</f>
        <v>1552375016153963</v>
      </c>
      <c r="C6371" t="s">
        <v>40</v>
      </c>
      <c r="D6371">
        <v>4.6315470000000003</v>
      </c>
      <c r="E6371">
        <v>0.43265819999999999</v>
      </c>
      <c r="F6371" t="s">
        <v>64</v>
      </c>
      <c r="G6371">
        <v>-192.0538</v>
      </c>
      <c r="H6371" s="1">
        <v>-3.688704E-6</v>
      </c>
      <c r="I6371">
        <v>-46.41131</v>
      </c>
      <c r="J6371">
        <v>-195.21770000000001</v>
      </c>
      <c r="K6371">
        <v>1.117715</v>
      </c>
      <c r="L6371">
        <v>-53.970519999999901</v>
      </c>
      <c r="M6371">
        <v>0.70703110000000002</v>
      </c>
      <c r="N6371">
        <v>0</v>
      </c>
      <c r="O6371">
        <v>0.70704519999999904</v>
      </c>
      <c r="P6371">
        <v>0.55074279999999998</v>
      </c>
      <c r="Q6371">
        <v>-9.7421839999999992E-3</v>
      </c>
      <c r="R6371">
        <v>0.83461819999999898</v>
      </c>
      <c r="S6371">
        <v>1.205597</v>
      </c>
      <c r="T6371">
        <v>-0.40442250000000002</v>
      </c>
      <c r="U6371">
        <v>2.7995299999999999</v>
      </c>
      <c r="V6371">
        <v>-0.2007584</v>
      </c>
      <c r="W6371" s="1">
        <v>-8.2077690000000001E-5</v>
      </c>
      <c r="X6371">
        <v>0.97964079999999998</v>
      </c>
      <c r="Y6371">
        <v>-0.37104779999999998</v>
      </c>
      <c r="Z6371">
        <v>-7.5259919999999994E-2</v>
      </c>
      <c r="AA6371">
        <v>0.92555900000000002</v>
      </c>
      <c r="AB6371">
        <v>29</v>
      </c>
      <c r="AC6371">
        <v>3.1639000000000101</v>
      </c>
      <c r="AD6371">
        <v>-1.117718688704</v>
      </c>
      <c r="AE6371">
        <v>7.5592099999999904</v>
      </c>
      <c r="AF6371">
        <v>-3.0511149241742501</v>
      </c>
      <c r="AG6371">
        <v>-1.117718688704</v>
      </c>
      <c r="AH6371">
        <v>7.4439278670937004</v>
      </c>
      <c r="AI6371">
        <v>97.909700985652194</v>
      </c>
      <c r="AJ6371">
        <v>112.287728167685</v>
      </c>
      <c r="AK6371">
        <v>8.1222324171431595</v>
      </c>
      <c r="AL6371">
        <v>90.004702705142904</v>
      </c>
      <c r="AM6371">
        <v>101.581311506424</v>
      </c>
      <c r="AN6371">
        <v>1.0000000194659699</v>
      </c>
    </row>
    <row r="6372" spans="1:40" x14ac:dyDescent="0.25">
      <c r="A6372" t="str">
        <f>"20190312151656173"</f>
        <v>20190312151656173</v>
      </c>
      <c r="B6372" t="str">
        <f>"1552375016164700"</f>
        <v>1552375016164700</v>
      </c>
      <c r="C6372" t="s">
        <v>40</v>
      </c>
      <c r="D6372">
        <v>4.6232350000000002</v>
      </c>
      <c r="E6372">
        <v>0.43296240000000003</v>
      </c>
      <c r="F6372" t="s">
        <v>64</v>
      </c>
      <c r="G6372">
        <v>-191.9418</v>
      </c>
      <c r="H6372" s="1">
        <v>-3.7601760000000002E-6</v>
      </c>
      <c r="I6372">
        <v>-46.229649999999999</v>
      </c>
      <c r="J6372">
        <v>-195.10570000000001</v>
      </c>
      <c r="K6372">
        <v>1.11771</v>
      </c>
      <c r="L6372">
        <v>-53.8506199999999</v>
      </c>
      <c r="M6372">
        <v>0.70276070000000002</v>
      </c>
      <c r="N6372">
        <v>0</v>
      </c>
      <c r="O6372">
        <v>0.71129010000000004</v>
      </c>
      <c r="P6372">
        <v>0.54597459999999998</v>
      </c>
      <c r="Q6372">
        <v>-9.6798760000000005E-3</v>
      </c>
      <c r="R6372">
        <v>0.83774579999999998</v>
      </c>
      <c r="S6372">
        <v>1.1875150000000001</v>
      </c>
      <c r="T6372">
        <v>-0.40518120000000002</v>
      </c>
      <c r="U6372">
        <v>2.8061219999999998</v>
      </c>
      <c r="V6372">
        <v>-0.20044729999999999</v>
      </c>
      <c r="W6372" s="1">
        <v>-1.1160740000000001E-5</v>
      </c>
      <c r="X6372">
        <v>0.97970449999999998</v>
      </c>
      <c r="Y6372">
        <v>-0.37131500000000001</v>
      </c>
      <c r="Z6372">
        <v>-7.6077619999999999E-2</v>
      </c>
      <c r="AA6372">
        <v>0.92538500000000001</v>
      </c>
      <c r="AB6372">
        <v>29</v>
      </c>
      <c r="AC6372">
        <v>3.1639000000000101</v>
      </c>
      <c r="AD6372">
        <v>-1.1177137601760001</v>
      </c>
      <c r="AE6372">
        <v>7.62096999999999</v>
      </c>
      <c r="AF6372">
        <v>-3.0496150064255398</v>
      </c>
      <c r="AG6372">
        <v>-1.1177137601760001</v>
      </c>
      <c r="AH6372">
        <v>7.5071863649211403</v>
      </c>
      <c r="AI6372">
        <v>97.853755876364602</v>
      </c>
      <c r="AJ6372">
        <v>112.108272735855</v>
      </c>
      <c r="AK6372">
        <v>8.1796872100808695</v>
      </c>
      <c r="AL6372">
        <v>90.000639463289403</v>
      </c>
      <c r="AM6372">
        <v>101.56311697043699</v>
      </c>
      <c r="AN6372">
        <v>1.0000000137610501</v>
      </c>
    </row>
    <row r="6373" spans="1:40" x14ac:dyDescent="0.25">
      <c r="A6373" t="str">
        <f>"20190312151656193"</f>
        <v>20190312151656193</v>
      </c>
      <c r="B6373" t="str">
        <f>"1552375016184221"</f>
        <v>1552375016184221</v>
      </c>
      <c r="C6373" t="s">
        <v>40</v>
      </c>
      <c r="D6373">
        <v>4.6538320000000004</v>
      </c>
      <c r="E6373">
        <v>0.43375370000000002</v>
      </c>
      <c r="F6373" t="s">
        <v>64</v>
      </c>
      <c r="G6373">
        <v>-191.863</v>
      </c>
      <c r="H6373" s="1">
        <v>-3.8201299999999996E-6</v>
      </c>
      <c r="I6373">
        <v>-46.082619999999999</v>
      </c>
      <c r="J6373">
        <v>-194.92910000000001</v>
      </c>
      <c r="K6373">
        <v>1.1176969999999999</v>
      </c>
      <c r="L6373">
        <v>-53.657679999999999</v>
      </c>
      <c r="M6373">
        <v>0.69589789999999996</v>
      </c>
      <c r="N6373">
        <v>0</v>
      </c>
      <c r="O6373">
        <v>0.71800569999999997</v>
      </c>
      <c r="P6373">
        <v>0.5384871</v>
      </c>
      <c r="Q6373">
        <v>-1.0136300000000001E-2</v>
      </c>
      <c r="R6373">
        <v>0.84257280000000001</v>
      </c>
      <c r="S6373">
        <v>1.173645</v>
      </c>
      <c r="T6373">
        <v>-0.40453739999999999</v>
      </c>
      <c r="U6373">
        <v>2.811493</v>
      </c>
      <c r="V6373">
        <v>-0.1997572</v>
      </c>
      <c r="W6373">
        <v>-4.4972989999999998E-4</v>
      </c>
      <c r="X6373">
        <v>0.97984530000000003</v>
      </c>
      <c r="Y6373">
        <v>-0.36695159999999999</v>
      </c>
      <c r="Z6373">
        <v>-7.7248659999999997E-2</v>
      </c>
      <c r="AA6373">
        <v>0.92702700000000005</v>
      </c>
      <c r="AB6373">
        <v>29</v>
      </c>
      <c r="AC6373">
        <v>3.0661</v>
      </c>
      <c r="AD6373">
        <v>-1.1177008201300001</v>
      </c>
      <c r="AE6373">
        <v>7.5750599999999997</v>
      </c>
      <c r="AF6373">
        <v>-3.0139096217997401</v>
      </c>
      <c r="AG6373">
        <v>-1.1177008201300001</v>
      </c>
      <c r="AH6373">
        <v>7.43429486027902</v>
      </c>
      <c r="AI6373">
        <v>97.931931242384707</v>
      </c>
      <c r="AJ6373">
        <v>112.06794126306499</v>
      </c>
      <c r="AK6373">
        <v>8.0994843293426708</v>
      </c>
      <c r="AL6373">
        <v>90.025767626663097</v>
      </c>
      <c r="AM6373">
        <v>101.52276256792</v>
      </c>
      <c r="AN6373">
        <v>0.99999997657045603</v>
      </c>
    </row>
    <row r="6374" spans="1:40" x14ac:dyDescent="0.25">
      <c r="A6374" t="str">
        <f>"20190312151656215"</f>
        <v>20190312151656215</v>
      </c>
      <c r="B6374" t="str">
        <f>"1552375016203740"</f>
        <v>1552375016203740</v>
      </c>
      <c r="C6374" t="s">
        <v>40</v>
      </c>
      <c r="D6374">
        <v>4.6243309999999997</v>
      </c>
      <c r="E6374">
        <v>0.4344092</v>
      </c>
      <c r="F6374" t="s">
        <v>64</v>
      </c>
      <c r="G6374">
        <v>-191.7542</v>
      </c>
      <c r="H6374" s="1">
        <v>-3.8908769999999999E-6</v>
      </c>
      <c r="I6374">
        <v>-45.903550000000003</v>
      </c>
      <c r="J6374">
        <v>-194.75040000000001</v>
      </c>
      <c r="K6374">
        <v>1.1176900000000001</v>
      </c>
      <c r="L6374">
        <v>-53.458710000000004</v>
      </c>
      <c r="M6374">
        <v>0.68881490000000001</v>
      </c>
      <c r="N6374">
        <v>0</v>
      </c>
      <c r="O6374">
        <v>0.72480359999999999</v>
      </c>
      <c r="P6374">
        <v>0.53071550000000001</v>
      </c>
      <c r="Q6374">
        <v>-1.0592799999999999E-2</v>
      </c>
      <c r="R6374">
        <v>0.84748389999999996</v>
      </c>
      <c r="S6374">
        <v>1.153885</v>
      </c>
      <c r="T6374">
        <v>-0.40622370000000002</v>
      </c>
      <c r="U6374">
        <v>2.8182070000000001</v>
      </c>
      <c r="V6374">
        <v>-0.1991358</v>
      </c>
      <c r="W6374">
        <v>-8.8998649999999903E-4</v>
      </c>
      <c r="X6374">
        <v>0.9799715</v>
      </c>
      <c r="Y6374">
        <v>-0.36420560000000002</v>
      </c>
      <c r="Z6374">
        <v>-7.8814800000000004E-2</v>
      </c>
      <c r="AA6374">
        <v>0.92797759999999996</v>
      </c>
      <c r="AB6374">
        <v>29</v>
      </c>
      <c r="AC6374">
        <v>2.9962000000000102</v>
      </c>
      <c r="AD6374">
        <v>-1.117693890877</v>
      </c>
      <c r="AE6374">
        <v>7.5551599999999901</v>
      </c>
      <c r="AF6374">
        <v>-2.9764552877889598</v>
      </c>
      <c r="AG6374">
        <v>-1.117693890877</v>
      </c>
      <c r="AH6374">
        <v>7.4006094580265698</v>
      </c>
      <c r="AI6374">
        <v>97.976309489418497</v>
      </c>
      <c r="AJ6374">
        <v>111.909526000984</v>
      </c>
      <c r="AK6374">
        <v>8.0546598974843704</v>
      </c>
      <c r="AL6374">
        <v>90.050992477012102</v>
      </c>
      <c r="AM6374">
        <v>101.48643213914799</v>
      </c>
      <c r="AN6374">
        <v>0.99999999986493004</v>
      </c>
    </row>
    <row r="6375" spans="1:40" x14ac:dyDescent="0.25">
      <c r="A6375" t="str">
        <f>"20190312151656237"</f>
        <v>20190312151656237</v>
      </c>
      <c r="B6375" t="str">
        <f>"1552375016233996"</f>
        <v>1552375016233996</v>
      </c>
      <c r="C6375" t="s">
        <v>40</v>
      </c>
      <c r="D6375">
        <v>4.6408239999999896</v>
      </c>
      <c r="E6375">
        <v>0.43544310000000003</v>
      </c>
      <c r="F6375" t="s">
        <v>64</v>
      </c>
      <c r="G6375">
        <v>-191.63849999999999</v>
      </c>
      <c r="H6375" s="1">
        <v>-3.9758040000000002E-6</v>
      </c>
      <c r="I6375">
        <v>-45.693849999999998</v>
      </c>
      <c r="J6375">
        <v>-194.55359999999999</v>
      </c>
      <c r="K6375">
        <v>1.1176790000000001</v>
      </c>
      <c r="L6375">
        <v>-53.234740000000002</v>
      </c>
      <c r="M6375">
        <v>0.68083859999999996</v>
      </c>
      <c r="N6375">
        <v>0</v>
      </c>
      <c r="O6375">
        <v>0.73230119999999999</v>
      </c>
      <c r="P6375">
        <v>0.52197649999999995</v>
      </c>
      <c r="Q6375">
        <v>-1.142512E-2</v>
      </c>
      <c r="R6375">
        <v>0.85288339999999996</v>
      </c>
      <c r="S6375">
        <v>1.132431</v>
      </c>
      <c r="T6375">
        <v>-0.40673199999999998</v>
      </c>
      <c r="U6375">
        <v>2.825653</v>
      </c>
      <c r="V6375">
        <v>-0.19845650000000001</v>
      </c>
      <c r="W6375">
        <v>-1.70464799999999E-3</v>
      </c>
      <c r="X6375">
        <v>0.98010819999999998</v>
      </c>
      <c r="Y6375">
        <v>-0.36096679999999998</v>
      </c>
      <c r="Z6375">
        <v>-8.0294359999999995E-2</v>
      </c>
      <c r="AA6375">
        <v>0.92911560000000004</v>
      </c>
      <c r="AB6375">
        <v>29</v>
      </c>
      <c r="AC6375">
        <v>2.91509999999999</v>
      </c>
      <c r="AD6375">
        <v>-1.1176829758039999</v>
      </c>
      <c r="AE6375">
        <v>7.5408900000000001</v>
      </c>
      <c r="AF6375">
        <v>-2.9434334388228098</v>
      </c>
      <c r="AG6375">
        <v>-1.1176829758039999</v>
      </c>
      <c r="AH6375">
        <v>7.3668474671265303</v>
      </c>
      <c r="AI6375">
        <v>98.019525473860199</v>
      </c>
      <c r="AJ6375">
        <v>111.779243165395</v>
      </c>
      <c r="AK6375">
        <v>8.0114578727651597</v>
      </c>
      <c r="AL6375">
        <v>90.097669184628103</v>
      </c>
      <c r="AM6375">
        <v>101.44673087077901</v>
      </c>
      <c r="AN6375">
        <v>0.99999998596214601</v>
      </c>
    </row>
    <row r="6376" spans="1:40" x14ac:dyDescent="0.25">
      <c r="A6376" t="str">
        <f>"20190312151656249"</f>
        <v>20190312151656249</v>
      </c>
      <c r="B6376" t="str">
        <f>"1552375016243756"</f>
        <v>1552375016243756</v>
      </c>
      <c r="C6376" t="s">
        <v>40</v>
      </c>
      <c r="D6376">
        <v>4.6311790000000004</v>
      </c>
      <c r="E6376">
        <v>0.43544310000000003</v>
      </c>
      <c r="F6376" t="s">
        <v>64</v>
      </c>
      <c r="G6376">
        <v>-191.5196</v>
      </c>
      <c r="H6376" s="1">
        <v>-4.0553820000000001E-6</v>
      </c>
      <c r="I6376">
        <v>-45.493650000000002</v>
      </c>
      <c r="J6376">
        <v>-194.45679999999999</v>
      </c>
      <c r="K6376">
        <v>1.1176729999999999</v>
      </c>
      <c r="L6376">
        <v>-53.122919999999901</v>
      </c>
      <c r="M6376">
        <v>0.67684949999999999</v>
      </c>
      <c r="N6376">
        <v>0</v>
      </c>
      <c r="O6376">
        <v>0.73598980000000003</v>
      </c>
      <c r="P6376">
        <v>0.51763029999999999</v>
      </c>
      <c r="Q6376">
        <v>-1.150906E-2</v>
      </c>
      <c r="R6376">
        <v>0.85552700000000004</v>
      </c>
      <c r="S6376">
        <v>1.1101840000000001</v>
      </c>
      <c r="T6376">
        <v>-0.40897270000000002</v>
      </c>
      <c r="U6376">
        <v>2.8325499999999999</v>
      </c>
      <c r="V6376">
        <v>-0.19811529999999999</v>
      </c>
      <c r="W6376">
        <v>-1.779618E-3</v>
      </c>
      <c r="X6376">
        <v>0.98017710000000002</v>
      </c>
      <c r="Y6376">
        <v>-0.36301280000000002</v>
      </c>
      <c r="Z6376">
        <v>-8.1264240000000001E-2</v>
      </c>
      <c r="AA6376">
        <v>0.92823370000000005</v>
      </c>
      <c r="AB6376">
        <v>29</v>
      </c>
      <c r="AC6376">
        <v>2.93719999999999</v>
      </c>
      <c r="AD6376">
        <v>-1.1176770553819999</v>
      </c>
      <c r="AE6376">
        <v>7.6292699999999902</v>
      </c>
      <c r="AF6376">
        <v>-2.9473196504314401</v>
      </c>
      <c r="AG6376">
        <v>-1.1176770553819999</v>
      </c>
      <c r="AH6376">
        <v>7.4643251333379803</v>
      </c>
      <c r="AI6376">
        <v>97.928696885137498</v>
      </c>
      <c r="AJ6376">
        <v>111.546790132955</v>
      </c>
      <c r="AK6376">
        <v>8.1025949434812397</v>
      </c>
      <c r="AL6376">
        <v>90.1019646550549</v>
      </c>
      <c r="AM6376">
        <v>101.42678691799701</v>
      </c>
      <c r="AN6376">
        <v>0.99999999324936295</v>
      </c>
    </row>
    <row r="6377" spans="1:40" x14ac:dyDescent="0.25">
      <c r="A6377" t="str">
        <f>"20190312151656261"</f>
        <v>20190312151656261</v>
      </c>
      <c r="B6377" t="str">
        <f>"1552375016254492"</f>
        <v>1552375016254492</v>
      </c>
      <c r="C6377" t="s">
        <v>40</v>
      </c>
      <c r="D6377">
        <v>4.6078999999999999</v>
      </c>
      <c r="E6377">
        <v>0.4441389</v>
      </c>
      <c r="F6377" t="s">
        <v>64</v>
      </c>
      <c r="G6377">
        <v>-191.46430000000001</v>
      </c>
      <c r="H6377" s="1">
        <v>-4.1063169999999998E-6</v>
      </c>
      <c r="I6377">
        <v>-45.372010000000003</v>
      </c>
      <c r="J6377">
        <v>-194.3622</v>
      </c>
      <c r="K6377">
        <v>1.117667</v>
      </c>
      <c r="L6377">
        <v>-53.012149999999998</v>
      </c>
      <c r="M6377">
        <v>0.67290179999999999</v>
      </c>
      <c r="N6377">
        <v>0</v>
      </c>
      <c r="O6377">
        <v>0.73960090000000001</v>
      </c>
      <c r="P6377">
        <v>0.51332290000000003</v>
      </c>
      <c r="Q6377">
        <v>-1.1687609999999999E-2</v>
      </c>
      <c r="R6377">
        <v>0.85811599999999999</v>
      </c>
      <c r="S6377">
        <v>1.0957490000000001</v>
      </c>
      <c r="T6377">
        <v>-0.40925689999999998</v>
      </c>
      <c r="U6377">
        <v>2.8381349999999999</v>
      </c>
      <c r="V6377">
        <v>-0.19779279999999999</v>
      </c>
      <c r="W6377">
        <v>-1.9497290000000001E-3</v>
      </c>
      <c r="X6377">
        <v>0.9802419</v>
      </c>
      <c r="Y6377">
        <v>-0.3627667</v>
      </c>
      <c r="Z6377">
        <v>-8.1912250000000006E-2</v>
      </c>
      <c r="AA6377">
        <v>0.92827300000000001</v>
      </c>
      <c r="AB6377">
        <v>29</v>
      </c>
      <c r="AC6377">
        <v>2.8978999999999902</v>
      </c>
      <c r="AD6377">
        <v>-1.117671106317</v>
      </c>
      <c r="AE6377">
        <v>7.6401399999999997</v>
      </c>
      <c r="AF6377">
        <v>-2.9430043184782901</v>
      </c>
      <c r="AG6377">
        <v>-1.117671106317</v>
      </c>
      <c r="AH6377">
        <v>7.4617903926693003</v>
      </c>
      <c r="AI6377">
        <v>97.932502022279706</v>
      </c>
      <c r="AJ6377">
        <v>111.524769144262</v>
      </c>
      <c r="AK6377">
        <v>8.0986899548389708</v>
      </c>
      <c r="AL6377">
        <v>90.111711315029495</v>
      </c>
      <c r="AM6377">
        <v>101.40793969223201</v>
      </c>
      <c r="AN6377">
        <v>0.99999998784531097</v>
      </c>
    </row>
    <row r="6378" spans="1:40" x14ac:dyDescent="0.25">
      <c r="A6378" t="str">
        <f>"20190312151656274"</f>
        <v>20190312151656274</v>
      </c>
      <c r="B6378" t="str">
        <f>"1552375016264252"</f>
        <v>1552375016264252</v>
      </c>
      <c r="C6378" t="s">
        <v>40</v>
      </c>
      <c r="D6378">
        <v>4.5987390000000001</v>
      </c>
      <c r="E6378">
        <v>0.44493319999999997</v>
      </c>
      <c r="F6378" t="s">
        <v>64</v>
      </c>
      <c r="G6378">
        <v>-191.22739999999999</v>
      </c>
      <c r="H6378" s="1">
        <v>-4.0978669999999999E-6</v>
      </c>
      <c r="I6378">
        <v>-45.299630000000001</v>
      </c>
      <c r="J6378">
        <v>-194.25880000000001</v>
      </c>
      <c r="K6378">
        <v>1.1176619999999999</v>
      </c>
      <c r="L6378">
        <v>-52.890349999999998</v>
      </c>
      <c r="M6378">
        <v>0.66855149999999997</v>
      </c>
      <c r="N6378">
        <v>0</v>
      </c>
      <c r="O6378">
        <v>0.74353559999999996</v>
      </c>
      <c r="P6378">
        <v>0.50860799999999995</v>
      </c>
      <c r="Q6378">
        <v>-1.17079E-2</v>
      </c>
      <c r="R6378">
        <v>0.86091859999999998</v>
      </c>
      <c r="S6378">
        <v>1.141235</v>
      </c>
      <c r="T6378">
        <v>-0.40690120000000002</v>
      </c>
      <c r="U6378">
        <v>2.8078310000000002</v>
      </c>
      <c r="V6378">
        <v>-0.19741929999999999</v>
      </c>
      <c r="W6378">
        <v>-1.9602389999999999E-3</v>
      </c>
      <c r="X6378">
        <v>0.9803172</v>
      </c>
      <c r="Y6378">
        <v>-0.34095199999999998</v>
      </c>
      <c r="Z6378">
        <v>-8.345437E-2</v>
      </c>
      <c r="AA6378">
        <v>0.93636909999999896</v>
      </c>
      <c r="AB6378">
        <v>29</v>
      </c>
      <c r="AC6378">
        <v>3.0314000000000099</v>
      </c>
      <c r="AD6378">
        <v>-1.1176660978669899</v>
      </c>
      <c r="AE6378">
        <v>7.5907199999999904</v>
      </c>
      <c r="AF6378">
        <v>-2.7693260670054798</v>
      </c>
      <c r="AG6378">
        <v>-1.1176660978669899</v>
      </c>
      <c r="AH6378">
        <v>7.5305549753631604</v>
      </c>
      <c r="AI6378">
        <v>97.930104474190898</v>
      </c>
      <c r="AJ6378">
        <v>110.190760551172</v>
      </c>
      <c r="AK6378">
        <v>8.1010865079126404</v>
      </c>
      <c r="AL6378">
        <v>90.112313491490298</v>
      </c>
      <c r="AM6378">
        <v>101.3861091058</v>
      </c>
      <c r="AN6378">
        <v>1.00000001758263</v>
      </c>
    </row>
    <row r="6379" spans="1:40" x14ac:dyDescent="0.25">
      <c r="A6379" t="str">
        <f>"20190312151656294"</f>
        <v>20190312151656294</v>
      </c>
      <c r="B6379" t="str">
        <f>"1552375016283776"</f>
        <v>1552375016283776</v>
      </c>
      <c r="C6379" t="s">
        <v>40</v>
      </c>
      <c r="D6379">
        <v>4.6683859999999999</v>
      </c>
      <c r="E6379">
        <v>0.444023</v>
      </c>
      <c r="F6379" t="s">
        <v>64</v>
      </c>
      <c r="G6379">
        <v>-191.16650000000001</v>
      </c>
      <c r="H6379" s="1">
        <v>-4.1300950000000001E-6</v>
      </c>
      <c r="I6379">
        <v>-45.207149999999999</v>
      </c>
      <c r="J6379">
        <v>-194.0968</v>
      </c>
      <c r="K6379">
        <v>1.117648</v>
      </c>
      <c r="L6379">
        <v>-52.695860000000003</v>
      </c>
      <c r="M6379">
        <v>0.66160810000000003</v>
      </c>
      <c r="N6379">
        <v>0</v>
      </c>
      <c r="O6379">
        <v>0.74972079999999997</v>
      </c>
      <c r="P6379">
        <v>0.50116149999999904</v>
      </c>
      <c r="Q6379">
        <v>-1.213089E-2</v>
      </c>
      <c r="R6379">
        <v>0.8652687</v>
      </c>
      <c r="S6379">
        <v>1.1312709999999999</v>
      </c>
      <c r="T6379">
        <v>-0.40887829999999997</v>
      </c>
      <c r="U6379">
        <v>2.8107600000000001</v>
      </c>
      <c r="V6379">
        <v>-0.19674829999999999</v>
      </c>
      <c r="W6379">
        <v>-2.36616E-3</v>
      </c>
      <c r="X6379">
        <v>0.98045119999999997</v>
      </c>
      <c r="Y6379">
        <v>-0.33545770000000003</v>
      </c>
      <c r="Z6379">
        <v>-8.5137110000000002E-2</v>
      </c>
      <c r="AA6379">
        <v>0.93820029999999999</v>
      </c>
      <c r="AB6379">
        <v>29</v>
      </c>
      <c r="AC6379">
        <v>2.9302999999999799</v>
      </c>
      <c r="AD6379">
        <v>-1.117652130095</v>
      </c>
      <c r="AE6379">
        <v>7.4887099999999904</v>
      </c>
      <c r="AF6379">
        <v>-2.7056867963540201</v>
      </c>
      <c r="AG6379">
        <v>-1.117652130095</v>
      </c>
      <c r="AH6379">
        <v>7.4107333550642096</v>
      </c>
      <c r="AI6379">
        <v>98.0633413491082</v>
      </c>
      <c r="AJ6379">
        <v>110.05732932505001</v>
      </c>
      <c r="AK6379">
        <v>7.9679894693537099</v>
      </c>
      <c r="AL6379">
        <v>90.135571104913396</v>
      </c>
      <c r="AM6379">
        <v>101.346904452483</v>
      </c>
      <c r="AN6379">
        <v>1.0000000239237301</v>
      </c>
    </row>
    <row r="6380" spans="1:40" x14ac:dyDescent="0.25">
      <c r="A6380" t="str">
        <f>"20190312151656306"</f>
        <v>20190312151656306</v>
      </c>
      <c r="B6380" t="str">
        <f>"1552375016304268"</f>
        <v>1552375016304268</v>
      </c>
      <c r="C6380" t="s">
        <v>40</v>
      </c>
      <c r="D6380">
        <v>4.6657729999999997</v>
      </c>
      <c r="E6380">
        <v>0.42382370000000003</v>
      </c>
      <c r="F6380" t="s">
        <v>64</v>
      </c>
      <c r="G6380">
        <v>-191.1096</v>
      </c>
      <c r="H6380" s="1">
        <v>-4.20181E-6</v>
      </c>
      <c r="I6380">
        <v>-45.031480000000002</v>
      </c>
      <c r="J6380">
        <v>-193.99340000000001</v>
      </c>
      <c r="K6380">
        <v>1.11764</v>
      </c>
      <c r="L6380">
        <v>-52.569429999999997</v>
      </c>
      <c r="M6380">
        <v>0.65709600000000001</v>
      </c>
      <c r="N6380">
        <v>0</v>
      </c>
      <c r="O6380">
        <v>0.75367850000000003</v>
      </c>
      <c r="P6380">
        <v>0.49646649999999998</v>
      </c>
      <c r="Q6380">
        <v>-1.2625539999999999E-2</v>
      </c>
      <c r="R6380">
        <v>0.86796410000000002</v>
      </c>
      <c r="S6380">
        <v>1.1006009999999999</v>
      </c>
      <c r="T6380">
        <v>-0.41179480000000002</v>
      </c>
      <c r="U6380">
        <v>2.8239139999999998</v>
      </c>
      <c r="V6380">
        <v>-0.1961608</v>
      </c>
      <c r="W6380">
        <v>-2.846477E-3</v>
      </c>
      <c r="X6380">
        <v>0.98056759999999998</v>
      </c>
      <c r="Y6380">
        <v>-0.34014719999999998</v>
      </c>
      <c r="Z6380">
        <v>-8.6118280000000005E-2</v>
      </c>
      <c r="AA6380">
        <v>0.93642060000000005</v>
      </c>
      <c r="AB6380">
        <v>29</v>
      </c>
      <c r="AC6380">
        <v>2.8837999999999999</v>
      </c>
      <c r="AD6380">
        <v>-1.1176442018099999</v>
      </c>
      <c r="AE6380">
        <v>7.5379500000000004</v>
      </c>
      <c r="AF6380">
        <v>-2.7276596206891401</v>
      </c>
      <c r="AG6380">
        <v>-1.1176442018099999</v>
      </c>
      <c r="AH6380">
        <v>7.4342906510940301</v>
      </c>
      <c r="AI6380">
        <v>98.033464674076498</v>
      </c>
      <c r="AJ6380">
        <v>110.148212028583</v>
      </c>
      <c r="AK6380">
        <v>7.9973703836399697</v>
      </c>
      <c r="AL6380">
        <v>90.163091340447096</v>
      </c>
      <c r="AM6380">
        <v>101.312588823393</v>
      </c>
      <c r="AN6380">
        <v>0.99999999002885498</v>
      </c>
    </row>
    <row r="6381" spans="1:40" x14ac:dyDescent="0.25">
      <c r="A6381" t="str">
        <f>"20190312151656326"</f>
        <v>20190312151656326</v>
      </c>
      <c r="B6381" t="str">
        <f>"1552375016324764"</f>
        <v>1552375016324764</v>
      </c>
      <c r="C6381" t="s">
        <v>40</v>
      </c>
      <c r="D6381">
        <v>4.6789249999999996</v>
      </c>
      <c r="E6381">
        <v>0.42272179999999998</v>
      </c>
      <c r="F6381" t="s">
        <v>64</v>
      </c>
      <c r="G6381">
        <v>-191.8604</v>
      </c>
      <c r="H6381" s="1">
        <v>-3.8726790000000003E-6</v>
      </c>
      <c r="I6381">
        <v>-45.97728</v>
      </c>
      <c r="J6381">
        <v>-193.8323</v>
      </c>
      <c r="K6381">
        <v>1.1176299999999999</v>
      </c>
      <c r="L6381">
        <v>-52.369900000000001</v>
      </c>
      <c r="M6381">
        <v>0.64996599999999904</v>
      </c>
      <c r="N6381">
        <v>0</v>
      </c>
      <c r="O6381">
        <v>0.75983599999999996</v>
      </c>
      <c r="P6381">
        <v>0.48900470000000001</v>
      </c>
      <c r="Q6381">
        <v>-1.3446680000000001E-2</v>
      </c>
      <c r="R6381">
        <v>0.87217749999999905</v>
      </c>
      <c r="S6381">
        <v>0.94172670000000003</v>
      </c>
      <c r="T6381">
        <v>-0.49345539999999999</v>
      </c>
      <c r="U6381">
        <v>2.9105219999999998</v>
      </c>
      <c r="V6381">
        <v>-0.19530739999999999</v>
      </c>
      <c r="W6381">
        <v>-3.6466459999999999E-3</v>
      </c>
      <c r="X6381">
        <v>0.98073529999999998</v>
      </c>
      <c r="Y6381">
        <v>-0.38617279999999998</v>
      </c>
      <c r="Z6381">
        <v>-0.1004554</v>
      </c>
      <c r="AA6381">
        <v>0.91694019999999998</v>
      </c>
      <c r="AB6381">
        <v>29</v>
      </c>
      <c r="AC6381">
        <v>1.9719</v>
      </c>
      <c r="AD6381">
        <v>-1.1176338726789901</v>
      </c>
      <c r="AE6381">
        <v>6.39262</v>
      </c>
      <c r="AF6381">
        <v>-2.5847795858484202</v>
      </c>
      <c r="AG6381">
        <v>-1.1176338726789901</v>
      </c>
      <c r="AH6381">
        <v>5.9728981450687897</v>
      </c>
      <c r="AI6381">
        <v>99.744197921927494</v>
      </c>
      <c r="AJ6381">
        <v>113.40061204637</v>
      </c>
      <c r="AK6381">
        <v>6.60346145836745</v>
      </c>
      <c r="AL6381">
        <v>90.208937887505996</v>
      </c>
      <c r="AM6381">
        <v>101.262757424737</v>
      </c>
      <c r="AN6381">
        <v>1.00000000359394</v>
      </c>
    </row>
    <row r="6382" spans="1:40" x14ac:dyDescent="0.25">
      <c r="A6382" t="str">
        <f>"20190312151656340"</f>
        <v>20190312151656340</v>
      </c>
      <c r="B6382" t="str">
        <f>"1552375016334525"</f>
        <v>1552375016334525</v>
      </c>
      <c r="C6382" t="s">
        <v>40</v>
      </c>
      <c r="D6382">
        <v>4.6563990000000004</v>
      </c>
      <c r="E6382">
        <v>0.42276140000000001</v>
      </c>
      <c r="F6382" t="s">
        <v>64</v>
      </c>
      <c r="G6382">
        <v>-191.73679999999999</v>
      </c>
      <c r="H6382" s="1">
        <v>-4.021962E-6</v>
      </c>
      <c r="I6382">
        <v>-45.636899999999997</v>
      </c>
      <c r="J6382">
        <v>-193.72540000000001</v>
      </c>
      <c r="K6382">
        <v>1.1176200000000001</v>
      </c>
      <c r="L6382">
        <v>-52.235199999999999</v>
      </c>
      <c r="M6382">
        <v>0.64515089999999997</v>
      </c>
      <c r="N6382">
        <v>0</v>
      </c>
      <c r="O6382">
        <v>0.76392859999999996</v>
      </c>
      <c r="P6382">
        <v>0.48386289999999998</v>
      </c>
      <c r="Q6382">
        <v>-1.3427440000000001E-2</v>
      </c>
      <c r="R6382">
        <v>0.87504079999999995</v>
      </c>
      <c r="S6382">
        <v>0.90948490000000004</v>
      </c>
      <c r="T6382">
        <v>-0.48507289999999997</v>
      </c>
      <c r="U6382">
        <v>2.9222410000000001</v>
      </c>
      <c r="V6382">
        <v>-0.19488230000000001</v>
      </c>
      <c r="W6382">
        <v>-3.616555E-3</v>
      </c>
      <c r="X6382">
        <v>0.98082000000000003</v>
      </c>
      <c r="Y6382">
        <v>-0.39055679999999998</v>
      </c>
      <c r="Z6382">
        <v>-9.9277630000000006E-2</v>
      </c>
      <c r="AA6382">
        <v>0.91520999999999997</v>
      </c>
      <c r="AB6382">
        <v>29</v>
      </c>
      <c r="AC6382">
        <v>1.9886000000000199</v>
      </c>
      <c r="AD6382">
        <v>-1.1176240219619999</v>
      </c>
      <c r="AE6382">
        <v>6.5983000000000001</v>
      </c>
      <c r="AF6382">
        <v>-2.66784881246384</v>
      </c>
      <c r="AG6382">
        <v>-1.1176240219619999</v>
      </c>
      <c r="AH6382">
        <v>6.16211965227098</v>
      </c>
      <c r="AI6382">
        <v>99.4497298125806</v>
      </c>
      <c r="AJ6382">
        <v>113.409878879022</v>
      </c>
      <c r="AK6382">
        <v>6.8072181799568803</v>
      </c>
      <c r="AL6382">
        <v>90.207213783087695</v>
      </c>
      <c r="AM6382">
        <v>101.2379220633</v>
      </c>
      <c r="AN6382">
        <v>1.0000000313616699</v>
      </c>
    </row>
    <row r="6383" spans="1:40" x14ac:dyDescent="0.25">
      <c r="A6383" t="str">
        <f>"20190312151656360"</f>
        <v>20190312151656360</v>
      </c>
      <c r="B6383" t="str">
        <f>"1552375016354045"</f>
        <v>1552375016354045</v>
      </c>
      <c r="C6383" t="s">
        <v>40</v>
      </c>
      <c r="D6383">
        <v>4.6538430000000002</v>
      </c>
      <c r="E6383">
        <v>0.422842</v>
      </c>
      <c r="F6383" t="s">
        <v>64</v>
      </c>
      <c r="G6383">
        <v>-191.64699999999999</v>
      </c>
      <c r="H6383" s="1">
        <v>-4.1151949999999997E-6</v>
      </c>
      <c r="I6383">
        <v>-45.419870000000003</v>
      </c>
      <c r="J6383">
        <v>-193.5684</v>
      </c>
      <c r="K6383">
        <v>1.11761</v>
      </c>
      <c r="L6383">
        <v>-52.034329999999997</v>
      </c>
      <c r="M6383">
        <v>0.63796439999999999</v>
      </c>
      <c r="N6383">
        <v>0</v>
      </c>
      <c r="O6383">
        <v>0.76994039999999997</v>
      </c>
      <c r="P6383">
        <v>0.47638039999999998</v>
      </c>
      <c r="Q6383">
        <v>-1.388472E-2</v>
      </c>
      <c r="R6383">
        <v>0.87912959999999996</v>
      </c>
      <c r="S6383">
        <v>0.8927155</v>
      </c>
      <c r="T6383">
        <v>-0.48005989999999998</v>
      </c>
      <c r="U6383">
        <v>2.9274290000000001</v>
      </c>
      <c r="V6383">
        <v>-0.19404560000000001</v>
      </c>
      <c r="W6383">
        <v>-4.0535570000000002E-3</v>
      </c>
      <c r="X6383">
        <v>0.98098419999999997</v>
      </c>
      <c r="Y6383">
        <v>-0.38718999999999998</v>
      </c>
      <c r="Z6383">
        <v>-9.9614579999999994E-2</v>
      </c>
      <c r="AA6383">
        <v>0.9166029</v>
      </c>
      <c r="AB6383">
        <v>29</v>
      </c>
      <c r="AC6383">
        <v>1.92139999999997</v>
      </c>
      <c r="AD6383">
        <v>-1.1176141151950001</v>
      </c>
      <c r="AE6383">
        <v>6.6144599999999896</v>
      </c>
      <c r="AF6383">
        <v>-2.6703861676775298</v>
      </c>
      <c r="AG6383">
        <v>-1.1176141151950001</v>
      </c>
      <c r="AH6383">
        <v>6.1570346935587201</v>
      </c>
      <c r="AI6383">
        <v>99.454703667522594</v>
      </c>
      <c r="AJ6383">
        <v>113.44700596102599</v>
      </c>
      <c r="AK6383">
        <v>6.80360932246204</v>
      </c>
      <c r="AL6383">
        <v>90.232252329423204</v>
      </c>
      <c r="AM6383">
        <v>101.189067993468</v>
      </c>
      <c r="AN6383">
        <v>1.0000000634266699</v>
      </c>
    </row>
    <row r="6384" spans="1:40" x14ac:dyDescent="0.25">
      <c r="A6384" t="str">
        <f>"20190312151656384"</f>
        <v>20190312151656384</v>
      </c>
      <c r="B6384" t="str">
        <f>"1552375016374540"</f>
        <v>1552375016374540</v>
      </c>
      <c r="C6384" t="s">
        <v>40</v>
      </c>
      <c r="D6384">
        <v>4.6675579999999997</v>
      </c>
      <c r="E6384">
        <v>0.42302810000000002</v>
      </c>
      <c r="F6384" t="s">
        <v>64</v>
      </c>
      <c r="G6384">
        <v>-191.5558</v>
      </c>
      <c r="H6384" s="1">
        <v>-4.188816E-6</v>
      </c>
      <c r="I6384">
        <v>-45.229889999999997</v>
      </c>
      <c r="J6384">
        <v>-193.38800000000001</v>
      </c>
      <c r="K6384">
        <v>1.1176029999999999</v>
      </c>
      <c r="L6384">
        <v>-51.798580000000001</v>
      </c>
      <c r="M6384">
        <v>0.62952089999999905</v>
      </c>
      <c r="N6384">
        <v>0</v>
      </c>
      <c r="O6384">
        <v>0.77685919999999997</v>
      </c>
      <c r="P6384">
        <v>0.46725090000000002</v>
      </c>
      <c r="Q6384">
        <v>-1.3727420000000001E-2</v>
      </c>
      <c r="R6384">
        <v>0.88401819999999898</v>
      </c>
      <c r="S6384">
        <v>0.86793519999999902</v>
      </c>
      <c r="T6384">
        <v>-0.48199150000000002</v>
      </c>
      <c r="U6384">
        <v>2.9345400000000001</v>
      </c>
      <c r="V6384">
        <v>-0.19349939999999999</v>
      </c>
      <c r="W6384">
        <v>-3.8824950000000001E-3</v>
      </c>
      <c r="X6384">
        <v>0.98109270000000004</v>
      </c>
      <c r="Y6384">
        <v>-0.38489790000000002</v>
      </c>
      <c r="Z6384">
        <v>-0.1014815</v>
      </c>
      <c r="AA6384">
        <v>0.91736320000000005</v>
      </c>
      <c r="AB6384">
        <v>29</v>
      </c>
      <c r="AC6384">
        <v>1.8322000000000001</v>
      </c>
      <c r="AD6384">
        <v>-1.117607188816</v>
      </c>
      <c r="AE6384">
        <v>6.5686899999999904</v>
      </c>
      <c r="AF6384">
        <v>-2.6410924090251302</v>
      </c>
      <c r="AG6384">
        <v>-1.117607188816</v>
      </c>
      <c r="AH6384">
        <v>6.0933028825647799</v>
      </c>
      <c r="AI6384">
        <v>99.552650421665902</v>
      </c>
      <c r="AJ6384">
        <v>113.433926691525</v>
      </c>
      <c r="AK6384">
        <v>6.7344454085080896</v>
      </c>
      <c r="AL6384">
        <v>90.222451138841606</v>
      </c>
      <c r="AM6384">
        <v>101.15716133236501</v>
      </c>
      <c r="AN6384">
        <v>0.99999998878053697</v>
      </c>
    </row>
    <row r="6385" spans="1:40" x14ac:dyDescent="0.25">
      <c r="A6385" t="str">
        <f>"20190312151656408"</f>
        <v>20190312151656408</v>
      </c>
      <c r="B6385" t="str">
        <f>"1552375016403820"</f>
        <v>1552375016403820</v>
      </c>
      <c r="C6385" t="s">
        <v>40</v>
      </c>
      <c r="D6385">
        <v>4.659554</v>
      </c>
      <c r="E6385">
        <v>0.42365730000000001</v>
      </c>
      <c r="F6385" t="s">
        <v>64</v>
      </c>
      <c r="G6385">
        <v>-191.46459999999999</v>
      </c>
      <c r="H6385" s="1">
        <v>-4.2571469999999997E-6</v>
      </c>
      <c r="I6385">
        <v>-45.048349999999999</v>
      </c>
      <c r="J6385">
        <v>-193.21029999999999</v>
      </c>
      <c r="K6385">
        <v>1.117602</v>
      </c>
      <c r="L6385">
        <v>-51.561190000000003</v>
      </c>
      <c r="M6385">
        <v>0.62100419999999901</v>
      </c>
      <c r="N6385">
        <v>0</v>
      </c>
      <c r="O6385">
        <v>0.78368400000000005</v>
      </c>
      <c r="P6385">
        <v>0.4577117</v>
      </c>
      <c r="Q6385">
        <v>-1.383245E-2</v>
      </c>
      <c r="R6385">
        <v>0.88899300000000003</v>
      </c>
      <c r="S6385">
        <v>0.8384857</v>
      </c>
      <c r="T6385">
        <v>-0.48723349999999999</v>
      </c>
      <c r="U6385">
        <v>2.942841</v>
      </c>
      <c r="V6385">
        <v>-0.19334489999999999</v>
      </c>
      <c r="W6385">
        <v>-3.9830109999999998E-3</v>
      </c>
      <c r="X6385">
        <v>0.98112279999999996</v>
      </c>
      <c r="Y6385">
        <v>-0.38406269999999998</v>
      </c>
      <c r="Z6385">
        <v>-0.1039533</v>
      </c>
      <c r="AA6385">
        <v>0.91743640000000004</v>
      </c>
      <c r="AB6385">
        <v>29</v>
      </c>
      <c r="AC6385">
        <v>1.74569999999999</v>
      </c>
      <c r="AD6385">
        <v>-1.117606257147</v>
      </c>
      <c r="AE6385">
        <v>6.5128399999999997</v>
      </c>
      <c r="AF6385">
        <v>-2.6051123507718899</v>
      </c>
      <c r="AG6385">
        <v>-1.117606257147</v>
      </c>
      <c r="AH6385">
        <v>6.0232179571481597</v>
      </c>
      <c r="AI6385">
        <v>99.664927145831598</v>
      </c>
      <c r="AJ6385">
        <v>113.389048054578</v>
      </c>
      <c r="AK6385">
        <v>6.6569368830919897</v>
      </c>
      <c r="AL6385">
        <v>90.228210316223496</v>
      </c>
      <c r="AM6385">
        <v>101.14814265659</v>
      </c>
      <c r="AN6385">
        <v>1.0000000317062301</v>
      </c>
    </row>
    <row r="6386" spans="1:40" x14ac:dyDescent="0.25">
      <c r="A6386" t="str">
        <f>"20190312151656429"</f>
        <v>20190312151656429</v>
      </c>
      <c r="B6386" t="str">
        <f>"1552375016424316"</f>
        <v>1552375016424316</v>
      </c>
      <c r="C6386" t="s">
        <v>40</v>
      </c>
      <c r="D6386">
        <v>4.7307829999999997</v>
      </c>
      <c r="E6386">
        <v>0.42392970000000002</v>
      </c>
      <c r="F6386" t="s">
        <v>64</v>
      </c>
      <c r="G6386">
        <v>-191.33029999999999</v>
      </c>
      <c r="H6386" s="1">
        <v>-4.3823819999999997E-6</v>
      </c>
      <c r="I6386">
        <v>-44.728149999999999</v>
      </c>
      <c r="J6386">
        <v>-193.05109999999999</v>
      </c>
      <c r="K6386">
        <v>1.117602</v>
      </c>
      <c r="L6386">
        <v>-51.343809999999998</v>
      </c>
      <c r="M6386">
        <v>0.61319569999999901</v>
      </c>
      <c r="N6386">
        <v>0</v>
      </c>
      <c r="O6386">
        <v>0.78980879999999998</v>
      </c>
      <c r="P6386">
        <v>0.44907399999999997</v>
      </c>
      <c r="Q6386">
        <v>-1.3911949999999999E-2</v>
      </c>
      <c r="R6386">
        <v>0.89338619999999902</v>
      </c>
      <c r="S6386">
        <v>0.81144709999999998</v>
      </c>
      <c r="T6386">
        <v>-0.48238720000000002</v>
      </c>
      <c r="U6386">
        <v>2.9493100000000001</v>
      </c>
      <c r="V6386">
        <v>-0.19311420000000001</v>
      </c>
      <c r="W6386">
        <v>-4.057097E-3</v>
      </c>
      <c r="X6386">
        <v>0.98116789999999998</v>
      </c>
      <c r="Y6386">
        <v>-0.38323239999999997</v>
      </c>
      <c r="Z6386">
        <v>-0.1042131</v>
      </c>
      <c r="AA6386">
        <v>0.91775410000000002</v>
      </c>
      <c r="AB6386">
        <v>29</v>
      </c>
      <c r="AC6386">
        <v>1.7207999999999899</v>
      </c>
      <c r="AD6386">
        <v>-1.1176063823819999</v>
      </c>
      <c r="AE6386">
        <v>6.6156599999999903</v>
      </c>
      <c r="AF6386">
        <v>-2.6276155070387399</v>
      </c>
      <c r="AG6386">
        <v>-1.1176063823819999</v>
      </c>
      <c r="AH6386">
        <v>6.1173822314665198</v>
      </c>
      <c r="AI6386">
        <v>99.529024196961601</v>
      </c>
      <c r="AJ6386">
        <v>113.24510313112999</v>
      </c>
      <c r="AK6386">
        <v>6.7509830872720897</v>
      </c>
      <c r="AL6386">
        <v>90.232455172617904</v>
      </c>
      <c r="AM6386">
        <v>101.13467421340999</v>
      </c>
      <c r="AN6386">
        <v>1.00000000113405</v>
      </c>
    </row>
    <row r="6387" spans="1:40" x14ac:dyDescent="0.25">
      <c r="A6387" t="str">
        <f>"20190312151656450"</f>
        <v>20190312151656450</v>
      </c>
      <c r="B6387" t="str">
        <f>"1552375016443836"</f>
        <v>1552375016443836</v>
      </c>
      <c r="C6387" t="s">
        <v>40</v>
      </c>
      <c r="D6387">
        <v>4.6897260000000003</v>
      </c>
      <c r="E6387">
        <v>0.42465520000000001</v>
      </c>
      <c r="F6387" t="s">
        <v>64</v>
      </c>
      <c r="G6387">
        <v>-191.2226</v>
      </c>
      <c r="H6387" s="1">
        <v>-4.4898599999999997E-6</v>
      </c>
      <c r="I6387">
        <v>-44.45626</v>
      </c>
      <c r="J6387">
        <v>-192.893</v>
      </c>
      <c r="K6387">
        <v>1.117605</v>
      </c>
      <c r="L6387">
        <v>-51.12323</v>
      </c>
      <c r="M6387">
        <v>0.60525869999999904</v>
      </c>
      <c r="N6387">
        <v>0</v>
      </c>
      <c r="O6387">
        <v>0.79590760000000005</v>
      </c>
      <c r="P6387">
        <v>0.44036330000000001</v>
      </c>
      <c r="Q6387">
        <v>-1.362613E-2</v>
      </c>
      <c r="R6387">
        <v>0.89771630000000002</v>
      </c>
      <c r="S6387">
        <v>0.78478999999999999</v>
      </c>
      <c r="T6387">
        <v>-0.47966340000000002</v>
      </c>
      <c r="U6387">
        <v>2.9560550000000001</v>
      </c>
      <c r="V6387">
        <v>-0.19284399999999999</v>
      </c>
      <c r="W6387">
        <v>-3.7657659999999998E-3</v>
      </c>
      <c r="X6387">
        <v>0.98122220000000004</v>
      </c>
      <c r="Y6387">
        <v>-0.38224940000000002</v>
      </c>
      <c r="Z6387">
        <v>-0.1048892</v>
      </c>
      <c r="AA6387">
        <v>0.91808690000000004</v>
      </c>
      <c r="AB6387">
        <v>29</v>
      </c>
      <c r="AC6387">
        <v>1.6704000000000001</v>
      </c>
      <c r="AD6387">
        <v>-1.11760948986</v>
      </c>
      <c r="AE6387">
        <v>6.6669699999999903</v>
      </c>
      <c r="AF6387">
        <v>-2.6363113130329601</v>
      </c>
      <c r="AG6387">
        <v>-1.11760948986</v>
      </c>
      <c r="AH6387">
        <v>6.1551753931064104</v>
      </c>
      <c r="AI6387">
        <v>99.475731229459001</v>
      </c>
      <c r="AJ6387">
        <v>113.18584156854401</v>
      </c>
      <c r="AK6387">
        <v>6.7886208047698</v>
      </c>
      <c r="AL6387">
        <v>90.215763008919893</v>
      </c>
      <c r="AM6387">
        <v>101.118883388066</v>
      </c>
      <c r="AN6387">
        <v>0.99999999755120295</v>
      </c>
    </row>
    <row r="6388" spans="1:40" x14ac:dyDescent="0.25">
      <c r="A6388" t="str">
        <f>"20190312151656463"</f>
        <v>20190312151656463</v>
      </c>
      <c r="B6388" t="str">
        <f>"1552375016453596"</f>
        <v>1552375016453596</v>
      </c>
      <c r="C6388" t="s">
        <v>40</v>
      </c>
      <c r="D6388">
        <v>4.648326</v>
      </c>
      <c r="E6388">
        <v>0.42503730000000001</v>
      </c>
      <c r="F6388" t="s">
        <v>64</v>
      </c>
      <c r="G6388">
        <v>-191.10319999999999</v>
      </c>
      <c r="H6388" s="1">
        <v>-4.6067630000000001E-6</v>
      </c>
      <c r="I6388">
        <v>-44.159680000000002</v>
      </c>
      <c r="J6388">
        <v>-192.80009999999999</v>
      </c>
      <c r="K6388">
        <v>1.1176079999999999</v>
      </c>
      <c r="L6388">
        <v>-50.991030000000002</v>
      </c>
      <c r="M6388">
        <v>0.60049739999999996</v>
      </c>
      <c r="N6388">
        <v>0</v>
      </c>
      <c r="O6388">
        <v>0.79950589999999999</v>
      </c>
      <c r="P6388">
        <v>0.43501640000000003</v>
      </c>
      <c r="Q6388">
        <v>-1.3755E-2</v>
      </c>
      <c r="R6388">
        <v>0.90031749999999899</v>
      </c>
      <c r="S6388">
        <v>0.76110840000000002</v>
      </c>
      <c r="T6388">
        <v>-0.47526190000000001</v>
      </c>
      <c r="U6388">
        <v>2.9612430000000001</v>
      </c>
      <c r="V6388">
        <v>-0.19281960000000001</v>
      </c>
      <c r="W6388">
        <v>-3.8948300000000002E-3</v>
      </c>
      <c r="X6388">
        <v>0.9812265</v>
      </c>
      <c r="Y6388">
        <v>-0.3839902</v>
      </c>
      <c r="Z6388">
        <v>-0.1045831</v>
      </c>
      <c r="AA6388">
        <v>0.91739519999999997</v>
      </c>
      <c r="AB6388">
        <v>29</v>
      </c>
      <c r="AC6388">
        <v>1.6968999999999901</v>
      </c>
      <c r="AD6388">
        <v>-1.1176126067629999</v>
      </c>
      <c r="AE6388">
        <v>6.8313499999999996</v>
      </c>
      <c r="AF6388">
        <v>-2.67827325339052</v>
      </c>
      <c r="AG6388">
        <v>-1.1176126067629999</v>
      </c>
      <c r="AH6388">
        <v>6.3219408227021097</v>
      </c>
      <c r="AI6388">
        <v>99.245412594576095</v>
      </c>
      <c r="AJ6388">
        <v>112.959814184574</v>
      </c>
      <c r="AK6388">
        <v>6.9562303961535097</v>
      </c>
      <c r="AL6388">
        <v>90.223157883774306</v>
      </c>
      <c r="AM6388">
        <v>101.11746409057299</v>
      </c>
      <c r="AN6388">
        <v>1.0000000060735601</v>
      </c>
    </row>
    <row r="6389" spans="1:40" x14ac:dyDescent="0.25">
      <c r="A6389" t="str">
        <f>"20190312151656487"</f>
        <v>20190312151656487</v>
      </c>
      <c r="B6389" t="str">
        <f>"1552375016483852"</f>
        <v>1552375016483852</v>
      </c>
      <c r="C6389" t="s">
        <v>40</v>
      </c>
      <c r="D6389">
        <v>4.7236609999999999</v>
      </c>
      <c r="E6389">
        <v>0.42564540000000001</v>
      </c>
      <c r="F6389" t="s">
        <v>64</v>
      </c>
      <c r="G6389">
        <v>-191.04220000000001</v>
      </c>
      <c r="H6389" s="1">
        <v>-4.6671849999999998E-6</v>
      </c>
      <c r="I6389">
        <v>-44.00665</v>
      </c>
      <c r="J6389">
        <v>-192.62950000000001</v>
      </c>
      <c r="K6389">
        <v>1.1176090000000001</v>
      </c>
      <c r="L6389">
        <v>-50.744599999999998</v>
      </c>
      <c r="M6389">
        <v>0.59160159999999995</v>
      </c>
      <c r="N6389">
        <v>0</v>
      </c>
      <c r="O6389">
        <v>0.80611069999999996</v>
      </c>
      <c r="P6389">
        <v>0.42511179999999898</v>
      </c>
      <c r="Q6389">
        <v>-1.3502E-2</v>
      </c>
      <c r="R6389">
        <v>0.90504010000000001</v>
      </c>
      <c r="S6389">
        <v>0.74610900000000002</v>
      </c>
      <c r="T6389">
        <v>-0.47434900000000002</v>
      </c>
      <c r="U6389">
        <v>2.9643860000000002</v>
      </c>
      <c r="V6389">
        <v>-0.19272010000000001</v>
      </c>
      <c r="W6389">
        <v>-3.6408629999999998E-3</v>
      </c>
      <c r="X6389">
        <v>0.98124699999999998</v>
      </c>
      <c r="Y6389">
        <v>-0.37838830000000001</v>
      </c>
      <c r="Z6389">
        <v>-0.1059751</v>
      </c>
      <c r="AA6389">
        <v>0.91956059999999995</v>
      </c>
      <c r="AB6389">
        <v>29</v>
      </c>
      <c r="AC6389">
        <v>1.5872999999999899</v>
      </c>
      <c r="AD6389">
        <v>-1.1176136671850001</v>
      </c>
      <c r="AE6389">
        <v>6.7379499999999899</v>
      </c>
      <c r="AF6389">
        <v>-2.6381386150832902</v>
      </c>
      <c r="AG6389">
        <v>-1.1176136671850001</v>
      </c>
      <c r="AH6389">
        <v>6.2093463014621904</v>
      </c>
      <c r="AI6389">
        <v>99.406048732387902</v>
      </c>
      <c r="AJ6389">
        <v>113.018976861659</v>
      </c>
      <c r="AK6389">
        <v>6.83848061728294</v>
      </c>
      <c r="AL6389">
        <v>90.208606547919203</v>
      </c>
      <c r="AM6389">
        <v>101.111643625268</v>
      </c>
      <c r="AN6389">
        <v>0.999999983918197</v>
      </c>
    </row>
    <row r="6390" spans="1:40" x14ac:dyDescent="0.25">
      <c r="A6390" t="str">
        <f>"20190312151656507"</f>
        <v>20190312151656507</v>
      </c>
      <c r="B6390" t="str">
        <f>"1552375016504348"</f>
        <v>1552375016504348</v>
      </c>
      <c r="C6390" t="s">
        <v>40</v>
      </c>
      <c r="D6390">
        <v>4.6766829999999997</v>
      </c>
      <c r="E6390">
        <v>0.42631259999999999</v>
      </c>
      <c r="F6390" t="s">
        <v>64</v>
      </c>
      <c r="G6390">
        <v>-190.92439999999999</v>
      </c>
      <c r="H6390" s="1">
        <v>-4.7916440000000004E-6</v>
      </c>
      <c r="I6390">
        <v>-43.694450000000003</v>
      </c>
      <c r="J6390">
        <v>-192.48840000000001</v>
      </c>
      <c r="K6390">
        <v>1.1176060000000001</v>
      </c>
      <c r="L6390">
        <v>-50.535980000000002</v>
      </c>
      <c r="M6390">
        <v>0.58405949999999995</v>
      </c>
      <c r="N6390">
        <v>0</v>
      </c>
      <c r="O6390">
        <v>0.81159190000000003</v>
      </c>
      <c r="P6390">
        <v>0.41684359999999998</v>
      </c>
      <c r="Q6390">
        <v>-1.3541610000000001E-2</v>
      </c>
      <c r="R6390">
        <v>0.90887739999999995</v>
      </c>
      <c r="S6390">
        <v>0.71839900000000001</v>
      </c>
      <c r="T6390">
        <v>-0.47086329999999998</v>
      </c>
      <c r="U6390">
        <v>2.9703059999999999</v>
      </c>
      <c r="V6390">
        <v>-0.19251509999999999</v>
      </c>
      <c r="W6390">
        <v>-3.6764380000000002E-3</v>
      </c>
      <c r="X6390">
        <v>0.98128709999999997</v>
      </c>
      <c r="Y6390">
        <v>-0.37828089999999998</v>
      </c>
      <c r="Z6390">
        <v>-0.1063038</v>
      </c>
      <c r="AA6390">
        <v>0.91956680000000002</v>
      </c>
      <c r="AB6390">
        <v>29</v>
      </c>
      <c r="AC6390">
        <v>1.56400000000002</v>
      </c>
      <c r="AD6390">
        <v>-1.1176107916439999</v>
      </c>
      <c r="AE6390">
        <v>6.8415299999999899</v>
      </c>
      <c r="AF6390">
        <v>-2.6593525576614199</v>
      </c>
      <c r="AG6390">
        <v>-1.1176107916439999</v>
      </c>
      <c r="AH6390">
        <v>6.3066852719033699</v>
      </c>
      <c r="AI6390">
        <v>99.273827211192994</v>
      </c>
      <c r="AJ6390">
        <v>112.863790476955</v>
      </c>
      <c r="AK6390">
        <v>6.9350911332427598</v>
      </c>
      <c r="AL6390">
        <v>90.210644860560294</v>
      </c>
      <c r="AM6390">
        <v>101.099675309446</v>
      </c>
      <c r="AN6390">
        <v>0.99999997627539305</v>
      </c>
    </row>
    <row r="6391" spans="1:40" x14ac:dyDescent="0.25">
      <c r="A6391" t="str">
        <f>"20190312151656530"</f>
        <v>20190312151656530</v>
      </c>
      <c r="B6391" t="str">
        <f>"1552375016523868"</f>
        <v>1552375016523868</v>
      </c>
      <c r="C6391" t="s">
        <v>40</v>
      </c>
      <c r="D6391">
        <v>4.6943289999999998</v>
      </c>
      <c r="E6391">
        <v>0.42691669999999998</v>
      </c>
      <c r="F6391" t="s">
        <v>64</v>
      </c>
      <c r="G6391">
        <v>-190.82660000000001</v>
      </c>
      <c r="H6391" s="1">
        <v>-4.8935029999999997E-6</v>
      </c>
      <c r="I6391">
        <v>-43.438420000000001</v>
      </c>
      <c r="J6391">
        <v>-192.3261</v>
      </c>
      <c r="K6391">
        <v>1.117602</v>
      </c>
      <c r="L6391">
        <v>-50.290950000000002</v>
      </c>
      <c r="M6391">
        <v>0.57518539999999996</v>
      </c>
      <c r="N6391">
        <v>0</v>
      </c>
      <c r="O6391">
        <v>0.81790509999999905</v>
      </c>
      <c r="P6391">
        <v>0.40695779999999998</v>
      </c>
      <c r="Q6391">
        <v>-1.3464780000000001E-2</v>
      </c>
      <c r="R6391">
        <v>0.91334769999999998</v>
      </c>
      <c r="S6391">
        <v>0.69641109999999995</v>
      </c>
      <c r="T6391">
        <v>-0.46836040000000001</v>
      </c>
      <c r="U6391">
        <v>2.974396</v>
      </c>
      <c r="V6391">
        <v>-0.19247629999999999</v>
      </c>
      <c r="W6391">
        <v>-3.5986759999999999E-3</v>
      </c>
      <c r="X6391">
        <v>0.98129500000000003</v>
      </c>
      <c r="Y6391">
        <v>-0.3749402</v>
      </c>
      <c r="Z6391">
        <v>-0.1071677</v>
      </c>
      <c r="AA6391">
        <v>0.92083380000000004</v>
      </c>
      <c r="AB6391">
        <v>29</v>
      </c>
      <c r="AC6391">
        <v>1.4994999999999801</v>
      </c>
      <c r="AD6391">
        <v>-1.1176068935029999</v>
      </c>
      <c r="AE6391">
        <v>6.8525299999999998</v>
      </c>
      <c r="AF6391">
        <v>-2.6480695000345</v>
      </c>
      <c r="AG6391">
        <v>-1.1176068935029999</v>
      </c>
      <c r="AH6391">
        <v>6.3077177314506603</v>
      </c>
      <c r="AI6391">
        <v>99.278356453208403</v>
      </c>
      <c r="AJ6391">
        <v>112.77335607162701</v>
      </c>
      <c r="AK6391">
        <v>6.93171120467923</v>
      </c>
      <c r="AL6391">
        <v>90.206189396466399</v>
      </c>
      <c r="AM6391">
        <v>101.097406663884</v>
      </c>
      <c r="AN6391">
        <v>0.99999997677782104</v>
      </c>
    </row>
    <row r="6392" spans="1:40" x14ac:dyDescent="0.25">
      <c r="A6392" t="str">
        <f>"20190312151656551"</f>
        <v>20190312151656551</v>
      </c>
      <c r="B6392" t="str">
        <f>"1552375016544364"</f>
        <v>1552375016544364</v>
      </c>
      <c r="C6392" t="s">
        <v>40</v>
      </c>
      <c r="D6392">
        <v>4.6976889999999996</v>
      </c>
      <c r="E6392">
        <v>0.42763600000000002</v>
      </c>
      <c r="F6392" t="s">
        <v>64</v>
      </c>
      <c r="G6392">
        <v>-190.72130000000001</v>
      </c>
      <c r="H6392" s="1">
        <v>-5.0124499999999998E-6</v>
      </c>
      <c r="I6392">
        <v>-43.14282</v>
      </c>
      <c r="J6392">
        <v>-192.18539999999999</v>
      </c>
      <c r="K6392">
        <v>1.117604</v>
      </c>
      <c r="L6392">
        <v>-50.073700000000002</v>
      </c>
      <c r="M6392">
        <v>0.56730839999999905</v>
      </c>
      <c r="N6392">
        <v>0</v>
      </c>
      <c r="O6392">
        <v>0.82338820000000001</v>
      </c>
      <c r="P6392">
        <v>0.3982965</v>
      </c>
      <c r="Q6392">
        <v>-1.379814E-2</v>
      </c>
      <c r="R6392">
        <v>0.91715290000000005</v>
      </c>
      <c r="S6392">
        <v>0.66894529999999996</v>
      </c>
      <c r="T6392">
        <v>-0.46587060000000002</v>
      </c>
      <c r="U6392">
        <v>2.9796749999999999</v>
      </c>
      <c r="V6392">
        <v>-0.1923348</v>
      </c>
      <c r="W6392">
        <v>-3.9283690000000001E-3</v>
      </c>
      <c r="X6392">
        <v>0.98132149999999996</v>
      </c>
      <c r="Y6392">
        <v>-0.37447720000000001</v>
      </c>
      <c r="Z6392">
        <v>-0.1077195</v>
      </c>
      <c r="AA6392">
        <v>0.92095780000000005</v>
      </c>
      <c r="AB6392">
        <v>29</v>
      </c>
      <c r="AC6392">
        <v>1.46409999999997</v>
      </c>
      <c r="AD6392">
        <v>-1.11760901245</v>
      </c>
      <c r="AE6392">
        <v>6.9308800000000002</v>
      </c>
      <c r="AF6392">
        <v>-2.6604652187148599</v>
      </c>
      <c r="AG6392">
        <v>-1.11760901245</v>
      </c>
      <c r="AH6392">
        <v>6.3792460314704904</v>
      </c>
      <c r="AI6392">
        <v>99.185000279943907</v>
      </c>
      <c r="AJ6392">
        <v>112.63858182136001</v>
      </c>
      <c r="AK6392">
        <v>7.0015644690835401</v>
      </c>
      <c r="AL6392">
        <v>90.225079543685098</v>
      </c>
      <c r="AM6392">
        <v>101.08915859771</v>
      </c>
      <c r="AN6392">
        <v>0.999999996868145</v>
      </c>
    </row>
    <row r="6393" spans="1:40" x14ac:dyDescent="0.25">
      <c r="A6393" t="str">
        <f>"20190312151656567"</f>
        <v>20190312151656567</v>
      </c>
      <c r="B6393" t="str">
        <f>"1552375016563885"</f>
        <v>1552375016563885</v>
      </c>
      <c r="C6393" t="s">
        <v>40</v>
      </c>
      <c r="D6393">
        <v>4.6931430000000001</v>
      </c>
      <c r="E6393">
        <v>0.42838949999999998</v>
      </c>
      <c r="F6393" t="s">
        <v>64</v>
      </c>
      <c r="G6393">
        <v>-190.63059999999999</v>
      </c>
      <c r="H6393" s="1">
        <v>-5.1131280000000001E-6</v>
      </c>
      <c r="I6393">
        <v>-42.892040000000001</v>
      </c>
      <c r="J6393">
        <v>-192.0796</v>
      </c>
      <c r="K6393">
        <v>1.117597</v>
      </c>
      <c r="L6393">
        <v>-49.906770000000002</v>
      </c>
      <c r="M6393">
        <v>0.56125130000000001</v>
      </c>
      <c r="N6393">
        <v>0</v>
      </c>
      <c r="O6393">
        <v>0.82752890000000001</v>
      </c>
      <c r="P6393">
        <v>0.3918915</v>
      </c>
      <c r="Q6393">
        <v>-1.3797830000000001E-2</v>
      </c>
      <c r="R6393">
        <v>0.91990799999999995</v>
      </c>
      <c r="S6393">
        <v>0.64591980000000004</v>
      </c>
      <c r="T6393">
        <v>-0.46429100000000001</v>
      </c>
      <c r="U6393">
        <v>2.9834900000000002</v>
      </c>
      <c r="V6393">
        <v>-0.19197629999999999</v>
      </c>
      <c r="W6393">
        <v>-3.9190680000000004E-3</v>
      </c>
      <c r="X6393">
        <v>0.98139169999999998</v>
      </c>
      <c r="Y6393">
        <v>-0.37470979999999998</v>
      </c>
      <c r="Z6393">
        <v>-0.10818940000000001</v>
      </c>
      <c r="AA6393">
        <v>0.92080810000000002</v>
      </c>
      <c r="AB6393">
        <v>29</v>
      </c>
      <c r="AC6393">
        <v>1.4490000000000101</v>
      </c>
      <c r="AD6393">
        <v>-1.1176021131279901</v>
      </c>
      <c r="AE6393">
        <v>7.0147300000000001</v>
      </c>
      <c r="AF6393">
        <v>-2.67312442450678</v>
      </c>
      <c r="AG6393">
        <v>-1.1176021131279901</v>
      </c>
      <c r="AH6393">
        <v>6.4614799961729501</v>
      </c>
      <c r="AI6393">
        <v>99.080591108018893</v>
      </c>
      <c r="AJ6393">
        <v>112.474956519922</v>
      </c>
      <c r="AK6393">
        <v>7.0813383207629599</v>
      </c>
      <c r="AL6393">
        <v>90.224546638951793</v>
      </c>
      <c r="AM6393">
        <v>101.06822780159</v>
      </c>
      <c r="AN6393">
        <v>0.99999996384228296</v>
      </c>
    </row>
    <row r="6394" spans="1:40" x14ac:dyDescent="0.25">
      <c r="A6394" t="str">
        <f>"20190312151656586"</f>
        <v>20190312151656586</v>
      </c>
      <c r="B6394" t="str">
        <f>"1552375016573648"</f>
        <v>1552375016573648</v>
      </c>
      <c r="C6394" t="s">
        <v>40</v>
      </c>
      <c r="D6394">
        <v>4.6705540000000001</v>
      </c>
      <c r="E6394">
        <v>0.42871569999999998</v>
      </c>
      <c r="F6394" t="s">
        <v>64</v>
      </c>
      <c r="G6394">
        <v>-190.57759999999999</v>
      </c>
      <c r="H6394" s="1">
        <v>-5.1487759999999999E-6</v>
      </c>
      <c r="I6394">
        <v>-42.795270000000002</v>
      </c>
      <c r="J6394">
        <v>-191.9556</v>
      </c>
      <c r="K6394">
        <v>1.1175930000000001</v>
      </c>
      <c r="L6394">
        <v>-49.708069999999999</v>
      </c>
      <c r="M6394">
        <v>0.55403429999999998</v>
      </c>
      <c r="N6394">
        <v>0</v>
      </c>
      <c r="O6394">
        <v>0.83237799999999995</v>
      </c>
      <c r="P6394">
        <v>0.38395990000000002</v>
      </c>
      <c r="Q6394">
        <v>-1.4257509999999999E-2</v>
      </c>
      <c r="R6394">
        <v>0.9232397</v>
      </c>
      <c r="S6394">
        <v>0.63053890000000001</v>
      </c>
      <c r="T6394">
        <v>-0.46918919999999997</v>
      </c>
      <c r="U6394">
        <v>2.985535</v>
      </c>
      <c r="V6394">
        <v>-0.1918763</v>
      </c>
      <c r="W6394">
        <v>-4.3751299999999996E-3</v>
      </c>
      <c r="X6394">
        <v>0.98140939999999999</v>
      </c>
      <c r="Y6394">
        <v>-0.37136479999999999</v>
      </c>
      <c r="Z6394">
        <v>-0.11045489999999999</v>
      </c>
      <c r="AA6394">
        <v>0.92189370000000004</v>
      </c>
      <c r="AB6394">
        <v>29</v>
      </c>
      <c r="AC6394">
        <v>1.3780000000000101</v>
      </c>
      <c r="AD6394">
        <v>-1.1175981487760001</v>
      </c>
      <c r="AE6394">
        <v>6.9127999999999901</v>
      </c>
      <c r="AF6394">
        <v>-2.61737323477124</v>
      </c>
      <c r="AG6394">
        <v>-1.1175981487760001</v>
      </c>
      <c r="AH6394">
        <v>6.3583118059095796</v>
      </c>
      <c r="AI6394">
        <v>99.231958775552599</v>
      </c>
      <c r="AJ6394">
        <v>112.374316475703</v>
      </c>
      <c r="AK6394">
        <v>6.9661895820752404</v>
      </c>
      <c r="AL6394">
        <v>90.250677275202804</v>
      </c>
      <c r="AM6394">
        <v>101.062410051016</v>
      </c>
      <c r="AN6394">
        <v>1.00000003333628</v>
      </c>
    </row>
    <row r="6395" spans="1:40" x14ac:dyDescent="0.25">
      <c r="A6395" t="str">
        <f>"20190312151656609"</f>
        <v>20190312151656609</v>
      </c>
      <c r="B6395" t="str">
        <f>"1552375016603901"</f>
        <v>1552375016603901</v>
      </c>
      <c r="C6395" t="s">
        <v>40</v>
      </c>
      <c r="D6395">
        <v>4.6862519999999996</v>
      </c>
      <c r="E6395">
        <v>0.42986340000000001</v>
      </c>
      <c r="F6395" t="s">
        <v>64</v>
      </c>
      <c r="G6395">
        <v>-190.51009999999999</v>
      </c>
      <c r="H6395" s="1">
        <v>-5.2338099999999996E-6</v>
      </c>
      <c r="I6395">
        <v>-42.586930000000002</v>
      </c>
      <c r="J6395">
        <v>-191.79949999999999</v>
      </c>
      <c r="K6395">
        <v>1.1175809999999999</v>
      </c>
      <c r="L6395">
        <v>-49.452449999999999</v>
      </c>
      <c r="M6395">
        <v>0.54474089999999997</v>
      </c>
      <c r="N6395">
        <v>0</v>
      </c>
      <c r="O6395">
        <v>0.8384895</v>
      </c>
      <c r="P6395">
        <v>0.37410880000000002</v>
      </c>
      <c r="Q6395">
        <v>-1.431403E-2</v>
      </c>
      <c r="R6395">
        <v>0.9272743</v>
      </c>
      <c r="S6395">
        <v>0.60687259999999998</v>
      </c>
      <c r="T6395">
        <v>-0.4692229</v>
      </c>
      <c r="U6395">
        <v>2.9898069999999999</v>
      </c>
      <c r="V6395">
        <v>-0.19140689999999999</v>
      </c>
      <c r="W6395">
        <v>-4.4188450000000002E-3</v>
      </c>
      <c r="X6395">
        <v>0.98150090000000001</v>
      </c>
      <c r="Y6395">
        <v>-0.36832789999999999</v>
      </c>
      <c r="Z6395">
        <v>-0.1118214</v>
      </c>
      <c r="AA6395">
        <v>0.92294659999999995</v>
      </c>
      <c r="AB6395">
        <v>28</v>
      </c>
      <c r="AC6395">
        <v>1.2894000000000001</v>
      </c>
      <c r="AD6395">
        <v>-1.11758623381</v>
      </c>
      <c r="AE6395">
        <v>6.8655200000000001</v>
      </c>
      <c r="AF6395">
        <v>-2.5926769736108901</v>
      </c>
      <c r="AG6395">
        <v>-1.11758623381</v>
      </c>
      <c r="AH6395">
        <v>6.29846644912298</v>
      </c>
      <c r="AI6395">
        <v>99.318079104404802</v>
      </c>
      <c r="AJ6395">
        <v>112.373840706886</v>
      </c>
      <c r="AK6395">
        <v>6.9022932776159003</v>
      </c>
      <c r="AL6395">
        <v>90.253181974511605</v>
      </c>
      <c r="AM6395">
        <v>101.035008947911</v>
      </c>
      <c r="AN6395">
        <v>1.0000000721297699</v>
      </c>
    </row>
    <row r="6396" spans="1:40" x14ac:dyDescent="0.25">
      <c r="A6396" t="str">
        <f>"20190312151656632"</f>
        <v>20190312151656632</v>
      </c>
      <c r="B6396" t="str">
        <f>"1552375016624397"</f>
        <v>1552375016624397</v>
      </c>
      <c r="C6396" t="s">
        <v>40</v>
      </c>
      <c r="D6396">
        <v>4.6878869999999999</v>
      </c>
      <c r="E6396">
        <v>0.43044500000000002</v>
      </c>
      <c r="F6396" t="s">
        <v>64</v>
      </c>
      <c r="G6396">
        <v>-190.3998</v>
      </c>
      <c r="H6396" s="1">
        <v>-5.3605650000000001E-6</v>
      </c>
      <c r="I6396">
        <v>-42.272640000000003</v>
      </c>
      <c r="J6396">
        <v>-191.65649999999999</v>
      </c>
      <c r="K6396">
        <v>1.1175729999999999</v>
      </c>
      <c r="L6396">
        <v>-49.212519999999998</v>
      </c>
      <c r="M6396">
        <v>0.53601149999999997</v>
      </c>
      <c r="N6396">
        <v>0</v>
      </c>
      <c r="O6396">
        <v>0.84409650000000003</v>
      </c>
      <c r="P6396">
        <v>0.3650408</v>
      </c>
      <c r="Q6396">
        <v>-1.41111E-2</v>
      </c>
      <c r="R6396">
        <v>0.93088459999999995</v>
      </c>
      <c r="S6396">
        <v>0.58343509999999998</v>
      </c>
      <c r="T6396">
        <v>-0.46583469999999999</v>
      </c>
      <c r="U6396">
        <v>2.9927060000000001</v>
      </c>
      <c r="V6396">
        <v>-0.19080800000000001</v>
      </c>
      <c r="W6396">
        <v>-4.200357E-3</v>
      </c>
      <c r="X6396">
        <v>0.9816184</v>
      </c>
      <c r="Y6396">
        <v>-0.36581659999999999</v>
      </c>
      <c r="Z6396">
        <v>-0.112299499999999</v>
      </c>
      <c r="AA6396">
        <v>0.92388689999999996</v>
      </c>
      <c r="AB6396">
        <v>28</v>
      </c>
      <c r="AC6396">
        <v>1.2566999999999899</v>
      </c>
      <c r="AD6396">
        <v>-1.11757836056499</v>
      </c>
      <c r="AE6396">
        <v>6.9398799999999898</v>
      </c>
      <c r="AF6396">
        <v>-2.59419656328958</v>
      </c>
      <c r="AG6396">
        <v>-1.11757836056499</v>
      </c>
      <c r="AH6396">
        <v>6.3721614066316699</v>
      </c>
      <c r="AI6396">
        <v>99.226475071323605</v>
      </c>
      <c r="AJ6396">
        <v>112.15192986181501</v>
      </c>
      <c r="AK6396">
        <v>6.9701706000034704</v>
      </c>
      <c r="AL6396">
        <v>90.2406634339264</v>
      </c>
      <c r="AM6396">
        <v>101.000040042777</v>
      </c>
      <c r="AN6396">
        <v>1.00000000954074</v>
      </c>
    </row>
    <row r="6397" spans="1:40" x14ac:dyDescent="0.25">
      <c r="A6397" t="str">
        <f>"20190312151656651"</f>
        <v>20190312151656651</v>
      </c>
      <c r="B6397" t="str">
        <f>"1552375016643920"</f>
        <v>1552375016643920</v>
      </c>
      <c r="C6397" t="s">
        <v>40</v>
      </c>
      <c r="D6397">
        <v>4.7133149999999997</v>
      </c>
      <c r="E6397">
        <v>0.43118489999999998</v>
      </c>
      <c r="F6397" t="s">
        <v>64</v>
      </c>
      <c r="G6397">
        <v>-190.3296</v>
      </c>
      <c r="H6397" s="1">
        <v>-5.4323560000000003E-6</v>
      </c>
      <c r="I6397">
        <v>-42.091679999999997</v>
      </c>
      <c r="J6397">
        <v>-191.53120000000001</v>
      </c>
      <c r="K6397">
        <v>1.117569</v>
      </c>
      <c r="L6397">
        <v>-48.997340000000001</v>
      </c>
      <c r="M6397">
        <v>0.52818080000000001</v>
      </c>
      <c r="N6397">
        <v>0</v>
      </c>
      <c r="O6397">
        <v>0.84901849999999901</v>
      </c>
      <c r="P6397">
        <v>0.35656949999999998</v>
      </c>
      <c r="Q6397">
        <v>-1.3866750000000001E-2</v>
      </c>
      <c r="R6397">
        <v>0.93416589999999999</v>
      </c>
      <c r="S6397">
        <v>0.55839539999999999</v>
      </c>
      <c r="T6397">
        <v>-0.47030759999999999</v>
      </c>
      <c r="U6397">
        <v>2.9966430000000002</v>
      </c>
      <c r="V6397">
        <v>-0.1906523</v>
      </c>
      <c r="W6397">
        <v>-3.9507459999999998E-3</v>
      </c>
      <c r="X6397">
        <v>0.98164969999999996</v>
      </c>
      <c r="Y6397">
        <v>-0.3649251</v>
      </c>
      <c r="Z6397">
        <v>-0.1143981</v>
      </c>
      <c r="AA6397">
        <v>0.92398199999999997</v>
      </c>
      <c r="AB6397">
        <v>28</v>
      </c>
      <c r="AC6397">
        <v>1.20160000000001</v>
      </c>
      <c r="AD6397">
        <v>-1.117574432356</v>
      </c>
      <c r="AE6397">
        <v>6.9056600000000001</v>
      </c>
      <c r="AF6397">
        <v>-2.5623720150851002</v>
      </c>
      <c r="AG6397">
        <v>-1.117574432356</v>
      </c>
      <c r="AH6397">
        <v>6.3372239722249804</v>
      </c>
      <c r="AI6397">
        <v>99.285250892627701</v>
      </c>
      <c r="AJ6397">
        <v>112.015289242403</v>
      </c>
      <c r="AK6397">
        <v>6.9264082055341003</v>
      </c>
      <c r="AL6397">
        <v>90.226361655902096</v>
      </c>
      <c r="AM6397">
        <v>100.990940733215</v>
      </c>
      <c r="AN6397">
        <v>1.00000002069966</v>
      </c>
    </row>
    <row r="6398" spans="1:40" x14ac:dyDescent="0.25">
      <c r="A6398" t="str">
        <f>"20190312151656676"</f>
        <v>20190312151656676</v>
      </c>
      <c r="B6398" t="str">
        <f>"1552375016664416"</f>
        <v>1552375016664416</v>
      </c>
      <c r="C6398" t="s">
        <v>40</v>
      </c>
      <c r="D6398">
        <v>4.6767029999999998</v>
      </c>
      <c r="E6398">
        <v>0.43130039999999997</v>
      </c>
      <c r="F6398" t="s">
        <v>64</v>
      </c>
      <c r="G6398">
        <v>-190.2483</v>
      </c>
      <c r="H6398" s="1">
        <v>-5.5406719999999901E-6</v>
      </c>
      <c r="I6398">
        <v>-41.828110000000002</v>
      </c>
      <c r="J6398">
        <v>-191.38399999999999</v>
      </c>
      <c r="K6398">
        <v>1.1175619999999999</v>
      </c>
      <c r="L6398">
        <v>-48.738489999999999</v>
      </c>
      <c r="M6398">
        <v>0.51875550000000004</v>
      </c>
      <c r="N6398">
        <v>0</v>
      </c>
      <c r="O6398">
        <v>0.85480999999999996</v>
      </c>
      <c r="P6398">
        <v>0.34638069999999999</v>
      </c>
      <c r="Q6398">
        <v>-1.3625379999999999E-2</v>
      </c>
      <c r="R6398">
        <v>0.93799509999999997</v>
      </c>
      <c r="S6398">
        <v>0.53675839999999997</v>
      </c>
      <c r="T6398">
        <v>-0.46759299999999998</v>
      </c>
      <c r="U6398">
        <v>2.999603</v>
      </c>
      <c r="V6398">
        <v>-0.19048300000000001</v>
      </c>
      <c r="W6398">
        <v>-3.7036949999999999E-3</v>
      </c>
      <c r="X6398">
        <v>0.98168350000000004</v>
      </c>
      <c r="Y6398">
        <v>-0.36125030000000002</v>
      </c>
      <c r="Z6398">
        <v>-0.11509179999999999</v>
      </c>
      <c r="AA6398">
        <v>0.92533889999999996</v>
      </c>
      <c r="AB6398">
        <v>28</v>
      </c>
      <c r="AC6398">
        <v>1.1357000000000099</v>
      </c>
      <c r="AD6398">
        <v>-1.117567540672</v>
      </c>
      <c r="AE6398">
        <v>6.9103800000000097</v>
      </c>
      <c r="AF6398">
        <v>-2.5493194587170098</v>
      </c>
      <c r="AG6398">
        <v>-1.117567540672</v>
      </c>
      <c r="AH6398">
        <v>6.3354953911288003</v>
      </c>
      <c r="AI6398">
        <v>99.293859088525494</v>
      </c>
      <c r="AJ6398">
        <v>111.91920136830799</v>
      </c>
      <c r="AK6398">
        <v>6.9200064134053498</v>
      </c>
      <c r="AL6398">
        <v>90.212206578868702</v>
      </c>
      <c r="AM6398">
        <v>100.981049197177</v>
      </c>
      <c r="AN6398">
        <v>0.99999999240895099</v>
      </c>
    </row>
    <row r="6399" spans="1:40" x14ac:dyDescent="0.25">
      <c r="A6399" t="str">
        <f>"20190312151656697"</f>
        <v>20190312151656697</v>
      </c>
      <c r="B6399" t="str">
        <f>"1552375016693696"</f>
        <v>1552375016693696</v>
      </c>
      <c r="C6399" t="s">
        <v>40</v>
      </c>
      <c r="D6399">
        <v>4.6924330000000003</v>
      </c>
      <c r="E6399">
        <v>0.43022109999999902</v>
      </c>
      <c r="F6399" t="s">
        <v>64</v>
      </c>
      <c r="G6399">
        <v>-190.1694</v>
      </c>
      <c r="H6399" s="1">
        <v>-5.6732540000000004E-6</v>
      </c>
      <c r="I6399">
        <v>-41.513309999999997</v>
      </c>
      <c r="J6399">
        <v>-191.2534</v>
      </c>
      <c r="K6399">
        <v>1.1175520000000001</v>
      </c>
      <c r="L6399">
        <v>-48.503019999999999</v>
      </c>
      <c r="M6399">
        <v>0.51017619999999997</v>
      </c>
      <c r="N6399">
        <v>0</v>
      </c>
      <c r="O6399">
        <v>0.859958</v>
      </c>
      <c r="P6399">
        <v>0.33665050000000002</v>
      </c>
      <c r="Q6399">
        <v>-1.398257E-2</v>
      </c>
      <c r="R6399">
        <v>0.94152590000000003</v>
      </c>
      <c r="S6399">
        <v>0.50518799999999997</v>
      </c>
      <c r="T6399">
        <v>-0.46480480000000002</v>
      </c>
      <c r="U6399">
        <v>3.0050050000000001</v>
      </c>
      <c r="V6399">
        <v>-0.19081409999999999</v>
      </c>
      <c r="W6399">
        <v>-4.0666640000000002E-3</v>
      </c>
      <c r="X6399">
        <v>0.98161770000000004</v>
      </c>
      <c r="Y6399">
        <v>-0.3616472</v>
      </c>
      <c r="Z6399">
        <v>-0.1154189</v>
      </c>
      <c r="AA6399">
        <v>0.9251431</v>
      </c>
      <c r="AB6399">
        <v>28</v>
      </c>
      <c r="AC6399">
        <v>1.0840000000000001</v>
      </c>
      <c r="AD6399">
        <v>-1.117557673254</v>
      </c>
      <c r="AE6399">
        <v>6.9897099999999996</v>
      </c>
      <c r="AF6399">
        <v>-2.56989011484223</v>
      </c>
      <c r="AG6399">
        <v>-1.117557673254</v>
      </c>
      <c r="AH6399">
        <v>6.40463970140231</v>
      </c>
      <c r="AI6399">
        <v>99.198707372733494</v>
      </c>
      <c r="AJ6399">
        <v>111.863343103125</v>
      </c>
      <c r="AK6399">
        <v>6.9908998033294196</v>
      </c>
      <c r="AL6399">
        <v>90.233003341566402</v>
      </c>
      <c r="AM6399">
        <v>101.000390781344</v>
      </c>
      <c r="AN6399">
        <v>0.99999993373409202</v>
      </c>
    </row>
    <row r="6400" spans="1:40" x14ac:dyDescent="0.25">
      <c r="A6400" t="str">
        <f>"20190312151656719"</f>
        <v>20190312151656719</v>
      </c>
      <c r="B6400" t="str">
        <f>"1552375016714192"</f>
        <v>1552375016714192</v>
      </c>
      <c r="C6400" t="s">
        <v>40</v>
      </c>
      <c r="D6400">
        <v>4.6677790000000003</v>
      </c>
      <c r="E6400">
        <v>0.42945859999999902</v>
      </c>
      <c r="F6400" t="s">
        <v>64</v>
      </c>
      <c r="G6400">
        <v>-190.125</v>
      </c>
      <c r="H6400" s="1">
        <v>-5.8040329999999899E-6</v>
      </c>
      <c r="I6400">
        <v>-41.215629999999997</v>
      </c>
      <c r="J6400">
        <v>-191.1208</v>
      </c>
      <c r="K6400">
        <v>1.1175349999999999</v>
      </c>
      <c r="L6400">
        <v>-48.25806</v>
      </c>
      <c r="M6400">
        <v>0.50124629999999903</v>
      </c>
      <c r="N6400">
        <v>0</v>
      </c>
      <c r="O6400">
        <v>0.8651934</v>
      </c>
      <c r="P6400">
        <v>0.32678220000000002</v>
      </c>
      <c r="Q6400">
        <v>-1.470656E-2</v>
      </c>
      <c r="R6400">
        <v>0.94498530000000003</v>
      </c>
      <c r="S6400">
        <v>0.46649170000000001</v>
      </c>
      <c r="T6400">
        <v>-0.46200730000000001</v>
      </c>
      <c r="U6400">
        <v>3.0126650000000001</v>
      </c>
      <c r="V6400">
        <v>-0.19090199999999999</v>
      </c>
      <c r="W6400">
        <v>-4.7909670000000001E-3</v>
      </c>
      <c r="X6400">
        <v>0.98159739999999995</v>
      </c>
      <c r="Y6400">
        <v>-0.36395719999999998</v>
      </c>
      <c r="Z6400">
        <v>-0.1156205</v>
      </c>
      <c r="AA6400">
        <v>0.92421160000000002</v>
      </c>
      <c r="AB6400">
        <v>28</v>
      </c>
      <c r="AC6400">
        <v>0.99580000000000202</v>
      </c>
      <c r="AD6400">
        <v>-1.1175408040329999</v>
      </c>
      <c r="AE6400">
        <v>7.0424300000000004</v>
      </c>
      <c r="AF6400">
        <v>-2.60439233374185</v>
      </c>
      <c r="AG6400">
        <v>-1.1175408040329999</v>
      </c>
      <c r="AH6400">
        <v>6.4339978284066497</v>
      </c>
      <c r="AI6400">
        <v>99.146294831512506</v>
      </c>
      <c r="AJ6400">
        <v>112.03741382464599</v>
      </c>
      <c r="AK6400">
        <v>7.0305110008216003</v>
      </c>
      <c r="AL6400">
        <v>90.274503241402698</v>
      </c>
      <c r="AM6400">
        <v>101.005556540703</v>
      </c>
      <c r="AN6400">
        <v>0.99999999132777695</v>
      </c>
    </row>
    <row r="6401" spans="1:40" x14ac:dyDescent="0.25">
      <c r="A6401" t="str">
        <f>"20190312151656742"</f>
        <v>20190312151656742</v>
      </c>
      <c r="B6401" t="str">
        <f>"1552375016733712"</f>
        <v>1552375016733712</v>
      </c>
      <c r="C6401" t="s">
        <v>40</v>
      </c>
      <c r="D6401">
        <v>4.6697170000000003</v>
      </c>
      <c r="E6401">
        <v>0.42892789999999997</v>
      </c>
      <c r="F6401" t="s">
        <v>64</v>
      </c>
      <c r="G6401">
        <v>-190.08449999999999</v>
      </c>
      <c r="H6401" s="1">
        <v>-5.9152529999999997E-6</v>
      </c>
      <c r="I6401">
        <v>-40.961390000000002</v>
      </c>
      <c r="J6401">
        <v>-190.98560000000001</v>
      </c>
      <c r="K6401">
        <v>1.1175280000000001</v>
      </c>
      <c r="L6401">
        <v>-48.00177</v>
      </c>
      <c r="M6401">
        <v>0.49189759999999999</v>
      </c>
      <c r="N6401">
        <v>0</v>
      </c>
      <c r="O6401">
        <v>0.87054259999999895</v>
      </c>
      <c r="P6401">
        <v>0.31693890000000002</v>
      </c>
      <c r="Q6401">
        <v>-1.529371E-2</v>
      </c>
      <c r="R6401">
        <v>0.94832269999999996</v>
      </c>
      <c r="S6401">
        <v>0.42880249999999998</v>
      </c>
      <c r="T6401">
        <v>-0.46240829999999999</v>
      </c>
      <c r="U6401">
        <v>3.0191650000000001</v>
      </c>
      <c r="V6401">
        <v>-0.19051860000000001</v>
      </c>
      <c r="W6401">
        <v>-5.3678019999999996E-3</v>
      </c>
      <c r="X6401">
        <v>0.98166889999999996</v>
      </c>
      <c r="Y6401">
        <v>-0.36552449999999997</v>
      </c>
      <c r="Z6401">
        <v>-0.1166822</v>
      </c>
      <c r="AA6401">
        <v>0.92345940000000004</v>
      </c>
      <c r="AB6401">
        <v>28</v>
      </c>
      <c r="AC6401">
        <v>0.901100000000013</v>
      </c>
      <c r="AD6401">
        <v>-1.1175339152529999</v>
      </c>
      <c r="AE6401">
        <v>7.0403799999999901</v>
      </c>
      <c r="AF6401">
        <v>-2.6141534671222901</v>
      </c>
      <c r="AG6401">
        <v>-1.1175339152529999</v>
      </c>
      <c r="AH6401">
        <v>6.4138342864958</v>
      </c>
      <c r="AI6401">
        <v>99.165722028817797</v>
      </c>
      <c r="AJ6401">
        <v>112.174848562661</v>
      </c>
      <c r="AK6401">
        <v>7.01569317003226</v>
      </c>
      <c r="AL6401">
        <v>90.307553879970996</v>
      </c>
      <c r="AM6401">
        <v>100.98321095475799</v>
      </c>
      <c r="AN6401">
        <v>0.99999998973574</v>
      </c>
    </row>
    <row r="6402" spans="1:40" x14ac:dyDescent="0.25">
      <c r="A6402" t="str">
        <f>"20190312151656764"</f>
        <v>20190312151656764</v>
      </c>
      <c r="B6402" t="str">
        <f>"1552375016753661"</f>
        <v>1552375016753661</v>
      </c>
      <c r="C6402" t="s">
        <v>40</v>
      </c>
      <c r="D6402">
        <v>4.6595890000000004</v>
      </c>
      <c r="E6402">
        <v>0.4284906</v>
      </c>
      <c r="F6402" t="s">
        <v>64</v>
      </c>
      <c r="G6402">
        <v>-190.03540000000001</v>
      </c>
      <c r="H6402" s="1">
        <v>-6.0332229999999997E-6</v>
      </c>
      <c r="I6402">
        <v>-40.689360000000001</v>
      </c>
      <c r="J6402">
        <v>-190.86019999999999</v>
      </c>
      <c r="K6402">
        <v>1.117515</v>
      </c>
      <c r="L6402">
        <v>-47.758180000000003</v>
      </c>
      <c r="M6402">
        <v>0.48300470000000001</v>
      </c>
      <c r="N6402">
        <v>0</v>
      </c>
      <c r="O6402">
        <v>0.87550799999999995</v>
      </c>
      <c r="P6402">
        <v>0.3071237</v>
      </c>
      <c r="Q6402">
        <v>-1.5689620000000001E-2</v>
      </c>
      <c r="R6402">
        <v>0.95154019999999995</v>
      </c>
      <c r="S6402">
        <v>0.39303589999999999</v>
      </c>
      <c r="T6402">
        <v>-0.46224920000000003</v>
      </c>
      <c r="U6402">
        <v>3.0246580000000001</v>
      </c>
      <c r="V6402">
        <v>-0.1906515</v>
      </c>
      <c r="W6402">
        <v>-5.7647480000000001E-3</v>
      </c>
      <c r="X6402">
        <v>0.98164090000000004</v>
      </c>
      <c r="Y6402">
        <v>-0.3670062</v>
      </c>
      <c r="Z6402">
        <v>-0.1175513</v>
      </c>
      <c r="AA6402">
        <v>0.9227611</v>
      </c>
      <c r="AB6402">
        <v>28</v>
      </c>
      <c r="AC6402">
        <v>0.82479999999998199</v>
      </c>
      <c r="AD6402">
        <v>-1.1175210332229999</v>
      </c>
      <c r="AE6402">
        <v>7.0688199999999899</v>
      </c>
      <c r="AF6402">
        <v>-2.6276230684958302</v>
      </c>
      <c r="AG6402">
        <v>-1.1175210332229999</v>
      </c>
      <c r="AH6402">
        <v>6.4292950940927502</v>
      </c>
      <c r="AI6402">
        <v>99.140444189510205</v>
      </c>
      <c r="AJ6402">
        <v>112.229606712276</v>
      </c>
      <c r="AK6402">
        <v>7.0348483748203403</v>
      </c>
      <c r="AL6402">
        <v>90.330297546038295</v>
      </c>
      <c r="AM6402">
        <v>100.99099186638701</v>
      </c>
      <c r="AN6402">
        <v>1.0000000416622801</v>
      </c>
    </row>
    <row r="6403" spans="1:40" x14ac:dyDescent="0.25">
      <c r="A6403" t="str">
        <f>"20190312151656785"</f>
        <v>20190312151656785</v>
      </c>
      <c r="B6403" t="str">
        <f>"1552375016783914"</f>
        <v>1552375016783914</v>
      </c>
      <c r="C6403" t="s">
        <v>40</v>
      </c>
      <c r="D6403">
        <v>4.6681419999999996</v>
      </c>
      <c r="E6403">
        <v>0.42804249999999999</v>
      </c>
      <c r="F6403" t="s">
        <v>64</v>
      </c>
      <c r="G6403">
        <v>-189.99549999999999</v>
      </c>
      <c r="H6403" s="1">
        <v>-6.1350959999999998E-6</v>
      </c>
      <c r="I6403">
        <v>-40.455440000000003</v>
      </c>
      <c r="J6403">
        <v>-190.74010000000001</v>
      </c>
      <c r="K6403">
        <v>1.117507</v>
      </c>
      <c r="L6403">
        <v>-47.518830000000001</v>
      </c>
      <c r="M6403">
        <v>0.4742614</v>
      </c>
      <c r="N6403">
        <v>0</v>
      </c>
      <c r="O6403">
        <v>0.88027489999999997</v>
      </c>
      <c r="P6403">
        <v>0.29767100000000002</v>
      </c>
      <c r="Q6403">
        <v>-1.600942E-2</v>
      </c>
      <c r="R6403">
        <v>0.95453429999999995</v>
      </c>
      <c r="S6403">
        <v>0.35868840000000002</v>
      </c>
      <c r="T6403">
        <v>-0.46357540000000003</v>
      </c>
      <c r="U6403">
        <v>3.0293580000000002</v>
      </c>
      <c r="V6403">
        <v>-0.19060250000000001</v>
      </c>
      <c r="W6403">
        <v>-6.0813610000000004E-3</v>
      </c>
      <c r="X6403">
        <v>0.98164839999999998</v>
      </c>
      <c r="Y6403">
        <v>-0.36824079999999998</v>
      </c>
      <c r="Z6403">
        <v>-0.1187776</v>
      </c>
      <c r="AA6403">
        <v>0.92211200000000004</v>
      </c>
      <c r="AB6403">
        <v>28</v>
      </c>
      <c r="AC6403">
        <v>0.74460000000001902</v>
      </c>
      <c r="AD6403">
        <v>-1.1175131350959999</v>
      </c>
      <c r="AE6403">
        <v>7.0633899999999903</v>
      </c>
      <c r="AF6403">
        <v>-2.62960130713049</v>
      </c>
      <c r="AG6403">
        <v>-1.1175131350959999</v>
      </c>
      <c r="AH6403">
        <v>6.4127382650483602</v>
      </c>
      <c r="AI6403">
        <v>99.159273962335106</v>
      </c>
      <c r="AJ6403">
        <v>112.296525115159</v>
      </c>
      <c r="AK6403">
        <v>7.02045943636098</v>
      </c>
      <c r="AL6403">
        <v>90.348438488129602</v>
      </c>
      <c r="AM6403">
        <v>100.98815389009999</v>
      </c>
      <c r="AN6403">
        <v>0.99999993859020897</v>
      </c>
    </row>
    <row r="6404" spans="1:40" x14ac:dyDescent="0.25">
      <c r="A6404" t="str">
        <f>"20190312151656811"</f>
        <v>20190312151656811</v>
      </c>
      <c r="B6404" t="str">
        <f>"1552375016804410"</f>
        <v>1552375016804410</v>
      </c>
      <c r="C6404" t="s">
        <v>40</v>
      </c>
      <c r="D6404">
        <v>4.6798549999999999</v>
      </c>
      <c r="E6404">
        <v>0.42783870000000002</v>
      </c>
      <c r="F6404" t="s">
        <v>43</v>
      </c>
      <c r="G6404">
        <v>-189.9571</v>
      </c>
      <c r="H6404" s="1">
        <v>-6.8422979999999997E-8</v>
      </c>
      <c r="I6404">
        <v>-40.225459999999998</v>
      </c>
      <c r="J6404">
        <v>-190.60230000000001</v>
      </c>
      <c r="K6404">
        <v>1.1174930000000001</v>
      </c>
      <c r="L6404">
        <v>-47.237119999999997</v>
      </c>
      <c r="M6404">
        <v>0.46396209999999999</v>
      </c>
      <c r="N6404">
        <v>0</v>
      </c>
      <c r="O6404">
        <v>0.88574649999999999</v>
      </c>
      <c r="P6404">
        <v>0.28689029999999999</v>
      </c>
      <c r="Q6404">
        <v>-1.6476069999999999E-2</v>
      </c>
      <c r="R6404">
        <v>0.95782179999999995</v>
      </c>
      <c r="S6404">
        <v>0.32566830000000002</v>
      </c>
      <c r="T6404">
        <v>-0.46480549999999998</v>
      </c>
      <c r="U6404">
        <v>3.0335390000000002</v>
      </c>
      <c r="V6404">
        <v>-0.1902083</v>
      </c>
      <c r="W6404">
        <v>-6.536778E-3</v>
      </c>
      <c r="X6404">
        <v>0.98172199999999998</v>
      </c>
      <c r="Y6404">
        <v>-0.36747269999999999</v>
      </c>
      <c r="Z6404">
        <v>-0.12021370000000001</v>
      </c>
      <c r="AA6404">
        <v>0.9222323</v>
      </c>
      <c r="AB6404">
        <v>28</v>
      </c>
      <c r="AC6404">
        <v>0.64520000000001598</v>
      </c>
      <c r="AD6404">
        <v>-1.11749306842298</v>
      </c>
      <c r="AE6404">
        <v>7.01166</v>
      </c>
      <c r="AF6404">
        <v>-2.6160273918866301</v>
      </c>
      <c r="AG6404">
        <v>-1.11749306842298</v>
      </c>
      <c r="AH6404">
        <v>6.3505722574397101</v>
      </c>
      <c r="AI6404">
        <v>99.241235220509907</v>
      </c>
      <c r="AJ6404">
        <v>112.388511198133</v>
      </c>
      <c r="AK6404">
        <v>6.9586031694613402</v>
      </c>
      <c r="AL6404">
        <v>90.374532456034899</v>
      </c>
      <c r="AM6404">
        <v>100.96517770045</v>
      </c>
      <c r="AN6404">
        <v>1.00000000606975</v>
      </c>
    </row>
    <row r="6405" spans="1:40" x14ac:dyDescent="0.25">
      <c r="A6405" t="str">
        <f>"20190312151656835"</f>
        <v>20190312151656835</v>
      </c>
      <c r="B6405" t="str">
        <f>"1552375016823930"</f>
        <v>1552375016823930</v>
      </c>
      <c r="C6405" t="s">
        <v>40</v>
      </c>
      <c r="D6405">
        <v>4.6882570000000001</v>
      </c>
      <c r="E6405">
        <v>0.42770930000000001</v>
      </c>
      <c r="F6405" t="s">
        <v>43</v>
      </c>
      <c r="G6405">
        <v>-189.90559999999999</v>
      </c>
      <c r="H6405" s="1">
        <v>-1.9895860000000001E-7</v>
      </c>
      <c r="I6405">
        <v>-39.94247</v>
      </c>
      <c r="J6405">
        <v>-190.47569999999999</v>
      </c>
      <c r="K6405">
        <v>1.1174789999999999</v>
      </c>
      <c r="L6405">
        <v>-46.970149999999997</v>
      </c>
      <c r="M6405">
        <v>0.45419749999999998</v>
      </c>
      <c r="N6405">
        <v>0</v>
      </c>
      <c r="O6405">
        <v>0.8907931</v>
      </c>
      <c r="P6405">
        <v>0.27623629999999999</v>
      </c>
      <c r="Q6405">
        <v>-1.707171E-2</v>
      </c>
      <c r="R6405">
        <v>0.96093819999999996</v>
      </c>
      <c r="S6405">
        <v>0.29008479999999998</v>
      </c>
      <c r="T6405">
        <v>-0.4652792</v>
      </c>
      <c r="U6405">
        <v>3.037201</v>
      </c>
      <c r="V6405">
        <v>-0.190303</v>
      </c>
      <c r="W6405">
        <v>-7.1321669999999896E-3</v>
      </c>
      <c r="X6405">
        <v>0.98169949999999995</v>
      </c>
      <c r="Y6405">
        <v>-0.36807220000000002</v>
      </c>
      <c r="Z6405">
        <v>-0.1213448</v>
      </c>
      <c r="AA6405">
        <v>0.92184500000000003</v>
      </c>
      <c r="AB6405">
        <v>28</v>
      </c>
      <c r="AC6405">
        <v>0.57009999999999605</v>
      </c>
      <c r="AD6405">
        <v>-1.1174791989585999</v>
      </c>
      <c r="AE6405">
        <v>7.0276799999999904</v>
      </c>
      <c r="AF6405">
        <v>-2.6185945579960999</v>
      </c>
      <c r="AG6405">
        <v>-1.1174791989585999</v>
      </c>
      <c r="AH6405">
        <v>6.3600150294685802</v>
      </c>
      <c r="AI6405">
        <v>99.228302425758898</v>
      </c>
      <c r="AJ6405">
        <v>112.37832365024001</v>
      </c>
      <c r="AK6405">
        <v>6.9681840097932399</v>
      </c>
      <c r="AL6405">
        <v>90.408646530807204</v>
      </c>
      <c r="AM6405">
        <v>100.970749904694</v>
      </c>
      <c r="AN6405">
        <v>1.00000000395768</v>
      </c>
    </row>
    <row r="6406" spans="1:40" x14ac:dyDescent="0.25">
      <c r="A6406" t="str">
        <f>"20190312151656855"</f>
        <v>20190312151656855</v>
      </c>
      <c r="B6406" t="str">
        <f>"1552375016843960"</f>
        <v>1552375016843960</v>
      </c>
      <c r="C6406" t="s">
        <v>40</v>
      </c>
      <c r="D6406">
        <v>4.6475280000000003</v>
      </c>
      <c r="E6406">
        <v>0.42764099999999999</v>
      </c>
      <c r="F6406" t="s">
        <v>43</v>
      </c>
      <c r="G6406">
        <v>-189.86660000000001</v>
      </c>
      <c r="H6406" s="1">
        <v>-3.0188709999999997E-7</v>
      </c>
      <c r="I6406">
        <v>-39.718670000000003</v>
      </c>
      <c r="J6406">
        <v>-190.36580000000001</v>
      </c>
      <c r="K6406">
        <v>1.1174759999999999</v>
      </c>
      <c r="L6406">
        <v>-46.732210000000002</v>
      </c>
      <c r="M6406">
        <v>0.44548989999999999</v>
      </c>
      <c r="N6406">
        <v>0</v>
      </c>
      <c r="O6406">
        <v>0.89517969999999902</v>
      </c>
      <c r="P6406">
        <v>0.26700950000000001</v>
      </c>
      <c r="Q6406">
        <v>-1.7376220000000001E-2</v>
      </c>
      <c r="R6406">
        <v>0.96353719999999998</v>
      </c>
      <c r="S6406">
        <v>0.25535580000000002</v>
      </c>
      <c r="T6406">
        <v>-0.46850900000000001</v>
      </c>
      <c r="U6406">
        <v>3.040222</v>
      </c>
      <c r="V6406">
        <v>-0.190135</v>
      </c>
      <c r="W6406">
        <v>-7.4309880000000003E-3</v>
      </c>
      <c r="X6406">
        <v>0.98172990000000004</v>
      </c>
      <c r="Y6406">
        <v>-0.36955130000000003</v>
      </c>
      <c r="Z6406">
        <v>-0.12303020000000001</v>
      </c>
      <c r="AA6406">
        <v>0.92102949999999995</v>
      </c>
      <c r="AB6406">
        <v>28</v>
      </c>
      <c r="AC6406">
        <v>0.49920000000000098</v>
      </c>
      <c r="AD6406">
        <v>-1.1174763018870999</v>
      </c>
      <c r="AE6406">
        <v>7.0135399999999901</v>
      </c>
      <c r="AF6406">
        <v>-2.6118727122945802</v>
      </c>
      <c r="AG6406">
        <v>-1.1174763018870999</v>
      </c>
      <c r="AH6406">
        <v>6.3412218142156496</v>
      </c>
      <c r="AI6406">
        <v>99.254642797141699</v>
      </c>
      <c r="AJ6406">
        <v>112.38617137714201</v>
      </c>
      <c r="AK6406">
        <v>6.9485053391065801</v>
      </c>
      <c r="AL6406">
        <v>90.425768139926404</v>
      </c>
      <c r="AM6406">
        <v>100.960968382308</v>
      </c>
      <c r="AN6406">
        <v>1.00000006718083</v>
      </c>
    </row>
    <row r="6407" spans="1:40" x14ac:dyDescent="0.25">
      <c r="A6407" t="str">
        <f>"20190312151656877"</f>
        <v>20190312151656877</v>
      </c>
      <c r="B6407" t="str">
        <f>"1552375016874212"</f>
        <v>1552375016874212</v>
      </c>
      <c r="C6407" t="s">
        <v>40</v>
      </c>
      <c r="D6407">
        <v>4.69278</v>
      </c>
      <c r="E6407">
        <v>0.42765520000000001</v>
      </c>
      <c r="F6407" t="s">
        <v>43</v>
      </c>
      <c r="G6407">
        <v>-189.82730000000001</v>
      </c>
      <c r="H6407" s="1">
        <v>-4.136973E-7</v>
      </c>
      <c r="I6407">
        <v>-39.474299999999999</v>
      </c>
      <c r="J6407">
        <v>-190.25749999999999</v>
      </c>
      <c r="K6407">
        <v>1.117467</v>
      </c>
      <c r="L6407">
        <v>-46.491419999999998</v>
      </c>
      <c r="M6407">
        <v>0.43667519999999999</v>
      </c>
      <c r="N6407">
        <v>0</v>
      </c>
      <c r="O6407">
        <v>0.89951250000000005</v>
      </c>
      <c r="P6407">
        <v>0.25778620000000002</v>
      </c>
      <c r="Q6407">
        <v>-1.7997929999999999E-2</v>
      </c>
      <c r="R6407">
        <v>0.96603439999999996</v>
      </c>
      <c r="S6407">
        <v>0.225769</v>
      </c>
      <c r="T6407">
        <v>-0.46844550000000001</v>
      </c>
      <c r="U6407">
        <v>3.0425110000000002</v>
      </c>
      <c r="V6407">
        <v>-0.18986020000000001</v>
      </c>
      <c r="W6407">
        <v>-8.0448150000000003E-3</v>
      </c>
      <c r="X6407">
        <v>0.98177809999999999</v>
      </c>
      <c r="Y6407">
        <v>-0.36939060000000001</v>
      </c>
      <c r="Z6407">
        <v>-0.12393120000000001</v>
      </c>
      <c r="AA6407">
        <v>0.92097320000000005</v>
      </c>
      <c r="AB6407">
        <v>28</v>
      </c>
      <c r="AC6407">
        <v>0.43019999999998398</v>
      </c>
      <c r="AD6407">
        <v>-1.1174674136973</v>
      </c>
      <c r="AE6407">
        <v>7.0171199999999896</v>
      </c>
      <c r="AF6407">
        <v>-2.6115088157287198</v>
      </c>
      <c r="AG6407">
        <v>-1.1174674136973</v>
      </c>
      <c r="AH6407">
        <v>6.3402805768277997</v>
      </c>
      <c r="AI6407">
        <v>99.255908541364406</v>
      </c>
      <c r="AJ6407">
        <v>112.38635516229699</v>
      </c>
      <c r="AK6407">
        <v>6.9475081509994698</v>
      </c>
      <c r="AL6407">
        <v>90.4609389525328</v>
      </c>
      <c r="AM6407">
        <v>100.944985116241</v>
      </c>
      <c r="AN6407">
        <v>0.99999992611601396</v>
      </c>
    </row>
    <row r="6408" spans="1:40" x14ac:dyDescent="0.25">
      <c r="A6408" t="str">
        <f>"20190312151656900"</f>
        <v>20190312151656900</v>
      </c>
      <c r="B6408" t="str">
        <f>"1552375016893732"</f>
        <v>1552375016893732</v>
      </c>
      <c r="C6408" t="s">
        <v>40</v>
      </c>
      <c r="D6408">
        <v>4.6851370000000001</v>
      </c>
      <c r="E6408">
        <v>0.42774079999999898</v>
      </c>
      <c r="F6408" t="s">
        <v>43</v>
      </c>
      <c r="G6408">
        <v>-189.78800000000001</v>
      </c>
      <c r="H6408" s="1">
        <v>-5.2575150000000005E-7</v>
      </c>
      <c r="I6408">
        <v>-39.229329999999997</v>
      </c>
      <c r="J6408">
        <v>-190.13910000000001</v>
      </c>
      <c r="K6408">
        <v>1.117456</v>
      </c>
      <c r="L6408">
        <v>-46.220370000000003</v>
      </c>
      <c r="M6408">
        <v>0.4267455</v>
      </c>
      <c r="N6408">
        <v>0</v>
      </c>
      <c r="O6408">
        <v>0.9042656</v>
      </c>
      <c r="P6408">
        <v>0.24725159999999999</v>
      </c>
      <c r="Q6408">
        <v>-1.7478090000000002E-2</v>
      </c>
      <c r="R6408">
        <v>0.96879360000000003</v>
      </c>
      <c r="S6408">
        <v>0.1968231</v>
      </c>
      <c r="T6408">
        <v>-0.46843479999999998</v>
      </c>
      <c r="U6408">
        <v>3.0442200000000001</v>
      </c>
      <c r="V6408">
        <v>-0.1897556</v>
      </c>
      <c r="W6408">
        <v>-7.5200750000000002E-3</v>
      </c>
      <c r="X6408">
        <v>0.98180250000000002</v>
      </c>
      <c r="Y6408">
        <v>-0.367923</v>
      </c>
      <c r="Z6408">
        <v>-0.1249986</v>
      </c>
      <c r="AA6408">
        <v>0.92141629999999997</v>
      </c>
      <c r="AB6408">
        <v>28</v>
      </c>
      <c r="AC6408">
        <v>0.35110000000003</v>
      </c>
      <c r="AD6408">
        <v>-1.1174565257514999</v>
      </c>
      <c r="AE6408">
        <v>6.9910399999999999</v>
      </c>
      <c r="AF6408">
        <v>-2.5999047461040101</v>
      </c>
      <c r="AG6408">
        <v>-1.1174565257514999</v>
      </c>
      <c r="AH6408">
        <v>6.3113639328127897</v>
      </c>
      <c r="AI6408">
        <v>99.2973320128376</v>
      </c>
      <c r="AJ6408">
        <v>112.38873365396999</v>
      </c>
      <c r="AK6408">
        <v>6.9167570774293399</v>
      </c>
      <c r="AL6408">
        <v>90.430872644343097</v>
      </c>
      <c r="AM6408">
        <v>100.93883538258299</v>
      </c>
      <c r="AN6408">
        <v>0.99999994413280602</v>
      </c>
    </row>
    <row r="6409" spans="1:40" x14ac:dyDescent="0.25">
      <c r="A6409" t="str">
        <f>"20190312151656923"</f>
        <v>20190312151656923</v>
      </c>
      <c r="B6409" t="str">
        <f>"1552375016915205"</f>
        <v>1552375016915205</v>
      </c>
      <c r="C6409" t="s">
        <v>40</v>
      </c>
      <c r="D6409">
        <v>4.7076440000000002</v>
      </c>
      <c r="E6409">
        <v>0.42788680000000001</v>
      </c>
      <c r="F6409" t="s">
        <v>43</v>
      </c>
      <c r="G6409">
        <v>-189.74469999999999</v>
      </c>
      <c r="H6409" s="1">
        <v>-6.6501390000000001E-7</v>
      </c>
      <c r="I6409">
        <v>-38.922620000000002</v>
      </c>
      <c r="J6409">
        <v>-190.0283</v>
      </c>
      <c r="K6409">
        <v>1.1174519999999999</v>
      </c>
      <c r="L6409">
        <v>-45.959350000000001</v>
      </c>
      <c r="M6409">
        <v>0.41717690000000002</v>
      </c>
      <c r="N6409">
        <v>0</v>
      </c>
      <c r="O6409">
        <v>0.90871979999999997</v>
      </c>
      <c r="P6409">
        <v>0.23716570000000001</v>
      </c>
      <c r="Q6409">
        <v>-1.7509999999999901E-2</v>
      </c>
      <c r="R6409">
        <v>0.97131140000000005</v>
      </c>
      <c r="S6409">
        <v>0.1646271</v>
      </c>
      <c r="T6409">
        <v>-0.4664452</v>
      </c>
      <c r="U6409">
        <v>3.0462039999999999</v>
      </c>
      <c r="V6409">
        <v>-0.18959970000000001</v>
      </c>
      <c r="W6409">
        <v>-7.546273E-3</v>
      </c>
      <c r="X6409">
        <v>0.98183240000000005</v>
      </c>
      <c r="Y6409">
        <v>-0.36785590000000001</v>
      </c>
      <c r="Z6409">
        <v>-0.1254228</v>
      </c>
      <c r="AA6409">
        <v>0.92138549999999997</v>
      </c>
      <c r="AB6409">
        <v>28</v>
      </c>
      <c r="AC6409">
        <v>0.28360000000000601</v>
      </c>
      <c r="AD6409">
        <v>-1.1174526650139001</v>
      </c>
      <c r="AE6409">
        <v>7.0367299999999897</v>
      </c>
      <c r="AF6409">
        <v>-2.6123331879203202</v>
      </c>
      <c r="AG6409">
        <v>-1.1174526650139001</v>
      </c>
      <c r="AH6409">
        <v>6.3533896627821598</v>
      </c>
      <c r="AI6409">
        <v>99.2393211985395</v>
      </c>
      <c r="AJ6409">
        <v>112.351071391319</v>
      </c>
      <c r="AK6409">
        <v>6.9597805533223402</v>
      </c>
      <c r="AL6409">
        <v>90.432373729223499</v>
      </c>
      <c r="AM6409">
        <v>100.929739922127</v>
      </c>
      <c r="AN6409">
        <v>0.99999992708301699</v>
      </c>
    </row>
    <row r="6410" spans="1:40" x14ac:dyDescent="0.25">
      <c r="A6410" t="str">
        <f>"20190312151656943"</f>
        <v>20190312151656943</v>
      </c>
      <c r="B6410" t="str">
        <f>"1552375016933749"</f>
        <v>1552375016933749</v>
      </c>
      <c r="C6410" t="s">
        <v>40</v>
      </c>
      <c r="D6410">
        <v>4.6979749999999996</v>
      </c>
      <c r="E6410">
        <v>0.42802249999999997</v>
      </c>
      <c r="F6410" t="s">
        <v>43</v>
      </c>
      <c r="G6410">
        <v>-189.70529999999999</v>
      </c>
      <c r="H6410" s="1">
        <v>-7.9222409999999998E-7</v>
      </c>
      <c r="I6410">
        <v>-38.642389999999999</v>
      </c>
      <c r="J6410">
        <v>-189.93299999999999</v>
      </c>
      <c r="K6410">
        <v>1.1174459999999999</v>
      </c>
      <c r="L6410">
        <v>-45.728549999999998</v>
      </c>
      <c r="M6410">
        <v>0.4087134</v>
      </c>
      <c r="N6410">
        <v>0</v>
      </c>
      <c r="O6410">
        <v>0.91255770000000003</v>
      </c>
      <c r="P6410">
        <v>0.22831180000000001</v>
      </c>
      <c r="Q6410">
        <v>-1.7662890000000001E-2</v>
      </c>
      <c r="R6410">
        <v>0.97342779999999995</v>
      </c>
      <c r="S6410">
        <v>0.13452149999999999</v>
      </c>
      <c r="T6410">
        <v>-0.46539619999999998</v>
      </c>
      <c r="U6410">
        <v>3.0473629999999998</v>
      </c>
      <c r="V6410">
        <v>-0.18941079999999999</v>
      </c>
      <c r="W6410">
        <v>-7.693096E-3</v>
      </c>
      <c r="X6410">
        <v>0.98186779999999996</v>
      </c>
      <c r="Y6410">
        <v>-0.36831760000000002</v>
      </c>
      <c r="Z6410">
        <v>-0.12596170000000001</v>
      </c>
      <c r="AA6410">
        <v>0.92112740000000004</v>
      </c>
      <c r="AB6410">
        <v>28</v>
      </c>
      <c r="AC6410">
        <v>0.22769999999999799</v>
      </c>
      <c r="AD6410">
        <v>-1.1174467922241</v>
      </c>
      <c r="AE6410">
        <v>7.0861599999999996</v>
      </c>
      <c r="AF6410">
        <v>-2.62350436341328</v>
      </c>
      <c r="AG6410">
        <v>-1.1174467922241</v>
      </c>
      <c r="AH6410">
        <v>6.4012054069475202</v>
      </c>
      <c r="AI6410">
        <v>99.175636436846702</v>
      </c>
      <c r="AJ6410">
        <v>112.286043815192</v>
      </c>
      <c r="AK6410">
        <v>7.0076310647917701</v>
      </c>
      <c r="AL6410">
        <v>90.440786277609902</v>
      </c>
      <c r="AM6410">
        <v>100.918728180751</v>
      </c>
      <c r="AN6410">
        <v>1.00000000577977</v>
      </c>
    </row>
    <row r="6411" spans="1:40" x14ac:dyDescent="0.25">
      <c r="A6411" t="str">
        <f>"20190312151656966"</f>
        <v>20190312151656966</v>
      </c>
      <c r="B6411" t="str">
        <f>"1552375016964004"</f>
        <v>1552375016964004</v>
      </c>
      <c r="C6411" t="s">
        <v>40</v>
      </c>
      <c r="D6411">
        <v>4.7165660000000003</v>
      </c>
      <c r="E6411">
        <v>0.42827680000000001</v>
      </c>
      <c r="F6411" t="s">
        <v>43</v>
      </c>
      <c r="G6411">
        <v>-189.6738</v>
      </c>
      <c r="H6411" s="1">
        <v>-9.0280340000000001E-7</v>
      </c>
      <c r="I6411">
        <v>-38.397629999999999</v>
      </c>
      <c r="J6411">
        <v>-189.82839999999999</v>
      </c>
      <c r="K6411">
        <v>1.117437</v>
      </c>
      <c r="L6411">
        <v>-45.46808</v>
      </c>
      <c r="M6411">
        <v>0.39915430000000002</v>
      </c>
      <c r="N6411">
        <v>0</v>
      </c>
      <c r="O6411">
        <v>0.91677920000000002</v>
      </c>
      <c r="P6411">
        <v>0.2182171</v>
      </c>
      <c r="Q6411">
        <v>-1.7335960000000001E-2</v>
      </c>
      <c r="R6411">
        <v>0.97574629999999996</v>
      </c>
      <c r="S6411">
        <v>0.1077576</v>
      </c>
      <c r="T6411">
        <v>-0.46463310000000002</v>
      </c>
      <c r="U6411">
        <v>3.048187</v>
      </c>
      <c r="V6411">
        <v>-0.18932889999999999</v>
      </c>
      <c r="W6411">
        <v>-7.3619969999999899E-3</v>
      </c>
      <c r="X6411">
        <v>0.98188609999999998</v>
      </c>
      <c r="Y6411">
        <v>-0.36669459999999998</v>
      </c>
      <c r="Z6411">
        <v>-0.1267298</v>
      </c>
      <c r="AA6411">
        <v>0.92166950000000003</v>
      </c>
      <c r="AB6411">
        <v>28</v>
      </c>
      <c r="AC6411">
        <v>0.154599999999987</v>
      </c>
      <c r="AD6411">
        <v>-1.1174379028033901</v>
      </c>
      <c r="AE6411">
        <v>7.0704500000000001</v>
      </c>
      <c r="AF6411">
        <v>-2.6154272976758599</v>
      </c>
      <c r="AG6411">
        <v>-1.1174379028033901</v>
      </c>
      <c r="AH6411">
        <v>6.38497239917917</v>
      </c>
      <c r="AI6411">
        <v>99.199201621010701</v>
      </c>
      <c r="AJ6411">
        <v>112.275102041343</v>
      </c>
      <c r="AK6411">
        <v>6.9897782478651997</v>
      </c>
      <c r="AL6411">
        <v>90.421815178926394</v>
      </c>
      <c r="AM6411">
        <v>100.91392186997</v>
      </c>
      <c r="AN6411">
        <v>0.99999997237412297</v>
      </c>
    </row>
    <row r="6412" spans="1:40" x14ac:dyDescent="0.25">
      <c r="A6412" t="str">
        <f>"20190312151656990"</f>
        <v>20190312151656990</v>
      </c>
      <c r="B6412" t="str">
        <f>"1552375016984501"</f>
        <v>1552375016984501</v>
      </c>
      <c r="C6412" t="s">
        <v>40</v>
      </c>
      <c r="D6412">
        <v>4.7223319999999998</v>
      </c>
      <c r="E6412">
        <v>0.42833589999999999</v>
      </c>
      <c r="F6412" t="s">
        <v>43</v>
      </c>
      <c r="G6412">
        <v>-189.63980000000001</v>
      </c>
      <c r="H6412" s="1">
        <v>-1.0255430000000001E-6</v>
      </c>
      <c r="I6412">
        <v>-38.125590000000003</v>
      </c>
      <c r="J6412">
        <v>-189.72049999999999</v>
      </c>
      <c r="K6412">
        <v>1.117429</v>
      </c>
      <c r="L6412">
        <v>-45.191040000000001</v>
      </c>
      <c r="M6412">
        <v>0.38898179999999999</v>
      </c>
      <c r="N6412">
        <v>0</v>
      </c>
      <c r="O6412">
        <v>0.9211414</v>
      </c>
      <c r="P6412">
        <v>0.2073933</v>
      </c>
      <c r="Q6412">
        <v>-1.677112E-2</v>
      </c>
      <c r="R6412">
        <v>0.97811389999999998</v>
      </c>
      <c r="S6412">
        <v>7.830811E-2</v>
      </c>
      <c r="T6412">
        <v>-0.46399499999999999</v>
      </c>
      <c r="U6412">
        <v>3.0488279999999999</v>
      </c>
      <c r="V6412">
        <v>-0.1893531</v>
      </c>
      <c r="W6412">
        <v>-6.7950859999999997E-3</v>
      </c>
      <c r="X6412">
        <v>0.98188560000000003</v>
      </c>
      <c r="Y6412">
        <v>-0.36530410000000002</v>
      </c>
      <c r="Z6412">
        <v>-0.12755749999999999</v>
      </c>
      <c r="AA6412">
        <v>0.92210729999999996</v>
      </c>
      <c r="AB6412">
        <v>28</v>
      </c>
      <c r="AC6412">
        <v>8.06999999999789E-2</v>
      </c>
      <c r="AD6412">
        <v>-1.1174300255429901</v>
      </c>
      <c r="AE6412">
        <v>7.0654499999999896</v>
      </c>
      <c r="AF6412">
        <v>-2.60900192409325</v>
      </c>
      <c r="AG6412">
        <v>-1.1174300255429901</v>
      </c>
      <c r="AH6412">
        <v>6.3807178625485204</v>
      </c>
      <c r="AI6412">
        <v>99.207494514745207</v>
      </c>
      <c r="AJ6412">
        <v>112.23908658932</v>
      </c>
      <c r="AK6412">
        <v>6.9834877635285499</v>
      </c>
      <c r="AL6412">
        <v>90.3893327256974</v>
      </c>
      <c r="AM6412">
        <v>100.915288804307</v>
      </c>
      <c r="AN6412">
        <v>1.0000000505803499</v>
      </c>
    </row>
    <row r="6413" spans="1:40" x14ac:dyDescent="0.25">
      <c r="A6413" t="str">
        <f>"20190312151657014"</f>
        <v>20190312151657014</v>
      </c>
      <c r="B6413" t="str">
        <f>"1552375017004021"</f>
        <v>1552375017004021</v>
      </c>
      <c r="C6413" t="s">
        <v>40</v>
      </c>
      <c r="D6413">
        <v>4.7102690000000003</v>
      </c>
      <c r="E6413">
        <v>0.42805090000000001</v>
      </c>
      <c r="F6413" t="s">
        <v>43</v>
      </c>
      <c r="G6413">
        <v>-189.61089999999999</v>
      </c>
      <c r="H6413" s="1">
        <v>-1.1799929999999999E-6</v>
      </c>
      <c r="I6413">
        <v>-37.777520000000003</v>
      </c>
      <c r="J6413">
        <v>-189.6191</v>
      </c>
      <c r="K6413">
        <v>1.1174299999999999</v>
      </c>
      <c r="L6413">
        <v>-44.921909999999997</v>
      </c>
      <c r="M6413">
        <v>0.3790943</v>
      </c>
      <c r="N6413">
        <v>0</v>
      </c>
      <c r="O6413">
        <v>0.92525449999999998</v>
      </c>
      <c r="P6413">
        <v>0.1976376</v>
      </c>
      <c r="Q6413">
        <v>-1.6434649999999999E-2</v>
      </c>
      <c r="R6413">
        <v>0.98013729999999999</v>
      </c>
      <c r="S6413">
        <v>4.508972E-2</v>
      </c>
      <c r="T6413">
        <v>-0.45967439999999998</v>
      </c>
      <c r="U6413">
        <v>3.0496829999999999</v>
      </c>
      <c r="V6413">
        <v>-0.1886292</v>
      </c>
      <c r="W6413">
        <v>-6.4404639999999999E-3</v>
      </c>
      <c r="X6413">
        <v>0.98202730000000005</v>
      </c>
      <c r="Y6413">
        <v>-0.36538609999999999</v>
      </c>
      <c r="Z6413">
        <v>-0.12727239999999901</v>
      </c>
      <c r="AA6413">
        <v>0.92211430000000005</v>
      </c>
      <c r="AB6413">
        <v>28</v>
      </c>
      <c r="AC6413">
        <v>8.2000000000164094E-3</v>
      </c>
      <c r="AD6413">
        <v>-1.1174311799929999</v>
      </c>
      <c r="AE6413">
        <v>7.1443899999999898</v>
      </c>
      <c r="AF6413">
        <v>-2.6365706703380698</v>
      </c>
      <c r="AG6413">
        <v>-1.1174311799929999</v>
      </c>
      <c r="AH6413">
        <v>6.4561833384443101</v>
      </c>
      <c r="AI6413">
        <v>99.103286596021704</v>
      </c>
      <c r="AJ6413">
        <v>112.214080651777</v>
      </c>
      <c r="AK6413">
        <v>7.0627516338402803</v>
      </c>
      <c r="AL6413">
        <v>90.369013943028307</v>
      </c>
      <c r="AM6413">
        <v>100.873024535222</v>
      </c>
      <c r="AN6413">
        <v>1.0000000363072299</v>
      </c>
    </row>
    <row r="6414" spans="1:40" x14ac:dyDescent="0.25">
      <c r="A6414" t="str">
        <f>"20190312151657037"</f>
        <v>20190312151657037</v>
      </c>
      <c r="B6414" t="str">
        <f>"1552375017034277"</f>
        <v>1552375017034277</v>
      </c>
      <c r="C6414" t="s">
        <v>40</v>
      </c>
      <c r="D6414">
        <v>4.6974669999999996</v>
      </c>
      <c r="E6414">
        <v>0.42775740000000001</v>
      </c>
      <c r="F6414" t="s">
        <v>43</v>
      </c>
      <c r="G6414">
        <v>-189.58879999999999</v>
      </c>
      <c r="H6414" s="1">
        <v>-1.328206E-6</v>
      </c>
      <c r="I6414">
        <v>-37.44117</v>
      </c>
      <c r="J6414">
        <v>-189.52070000000001</v>
      </c>
      <c r="K6414">
        <v>1.1174249999999999</v>
      </c>
      <c r="L6414">
        <v>-44.65137</v>
      </c>
      <c r="M6414">
        <v>0.36915290000000001</v>
      </c>
      <c r="N6414">
        <v>0</v>
      </c>
      <c r="O6414">
        <v>0.92926560000000002</v>
      </c>
      <c r="P6414">
        <v>0.18744179999999999</v>
      </c>
      <c r="Q6414">
        <v>-1.6173130000000001E-2</v>
      </c>
      <c r="R6414">
        <v>0.98214259999999998</v>
      </c>
      <c r="S6414">
        <v>1.235962E-2</v>
      </c>
      <c r="T6414">
        <v>-0.4556904</v>
      </c>
      <c r="U6414">
        <v>3.050659</v>
      </c>
      <c r="V6414">
        <v>-0.18831249999999999</v>
      </c>
      <c r="W6414">
        <v>-6.1697200000000001E-3</v>
      </c>
      <c r="X6414">
        <v>0.98208980000000001</v>
      </c>
      <c r="Y6414">
        <v>-0.3653093</v>
      </c>
      <c r="Z6414">
        <v>-0.12703410000000001</v>
      </c>
      <c r="AA6414">
        <v>0.92217760000000004</v>
      </c>
      <c r="AB6414">
        <v>28</v>
      </c>
      <c r="AC6414">
        <v>-6.8099999999986893E-2</v>
      </c>
      <c r="AD6414">
        <v>-1.117426328206</v>
      </c>
      <c r="AE6414">
        <v>7.2102000000000004</v>
      </c>
      <c r="AF6414">
        <v>-2.66129604937831</v>
      </c>
      <c r="AG6414">
        <v>-1.117426328206</v>
      </c>
      <c r="AH6414">
        <v>6.51912632168664</v>
      </c>
      <c r="AI6414">
        <v>99.017271810167998</v>
      </c>
      <c r="AJ6414">
        <v>112.206704138791</v>
      </c>
      <c r="AK6414">
        <v>7.1295263699289499</v>
      </c>
      <c r="AL6414">
        <v>90.353501152716902</v>
      </c>
      <c r="AM6414">
        <v>100.85452887331699</v>
      </c>
      <c r="AN6414">
        <v>1.00000001918258</v>
      </c>
    </row>
    <row r="6415" spans="1:40" x14ac:dyDescent="0.25">
      <c r="A6415" t="str">
        <f>"20190312151657060"</f>
        <v>20190312151657060</v>
      </c>
      <c r="B6415" t="str">
        <f>"1552375017053797"</f>
        <v>1552375017053797</v>
      </c>
      <c r="C6415" t="s">
        <v>40</v>
      </c>
      <c r="D6415">
        <v>4.6914709999999999</v>
      </c>
      <c r="E6415">
        <v>0.42763420000000002</v>
      </c>
      <c r="F6415" t="s">
        <v>43</v>
      </c>
      <c r="G6415">
        <v>-189.57470000000001</v>
      </c>
      <c r="H6415" s="1">
        <v>-1.473341E-6</v>
      </c>
      <c r="I6415">
        <v>-37.10866</v>
      </c>
      <c r="J6415">
        <v>-189.42359999999999</v>
      </c>
      <c r="K6415">
        <v>1.1174189999999999</v>
      </c>
      <c r="L6415">
        <v>-44.37527</v>
      </c>
      <c r="M6415">
        <v>0.35899940000000002</v>
      </c>
      <c r="N6415">
        <v>0</v>
      </c>
      <c r="O6415">
        <v>0.93323520000000004</v>
      </c>
      <c r="P6415">
        <v>0.17735890000000001</v>
      </c>
      <c r="Q6415">
        <v>-1.583379E-2</v>
      </c>
      <c r="R6415">
        <v>0.98401890000000003</v>
      </c>
      <c r="S6415">
        <v>-2.185059E-2</v>
      </c>
      <c r="T6415">
        <v>-0.45203520000000003</v>
      </c>
      <c r="U6415">
        <v>3.0512700000000001</v>
      </c>
      <c r="V6415">
        <v>-0.1876863</v>
      </c>
      <c r="W6415">
        <v>-5.8144950000000003E-3</v>
      </c>
      <c r="X6415">
        <v>0.98221179999999997</v>
      </c>
      <c r="Y6415">
        <v>-0.36550660000000001</v>
      </c>
      <c r="Z6415">
        <v>-0.1268628</v>
      </c>
      <c r="AA6415">
        <v>0.92212300000000003</v>
      </c>
      <c r="AB6415">
        <v>28</v>
      </c>
      <c r="AC6415">
        <v>-0.151100000000013</v>
      </c>
      <c r="AD6415">
        <v>-1.117420473341</v>
      </c>
      <c r="AE6415">
        <v>7.26661</v>
      </c>
      <c r="AF6415">
        <v>-2.68648488119435</v>
      </c>
      <c r="AG6415">
        <v>-1.117420473341</v>
      </c>
      <c r="AH6415">
        <v>6.5725050955141402</v>
      </c>
      <c r="AI6415">
        <v>98.943587961038602</v>
      </c>
      <c r="AJ6415">
        <v>112.23209074811</v>
      </c>
      <c r="AK6415">
        <v>7.1877432314800203</v>
      </c>
      <c r="AL6415">
        <v>90.333147904776098</v>
      </c>
      <c r="AM6415">
        <v>100.817975213145</v>
      </c>
      <c r="AN6415">
        <v>0.99999998780951704</v>
      </c>
    </row>
    <row r="6416" spans="1:40" x14ac:dyDescent="0.25">
      <c r="A6416" t="str">
        <f>"20190312151657080"</f>
        <v>20190312151657080</v>
      </c>
      <c r="B6416" t="str">
        <f>"1552375017074293"</f>
        <v>1552375017074293</v>
      </c>
      <c r="C6416" t="s">
        <v>40</v>
      </c>
      <c r="D6416">
        <v>4.8652759999999997</v>
      </c>
      <c r="E6416">
        <v>0.42765019999999998</v>
      </c>
      <c r="F6416" t="s">
        <v>43</v>
      </c>
      <c r="G6416">
        <v>-189.5575</v>
      </c>
      <c r="H6416" s="1">
        <v>-1.6086919999999999E-6</v>
      </c>
      <c r="I6416">
        <v>-36.800289999999997</v>
      </c>
      <c r="J6416">
        <v>-189.3476</v>
      </c>
      <c r="K6416">
        <v>1.1174109999999999</v>
      </c>
      <c r="L6416">
        <v>-44.152340000000002</v>
      </c>
      <c r="M6416">
        <v>0.35079779999999999</v>
      </c>
      <c r="N6416">
        <v>0</v>
      </c>
      <c r="O6416">
        <v>0.93634899999999999</v>
      </c>
      <c r="P6416">
        <v>0.16965529999999901</v>
      </c>
      <c r="Q6416">
        <v>-1.5605279999999999E-2</v>
      </c>
      <c r="R6416">
        <v>0.98537989999999998</v>
      </c>
      <c r="S6416">
        <v>-5.3924560000000003E-2</v>
      </c>
      <c r="T6416">
        <v>-0.45009729999999998</v>
      </c>
      <c r="U6416">
        <v>3.0512079999999999</v>
      </c>
      <c r="V6416">
        <v>-0.18675810000000001</v>
      </c>
      <c r="W6416">
        <v>-5.5640949999999998E-3</v>
      </c>
      <c r="X6416">
        <v>0.98239019999999999</v>
      </c>
      <c r="Y6416">
        <v>-0.36703530000000001</v>
      </c>
      <c r="Z6416">
        <v>-0.12695039999999999</v>
      </c>
      <c r="AA6416">
        <v>0.92150350000000003</v>
      </c>
      <c r="AB6416">
        <v>28</v>
      </c>
      <c r="AC6416">
        <v>-0.209900000000004</v>
      </c>
      <c r="AD6416">
        <v>-1.117412608692</v>
      </c>
      <c r="AE6416">
        <v>7.3520499999999904</v>
      </c>
      <c r="AF6416">
        <v>-2.7132632764201299</v>
      </c>
      <c r="AG6416">
        <v>-1.117412608692</v>
      </c>
      <c r="AH6416">
        <v>6.6574431742322702</v>
      </c>
      <c r="AI6416">
        <v>98.834858742561494</v>
      </c>
      <c r="AJ6416">
        <v>112.17351707213</v>
      </c>
      <c r="AK6416">
        <v>7.2754352559393896</v>
      </c>
      <c r="AL6416">
        <v>90.3188007969826</v>
      </c>
      <c r="AM6416">
        <v>100.763819072437</v>
      </c>
      <c r="AN6416">
        <v>1.0000000260624</v>
      </c>
    </row>
    <row r="6417" spans="1:40" x14ac:dyDescent="0.25">
      <c r="A6417" t="str">
        <f>"20190312151657102"</f>
        <v>20190312151657102</v>
      </c>
      <c r="B6417" t="str">
        <f>"1552375017093814"</f>
        <v>1552375017093814</v>
      </c>
      <c r="C6417" t="s">
        <v>40</v>
      </c>
      <c r="D6417">
        <v>4.69292</v>
      </c>
      <c r="E6417">
        <v>0.42764829999999998</v>
      </c>
      <c r="F6417" t="s">
        <v>43</v>
      </c>
      <c r="G6417">
        <v>-189.54150000000001</v>
      </c>
      <c r="H6417" s="1">
        <v>-1.725522E-6</v>
      </c>
      <c r="I6417">
        <v>-36.534579999999998</v>
      </c>
      <c r="J6417">
        <v>-189.26130000000001</v>
      </c>
      <c r="K6417">
        <v>1.1174029999999999</v>
      </c>
      <c r="L6417">
        <v>-43.891109999999998</v>
      </c>
      <c r="M6417">
        <v>0.34118080000000001</v>
      </c>
      <c r="N6417">
        <v>0</v>
      </c>
      <c r="O6417">
        <v>0.93989590000000001</v>
      </c>
      <c r="P6417">
        <v>0.16039829999999999</v>
      </c>
      <c r="Q6417">
        <v>-1.5373080000000001E-2</v>
      </c>
      <c r="R6417">
        <v>0.98693260000000005</v>
      </c>
      <c r="S6417">
        <v>-7.7636720000000006E-2</v>
      </c>
      <c r="T6417">
        <v>-0.44750459999999898</v>
      </c>
      <c r="U6417">
        <v>3.0507810000000002</v>
      </c>
      <c r="V6417">
        <v>-0.18591559999999999</v>
      </c>
      <c r="W6417">
        <v>-5.3115509999999899E-3</v>
      </c>
      <c r="X6417">
        <v>0.98255130000000002</v>
      </c>
      <c r="Y6417">
        <v>-0.3646683</v>
      </c>
      <c r="Z6417">
        <v>-0.12707260000000001</v>
      </c>
      <c r="AA6417">
        <v>0.92242590000000002</v>
      </c>
      <c r="AB6417">
        <v>28</v>
      </c>
      <c r="AC6417">
        <v>-0.280200000000007</v>
      </c>
      <c r="AD6417">
        <v>-1.1174047255220001</v>
      </c>
      <c r="AE6417">
        <v>7.3565299999999896</v>
      </c>
      <c r="AF6417">
        <v>-2.7110732106089301</v>
      </c>
      <c r="AG6417">
        <v>-1.1174047255220001</v>
      </c>
      <c r="AH6417">
        <v>6.6658577842945004</v>
      </c>
      <c r="AI6417">
        <v>98.8263778315454</v>
      </c>
      <c r="AJ6417">
        <v>112.13208334288601</v>
      </c>
      <c r="AK6417">
        <v>7.2823190862760097</v>
      </c>
      <c r="AL6417">
        <v>90.304330904228493</v>
      </c>
      <c r="AM6417">
        <v>100.714672128687</v>
      </c>
      <c r="AN6417">
        <v>0.99999994001453596</v>
      </c>
    </row>
    <row r="6418" spans="1:40" x14ac:dyDescent="0.25">
      <c r="A6418" t="str">
        <f>"20190312151657124"</f>
        <v>20190312151657124</v>
      </c>
      <c r="B6418" t="str">
        <f>"1552375017114309"</f>
        <v>1552375017114309</v>
      </c>
      <c r="C6418" t="s">
        <v>40</v>
      </c>
      <c r="D6418">
        <v>4.6843399999999997</v>
      </c>
      <c r="E6418">
        <v>0.427676</v>
      </c>
      <c r="F6418" t="s">
        <v>43</v>
      </c>
      <c r="G6418">
        <v>-189.52860000000001</v>
      </c>
      <c r="H6418" s="1">
        <v>-1.857805E-6</v>
      </c>
      <c r="I6418">
        <v>-36.231529999999999</v>
      </c>
      <c r="J6418">
        <v>-189.1781</v>
      </c>
      <c r="K6418">
        <v>1.117399</v>
      </c>
      <c r="L6418">
        <v>-43.630310000000001</v>
      </c>
      <c r="M6418">
        <v>0.33157490000000001</v>
      </c>
      <c r="N6418">
        <v>0</v>
      </c>
      <c r="O6418">
        <v>0.94332749999999999</v>
      </c>
      <c r="P6418">
        <v>0.15191640000000001</v>
      </c>
      <c r="Q6418">
        <v>-1.5361939999999999E-2</v>
      </c>
      <c r="R6418">
        <v>0.98827399999999999</v>
      </c>
      <c r="S6418">
        <v>-0.10644530000000001</v>
      </c>
      <c r="T6418">
        <v>-0.4449553</v>
      </c>
      <c r="U6418">
        <v>3.0500790000000002</v>
      </c>
      <c r="V6418">
        <v>-0.18433140000000001</v>
      </c>
      <c r="W6418">
        <v>-5.2642219999999998E-3</v>
      </c>
      <c r="X6418">
        <v>0.98285009999999995</v>
      </c>
      <c r="Y6418">
        <v>-0.36388670000000001</v>
      </c>
      <c r="Z6418">
        <v>-0.12713079999999999</v>
      </c>
      <c r="AA6418">
        <v>0.92272650000000001</v>
      </c>
      <c r="AB6418">
        <v>28</v>
      </c>
      <c r="AC6418">
        <v>-0.35050000000001003</v>
      </c>
      <c r="AD6418">
        <v>-1.1174008578049901</v>
      </c>
      <c r="AE6418">
        <v>7.3987799999999897</v>
      </c>
      <c r="AF6418">
        <v>-2.72220189852949</v>
      </c>
      <c r="AG6418">
        <v>-1.1174008578049901</v>
      </c>
      <c r="AH6418">
        <v>6.7111826217590496</v>
      </c>
      <c r="AI6418">
        <v>98.770943558726799</v>
      </c>
      <c r="AJ6418">
        <v>112.078546593672</v>
      </c>
      <c r="AK6418">
        <v>7.3279560612753096</v>
      </c>
      <c r="AL6418">
        <v>90.301619081613197</v>
      </c>
      <c r="AM6418">
        <v>100.62230244279399</v>
      </c>
      <c r="AN6418">
        <v>1.0000000480646101</v>
      </c>
    </row>
    <row r="6419" spans="1:40" x14ac:dyDescent="0.25">
      <c r="A6419" t="str">
        <f>"20190312151657146"</f>
        <v>20190312151657146</v>
      </c>
      <c r="B6419" t="str">
        <f>"1552375017133829"</f>
        <v>1552375017133829</v>
      </c>
      <c r="C6419" t="s">
        <v>40</v>
      </c>
      <c r="D6419">
        <v>4.6972880000000004</v>
      </c>
      <c r="E6419">
        <v>0.42775940000000001</v>
      </c>
      <c r="F6419" t="s">
        <v>43</v>
      </c>
      <c r="G6419">
        <v>-189.51320000000001</v>
      </c>
      <c r="H6419" s="1">
        <v>-1.987675E-6</v>
      </c>
      <c r="I6419">
        <v>-35.935189999999999</v>
      </c>
      <c r="J6419">
        <v>-189.09790000000001</v>
      </c>
      <c r="K6419">
        <v>1.1173900000000001</v>
      </c>
      <c r="L6419">
        <v>-43.369750000000003</v>
      </c>
      <c r="M6419">
        <v>0.3219747</v>
      </c>
      <c r="N6419">
        <v>0</v>
      </c>
      <c r="O6419">
        <v>0.94664729999999997</v>
      </c>
      <c r="P6419">
        <v>0.14350669999999999</v>
      </c>
      <c r="Q6419">
        <v>-1.4878570000000001E-2</v>
      </c>
      <c r="R6419">
        <v>0.98953749999999996</v>
      </c>
      <c r="S6419">
        <v>-0.13276669999999999</v>
      </c>
      <c r="T6419">
        <v>-0.44276169999999998</v>
      </c>
      <c r="U6419">
        <v>3.0491329999999999</v>
      </c>
      <c r="V6419">
        <v>-0.18271660000000001</v>
      </c>
      <c r="W6419">
        <v>-4.743868E-3</v>
      </c>
      <c r="X6419">
        <v>0.98315419999999998</v>
      </c>
      <c r="Y6419">
        <v>-0.36239460000000001</v>
      </c>
      <c r="Z6419">
        <v>-0.1272847</v>
      </c>
      <c r="AA6419">
        <v>0.92329229999999995</v>
      </c>
      <c r="AB6419">
        <v>28</v>
      </c>
      <c r="AC6419">
        <v>-0.415300000000002</v>
      </c>
      <c r="AD6419">
        <v>-1.11739198767499</v>
      </c>
      <c r="AE6419">
        <v>7.4345599999999896</v>
      </c>
      <c r="AF6419">
        <v>-2.7257679473453802</v>
      </c>
      <c r="AG6419">
        <v>-1.11739198767499</v>
      </c>
      <c r="AH6419">
        <v>6.7527847345468297</v>
      </c>
      <c r="AI6419">
        <v>98.723556733225607</v>
      </c>
      <c r="AJ6419">
        <v>111.98151301924599</v>
      </c>
      <c r="AK6419">
        <v>7.3673928514790399</v>
      </c>
      <c r="AL6419">
        <v>90.271804628839007</v>
      </c>
      <c r="AM6419">
        <v>100.528153822824</v>
      </c>
      <c r="AN6419">
        <v>1.0000000205884001</v>
      </c>
    </row>
    <row r="6420" spans="1:40" x14ac:dyDescent="0.25">
      <c r="A6420" t="str">
        <f>"20190312151657168"</f>
        <v>20190312151657168</v>
      </c>
      <c r="B6420" t="str">
        <f>"1552375017164085"</f>
        <v>1552375017164085</v>
      </c>
      <c r="C6420" t="s">
        <v>40</v>
      </c>
      <c r="D6420">
        <v>4.6593</v>
      </c>
      <c r="E6420">
        <v>0.4279193</v>
      </c>
      <c r="F6420" t="s">
        <v>43</v>
      </c>
      <c r="G6420">
        <v>-189.5001</v>
      </c>
      <c r="H6420" s="1">
        <v>-2.1241160000000001E-6</v>
      </c>
      <c r="I6420">
        <v>-35.62256</v>
      </c>
      <c r="J6420">
        <v>-189.01949999999999</v>
      </c>
      <c r="K6420">
        <v>1.1173820000000001</v>
      </c>
      <c r="L6420">
        <v>-43.105530000000002</v>
      </c>
      <c r="M6420">
        <v>0.31223410000000001</v>
      </c>
      <c r="N6420">
        <v>0</v>
      </c>
      <c r="O6420">
        <v>0.94990459999999999</v>
      </c>
      <c r="P6420">
        <v>0.13580500000000001</v>
      </c>
      <c r="Q6420">
        <v>-1.4979839999999999E-2</v>
      </c>
      <c r="R6420">
        <v>0.99062229999999996</v>
      </c>
      <c r="S6420">
        <v>-0.1582336</v>
      </c>
      <c r="T6420">
        <v>-0.43962800000000002</v>
      </c>
      <c r="U6420">
        <v>3.0480649999999998</v>
      </c>
      <c r="V6420">
        <v>-0.1802637</v>
      </c>
      <c r="W6420">
        <v>-4.7904530000000001E-3</v>
      </c>
      <c r="X6420">
        <v>0.9836066</v>
      </c>
      <c r="Y6420">
        <v>-0.36054150000000001</v>
      </c>
      <c r="Z6420">
        <v>-0.12716350000000001</v>
      </c>
      <c r="AA6420">
        <v>0.92403420000000003</v>
      </c>
      <c r="AB6420">
        <v>28</v>
      </c>
      <c r="AC6420">
        <v>-0.48060000000000902</v>
      </c>
      <c r="AD6420">
        <v>-1.1173841241160001</v>
      </c>
      <c r="AE6420">
        <v>7.4829699999999999</v>
      </c>
      <c r="AF6420">
        <v>-2.7325506209036101</v>
      </c>
      <c r="AG6420">
        <v>-1.1173841241160001</v>
      </c>
      <c r="AH6420">
        <v>6.8075449583857504</v>
      </c>
      <c r="AI6420">
        <v>98.661038193274607</v>
      </c>
      <c r="AJ6420">
        <v>111.870541202863</v>
      </c>
      <c r="AK6420">
        <v>7.4201110865721196</v>
      </c>
      <c r="AL6420">
        <v>90.274473803263604</v>
      </c>
      <c r="AM6420">
        <v>100.38524100117399</v>
      </c>
      <c r="AN6420">
        <v>0.999999946770596</v>
      </c>
    </row>
    <row r="6421" spans="1:40" x14ac:dyDescent="0.25">
      <c r="A6421" t="str">
        <f>"20190312151657192"</f>
        <v>20190312151657192</v>
      </c>
      <c r="B6421" t="str">
        <f>"1552375017184581"</f>
        <v>1552375017184581</v>
      </c>
      <c r="C6421" t="s">
        <v>40</v>
      </c>
      <c r="D6421">
        <v>4.6110419999999896</v>
      </c>
      <c r="E6421">
        <v>0.42806420000000001</v>
      </c>
      <c r="F6421" t="s">
        <v>43</v>
      </c>
      <c r="G6421">
        <v>-189.48249999999999</v>
      </c>
      <c r="H6421" s="1">
        <v>-2.2569910000000001E-6</v>
      </c>
      <c r="I6421">
        <v>-35.320070000000001</v>
      </c>
      <c r="J6421">
        <v>-188.94030000000001</v>
      </c>
      <c r="K6421">
        <v>1.117375</v>
      </c>
      <c r="L6421">
        <v>-42.828670000000002</v>
      </c>
      <c r="M6421">
        <v>0.30202390000000001</v>
      </c>
      <c r="N6421">
        <v>0</v>
      </c>
      <c r="O6421">
        <v>0.95320020000000005</v>
      </c>
      <c r="P6421">
        <v>0.1275905</v>
      </c>
      <c r="Q6421">
        <v>-1.5080639999999999E-2</v>
      </c>
      <c r="R6421">
        <v>0.99171229999999999</v>
      </c>
      <c r="S6421">
        <v>-0.1812134</v>
      </c>
      <c r="T6421">
        <v>-0.43725839999999999</v>
      </c>
      <c r="U6421">
        <v>3.0466310000000001</v>
      </c>
      <c r="V6421">
        <v>-0.17785889999999999</v>
      </c>
      <c r="W6421">
        <v>-4.8376529999999999E-3</v>
      </c>
      <c r="X6421">
        <v>0.98404409999999998</v>
      </c>
      <c r="Y6421">
        <v>-0.35751149999999998</v>
      </c>
      <c r="Z6421">
        <v>-0.12730449999999999</v>
      </c>
      <c r="AA6421">
        <v>0.9251914</v>
      </c>
      <c r="AB6421">
        <v>28</v>
      </c>
      <c r="AC6421">
        <v>-0.54219999999997903</v>
      </c>
      <c r="AD6421">
        <v>-1.1173772569910001</v>
      </c>
      <c r="AE6421">
        <v>7.5086000000000004</v>
      </c>
      <c r="AF6421">
        <v>-2.7248383235256202</v>
      </c>
      <c r="AG6421">
        <v>-1.1173772569910001</v>
      </c>
      <c r="AH6421">
        <v>6.8433475227331302</v>
      </c>
      <c r="AI6421">
        <v>98.625800997554506</v>
      </c>
      <c r="AJ6421">
        <v>111.711127071793</v>
      </c>
      <c r="AK6421">
        <v>7.4501463838432302</v>
      </c>
      <c r="AL6421">
        <v>90.277178183287006</v>
      </c>
      <c r="AM6421">
        <v>100.245192826766</v>
      </c>
      <c r="AN6421">
        <v>0.99999999097028403</v>
      </c>
    </row>
    <row r="6422" spans="1:40" x14ac:dyDescent="0.25">
      <c r="A6422" t="str">
        <f>"20190312151657214"</f>
        <v>20190312151657214</v>
      </c>
      <c r="B6422" t="str">
        <f>"1552375017204101"</f>
        <v>1552375017204101</v>
      </c>
      <c r="C6422" t="s">
        <v>40</v>
      </c>
      <c r="D6422">
        <v>4.6309529999999999</v>
      </c>
      <c r="E6422">
        <v>0.42824180000000001</v>
      </c>
      <c r="F6422" t="s">
        <v>43</v>
      </c>
      <c r="G6422">
        <v>-189.46709999999999</v>
      </c>
      <c r="H6422" s="1">
        <v>-2.3877290000000002E-6</v>
      </c>
      <c r="I6422">
        <v>-35.021729999999998</v>
      </c>
      <c r="J6422">
        <v>-188.86770000000001</v>
      </c>
      <c r="K6422">
        <v>1.117361</v>
      </c>
      <c r="L6422">
        <v>-42.563510000000001</v>
      </c>
      <c r="M6422">
        <v>0.29224229999999901</v>
      </c>
      <c r="N6422">
        <v>0</v>
      </c>
      <c r="O6422">
        <v>0.95624450000000005</v>
      </c>
      <c r="P6422">
        <v>0.1200836</v>
      </c>
      <c r="Q6422">
        <v>-1.50049E-2</v>
      </c>
      <c r="R6422">
        <v>0.99265040000000004</v>
      </c>
      <c r="S6422">
        <v>-0.2054291</v>
      </c>
      <c r="T6422">
        <v>-0.43579889999999999</v>
      </c>
      <c r="U6422">
        <v>3.044861</v>
      </c>
      <c r="V6422">
        <v>-0.17522460000000001</v>
      </c>
      <c r="W6422">
        <v>-4.7084020000000004E-3</v>
      </c>
      <c r="X6422">
        <v>0.98451719999999998</v>
      </c>
      <c r="Y6422">
        <v>-0.35530899999999999</v>
      </c>
      <c r="Z6422">
        <v>-0.1276311</v>
      </c>
      <c r="AA6422">
        <v>0.92599450000000005</v>
      </c>
      <c r="AB6422">
        <v>28</v>
      </c>
      <c r="AC6422">
        <v>-0.59939999999997395</v>
      </c>
      <c r="AD6422">
        <v>-1.1173633877289999</v>
      </c>
      <c r="AE6422">
        <v>7.5417800000000002</v>
      </c>
      <c r="AF6422">
        <v>-2.71817486659153</v>
      </c>
      <c r="AG6422">
        <v>-1.1173633877289999</v>
      </c>
      <c r="AH6422">
        <v>6.8870629058739796</v>
      </c>
      <c r="AI6422">
        <v>98.581876504078096</v>
      </c>
      <c r="AJ6422">
        <v>111.538078055615</v>
      </c>
      <c r="AK6422">
        <v>7.4878976365247203</v>
      </c>
      <c r="AL6422">
        <v>90.269772566828294</v>
      </c>
      <c r="AM6422">
        <v>100.091842008154</v>
      </c>
      <c r="AN6422">
        <v>0.99999997329519597</v>
      </c>
    </row>
    <row r="6423" spans="1:40" x14ac:dyDescent="0.25">
      <c r="A6423" t="str">
        <f>"20190312151657238"</f>
        <v>20190312151657238</v>
      </c>
      <c r="B6423" t="str">
        <f>"1552375017234357"</f>
        <v>1552375017234357</v>
      </c>
      <c r="C6423" t="s">
        <v>40</v>
      </c>
      <c r="D6423">
        <v>4.6298550000000001</v>
      </c>
      <c r="E6423">
        <v>0.42850009999999999</v>
      </c>
      <c r="F6423" t="s">
        <v>43</v>
      </c>
      <c r="G6423">
        <v>-189.4512</v>
      </c>
      <c r="H6423" s="1">
        <v>-2.513832E-6</v>
      </c>
      <c r="I6423">
        <v>-34.734310000000001</v>
      </c>
      <c r="J6423">
        <v>-188.7946</v>
      </c>
      <c r="K6423">
        <v>1.1173379999999999</v>
      </c>
      <c r="L6423">
        <v>-42.284329999999997</v>
      </c>
      <c r="M6423">
        <v>0.28195409999999999</v>
      </c>
      <c r="N6423">
        <v>0</v>
      </c>
      <c r="O6423">
        <v>0.95932870000000003</v>
      </c>
      <c r="P6423">
        <v>0.11158129999999999</v>
      </c>
      <c r="Q6423">
        <v>-1.4196749999999999E-2</v>
      </c>
      <c r="R6423">
        <v>0.99365389999999998</v>
      </c>
      <c r="S6423">
        <v>-0.2268066</v>
      </c>
      <c r="T6423">
        <v>-0.43430229999999997</v>
      </c>
      <c r="U6423">
        <v>3.043091</v>
      </c>
      <c r="V6423">
        <v>-0.17309630000000001</v>
      </c>
      <c r="W6423">
        <v>-3.8608190000000001E-3</v>
      </c>
      <c r="X6423">
        <v>0.98489729999999998</v>
      </c>
      <c r="Y6423">
        <v>-0.35178169999999997</v>
      </c>
      <c r="Z6423">
        <v>-0.1279873</v>
      </c>
      <c r="AA6423">
        <v>0.92729119999999998</v>
      </c>
      <c r="AB6423">
        <v>28</v>
      </c>
      <c r="AC6423">
        <v>-0.65659999999999696</v>
      </c>
      <c r="AD6423">
        <v>-1.1173405138319901</v>
      </c>
      <c r="AE6423">
        <v>7.5500199999999902</v>
      </c>
      <c r="AF6423">
        <v>-2.7002217605160101</v>
      </c>
      <c r="AG6423">
        <v>-1.1173405138319901</v>
      </c>
      <c r="AH6423">
        <v>6.9083242882708698</v>
      </c>
      <c r="AI6423">
        <v>98.566627994430206</v>
      </c>
      <c r="AJ6423">
        <v>111.34878588644</v>
      </c>
      <c r="AK6423">
        <v>7.5009727270353297</v>
      </c>
      <c r="AL6423">
        <v>90.221209191845304</v>
      </c>
      <c r="AM6423">
        <v>99.967968949586904</v>
      </c>
      <c r="AN6423">
        <v>0.99999996327216401</v>
      </c>
    </row>
    <row r="6424" spans="1:40" x14ac:dyDescent="0.25">
      <c r="A6424" t="str">
        <f>"20190312151657258"</f>
        <v>20190312151657258</v>
      </c>
      <c r="B6424" t="str">
        <f>"1552375017253877"</f>
        <v>1552375017253877</v>
      </c>
      <c r="C6424" t="s">
        <v>40</v>
      </c>
      <c r="D6424">
        <v>4.6455710000000003</v>
      </c>
      <c r="E6424">
        <v>0.42875809999999998</v>
      </c>
      <c r="F6424" t="s">
        <v>43</v>
      </c>
      <c r="G6424">
        <v>-189.44470000000001</v>
      </c>
      <c r="H6424" s="1">
        <v>-2.6602629999999998E-6</v>
      </c>
      <c r="I6424">
        <v>-34.395699999999998</v>
      </c>
      <c r="J6424">
        <v>-188.73320000000001</v>
      </c>
      <c r="K6424">
        <v>1.117321</v>
      </c>
      <c r="L6424">
        <v>-42.040950000000002</v>
      </c>
      <c r="M6424">
        <v>0.27299400000000001</v>
      </c>
      <c r="N6424">
        <v>0</v>
      </c>
      <c r="O6424">
        <v>0.96191689999999996</v>
      </c>
      <c r="P6424">
        <v>0.1041151</v>
      </c>
      <c r="Q6424">
        <v>-1.4329949999999999E-2</v>
      </c>
      <c r="R6424">
        <v>0.99446199999999996</v>
      </c>
      <c r="S6424">
        <v>-0.2506256</v>
      </c>
      <c r="T6424">
        <v>-0.43074459999999998</v>
      </c>
      <c r="U6424">
        <v>3.0411380000000001</v>
      </c>
      <c r="V6424">
        <v>-0.17130429999999999</v>
      </c>
      <c r="W6424">
        <v>-3.9610460000000002E-3</v>
      </c>
      <c r="X6424">
        <v>0.98521020000000004</v>
      </c>
      <c r="Y6424">
        <v>-0.35032649999999999</v>
      </c>
      <c r="Z6424">
        <v>-0.12758030000000001</v>
      </c>
      <c r="AA6424">
        <v>0.927898</v>
      </c>
      <c r="AB6424">
        <v>28</v>
      </c>
      <c r="AC6424">
        <v>-0.71150000000000002</v>
      </c>
      <c r="AD6424">
        <v>-1.1173236602629999</v>
      </c>
      <c r="AE6424">
        <v>7.6452499999999999</v>
      </c>
      <c r="AF6424">
        <v>-2.7142987304670001</v>
      </c>
      <c r="AG6424">
        <v>-1.1173236602629999</v>
      </c>
      <c r="AH6424">
        <v>7.0120584028520199</v>
      </c>
      <c r="AI6424">
        <v>98.452227376539</v>
      </c>
      <c r="AJ6424">
        <v>111.160929677542</v>
      </c>
      <c r="AK6424">
        <v>7.60163093059679</v>
      </c>
      <c r="AL6424">
        <v>90.226951812725304</v>
      </c>
      <c r="AM6424">
        <v>99.863740667234296</v>
      </c>
      <c r="AN6424">
        <v>0.99999999563397202</v>
      </c>
    </row>
    <row r="6425" spans="1:40" x14ac:dyDescent="0.25">
      <c r="A6425" t="str">
        <f>"20190312151657280"</f>
        <v>20190312151657280</v>
      </c>
      <c r="B6425" t="str">
        <f>"1552375017274373"</f>
        <v>1552375017274373</v>
      </c>
      <c r="C6425" t="s">
        <v>40</v>
      </c>
      <c r="D6425">
        <v>4.6311109999999998</v>
      </c>
      <c r="E6425">
        <v>0.44300230000000002</v>
      </c>
      <c r="F6425" t="s">
        <v>43</v>
      </c>
      <c r="G6425">
        <v>-189.43960000000001</v>
      </c>
      <c r="H6425" s="1">
        <v>-2.774235E-6</v>
      </c>
      <c r="I6425">
        <v>-34.13212</v>
      </c>
      <c r="J6425">
        <v>-188.6695</v>
      </c>
      <c r="K6425">
        <v>1.1172879999999901</v>
      </c>
      <c r="L6425">
        <v>-41.777099999999997</v>
      </c>
      <c r="M6425">
        <v>0.26330409999999999</v>
      </c>
      <c r="N6425">
        <v>0</v>
      </c>
      <c r="O6425">
        <v>0.96461459999999999</v>
      </c>
      <c r="P6425">
        <v>9.5717419999999998E-2</v>
      </c>
      <c r="Q6425">
        <v>-1.475219E-2</v>
      </c>
      <c r="R6425">
        <v>0.99529920000000005</v>
      </c>
      <c r="S6425">
        <v>-0.27142329999999998</v>
      </c>
      <c r="T6425">
        <v>-0.42932720000000002</v>
      </c>
      <c r="U6425">
        <v>3.0389400000000002</v>
      </c>
      <c r="V6425">
        <v>-0.1697004</v>
      </c>
      <c r="W6425">
        <v>-4.3519040000000002E-3</v>
      </c>
      <c r="X6425">
        <v>0.98548610000000003</v>
      </c>
      <c r="Y6425">
        <v>-0.34726810000000002</v>
      </c>
      <c r="Z6425">
        <v>-0.12786510000000001</v>
      </c>
      <c r="AA6425">
        <v>0.92900780000000005</v>
      </c>
      <c r="AB6425">
        <v>28</v>
      </c>
      <c r="AC6425">
        <v>-0.770100000000013</v>
      </c>
      <c r="AD6425">
        <v>-1.11729077423499</v>
      </c>
      <c r="AE6425">
        <v>7.6449799999999897</v>
      </c>
      <c r="AF6425">
        <v>-2.6989969662813502</v>
      </c>
      <c r="AG6425">
        <v>-1.11729077423499</v>
      </c>
      <c r="AH6425">
        <v>7.0238538136642399</v>
      </c>
      <c r="AI6425">
        <v>98.445894452309105</v>
      </c>
      <c r="AJ6425">
        <v>111.019848323025</v>
      </c>
      <c r="AK6425">
        <v>7.6070655113461596</v>
      </c>
      <c r="AL6425">
        <v>90.249346516856093</v>
      </c>
      <c r="AM6425">
        <v>99.770493482849304</v>
      </c>
      <c r="AN6425">
        <v>1.00000000906089</v>
      </c>
    </row>
    <row r="6426" spans="1:40" x14ac:dyDescent="0.25">
      <c r="A6426" t="str">
        <f>"20190312151657303"</f>
        <v>20190312151657303</v>
      </c>
      <c r="B6426" t="str">
        <f>"1552375017293893"</f>
        <v>1552375017293893</v>
      </c>
      <c r="C6426" t="s">
        <v>40</v>
      </c>
      <c r="D6426">
        <v>4.5905189999999996</v>
      </c>
      <c r="E6426">
        <v>0.44426670000000001</v>
      </c>
      <c r="F6426" t="s">
        <v>43</v>
      </c>
      <c r="G6426">
        <v>-189.2474</v>
      </c>
      <c r="H6426" s="1">
        <v>-3.698032E-6</v>
      </c>
      <c r="I6426">
        <v>-32.058199999999999</v>
      </c>
      <c r="J6426">
        <v>-188.60599999999999</v>
      </c>
      <c r="K6426">
        <v>1.1172420000000001</v>
      </c>
      <c r="L6426">
        <v>-41.501980000000003</v>
      </c>
      <c r="M6426">
        <v>0.2532451</v>
      </c>
      <c r="N6426">
        <v>0</v>
      </c>
      <c r="O6426">
        <v>0.96730430000000001</v>
      </c>
      <c r="P6426">
        <v>8.6604349999999997E-2</v>
      </c>
      <c r="Q6426">
        <v>-1.514777E-2</v>
      </c>
      <c r="R6426">
        <v>0.9961276</v>
      </c>
      <c r="S6426">
        <v>-0.17994689999999999</v>
      </c>
      <c r="T6426">
        <v>-0.3479064</v>
      </c>
      <c r="U6426">
        <v>3.0263059999999999</v>
      </c>
      <c r="V6426">
        <v>-0.16844909999999999</v>
      </c>
      <c r="W6426">
        <v>-4.7192240000000002E-3</v>
      </c>
      <c r="X6426">
        <v>0.98569910000000005</v>
      </c>
      <c r="Y6426">
        <v>-0.30985829999999998</v>
      </c>
      <c r="Z6426">
        <v>-0.1057155</v>
      </c>
      <c r="AA6426">
        <v>0.94488729999999999</v>
      </c>
      <c r="AB6426">
        <v>28</v>
      </c>
      <c r="AC6426">
        <v>-0.64140000000000397</v>
      </c>
      <c r="AD6426">
        <v>-1.117245698032</v>
      </c>
      <c r="AE6426">
        <v>9.4437799999999896</v>
      </c>
      <c r="AF6426">
        <v>-2.9709149666729702</v>
      </c>
      <c r="AG6426">
        <v>-1.117245698032</v>
      </c>
      <c r="AH6426">
        <v>8.8501288732322099</v>
      </c>
      <c r="AI6426">
        <v>96.824552530007296</v>
      </c>
      <c r="AJ6426">
        <v>108.556475601618</v>
      </c>
      <c r="AK6426">
        <v>9.4020931053564301</v>
      </c>
      <c r="AL6426">
        <v>90.270392609797497</v>
      </c>
      <c r="AM6426">
        <v>99.6977672983991</v>
      </c>
      <c r="AN6426">
        <v>1.00000004305339</v>
      </c>
    </row>
    <row r="6427" spans="1:40" x14ac:dyDescent="0.25">
      <c r="A6427" t="str">
        <f>"20190312151657326"</f>
        <v>20190312151657326</v>
      </c>
      <c r="B6427" t="str">
        <f>"1552375017314389"</f>
        <v>1552375017314389</v>
      </c>
      <c r="C6427" t="s">
        <v>40</v>
      </c>
      <c r="D6427">
        <v>4.5982760000000003</v>
      </c>
      <c r="E6427">
        <v>0.44837450000000001</v>
      </c>
      <c r="F6427" t="s">
        <v>43</v>
      </c>
      <c r="G6427">
        <v>-189.23390000000001</v>
      </c>
      <c r="H6427" s="1">
        <v>-3.7649499999999998E-6</v>
      </c>
      <c r="I6427">
        <v>-31.907779999999999</v>
      </c>
      <c r="J6427">
        <v>-188.5471</v>
      </c>
      <c r="K6427">
        <v>1.1171739999999999</v>
      </c>
      <c r="L6427">
        <v>-41.235050000000001</v>
      </c>
      <c r="M6427">
        <v>0.24355350000000001</v>
      </c>
      <c r="N6427">
        <v>0</v>
      </c>
      <c r="O6427">
        <v>0.96979020000000005</v>
      </c>
      <c r="P6427">
        <v>7.7266600000000005E-2</v>
      </c>
      <c r="Q6427">
        <v>-1.4811299999999999E-2</v>
      </c>
      <c r="R6427">
        <v>0.99690040000000002</v>
      </c>
      <c r="S6427">
        <v>-0.19789119999999999</v>
      </c>
      <c r="T6427">
        <v>-0.35209040000000003</v>
      </c>
      <c r="U6427">
        <v>3.0235289999999999</v>
      </c>
      <c r="V6427">
        <v>-0.16783029999999999</v>
      </c>
      <c r="W6427">
        <v>-4.3625019999999999E-3</v>
      </c>
      <c r="X6427">
        <v>0.98580619999999997</v>
      </c>
      <c r="Y6427">
        <v>-0.30596990000000002</v>
      </c>
      <c r="Z6427">
        <v>-0.1075503</v>
      </c>
      <c r="AA6427">
        <v>0.94594679999999998</v>
      </c>
      <c r="AB6427">
        <v>28</v>
      </c>
      <c r="AC6427">
        <v>-0.68680000000000496</v>
      </c>
      <c r="AD6427">
        <v>-1.1171777649500001</v>
      </c>
      <c r="AE6427">
        <v>9.3272700000000004</v>
      </c>
      <c r="AF6427">
        <v>-2.89668611632155</v>
      </c>
      <c r="AG6427">
        <v>-1.1171777649500001</v>
      </c>
      <c r="AH6427">
        <v>8.7541489903809104</v>
      </c>
      <c r="AI6427">
        <v>96.908084923963202</v>
      </c>
      <c r="AJ6427">
        <v>108.309015128835</v>
      </c>
      <c r="AK6427">
        <v>9.2883798996798106</v>
      </c>
      <c r="AL6427">
        <v>90.249953757426198</v>
      </c>
      <c r="AM6427">
        <v>99.661785290183204</v>
      </c>
      <c r="AN6427">
        <v>0.99999995249011298</v>
      </c>
    </row>
    <row r="6428" spans="1:40" x14ac:dyDescent="0.25">
      <c r="A6428" t="str">
        <f>"20190312151657347"</f>
        <v>20190312151657347</v>
      </c>
      <c r="B6428" t="str">
        <f>"1552375017344645"</f>
        <v>1552375017344645</v>
      </c>
      <c r="C6428" t="s">
        <v>40</v>
      </c>
      <c r="D6428">
        <v>4.556565</v>
      </c>
      <c r="E6428">
        <v>0.44909979999999999</v>
      </c>
      <c r="F6428" t="s">
        <v>43</v>
      </c>
      <c r="G6428">
        <v>-189.27590000000001</v>
      </c>
      <c r="H6428" s="1">
        <v>-4.2540079999999997E-7</v>
      </c>
      <c r="I6428">
        <v>-29.67501</v>
      </c>
      <c r="J6428">
        <v>-188.49299999999999</v>
      </c>
      <c r="K6428">
        <v>1.1170979999999999</v>
      </c>
      <c r="L6428">
        <v>-40.978149999999999</v>
      </c>
      <c r="M6428">
        <v>0.23431669999999999</v>
      </c>
      <c r="N6428">
        <v>0</v>
      </c>
      <c r="O6428">
        <v>0.97206349999999997</v>
      </c>
      <c r="P6428">
        <v>6.8515140000000002E-2</v>
      </c>
      <c r="Q6428">
        <v>-1.433191E-2</v>
      </c>
      <c r="R6428">
        <v>0.99754710000000002</v>
      </c>
      <c r="S6428">
        <v>-0.1903687</v>
      </c>
      <c r="T6428">
        <v>-0.29183150000000002</v>
      </c>
      <c r="U6428">
        <v>3.0197449999999999</v>
      </c>
      <c r="V6428">
        <v>-0.16711419999999999</v>
      </c>
      <c r="W6428">
        <v>-3.8559449999999999E-3</v>
      </c>
      <c r="X6428">
        <v>0.98592999999999997</v>
      </c>
      <c r="Y6428">
        <v>-0.29475240000000003</v>
      </c>
      <c r="Z6428">
        <v>-8.9944590000000005E-2</v>
      </c>
      <c r="AA6428">
        <v>0.95133120000000004</v>
      </c>
      <c r="AB6428">
        <v>28</v>
      </c>
      <c r="AC6428">
        <v>-0.78290000000001203</v>
      </c>
      <c r="AD6428">
        <v>-1.1170984254007901</v>
      </c>
      <c r="AE6428">
        <v>11.303140000000001</v>
      </c>
      <c r="AF6428">
        <v>-3.3770361196262999</v>
      </c>
      <c r="AG6428">
        <v>-1.1170984254007901</v>
      </c>
      <c r="AH6428">
        <v>10.700917805145499</v>
      </c>
      <c r="AI6428">
        <v>95.685235054020495</v>
      </c>
      <c r="AJ6428">
        <v>107.51485120251699</v>
      </c>
      <c r="AK6428">
        <v>11.276609584346501</v>
      </c>
      <c r="AL6428">
        <v>90.220929923221902</v>
      </c>
      <c r="AM6428">
        <v>99.620146978643703</v>
      </c>
      <c r="AN6428">
        <v>0.99999999452674104</v>
      </c>
    </row>
    <row r="6429" spans="1:40" x14ac:dyDescent="0.25">
      <c r="A6429" t="str">
        <f>"20190312151657370"</f>
        <v>20190312151657370</v>
      </c>
      <c r="B6429" t="str">
        <f>"1552375017364166"</f>
        <v>1552375017364166</v>
      </c>
      <c r="C6429" t="s">
        <v>40</v>
      </c>
      <c r="D6429">
        <v>4.5717650000000001</v>
      </c>
      <c r="E6429">
        <v>0.44970359999999998</v>
      </c>
      <c r="F6429" t="s">
        <v>43</v>
      </c>
      <c r="G6429">
        <v>-189.25819999999999</v>
      </c>
      <c r="H6429" s="1">
        <v>-2.9485480000000002E-7</v>
      </c>
      <c r="I6429">
        <v>-30.0655</v>
      </c>
      <c r="J6429">
        <v>-188.4384</v>
      </c>
      <c r="K6429">
        <v>1.116994</v>
      </c>
      <c r="L6429">
        <v>-40.706940000000003</v>
      </c>
      <c r="M6429">
        <v>0.22468969999999999</v>
      </c>
      <c r="N6429">
        <v>0</v>
      </c>
      <c r="O6429">
        <v>0.97433409999999998</v>
      </c>
      <c r="P6429">
        <v>5.9442090000000003E-2</v>
      </c>
      <c r="Q6429">
        <v>-1.4836E-2</v>
      </c>
      <c r="R6429">
        <v>0.99812149999999999</v>
      </c>
      <c r="S6429">
        <v>-0.2115784</v>
      </c>
      <c r="T6429">
        <v>-0.30888890000000002</v>
      </c>
      <c r="U6429">
        <v>3.0174560000000001</v>
      </c>
      <c r="V6429">
        <v>-0.16631560000000001</v>
      </c>
      <c r="W6429">
        <v>-4.324947E-3</v>
      </c>
      <c r="X6429">
        <v>0.98606309999999997</v>
      </c>
      <c r="Y6429">
        <v>-0.2919638</v>
      </c>
      <c r="Z6429">
        <v>-9.5588279999999998E-2</v>
      </c>
      <c r="AA6429">
        <v>0.95164070000000001</v>
      </c>
      <c r="AB6429">
        <v>28</v>
      </c>
      <c r="AC6429">
        <v>-0.81979999999998598</v>
      </c>
      <c r="AD6429">
        <v>-1.1169942948548</v>
      </c>
      <c r="AE6429">
        <v>10.641439999999999</v>
      </c>
      <c r="AF6429">
        <v>-3.15551805946459</v>
      </c>
      <c r="AG6429">
        <v>-1.1169942948548</v>
      </c>
      <c r="AH6429">
        <v>10.074724669616099</v>
      </c>
      <c r="AI6429">
        <v>96.039576267055494</v>
      </c>
      <c r="AJ6429">
        <v>107.39114808074</v>
      </c>
      <c r="AK6429">
        <v>10.6162633561398</v>
      </c>
      <c r="AL6429">
        <v>90.247801979630694</v>
      </c>
      <c r="AM6429">
        <v>99.573759153979793</v>
      </c>
      <c r="AN6429">
        <v>1.00000001057576</v>
      </c>
    </row>
    <row r="6430" spans="1:40" x14ac:dyDescent="0.25">
      <c r="A6430" t="str">
        <f>"20190312151657391"</f>
        <v>20190312151657391</v>
      </c>
      <c r="B6430" t="str">
        <f>"1552375017384661"</f>
        <v>1552375017384661</v>
      </c>
      <c r="C6430" t="s">
        <v>40</v>
      </c>
      <c r="D6430">
        <v>4.5646890000000004</v>
      </c>
      <c r="E6430">
        <v>0.45014599999999999</v>
      </c>
      <c r="F6430" t="s">
        <v>43</v>
      </c>
      <c r="G6430">
        <v>-189.2569</v>
      </c>
      <c r="H6430" s="1">
        <v>-2.5610070000000002E-7</v>
      </c>
      <c r="I6430">
        <v>-30.18037</v>
      </c>
      <c r="J6430">
        <v>-188.38730000000001</v>
      </c>
      <c r="K6430">
        <v>1.116868</v>
      </c>
      <c r="L6430">
        <v>-40.439819999999997</v>
      </c>
      <c r="M6430">
        <v>0.21536379999999999</v>
      </c>
      <c r="N6430">
        <v>0</v>
      </c>
      <c r="O6430">
        <v>0.97643820000000003</v>
      </c>
      <c r="P6430">
        <v>5.0892050000000001E-2</v>
      </c>
      <c r="Q6430">
        <v>-1.612421E-2</v>
      </c>
      <c r="R6430">
        <v>0.99857399999999996</v>
      </c>
      <c r="S6430">
        <v>-0.23440549999999999</v>
      </c>
      <c r="T6430">
        <v>-0.3199128</v>
      </c>
      <c r="U6430">
        <v>3.0148619999999999</v>
      </c>
      <c r="V6430">
        <v>-0.16530690000000001</v>
      </c>
      <c r="W6430">
        <v>-5.5680390000000003E-3</v>
      </c>
      <c r="X6430">
        <v>0.98622639999999995</v>
      </c>
      <c r="Y6430">
        <v>-0.29001369999999999</v>
      </c>
      <c r="Z6430">
        <v>-9.9382860000000003E-2</v>
      </c>
      <c r="AA6430">
        <v>0.95184829999999998</v>
      </c>
      <c r="AB6430">
        <v>28</v>
      </c>
      <c r="AC6430">
        <v>-0.86959999999999105</v>
      </c>
      <c r="AD6430">
        <v>-1.1168682561007</v>
      </c>
      <c r="AE6430">
        <v>10.259449999999999</v>
      </c>
      <c r="AF6430">
        <v>-3.02333658293955</v>
      </c>
      <c r="AG6430">
        <v>-1.1168682561007</v>
      </c>
      <c r="AH6430">
        <v>9.71702199902907</v>
      </c>
      <c r="AI6430">
        <v>96.263132987329698</v>
      </c>
      <c r="AJ6430">
        <v>107.282912658402</v>
      </c>
      <c r="AK6430">
        <v>10.237601053217499</v>
      </c>
      <c r="AL6430">
        <v>90.319026801482707</v>
      </c>
      <c r="AM6430">
        <v>99.5152127904786</v>
      </c>
      <c r="AN6430">
        <v>0.99999994315143603</v>
      </c>
    </row>
    <row r="6431" spans="1:40" x14ac:dyDescent="0.25">
      <c r="A6431" t="str">
        <f>"20190312151657414"</f>
        <v>20190312151657414</v>
      </c>
      <c r="B6431" t="str">
        <f>"1552375017404181"</f>
        <v>1552375017404181</v>
      </c>
      <c r="C6431" t="s">
        <v>40</v>
      </c>
      <c r="D6431">
        <v>4.5794980000000001</v>
      </c>
      <c r="E6431">
        <v>0.45052370000000003</v>
      </c>
      <c r="F6431" t="s">
        <v>43</v>
      </c>
      <c r="G6431">
        <v>-189.2604</v>
      </c>
      <c r="H6431" s="1">
        <v>-2.5076149999999999E-7</v>
      </c>
      <c r="I6431">
        <v>-30.19331</v>
      </c>
      <c r="J6431">
        <v>-188.3373</v>
      </c>
      <c r="K6431">
        <v>1.116711</v>
      </c>
      <c r="L6431">
        <v>-40.165590000000002</v>
      </c>
      <c r="M6431">
        <v>0.2059909</v>
      </c>
      <c r="N6431">
        <v>0</v>
      </c>
      <c r="O6431">
        <v>0.97845879999999996</v>
      </c>
      <c r="P6431">
        <v>4.2706149999999998E-2</v>
      </c>
      <c r="Q6431">
        <v>-1.6247190000000002E-2</v>
      </c>
      <c r="R6431">
        <v>0.9989555</v>
      </c>
      <c r="S6431">
        <v>-0.25666810000000001</v>
      </c>
      <c r="T6431">
        <v>-0.32831359999999998</v>
      </c>
      <c r="U6431">
        <v>3.012054</v>
      </c>
      <c r="V6431">
        <v>-0.16393160000000001</v>
      </c>
      <c r="W6431">
        <v>-5.6369810000000001E-3</v>
      </c>
      <c r="X6431">
        <v>0.98645559999999999</v>
      </c>
      <c r="Y6431">
        <v>-0.28786919999999999</v>
      </c>
      <c r="Z6431">
        <v>-0.1023887</v>
      </c>
      <c r="AA6431">
        <v>0.95218060000000004</v>
      </c>
      <c r="AB6431">
        <v>28</v>
      </c>
      <c r="AC6431">
        <v>-0.92310000000000503</v>
      </c>
      <c r="AD6431">
        <v>-1.1167112507615</v>
      </c>
      <c r="AE6431">
        <v>9.9722799999999996</v>
      </c>
      <c r="AF6431">
        <v>-2.9213671952815399</v>
      </c>
      <c r="AG6431">
        <v>-1.1167112507615</v>
      </c>
      <c r="AH6431">
        <v>9.4507017256142003</v>
      </c>
      <c r="AI6431">
        <v>96.440920560951596</v>
      </c>
      <c r="AJ6431">
        <v>107.17723842401</v>
      </c>
      <c r="AK6431">
        <v>9.9547573257097302</v>
      </c>
      <c r="AL6431">
        <v>90.322976931650103</v>
      </c>
      <c r="AM6431">
        <v>99.435325868997595</v>
      </c>
      <c r="AN6431">
        <v>0.99999999790235705</v>
      </c>
    </row>
    <row r="6432" spans="1:40" x14ac:dyDescent="0.25">
      <c r="A6432" t="str">
        <f>"20190312151657439"</f>
        <v>20190312151657439</v>
      </c>
      <c r="B6432" t="str">
        <f>"1552375017434437"</f>
        <v>1552375017434437</v>
      </c>
      <c r="C6432" t="s">
        <v>40</v>
      </c>
      <c r="D6432">
        <v>4.5241819999999997</v>
      </c>
      <c r="E6432">
        <v>0.47926540000000001</v>
      </c>
      <c r="F6432" t="s">
        <v>43</v>
      </c>
      <c r="G6432">
        <v>-189.27440000000001</v>
      </c>
      <c r="H6432" s="1">
        <v>-3.0428880000000002E-7</v>
      </c>
      <c r="I6432">
        <v>-30.02506</v>
      </c>
      <c r="J6432">
        <v>-188.28559999999999</v>
      </c>
      <c r="K6432">
        <v>1.116525</v>
      </c>
      <c r="L6432">
        <v>-39.864750000000001</v>
      </c>
      <c r="M6432">
        <v>0.1959785</v>
      </c>
      <c r="N6432">
        <v>0</v>
      </c>
      <c r="O6432">
        <v>0.98051390000000005</v>
      </c>
      <c r="P6432">
        <v>3.3259339999999998E-2</v>
      </c>
      <c r="Q6432">
        <v>-1.5835370000000001E-2</v>
      </c>
      <c r="R6432">
        <v>0.99932129999999997</v>
      </c>
      <c r="S6432">
        <v>-0.27812189999999998</v>
      </c>
      <c r="T6432">
        <v>-0.33143260000000002</v>
      </c>
      <c r="U6432">
        <v>3.0096440000000002</v>
      </c>
      <c r="V6432">
        <v>-0.163185</v>
      </c>
      <c r="W6432">
        <v>-5.1815230000000004E-3</v>
      </c>
      <c r="X6432">
        <v>0.98658190000000001</v>
      </c>
      <c r="Y6432">
        <v>-0.28486739999999999</v>
      </c>
      <c r="Z6432">
        <v>-0.1037849</v>
      </c>
      <c r="AA6432">
        <v>0.95293190000000005</v>
      </c>
      <c r="AB6432">
        <v>28</v>
      </c>
      <c r="AC6432">
        <v>-0.98880000000002599</v>
      </c>
      <c r="AD6432">
        <v>-1.1165253042887999</v>
      </c>
      <c r="AE6432">
        <v>9.8396899999999992</v>
      </c>
      <c r="AF6432">
        <v>-2.8616896290827798</v>
      </c>
      <c r="AG6432">
        <v>-1.1165253042887999</v>
      </c>
      <c r="AH6432">
        <v>9.3360363526485592</v>
      </c>
      <c r="AI6432">
        <v>96.522992812269194</v>
      </c>
      <c r="AJ6432">
        <v>107.04139320150399</v>
      </c>
      <c r="AK6432">
        <v>9.8284012467080597</v>
      </c>
      <c r="AL6432">
        <v>90.296880722198196</v>
      </c>
      <c r="AM6432">
        <v>99.391940670119993</v>
      </c>
      <c r="AN6432">
        <v>1.0000000189066001</v>
      </c>
    </row>
    <row r="6433" spans="1:40" x14ac:dyDescent="0.25">
      <c r="A6433" t="str">
        <f>"20190312151657459"</f>
        <v>20190312151657459</v>
      </c>
      <c r="B6433" t="str">
        <f>"1552375017453957"</f>
        <v>1552375017453957</v>
      </c>
      <c r="C6433" t="s">
        <v>40</v>
      </c>
      <c r="D6433">
        <v>4.5296419999999999</v>
      </c>
      <c r="E6433">
        <v>0.48182989999999998</v>
      </c>
      <c r="F6433" t="s">
        <v>43</v>
      </c>
      <c r="G6433">
        <v>-188.637</v>
      </c>
      <c r="H6433" s="1">
        <v>-2.3841920000000002E-6</v>
      </c>
      <c r="I6433">
        <v>-25.373180000000001</v>
      </c>
      <c r="J6433">
        <v>-188.24459999999999</v>
      </c>
      <c r="K6433">
        <v>1.1163689999999999</v>
      </c>
      <c r="L6433">
        <v>-39.614750000000001</v>
      </c>
      <c r="M6433">
        <v>0.18783530000000001</v>
      </c>
      <c r="N6433">
        <v>0</v>
      </c>
      <c r="O6433">
        <v>0.9821069</v>
      </c>
      <c r="P6433">
        <v>2.624015E-2</v>
      </c>
      <c r="Q6433">
        <v>-1.6781040000000001E-2</v>
      </c>
      <c r="R6433">
        <v>0.99951480000000004</v>
      </c>
      <c r="S6433">
        <v>-7.2769169999999994E-2</v>
      </c>
      <c r="T6433">
        <v>-0.2312013</v>
      </c>
      <c r="U6433">
        <v>3.0007929999999998</v>
      </c>
      <c r="V6433">
        <v>-0.16190959999999999</v>
      </c>
      <c r="W6433">
        <v>-6.0827169999999996E-3</v>
      </c>
      <c r="X6433">
        <v>0.98678679999999996</v>
      </c>
      <c r="Y6433">
        <v>-0.2115348</v>
      </c>
      <c r="Z6433">
        <v>-7.3887869999999994E-2</v>
      </c>
      <c r="AA6433">
        <v>0.97457360000000004</v>
      </c>
      <c r="AB6433">
        <v>28</v>
      </c>
      <c r="AC6433">
        <v>-0.39240000000000902</v>
      </c>
      <c r="AD6433">
        <v>-1.116371384192</v>
      </c>
      <c r="AE6433">
        <v>14.241569999999999</v>
      </c>
      <c r="AF6433">
        <v>-3.0420514694907501</v>
      </c>
      <c r="AG6433">
        <v>-1.116371384192</v>
      </c>
      <c r="AH6433">
        <v>13.829404065415</v>
      </c>
      <c r="AI6433">
        <v>94.507852618483199</v>
      </c>
      <c r="AJ6433">
        <v>102.405768947876</v>
      </c>
      <c r="AK6433">
        <v>14.2039705369657</v>
      </c>
      <c r="AL6433">
        <v>90.348516177509097</v>
      </c>
      <c r="AM6433">
        <v>99.317927999246905</v>
      </c>
      <c r="AN6433">
        <v>0.99999995333625002</v>
      </c>
    </row>
    <row r="6434" spans="1:40" x14ac:dyDescent="0.25">
      <c r="A6434" t="str">
        <f>"20190312151657482"</f>
        <v>20190312151657482</v>
      </c>
      <c r="B6434" t="str">
        <f>"1552375017474453"</f>
        <v>1552375017474453</v>
      </c>
      <c r="C6434" t="s">
        <v>40</v>
      </c>
      <c r="D6434">
        <v>4.6781779999999999</v>
      </c>
      <c r="E6434">
        <v>0.48101519999999998</v>
      </c>
      <c r="F6434" t="s">
        <v>43</v>
      </c>
      <c r="G6434">
        <v>-188.5984</v>
      </c>
      <c r="H6434" s="1">
        <v>-2.5433639999999999E-6</v>
      </c>
      <c r="I6434">
        <v>-25.018129999999999</v>
      </c>
      <c r="J6434">
        <v>-188.2029</v>
      </c>
      <c r="K6434">
        <v>1.1161909999999999</v>
      </c>
      <c r="L6434">
        <v>-39.346710000000002</v>
      </c>
      <c r="M6434">
        <v>0.1793196</v>
      </c>
      <c r="N6434">
        <v>0</v>
      </c>
      <c r="O6434">
        <v>0.98369810000000002</v>
      </c>
      <c r="P6434">
        <v>1.9925640000000001E-2</v>
      </c>
      <c r="Q6434">
        <v>-1.9077429999999999E-2</v>
      </c>
      <c r="R6434">
        <v>0.99961940000000005</v>
      </c>
      <c r="S6434">
        <v>-7.2692870000000007E-2</v>
      </c>
      <c r="T6434">
        <v>-0.2294071</v>
      </c>
      <c r="U6434">
        <v>2.9995120000000002</v>
      </c>
      <c r="V6434">
        <v>-0.15955150000000001</v>
      </c>
      <c r="W6434">
        <v>-8.3177019999999997E-3</v>
      </c>
      <c r="X6434">
        <v>0.98715450000000005</v>
      </c>
      <c r="Y6434">
        <v>-0.20304610000000001</v>
      </c>
      <c r="Z6434">
        <v>-7.3599490000000004E-2</v>
      </c>
      <c r="AA6434">
        <v>0.97639920000000002</v>
      </c>
      <c r="AB6434">
        <v>28</v>
      </c>
      <c r="AC6434">
        <v>-0.39549999999999802</v>
      </c>
      <c r="AD6434">
        <v>-1.116193543364</v>
      </c>
      <c r="AE6434">
        <v>14.328579999999899</v>
      </c>
      <c r="AF6434">
        <v>-2.9408850520983001</v>
      </c>
      <c r="AG6434">
        <v>-1.116193543364</v>
      </c>
      <c r="AH6434">
        <v>13.9408223056335</v>
      </c>
      <c r="AI6434">
        <v>94.479535374283302</v>
      </c>
      <c r="AJ6434">
        <v>101.912170994809</v>
      </c>
      <c r="AK6434">
        <v>14.2912987329057</v>
      </c>
      <c r="AL6434">
        <v>90.476574745649003</v>
      </c>
      <c r="AM6434">
        <v>99.181185585219595</v>
      </c>
      <c r="AN6434">
        <v>0.99999993609452797</v>
      </c>
    </row>
    <row r="6435" spans="1:40" x14ac:dyDescent="0.25">
      <c r="A6435" t="str">
        <f>"20190312151657503"</f>
        <v>20190312151657503</v>
      </c>
      <c r="B6435" t="str">
        <f>"1552375017493973"</f>
        <v>1552375017493973</v>
      </c>
      <c r="C6435" t="s">
        <v>40</v>
      </c>
      <c r="D6435">
        <v>4.7919679999999998</v>
      </c>
      <c r="E6435">
        <v>0.48206500000000002</v>
      </c>
      <c r="F6435" t="s">
        <v>43</v>
      </c>
      <c r="G6435">
        <v>-188.67169999999999</v>
      </c>
      <c r="H6435" s="1">
        <v>-2.539049E-6</v>
      </c>
      <c r="I6435">
        <v>-24.99785</v>
      </c>
      <c r="J6435">
        <v>-188.1644</v>
      </c>
      <c r="K6435">
        <v>1.1160129999999999</v>
      </c>
      <c r="L6435">
        <v>-39.086849999999998</v>
      </c>
      <c r="M6435">
        <v>0.17129900000000001</v>
      </c>
      <c r="N6435">
        <v>0</v>
      </c>
      <c r="O6435">
        <v>0.98512710000000003</v>
      </c>
      <c r="P6435">
        <v>1.50014E-2</v>
      </c>
      <c r="Q6435">
        <v>-1.9594670000000002E-2</v>
      </c>
      <c r="R6435">
        <v>0.99969549999999996</v>
      </c>
      <c r="S6435">
        <v>-9.7976679999999997E-2</v>
      </c>
      <c r="T6435">
        <v>-0.23326469999999999</v>
      </c>
      <c r="U6435">
        <v>2.9986570000000001</v>
      </c>
      <c r="V6435">
        <v>-0.15636429999999901</v>
      </c>
      <c r="W6435">
        <v>-8.7618560000000002E-3</v>
      </c>
      <c r="X6435">
        <v>0.9876606</v>
      </c>
      <c r="Y6435">
        <v>-0.2032977</v>
      </c>
      <c r="Z6435">
        <v>-7.5005699999999995E-2</v>
      </c>
      <c r="AA6435">
        <v>0.97623979999999999</v>
      </c>
      <c r="AB6435">
        <v>28</v>
      </c>
      <c r="AC6435">
        <v>-0.50729999999998598</v>
      </c>
      <c r="AD6435">
        <v>-1.1160155390490001</v>
      </c>
      <c r="AE6435">
        <v>14.089</v>
      </c>
      <c r="AF6435">
        <v>-2.89530750418557</v>
      </c>
      <c r="AG6435">
        <v>-1.1160155390490001</v>
      </c>
      <c r="AH6435">
        <v>13.707906749869</v>
      </c>
      <c r="AI6435">
        <v>94.5543697204929</v>
      </c>
      <c r="AJ6435">
        <v>101.92640475811299</v>
      </c>
      <c r="AK6435">
        <v>14.054714642791399</v>
      </c>
      <c r="AL6435">
        <v>90.502023786712996</v>
      </c>
      <c r="AM6435">
        <v>98.996277831254801</v>
      </c>
      <c r="AN6435">
        <v>1.0000000126137001</v>
      </c>
    </row>
    <row r="6436" spans="1:40" x14ac:dyDescent="0.25">
      <c r="A6436" t="str">
        <f>"20190312151657528"</f>
        <v>20190312151657528</v>
      </c>
      <c r="B6436" t="str">
        <f>"1552375017524229"</f>
        <v>1552375017524229</v>
      </c>
      <c r="C6436" t="s">
        <v>40</v>
      </c>
      <c r="D6436">
        <v>4.6246720000000003</v>
      </c>
      <c r="E6436">
        <v>0.48357339999999999</v>
      </c>
      <c r="F6436" t="s">
        <v>43</v>
      </c>
      <c r="G6436">
        <v>-188.69739999999999</v>
      </c>
      <c r="H6436" s="1">
        <v>-3.0842940000000001E-6</v>
      </c>
      <c r="I6436">
        <v>-23.716270000000002</v>
      </c>
      <c r="J6436">
        <v>-188.12360000000001</v>
      </c>
      <c r="K6436">
        <v>1.115799</v>
      </c>
      <c r="L6436">
        <v>-38.796259999999997</v>
      </c>
      <c r="M6436">
        <v>0.1626271</v>
      </c>
      <c r="N6436">
        <v>0</v>
      </c>
      <c r="O6436">
        <v>0.98659660000000005</v>
      </c>
      <c r="P6436">
        <v>9.3547779999999994E-3</v>
      </c>
      <c r="Q6436">
        <v>-1.86261E-2</v>
      </c>
      <c r="R6436">
        <v>0.99978270000000002</v>
      </c>
      <c r="S6436">
        <v>-0.1039581</v>
      </c>
      <c r="T6436">
        <v>-0.2176911</v>
      </c>
      <c r="U6436">
        <v>2.9981990000000001</v>
      </c>
      <c r="V6436">
        <v>-0.15327639999999901</v>
      </c>
      <c r="W6436">
        <v>-7.7218669999999899E-3</v>
      </c>
      <c r="X6436">
        <v>0.98815319999999995</v>
      </c>
      <c r="Y6436">
        <v>-0.1966444</v>
      </c>
      <c r="Z6436">
        <v>-7.0241979999999996E-2</v>
      </c>
      <c r="AA6436">
        <v>0.97795549999999998</v>
      </c>
      <c r="AB6436">
        <v>28</v>
      </c>
      <c r="AC6436">
        <v>-0.573799999999977</v>
      </c>
      <c r="AD6436">
        <v>-1.115802084294</v>
      </c>
      <c r="AE6436">
        <v>15.079989999999899</v>
      </c>
      <c r="AF6436">
        <v>-3.0023814098421102</v>
      </c>
      <c r="AG6436">
        <v>-1.115802084294</v>
      </c>
      <c r="AH6436">
        <v>14.7054851512277</v>
      </c>
      <c r="AI6436">
        <v>94.251715412447297</v>
      </c>
      <c r="AJ6436">
        <v>101.539340966409</v>
      </c>
      <c r="AK6436">
        <v>15.050269165515299</v>
      </c>
      <c r="AL6436">
        <v>90.4424347796473</v>
      </c>
      <c r="AM6436">
        <v>98.817111608660895</v>
      </c>
      <c r="AN6436">
        <v>1.0000000143485801</v>
      </c>
    </row>
    <row r="6437" spans="1:40" x14ac:dyDescent="0.25">
      <c r="A6437" t="str">
        <f>"20190312151657548"</f>
        <v>20190312151657548</v>
      </c>
      <c r="B6437" t="str">
        <f>"1552375017543749"</f>
        <v>1552375017543749</v>
      </c>
      <c r="C6437" t="s">
        <v>40</v>
      </c>
      <c r="D6437">
        <v>4.7816400000000003</v>
      </c>
      <c r="E6437">
        <v>0.48411270000000001</v>
      </c>
      <c r="F6437" t="s">
        <v>43</v>
      </c>
      <c r="G6437">
        <v>-188.7099</v>
      </c>
      <c r="H6437" s="1">
        <v>-3.578726E-6</v>
      </c>
      <c r="I6437">
        <v>-22.558540000000001</v>
      </c>
      <c r="J6437">
        <v>-188.08959999999999</v>
      </c>
      <c r="K6437">
        <v>1.1155820000000001</v>
      </c>
      <c r="L6437">
        <v>-38.540860000000002</v>
      </c>
      <c r="M6437">
        <v>0.15528749999999999</v>
      </c>
      <c r="N6437">
        <v>0</v>
      </c>
      <c r="O6437">
        <v>0.98777930000000003</v>
      </c>
      <c r="P6437">
        <v>4.8476669999999999E-3</v>
      </c>
      <c r="Q6437">
        <v>-1.838731E-2</v>
      </c>
      <c r="R6437">
        <v>0.99981920000000002</v>
      </c>
      <c r="S6437">
        <v>-0.1082458</v>
      </c>
      <c r="T6437">
        <v>-0.20600099999999999</v>
      </c>
      <c r="U6437">
        <v>2.997833</v>
      </c>
      <c r="V6437">
        <v>-0.15039140000000001</v>
      </c>
      <c r="W6437">
        <v>-7.4183919999999898E-3</v>
      </c>
      <c r="X6437">
        <v>0.98859870000000005</v>
      </c>
      <c r="Y6437">
        <v>-0.1907623</v>
      </c>
      <c r="Z6437">
        <v>-6.6655839999999994E-2</v>
      </c>
      <c r="AA6437">
        <v>0.97937059999999998</v>
      </c>
      <c r="AB6437">
        <v>28</v>
      </c>
      <c r="AC6437">
        <v>-0.62030000000001395</v>
      </c>
      <c r="AD6437">
        <v>-1.1155855787260001</v>
      </c>
      <c r="AE6437">
        <v>15.9823199999999</v>
      </c>
      <c r="AF6437">
        <v>-3.07986604443481</v>
      </c>
      <c r="AG6437">
        <v>-1.1155855787260001</v>
      </c>
      <c r="AH6437">
        <v>15.6161049511598</v>
      </c>
      <c r="AI6437">
        <v>94.009192372351507</v>
      </c>
      <c r="AJ6437">
        <v>101.156899111089</v>
      </c>
      <c r="AK6437">
        <v>15.9559656517793</v>
      </c>
      <c r="AL6437">
        <v>90.425046451981501</v>
      </c>
      <c r="AM6437">
        <v>98.649849294813194</v>
      </c>
      <c r="AN6437">
        <v>0.99999999768775705</v>
      </c>
    </row>
    <row r="6438" spans="1:40" x14ac:dyDescent="0.25">
      <c r="A6438" t="str">
        <f>"20190312151657570"</f>
        <v>20190312151657570</v>
      </c>
      <c r="B6438" t="str">
        <f>"1552375017564245"</f>
        <v>1552375017564245</v>
      </c>
      <c r="C6438" t="s">
        <v>40</v>
      </c>
      <c r="D6438">
        <v>4.4650280000000002</v>
      </c>
      <c r="E6438">
        <v>0.48497479999999998</v>
      </c>
      <c r="F6438" t="s">
        <v>43</v>
      </c>
      <c r="G6438">
        <v>-188.7456</v>
      </c>
      <c r="H6438" s="1">
        <v>-3.9144040000000003E-6</v>
      </c>
      <c r="I6438">
        <v>-21.761330000000001</v>
      </c>
      <c r="J6438">
        <v>-188.05600000000001</v>
      </c>
      <c r="K6438">
        <v>1.1153409999999999</v>
      </c>
      <c r="L6438">
        <v>-38.275449999999999</v>
      </c>
      <c r="M6438">
        <v>0.1479597</v>
      </c>
      <c r="N6438">
        <v>0</v>
      </c>
      <c r="O6438">
        <v>0.98890440000000002</v>
      </c>
      <c r="P6438">
        <v>1.284987E-3</v>
      </c>
      <c r="Q6438">
        <v>-1.8827880000000002E-2</v>
      </c>
      <c r="R6438">
        <v>0.99982190000000004</v>
      </c>
      <c r="S6438">
        <v>-0.1171722</v>
      </c>
      <c r="T6438">
        <v>-0.1992843</v>
      </c>
      <c r="U6438">
        <v>2.9974370000000001</v>
      </c>
      <c r="V6438">
        <v>-0.14658009999999999</v>
      </c>
      <c r="W6438">
        <v>-7.7782980000000003E-3</v>
      </c>
      <c r="X6438">
        <v>0.98916820000000005</v>
      </c>
      <c r="Y6438">
        <v>-0.1864053</v>
      </c>
      <c r="Z6438">
        <v>-6.463663E-2</v>
      </c>
      <c r="AA6438">
        <v>0.9803444</v>
      </c>
      <c r="AB6438">
        <v>28</v>
      </c>
      <c r="AC6438">
        <v>-0.68960000000001198</v>
      </c>
      <c r="AD6438">
        <v>-1.115344914404</v>
      </c>
      <c r="AE6438">
        <v>16.514119999999998</v>
      </c>
      <c r="AF6438">
        <v>-3.1114795051939201</v>
      </c>
      <c r="AG6438">
        <v>-1.115344914404</v>
      </c>
      <c r="AH6438">
        <v>16.156710849517498</v>
      </c>
      <c r="AI6438">
        <v>93.877995247146501</v>
      </c>
      <c r="AJ6438">
        <v>100.90064078627</v>
      </c>
      <c r="AK6438">
        <v>16.491349382759601</v>
      </c>
      <c r="AL6438">
        <v>90.445668151145398</v>
      </c>
      <c r="AM6438">
        <v>98.429047037868699</v>
      </c>
      <c r="AN6438">
        <v>0.99999997776351301</v>
      </c>
    </row>
    <row r="6439" spans="1:40" x14ac:dyDescent="0.25">
      <c r="A6439" t="str">
        <f>"20190312151657594"</f>
        <v>20190312151657594</v>
      </c>
      <c r="B6439" t="str">
        <f>"1552375017584742"</f>
        <v>1552375017584742</v>
      </c>
      <c r="C6439" t="s">
        <v>40</v>
      </c>
      <c r="D6439">
        <v>4.4754239999999896</v>
      </c>
      <c r="E6439">
        <v>0.48568030000000001</v>
      </c>
      <c r="F6439" t="s">
        <v>43</v>
      </c>
      <c r="G6439">
        <v>-188.73079999999999</v>
      </c>
      <c r="H6439" s="1">
        <v>-4.0121509999999996E-6</v>
      </c>
      <c r="I6439">
        <v>-21.539580000000001</v>
      </c>
      <c r="J6439">
        <v>-188.02109999999999</v>
      </c>
      <c r="K6439">
        <v>1.115049</v>
      </c>
      <c r="L6439">
        <v>-37.984920000000002</v>
      </c>
      <c r="M6439">
        <v>0.14031640000000001</v>
      </c>
      <c r="N6439">
        <v>0</v>
      </c>
      <c r="O6439">
        <v>0.99001899999999998</v>
      </c>
      <c r="P6439">
        <v>-2.1303509999999999E-3</v>
      </c>
      <c r="Q6439">
        <v>-1.956478E-2</v>
      </c>
      <c r="R6439">
        <v>0.99980630000000004</v>
      </c>
      <c r="S6439">
        <v>-0.12083439999999999</v>
      </c>
      <c r="T6439">
        <v>-0.1997265</v>
      </c>
      <c r="U6439">
        <v>2.996918</v>
      </c>
      <c r="V6439">
        <v>-0.14230979999999999</v>
      </c>
      <c r="W6439">
        <v>-8.4342410000000003E-3</v>
      </c>
      <c r="X6439">
        <v>0.98978619999999995</v>
      </c>
      <c r="Y6439">
        <v>-0.18001449999999999</v>
      </c>
      <c r="Z6439">
        <v>-6.4939659999999996E-2</v>
      </c>
      <c r="AA6439">
        <v>0.981518</v>
      </c>
      <c r="AB6439">
        <v>28</v>
      </c>
      <c r="AC6439">
        <v>-0.709699999999997</v>
      </c>
      <c r="AD6439">
        <v>-1.1150530121510001</v>
      </c>
      <c r="AE6439">
        <v>16.445340000000002</v>
      </c>
      <c r="AF6439">
        <v>-2.9966777427039601</v>
      </c>
      <c r="AG6439">
        <v>-1.1150530121510001</v>
      </c>
      <c r="AH6439">
        <v>16.109100844926001</v>
      </c>
      <c r="AI6439">
        <v>93.893054833628</v>
      </c>
      <c r="AJ6439">
        <v>100.537931440237</v>
      </c>
      <c r="AK6439">
        <v>16.4233538214799</v>
      </c>
      <c r="AL6439">
        <v>90.483252157431394</v>
      </c>
      <c r="AM6439">
        <v>98.181819812036096</v>
      </c>
      <c r="AN6439">
        <v>0.99999996865386198</v>
      </c>
    </row>
    <row r="6440" spans="1:40" x14ac:dyDescent="0.25">
      <c r="A6440" t="str">
        <f>"20190312151657614"</f>
        <v>20190312151657614</v>
      </c>
      <c r="B6440" t="str">
        <f>"1552375017604261"</f>
        <v>1552375017604261</v>
      </c>
      <c r="C6440" t="s">
        <v>40</v>
      </c>
      <c r="D6440">
        <v>4.4556950000000004</v>
      </c>
      <c r="E6440">
        <v>0.48613659999999997</v>
      </c>
      <c r="F6440" t="s">
        <v>43</v>
      </c>
      <c r="G6440">
        <v>-188.74010000000001</v>
      </c>
      <c r="H6440" s="1">
        <v>-4.3329999999999998E-6</v>
      </c>
      <c r="I6440">
        <v>-20.787839999999999</v>
      </c>
      <c r="J6440">
        <v>-187.9923</v>
      </c>
      <c r="K6440">
        <v>1.114776</v>
      </c>
      <c r="L6440">
        <v>-37.732640000000004</v>
      </c>
      <c r="M6440">
        <v>0.1340336</v>
      </c>
      <c r="N6440">
        <v>0</v>
      </c>
      <c r="O6440">
        <v>0.9908903</v>
      </c>
      <c r="P6440">
        <v>-4.064387E-3</v>
      </c>
      <c r="Q6440">
        <v>-2.020477E-2</v>
      </c>
      <c r="R6440">
        <v>0.9997876</v>
      </c>
      <c r="S6440">
        <v>-0.12527469999999999</v>
      </c>
      <c r="T6440">
        <v>-0.19429350000000001</v>
      </c>
      <c r="U6440">
        <v>2.996521</v>
      </c>
      <c r="V6440">
        <v>-0.13794020000000001</v>
      </c>
      <c r="W6440">
        <v>-9.006923E-3</v>
      </c>
      <c r="X6440">
        <v>0.99039960000000005</v>
      </c>
      <c r="Y6440">
        <v>-0.17523469999999999</v>
      </c>
      <c r="Z6440">
        <v>-6.3299400000000006E-2</v>
      </c>
      <c r="AA6440">
        <v>0.98248970000000002</v>
      </c>
      <c r="AB6440">
        <v>28</v>
      </c>
      <c r="AC6440">
        <v>-0.74780000000001201</v>
      </c>
      <c r="AD6440">
        <v>-1.1147803329999999</v>
      </c>
      <c r="AE6440">
        <v>16.944800000000001</v>
      </c>
      <c r="AF6440">
        <v>-2.9994615121431298</v>
      </c>
      <c r="AG6440">
        <v>-1.1147803329999999</v>
      </c>
      <c r="AH6440">
        <v>16.619844309354999</v>
      </c>
      <c r="AI6440">
        <v>93.776551532199903</v>
      </c>
      <c r="AJ6440">
        <v>100.230316598437</v>
      </c>
      <c r="AK6440">
        <v>16.925091710855501</v>
      </c>
      <c r="AL6440">
        <v>90.516065654360105</v>
      </c>
      <c r="AM6440">
        <v>97.9289957092452</v>
      </c>
      <c r="AN6440">
        <v>0.99999999555906405</v>
      </c>
    </row>
    <row r="6441" spans="1:40" x14ac:dyDescent="0.25">
      <c r="A6441" t="str">
        <f>"20190312151657641"</f>
        <v>20190312151657641</v>
      </c>
      <c r="B6441" t="str">
        <f>"1552375017634517"</f>
        <v>1552375017634517</v>
      </c>
      <c r="C6441" t="s">
        <v>40</v>
      </c>
      <c r="D6441">
        <v>4.4406619999999997</v>
      </c>
      <c r="E6441">
        <v>0.48741810000000002</v>
      </c>
      <c r="F6441" t="s">
        <v>43</v>
      </c>
      <c r="G6441">
        <v>-188.72329999999999</v>
      </c>
      <c r="H6441" s="1">
        <v>-4.4668220000000003E-6</v>
      </c>
      <c r="I6441">
        <v>-20.48283</v>
      </c>
      <c r="J6441">
        <v>-187.958</v>
      </c>
      <c r="K6441">
        <v>1.114465</v>
      </c>
      <c r="L6441">
        <v>-37.414430000000003</v>
      </c>
      <c r="M6441">
        <v>0.12651589999999999</v>
      </c>
      <c r="N6441">
        <v>0</v>
      </c>
      <c r="O6441">
        <v>0.99187959999999997</v>
      </c>
      <c r="P6441">
        <v>-7.0230190000000001E-3</v>
      </c>
      <c r="Q6441">
        <v>-2.098564E-2</v>
      </c>
      <c r="R6441">
        <v>0.99975510000000001</v>
      </c>
      <c r="S6441">
        <v>-0.12696840000000001</v>
      </c>
      <c r="T6441">
        <v>-0.19363240000000001</v>
      </c>
      <c r="U6441">
        <v>2.996216</v>
      </c>
      <c r="V6441">
        <v>-0.133354</v>
      </c>
      <c r="W6441">
        <v>-9.7354720000000002E-3</v>
      </c>
      <c r="X6441">
        <v>0.99102060000000003</v>
      </c>
      <c r="Y6441">
        <v>-0.1683238</v>
      </c>
      <c r="Z6441">
        <v>-6.322498E-2</v>
      </c>
      <c r="AA6441">
        <v>0.98370210000000002</v>
      </c>
      <c r="AB6441">
        <v>28</v>
      </c>
      <c r="AC6441">
        <v>-0.76529999999999598</v>
      </c>
      <c r="AD6441">
        <v>-1.1144694668220001</v>
      </c>
      <c r="AE6441">
        <v>16.9315999999999</v>
      </c>
      <c r="AF6441">
        <v>-2.88895571951723</v>
      </c>
      <c r="AG6441">
        <v>-1.1144694668220001</v>
      </c>
      <c r="AH6441">
        <v>16.626804603847098</v>
      </c>
      <c r="AI6441">
        <v>93.778271667380693</v>
      </c>
      <c r="AJ6441">
        <v>99.856901206015607</v>
      </c>
      <c r="AK6441">
        <v>16.9126798194822</v>
      </c>
      <c r="AL6441">
        <v>90.557810297242995</v>
      </c>
      <c r="AM6441">
        <v>97.663816211062695</v>
      </c>
      <c r="AN6441">
        <v>0.99999994917770996</v>
      </c>
    </row>
    <row r="6442" spans="1:40" x14ac:dyDescent="0.25">
      <c r="A6442" t="str">
        <f>"20190312151657662"</f>
        <v>20190312151657662</v>
      </c>
      <c r="B6442" t="str">
        <f>"1552375017654038"</f>
        <v>1552375017654038</v>
      </c>
      <c r="C6442" t="s">
        <v>40</v>
      </c>
      <c r="D6442">
        <v>4.4557039999999999</v>
      </c>
      <c r="E6442">
        <v>0.4880989</v>
      </c>
      <c r="F6442" t="s">
        <v>43</v>
      </c>
      <c r="G6442">
        <v>-188.7149</v>
      </c>
      <c r="H6442" s="1">
        <v>-6.9850169999999903E-7</v>
      </c>
      <c r="I6442">
        <v>-19.30415</v>
      </c>
      <c r="J6442">
        <v>-187.9308</v>
      </c>
      <c r="K6442">
        <v>1.1142179999999999</v>
      </c>
      <c r="L6442">
        <v>-37.150149999999996</v>
      </c>
      <c r="M6442">
        <v>0.12060369999999999</v>
      </c>
      <c r="N6442">
        <v>0</v>
      </c>
      <c r="O6442">
        <v>0.99261710000000003</v>
      </c>
      <c r="P6442">
        <v>-7.9863699999999996E-3</v>
      </c>
      <c r="Q6442">
        <v>-2.1132769999999999E-2</v>
      </c>
      <c r="R6442">
        <v>0.99974479999999999</v>
      </c>
      <c r="S6442">
        <v>-0.12521360000000001</v>
      </c>
      <c r="T6442">
        <v>-0.18436720000000001</v>
      </c>
      <c r="U6442">
        <v>2.9960019999999998</v>
      </c>
      <c r="V6442">
        <v>-0.12840650000000001</v>
      </c>
      <c r="W6442">
        <v>-9.8347049999999991E-3</v>
      </c>
      <c r="X6442">
        <v>0.99167289999999997</v>
      </c>
      <c r="Y6442">
        <v>-0.16188269999999999</v>
      </c>
      <c r="Z6442">
        <v>-6.0317339999999997E-2</v>
      </c>
      <c r="AA6442">
        <v>0.98496479999999997</v>
      </c>
      <c r="AB6442">
        <v>28</v>
      </c>
      <c r="AC6442">
        <v>-0.78409999999999502</v>
      </c>
      <c r="AD6442">
        <v>-1.1142186985017</v>
      </c>
      <c r="AE6442">
        <v>17.845999999999901</v>
      </c>
      <c r="AF6442">
        <v>-2.9194893333842802</v>
      </c>
      <c r="AG6442">
        <v>-1.1142186985017</v>
      </c>
      <c r="AH6442">
        <v>17.552850478765698</v>
      </c>
      <c r="AI6442">
        <v>93.583052282346003</v>
      </c>
      <c r="AJ6442">
        <v>99.443310634197204</v>
      </c>
      <c r="AK6442">
        <v>17.828837909570499</v>
      </c>
      <c r="AL6442">
        <v>90.563496147484102</v>
      </c>
      <c r="AM6442">
        <v>97.377878195948895</v>
      </c>
      <c r="AN6442">
        <v>1.0000000456295399</v>
      </c>
    </row>
    <row r="6443" spans="1:40" x14ac:dyDescent="0.25">
      <c r="A6443" t="str">
        <f>"20190312151657686"</f>
        <v>20190312151657686</v>
      </c>
      <c r="B6443" t="str">
        <f>"1552375017674533"</f>
        <v>1552375017674533</v>
      </c>
      <c r="C6443" t="s">
        <v>40</v>
      </c>
      <c r="D6443">
        <v>4.4319829999999998</v>
      </c>
      <c r="E6443">
        <v>0.48898740000000002</v>
      </c>
      <c r="F6443" t="s">
        <v>43</v>
      </c>
      <c r="G6443">
        <v>-188.67660000000001</v>
      </c>
      <c r="H6443" s="1">
        <v>-8.4954849999999899E-7</v>
      </c>
      <c r="I6443">
        <v>-18.934090000000001</v>
      </c>
      <c r="J6443">
        <v>-187.9034</v>
      </c>
      <c r="K6443">
        <v>1.1139570000000001</v>
      </c>
      <c r="L6443">
        <v>-36.870179999999998</v>
      </c>
      <c r="M6443">
        <v>0.11471439999999999</v>
      </c>
      <c r="N6443">
        <v>0</v>
      </c>
      <c r="O6443">
        <v>0.99331630000000004</v>
      </c>
      <c r="P6443">
        <v>-9.3621050000000008E-3</v>
      </c>
      <c r="Q6443">
        <v>-2.0488599999999999E-2</v>
      </c>
      <c r="R6443">
        <v>0.99974629999999998</v>
      </c>
      <c r="S6443">
        <v>-0.12266539999999999</v>
      </c>
      <c r="T6443">
        <v>-0.18325040000000001</v>
      </c>
      <c r="U6443">
        <v>2.995911</v>
      </c>
      <c r="V6443">
        <v>-0.123902399999999</v>
      </c>
      <c r="W6443">
        <v>-9.1598289999999995E-3</v>
      </c>
      <c r="X6443">
        <v>0.99225209999999997</v>
      </c>
      <c r="Y6443">
        <v>-0.155192</v>
      </c>
      <c r="Z6443">
        <v>-6.0052950000000001E-2</v>
      </c>
      <c r="AA6443">
        <v>0.98605730000000003</v>
      </c>
      <c r="AB6443">
        <v>28</v>
      </c>
      <c r="AC6443">
        <v>-0.773200000000002</v>
      </c>
      <c r="AD6443">
        <v>-1.1139578495485001</v>
      </c>
      <c r="AE6443">
        <v>17.93609</v>
      </c>
      <c r="AF6443">
        <v>-2.8149528094583101</v>
      </c>
      <c r="AG6443">
        <v>-1.1139578495485001</v>
      </c>
      <c r="AH6443">
        <v>17.6609642690646</v>
      </c>
      <c r="AI6443">
        <v>93.564253733125895</v>
      </c>
      <c r="AJ6443">
        <v>99.056106163457898</v>
      </c>
      <c r="AK6443">
        <v>17.918552405906599</v>
      </c>
      <c r="AL6443">
        <v>90.524826898474799</v>
      </c>
      <c r="AM6443">
        <v>97.117675564546701</v>
      </c>
      <c r="AN6443">
        <v>0.99999996857373896</v>
      </c>
    </row>
    <row r="6444" spans="1:40" x14ac:dyDescent="0.25">
      <c r="A6444" t="str">
        <f>"20190312151657704"</f>
        <v>20190312151657704</v>
      </c>
      <c r="B6444" t="str">
        <f>"1552375017694053"</f>
        <v>1552375017694053</v>
      </c>
      <c r="C6444" t="s">
        <v>40</v>
      </c>
      <c r="D6444">
        <v>4.4093059999999999</v>
      </c>
      <c r="E6444">
        <v>0.49005300000000002</v>
      </c>
      <c r="F6444" t="s">
        <v>43</v>
      </c>
      <c r="G6444">
        <v>-188.65899999999999</v>
      </c>
      <c r="H6444" s="1">
        <v>-1.2814750000000001E-6</v>
      </c>
      <c r="I6444">
        <v>-17.934550000000002</v>
      </c>
      <c r="J6444">
        <v>-187.8817</v>
      </c>
      <c r="K6444">
        <v>1.113718</v>
      </c>
      <c r="L6444">
        <v>-36.63852</v>
      </c>
      <c r="M6444">
        <v>0.11015419999999999</v>
      </c>
      <c r="N6444">
        <v>0</v>
      </c>
      <c r="O6444">
        <v>0.99383359999999998</v>
      </c>
      <c r="P6444">
        <v>-8.8854880000000004E-3</v>
      </c>
      <c r="Q6444">
        <v>-2.010019E-2</v>
      </c>
      <c r="R6444">
        <v>0.99975849999999999</v>
      </c>
      <c r="S6444">
        <v>-0.11955259999999999</v>
      </c>
      <c r="T6444">
        <v>-0.17625270000000001</v>
      </c>
      <c r="U6444">
        <v>2.9960330000000002</v>
      </c>
      <c r="V6444">
        <v>-0.11888360000000001</v>
      </c>
      <c r="W6444">
        <v>-8.73850199999999E-3</v>
      </c>
      <c r="X6444">
        <v>0.99286969999999997</v>
      </c>
      <c r="Y6444">
        <v>-0.14963650000000001</v>
      </c>
      <c r="Z6444">
        <v>-5.7837279999999998E-2</v>
      </c>
      <c r="AA6444">
        <v>0.98704800000000004</v>
      </c>
      <c r="AB6444">
        <v>28</v>
      </c>
      <c r="AC6444">
        <v>-0.77730000000002497</v>
      </c>
      <c r="AD6444">
        <v>-1.1137192814750001</v>
      </c>
      <c r="AE6444">
        <v>18.703970000000002</v>
      </c>
      <c r="AF6444">
        <v>-2.8230634736637898</v>
      </c>
      <c r="AG6444">
        <v>-1.1137192814750001</v>
      </c>
      <c r="AH6444">
        <v>18.439234505987201</v>
      </c>
      <c r="AI6444">
        <v>93.416717635971295</v>
      </c>
      <c r="AJ6444">
        <v>98.704445207505302</v>
      </c>
      <c r="AK6444">
        <v>18.687306579094098</v>
      </c>
      <c r="AL6444">
        <v>90.500685677976506</v>
      </c>
      <c r="AM6444">
        <v>96.827938593608593</v>
      </c>
      <c r="AN6444">
        <v>0.99999995647212603</v>
      </c>
    </row>
    <row r="6445" spans="1:40" x14ac:dyDescent="0.25">
      <c r="A6445" t="str">
        <f>"20190312151657728"</f>
        <v>20190312151657728</v>
      </c>
      <c r="B6445" t="str">
        <f>"1552375017724309"</f>
        <v>1552375017724309</v>
      </c>
      <c r="C6445" t="s">
        <v>40</v>
      </c>
      <c r="D6445">
        <v>4.5353849999999998</v>
      </c>
      <c r="E6445">
        <v>0.49138979999999999</v>
      </c>
      <c r="F6445" t="s">
        <v>43</v>
      </c>
      <c r="G6445">
        <v>-188.55080000000001</v>
      </c>
      <c r="H6445" s="1">
        <v>-1.1098580000000001E-6</v>
      </c>
      <c r="I6445">
        <v>-18.379339999999999</v>
      </c>
      <c r="J6445">
        <v>-187.8553</v>
      </c>
      <c r="K6445">
        <v>1.1133789999999999</v>
      </c>
      <c r="L6445">
        <v>-36.345489999999998</v>
      </c>
      <c r="M6445">
        <v>0.1047776</v>
      </c>
      <c r="N6445">
        <v>0</v>
      </c>
      <c r="O6445">
        <v>0.99441650000000004</v>
      </c>
      <c r="P6445">
        <v>-9.3836549999999994E-3</v>
      </c>
      <c r="Q6445">
        <v>-1.9673929999999999E-2</v>
      </c>
      <c r="R6445">
        <v>0.99976240000000005</v>
      </c>
      <c r="S6445">
        <v>-0.109787</v>
      </c>
      <c r="T6445">
        <v>-0.18274489999999999</v>
      </c>
      <c r="U6445">
        <v>2.9960629999999999</v>
      </c>
      <c r="V6445">
        <v>-0.11401849999999999</v>
      </c>
      <c r="W6445">
        <v>-8.2996979999999995E-3</v>
      </c>
      <c r="X6445">
        <v>0.99344399999999999</v>
      </c>
      <c r="Y6445">
        <v>-0.14106579999999999</v>
      </c>
      <c r="Z6445">
        <v>-6.0054499999999997E-2</v>
      </c>
      <c r="AA6445">
        <v>0.98817710000000003</v>
      </c>
      <c r="AB6445">
        <v>28</v>
      </c>
      <c r="AC6445">
        <v>-0.695500000000009</v>
      </c>
      <c r="AD6445">
        <v>-1.1133801098580001</v>
      </c>
      <c r="AE6445">
        <v>17.966149999999999</v>
      </c>
      <c r="AF6445">
        <v>-2.5644357271829801</v>
      </c>
      <c r="AG6445">
        <v>-1.1133801098580001</v>
      </c>
      <c r="AH6445">
        <v>17.726389730276299</v>
      </c>
      <c r="AI6445">
        <v>93.557047202597502</v>
      </c>
      <c r="AJ6445">
        <v>98.231738058337996</v>
      </c>
      <c r="AK6445">
        <v>17.945496335780899</v>
      </c>
      <c r="AL6445">
        <v>90.475543106286196</v>
      </c>
      <c r="AM6445">
        <v>96.547243096719001</v>
      </c>
      <c r="AN6445">
        <v>1.0000000422325599</v>
      </c>
    </row>
    <row r="6446" spans="1:40" x14ac:dyDescent="0.25">
      <c r="A6446" t="str">
        <f>"20190312151657749"</f>
        <v>20190312151657749</v>
      </c>
      <c r="B6446" t="str">
        <f>"1552375017743830"</f>
        <v>1552375017743830</v>
      </c>
      <c r="C6446" t="s">
        <v>40</v>
      </c>
      <c r="D6446">
        <v>4.5448620000000002</v>
      </c>
      <c r="E6446">
        <v>0.49202190000000001</v>
      </c>
      <c r="F6446" t="s">
        <v>43</v>
      </c>
      <c r="G6446">
        <v>-188.46780000000001</v>
      </c>
      <c r="H6446" s="1">
        <v>-1.2598119999999999E-6</v>
      </c>
      <c r="I6446">
        <v>-18.064119999999999</v>
      </c>
      <c r="J6446">
        <v>-187.83250000000001</v>
      </c>
      <c r="K6446">
        <v>1.113075</v>
      </c>
      <c r="L6446">
        <v>-36.080750000000002</v>
      </c>
      <c r="M6446">
        <v>0.10030269999999999</v>
      </c>
      <c r="N6446">
        <v>0</v>
      </c>
      <c r="O6446">
        <v>0.99487939999999997</v>
      </c>
      <c r="P6446">
        <v>-9.2752319999999996E-3</v>
      </c>
      <c r="Q6446">
        <v>-1.8221210000000002E-2</v>
      </c>
      <c r="R6446">
        <v>0.99979099999999999</v>
      </c>
      <c r="S6446">
        <v>-0.1003723</v>
      </c>
      <c r="T6446">
        <v>-0.182475</v>
      </c>
      <c r="U6446">
        <v>2.9961850000000001</v>
      </c>
      <c r="V6446">
        <v>-0.1094615</v>
      </c>
      <c r="W6446">
        <v>-6.8430009999999996E-3</v>
      </c>
      <c r="X6446">
        <v>0.9939675</v>
      </c>
      <c r="Y6446">
        <v>-0.13350509999999999</v>
      </c>
      <c r="Z6446">
        <v>-6.0040940000000001E-2</v>
      </c>
      <c r="AA6446">
        <v>0.98922770000000004</v>
      </c>
      <c r="AB6446">
        <v>28</v>
      </c>
      <c r="AC6446">
        <v>-0.63529999999999998</v>
      </c>
      <c r="AD6446">
        <v>-1.1130762598119901</v>
      </c>
      <c r="AE6446">
        <v>18.016629999999999</v>
      </c>
      <c r="AF6446">
        <v>-2.4300880658313302</v>
      </c>
      <c r="AG6446">
        <v>-1.1130762598119901</v>
      </c>
      <c r="AH6446">
        <v>17.794197208038302</v>
      </c>
      <c r="AI6446">
        <v>93.546511994189302</v>
      </c>
      <c r="AJ6446">
        <v>97.776566738441602</v>
      </c>
      <c r="AK6446">
        <v>17.993824525275599</v>
      </c>
      <c r="AL6446">
        <v>90.392078129105101</v>
      </c>
      <c r="AM6446">
        <v>96.284421959488398</v>
      </c>
      <c r="AN6446">
        <v>1.00000001885059</v>
      </c>
    </row>
    <row r="6447" spans="1:40" x14ac:dyDescent="0.25">
      <c r="A6447" t="str">
        <f>"20190312151657772"</f>
        <v>20190312151657772</v>
      </c>
      <c r="B6447" t="str">
        <f>"1552375017764325"</f>
        <v>1552375017764325</v>
      </c>
      <c r="C6447" t="s">
        <v>40</v>
      </c>
      <c r="D6447">
        <v>4.4063169999999996</v>
      </c>
      <c r="E6447">
        <v>0.49238690000000002</v>
      </c>
      <c r="F6447" t="s">
        <v>43</v>
      </c>
      <c r="G6447">
        <v>-188.4272</v>
      </c>
      <c r="H6447" s="1">
        <v>-1.587637E-6</v>
      </c>
      <c r="I6447">
        <v>-17.316739999999999</v>
      </c>
      <c r="J6447">
        <v>-187.80930000000001</v>
      </c>
      <c r="K6447">
        <v>1.1127629999999999</v>
      </c>
      <c r="L6447">
        <v>-35.802669999999999</v>
      </c>
      <c r="M6447">
        <v>9.5978770000000005E-2</v>
      </c>
      <c r="N6447">
        <v>0</v>
      </c>
      <c r="O6447">
        <v>0.99530739999999995</v>
      </c>
      <c r="P6447">
        <v>-9.3145209999999992E-3</v>
      </c>
      <c r="Q6447">
        <v>-1.7045930000000001E-2</v>
      </c>
      <c r="R6447">
        <v>0.99981129999999996</v>
      </c>
      <c r="S6447">
        <v>-9.4970700000000005E-2</v>
      </c>
      <c r="T6447">
        <v>-0.17775299999999999</v>
      </c>
      <c r="U6447">
        <v>2.996521</v>
      </c>
      <c r="V6447">
        <v>-0.105197</v>
      </c>
      <c r="W6447">
        <v>-5.6743729999999999E-3</v>
      </c>
      <c r="X6447">
        <v>0.99443519999999996</v>
      </c>
      <c r="Y6447">
        <v>-0.1274141</v>
      </c>
      <c r="Z6447">
        <v>-5.8549549999999999E-2</v>
      </c>
      <c r="AA6447">
        <v>0.99012</v>
      </c>
      <c r="AB6447">
        <v>28</v>
      </c>
      <c r="AC6447">
        <v>-0.61789999999999101</v>
      </c>
      <c r="AD6447">
        <v>-1.112764587637</v>
      </c>
      <c r="AE6447">
        <v>18.48593</v>
      </c>
      <c r="AF6447">
        <v>-2.3808207890264801</v>
      </c>
      <c r="AG6447">
        <v>-1.112764587637</v>
      </c>
      <c r="AH6447">
        <v>18.275119460233299</v>
      </c>
      <c r="AI6447">
        <v>93.455288177349701</v>
      </c>
      <c r="AJ6447">
        <v>97.422497322762894</v>
      </c>
      <c r="AK6447">
        <v>18.4631130620694</v>
      </c>
      <c r="AL6447">
        <v>90.325119373200394</v>
      </c>
      <c r="AM6447">
        <v>96.038614345163495</v>
      </c>
      <c r="AN6447">
        <v>0.99999998715849103</v>
      </c>
    </row>
    <row r="6448" spans="1:40" x14ac:dyDescent="0.25">
      <c r="A6448" t="str">
        <f>"20190312151657794"</f>
        <v>20190312151657794</v>
      </c>
      <c r="B6448" t="str">
        <f>"1552375017783846"</f>
        <v>1552375017783846</v>
      </c>
      <c r="C6448" t="s">
        <v>40</v>
      </c>
      <c r="D6448">
        <v>4.6445460000000001</v>
      </c>
      <c r="E6448">
        <v>0.4926587</v>
      </c>
      <c r="F6448" t="s">
        <v>43</v>
      </c>
      <c r="G6448">
        <v>-188.3929</v>
      </c>
      <c r="H6448" s="1">
        <v>-1.823669E-6</v>
      </c>
      <c r="I6448">
        <v>-16.7807</v>
      </c>
      <c r="J6448">
        <v>-187.78700000000001</v>
      </c>
      <c r="K6448">
        <v>1.1124700000000001</v>
      </c>
      <c r="L6448">
        <v>-35.525509999999997</v>
      </c>
      <c r="M6448">
        <v>9.2081919999999998E-2</v>
      </c>
      <c r="N6448">
        <v>0</v>
      </c>
      <c r="O6448">
        <v>0.99567709999999998</v>
      </c>
      <c r="P6448">
        <v>-8.4502640000000007E-3</v>
      </c>
      <c r="Q6448">
        <v>-1.6238889999999999E-2</v>
      </c>
      <c r="R6448">
        <v>0.99983250000000001</v>
      </c>
      <c r="S6448">
        <v>-9.1949459999999997E-2</v>
      </c>
      <c r="T6448">
        <v>-0.17530390000000001</v>
      </c>
      <c r="U6448">
        <v>2.9967039999999998</v>
      </c>
      <c r="V6448">
        <v>-0.1004544</v>
      </c>
      <c r="W6448">
        <v>-4.8773439999999996E-3</v>
      </c>
      <c r="X6448">
        <v>0.99492970000000003</v>
      </c>
      <c r="Y6448">
        <v>-0.1225321</v>
      </c>
      <c r="Z6448">
        <v>-5.7793240000000003E-2</v>
      </c>
      <c r="AA6448">
        <v>0.99078040000000001</v>
      </c>
      <c r="AB6448">
        <v>28</v>
      </c>
      <c r="AC6448">
        <v>-0.605899999999991</v>
      </c>
      <c r="AD6448">
        <v>-1.1124718236689899</v>
      </c>
      <c r="AE6448">
        <v>18.744810000000001</v>
      </c>
      <c r="AF6448">
        <v>-2.3213435388571999</v>
      </c>
      <c r="AG6448">
        <v>-1.1124718236689899</v>
      </c>
      <c r="AH6448">
        <v>18.544114871072299</v>
      </c>
      <c r="AI6448">
        <v>93.406568168962806</v>
      </c>
      <c r="AJ6448">
        <v>97.135144048565394</v>
      </c>
      <c r="AK6448">
        <v>18.721923665461802</v>
      </c>
      <c r="AL6448">
        <v>90.279452336787301</v>
      </c>
      <c r="AM6448">
        <v>95.765406298840105</v>
      </c>
      <c r="AN6448">
        <v>0.99999999145297203</v>
      </c>
    </row>
    <row r="6449" spans="1:40" x14ac:dyDescent="0.25">
      <c r="A6449" t="str">
        <f>"20190312151657817"</f>
        <v>20190312151657817</v>
      </c>
      <c r="B6449" t="str">
        <f>"1552375017814101"</f>
        <v>1552375017814101</v>
      </c>
      <c r="C6449" t="s">
        <v>40</v>
      </c>
      <c r="D6449">
        <v>4.4077149999999996</v>
      </c>
      <c r="E6449">
        <v>0.49338860000000001</v>
      </c>
      <c r="F6449" t="s">
        <v>43</v>
      </c>
      <c r="G6449">
        <v>-188.36</v>
      </c>
      <c r="H6449" s="1">
        <v>-2.2465469999999998E-6</v>
      </c>
      <c r="I6449">
        <v>-15.808590000000001</v>
      </c>
      <c r="J6449">
        <v>-187.7653</v>
      </c>
      <c r="K6449">
        <v>1.112193</v>
      </c>
      <c r="L6449">
        <v>-35.248350000000002</v>
      </c>
      <c r="M6449">
        <v>8.8567729999999997E-2</v>
      </c>
      <c r="N6449">
        <v>0</v>
      </c>
      <c r="O6449">
        <v>0.99599740000000003</v>
      </c>
      <c r="P6449">
        <v>-7.8718490000000002E-3</v>
      </c>
      <c r="Q6449">
        <v>-1.475608E-2</v>
      </c>
      <c r="R6449">
        <v>0.99986010000000003</v>
      </c>
      <c r="S6449">
        <v>-8.7097170000000002E-2</v>
      </c>
      <c r="T6449">
        <v>-0.1690979</v>
      </c>
      <c r="U6449">
        <v>2.9970089999999998</v>
      </c>
      <c r="V6449">
        <v>-9.6381750000000002E-2</v>
      </c>
      <c r="W6449">
        <v>-3.4215869999999998E-3</v>
      </c>
      <c r="X6449">
        <v>0.99533859999999996</v>
      </c>
      <c r="Y6449">
        <v>-0.1174258</v>
      </c>
      <c r="Z6449">
        <v>-5.5793879999999997E-2</v>
      </c>
      <c r="AA6449">
        <v>0.99151310000000004</v>
      </c>
      <c r="AB6449">
        <v>28</v>
      </c>
      <c r="AC6449">
        <v>-0.59470000000001699</v>
      </c>
      <c r="AD6449">
        <v>-1.112195246547</v>
      </c>
      <c r="AE6449">
        <v>19.43976</v>
      </c>
      <c r="AF6449">
        <v>-2.3066794842234999</v>
      </c>
      <c r="AG6449">
        <v>-1.112195246547</v>
      </c>
      <c r="AH6449">
        <v>19.247734748900701</v>
      </c>
      <c r="AI6449">
        <v>93.283611146651396</v>
      </c>
      <c r="AJ6449">
        <v>96.833826884195602</v>
      </c>
      <c r="AK6449">
        <v>19.417338681534599</v>
      </c>
      <c r="AL6449">
        <v>90.196042869248302</v>
      </c>
      <c r="AM6449">
        <v>95.530885494673399</v>
      </c>
      <c r="AN6449">
        <v>1.0000000388203001</v>
      </c>
    </row>
    <row r="6450" spans="1:40" x14ac:dyDescent="0.25">
      <c r="A6450" t="str">
        <f>"20190312151657842"</f>
        <v>20190312151657842</v>
      </c>
      <c r="B6450" t="str">
        <f>"1552375017834598"</f>
        <v>1552375017834598</v>
      </c>
      <c r="C6450" t="s">
        <v>40</v>
      </c>
      <c r="D6450">
        <v>4.7492679999999998</v>
      </c>
      <c r="E6450">
        <v>0.49376199999999998</v>
      </c>
      <c r="F6450" t="s">
        <v>43</v>
      </c>
      <c r="G6450">
        <v>-188.31720000000001</v>
      </c>
      <c r="H6450" s="1">
        <v>-2.8846930000000001E-6</v>
      </c>
      <c r="I6450">
        <v>-14.33872</v>
      </c>
      <c r="J6450">
        <v>-187.74209999999999</v>
      </c>
      <c r="K6450">
        <v>1.1119410000000001</v>
      </c>
      <c r="L6450">
        <v>-34.940459999999902</v>
      </c>
      <c r="M6450">
        <v>8.5002659999999994E-2</v>
      </c>
      <c r="N6450">
        <v>0</v>
      </c>
      <c r="O6450">
        <v>0.99630960000000002</v>
      </c>
      <c r="P6450">
        <v>-7.1244799999999999E-3</v>
      </c>
      <c r="Q6450">
        <v>-1.273589E-2</v>
      </c>
      <c r="R6450">
        <v>0.99989349999999999</v>
      </c>
      <c r="S6450">
        <v>-7.9116820000000004E-2</v>
      </c>
      <c r="T6450">
        <v>-0.1594354</v>
      </c>
      <c r="U6450">
        <v>2.9974370000000001</v>
      </c>
      <c r="V6450">
        <v>-9.2091290000000006E-2</v>
      </c>
      <c r="W6450">
        <v>-1.4456629999999901E-3</v>
      </c>
      <c r="X6450">
        <v>0.99574949999999995</v>
      </c>
      <c r="Y6450">
        <v>-0.1112321</v>
      </c>
      <c r="Z6450">
        <v>-5.2653140000000001E-2</v>
      </c>
      <c r="AA6450">
        <v>0.99239860000000002</v>
      </c>
      <c r="AB6450">
        <v>28</v>
      </c>
      <c r="AC6450">
        <v>-0.57510000000002004</v>
      </c>
      <c r="AD6450">
        <v>-1.1119438846930001</v>
      </c>
      <c r="AE6450">
        <v>20.6017399999999</v>
      </c>
      <c r="AF6450">
        <v>-2.3175988907792302</v>
      </c>
      <c r="AG6450">
        <v>-1.1119438846930001</v>
      </c>
      <c r="AH6450">
        <v>20.4188413811518</v>
      </c>
      <c r="AI6450">
        <v>93.097215863396499</v>
      </c>
      <c r="AJ6450">
        <v>96.475527431384094</v>
      </c>
      <c r="AK6450">
        <v>20.580008920549201</v>
      </c>
      <c r="AL6450">
        <v>90.082830418907804</v>
      </c>
      <c r="AM6450">
        <v>95.283934571338094</v>
      </c>
      <c r="AN6450">
        <v>0.99999998119281097</v>
      </c>
    </row>
    <row r="6451" spans="1:40" x14ac:dyDescent="0.25">
      <c r="A6451" t="str">
        <f>"20190312151657865"</f>
        <v>20190312151657865</v>
      </c>
      <c r="B6451" t="str">
        <f>"1552375017854117"</f>
        <v>1552375017854117</v>
      </c>
      <c r="C6451" t="s">
        <v>40</v>
      </c>
      <c r="D6451">
        <v>4.4406650000000001</v>
      </c>
      <c r="E6451">
        <v>0.49407859999999998</v>
      </c>
      <c r="F6451" t="s">
        <v>43</v>
      </c>
      <c r="G6451">
        <v>-188.28700000000001</v>
      </c>
      <c r="H6451" s="1">
        <v>-3.5582359999999998E-6</v>
      </c>
      <c r="I6451">
        <v>-12.7812</v>
      </c>
      <c r="J6451">
        <v>-187.72239999999999</v>
      </c>
      <c r="K6451">
        <v>1.111758</v>
      </c>
      <c r="L6451">
        <v>-34.671570000000003</v>
      </c>
      <c r="M6451">
        <v>8.2149630000000001E-2</v>
      </c>
      <c r="N6451">
        <v>0</v>
      </c>
      <c r="O6451">
        <v>0.99655020000000005</v>
      </c>
      <c r="P6451">
        <v>-5.1419400000000002E-3</v>
      </c>
      <c r="Q6451">
        <v>-1.0714599999999999E-2</v>
      </c>
      <c r="R6451">
        <v>0.99992939999999997</v>
      </c>
      <c r="S6451">
        <v>-7.3715210000000003E-2</v>
      </c>
      <c r="T6451">
        <v>-0.15043329999999999</v>
      </c>
      <c r="U6451">
        <v>2.9978940000000001</v>
      </c>
      <c r="V6451">
        <v>-8.7279049999999997E-2</v>
      </c>
      <c r="W6451">
        <v>5.3865119999999998E-4</v>
      </c>
      <c r="X6451">
        <v>0.99618379999999995</v>
      </c>
      <c r="Y6451">
        <v>-0.1065982</v>
      </c>
      <c r="Z6451">
        <v>-4.9712190000000003E-2</v>
      </c>
      <c r="AA6451">
        <v>0.99305869999999996</v>
      </c>
      <c r="AB6451">
        <v>28</v>
      </c>
      <c r="AC6451">
        <v>-0.56460000000001198</v>
      </c>
      <c r="AD6451">
        <v>-1.1117615582359901</v>
      </c>
      <c r="AE6451">
        <v>21.890370000000001</v>
      </c>
      <c r="AF6451">
        <v>-2.3550317948413801</v>
      </c>
      <c r="AG6451">
        <v>-1.1117615582359901</v>
      </c>
      <c r="AH6451">
        <v>21.714013792959001</v>
      </c>
      <c r="AI6451">
        <v>92.913936911254495</v>
      </c>
      <c r="AJ6451">
        <v>96.189920421189996</v>
      </c>
      <c r="AK6451">
        <v>21.8696269633915</v>
      </c>
      <c r="AL6451">
        <v>89.969137559446395</v>
      </c>
      <c r="AM6451">
        <v>95.007092522806403</v>
      </c>
      <c r="AN6451">
        <v>1.0000000430482201</v>
      </c>
    </row>
    <row r="6452" spans="1:40" x14ac:dyDescent="0.25">
      <c r="A6452" t="str">
        <f>"20190312151657884"</f>
        <v>20190312151657884</v>
      </c>
      <c r="B6452" t="str">
        <f>"1552375017874614"</f>
        <v>1552375017874614</v>
      </c>
      <c r="C6452" t="s">
        <v>40</v>
      </c>
      <c r="D6452">
        <v>4.4800779999999998</v>
      </c>
      <c r="E6452">
        <v>0.49436590000000002</v>
      </c>
      <c r="F6452" t="s">
        <v>43</v>
      </c>
      <c r="G6452">
        <v>-188.2226</v>
      </c>
      <c r="H6452" s="1">
        <v>-4.0400469999999997E-6</v>
      </c>
      <c r="I6452">
        <v>-11.68468</v>
      </c>
      <c r="J6452">
        <v>-187.70400000000001</v>
      </c>
      <c r="K6452">
        <v>1.111599</v>
      </c>
      <c r="L6452">
        <v>-34.414490000000001</v>
      </c>
      <c r="M6452">
        <v>7.9647739999999995E-2</v>
      </c>
      <c r="N6452">
        <v>0</v>
      </c>
      <c r="O6452">
        <v>0.99675449999999999</v>
      </c>
      <c r="P6452">
        <v>-2.801797E-3</v>
      </c>
      <c r="Q6452">
        <v>-7.6680280000000003E-3</v>
      </c>
      <c r="R6452">
        <v>0.99996669999999999</v>
      </c>
      <c r="S6452">
        <v>-6.5246579999999998E-2</v>
      </c>
      <c r="T6452">
        <v>-0.145014</v>
      </c>
      <c r="U6452">
        <v>2.9983219999999999</v>
      </c>
      <c r="V6452">
        <v>-8.2463229999999998E-2</v>
      </c>
      <c r="W6452">
        <v>3.548916E-3</v>
      </c>
      <c r="X6452">
        <v>0.99658780000000002</v>
      </c>
      <c r="Y6452">
        <v>-0.1012957</v>
      </c>
      <c r="Z6452">
        <v>-4.7948459999999998E-2</v>
      </c>
      <c r="AA6452">
        <v>0.99370020000000003</v>
      </c>
      <c r="AB6452">
        <v>28</v>
      </c>
      <c r="AC6452">
        <v>-0.51859999999999196</v>
      </c>
      <c r="AD6452">
        <v>-1.1116030400470001</v>
      </c>
      <c r="AE6452">
        <v>22.729810000000001</v>
      </c>
      <c r="AF6452">
        <v>-2.3219035507638499</v>
      </c>
      <c r="AG6452">
        <v>-1.1116030400470001</v>
      </c>
      <c r="AH6452">
        <v>22.562346577959101</v>
      </c>
      <c r="AI6452">
        <v>92.805776794519304</v>
      </c>
      <c r="AJ6452">
        <v>95.875656372353902</v>
      </c>
      <c r="AK6452">
        <v>22.708729170115099</v>
      </c>
      <c r="AL6452">
        <v>89.796661666776203</v>
      </c>
      <c r="AM6452">
        <v>94.730196213219401</v>
      </c>
      <c r="AN6452">
        <v>1.00000001110782</v>
      </c>
    </row>
    <row r="6453" spans="1:40" x14ac:dyDescent="0.25">
      <c r="A6453" t="str">
        <f>"20190312151657928"</f>
        <v>20190312151657928</v>
      </c>
      <c r="B6453" t="str">
        <f>"1552375017924390"</f>
        <v>1552375017924390</v>
      </c>
      <c r="C6453" t="s">
        <v>40</v>
      </c>
      <c r="D6453">
        <v>4.770467</v>
      </c>
      <c r="E6453">
        <v>0.55536619999999903</v>
      </c>
      <c r="F6453" t="s">
        <v>43</v>
      </c>
      <c r="G6453">
        <v>-188.16499999999999</v>
      </c>
      <c r="H6453" s="1">
        <v>-6.7564489999999997E-7</v>
      </c>
      <c r="I6453">
        <v>-9.8012189999999997</v>
      </c>
      <c r="J6453">
        <v>-187.66630000000001</v>
      </c>
      <c r="K6453">
        <v>1.111246</v>
      </c>
      <c r="L6453">
        <v>-33.866609999999902</v>
      </c>
      <c r="M6453">
        <v>7.4998200000000001E-2</v>
      </c>
      <c r="N6453">
        <v>0</v>
      </c>
      <c r="O6453">
        <v>0.99711749999999999</v>
      </c>
      <c r="P6453">
        <v>1.317471E-3</v>
      </c>
      <c r="Q6453">
        <v>3.0574429999999999E-4</v>
      </c>
      <c r="R6453">
        <v>0.99999910000000003</v>
      </c>
      <c r="S6453">
        <v>-5.6167599999999901E-2</v>
      </c>
      <c r="T6453">
        <v>-0.13543820000000001</v>
      </c>
      <c r="U6453">
        <v>2.998901</v>
      </c>
      <c r="V6453">
        <v>-7.3740479999999997E-2</v>
      </c>
      <c r="W6453">
        <v>1.143651E-2</v>
      </c>
      <c r="X6453">
        <v>0.99721190000000004</v>
      </c>
      <c r="Y6453">
        <v>-9.3644309999999994E-2</v>
      </c>
      <c r="Z6453">
        <v>-4.482295E-2</v>
      </c>
      <c r="AA6453">
        <v>0.99459620000000004</v>
      </c>
      <c r="AB6453">
        <v>28</v>
      </c>
      <c r="AC6453">
        <v>-0.49869999999998499</v>
      </c>
      <c r="AD6453">
        <v>-1.1112466756449</v>
      </c>
      <c r="AE6453">
        <v>24.065390999999899</v>
      </c>
      <c r="AF6453">
        <v>-2.29737896548711</v>
      </c>
      <c r="AG6453">
        <v>-1.1112466756449</v>
      </c>
      <c r="AH6453">
        <v>23.909243621229901</v>
      </c>
      <c r="AI6453">
        <v>92.648878394672593</v>
      </c>
      <c r="AJ6453">
        <v>95.488556860377301</v>
      </c>
      <c r="AK6453">
        <v>24.045056660871399</v>
      </c>
      <c r="AL6453">
        <v>89.344721968136895</v>
      </c>
      <c r="AM6453">
        <v>94.2291337476953</v>
      </c>
      <c r="AN6453">
        <v>1.00000001282661</v>
      </c>
    </row>
    <row r="6454" spans="1:40" x14ac:dyDescent="0.25">
      <c r="A6454" t="str">
        <f>"20190312151657974"</f>
        <v>20190312151657974</v>
      </c>
      <c r="B6454" t="str">
        <f>"1552375017964406"</f>
        <v>1552375017964406</v>
      </c>
      <c r="C6454" t="s">
        <v>40</v>
      </c>
      <c r="D6454">
        <v>4.6822710000000001</v>
      </c>
      <c r="E6454">
        <v>0.55536619999999903</v>
      </c>
      <c r="F6454" t="s">
        <v>79</v>
      </c>
      <c r="G6454">
        <v>-168.87459999999999</v>
      </c>
      <c r="H6454">
        <v>49.475909999999999</v>
      </c>
      <c r="I6454">
        <v>86.048839999999998</v>
      </c>
      <c r="J6454">
        <v>-187.62909999999999</v>
      </c>
      <c r="K6454">
        <v>1.1108910000000001</v>
      </c>
      <c r="L6454">
        <v>-33.304319999999997</v>
      </c>
      <c r="M6454">
        <v>7.1120569999999994E-2</v>
      </c>
      <c r="N6454">
        <v>0</v>
      </c>
      <c r="O6454">
        <v>0.99740390000000001</v>
      </c>
      <c r="P6454">
        <v>7.4190640000000004E-3</v>
      </c>
      <c r="Q6454">
        <v>9.7059620000000003E-3</v>
      </c>
      <c r="R6454">
        <v>0.99992539999999996</v>
      </c>
      <c r="S6454">
        <v>0.46997070000000002</v>
      </c>
      <c r="T6454">
        <v>1.209576</v>
      </c>
      <c r="U6454">
        <v>2.9990230000000002</v>
      </c>
      <c r="V6454">
        <v>-6.3792180000000004E-2</v>
      </c>
      <c r="W6454">
        <v>2.0743620000000001E-2</v>
      </c>
      <c r="X6454">
        <v>0.99774759999999996</v>
      </c>
      <c r="Y6454">
        <v>7.313306E-2</v>
      </c>
      <c r="Z6454">
        <v>0.37028870000000003</v>
      </c>
      <c r="AA6454">
        <v>0.92603340000000001</v>
      </c>
      <c r="AB6454">
        <v>28</v>
      </c>
      <c r="AC6454">
        <v>18.7545</v>
      </c>
      <c r="AD6454">
        <v>48.365018999999997</v>
      </c>
      <c r="AE6454">
        <v>119.35316</v>
      </c>
      <c r="AF6454">
        <v>8.8067095884414393</v>
      </c>
      <c r="AG6454">
        <v>48.365018999999997</v>
      </c>
      <c r="AH6454">
        <v>103.757514490337</v>
      </c>
      <c r="AI6454">
        <v>65.086779225160498</v>
      </c>
      <c r="AJ6454">
        <v>85.1484884598555</v>
      </c>
      <c r="AK6454">
        <v>114.81443728842601</v>
      </c>
      <c r="AL6454">
        <v>88.811392877190897</v>
      </c>
      <c r="AM6454">
        <v>93.6582944239059</v>
      </c>
      <c r="AN6454">
        <v>1.0000000066528001</v>
      </c>
    </row>
    <row r="6455" spans="1:40" x14ac:dyDescent="0.25">
      <c r="A6455" t="str">
        <f>"20190312151657999"</f>
        <v>20190312151657999</v>
      </c>
      <c r="B6455" t="str">
        <f>"1552375017994662"</f>
        <v>1552375017994662</v>
      </c>
      <c r="C6455" t="s">
        <v>40</v>
      </c>
      <c r="D6455">
        <v>4.577356</v>
      </c>
      <c r="E6455">
        <v>0.52265799999999996</v>
      </c>
      <c r="F6455" t="s">
        <v>79</v>
      </c>
      <c r="G6455">
        <v>-168.87450000000001</v>
      </c>
      <c r="H6455">
        <v>48.934199999999997</v>
      </c>
      <c r="I6455">
        <v>81.929990000000004</v>
      </c>
      <c r="J6455">
        <v>-187.6087</v>
      </c>
      <c r="K6455">
        <v>1.1107089999999999</v>
      </c>
      <c r="L6455">
        <v>-32.98856</v>
      </c>
      <c r="M6455">
        <v>6.9336410000000001E-2</v>
      </c>
      <c r="N6455">
        <v>0</v>
      </c>
      <c r="O6455">
        <v>0.99753069999999999</v>
      </c>
      <c r="P6455">
        <v>1.180135E-2</v>
      </c>
      <c r="Q6455">
        <v>1.4221370000000001E-2</v>
      </c>
      <c r="R6455">
        <v>0.99982919999999997</v>
      </c>
      <c r="S6455">
        <v>0.48574830000000002</v>
      </c>
      <c r="T6455">
        <v>1.238632</v>
      </c>
      <c r="U6455">
        <v>2.9845890000000002</v>
      </c>
      <c r="V6455">
        <v>-5.763252E-2</v>
      </c>
      <c r="W6455">
        <v>2.5202769999999999E-2</v>
      </c>
      <c r="X6455">
        <v>0.99801969999999995</v>
      </c>
      <c r="Y6455">
        <v>7.9787699999999906E-2</v>
      </c>
      <c r="Z6455">
        <v>0.37930190000000003</v>
      </c>
      <c r="AA6455">
        <v>0.92182649999999999</v>
      </c>
      <c r="AB6455">
        <v>28</v>
      </c>
      <c r="AC6455">
        <v>18.734199999999898</v>
      </c>
      <c r="AD6455">
        <v>47.823490999999997</v>
      </c>
      <c r="AE6455">
        <v>114.91855</v>
      </c>
      <c r="AF6455">
        <v>9.1730844462917496</v>
      </c>
      <c r="AG6455">
        <v>47.823490999999997</v>
      </c>
      <c r="AH6455">
        <v>99.205219071188694</v>
      </c>
      <c r="AI6455">
        <v>64.358128522350995</v>
      </c>
      <c r="AJ6455">
        <v>84.717124954561001</v>
      </c>
      <c r="AK6455">
        <v>110.512023149738</v>
      </c>
      <c r="AL6455">
        <v>88.555834741567807</v>
      </c>
      <c r="AM6455">
        <v>93.304981834466801</v>
      </c>
      <c r="AN6455">
        <v>1.00000000428265</v>
      </c>
    </row>
    <row r="6456" spans="1:40" x14ac:dyDescent="0.25">
      <c r="A6456" t="str">
        <f>"20190312151658019"</f>
        <v>20190312151658019</v>
      </c>
      <c r="B6456" t="str">
        <f>"1552375018014182"</f>
        <v>1552375018014182</v>
      </c>
      <c r="C6456" t="s">
        <v>40</v>
      </c>
      <c r="D6456">
        <v>4.5740600000000002</v>
      </c>
      <c r="E6456">
        <v>0.52132979999999995</v>
      </c>
      <c r="F6456" t="s">
        <v>80</v>
      </c>
      <c r="G6456">
        <v>-173.18350000000001</v>
      </c>
      <c r="H6456">
        <v>5.0290679999999996</v>
      </c>
      <c r="I6456">
        <v>166.7423</v>
      </c>
      <c r="J6456">
        <v>-187.5925</v>
      </c>
      <c r="K6456">
        <v>1.1105959999999999</v>
      </c>
      <c r="L6456">
        <v>-32.735409999999902</v>
      </c>
      <c r="M6456">
        <v>6.8044279999999999E-2</v>
      </c>
      <c r="N6456">
        <v>0</v>
      </c>
      <c r="O6456">
        <v>0.99762059999999997</v>
      </c>
      <c r="P6456">
        <v>1.6701870000000001E-2</v>
      </c>
      <c r="Q6456">
        <v>1.7728569999999999E-2</v>
      </c>
      <c r="R6456">
        <v>0.99970329999999996</v>
      </c>
      <c r="S6456">
        <v>0.21646119999999999</v>
      </c>
      <c r="T6456">
        <v>5.8798309999999999E-2</v>
      </c>
      <c r="U6456">
        <v>2.997131</v>
      </c>
      <c r="V6456">
        <v>-5.1444330000000003E-2</v>
      </c>
      <c r="W6456">
        <v>2.8666210000000001E-2</v>
      </c>
      <c r="X6456">
        <v>0.99826440000000005</v>
      </c>
      <c r="Y6456">
        <v>3.982747E-3</v>
      </c>
      <c r="Z6456">
        <v>1.9520800000000001E-2</v>
      </c>
      <c r="AA6456">
        <v>0.99980150000000001</v>
      </c>
      <c r="AB6456">
        <v>28</v>
      </c>
      <c r="AC6456">
        <v>14.408999999999899</v>
      </c>
      <c r="AD6456">
        <v>3.918472</v>
      </c>
      <c r="AE6456">
        <v>199.47771</v>
      </c>
      <c r="AF6456">
        <v>0.80113987490248295</v>
      </c>
      <c r="AG6456">
        <v>3.918472</v>
      </c>
      <c r="AH6456">
        <v>199.91909131044599</v>
      </c>
      <c r="AI6456">
        <v>88.877138943629603</v>
      </c>
      <c r="AJ6456">
        <v>89.770398676655404</v>
      </c>
      <c r="AK6456">
        <v>199.959094112542</v>
      </c>
      <c r="AL6456">
        <v>88.357322189282399</v>
      </c>
      <c r="AM6456">
        <v>92.950057966915395</v>
      </c>
      <c r="AN6456">
        <v>1.0000000414961301</v>
      </c>
    </row>
    <row r="6457" spans="1:40" x14ac:dyDescent="0.25">
      <c r="A6457" t="str">
        <f>"20190312151658043"</f>
        <v>20190312151658043</v>
      </c>
      <c r="B6457" t="str">
        <f>"1552375018034678"</f>
        <v>1552375018034678</v>
      </c>
      <c r="C6457" t="s">
        <v>40</v>
      </c>
      <c r="D6457">
        <v>4.6216220000000003</v>
      </c>
      <c r="E6457">
        <v>0.52007130000000001</v>
      </c>
      <c r="F6457" t="s">
        <v>81</v>
      </c>
      <c r="G6457">
        <v>-166.8751</v>
      </c>
      <c r="H6457">
        <v>5.0117729999999998</v>
      </c>
      <c r="I6457">
        <v>249.3853</v>
      </c>
      <c r="J6457">
        <v>-187.5736</v>
      </c>
      <c r="K6457">
        <v>1.1104830000000001</v>
      </c>
      <c r="L6457">
        <v>-32.43488</v>
      </c>
      <c r="M6457">
        <v>6.6666059999999999E-2</v>
      </c>
      <c r="N6457">
        <v>0</v>
      </c>
      <c r="O6457">
        <v>0.99771460000000001</v>
      </c>
      <c r="P6457">
        <v>2.1589879999999999E-2</v>
      </c>
      <c r="Q6457">
        <v>2.021305E-2</v>
      </c>
      <c r="R6457">
        <v>0.99956259999999997</v>
      </c>
      <c r="S6457">
        <v>0.22004699999999999</v>
      </c>
      <c r="T6457">
        <v>4.1436199999999999E-2</v>
      </c>
      <c r="U6457">
        <v>2.9964900000000001</v>
      </c>
      <c r="V6457">
        <v>-4.5176269999999998E-2</v>
      </c>
      <c r="W6457">
        <v>3.1094130000000001E-2</v>
      </c>
      <c r="X6457">
        <v>0.99849500000000002</v>
      </c>
      <c r="Y6457">
        <v>6.5767480000000003E-3</v>
      </c>
      <c r="Z6457">
        <v>1.3762140000000001E-2</v>
      </c>
      <c r="AA6457">
        <v>0.99988370000000004</v>
      </c>
      <c r="AB6457">
        <v>28</v>
      </c>
      <c r="AC6457">
        <v>20.698499999999999</v>
      </c>
      <c r="AD6457">
        <v>3.9012899999999999</v>
      </c>
      <c r="AE6457">
        <v>281.82017999999999</v>
      </c>
      <c r="AF6457">
        <v>1.8631124411928199</v>
      </c>
      <c r="AG6457">
        <v>3.9012899999999999</v>
      </c>
      <c r="AH6457">
        <v>282.51927216221299</v>
      </c>
      <c r="AI6457">
        <v>89.208873843422495</v>
      </c>
      <c r="AJ6457">
        <v>89.622160529469596</v>
      </c>
      <c r="AK6457">
        <v>282.552349830433</v>
      </c>
      <c r="AL6457">
        <v>88.218150380702397</v>
      </c>
      <c r="AM6457">
        <v>92.590544337178301</v>
      </c>
      <c r="AN6457">
        <v>1.00000000265828</v>
      </c>
    </row>
    <row r="6458" spans="1:40" x14ac:dyDescent="0.25">
      <c r="A6458" t="str">
        <f>"20190312151658086"</f>
        <v>20190312151658086</v>
      </c>
      <c r="B6458" t="str">
        <f>"1552375018074694"</f>
        <v>1552375018074694</v>
      </c>
      <c r="C6458" t="s">
        <v>40</v>
      </c>
      <c r="D6458">
        <v>4.6405989999999999</v>
      </c>
      <c r="E6458">
        <v>0.51338019999999995</v>
      </c>
      <c r="F6458" t="s">
        <v>81</v>
      </c>
      <c r="G6458">
        <v>-168.35059999999999</v>
      </c>
      <c r="H6458">
        <v>3.963676</v>
      </c>
      <c r="I6458">
        <v>224.27260000000001</v>
      </c>
      <c r="J6458">
        <v>-187.54040000000001</v>
      </c>
      <c r="K6458">
        <v>1.1103080000000001</v>
      </c>
      <c r="L6458">
        <v>-31.897030000000001</v>
      </c>
      <c r="M6458">
        <v>6.4563179999999998E-2</v>
      </c>
      <c r="N6458">
        <v>0</v>
      </c>
      <c r="O6458">
        <v>0.99785449999999998</v>
      </c>
      <c r="P6458">
        <v>3.0875679999999999E-2</v>
      </c>
      <c r="Q6458">
        <v>2.453174E-2</v>
      </c>
      <c r="R6458">
        <v>0.99922219999999995</v>
      </c>
      <c r="S6458">
        <v>0.2243347</v>
      </c>
      <c r="T6458">
        <v>3.329754E-2</v>
      </c>
      <c r="U6458">
        <v>2.9957889999999998</v>
      </c>
      <c r="V6458">
        <v>-3.3778160000000002E-2</v>
      </c>
      <c r="W6458">
        <v>3.5313240000000003E-2</v>
      </c>
      <c r="X6458">
        <v>0.99880530000000001</v>
      </c>
      <c r="Y6458">
        <v>1.012717E-2</v>
      </c>
      <c r="Z6458">
        <v>1.106357E-2</v>
      </c>
      <c r="AA6458">
        <v>0.99988750000000004</v>
      </c>
      <c r="AB6458">
        <v>28</v>
      </c>
      <c r="AC6458">
        <v>19.189800000000002</v>
      </c>
      <c r="AD6458">
        <v>2.8533680000000001</v>
      </c>
      <c r="AE6458">
        <v>256.16962999999998</v>
      </c>
      <c r="AF6458">
        <v>2.6093343877611601</v>
      </c>
      <c r="AG6458">
        <v>2.8533680000000001</v>
      </c>
      <c r="AH6458">
        <v>256.84243949845398</v>
      </c>
      <c r="AI6458">
        <v>89.363536712313604</v>
      </c>
      <c r="AJ6458">
        <v>89.417936128904799</v>
      </c>
      <c r="AK6458">
        <v>256.871541947347</v>
      </c>
      <c r="AL6458">
        <v>87.976279649928699</v>
      </c>
      <c r="AM6458">
        <v>91.936922739886199</v>
      </c>
      <c r="AN6458">
        <v>1.0000000081601801</v>
      </c>
    </row>
    <row r="6459" spans="1:40" x14ac:dyDescent="0.25">
      <c r="A6459" t="str">
        <f>"20190312151658107"</f>
        <v>20190312151658107</v>
      </c>
      <c r="B6459" t="str">
        <f>"1552375018103973"</f>
        <v>1552375018103973</v>
      </c>
      <c r="C6459" t="s">
        <v>40</v>
      </c>
      <c r="D6459">
        <v>4.6493330000000004</v>
      </c>
      <c r="E6459">
        <v>0.51123890000000005</v>
      </c>
      <c r="F6459" t="s">
        <v>43</v>
      </c>
      <c r="G6459">
        <v>-185.81059999999999</v>
      </c>
      <c r="H6459" s="1">
        <v>-2.8815580000000002E-6</v>
      </c>
      <c r="I6459">
        <v>-5.3824829999999997</v>
      </c>
      <c r="J6459">
        <v>-187.52330000000001</v>
      </c>
      <c r="K6459">
        <v>1.1102240000000001</v>
      </c>
      <c r="L6459">
        <v>-31.614350000000002</v>
      </c>
      <c r="M6459">
        <v>6.3597539999999994E-2</v>
      </c>
      <c r="N6459">
        <v>0</v>
      </c>
      <c r="O6459">
        <v>0.99791719999999895</v>
      </c>
      <c r="P6459">
        <v>3.3903919999999997E-2</v>
      </c>
      <c r="Q6459">
        <v>2.565543E-2</v>
      </c>
      <c r="R6459">
        <v>0.99909570000000003</v>
      </c>
      <c r="S6459">
        <v>0.19567870000000001</v>
      </c>
      <c r="T6459">
        <v>-0.12559970000000001</v>
      </c>
      <c r="U6459">
        <v>2.9993590000000001</v>
      </c>
      <c r="V6459">
        <v>-2.97761E-2</v>
      </c>
      <c r="W6459">
        <v>3.6384960000000001E-2</v>
      </c>
      <c r="X6459">
        <v>0.99889419999999995</v>
      </c>
      <c r="Y6459">
        <v>1.446992E-3</v>
      </c>
      <c r="Z6459">
        <v>-4.1667719999999998E-2</v>
      </c>
      <c r="AA6459">
        <v>0.99913050000000003</v>
      </c>
      <c r="AB6459">
        <v>28</v>
      </c>
      <c r="AC6459">
        <v>1.7127000000000101</v>
      </c>
      <c r="AD6459">
        <v>-1.1102268815580001</v>
      </c>
      <c r="AE6459">
        <v>26.231866999999902</v>
      </c>
      <c r="AF6459">
        <v>4.0780220749110301E-2</v>
      </c>
      <c r="AG6459">
        <v>-1.1102268815580001</v>
      </c>
      <c r="AH6459">
        <v>26.240882172358599</v>
      </c>
      <c r="AI6459">
        <v>92.422682373848801</v>
      </c>
      <c r="AJ6459">
        <v>89.910958303910107</v>
      </c>
      <c r="AK6459">
        <v>26.2643896547882</v>
      </c>
      <c r="AL6459">
        <v>87.914835210701796</v>
      </c>
      <c r="AM6459">
        <v>91.707427884108796</v>
      </c>
      <c r="AN6459">
        <v>1.00000005211952</v>
      </c>
    </row>
    <row r="6460" spans="1:40" x14ac:dyDescent="0.25">
      <c r="A6460" t="str">
        <f>"20190312151658129"</f>
        <v>20190312151658129</v>
      </c>
      <c r="B6460" t="str">
        <f>"1552375018124470"</f>
        <v>1552375018124470</v>
      </c>
      <c r="C6460" t="s">
        <v>40</v>
      </c>
      <c r="D6460">
        <v>4.6519729999999999</v>
      </c>
      <c r="E6460">
        <v>0.51022270000000003</v>
      </c>
      <c r="F6460" t="s">
        <v>43</v>
      </c>
      <c r="G6460">
        <v>-185.85290000000001</v>
      </c>
      <c r="H6460" s="1">
        <v>-3.0700269999999999E-6</v>
      </c>
      <c r="I6460">
        <v>-4.9256529999999996</v>
      </c>
      <c r="J6460">
        <v>-187.50739999999999</v>
      </c>
      <c r="K6460">
        <v>1.110158</v>
      </c>
      <c r="L6460">
        <v>-31.34985</v>
      </c>
      <c r="M6460">
        <v>6.2760720000000006E-2</v>
      </c>
      <c r="N6460">
        <v>0</v>
      </c>
      <c r="O6460">
        <v>0.99797080000000005</v>
      </c>
      <c r="P6460">
        <v>3.6489529999999999E-2</v>
      </c>
      <c r="Q6460">
        <v>2.6273749999999998E-2</v>
      </c>
      <c r="R6460">
        <v>0.9989886</v>
      </c>
      <c r="S6460">
        <v>0.1877289</v>
      </c>
      <c r="T6460">
        <v>-0.124778399999999</v>
      </c>
      <c r="U6460">
        <v>2.9995419999999999</v>
      </c>
      <c r="V6460">
        <v>-2.6346419999999999E-2</v>
      </c>
      <c r="W6460">
        <v>3.6959640000000002E-2</v>
      </c>
      <c r="X6460">
        <v>0.99896940000000001</v>
      </c>
      <c r="Y6460">
        <v>-3.5495520000000002E-4</v>
      </c>
      <c r="Z6460">
        <v>-4.1399999999999999E-2</v>
      </c>
      <c r="AA6460">
        <v>0.99914259999999999</v>
      </c>
      <c r="AB6460">
        <v>28</v>
      </c>
      <c r="AC6460">
        <v>1.6544999999999801</v>
      </c>
      <c r="AD6460">
        <v>-1.1101610700269999</v>
      </c>
      <c r="AE6460">
        <v>26.4241969999999</v>
      </c>
      <c r="AF6460">
        <v>-7.2466182970902697E-3</v>
      </c>
      <c r="AG6460">
        <v>-1.1101610700269999</v>
      </c>
      <c r="AH6460">
        <v>26.429473607241299</v>
      </c>
      <c r="AI6460">
        <v>92.405275733693301</v>
      </c>
      <c r="AJ6460">
        <v>90.015709757974406</v>
      </c>
      <c r="AK6460">
        <v>26.452780293775199</v>
      </c>
      <c r="AL6460">
        <v>87.881886211330595</v>
      </c>
      <c r="AM6460">
        <v>91.510745796892195</v>
      </c>
      <c r="AN6460">
        <v>1.0000000054860501</v>
      </c>
    </row>
    <row r="6461" spans="1:40" x14ac:dyDescent="0.25">
      <c r="A6461" t="str">
        <f>"20190312151658152"</f>
        <v>20190312151658152</v>
      </c>
      <c r="B6461" t="str">
        <f>"1552375018143990"</f>
        <v>1552375018143990</v>
      </c>
      <c r="C6461" t="s">
        <v>40</v>
      </c>
      <c r="D6461">
        <v>4.7724399999999996</v>
      </c>
      <c r="E6461">
        <v>0.50948800000000005</v>
      </c>
      <c r="F6461" t="s">
        <v>43</v>
      </c>
      <c r="G6461">
        <v>-185.80099999999999</v>
      </c>
      <c r="H6461" s="1">
        <v>-3.4656080000000001E-6</v>
      </c>
      <c r="I6461">
        <v>-4.0250069999999996</v>
      </c>
      <c r="J6461">
        <v>-187.49</v>
      </c>
      <c r="K6461">
        <v>1.11009</v>
      </c>
      <c r="L6461">
        <v>-31.057980000000001</v>
      </c>
      <c r="M6461">
        <v>6.1899129999999997E-2</v>
      </c>
      <c r="N6461">
        <v>0</v>
      </c>
      <c r="O6461">
        <v>0.99802519999999995</v>
      </c>
      <c r="P6461">
        <v>3.7641580000000001E-2</v>
      </c>
      <c r="Q6461">
        <v>2.6882980000000001E-2</v>
      </c>
      <c r="R6461">
        <v>0.99892959999999997</v>
      </c>
      <c r="S6461">
        <v>0.18730160000000001</v>
      </c>
      <c r="T6461">
        <v>-0.12186</v>
      </c>
      <c r="U6461">
        <v>2.99939</v>
      </c>
      <c r="V6461">
        <v>-2.4325679999999999E-2</v>
      </c>
      <c r="W6461">
        <v>3.752192E-2</v>
      </c>
      <c r="X6461">
        <v>0.99899970000000005</v>
      </c>
      <c r="Y6461">
        <v>3.7224920000000002E-4</v>
      </c>
      <c r="Z6461">
        <v>-4.043882E-2</v>
      </c>
      <c r="AA6461">
        <v>0.99918189999999996</v>
      </c>
      <c r="AB6461">
        <v>28</v>
      </c>
      <c r="AC6461">
        <v>1.68900000000002</v>
      </c>
      <c r="AD6461">
        <v>-1.1100934656079999</v>
      </c>
      <c r="AE6461">
        <v>27.032972999999998</v>
      </c>
      <c r="AF6461">
        <v>1.23270517339717E-2</v>
      </c>
      <c r="AG6461">
        <v>-1.1100934656079999</v>
      </c>
      <c r="AH6461">
        <v>27.040262188265199</v>
      </c>
      <c r="AI6461">
        <v>92.350863590741596</v>
      </c>
      <c r="AJ6461">
        <v>89.973880135320002</v>
      </c>
      <c r="AK6461">
        <v>27.063041933025801</v>
      </c>
      <c r="AL6461">
        <v>87.849647601473094</v>
      </c>
      <c r="AM6461">
        <v>91.394878728438997</v>
      </c>
      <c r="AN6461">
        <v>1.00000001689401</v>
      </c>
    </row>
    <row r="6462" spans="1:40" x14ac:dyDescent="0.25">
      <c r="A6462" t="str">
        <f>"20190312151658174"</f>
        <v>20190312151658174</v>
      </c>
      <c r="B6462" t="str">
        <f>"1552375018164486"</f>
        <v>1552375018164486</v>
      </c>
      <c r="C6462" t="s">
        <v>40</v>
      </c>
      <c r="D6462">
        <v>4.6658730000000004</v>
      </c>
      <c r="E6462">
        <v>0.50891500000000001</v>
      </c>
      <c r="F6462" t="s">
        <v>43</v>
      </c>
      <c r="G6462">
        <v>-185.7422</v>
      </c>
      <c r="H6462" s="1">
        <v>-4.0324849999999997E-6</v>
      </c>
      <c r="I6462">
        <v>-2.7279309999999999</v>
      </c>
      <c r="J6462">
        <v>-187.47389999999999</v>
      </c>
      <c r="K6462">
        <v>1.110052</v>
      </c>
      <c r="L6462">
        <v>-30.784089999999999</v>
      </c>
      <c r="M6462">
        <v>6.1136099999999999E-2</v>
      </c>
      <c r="N6462">
        <v>0</v>
      </c>
      <c r="O6462">
        <v>0.99807270000000003</v>
      </c>
      <c r="P6462">
        <v>3.8450079999999998E-2</v>
      </c>
      <c r="Q6462">
        <v>2.7047040000000001E-2</v>
      </c>
      <c r="R6462">
        <v>0.99889439999999996</v>
      </c>
      <c r="S6462">
        <v>0.18504329999999999</v>
      </c>
      <c r="T6462">
        <v>-0.11752899999999999</v>
      </c>
      <c r="U6462">
        <v>2.99939</v>
      </c>
      <c r="V6462">
        <v>-2.274926E-2</v>
      </c>
      <c r="W6462">
        <v>3.7646760000000001E-2</v>
      </c>
      <c r="X6462">
        <v>0.99903209999999998</v>
      </c>
      <c r="Y6462">
        <v>3.9090590000000002E-4</v>
      </c>
      <c r="Z6462">
        <v>-3.9007500000000001E-2</v>
      </c>
      <c r="AA6462">
        <v>0.99923879999999998</v>
      </c>
      <c r="AB6462">
        <v>28</v>
      </c>
      <c r="AC6462">
        <v>1.73169999999998</v>
      </c>
      <c r="AD6462">
        <v>-1.110056032485</v>
      </c>
      <c r="AE6462">
        <v>28.056159000000001</v>
      </c>
      <c r="AF6462">
        <v>1.30986681101321E-2</v>
      </c>
      <c r="AG6462">
        <v>-1.110056032485</v>
      </c>
      <c r="AH6462">
        <v>28.065779435297799</v>
      </c>
      <c r="AI6462">
        <v>92.264978418542199</v>
      </c>
      <c r="AJ6462">
        <v>89.973259308646902</v>
      </c>
      <c r="AK6462">
        <v>28.087726345881901</v>
      </c>
      <c r="AL6462">
        <v>87.842489642462695</v>
      </c>
      <c r="AM6462">
        <v>91.304473964217294</v>
      </c>
      <c r="AN6462">
        <v>0.99999997209972702</v>
      </c>
    </row>
    <row r="6463" spans="1:40" x14ac:dyDescent="0.25">
      <c r="A6463" t="str">
        <f>"20190312151658196"</f>
        <v>20190312151658196</v>
      </c>
      <c r="B6463" t="str">
        <f>"1552375018184009"</f>
        <v>1552375018184009</v>
      </c>
      <c r="C6463" t="s">
        <v>40</v>
      </c>
      <c r="D6463">
        <v>4.8017919999999998</v>
      </c>
      <c r="E6463">
        <v>0.50851329999999995</v>
      </c>
      <c r="F6463" t="s">
        <v>43</v>
      </c>
      <c r="G6463">
        <v>-185.67590000000001</v>
      </c>
      <c r="H6463" s="1">
        <v>-4.6356189999999996E-6</v>
      </c>
      <c r="I6463">
        <v>-1.3494280000000001</v>
      </c>
      <c r="J6463">
        <v>-187.45750000000001</v>
      </c>
      <c r="K6463">
        <v>1.1100300000000001</v>
      </c>
      <c r="L6463">
        <v>-30.502320000000001</v>
      </c>
      <c r="M6463">
        <v>6.0376390000000002E-2</v>
      </c>
      <c r="N6463">
        <v>0</v>
      </c>
      <c r="O6463">
        <v>0.99811939999999999</v>
      </c>
      <c r="P6463">
        <v>3.8152169999999999E-2</v>
      </c>
      <c r="Q6463">
        <v>2.7131059999999999E-2</v>
      </c>
      <c r="R6463">
        <v>0.9989036</v>
      </c>
      <c r="S6463">
        <v>0.18321229999999999</v>
      </c>
      <c r="T6463">
        <v>-0.1131123</v>
      </c>
      <c r="U6463">
        <v>2.9993289999999999</v>
      </c>
      <c r="V6463">
        <v>-2.2284760000000001E-2</v>
      </c>
      <c r="W6463">
        <v>3.7693459999999998E-2</v>
      </c>
      <c r="X6463">
        <v>0.99904079999999995</v>
      </c>
      <c r="Y6463">
        <v>5.4901129999999996E-4</v>
      </c>
      <c r="Z6463">
        <v>-3.7547789999999998E-2</v>
      </c>
      <c r="AA6463">
        <v>0.99929469999999998</v>
      </c>
      <c r="AB6463">
        <v>28</v>
      </c>
      <c r="AC6463">
        <v>1.7815999999999901</v>
      </c>
      <c r="AD6463">
        <v>-1.1100346356189901</v>
      </c>
      <c r="AE6463">
        <v>29.152891999999898</v>
      </c>
      <c r="AF6463">
        <v>1.80780509560001E-2</v>
      </c>
      <c r="AG6463">
        <v>-1.1100346356189901</v>
      </c>
      <c r="AH6463">
        <v>29.165148018978499</v>
      </c>
      <c r="AI6463">
        <v>92.179642769516803</v>
      </c>
      <c r="AJ6463">
        <v>89.964485148908807</v>
      </c>
      <c r="AK6463">
        <v>29.186270105601501</v>
      </c>
      <c r="AL6463">
        <v>87.839812010969098</v>
      </c>
      <c r="AM6463">
        <v>91.277836692358306</v>
      </c>
      <c r="AN6463">
        <v>0.99999996375983402</v>
      </c>
    </row>
    <row r="6464" spans="1:40" x14ac:dyDescent="0.25">
      <c r="A6464" t="str">
        <f>"20190312151658219"</f>
        <v>20190312151658219</v>
      </c>
      <c r="B6464" t="str">
        <f>"1552375018214261"</f>
        <v>1552375018214261</v>
      </c>
      <c r="C6464" t="s">
        <v>40</v>
      </c>
      <c r="D6464">
        <v>5.0770549999999997</v>
      </c>
      <c r="E6464">
        <v>0.50783219999999996</v>
      </c>
      <c r="F6464" t="s">
        <v>43</v>
      </c>
      <c r="G6464">
        <v>-185.65530000000001</v>
      </c>
      <c r="H6464" s="1">
        <v>-1.164575E-6</v>
      </c>
      <c r="I6464">
        <v>-0.3267775</v>
      </c>
      <c r="J6464">
        <v>-187.44139999999999</v>
      </c>
      <c r="K6464">
        <v>1.110017</v>
      </c>
      <c r="L6464">
        <v>-30.221499999999999</v>
      </c>
      <c r="M6464">
        <v>5.9630210000000003E-2</v>
      </c>
      <c r="N6464">
        <v>0</v>
      </c>
      <c r="O6464">
        <v>0.99816459999999996</v>
      </c>
      <c r="P6464">
        <v>3.7207280000000002E-2</v>
      </c>
      <c r="Q6464">
        <v>2.7011139999999999E-2</v>
      </c>
      <c r="R6464">
        <v>0.99894240000000001</v>
      </c>
      <c r="S6464">
        <v>0.1791382</v>
      </c>
      <c r="T6464">
        <v>-0.11033709999999999</v>
      </c>
      <c r="U6464">
        <v>2.9994510000000001</v>
      </c>
      <c r="V6464">
        <v>-2.2481629999999999E-2</v>
      </c>
      <c r="W6464">
        <v>3.7538589999999997E-2</v>
      </c>
      <c r="X6464">
        <v>0.99904230000000005</v>
      </c>
      <c r="Y6464" s="1">
        <v>-5.6219150000000002E-5</v>
      </c>
      <c r="Z6464">
        <v>-3.6630290000000003E-2</v>
      </c>
      <c r="AA6464">
        <v>0.99932889999999996</v>
      </c>
      <c r="AB6464">
        <v>28</v>
      </c>
      <c r="AC6464">
        <v>1.78609999999997</v>
      </c>
      <c r="AD6464">
        <v>-1.110018164575</v>
      </c>
      <c r="AE6464">
        <v>29.894722499999901</v>
      </c>
      <c r="AF6464">
        <v>1.9295719739931199E-4</v>
      </c>
      <c r="AG6464">
        <v>-1.110018164575</v>
      </c>
      <c r="AH6464">
        <v>29.906945259117201</v>
      </c>
      <c r="AI6464">
        <v>92.125599095038396</v>
      </c>
      <c r="AJ6464">
        <v>89.999630332254199</v>
      </c>
      <c r="AK6464">
        <v>29.927537738590399</v>
      </c>
      <c r="AL6464">
        <v>87.8486918643314</v>
      </c>
      <c r="AM6464">
        <v>91.289119742819693</v>
      </c>
      <c r="AN6464">
        <v>1.0000000433079601</v>
      </c>
    </row>
    <row r="6465" spans="1:40" x14ac:dyDescent="0.25">
      <c r="A6465" t="str">
        <f>"20190312151658242"</f>
        <v>20190312151658242</v>
      </c>
      <c r="B6465" t="str">
        <f>"1552375018233782"</f>
        <v>1552375018233782</v>
      </c>
      <c r="C6465" t="s">
        <v>40</v>
      </c>
      <c r="D6465">
        <v>4.6950609999999999</v>
      </c>
      <c r="E6465">
        <v>0.50752339999999996</v>
      </c>
      <c r="F6465" t="s">
        <v>43</v>
      </c>
      <c r="G6465">
        <v>-185.71709999999999</v>
      </c>
      <c r="H6465" s="1">
        <v>-1.270463E-6</v>
      </c>
      <c r="I6465">
        <v>3.2751469999999998E-2</v>
      </c>
      <c r="J6465">
        <v>-187.42420000000001</v>
      </c>
      <c r="K6465">
        <v>1.110012</v>
      </c>
      <c r="L6465">
        <v>-29.91882</v>
      </c>
      <c r="M6465">
        <v>5.8827209999999998E-2</v>
      </c>
      <c r="N6465">
        <v>0</v>
      </c>
      <c r="O6465">
        <v>0.99821269999999995</v>
      </c>
      <c r="P6465">
        <v>3.6263480000000001E-2</v>
      </c>
      <c r="Q6465">
        <v>2.6806900000000002E-2</v>
      </c>
      <c r="R6465">
        <v>0.9989827</v>
      </c>
      <c r="S6465">
        <v>0.17095949999999999</v>
      </c>
      <c r="T6465">
        <v>-0.1100612</v>
      </c>
      <c r="U6465">
        <v>2.9997859999999998</v>
      </c>
      <c r="V6465">
        <v>-2.26219E-2</v>
      </c>
      <c r="W6465">
        <v>3.729557E-2</v>
      </c>
      <c r="X6465">
        <v>0.99904820000000005</v>
      </c>
      <c r="Y6465">
        <v>-1.9735579999999998E-3</v>
      </c>
      <c r="Z6465">
        <v>-3.6540200000000002E-2</v>
      </c>
      <c r="AA6465">
        <v>0.99933019999999995</v>
      </c>
      <c r="AB6465">
        <v>28</v>
      </c>
      <c r="AC6465">
        <v>1.70710000000002</v>
      </c>
      <c r="AD6465">
        <v>-1.1100132704629999</v>
      </c>
      <c r="AE6465">
        <v>29.951571470000001</v>
      </c>
      <c r="AF6465">
        <v>-5.7842505129805002E-2</v>
      </c>
      <c r="AG6465">
        <v>-1.1100132704629999</v>
      </c>
      <c r="AH6465">
        <v>29.959109974271001</v>
      </c>
      <c r="AI6465">
        <v>92.121888096026098</v>
      </c>
      <c r="AJ6465">
        <v>90.110621687535797</v>
      </c>
      <c r="AK6465">
        <v>29.9797222413162</v>
      </c>
      <c r="AL6465">
        <v>87.862625565734405</v>
      </c>
      <c r="AM6465">
        <v>91.297152571085803</v>
      </c>
      <c r="AN6465">
        <v>1.00000000791223</v>
      </c>
    </row>
    <row r="6466" spans="1:40" x14ac:dyDescent="0.25">
      <c r="A6466" t="str">
        <f>"20190312151658265"</f>
        <v>20190312151658265</v>
      </c>
      <c r="B6466" t="str">
        <f>"1552375018253927"</f>
        <v>1552375018253927</v>
      </c>
      <c r="C6466" t="s">
        <v>40</v>
      </c>
      <c r="D6466">
        <v>4.72715</v>
      </c>
      <c r="E6466">
        <v>0.50726519999999997</v>
      </c>
      <c r="F6466" t="s">
        <v>43</v>
      </c>
      <c r="G6466">
        <v>-185.79400000000001</v>
      </c>
      <c r="H6466" s="1">
        <v>-5.0205249999999997E-6</v>
      </c>
      <c r="I6466">
        <v>-0.40335270000000001</v>
      </c>
      <c r="J6466">
        <v>-187.40809999999999</v>
      </c>
      <c r="K6466">
        <v>1.1100049999999999</v>
      </c>
      <c r="L6466">
        <v>-29.632259999999999</v>
      </c>
      <c r="M6466">
        <v>5.8061700000000001E-2</v>
      </c>
      <c r="N6466">
        <v>0</v>
      </c>
      <c r="O6466">
        <v>0.99825790000000003</v>
      </c>
      <c r="P6466">
        <v>3.4791849999999999E-2</v>
      </c>
      <c r="Q6466">
        <v>2.6881189999999999E-2</v>
      </c>
      <c r="R6466">
        <v>0.99903299999999995</v>
      </c>
      <c r="S6466">
        <v>0.16569519999999999</v>
      </c>
      <c r="T6466">
        <v>-0.1128262</v>
      </c>
      <c r="U6466">
        <v>3.0000610000000001</v>
      </c>
      <c r="V6466">
        <v>-2.3327380000000002E-2</v>
      </c>
      <c r="W6466">
        <v>3.733322E-2</v>
      </c>
      <c r="X6466">
        <v>0.99903059999999999</v>
      </c>
      <c r="Y6466">
        <v>-2.961792E-3</v>
      </c>
      <c r="Z6466">
        <v>-3.7457799999999999E-2</v>
      </c>
      <c r="AA6466">
        <v>0.99929380000000001</v>
      </c>
      <c r="AB6466">
        <v>28</v>
      </c>
      <c r="AC6466">
        <v>1.6140999999999699</v>
      </c>
      <c r="AD6466">
        <v>-1.1100100205250001</v>
      </c>
      <c r="AE6466">
        <v>29.228907299999999</v>
      </c>
      <c r="AF6466">
        <v>-8.5673506141535197E-2</v>
      </c>
      <c r="AG6466">
        <v>-1.1100100205250001</v>
      </c>
      <c r="AH6466">
        <v>29.231285652218901</v>
      </c>
      <c r="AI6466">
        <v>92.174658838246202</v>
      </c>
      <c r="AJ6466">
        <v>90.167926800107495</v>
      </c>
      <c r="AK6466">
        <v>29.252478921912498</v>
      </c>
      <c r="AL6466">
        <v>87.860466940381301</v>
      </c>
      <c r="AM6466">
        <v>91.337614275882004</v>
      </c>
      <c r="AN6466">
        <v>1.00000003785479</v>
      </c>
    </row>
    <row r="6467" spans="1:40" x14ac:dyDescent="0.25">
      <c r="A6467" t="str">
        <f>"20190312151658288"</f>
        <v>20190312151658288</v>
      </c>
      <c r="B6467" t="str">
        <f>"1552375018284183"</f>
        <v>1552375018284183</v>
      </c>
      <c r="C6467" t="s">
        <v>40</v>
      </c>
      <c r="D6467">
        <v>4.7360290000000003</v>
      </c>
      <c r="E6467">
        <v>0.50704769999999999</v>
      </c>
      <c r="F6467" t="s">
        <v>43</v>
      </c>
      <c r="G6467">
        <v>-185.83240000000001</v>
      </c>
      <c r="H6467" s="1">
        <v>-1.2528859999999999E-6</v>
      </c>
      <c r="I6467">
        <v>7.1211990000000003E-2</v>
      </c>
      <c r="J6467">
        <v>-187.39230000000001</v>
      </c>
      <c r="K6467">
        <v>1.1099969999999999</v>
      </c>
      <c r="L6467">
        <v>-29.34506</v>
      </c>
      <c r="M6467">
        <v>5.7286650000000001E-2</v>
      </c>
      <c r="N6467">
        <v>0</v>
      </c>
      <c r="O6467">
        <v>0.99830300000000005</v>
      </c>
      <c r="P6467">
        <v>3.2940909999999997E-2</v>
      </c>
      <c r="Q6467">
        <v>2.6732780000000001E-2</v>
      </c>
      <c r="R6467">
        <v>0.99909970000000003</v>
      </c>
      <c r="S6467">
        <v>0.15916440000000001</v>
      </c>
      <c r="T6467">
        <v>-0.1121224</v>
      </c>
      <c r="U6467">
        <v>3.0003660000000001</v>
      </c>
      <c r="V6467">
        <v>-2.4403190000000002E-2</v>
      </c>
      <c r="W6467">
        <v>3.7148340000000002E-2</v>
      </c>
      <c r="X6467">
        <v>0.99901180000000001</v>
      </c>
      <c r="Y6467">
        <v>-4.359272E-3</v>
      </c>
      <c r="Z6467">
        <v>-3.7225290000000001E-2</v>
      </c>
      <c r="AA6467">
        <v>0.9992974</v>
      </c>
      <c r="AB6467">
        <v>28</v>
      </c>
      <c r="AC6467">
        <v>1.5598999999999901</v>
      </c>
      <c r="AD6467">
        <v>-1.109998252886</v>
      </c>
      <c r="AE6467">
        <v>29.416271989999899</v>
      </c>
      <c r="AF6467">
        <v>-0.127732458617972</v>
      </c>
      <c r="AG6467">
        <v>-1.109998252886</v>
      </c>
      <c r="AH6467">
        <v>29.4155584057354</v>
      </c>
      <c r="AI6467">
        <v>92.161014749826506</v>
      </c>
      <c r="AJ6467">
        <v>90.248796391553597</v>
      </c>
      <c r="AK6467">
        <v>29.436771018976</v>
      </c>
      <c r="AL6467">
        <v>87.8710671535339</v>
      </c>
      <c r="AM6467">
        <v>91.399304586638195</v>
      </c>
      <c r="AN6467">
        <v>1.00000004569308</v>
      </c>
    </row>
    <row r="6468" spans="1:40" x14ac:dyDescent="0.25">
      <c r="A6468" t="str">
        <f>"20190312151658309"</f>
        <v>20190312151658309</v>
      </c>
      <c r="B6468" t="str">
        <f>"1552375018304679"</f>
        <v>1552375018304679</v>
      </c>
      <c r="C6468" t="s">
        <v>40</v>
      </c>
      <c r="D6468">
        <v>4.7342279999999999</v>
      </c>
      <c r="E6468">
        <v>0.50687700000000002</v>
      </c>
      <c r="F6468" t="s">
        <v>43</v>
      </c>
      <c r="G6468">
        <v>-185.89859999999999</v>
      </c>
      <c r="H6468" s="1">
        <v>-1.2782929999999999E-6</v>
      </c>
      <c r="I6468">
        <v>0.1975904</v>
      </c>
      <c r="J6468">
        <v>-187.3768</v>
      </c>
      <c r="K6468">
        <v>1.1099950000000001</v>
      </c>
      <c r="L6468">
        <v>-29.060420000000001</v>
      </c>
      <c r="M6468">
        <v>5.6511440000000003E-2</v>
      </c>
      <c r="N6468">
        <v>0</v>
      </c>
      <c r="O6468">
        <v>0.99834750000000005</v>
      </c>
      <c r="P6468">
        <v>3.1679569999999997E-2</v>
      </c>
      <c r="Q6468">
        <v>2.6361039999999999E-2</v>
      </c>
      <c r="R6468">
        <v>0.99915039999999999</v>
      </c>
      <c r="S6468">
        <v>0.15171809999999999</v>
      </c>
      <c r="T6468">
        <v>-0.1127446</v>
      </c>
      <c r="U6468">
        <v>3.000702</v>
      </c>
      <c r="V6468">
        <v>-2.4888980000000002E-2</v>
      </c>
      <c r="W6468">
        <v>3.6740910000000002E-2</v>
      </c>
      <c r="X6468">
        <v>0.99901490000000004</v>
      </c>
      <c r="Y6468">
        <v>-6.0621819999999898E-3</v>
      </c>
      <c r="Z6468">
        <v>-3.7432090000000001E-2</v>
      </c>
      <c r="AA6468">
        <v>0.99928079999999997</v>
      </c>
      <c r="AB6468">
        <v>28</v>
      </c>
      <c r="AC6468">
        <v>1.47820000000001</v>
      </c>
      <c r="AD6468">
        <v>-1.109996278293</v>
      </c>
      <c r="AE6468">
        <v>29.2580104</v>
      </c>
      <c r="AF6468">
        <v>-0.177409986101839</v>
      </c>
      <c r="AG6468">
        <v>-1.109996278293</v>
      </c>
      <c r="AH6468">
        <v>29.2527927968946</v>
      </c>
      <c r="AI6468">
        <v>92.173004049141895</v>
      </c>
      <c r="AJ6468">
        <v>90.347478577401503</v>
      </c>
      <c r="AK6468">
        <v>29.274382187486701</v>
      </c>
      <c r="AL6468">
        <v>87.894427156273593</v>
      </c>
      <c r="AM6468">
        <v>91.427144461686595</v>
      </c>
      <c r="AN6468">
        <v>1.0000000631075301</v>
      </c>
    </row>
    <row r="6469" spans="1:40" x14ac:dyDescent="0.25">
      <c r="A6469" t="str">
        <f>"20190312151658331"</f>
        <v>20190312151658331</v>
      </c>
      <c r="B6469" t="str">
        <f>"1552375018324199"</f>
        <v>1552375018324199</v>
      </c>
      <c r="C6469" t="s">
        <v>40</v>
      </c>
      <c r="D6469">
        <v>4.7195049999999998</v>
      </c>
      <c r="E6469">
        <v>0.50676659999999996</v>
      </c>
      <c r="F6469" t="s">
        <v>43</v>
      </c>
      <c r="G6469">
        <v>-185.99719999999999</v>
      </c>
      <c r="H6469" s="1">
        <v>-4.8181849999999997E-6</v>
      </c>
      <c r="I6469">
        <v>-0.79101180000000004</v>
      </c>
      <c r="J6469">
        <v>-187.36259999999999</v>
      </c>
      <c r="K6469">
        <v>1.1099969999999999</v>
      </c>
      <c r="L6469">
        <v>-28.796659999999999</v>
      </c>
      <c r="M6469">
        <v>5.5788820000000003E-2</v>
      </c>
      <c r="N6469">
        <v>0</v>
      </c>
      <c r="O6469">
        <v>0.99838850000000001</v>
      </c>
      <c r="P6469">
        <v>3.0744230000000001E-2</v>
      </c>
      <c r="Q6469">
        <v>2.6833389999999999E-2</v>
      </c>
      <c r="R6469">
        <v>0.99916700000000003</v>
      </c>
      <c r="S6469">
        <v>0.1464539</v>
      </c>
      <c r="T6469">
        <v>-0.1178347</v>
      </c>
      <c r="U6469">
        <v>3.001007</v>
      </c>
      <c r="V6469">
        <v>-2.510103E-2</v>
      </c>
      <c r="W6469">
        <v>3.7180739999999997E-2</v>
      </c>
      <c r="X6469">
        <v>0.99899329999999997</v>
      </c>
      <c r="Y6469">
        <v>-7.0952380000000002E-3</v>
      </c>
      <c r="Z6469">
        <v>-3.9119500000000001E-2</v>
      </c>
      <c r="AA6469">
        <v>0.99920929999999997</v>
      </c>
      <c r="AB6469">
        <v>29</v>
      </c>
      <c r="AC6469">
        <v>1.36539999999999</v>
      </c>
      <c r="AD6469">
        <v>-1.110001818185</v>
      </c>
      <c r="AE6469">
        <v>28.0056482</v>
      </c>
      <c r="AF6469">
        <v>-0.198901448587088</v>
      </c>
      <c r="AG6469">
        <v>-1.110001818185</v>
      </c>
      <c r="AH6469">
        <v>27.9943326262742</v>
      </c>
      <c r="AI6469">
        <v>92.270585236731407</v>
      </c>
      <c r="AJ6469">
        <v>90.407083174067196</v>
      </c>
      <c r="AK6469">
        <v>28.017036335292602</v>
      </c>
      <c r="AL6469">
        <v>87.869209477624395</v>
      </c>
      <c r="AM6469">
        <v>91.439329510952604</v>
      </c>
      <c r="AN6469">
        <v>1.0000000412894401</v>
      </c>
    </row>
    <row r="6470" spans="1:40" x14ac:dyDescent="0.25">
      <c r="A6470" t="str">
        <f>"20190312151658353"</f>
        <v>20190312151658353</v>
      </c>
      <c r="B6470" t="str">
        <f>"1552375018344695"</f>
        <v>1552375018344695</v>
      </c>
      <c r="C6470" t="s">
        <v>40</v>
      </c>
      <c r="D6470">
        <v>4.6731429999999996</v>
      </c>
      <c r="E6470">
        <v>0.50669649999999999</v>
      </c>
      <c r="F6470" t="s">
        <v>43</v>
      </c>
      <c r="G6470">
        <v>-186.04259999999999</v>
      </c>
      <c r="H6470" s="1">
        <v>-4.7047320000000001E-6</v>
      </c>
      <c r="I6470">
        <v>-1.0366799999999901</v>
      </c>
      <c r="J6470">
        <v>-187.3475</v>
      </c>
      <c r="K6470">
        <v>1.109998</v>
      </c>
      <c r="L6470">
        <v>-28.510280000000002</v>
      </c>
      <c r="M6470">
        <v>5.5001679999999997E-2</v>
      </c>
      <c r="N6470">
        <v>0</v>
      </c>
      <c r="O6470">
        <v>0.9984326</v>
      </c>
      <c r="P6470">
        <v>2.9431189999999999E-2</v>
      </c>
      <c r="Q6470">
        <v>2.750907E-2</v>
      </c>
      <c r="R6470">
        <v>0.99918819999999997</v>
      </c>
      <c r="S6470">
        <v>0.1427155</v>
      </c>
      <c r="T6470">
        <v>-0.1200107</v>
      </c>
      <c r="U6470">
        <v>3.0013429999999999</v>
      </c>
      <c r="V6470">
        <v>-2.562679E-2</v>
      </c>
      <c r="W6470">
        <v>3.7820680000000002E-2</v>
      </c>
      <c r="X6470">
        <v>0.99895590000000001</v>
      </c>
      <c r="Y6470">
        <v>-7.5553479999999999E-3</v>
      </c>
      <c r="Z6470">
        <v>-3.9840069999999998E-2</v>
      </c>
      <c r="AA6470">
        <v>0.99917750000000005</v>
      </c>
      <c r="AB6470">
        <v>29</v>
      </c>
      <c r="AC6470">
        <v>1.3048999999999999</v>
      </c>
      <c r="AD6470">
        <v>-1.110002704732</v>
      </c>
      <c r="AE6470">
        <v>27.473600000000001</v>
      </c>
      <c r="AF6470">
        <v>-0.207911990033778</v>
      </c>
      <c r="AG6470">
        <v>-1.110002704732</v>
      </c>
      <c r="AH6470">
        <v>27.459060957597998</v>
      </c>
      <c r="AI6470">
        <v>92.314793003919505</v>
      </c>
      <c r="AJ6470">
        <v>90.433818618736396</v>
      </c>
      <c r="AK6470">
        <v>27.482273597233402</v>
      </c>
      <c r="AL6470">
        <v>87.832517747515098</v>
      </c>
      <c r="AM6470">
        <v>91.469519261172096</v>
      </c>
      <c r="AN6470">
        <v>1.00000001317308</v>
      </c>
    </row>
    <row r="6471" spans="1:40" x14ac:dyDescent="0.25">
      <c r="A6471" t="str">
        <f>"20190312151658374"</f>
        <v>20190312151658374</v>
      </c>
      <c r="B6471" t="str">
        <f>"1552375018364215"</f>
        <v>1552375018364215</v>
      </c>
      <c r="C6471" t="s">
        <v>40</v>
      </c>
      <c r="D6471">
        <v>4.7386599999999897</v>
      </c>
      <c r="E6471">
        <v>0.50658429999999999</v>
      </c>
      <c r="F6471" t="s">
        <v>43</v>
      </c>
      <c r="G6471">
        <v>-186.07749999999999</v>
      </c>
      <c r="H6471" s="1">
        <v>-4.7534729999999998E-6</v>
      </c>
      <c r="I6471">
        <v>-0.90864370000000005</v>
      </c>
      <c r="J6471">
        <v>-187.333</v>
      </c>
      <c r="K6471">
        <v>1.110004</v>
      </c>
      <c r="L6471">
        <v>-28.233519999999999</v>
      </c>
      <c r="M6471">
        <v>5.4240249999999997E-2</v>
      </c>
      <c r="N6471">
        <v>0</v>
      </c>
      <c r="O6471">
        <v>0.99847459999999999</v>
      </c>
      <c r="P6471">
        <v>2.841072E-2</v>
      </c>
      <c r="Q6471">
        <v>2.8632049999999999E-2</v>
      </c>
      <c r="R6471">
        <v>0.99918620000000002</v>
      </c>
      <c r="S6471">
        <v>0.13810729999999999</v>
      </c>
      <c r="T6471">
        <v>-0.1207128</v>
      </c>
      <c r="U6471">
        <v>3.0016780000000001</v>
      </c>
      <c r="V6471">
        <v>-2.5885310000000002E-2</v>
      </c>
      <c r="W6471">
        <v>3.8907539999999997E-2</v>
      </c>
      <c r="X6471">
        <v>0.99890749999999995</v>
      </c>
      <c r="Y6471">
        <v>-8.3290450000000002E-3</v>
      </c>
      <c r="Z6471">
        <v>-4.0072089999999998E-2</v>
      </c>
      <c r="AA6471">
        <v>0.99916210000000005</v>
      </c>
      <c r="AB6471">
        <v>29</v>
      </c>
      <c r="AC6471">
        <v>1.2555000000000101</v>
      </c>
      <c r="AD6471">
        <v>-1.1100087534729901</v>
      </c>
      <c r="AE6471">
        <v>27.3248763</v>
      </c>
      <c r="AF6471">
        <v>-0.22815971185179301</v>
      </c>
      <c r="AG6471">
        <v>-1.1100087534729901</v>
      </c>
      <c r="AH6471">
        <v>27.307781361384102</v>
      </c>
      <c r="AI6471">
        <v>92.327600590330405</v>
      </c>
      <c r="AJ6471">
        <v>90.478701810060301</v>
      </c>
      <c r="AK6471">
        <v>27.331284257569301</v>
      </c>
      <c r="AL6471">
        <v>87.770199391874002</v>
      </c>
      <c r="AM6471">
        <v>91.484408885537405</v>
      </c>
      <c r="AN6471">
        <v>1.0000000197494401</v>
      </c>
    </row>
    <row r="6472" spans="1:40" x14ac:dyDescent="0.25">
      <c r="A6472" t="str">
        <f>"20190312151658398"</f>
        <v>20190312151658398</v>
      </c>
      <c r="B6472" t="str">
        <f>"1552375018394471"</f>
        <v>1552375018394471</v>
      </c>
      <c r="C6472" t="s">
        <v>40</v>
      </c>
      <c r="D6472">
        <v>4.7657030000000002</v>
      </c>
      <c r="E6472">
        <v>0.50652429999999904</v>
      </c>
      <c r="F6472" t="s">
        <v>43</v>
      </c>
      <c r="G6472">
        <v>-186.089</v>
      </c>
      <c r="H6472" s="1">
        <v>-4.9567039999999996E-6</v>
      </c>
      <c r="I6472">
        <v>-0.43014619999999998</v>
      </c>
      <c r="J6472">
        <v>-187.3176</v>
      </c>
      <c r="K6472">
        <v>1.1100030000000001</v>
      </c>
      <c r="L6472">
        <v>-27.931609999999999</v>
      </c>
      <c r="M6472">
        <v>5.3409930000000001E-2</v>
      </c>
      <c r="N6472">
        <v>0</v>
      </c>
      <c r="O6472">
        <v>0.99851970000000001</v>
      </c>
      <c r="P6472">
        <v>2.7602990000000001E-2</v>
      </c>
      <c r="Q6472">
        <v>2.9359699999999999E-2</v>
      </c>
      <c r="R6472">
        <v>0.99918770000000001</v>
      </c>
      <c r="S6472">
        <v>0.1343231</v>
      </c>
      <c r="T6472">
        <v>-0.1198535</v>
      </c>
      <c r="U6472">
        <v>3.002075</v>
      </c>
      <c r="V6472">
        <v>-2.5862219999999998E-2</v>
      </c>
      <c r="W6472">
        <v>3.9598429999999997E-2</v>
      </c>
      <c r="X6472">
        <v>0.99888089999999996</v>
      </c>
      <c r="Y6472">
        <v>-8.7599069999999904E-3</v>
      </c>
      <c r="Z6472">
        <v>-3.978578E-2</v>
      </c>
      <c r="AA6472">
        <v>0.9991698</v>
      </c>
      <c r="AB6472">
        <v>29</v>
      </c>
      <c r="AC6472">
        <v>1.2285999999999699</v>
      </c>
      <c r="AD6472">
        <v>-1.110007956704</v>
      </c>
      <c r="AE6472">
        <v>27.5014638</v>
      </c>
      <c r="AF6472">
        <v>-0.24168981197580899</v>
      </c>
      <c r="AG6472">
        <v>-1.110007956704</v>
      </c>
      <c r="AH6472">
        <v>27.483146043417101</v>
      </c>
      <c r="AI6472">
        <v>92.312754442908201</v>
      </c>
      <c r="AJ6472">
        <v>90.503852404397705</v>
      </c>
      <c r="AK6472">
        <v>27.506614623994501</v>
      </c>
      <c r="AL6472">
        <v>87.730583669025606</v>
      </c>
      <c r="AM6472">
        <v>91.483124843674503</v>
      </c>
      <c r="AN6472">
        <v>0.99999997123330098</v>
      </c>
    </row>
    <row r="6473" spans="1:40" x14ac:dyDescent="0.25">
      <c r="A6473" t="str">
        <f>"20190312151658418"</f>
        <v>20190312151658418</v>
      </c>
      <c r="B6473" t="str">
        <f>"1552375018413991"</f>
        <v>1552375018413991</v>
      </c>
      <c r="C6473" t="s">
        <v>40</v>
      </c>
      <c r="D6473">
        <v>4.7723589999999998</v>
      </c>
      <c r="E6473">
        <v>0.50656140000000005</v>
      </c>
      <c r="F6473" t="s">
        <v>43</v>
      </c>
      <c r="G6473">
        <v>-186.1163</v>
      </c>
      <c r="H6473" s="1">
        <v>-4.925151E-6</v>
      </c>
      <c r="I6473">
        <v>-0.4924135</v>
      </c>
      <c r="J6473">
        <v>-187.30420000000001</v>
      </c>
      <c r="K6473">
        <v>1.109998</v>
      </c>
      <c r="L6473">
        <v>-27.66724</v>
      </c>
      <c r="M6473">
        <v>5.2683109999999998E-2</v>
      </c>
      <c r="N6473">
        <v>0</v>
      </c>
      <c r="O6473">
        <v>0.99855870000000002</v>
      </c>
      <c r="P6473">
        <v>2.7277019999999999E-2</v>
      </c>
      <c r="Q6473">
        <v>2.949595E-2</v>
      </c>
      <c r="R6473">
        <v>0.99919270000000004</v>
      </c>
      <c r="S6473">
        <v>0.13143920000000001</v>
      </c>
      <c r="T6473">
        <v>-0.12145639999999901</v>
      </c>
      <c r="U6473">
        <v>3.00238</v>
      </c>
      <c r="V6473">
        <v>-2.5461060000000001E-2</v>
      </c>
      <c r="W6473">
        <v>3.9699909999999998E-2</v>
      </c>
      <c r="X6473">
        <v>0.99888719999999998</v>
      </c>
      <c r="Y6473">
        <v>-8.9953689999999996E-3</v>
      </c>
      <c r="Z6473">
        <v>-4.0316070000000002E-2</v>
      </c>
      <c r="AA6473">
        <v>0.99914650000000005</v>
      </c>
      <c r="AB6473">
        <v>29</v>
      </c>
      <c r="AC6473">
        <v>1.1879000000000099</v>
      </c>
      <c r="AD6473">
        <v>-1.110002925151</v>
      </c>
      <c r="AE6473">
        <v>27.174826500000002</v>
      </c>
      <c r="AF6473">
        <v>-0.24507127281931501</v>
      </c>
      <c r="AG6473">
        <v>-1.110002925151</v>
      </c>
      <c r="AH6473">
        <v>27.1544502898373</v>
      </c>
      <c r="AI6473">
        <v>92.340703217806507</v>
      </c>
      <c r="AJ6473">
        <v>90.517085348547596</v>
      </c>
      <c r="AK6473">
        <v>27.178232778564698</v>
      </c>
      <c r="AL6473">
        <v>87.7247647678996</v>
      </c>
      <c r="AM6473">
        <v>91.460120289758095</v>
      </c>
      <c r="AN6473">
        <v>0.99999999337708501</v>
      </c>
    </row>
    <row r="6474" spans="1:40" x14ac:dyDescent="0.25">
      <c r="A6474" t="str">
        <f>"20190312151658442"</f>
        <v>20190312151658442</v>
      </c>
      <c r="B6474" t="str">
        <f>"1552375018434487"</f>
        <v>1552375018434487</v>
      </c>
      <c r="C6474" t="s">
        <v>40</v>
      </c>
      <c r="D6474">
        <v>4.7599819999999999</v>
      </c>
      <c r="E6474">
        <v>0.50658289999999995</v>
      </c>
      <c r="F6474" t="s">
        <v>43</v>
      </c>
      <c r="G6474">
        <v>-186.107</v>
      </c>
      <c r="H6474" s="1">
        <v>-1.1150779999999999E-6</v>
      </c>
      <c r="I6474">
        <v>-0.11903270000000001</v>
      </c>
      <c r="J6474">
        <v>-187.28960000000001</v>
      </c>
      <c r="K6474">
        <v>1.1100019999999999</v>
      </c>
      <c r="L6474">
        <v>-27.37378</v>
      </c>
      <c r="M6474">
        <v>5.187663E-2</v>
      </c>
      <c r="N6474">
        <v>0</v>
      </c>
      <c r="O6474">
        <v>0.99860139999999997</v>
      </c>
      <c r="P6474">
        <v>2.6837699999999999E-2</v>
      </c>
      <c r="Q6474">
        <v>2.983742E-2</v>
      </c>
      <c r="R6474">
        <v>0.99919440000000004</v>
      </c>
      <c r="S6474">
        <v>0.13047790000000001</v>
      </c>
      <c r="T6474">
        <v>-0.1209773</v>
      </c>
      <c r="U6474">
        <v>3.0024410000000001</v>
      </c>
      <c r="V6474">
        <v>-2.5093540000000001E-2</v>
      </c>
      <c r="W6474">
        <v>3.999436E-2</v>
      </c>
      <c r="X6474">
        <v>0.99888469999999996</v>
      </c>
      <c r="Y6474">
        <v>-8.5076630000000004E-3</v>
      </c>
      <c r="Z6474">
        <v>-4.0159399999999998E-2</v>
      </c>
      <c r="AA6474">
        <v>0.99915710000000002</v>
      </c>
      <c r="AB6474">
        <v>29</v>
      </c>
      <c r="AC6474">
        <v>1.1826000000000001</v>
      </c>
      <c r="AD6474">
        <v>-1.1100031150780001</v>
      </c>
      <c r="AE6474">
        <v>27.254747299999998</v>
      </c>
      <c r="AF6474">
        <v>-0.23256551825435801</v>
      </c>
      <c r="AG6474">
        <v>-1.1100031150780001</v>
      </c>
      <c r="AH6474">
        <v>27.234309218845301</v>
      </c>
      <c r="AI6474">
        <v>92.333857536106905</v>
      </c>
      <c r="AJ6474">
        <v>90.489261492482299</v>
      </c>
      <c r="AK6474">
        <v>27.257912470756899</v>
      </c>
      <c r="AL6474">
        <v>87.707880491684605</v>
      </c>
      <c r="AM6474">
        <v>91.439056577322205</v>
      </c>
      <c r="AN6474">
        <v>0.99999993923781305</v>
      </c>
    </row>
    <row r="6475" spans="1:40" x14ac:dyDescent="0.25">
      <c r="A6475" t="str">
        <f>"20190312151658467"</f>
        <v>20190312151658467</v>
      </c>
      <c r="B6475" t="str">
        <f>"1552375018454514"</f>
        <v>1552375018454514</v>
      </c>
      <c r="C6475" t="s">
        <v>40</v>
      </c>
      <c r="D6475">
        <v>4.7340549999999997</v>
      </c>
      <c r="E6475">
        <v>0.50645969999999996</v>
      </c>
      <c r="F6475" t="s">
        <v>43</v>
      </c>
      <c r="G6475">
        <v>-186.1044</v>
      </c>
      <c r="H6475" s="1">
        <v>-1.1962150000000001E-6</v>
      </c>
      <c r="I6475">
        <v>0.11737789999999999</v>
      </c>
      <c r="J6475">
        <v>-187.2741</v>
      </c>
      <c r="K6475">
        <v>1.1099859999999999</v>
      </c>
      <c r="L6475">
        <v>-27.05716</v>
      </c>
      <c r="M6475">
        <v>5.1006549999999998E-2</v>
      </c>
      <c r="N6475">
        <v>0</v>
      </c>
      <c r="O6475">
        <v>0.9986469</v>
      </c>
      <c r="P6475">
        <v>2.638443E-2</v>
      </c>
      <c r="Q6475">
        <v>2.976796E-2</v>
      </c>
      <c r="R6475">
        <v>0.9992086</v>
      </c>
      <c r="S6475">
        <v>0.12944030000000001</v>
      </c>
      <c r="T6475">
        <v>-0.1212337</v>
      </c>
      <c r="U6475">
        <v>3.0025629999999999</v>
      </c>
      <c r="V6475">
        <v>-2.4675949999999999E-2</v>
      </c>
      <c r="W6475">
        <v>3.9856660000000002E-2</v>
      </c>
      <c r="X6475">
        <v>0.99890069999999997</v>
      </c>
      <c r="Y6475">
        <v>-7.982912E-3</v>
      </c>
      <c r="Z6475">
        <v>-4.024585E-2</v>
      </c>
      <c r="AA6475">
        <v>0.99915790000000004</v>
      </c>
      <c r="AB6475">
        <v>29</v>
      </c>
      <c r="AC6475">
        <v>1.1697</v>
      </c>
      <c r="AD6475">
        <v>-1.1099871962150001</v>
      </c>
      <c r="AE6475">
        <v>27.174537900000001</v>
      </c>
      <c r="AF6475">
        <v>-0.21761094032584999</v>
      </c>
      <c r="AG6475">
        <v>-1.1099871962150001</v>
      </c>
      <c r="AH6475">
        <v>27.1536066182348</v>
      </c>
      <c r="AI6475">
        <v>92.340762869040006</v>
      </c>
      <c r="AJ6475">
        <v>90.459162634178796</v>
      </c>
      <c r="AK6475">
        <v>27.177155452235201</v>
      </c>
      <c r="AL6475">
        <v>87.7157766291174</v>
      </c>
      <c r="AM6475">
        <v>91.415095917622693</v>
      </c>
      <c r="AN6475">
        <v>1.0000000321576199</v>
      </c>
    </row>
    <row r="6476" spans="1:40" x14ac:dyDescent="0.25">
      <c r="A6476" t="str">
        <f>"20190312151658489"</f>
        <v>20190312151658489</v>
      </c>
      <c r="B6476" t="str">
        <f>"1552375018483795"</f>
        <v>1552375018483795</v>
      </c>
      <c r="C6476" t="s">
        <v>40</v>
      </c>
      <c r="D6476">
        <v>4.9885890000000002</v>
      </c>
      <c r="E6476">
        <v>0.50617489999999998</v>
      </c>
      <c r="F6476" t="s">
        <v>43</v>
      </c>
      <c r="G6476">
        <v>-186.1233</v>
      </c>
      <c r="H6476" s="1">
        <v>-1.1784480000000001E-6</v>
      </c>
      <c r="I6476">
        <v>7.988402E-2</v>
      </c>
      <c r="J6476">
        <v>-187.26009999999999</v>
      </c>
      <c r="K6476">
        <v>1.10997099999999</v>
      </c>
      <c r="L6476">
        <v>-26.767150000000001</v>
      </c>
      <c r="M6476">
        <v>5.0209429999999999E-2</v>
      </c>
      <c r="N6476">
        <v>0</v>
      </c>
      <c r="O6476">
        <v>0.99868809999999997</v>
      </c>
      <c r="P6476">
        <v>2.5957770000000002E-2</v>
      </c>
      <c r="Q6476">
        <v>2.9831679999999999E-2</v>
      </c>
      <c r="R6476">
        <v>0.99921780000000004</v>
      </c>
      <c r="S6476">
        <v>0.12733459999999999</v>
      </c>
      <c r="T6476">
        <v>-0.122818899999999</v>
      </c>
      <c r="U6476">
        <v>3.0026860000000002</v>
      </c>
      <c r="V6476">
        <v>-2.430539E-2</v>
      </c>
      <c r="W6476">
        <v>3.9843330000000003E-2</v>
      </c>
      <c r="X6476">
        <v>0.99891030000000003</v>
      </c>
      <c r="Y6476">
        <v>-7.8867680000000006E-3</v>
      </c>
      <c r="Z6476">
        <v>-4.0772669999999997E-2</v>
      </c>
      <c r="AA6476">
        <v>0.99913730000000001</v>
      </c>
      <c r="AB6476">
        <v>29</v>
      </c>
      <c r="AC6476">
        <v>1.13679999999999</v>
      </c>
      <c r="AD6476">
        <v>-1.1099721784479999</v>
      </c>
      <c r="AE6476">
        <v>26.847034019999999</v>
      </c>
      <c r="AF6476">
        <v>-0.212314123398542</v>
      </c>
      <c r="AG6476">
        <v>-1.1099721784479999</v>
      </c>
      <c r="AH6476">
        <v>26.824479277087601</v>
      </c>
      <c r="AI6476">
        <v>92.369420553438005</v>
      </c>
      <c r="AJ6476">
        <v>90.453483143558898</v>
      </c>
      <c r="AK6476">
        <v>26.848273762214699</v>
      </c>
      <c r="AL6476">
        <v>87.716540950213499</v>
      </c>
      <c r="AM6476">
        <v>91.393840406931801</v>
      </c>
      <c r="AN6476">
        <v>1.0000000151873101</v>
      </c>
    </row>
    <row r="6477" spans="1:40" x14ac:dyDescent="0.25">
      <c r="A6477" t="str">
        <f>"20190312151658509"</f>
        <v>20190312151658509</v>
      </c>
      <c r="B6477" t="str">
        <f>"1552375018504290"</f>
        <v>1552375018504290</v>
      </c>
      <c r="C6477" t="s">
        <v>40</v>
      </c>
      <c r="D6477">
        <v>4.7642350000000002</v>
      </c>
      <c r="E6477">
        <v>0.50596390000000002</v>
      </c>
      <c r="F6477" t="s">
        <v>43</v>
      </c>
      <c r="G6477">
        <v>-186.12350000000001</v>
      </c>
      <c r="H6477" s="1">
        <v>-1.4372209999999999E-6</v>
      </c>
      <c r="I6477">
        <v>0.8404741</v>
      </c>
      <c r="J6477">
        <v>-187.2474</v>
      </c>
      <c r="K6477">
        <v>1.1099490000000001</v>
      </c>
      <c r="L6477">
        <v>-26.500029999999999</v>
      </c>
      <c r="M6477">
        <v>4.9474919999999999E-2</v>
      </c>
      <c r="N6477">
        <v>0</v>
      </c>
      <c r="O6477">
        <v>0.99872559999999999</v>
      </c>
      <c r="P6477">
        <v>2.5186190000000001E-2</v>
      </c>
      <c r="Q6477">
        <v>2.985196E-2</v>
      </c>
      <c r="R6477">
        <v>0.99923689999999998</v>
      </c>
      <c r="S6477">
        <v>0.12362670000000001</v>
      </c>
      <c r="T6477">
        <v>-0.12072620000000001</v>
      </c>
      <c r="U6477">
        <v>3.0027469999999998</v>
      </c>
      <c r="V6477">
        <v>-2.434213E-2</v>
      </c>
      <c r="W6477">
        <v>3.9780910000000003E-2</v>
      </c>
      <c r="X6477">
        <v>0.99891189999999996</v>
      </c>
      <c r="Y6477">
        <v>-8.3826170000000002E-3</v>
      </c>
      <c r="Z6477">
        <v>-4.008142E-2</v>
      </c>
      <c r="AA6477">
        <v>0.99916119999999997</v>
      </c>
      <c r="AB6477">
        <v>29</v>
      </c>
      <c r="AC6477">
        <v>1.1238999999999899</v>
      </c>
      <c r="AD6477">
        <v>-1.1099504372210001</v>
      </c>
      <c r="AE6477">
        <v>27.3405041</v>
      </c>
      <c r="AF6477">
        <v>-0.22983483309257</v>
      </c>
      <c r="AG6477">
        <v>-1.1099504372210001</v>
      </c>
      <c r="AH6477">
        <v>27.3176788827679</v>
      </c>
      <c r="AI6477">
        <v>92.326634958088206</v>
      </c>
      <c r="AJ6477">
        <v>90.482041511529403</v>
      </c>
      <c r="AK6477">
        <v>27.3411849334591</v>
      </c>
      <c r="AL6477">
        <v>87.720120206001297</v>
      </c>
      <c r="AM6477">
        <v>91.395944266399198</v>
      </c>
      <c r="AN6477">
        <v>1.0000000220274801</v>
      </c>
    </row>
    <row r="6478" spans="1:40" x14ac:dyDescent="0.25">
      <c r="A6478" t="str">
        <f>"20190312151658531"</f>
        <v>20190312151658531</v>
      </c>
      <c r="B6478" t="str">
        <f>"1552375018523810"</f>
        <v>1552375018523810</v>
      </c>
      <c r="C6478" t="s">
        <v>40</v>
      </c>
      <c r="D6478">
        <v>4.9466010000000002</v>
      </c>
      <c r="E6478">
        <v>0.50111439999999996</v>
      </c>
      <c r="F6478" t="s">
        <v>43</v>
      </c>
      <c r="G6478">
        <v>-186.13470000000001</v>
      </c>
      <c r="H6478" s="1">
        <v>-1.6315639999999901E-6</v>
      </c>
      <c r="I6478">
        <v>1.4203330000000001</v>
      </c>
      <c r="J6478">
        <v>-187.23400000000001</v>
      </c>
      <c r="K6478">
        <v>1.1099289999999999</v>
      </c>
      <c r="L6478">
        <v>-26.211120000000001</v>
      </c>
      <c r="M6478">
        <v>4.868078E-2</v>
      </c>
      <c r="N6478">
        <v>0</v>
      </c>
      <c r="O6478">
        <v>0.99876560000000003</v>
      </c>
      <c r="P6478">
        <v>2.4236870000000001E-2</v>
      </c>
      <c r="Q6478">
        <v>3.003923E-2</v>
      </c>
      <c r="R6478">
        <v>0.9992548</v>
      </c>
      <c r="S6478">
        <v>0.11967469999999999</v>
      </c>
      <c r="T6478">
        <v>-0.1193753</v>
      </c>
      <c r="U6478">
        <v>3.0028380000000001</v>
      </c>
      <c r="V6478">
        <v>-2.4496839999999999E-2</v>
      </c>
      <c r="W6478">
        <v>3.9870009999999997E-2</v>
      </c>
      <c r="X6478">
        <v>0.99890449999999997</v>
      </c>
      <c r="Y6478">
        <v>-8.9008390000000007E-3</v>
      </c>
      <c r="Z6478">
        <v>-3.9635709999999998E-2</v>
      </c>
      <c r="AA6478">
        <v>0.99917449999999997</v>
      </c>
      <c r="AB6478">
        <v>29</v>
      </c>
      <c r="AC6478">
        <v>1.09929999999999</v>
      </c>
      <c r="AD6478">
        <v>-1.1099306315639901</v>
      </c>
      <c r="AE6478">
        <v>27.631453</v>
      </c>
      <c r="AF6478">
        <v>-0.246792122297604</v>
      </c>
      <c r="AG6478">
        <v>-1.1099306315639901</v>
      </c>
      <c r="AH6478">
        <v>27.607730770064901</v>
      </c>
      <c r="AI6478">
        <v>92.302165818562699</v>
      </c>
      <c r="AJ6478">
        <v>90.512167063426503</v>
      </c>
      <c r="AK6478">
        <v>27.6311355291617</v>
      </c>
      <c r="AL6478">
        <v>87.715010949032902</v>
      </c>
      <c r="AM6478">
        <v>91.4048232549857</v>
      </c>
      <c r="AN6478">
        <v>0.99999995649381601</v>
      </c>
    </row>
    <row r="6479" spans="1:40" x14ac:dyDescent="0.25">
      <c r="A6479" t="str">
        <f>"20190312151658553"</f>
        <v>20190312151658553</v>
      </c>
      <c r="B6479" t="str">
        <f>"1552375018544306"</f>
        <v>1552375018544306</v>
      </c>
      <c r="C6479" t="s">
        <v>40</v>
      </c>
      <c r="D6479">
        <v>4.9572929999999999</v>
      </c>
      <c r="E6479">
        <v>0.49482280000000001</v>
      </c>
      <c r="F6479" t="s">
        <v>43</v>
      </c>
      <c r="G6479">
        <v>-184.0993</v>
      </c>
      <c r="H6479" s="1">
        <v>-2.336447E-6</v>
      </c>
      <c r="I6479">
        <v>91.900220000000004</v>
      </c>
      <c r="J6479">
        <v>-187.22120000000001</v>
      </c>
      <c r="K6479">
        <v>1.1099139999999901</v>
      </c>
      <c r="L6479">
        <v>-25.932559999999999</v>
      </c>
      <c r="M6479">
        <v>4.7914989999999998E-2</v>
      </c>
      <c r="N6479">
        <v>0</v>
      </c>
      <c r="O6479">
        <v>0.99880360000000001</v>
      </c>
      <c r="P6479">
        <v>2.3411359999999999E-2</v>
      </c>
      <c r="Q6479">
        <v>2.991218E-2</v>
      </c>
      <c r="R6479">
        <v>0.99927829999999995</v>
      </c>
      <c r="S6479">
        <v>7.9650879999999993E-2</v>
      </c>
      <c r="T6479">
        <v>-2.8202890000000001E-2</v>
      </c>
      <c r="U6479">
        <v>3.00116</v>
      </c>
      <c r="V6479">
        <v>-2.4556129999999999E-2</v>
      </c>
      <c r="W6479">
        <v>3.9641790000000003E-2</v>
      </c>
      <c r="X6479">
        <v>0.99891220000000003</v>
      </c>
      <c r="Y6479">
        <v>-2.1401360000000001E-2</v>
      </c>
      <c r="Z6479">
        <v>-9.3780029999999993E-3</v>
      </c>
      <c r="AA6479">
        <v>0.99972700000000003</v>
      </c>
      <c r="AB6479">
        <v>29</v>
      </c>
      <c r="AC6479">
        <v>3.1219000000000099</v>
      </c>
      <c r="AD6479">
        <v>-1.1099163364469999</v>
      </c>
      <c r="AE6479">
        <v>117.83278</v>
      </c>
      <c r="AF6479">
        <v>-2.5276881425215101</v>
      </c>
      <c r="AG6479">
        <v>-1.1099163364469999</v>
      </c>
      <c r="AH6479">
        <v>117.836571546708</v>
      </c>
      <c r="AI6479">
        <v>90.539535526028402</v>
      </c>
      <c r="AJ6479">
        <v>91.228851565305405</v>
      </c>
      <c r="AK6479">
        <v>117.86890478621601</v>
      </c>
      <c r="AL6479">
        <v>87.728097503451195</v>
      </c>
      <c r="AM6479">
        <v>91.408211147577703</v>
      </c>
      <c r="AN6479">
        <v>1.00000002917191</v>
      </c>
    </row>
    <row r="6480" spans="1:40" x14ac:dyDescent="0.25">
      <c r="A6480" t="str">
        <f>"20190312151658576"</f>
        <v>20190312151658576</v>
      </c>
      <c r="B6480" t="str">
        <f>"1552375018564334"</f>
        <v>1552375018564334</v>
      </c>
      <c r="C6480" t="s">
        <v>40</v>
      </c>
      <c r="D6480">
        <v>4.7852410000000001</v>
      </c>
      <c r="E6480">
        <v>0.49558029999999997</v>
      </c>
      <c r="F6480" t="s">
        <v>43</v>
      </c>
      <c r="G6480">
        <v>-186.7756</v>
      </c>
      <c r="H6480" s="1">
        <v>-2.6485219999999999E-6</v>
      </c>
      <c r="I6480">
        <v>24.473310000000001</v>
      </c>
      <c r="J6480">
        <v>-187.2079</v>
      </c>
      <c r="K6480">
        <v>1.109899</v>
      </c>
      <c r="L6480">
        <v>-25.637329999999999</v>
      </c>
      <c r="M6480">
        <v>4.7104060000000003E-2</v>
      </c>
      <c r="N6480">
        <v>0</v>
      </c>
      <c r="O6480">
        <v>0.99884329999999999</v>
      </c>
      <c r="P6480">
        <v>2.2471120000000001E-2</v>
      </c>
      <c r="Q6480">
        <v>2.9818609999999999E-2</v>
      </c>
      <c r="R6480">
        <v>0.99930269999999999</v>
      </c>
      <c r="S6480">
        <v>2.6550290000000001E-2</v>
      </c>
      <c r="T6480">
        <v>-6.6136719999999996E-2</v>
      </c>
      <c r="U6480">
        <v>3.0035400000000001</v>
      </c>
      <c r="V6480">
        <v>-2.4684930000000001E-2</v>
      </c>
      <c r="W6480">
        <v>3.9438809999999998E-2</v>
      </c>
      <c r="X6480">
        <v>0.99891700000000005</v>
      </c>
      <c r="Y6480">
        <v>-3.827705E-2</v>
      </c>
      <c r="Z6480">
        <v>-2.196911E-2</v>
      </c>
      <c r="AA6480">
        <v>0.99902559999999996</v>
      </c>
      <c r="AB6480">
        <v>29</v>
      </c>
      <c r="AC6480">
        <v>0.43229999999999702</v>
      </c>
      <c r="AD6480">
        <v>-1.1099016485219999</v>
      </c>
      <c r="AE6480">
        <v>50.110639999999997</v>
      </c>
      <c r="AF6480">
        <v>-1.9277589334587499</v>
      </c>
      <c r="AG6480">
        <v>-1.1099016485219999</v>
      </c>
      <c r="AH6480">
        <v>50.050823353285502</v>
      </c>
      <c r="AI6480">
        <v>91.269412992283407</v>
      </c>
      <c r="AJ6480">
        <v>92.205715586856101</v>
      </c>
      <c r="AK6480">
        <v>50.100230084468699</v>
      </c>
      <c r="AL6480">
        <v>87.739736366795697</v>
      </c>
      <c r="AM6480">
        <v>91.4155875956328</v>
      </c>
      <c r="AN6480">
        <v>0.99999996919615997</v>
      </c>
    </row>
    <row r="6481" spans="1:40" x14ac:dyDescent="0.25">
      <c r="A6481" t="str">
        <f>"20190312151658598"</f>
        <v>20190312151658598</v>
      </c>
      <c r="B6481" t="str">
        <f>"1552375018594590"</f>
        <v>1552375018594590</v>
      </c>
      <c r="C6481" t="s">
        <v>40</v>
      </c>
      <c r="D6481">
        <v>4.747725</v>
      </c>
      <c r="E6481">
        <v>0.49832409999999999</v>
      </c>
      <c r="F6481" t="s">
        <v>43</v>
      </c>
      <c r="G6481">
        <v>-186.70310000000001</v>
      </c>
      <c r="H6481" s="1">
        <v>-3.1140000000000002E-6</v>
      </c>
      <c r="I6481">
        <v>25.52835</v>
      </c>
      <c r="J6481">
        <v>-187.1952</v>
      </c>
      <c r="K6481">
        <v>1.109883</v>
      </c>
      <c r="L6481">
        <v>-25.34958</v>
      </c>
      <c r="M6481">
        <v>4.6314250000000001E-2</v>
      </c>
      <c r="N6481">
        <v>0</v>
      </c>
      <c r="O6481">
        <v>0.99888120000000002</v>
      </c>
      <c r="P6481">
        <v>2.1374509999999999E-2</v>
      </c>
      <c r="Q6481">
        <v>2.9783850000000001E-2</v>
      </c>
      <c r="R6481">
        <v>0.99932779999999999</v>
      </c>
      <c r="S6481">
        <v>2.963257E-2</v>
      </c>
      <c r="T6481">
        <v>-6.5149780000000004E-2</v>
      </c>
      <c r="U6481">
        <v>3.0033569999999998</v>
      </c>
      <c r="V6481">
        <v>-2.4991820000000001E-2</v>
      </c>
      <c r="W6481">
        <v>3.9299689999999998E-2</v>
      </c>
      <c r="X6481">
        <v>0.99891490000000005</v>
      </c>
      <c r="Y6481">
        <v>-3.6461019999999997E-2</v>
      </c>
      <c r="Z6481">
        <v>-2.164458E-2</v>
      </c>
      <c r="AA6481">
        <v>0.99910060000000001</v>
      </c>
      <c r="AB6481">
        <v>29</v>
      </c>
      <c r="AC6481">
        <v>0.49209999999999299</v>
      </c>
      <c r="AD6481">
        <v>-1.109886114</v>
      </c>
      <c r="AE6481">
        <v>50.877929999999999</v>
      </c>
      <c r="AF6481">
        <v>-1.86402193311487</v>
      </c>
      <c r="AG6481">
        <v>-1.109886114</v>
      </c>
      <c r="AH6481">
        <v>50.821938262059298</v>
      </c>
      <c r="AI6481">
        <v>91.250227281821793</v>
      </c>
      <c r="AJ6481">
        <v>92.100524717620999</v>
      </c>
      <c r="AK6481">
        <v>50.868220272246099</v>
      </c>
      <c r="AL6481">
        <v>87.747713648237394</v>
      </c>
      <c r="AM6481">
        <v>91.433182295888898</v>
      </c>
      <c r="AN6481">
        <v>1.0000000170715</v>
      </c>
    </row>
    <row r="6482" spans="1:40" x14ac:dyDescent="0.25">
      <c r="A6482" t="str">
        <f>"20190312151658620"</f>
        <v>20190312151658620</v>
      </c>
      <c r="B6482" t="str">
        <f>"1552375018614110"</f>
        <v>1552375018614110</v>
      </c>
      <c r="C6482" t="s">
        <v>40</v>
      </c>
      <c r="D6482">
        <v>4.7606999999999999</v>
      </c>
      <c r="E6482">
        <v>0.49866729999999998</v>
      </c>
      <c r="F6482" t="s">
        <v>43</v>
      </c>
      <c r="G6482">
        <v>-186.4324</v>
      </c>
      <c r="H6482" s="1">
        <v>-1.7419809999999999E-6</v>
      </c>
      <c r="I6482">
        <v>21.977530000000002</v>
      </c>
      <c r="J6482">
        <v>-187.1824</v>
      </c>
      <c r="K6482">
        <v>1.1098709999999901</v>
      </c>
      <c r="L6482">
        <v>-25.05649</v>
      </c>
      <c r="M6482">
        <v>4.5510139999999998E-2</v>
      </c>
      <c r="N6482">
        <v>0</v>
      </c>
      <c r="O6482">
        <v>0.99891909999999895</v>
      </c>
      <c r="P6482">
        <v>2.0037719999999998E-2</v>
      </c>
      <c r="Q6482">
        <v>2.9529969999999999E-2</v>
      </c>
      <c r="R6482">
        <v>0.999363</v>
      </c>
      <c r="S6482">
        <v>4.840088E-2</v>
      </c>
      <c r="T6482">
        <v>-7.0426340000000004E-2</v>
      </c>
      <c r="U6482">
        <v>3.003082</v>
      </c>
      <c r="V6482">
        <v>-2.5523270000000001E-2</v>
      </c>
      <c r="W6482">
        <v>3.8942810000000001E-2</v>
      </c>
      <c r="X6482">
        <v>0.99891540000000001</v>
      </c>
      <c r="Y6482">
        <v>-2.9412399999999998E-2</v>
      </c>
      <c r="Z6482">
        <v>-2.3401890000000002E-2</v>
      </c>
      <c r="AA6482">
        <v>0.9992934</v>
      </c>
      <c r="AB6482">
        <v>29</v>
      </c>
      <c r="AC6482">
        <v>0.75</v>
      </c>
      <c r="AD6482">
        <v>-1.10987274198099</v>
      </c>
      <c r="AE6482">
        <v>47.034019999999998</v>
      </c>
      <c r="AF6482">
        <v>-1.39062360445974</v>
      </c>
      <c r="AG6482">
        <v>-1.10987274198099</v>
      </c>
      <c r="AH6482">
        <v>46.993256154814397</v>
      </c>
      <c r="AI6482">
        <v>91.352351387750403</v>
      </c>
      <c r="AJ6482">
        <v>91.695001046262703</v>
      </c>
      <c r="AK6482">
        <v>47.026926069483601</v>
      </c>
      <c r="AL6482">
        <v>87.768176943993495</v>
      </c>
      <c r="AM6482">
        <v>91.463645005709495</v>
      </c>
      <c r="AN6482">
        <v>0.999999978059674</v>
      </c>
    </row>
    <row r="6483" spans="1:40" x14ac:dyDescent="0.25">
      <c r="A6483" t="str">
        <f>"20190312151658642"</f>
        <v>20190312151658642</v>
      </c>
      <c r="B6483" t="str">
        <f>"1552375018634606"</f>
        <v>1552375018634606</v>
      </c>
      <c r="C6483" t="s">
        <v>40</v>
      </c>
      <c r="D6483">
        <v>4.765822</v>
      </c>
      <c r="E6483">
        <v>0.49943369999999998</v>
      </c>
      <c r="F6483" t="s">
        <v>43</v>
      </c>
      <c r="G6483">
        <v>-186.44489999999999</v>
      </c>
      <c r="H6483" s="1">
        <v>-1.6664789999999999E-6</v>
      </c>
      <c r="I6483">
        <v>21.76548</v>
      </c>
      <c r="J6483">
        <v>-187.1705</v>
      </c>
      <c r="K6483">
        <v>1.1098589999999999</v>
      </c>
      <c r="L6483">
        <v>-24.776399999999999</v>
      </c>
      <c r="M6483">
        <v>4.4741940000000001E-2</v>
      </c>
      <c r="N6483">
        <v>0</v>
      </c>
      <c r="O6483">
        <v>0.99895469999999997</v>
      </c>
      <c r="P6483">
        <v>1.85057E-2</v>
      </c>
      <c r="Q6483">
        <v>2.9629030000000001E-2</v>
      </c>
      <c r="R6483">
        <v>0.99938959999999999</v>
      </c>
      <c r="S6483">
        <v>4.7302249999999997E-2</v>
      </c>
      <c r="T6483">
        <v>-7.1185349999999994E-2</v>
      </c>
      <c r="U6483">
        <v>3.003082</v>
      </c>
      <c r="V6483">
        <v>-2.6286799999999999E-2</v>
      </c>
      <c r="W6483">
        <v>3.8946620000000001E-2</v>
      </c>
      <c r="X6483">
        <v>0.99889550000000005</v>
      </c>
      <c r="Y6483">
        <v>-2.900925E-2</v>
      </c>
      <c r="Z6483">
        <v>-2.3655389999999998E-2</v>
      </c>
      <c r="AA6483">
        <v>0.99929920000000005</v>
      </c>
      <c r="AB6483">
        <v>29</v>
      </c>
      <c r="AC6483">
        <v>0.72560000000001401</v>
      </c>
      <c r="AD6483">
        <v>-1.1098606664789901</v>
      </c>
      <c r="AE6483">
        <v>46.541879999999999</v>
      </c>
      <c r="AF6483">
        <v>-1.3568206051503799</v>
      </c>
      <c r="AG6483">
        <v>-1.1098606664789901</v>
      </c>
      <c r="AH6483">
        <v>46.501297240320902</v>
      </c>
      <c r="AI6483">
        <v>91.366654882079004</v>
      </c>
      <c r="AJ6483">
        <v>91.671309155420005</v>
      </c>
      <c r="AK6483">
        <v>46.534324942844499</v>
      </c>
      <c r="AL6483">
        <v>87.767958591726497</v>
      </c>
      <c r="AM6483">
        <v>91.507440133153096</v>
      </c>
      <c r="AN6483">
        <v>1.00000002749195</v>
      </c>
    </row>
    <row r="6484" spans="1:40" x14ac:dyDescent="0.25">
      <c r="A6484" t="str">
        <f>"20190312151658666"</f>
        <v>20190312151658666</v>
      </c>
      <c r="B6484" t="str">
        <f>"1552375018654634"</f>
        <v>1552375018654634</v>
      </c>
      <c r="C6484" t="s">
        <v>40</v>
      </c>
      <c r="D6484">
        <v>4.7511299999999999</v>
      </c>
      <c r="E6484">
        <v>0.50009759999999903</v>
      </c>
      <c r="F6484" t="s">
        <v>43</v>
      </c>
      <c r="G6484">
        <v>-186.41300000000001</v>
      </c>
      <c r="H6484" s="1">
        <v>-1.7203259999999999E-6</v>
      </c>
      <c r="I6484">
        <v>21.89875</v>
      </c>
      <c r="J6484">
        <v>-187.1575</v>
      </c>
      <c r="K6484">
        <v>1.109847</v>
      </c>
      <c r="L6484">
        <v>-24.465610000000002</v>
      </c>
      <c r="M6484">
        <v>4.3889629999999999E-2</v>
      </c>
      <c r="N6484">
        <v>0</v>
      </c>
      <c r="O6484">
        <v>0.99899349999999998</v>
      </c>
      <c r="P6484">
        <v>1.6932599999999999E-2</v>
      </c>
      <c r="Q6484">
        <v>3.0108960000000001E-2</v>
      </c>
      <c r="R6484">
        <v>0.99940320000000005</v>
      </c>
      <c r="S6484">
        <v>4.873657E-2</v>
      </c>
      <c r="T6484">
        <v>-7.1407789999999999E-2</v>
      </c>
      <c r="U6484">
        <v>3.0030519999999998</v>
      </c>
      <c r="V6484">
        <v>-2.700752E-2</v>
      </c>
      <c r="W6484">
        <v>3.9324930000000001E-2</v>
      </c>
      <c r="X6484">
        <v>0.99886140000000001</v>
      </c>
      <c r="Y6484">
        <v>-2.767907E-2</v>
      </c>
      <c r="Z6484">
        <v>-2.3731220000000001E-2</v>
      </c>
      <c r="AA6484">
        <v>0.99933510000000003</v>
      </c>
      <c r="AB6484">
        <v>29</v>
      </c>
      <c r="AC6484">
        <v>0.74450000000001604</v>
      </c>
      <c r="AD6484">
        <v>-1.1098487203259999</v>
      </c>
      <c r="AE6484">
        <v>46.364359999999998</v>
      </c>
      <c r="AF6484">
        <v>-1.290480004655</v>
      </c>
      <c r="AG6484">
        <v>-1.1098487203259999</v>
      </c>
      <c r="AH6484">
        <v>46.325817928189103</v>
      </c>
      <c r="AI6484">
        <v>91.371866588619795</v>
      </c>
      <c r="AJ6484">
        <v>91.595653237967497</v>
      </c>
      <c r="AK6484">
        <v>46.357076153918001</v>
      </c>
      <c r="AL6484">
        <v>87.746266292150807</v>
      </c>
      <c r="AM6484">
        <v>91.548803454031599</v>
      </c>
      <c r="AN6484">
        <v>0.99999997633300697</v>
      </c>
    </row>
    <row r="6485" spans="1:40" x14ac:dyDescent="0.25">
      <c r="A6485" t="str">
        <f>"20190312151658690"</f>
        <v>20190312151658690</v>
      </c>
      <c r="B6485" t="str">
        <f>"1552375018683914"</f>
        <v>1552375018683914</v>
      </c>
      <c r="C6485" t="s">
        <v>40</v>
      </c>
      <c r="D6485">
        <v>4.8988959999999997</v>
      </c>
      <c r="E6485">
        <v>0.50073769999999995</v>
      </c>
      <c r="F6485" t="s">
        <v>43</v>
      </c>
      <c r="G6485">
        <v>-186.3809</v>
      </c>
      <c r="H6485" s="1">
        <v>-2.023223E-6</v>
      </c>
      <c r="I6485">
        <v>22.763719999999999</v>
      </c>
      <c r="J6485">
        <v>-187.14449999999999</v>
      </c>
      <c r="K6485">
        <v>1.1098380000000001</v>
      </c>
      <c r="L6485">
        <v>-24.14987</v>
      </c>
      <c r="M6485">
        <v>4.3024149999999997E-2</v>
      </c>
      <c r="N6485">
        <v>0</v>
      </c>
      <c r="O6485">
        <v>0.99903200000000003</v>
      </c>
      <c r="P6485">
        <v>1.5490189999999999E-2</v>
      </c>
      <c r="Q6485">
        <v>3.0444889999999999E-2</v>
      </c>
      <c r="R6485">
        <v>0.99941639999999998</v>
      </c>
      <c r="S6485">
        <v>4.9377440000000002E-2</v>
      </c>
      <c r="T6485">
        <v>-7.0569870000000007E-2</v>
      </c>
      <c r="U6485">
        <v>3.003082</v>
      </c>
      <c r="V6485">
        <v>-2.7584529999999999E-2</v>
      </c>
      <c r="W6485">
        <v>3.9566030000000002E-2</v>
      </c>
      <c r="X6485">
        <v>0.99883619999999995</v>
      </c>
      <c r="Y6485">
        <v>-2.6599859999999999E-2</v>
      </c>
      <c r="Z6485">
        <v>-2.3454300000000001E-2</v>
      </c>
      <c r="AA6485">
        <v>0.99937100000000001</v>
      </c>
      <c r="AB6485">
        <v>29</v>
      </c>
      <c r="AC6485">
        <v>0.76359999999999595</v>
      </c>
      <c r="AD6485">
        <v>-1.1098400232229999</v>
      </c>
      <c r="AE6485">
        <v>46.913589999999999</v>
      </c>
      <c r="AF6485">
        <v>-1.25490709165781</v>
      </c>
      <c r="AG6485">
        <v>-1.1098400232229999</v>
      </c>
      <c r="AH6485">
        <v>46.876772457871397</v>
      </c>
      <c r="AI6485">
        <v>91.355778308082705</v>
      </c>
      <c r="AJ6485">
        <v>91.533461194075201</v>
      </c>
      <c r="AK6485">
        <v>46.9066981651116</v>
      </c>
      <c r="AL6485">
        <v>87.732441722677294</v>
      </c>
      <c r="AM6485">
        <v>91.581916567431094</v>
      </c>
      <c r="AN6485">
        <v>1.0000000657278501</v>
      </c>
    </row>
    <row r="6486" spans="1:40" x14ac:dyDescent="0.25">
      <c r="A6486" t="str">
        <f>"20190312151658710"</f>
        <v>20190312151658710</v>
      </c>
      <c r="B6486" t="str">
        <f>"1552375018704410"</f>
        <v>1552375018704410</v>
      </c>
      <c r="C6486" t="s">
        <v>40</v>
      </c>
      <c r="D6486">
        <v>4.8349010000000003</v>
      </c>
      <c r="E6486">
        <v>0.5010114</v>
      </c>
      <c r="F6486" t="s">
        <v>43</v>
      </c>
      <c r="G6486">
        <v>-186.3389</v>
      </c>
      <c r="H6486" s="1">
        <v>-2.5846650000000001E-6</v>
      </c>
      <c r="I6486">
        <v>24.143879999999999</v>
      </c>
      <c r="J6486">
        <v>-187.13390000000001</v>
      </c>
      <c r="K6486">
        <v>1.1098330000000001</v>
      </c>
      <c r="L6486">
        <v>-23.886780000000002</v>
      </c>
      <c r="M6486">
        <v>4.2303319999999998E-2</v>
      </c>
      <c r="N6486">
        <v>0</v>
      </c>
      <c r="O6486">
        <v>0.99906340000000005</v>
      </c>
      <c r="P6486">
        <v>1.414965E-2</v>
      </c>
      <c r="Q6486">
        <v>3.1011980000000001E-2</v>
      </c>
      <c r="R6486">
        <v>0.9994189</v>
      </c>
      <c r="S6486">
        <v>5.0094600000000003E-2</v>
      </c>
      <c r="T6486">
        <v>-6.9013950000000004E-2</v>
      </c>
      <c r="U6486">
        <v>3.003082</v>
      </c>
      <c r="V6486">
        <v>-2.820361E-2</v>
      </c>
      <c r="W6486">
        <v>4.0062500000000001E-2</v>
      </c>
      <c r="X6486">
        <v>0.99879899999999999</v>
      </c>
      <c r="Y6486">
        <v>-2.5639769999999999E-2</v>
      </c>
      <c r="Z6486">
        <v>-2.2938759999999999E-2</v>
      </c>
      <c r="AA6486">
        <v>0.99940799999999996</v>
      </c>
      <c r="AB6486">
        <v>29</v>
      </c>
      <c r="AC6486">
        <v>0.79500000000001503</v>
      </c>
      <c r="AD6486">
        <v>-1.1098355846650001</v>
      </c>
      <c r="AE6486">
        <v>48.030659999999997</v>
      </c>
      <c r="AF6486">
        <v>-1.2369919069873601</v>
      </c>
      <c r="AG6486">
        <v>-1.1098355846650001</v>
      </c>
      <c r="AH6486">
        <v>47.995673524042502</v>
      </c>
      <c r="AI6486">
        <v>91.324212426150396</v>
      </c>
      <c r="AJ6486">
        <v>91.476356594401594</v>
      </c>
      <c r="AK6486">
        <v>48.024437123504299</v>
      </c>
      <c r="AL6486">
        <v>87.7039732386678</v>
      </c>
      <c r="AM6486">
        <v>91.617461100017806</v>
      </c>
      <c r="AN6486">
        <v>0.99999994496213895</v>
      </c>
    </row>
    <row r="6487" spans="1:40" x14ac:dyDescent="0.25">
      <c r="A6487" t="str">
        <f>"20190312151658732"</f>
        <v>20190312151658732</v>
      </c>
      <c r="B6487" t="str">
        <f>"1552375018723930"</f>
        <v>1552375018723930</v>
      </c>
      <c r="C6487" t="s">
        <v>40</v>
      </c>
      <c r="D6487">
        <v>4.8864989999999997</v>
      </c>
      <c r="E6487">
        <v>0.5016718</v>
      </c>
      <c r="F6487" t="s">
        <v>43</v>
      </c>
      <c r="G6487">
        <v>-186.31569999999999</v>
      </c>
      <c r="H6487" s="1">
        <v>-3.8788330000000003E-6</v>
      </c>
      <c r="I6487">
        <v>27.151039999999998</v>
      </c>
      <c r="J6487">
        <v>-187.12200000000001</v>
      </c>
      <c r="K6487">
        <v>1.1098319999999999</v>
      </c>
      <c r="L6487">
        <v>-23.586729999999999</v>
      </c>
      <c r="M6487">
        <v>4.1481629999999999E-2</v>
      </c>
      <c r="N6487">
        <v>0</v>
      </c>
      <c r="O6487">
        <v>0.99909840000000005</v>
      </c>
      <c r="P6487">
        <v>1.276861E-2</v>
      </c>
      <c r="Q6487">
        <v>3.0895579999999999E-2</v>
      </c>
      <c r="R6487">
        <v>0.99944100000000002</v>
      </c>
      <c r="S6487">
        <v>4.814148E-2</v>
      </c>
      <c r="T6487">
        <v>-6.530321E-2</v>
      </c>
      <c r="U6487">
        <v>3.003082</v>
      </c>
      <c r="V6487">
        <v>-2.8762949999999999E-2</v>
      </c>
      <c r="W6487">
        <v>3.9874769999999997E-2</v>
      </c>
      <c r="X6487">
        <v>0.99879059999999997</v>
      </c>
      <c r="Y6487">
        <v>-2.5466949999999999E-2</v>
      </c>
      <c r="Z6487">
        <v>-2.1707270000000001E-2</v>
      </c>
      <c r="AA6487">
        <v>0.99944</v>
      </c>
      <c r="AB6487">
        <v>29</v>
      </c>
      <c r="AC6487">
        <v>0.806300000000021</v>
      </c>
      <c r="AD6487">
        <v>-1.1098358788329901</v>
      </c>
      <c r="AE6487">
        <v>50.737769999999998</v>
      </c>
      <c r="AF6487">
        <v>-1.29854425153647</v>
      </c>
      <c r="AG6487">
        <v>-1.1098358788329901</v>
      </c>
      <c r="AH6487">
        <v>50.703288869723799</v>
      </c>
      <c r="AI6487">
        <v>91.253526676940496</v>
      </c>
      <c r="AJ6487">
        <v>91.467061535529695</v>
      </c>
      <c r="AK6487">
        <v>50.732055498055701</v>
      </c>
      <c r="AL6487">
        <v>87.714738066063802</v>
      </c>
      <c r="AM6487">
        <v>91.6495352482942</v>
      </c>
      <c r="AN6487">
        <v>0.99999998361180698</v>
      </c>
    </row>
    <row r="6488" spans="1:40" x14ac:dyDescent="0.25">
      <c r="A6488" t="str">
        <f>"20190312151658755"</f>
        <v>20190312151658755</v>
      </c>
      <c r="B6488" t="str">
        <f>"1552375018744426"</f>
        <v>1552375018744426</v>
      </c>
      <c r="C6488" t="s">
        <v>40</v>
      </c>
      <c r="D6488">
        <v>4.8044190000000002</v>
      </c>
      <c r="E6488">
        <v>0.50235929999999995</v>
      </c>
      <c r="F6488" t="s">
        <v>43</v>
      </c>
      <c r="G6488">
        <v>-186.2645</v>
      </c>
      <c r="H6488" s="1">
        <v>-4.4953949999999998E-6</v>
      </c>
      <c r="I6488">
        <v>28.567070000000001</v>
      </c>
      <c r="J6488">
        <v>-187.11080000000001</v>
      </c>
      <c r="K6488">
        <v>1.109831</v>
      </c>
      <c r="L6488">
        <v>-23.29504</v>
      </c>
      <c r="M6488">
        <v>4.0682980000000001E-2</v>
      </c>
      <c r="N6488">
        <v>0</v>
      </c>
      <c r="O6488">
        <v>0.99913180000000001</v>
      </c>
      <c r="P6488">
        <v>1.1619040000000001E-2</v>
      </c>
      <c r="Q6488">
        <v>3.049106E-2</v>
      </c>
      <c r="R6488">
        <v>0.99946749999999995</v>
      </c>
      <c r="S6488">
        <v>4.9377440000000002E-2</v>
      </c>
      <c r="T6488">
        <v>-6.3904520000000006E-2</v>
      </c>
      <c r="U6488">
        <v>3.0030209999999999</v>
      </c>
      <c r="V6488">
        <v>-2.911354E-2</v>
      </c>
      <c r="W6488">
        <v>3.9409270000000003E-2</v>
      </c>
      <c r="X6488">
        <v>0.99879890000000005</v>
      </c>
      <c r="Y6488">
        <v>-2.4256079999999999E-2</v>
      </c>
      <c r="Z6488">
        <v>-2.1244280000000001E-2</v>
      </c>
      <c r="AA6488">
        <v>0.99948000000000004</v>
      </c>
      <c r="AB6488">
        <v>30</v>
      </c>
      <c r="AC6488">
        <v>0.84630000000001304</v>
      </c>
      <c r="AD6488">
        <v>-1.109835495395</v>
      </c>
      <c r="AE6488">
        <v>51.862109999999902</v>
      </c>
      <c r="AF6488">
        <v>-1.2638122533183</v>
      </c>
      <c r="AG6488">
        <v>-1.109835495395</v>
      </c>
      <c r="AH6488">
        <v>51.829872438665703</v>
      </c>
      <c r="AI6488">
        <v>91.226325352656104</v>
      </c>
      <c r="AJ6488">
        <v>91.396815363505894</v>
      </c>
      <c r="AK6488">
        <v>51.8571560466522</v>
      </c>
      <c r="AL6488">
        <v>87.741430193127698</v>
      </c>
      <c r="AM6488">
        <v>91.6696161631275</v>
      </c>
      <c r="AN6488">
        <v>0.99999996570723604</v>
      </c>
    </row>
    <row r="6489" spans="1:40" x14ac:dyDescent="0.25">
      <c r="A6489" t="str">
        <f>"20190312151658778"</f>
        <v>20190312151658778</v>
      </c>
      <c r="B6489" t="str">
        <f>"1552375018774213"</f>
        <v>1552375018774213</v>
      </c>
      <c r="C6489" t="s">
        <v>40</v>
      </c>
      <c r="D6489">
        <v>4.8992709999999997</v>
      </c>
      <c r="E6489">
        <v>0.51028050000000003</v>
      </c>
      <c r="F6489" t="s">
        <v>43</v>
      </c>
      <c r="G6489">
        <v>-186.18049999999999</v>
      </c>
      <c r="H6489" s="1">
        <v>-1.431079E-6</v>
      </c>
      <c r="I6489">
        <v>30.867010000000001</v>
      </c>
      <c r="J6489">
        <v>-187.0992</v>
      </c>
      <c r="K6489">
        <v>1.109828</v>
      </c>
      <c r="L6489">
        <v>-22.98856</v>
      </c>
      <c r="M6489">
        <v>3.98441E-2</v>
      </c>
      <c r="N6489">
        <v>0</v>
      </c>
      <c r="O6489">
        <v>0.99916609999999995</v>
      </c>
      <c r="P6489">
        <v>1.0841399999999999E-2</v>
      </c>
      <c r="Q6489">
        <v>3.0649160000000002E-2</v>
      </c>
      <c r="R6489">
        <v>0.99947140000000001</v>
      </c>
      <c r="S6489">
        <v>5.1574710000000003E-2</v>
      </c>
      <c r="T6489">
        <v>-6.1531660000000002E-2</v>
      </c>
      <c r="U6489">
        <v>3.002869</v>
      </c>
      <c r="V6489">
        <v>-2.9052459999999999E-2</v>
      </c>
      <c r="W6489">
        <v>3.9513140000000002E-2</v>
      </c>
      <c r="X6489">
        <v>0.99879660000000003</v>
      </c>
      <c r="Y6489">
        <v>-2.2684429999999998E-2</v>
      </c>
      <c r="Z6489">
        <v>-2.045812E-2</v>
      </c>
      <c r="AA6489">
        <v>0.99953340000000002</v>
      </c>
      <c r="AB6489">
        <v>30</v>
      </c>
      <c r="AC6489">
        <v>0.91870000000000096</v>
      </c>
      <c r="AD6489">
        <v>-1.109829431079</v>
      </c>
      <c r="AE6489">
        <v>53.855569999999901</v>
      </c>
      <c r="AF6489">
        <v>-1.2274205677111001</v>
      </c>
      <c r="AG6489">
        <v>-1.109829431079</v>
      </c>
      <c r="AH6489">
        <v>53.826554725457399</v>
      </c>
      <c r="AI6489">
        <v>91.180885805068002</v>
      </c>
      <c r="AJ6489">
        <v>91.306303790150494</v>
      </c>
      <c r="AK6489">
        <v>53.8519848866204</v>
      </c>
      <c r="AL6489">
        <v>87.735474298351804</v>
      </c>
      <c r="AM6489">
        <v>91.666119131211801</v>
      </c>
      <c r="AN6489">
        <v>0.99999999091813496</v>
      </c>
    </row>
    <row r="6490" spans="1:40" x14ac:dyDescent="0.25">
      <c r="A6490" t="str">
        <f>"20190312151658799"</f>
        <v>20190312151658799</v>
      </c>
      <c r="B6490" t="str">
        <f>"1552375018794709"</f>
        <v>1552375018794709</v>
      </c>
      <c r="C6490" t="s">
        <v>40</v>
      </c>
      <c r="D6490">
        <v>4.6833159999999996</v>
      </c>
      <c r="E6490">
        <v>0.50923809999999903</v>
      </c>
      <c r="F6490" t="s">
        <v>43</v>
      </c>
      <c r="G6490">
        <v>-179.95779999999999</v>
      </c>
      <c r="H6490">
        <v>1.7943939999999999E-2</v>
      </c>
      <c r="I6490">
        <v>166.67670000000001</v>
      </c>
      <c r="J6490">
        <v>-187.0889</v>
      </c>
      <c r="K6490">
        <v>1.1098300000000001</v>
      </c>
      <c r="L6490">
        <v>-22.711549999999999</v>
      </c>
      <c r="M6490">
        <v>3.9086030000000001E-2</v>
      </c>
      <c r="N6490">
        <v>0</v>
      </c>
      <c r="O6490">
        <v>0.99919639999999998</v>
      </c>
      <c r="P6490">
        <v>9.7218040000000006E-3</v>
      </c>
      <c r="Q6490">
        <v>3.098484E-2</v>
      </c>
      <c r="R6490">
        <v>0.99947260000000004</v>
      </c>
      <c r="S6490">
        <v>0.1129913</v>
      </c>
      <c r="T6490">
        <v>-1.7275809999999999E-2</v>
      </c>
      <c r="U6490">
        <v>3.0008849999999998</v>
      </c>
      <c r="V6490">
        <v>-2.9413600000000002E-2</v>
      </c>
      <c r="W6490">
        <v>3.9805210000000001E-2</v>
      </c>
      <c r="X6490">
        <v>0.99877450000000001</v>
      </c>
      <c r="Y6490">
        <v>-1.4632619999999999E-3</v>
      </c>
      <c r="Z6490">
        <v>-5.7481729999999997E-3</v>
      </c>
      <c r="AA6490">
        <v>0.99998240000000005</v>
      </c>
      <c r="AB6490">
        <v>30</v>
      </c>
      <c r="AC6490">
        <v>7.1311</v>
      </c>
      <c r="AD6490">
        <v>-1.09188605999999</v>
      </c>
      <c r="AE6490">
        <v>189.38825</v>
      </c>
      <c r="AF6490">
        <v>-0.27706709877522601</v>
      </c>
      <c r="AG6490">
        <v>-1.09188605999999</v>
      </c>
      <c r="AH6490">
        <v>189.51596436044599</v>
      </c>
      <c r="AI6490">
        <v>90.330102554162195</v>
      </c>
      <c r="AJ6490">
        <v>90.083764785437893</v>
      </c>
      <c r="AK6490">
        <v>189.51931228456601</v>
      </c>
      <c r="AL6490">
        <v>87.718726897573603</v>
      </c>
      <c r="AM6490">
        <v>91.686855430776106</v>
      </c>
      <c r="AN6490">
        <v>1.0000000582291699</v>
      </c>
    </row>
    <row r="6491" spans="1:40" x14ac:dyDescent="0.25">
      <c r="A6491" t="str">
        <f>"20190312151658821"</f>
        <v>20190312151658821</v>
      </c>
      <c r="B6491" t="str">
        <f>"1552375018814228"</f>
        <v>1552375018814228</v>
      </c>
      <c r="C6491" t="s">
        <v>40</v>
      </c>
      <c r="D6491">
        <v>4.7832319999999999</v>
      </c>
      <c r="E6491">
        <v>0.50884259999999903</v>
      </c>
      <c r="F6491" t="s">
        <v>43</v>
      </c>
      <c r="G6491">
        <v>-183.99959999999999</v>
      </c>
      <c r="H6491" s="1">
        <v>-5.0564899999999999E-6</v>
      </c>
      <c r="I6491">
        <v>68.938500000000005</v>
      </c>
      <c r="J6491">
        <v>-187.07810000000001</v>
      </c>
      <c r="K6491">
        <v>1.1098319999999999</v>
      </c>
      <c r="L6491">
        <v>-22.41348</v>
      </c>
      <c r="M6491">
        <v>3.8270560000000002E-2</v>
      </c>
      <c r="N6491">
        <v>0</v>
      </c>
      <c r="O6491">
        <v>0.99922840000000002</v>
      </c>
      <c r="P6491">
        <v>8.6332719999999905E-3</v>
      </c>
      <c r="Q6491">
        <v>3.119837E-2</v>
      </c>
      <c r="R6491">
        <v>0.99947600000000003</v>
      </c>
      <c r="S6491">
        <v>0.10118099999999999</v>
      </c>
      <c r="T6491">
        <v>-3.6349529999999998E-2</v>
      </c>
      <c r="U6491">
        <v>3.0017399999999999</v>
      </c>
      <c r="V6491">
        <v>-2.9686290000000001E-2</v>
      </c>
      <c r="W6491">
        <v>3.997912E-2</v>
      </c>
      <c r="X6491">
        <v>0.99875939999999996</v>
      </c>
      <c r="Y6491">
        <v>-4.589147E-3</v>
      </c>
      <c r="Z6491">
        <v>-1.20918E-2</v>
      </c>
      <c r="AA6491">
        <v>0.99991640000000004</v>
      </c>
      <c r="AB6491">
        <v>30</v>
      </c>
      <c r="AC6491">
        <v>3.07850000000002</v>
      </c>
      <c r="AD6491">
        <v>-1.10983705649</v>
      </c>
      <c r="AE6491">
        <v>91.351979999999998</v>
      </c>
      <c r="AF6491">
        <v>-0.41992126591189399</v>
      </c>
      <c r="AG6491">
        <v>-1.10983705649</v>
      </c>
      <c r="AH6491">
        <v>91.3893984354862</v>
      </c>
      <c r="AI6491">
        <v>90.695761034672302</v>
      </c>
      <c r="AJ6491">
        <v>90.263264091421803</v>
      </c>
      <c r="AK6491">
        <v>91.397101806138096</v>
      </c>
      <c r="AL6491">
        <v>87.708754454524694</v>
      </c>
      <c r="AM6491">
        <v>91.702510630631295</v>
      </c>
      <c r="AN6491">
        <v>0.99999997246914796</v>
      </c>
    </row>
    <row r="6492" spans="1:40" x14ac:dyDescent="0.25">
      <c r="A6492" t="str">
        <f>"20190312151658844"</f>
        <v>20190312151658844</v>
      </c>
      <c r="B6492" t="str">
        <f>"1552375018833749"</f>
        <v>1552375018833749</v>
      </c>
      <c r="C6492" t="s">
        <v>40</v>
      </c>
      <c r="D6492">
        <v>4.6704129999999999</v>
      </c>
      <c r="E6492">
        <v>0.50913699999999995</v>
      </c>
      <c r="F6492" t="s">
        <v>43</v>
      </c>
      <c r="G6492">
        <v>-184.73249999999999</v>
      </c>
      <c r="H6492" s="1">
        <v>-2.180425E-6</v>
      </c>
      <c r="I6492">
        <v>51.936819999999997</v>
      </c>
      <c r="J6492">
        <v>-187.06739999999999</v>
      </c>
      <c r="K6492">
        <v>1.1098239999999999</v>
      </c>
      <c r="L6492">
        <v>-22.11215</v>
      </c>
      <c r="M6492">
        <v>3.7446309999999997E-2</v>
      </c>
      <c r="N6492">
        <v>0</v>
      </c>
      <c r="O6492">
        <v>0.99925989999999998</v>
      </c>
      <c r="P6492">
        <v>7.6479950000000003E-3</v>
      </c>
      <c r="Q6492">
        <v>3.1200269999999999E-2</v>
      </c>
      <c r="R6492">
        <v>0.99948389999999998</v>
      </c>
      <c r="S6492">
        <v>9.4711299999999998E-2</v>
      </c>
      <c r="T6492">
        <v>-4.481363E-2</v>
      </c>
      <c r="U6492">
        <v>3.002167</v>
      </c>
      <c r="V6492">
        <v>-2.9847769999999999E-2</v>
      </c>
      <c r="W6492">
        <v>3.9946240000000001E-2</v>
      </c>
      <c r="X6492">
        <v>0.99875590000000003</v>
      </c>
      <c r="Y6492">
        <v>-5.9227940000000003E-3</v>
      </c>
      <c r="Z6492">
        <v>-1.49059E-2</v>
      </c>
      <c r="AA6492">
        <v>0.99987139999999997</v>
      </c>
      <c r="AB6492">
        <v>30</v>
      </c>
      <c r="AC6492">
        <v>2.3349000000000002</v>
      </c>
      <c r="AD6492">
        <v>-1.109826180425</v>
      </c>
      <c r="AE6492">
        <v>74.048969999999997</v>
      </c>
      <c r="AF6492">
        <v>-0.43960711617551101</v>
      </c>
      <c r="AG6492">
        <v>-1.109826180425</v>
      </c>
      <c r="AH6492">
        <v>74.067846345955203</v>
      </c>
      <c r="AI6492">
        <v>90.858435627447406</v>
      </c>
      <c r="AJ6492">
        <v>90.340057634883294</v>
      </c>
      <c r="AK6492">
        <v>74.077465067963601</v>
      </c>
      <c r="AL6492">
        <v>87.710639839392599</v>
      </c>
      <c r="AM6492">
        <v>91.711772019233806</v>
      </c>
      <c r="AN6492">
        <v>0.99999996962445903</v>
      </c>
    </row>
    <row r="6493" spans="1:40" x14ac:dyDescent="0.25">
      <c r="A6493" t="str">
        <f>"20190312151658867"</f>
        <v>20190312151658867</v>
      </c>
      <c r="B6493" t="str">
        <f>"1552375018864513"</f>
        <v>1552375018864513</v>
      </c>
      <c r="C6493" t="s">
        <v>40</v>
      </c>
      <c r="D6493">
        <v>5.7332530000000004</v>
      </c>
      <c r="E6493">
        <v>0.50943499999999997</v>
      </c>
      <c r="F6493" t="s">
        <v>43</v>
      </c>
      <c r="G6493">
        <v>-185.08609999999999</v>
      </c>
      <c r="H6493" s="1">
        <v>-1.8068950000000001E-6</v>
      </c>
      <c r="I6493">
        <v>41.115630000000003</v>
      </c>
      <c r="J6493">
        <v>-187.0565</v>
      </c>
      <c r="K6493">
        <v>1.109818</v>
      </c>
      <c r="L6493">
        <v>-21.796810000000001</v>
      </c>
      <c r="M6493">
        <v>3.6584020000000002E-2</v>
      </c>
      <c r="N6493">
        <v>0</v>
      </c>
      <c r="O6493">
        <v>0.99929210000000002</v>
      </c>
      <c r="P6493">
        <v>7.031916E-3</v>
      </c>
      <c r="Q6493">
        <v>3.120272E-2</v>
      </c>
      <c r="R6493">
        <v>0.99948840000000005</v>
      </c>
      <c r="S6493">
        <v>9.408569E-2</v>
      </c>
      <c r="T6493">
        <v>-5.2701829999999998E-2</v>
      </c>
      <c r="U6493">
        <v>3.002472</v>
      </c>
      <c r="V6493">
        <v>-2.9601590000000001E-2</v>
      </c>
      <c r="W6493">
        <v>3.9919089999999997E-2</v>
      </c>
      <c r="X6493">
        <v>0.99876430000000005</v>
      </c>
      <c r="Y6493">
        <v>-5.2725530000000001E-3</v>
      </c>
      <c r="Z6493">
        <v>-1.752807E-2</v>
      </c>
      <c r="AA6493">
        <v>0.99983250000000001</v>
      </c>
      <c r="AB6493">
        <v>30</v>
      </c>
      <c r="AC6493">
        <v>1.9704000000000099</v>
      </c>
      <c r="AD6493">
        <v>-1.109819806895</v>
      </c>
      <c r="AE6493">
        <v>62.912439999999997</v>
      </c>
      <c r="AF6493">
        <v>-0.33249423041054499</v>
      </c>
      <c r="AG6493">
        <v>-1.109819806895</v>
      </c>
      <c r="AH6493">
        <v>62.922847827992101</v>
      </c>
      <c r="AI6493">
        <v>91.010451894940203</v>
      </c>
      <c r="AJ6493">
        <v>90.302757098001806</v>
      </c>
      <c r="AK6493">
        <v>62.933512782949698</v>
      </c>
      <c r="AL6493">
        <v>87.712196633671098</v>
      </c>
      <c r="AM6493">
        <v>91.6976476028658</v>
      </c>
      <c r="AN6493">
        <v>0.99999995741572201</v>
      </c>
    </row>
    <row r="6494" spans="1:40" x14ac:dyDescent="0.25">
      <c r="A6494" t="str">
        <f>"20190312151658890"</f>
        <v>20190312151658890</v>
      </c>
      <c r="B6494" t="str">
        <f>"1552375018884033"</f>
        <v>1552375018884033</v>
      </c>
      <c r="C6494" t="s">
        <v>40</v>
      </c>
      <c r="D6494">
        <v>5.1996769999999897</v>
      </c>
      <c r="E6494">
        <v>0.53916280000000005</v>
      </c>
      <c r="F6494" t="s">
        <v>43</v>
      </c>
      <c r="G6494">
        <v>-184.76679999999999</v>
      </c>
      <c r="H6494" s="1">
        <v>-1.7711519999999901E-6</v>
      </c>
      <c r="I6494">
        <v>50.760959999999997</v>
      </c>
      <c r="J6494">
        <v>-187.04589999999999</v>
      </c>
      <c r="K6494">
        <v>1.1098170000000001</v>
      </c>
      <c r="L6494">
        <v>-21.48462</v>
      </c>
      <c r="M6494">
        <v>3.573076E-2</v>
      </c>
      <c r="N6494">
        <v>0</v>
      </c>
      <c r="O6494">
        <v>0.99932319999999997</v>
      </c>
      <c r="P6494">
        <v>6.5321579999999997E-3</v>
      </c>
      <c r="Q6494">
        <v>3.144972E-2</v>
      </c>
      <c r="R6494">
        <v>0.99948400000000004</v>
      </c>
      <c r="S6494">
        <v>9.4741820000000004E-2</v>
      </c>
      <c r="T6494">
        <v>-4.5922039999999997E-2</v>
      </c>
      <c r="U6494">
        <v>3.0022890000000002</v>
      </c>
      <c r="V6494">
        <v>-2.9248420000000001E-2</v>
      </c>
      <c r="W6494">
        <v>4.0142070000000002E-2</v>
      </c>
      <c r="X6494">
        <v>0.99876580000000004</v>
      </c>
      <c r="Y6494">
        <v>-4.1973440000000004E-3</v>
      </c>
      <c r="Z6494">
        <v>-1.527538E-2</v>
      </c>
      <c r="AA6494">
        <v>0.9998745</v>
      </c>
      <c r="AB6494">
        <v>30</v>
      </c>
      <c r="AC6494">
        <v>2.2791000000000001</v>
      </c>
      <c r="AD6494">
        <v>-1.109818771152</v>
      </c>
      <c r="AE6494">
        <v>72.245579999999904</v>
      </c>
      <c r="AF6494">
        <v>-0.30377197638938103</v>
      </c>
      <c r="AG6494">
        <v>-1.109818771152</v>
      </c>
      <c r="AH6494">
        <v>72.263845208813393</v>
      </c>
      <c r="AI6494">
        <v>90.8798642126239</v>
      </c>
      <c r="AJ6494">
        <v>90.240850035224696</v>
      </c>
      <c r="AK6494">
        <v>72.273005330356895</v>
      </c>
      <c r="AL6494">
        <v>87.699410645555304</v>
      </c>
      <c r="AM6494">
        <v>91.677402469414503</v>
      </c>
      <c r="AN6494">
        <v>0.99999998955300995</v>
      </c>
    </row>
    <row r="6495" spans="1:40" x14ac:dyDescent="0.25">
      <c r="A6495" t="str">
        <f>"20190312151658978"</f>
        <v>20190312151658978</v>
      </c>
      <c r="B6495" t="str">
        <f>"1552375018974331"</f>
        <v>1552375018974331</v>
      </c>
      <c r="C6495" t="s">
        <v>40</v>
      </c>
      <c r="D6495">
        <v>4.6852549999999997</v>
      </c>
      <c r="E6495">
        <v>0.53036669999999997</v>
      </c>
      <c r="F6495" t="s">
        <v>46</v>
      </c>
      <c r="G6495">
        <v>0</v>
      </c>
      <c r="H6495">
        <v>0</v>
      </c>
      <c r="I6495">
        <v>0</v>
      </c>
      <c r="J6495">
        <v>-187.0086</v>
      </c>
      <c r="K6495">
        <v>1.109809</v>
      </c>
      <c r="L6495">
        <v>-20.312100000000001</v>
      </c>
      <c r="M6495">
        <v>3.2529379999999997E-2</v>
      </c>
      <c r="N6495">
        <v>0</v>
      </c>
      <c r="O6495">
        <v>0.99943300000000002</v>
      </c>
      <c r="P6495">
        <v>6.5663459999999998E-3</v>
      </c>
      <c r="Q6495">
        <v>3.143112E-2</v>
      </c>
      <c r="R6495">
        <v>0.99948440000000005</v>
      </c>
      <c r="S6495">
        <v>0.34587099999999998</v>
      </c>
      <c r="T6495">
        <v>1.253347</v>
      </c>
      <c r="U6495">
        <v>2.9598390000000001</v>
      </c>
      <c r="V6495">
        <v>-2.6014619999999999E-2</v>
      </c>
      <c r="W6495">
        <v>4.0072030000000002E-2</v>
      </c>
      <c r="X6495">
        <v>0.99885809999999997</v>
      </c>
      <c r="Y6495">
        <v>7.4599739999999998E-2</v>
      </c>
      <c r="Z6495">
        <v>0.38799600000000001</v>
      </c>
      <c r="AA6495">
        <v>0.91863700000000004</v>
      </c>
      <c r="AB6495">
        <v>30</v>
      </c>
      <c r="AC6495">
        <v>0.34587099999999998</v>
      </c>
      <c r="AD6495">
        <v>1.253347</v>
      </c>
      <c r="AE6495">
        <v>2.9598390000000001</v>
      </c>
      <c r="AF6495">
        <v>0.21191569055953099</v>
      </c>
      <c r="AG6495">
        <v>1.253347</v>
      </c>
      <c r="AH6495">
        <v>2.5231843989745601</v>
      </c>
      <c r="AI6495">
        <v>63.665073497699701</v>
      </c>
      <c r="AJ6495">
        <v>85.199143673504494</v>
      </c>
      <c r="AK6495">
        <v>2.8252869718920501</v>
      </c>
      <c r="AL6495">
        <v>87.703426934242501</v>
      </c>
      <c r="AM6495">
        <v>91.491894650547593</v>
      </c>
      <c r="AN6495">
        <v>1.00000001598883</v>
      </c>
    </row>
    <row r="6496" spans="1:40" x14ac:dyDescent="0.25">
      <c r="A6496" t="str">
        <f>"20190312151659000"</f>
        <v>20190312151659000</v>
      </c>
      <c r="B6496" t="str">
        <f>"1552375018993851"</f>
        <v>1552375018993851</v>
      </c>
      <c r="C6496" t="s">
        <v>40</v>
      </c>
      <c r="D6496">
        <v>4.7243089999999999</v>
      </c>
      <c r="E6496">
        <v>0.52406560000000002</v>
      </c>
      <c r="F6496" t="s">
        <v>43</v>
      </c>
      <c r="G6496">
        <v>-184.9913</v>
      </c>
      <c r="H6496" s="1">
        <v>-2.5093240000000001E-6</v>
      </c>
      <c r="I6496">
        <v>3.1057079999999999</v>
      </c>
      <c r="J6496">
        <v>-186.99930000000001</v>
      </c>
      <c r="K6496">
        <v>1.1098129999999999</v>
      </c>
      <c r="L6496">
        <v>-19.999849999999999</v>
      </c>
      <c r="M6496">
        <v>3.1677610000000002E-2</v>
      </c>
      <c r="N6496">
        <v>0</v>
      </c>
      <c r="O6496">
        <v>0.99946049999999997</v>
      </c>
      <c r="P6496">
        <v>6.3915700000000001E-3</v>
      </c>
      <c r="Q6496">
        <v>3.1471470000000001E-2</v>
      </c>
      <c r="R6496">
        <v>0.99948419999999905</v>
      </c>
      <c r="S6496">
        <v>0.25880429999999999</v>
      </c>
      <c r="T6496">
        <v>-0.1423807</v>
      </c>
      <c r="U6496">
        <v>3.0043329999999999</v>
      </c>
      <c r="V6496">
        <v>-2.5337769999999999E-2</v>
      </c>
      <c r="W6496">
        <v>4.0104899999999999E-2</v>
      </c>
      <c r="X6496">
        <v>0.99887420000000005</v>
      </c>
      <c r="Y6496">
        <v>5.4125230000000003E-2</v>
      </c>
      <c r="Z6496">
        <v>-4.7181210000000001E-2</v>
      </c>
      <c r="AA6496">
        <v>0.9974189</v>
      </c>
      <c r="AB6496">
        <v>30</v>
      </c>
      <c r="AC6496">
        <v>2.008</v>
      </c>
      <c r="AD6496">
        <v>-1.1098155093240001</v>
      </c>
      <c r="AE6496">
        <v>23.105557999999998</v>
      </c>
      <c r="AF6496">
        <v>1.2721228656014101</v>
      </c>
      <c r="AG6496">
        <v>-1.1098155093240001</v>
      </c>
      <c r="AH6496">
        <v>23.104666893480498</v>
      </c>
      <c r="AI6496">
        <v>92.745893880986699</v>
      </c>
      <c r="AJ6496">
        <v>86.8485262108792</v>
      </c>
      <c r="AK6496">
        <v>23.166260365208199</v>
      </c>
      <c r="AL6496">
        <v>87.701542154042301</v>
      </c>
      <c r="AM6496">
        <v>91.453071895900806</v>
      </c>
      <c r="AN6496">
        <v>1.00000003650911</v>
      </c>
    </row>
    <row r="6497" spans="1:40" x14ac:dyDescent="0.25">
      <c r="A6497" t="str">
        <f>"20190312151659025"</f>
        <v>20190312151659025</v>
      </c>
      <c r="B6497" t="str">
        <f>"1552375019014348"</f>
        <v>1552375019014348</v>
      </c>
      <c r="C6497" t="s">
        <v>40</v>
      </c>
      <c r="D6497">
        <v>4.6881209999999998</v>
      </c>
      <c r="E6497">
        <v>0.52385179999999998</v>
      </c>
      <c r="F6497" t="s">
        <v>43</v>
      </c>
      <c r="G6497">
        <v>-181.3588</v>
      </c>
      <c r="H6497" s="1">
        <v>-2.7030100000000001E-6</v>
      </c>
      <c r="I6497">
        <v>60.83464</v>
      </c>
      <c r="J6497">
        <v>-186.99019999999999</v>
      </c>
      <c r="K6497">
        <v>1.1098220000000001</v>
      </c>
      <c r="L6497">
        <v>-19.683499999999999</v>
      </c>
      <c r="M6497">
        <v>3.081472E-2</v>
      </c>
      <c r="N6497">
        <v>0</v>
      </c>
      <c r="O6497">
        <v>0.99948749999999997</v>
      </c>
      <c r="P6497">
        <v>6.4295130000000004E-3</v>
      </c>
      <c r="Q6497">
        <v>3.2155740000000002E-2</v>
      </c>
      <c r="R6497">
        <v>0.99946219999999997</v>
      </c>
      <c r="S6497">
        <v>0.20944209999999999</v>
      </c>
      <c r="T6497">
        <v>-4.1208979999999999E-2</v>
      </c>
      <c r="U6497">
        <v>3.0014949999999998</v>
      </c>
      <c r="V6497">
        <v>-2.4437830000000001E-2</v>
      </c>
      <c r="W6497">
        <v>4.0784319999999999E-2</v>
      </c>
      <c r="X6497">
        <v>0.99886909999999896</v>
      </c>
      <c r="Y6497">
        <v>3.8829299999999997E-2</v>
      </c>
      <c r="Z6497">
        <v>-1.369659E-2</v>
      </c>
      <c r="AA6497">
        <v>0.99915200000000004</v>
      </c>
      <c r="AB6497">
        <v>30</v>
      </c>
      <c r="AC6497">
        <v>5.6313999999999798</v>
      </c>
      <c r="AD6497">
        <v>-1.1098247030099999</v>
      </c>
      <c r="AE6497">
        <v>80.518140000000002</v>
      </c>
      <c r="AF6497">
        <v>3.1468933460840001</v>
      </c>
      <c r="AG6497">
        <v>-1.1098247030099999</v>
      </c>
      <c r="AH6497">
        <v>80.638191162592506</v>
      </c>
      <c r="AI6497">
        <v>90.787913269219501</v>
      </c>
      <c r="AJ6497">
        <v>87.765174816748797</v>
      </c>
      <c r="AK6497">
        <v>80.707202420712505</v>
      </c>
      <c r="AL6497">
        <v>87.662582348448495</v>
      </c>
      <c r="AM6497">
        <v>91.401490199920005</v>
      </c>
      <c r="AN6497">
        <v>1.00000002361389</v>
      </c>
    </row>
    <row r="6498" spans="1:40" x14ac:dyDescent="0.25">
      <c r="A6498" t="str">
        <f>"20190312151659046"</f>
        <v>20190312151659046</v>
      </c>
      <c r="B6498" t="str">
        <f>"1552375019033867"</f>
        <v>1552375019033867</v>
      </c>
      <c r="C6498" t="s">
        <v>40</v>
      </c>
      <c r="D6498">
        <v>4.7634910000000001</v>
      </c>
      <c r="E6498">
        <v>0.52120279999999997</v>
      </c>
      <c r="F6498" t="s">
        <v>48</v>
      </c>
      <c r="G6498">
        <v>-177.37880000000001</v>
      </c>
      <c r="H6498">
        <v>0.1940916</v>
      </c>
      <c r="I6498">
        <v>119.01949999999999</v>
      </c>
      <c r="J6498">
        <v>-186.9819</v>
      </c>
      <c r="K6498">
        <v>1.1098190000000001</v>
      </c>
      <c r="L6498">
        <v>-19.388210000000001</v>
      </c>
      <c r="M6498">
        <v>3.0009629999999999E-2</v>
      </c>
      <c r="N6498">
        <v>0</v>
      </c>
      <c r="O6498">
        <v>0.99951199999999996</v>
      </c>
      <c r="P6498">
        <v>5.6893760000000003E-3</v>
      </c>
      <c r="Q6498">
        <v>3.2732579999999997E-2</v>
      </c>
      <c r="R6498">
        <v>0.99944789999999994</v>
      </c>
      <c r="S6498">
        <v>0.20794679999999999</v>
      </c>
      <c r="T6498">
        <v>-1.9812349999999999E-2</v>
      </c>
      <c r="U6498">
        <v>3.0009160000000001</v>
      </c>
      <c r="V6498">
        <v>-2.4373430000000001E-2</v>
      </c>
      <c r="W6498">
        <v>4.1356509999999999E-2</v>
      </c>
      <c r="X6498">
        <v>0.99884709999999999</v>
      </c>
      <c r="Y6498">
        <v>3.9157070000000002E-2</v>
      </c>
      <c r="Z6498">
        <v>-6.5870679999999997E-3</v>
      </c>
      <c r="AA6498">
        <v>0.99921139999999997</v>
      </c>
      <c r="AB6498">
        <v>30</v>
      </c>
      <c r="AC6498">
        <v>9.60309999999998</v>
      </c>
      <c r="AD6498">
        <v>-0.91572739999999997</v>
      </c>
      <c r="AE6498">
        <v>138.40771000000001</v>
      </c>
      <c r="AF6498">
        <v>5.4448170180199504</v>
      </c>
      <c r="AG6498">
        <v>-0.91572739999999997</v>
      </c>
      <c r="AH6498">
        <v>138.627524975879</v>
      </c>
      <c r="AI6498">
        <v>90.378179811333396</v>
      </c>
      <c r="AJ6498">
        <v>87.750773044402195</v>
      </c>
      <c r="AK6498">
        <v>138.73743283616301</v>
      </c>
      <c r="AL6498">
        <v>87.629770481597902</v>
      </c>
      <c r="AM6498">
        <v>91.397829152950393</v>
      </c>
      <c r="AN6498">
        <v>0.999999977093877</v>
      </c>
    </row>
    <row r="6499" spans="1:40" x14ac:dyDescent="0.25">
      <c r="A6499" t="str">
        <f>"20190312151659072"</f>
        <v>20190312151659072</v>
      </c>
      <c r="B6499" t="str">
        <f>"1552375019064630"</f>
        <v>1552375019064630</v>
      </c>
      <c r="C6499" t="s">
        <v>40</v>
      </c>
      <c r="D6499">
        <v>4.8208989999999998</v>
      </c>
      <c r="E6499">
        <v>0.52051720000000001</v>
      </c>
      <c r="F6499" t="s">
        <v>43</v>
      </c>
      <c r="G6499">
        <v>-179.9469</v>
      </c>
      <c r="H6499">
        <v>6.090566E-2</v>
      </c>
      <c r="I6499">
        <v>95.044970000000006</v>
      </c>
      <c r="J6499">
        <v>-186.97239999999999</v>
      </c>
      <c r="K6499">
        <v>1.1098190000000001</v>
      </c>
      <c r="L6499">
        <v>-19.04016</v>
      </c>
      <c r="M6499">
        <v>2.9060840000000001E-2</v>
      </c>
      <c r="N6499">
        <v>0</v>
      </c>
      <c r="O6499">
        <v>0.99953999999999998</v>
      </c>
      <c r="P6499">
        <v>4.9236360000000003E-3</v>
      </c>
      <c r="Q6499">
        <v>3.3800320000000002E-2</v>
      </c>
      <c r="R6499">
        <v>0.99941650000000004</v>
      </c>
      <c r="S6499">
        <v>0.18452450000000001</v>
      </c>
      <c r="T6499">
        <v>-2.7512189999999999E-2</v>
      </c>
      <c r="U6499">
        <v>3.0014949999999998</v>
      </c>
      <c r="V6499">
        <v>-2.4191359999999999E-2</v>
      </c>
      <c r="W6499">
        <v>4.242083E-2</v>
      </c>
      <c r="X6499">
        <v>0.99880690000000005</v>
      </c>
      <c r="Y6499">
        <v>3.232604E-2</v>
      </c>
      <c r="Z6499">
        <v>-9.1489420000000002E-3</v>
      </c>
      <c r="AA6499">
        <v>0.99943550000000003</v>
      </c>
      <c r="AB6499">
        <v>30</v>
      </c>
      <c r="AC6499">
        <v>7.0254999999999903</v>
      </c>
      <c r="AD6499">
        <v>-1.0489133399999999</v>
      </c>
      <c r="AE6499">
        <v>114.08513000000001</v>
      </c>
      <c r="AF6499">
        <v>3.70668590038128</v>
      </c>
      <c r="AG6499">
        <v>-1.0489133399999999</v>
      </c>
      <c r="AH6499">
        <v>114.23149677973601</v>
      </c>
      <c r="AI6499">
        <v>90.525818256000704</v>
      </c>
      <c r="AJ6499">
        <v>88.141467357752902</v>
      </c>
      <c r="AK6499">
        <v>114.296432998138</v>
      </c>
      <c r="AL6499">
        <v>87.568735884129893</v>
      </c>
      <c r="AM6499">
        <v>91.387447256236399</v>
      </c>
      <c r="AN6499">
        <v>0.99999998610207397</v>
      </c>
    </row>
    <row r="6500" spans="1:40" x14ac:dyDescent="0.25">
      <c r="A6500" t="str">
        <f>"20190312151659115"</f>
        <v>20190312151659115</v>
      </c>
      <c r="B6500" t="str">
        <f>"1552375019104647"</f>
        <v>1552375019104647</v>
      </c>
      <c r="C6500" t="s">
        <v>40</v>
      </c>
      <c r="D6500">
        <v>4.775633</v>
      </c>
      <c r="E6500">
        <v>0.51855569999999995</v>
      </c>
      <c r="F6500" t="s">
        <v>43</v>
      </c>
      <c r="G6500">
        <v>-181.19970000000001</v>
      </c>
      <c r="H6500" s="1">
        <v>-5.5808500000000001E-6</v>
      </c>
      <c r="I6500">
        <v>79.003069999999994</v>
      </c>
      <c r="J6500">
        <v>-186.95750000000001</v>
      </c>
      <c r="K6500">
        <v>1.1098300000000001</v>
      </c>
      <c r="L6500">
        <v>-18.464839999999999</v>
      </c>
      <c r="M6500">
        <v>2.7493819999999999E-2</v>
      </c>
      <c r="N6500">
        <v>0</v>
      </c>
      <c r="O6500">
        <v>0.99958440000000004</v>
      </c>
      <c r="P6500">
        <v>2.703535E-3</v>
      </c>
      <c r="Q6500">
        <v>3.4558180000000001E-2</v>
      </c>
      <c r="R6500">
        <v>0.99939900000000004</v>
      </c>
      <c r="S6500">
        <v>0.17675779999999999</v>
      </c>
      <c r="T6500">
        <v>-3.3982039999999998E-2</v>
      </c>
      <c r="U6500">
        <v>3.002014</v>
      </c>
      <c r="V6500">
        <v>-2.4845900000000001E-2</v>
      </c>
      <c r="W6500">
        <v>4.3176409999999998E-2</v>
      </c>
      <c r="X6500">
        <v>0.99875849999999999</v>
      </c>
      <c r="Y6500">
        <v>3.1304659999999998E-2</v>
      </c>
      <c r="Z6500">
        <v>-1.1300050000000001E-2</v>
      </c>
      <c r="AA6500">
        <v>0.99944599999999995</v>
      </c>
      <c r="AB6500">
        <v>30</v>
      </c>
      <c r="AC6500">
        <v>5.7577999999999996</v>
      </c>
      <c r="AD6500">
        <v>-1.10983558084999</v>
      </c>
      <c r="AE6500">
        <v>97.467910000000003</v>
      </c>
      <c r="AF6500">
        <v>3.07536005473741</v>
      </c>
      <c r="AG6500">
        <v>-1.10983558084999</v>
      </c>
      <c r="AH6500">
        <v>97.576764183218401</v>
      </c>
      <c r="AI6500">
        <v>90.651329219416596</v>
      </c>
      <c r="AJ6500">
        <v>88.194787008897194</v>
      </c>
      <c r="AK6500">
        <v>97.631524022470401</v>
      </c>
      <c r="AL6500">
        <v>87.525404745545799</v>
      </c>
      <c r="AM6500">
        <v>91.425040845536998</v>
      </c>
      <c r="AN6500">
        <v>1.0000000312247701</v>
      </c>
    </row>
    <row r="6501" spans="1:40" x14ac:dyDescent="0.25">
      <c r="A6501" t="str">
        <f>"20190312151659134"</f>
        <v>20190312151659134</v>
      </c>
      <c r="B6501" t="str">
        <f>"1552375019124167"</f>
        <v>1552375019124167</v>
      </c>
      <c r="C6501" t="s">
        <v>40</v>
      </c>
      <c r="D6501">
        <v>4.7699669999999896</v>
      </c>
      <c r="E6501">
        <v>0.51785199999999998</v>
      </c>
      <c r="F6501" t="s">
        <v>43</v>
      </c>
      <c r="G6501">
        <v>-183.60769999999999</v>
      </c>
      <c r="H6501" s="1">
        <v>-4.232749E-6</v>
      </c>
      <c r="I6501">
        <v>46.856310000000001</v>
      </c>
      <c r="J6501">
        <v>-186.9502</v>
      </c>
      <c r="K6501">
        <v>1.109829</v>
      </c>
      <c r="L6501">
        <v>-18.171970000000002</v>
      </c>
      <c r="M6501">
        <v>2.669653E-2</v>
      </c>
      <c r="N6501">
        <v>0</v>
      </c>
      <c r="O6501">
        <v>0.99960599999999999</v>
      </c>
      <c r="P6501">
        <v>1.3900309999999999E-3</v>
      </c>
      <c r="Q6501">
        <v>3.5014040000000003E-2</v>
      </c>
      <c r="R6501">
        <v>0.99938579999999999</v>
      </c>
      <c r="S6501">
        <v>0.15400700000000001</v>
      </c>
      <c r="T6501">
        <v>-5.1024680000000003E-2</v>
      </c>
      <c r="U6501">
        <v>3.0031430000000001</v>
      </c>
      <c r="V6501">
        <v>-2.5362590000000001E-2</v>
      </c>
      <c r="W6501">
        <v>4.3631360000000001E-2</v>
      </c>
      <c r="X6501">
        <v>0.99872570000000005</v>
      </c>
      <c r="Y6501">
        <v>2.45265E-2</v>
      </c>
      <c r="Z6501">
        <v>-1.6965190000000002E-2</v>
      </c>
      <c r="AA6501">
        <v>0.99955519999999998</v>
      </c>
      <c r="AB6501">
        <v>31</v>
      </c>
      <c r="AC6501">
        <v>3.3424999999999998</v>
      </c>
      <c r="AD6501">
        <v>-1.1098332327489999</v>
      </c>
      <c r="AE6501">
        <v>65.028279999999995</v>
      </c>
      <c r="AF6501">
        <v>1.60474773671667</v>
      </c>
      <c r="AG6501">
        <v>-1.1098332327489999</v>
      </c>
      <c r="AH6501">
        <v>65.075432416422501</v>
      </c>
      <c r="AI6501">
        <v>90.976763025355197</v>
      </c>
      <c r="AJ6501">
        <v>88.587383312187896</v>
      </c>
      <c r="AK6501">
        <v>65.104676093867397</v>
      </c>
      <c r="AL6501">
        <v>87.499313340322104</v>
      </c>
      <c r="AM6501">
        <v>91.454710838679503</v>
      </c>
      <c r="AN6501">
        <v>0.99999999019372299</v>
      </c>
    </row>
    <row r="6502" spans="1:40" x14ac:dyDescent="0.25">
      <c r="A6502" t="str">
        <f>"20190312151659157"</f>
        <v>20190312151659157</v>
      </c>
      <c r="B6502" t="str">
        <f>"1552375019154746"</f>
        <v>1552375019154746</v>
      </c>
      <c r="C6502" t="s">
        <v>40</v>
      </c>
      <c r="D6502">
        <v>4.7814129999999997</v>
      </c>
      <c r="E6502">
        <v>0.51688270000000003</v>
      </c>
      <c r="F6502" t="s">
        <v>43</v>
      </c>
      <c r="G6502">
        <v>-184.01910000000001</v>
      </c>
      <c r="H6502" s="1">
        <v>-2.6590369999999998E-6</v>
      </c>
      <c r="I6502">
        <v>42.785499999999999</v>
      </c>
      <c r="J6502">
        <v>-186.94290000000001</v>
      </c>
      <c r="K6502">
        <v>1.109823</v>
      </c>
      <c r="L6502">
        <v>-17.863489999999999</v>
      </c>
      <c r="M6502">
        <v>2.5857359999999999E-2</v>
      </c>
      <c r="N6502">
        <v>0</v>
      </c>
      <c r="O6502">
        <v>0.99962810000000002</v>
      </c>
      <c r="P6502">
        <v>3.6124369999999999E-4</v>
      </c>
      <c r="Q6502">
        <v>3.4499299999999997E-2</v>
      </c>
      <c r="R6502">
        <v>0.99940469999999904</v>
      </c>
      <c r="S6502">
        <v>0.14442439999999901</v>
      </c>
      <c r="T6502">
        <v>-5.4684999999999997E-2</v>
      </c>
      <c r="U6502">
        <v>3.003571</v>
      </c>
      <c r="V6502">
        <v>-2.5552229999999999E-2</v>
      </c>
      <c r="W6502">
        <v>4.3117809999999999E-2</v>
      </c>
      <c r="X6502">
        <v>0.99874320000000005</v>
      </c>
      <c r="Y6502">
        <v>2.2176270000000001E-2</v>
      </c>
      <c r="Z6502">
        <v>-1.8181780000000002E-2</v>
      </c>
      <c r="AA6502">
        <v>0.9995887</v>
      </c>
      <c r="AB6502">
        <v>31</v>
      </c>
      <c r="AC6502">
        <v>2.9238</v>
      </c>
      <c r="AD6502">
        <v>-1.1098256590369999</v>
      </c>
      <c r="AE6502">
        <v>60.648989999999998</v>
      </c>
      <c r="AF6502">
        <v>1.35408832892092</v>
      </c>
      <c r="AG6502">
        <v>-1.1098256590369999</v>
      </c>
      <c r="AH6502">
        <v>60.684041124530196</v>
      </c>
      <c r="AI6502">
        <v>91.047481640401898</v>
      </c>
      <c r="AJ6502">
        <v>88.721728606481093</v>
      </c>
      <c r="AK6502">
        <v>60.7092918374086</v>
      </c>
      <c r="AL6502">
        <v>87.528765381957299</v>
      </c>
      <c r="AM6502">
        <v>91.465557541001701</v>
      </c>
      <c r="AN6502">
        <v>1.0000000207716999</v>
      </c>
    </row>
    <row r="6503" spans="1:40" x14ac:dyDescent="0.25">
      <c r="A6503" t="str">
        <f>"20190312151659178"</f>
        <v>20190312151659178</v>
      </c>
      <c r="B6503" t="str">
        <f>"1552375019174265"</f>
        <v>1552375019174265</v>
      </c>
      <c r="C6503" t="s">
        <v>40</v>
      </c>
      <c r="D6503">
        <v>4.7628649999999997</v>
      </c>
      <c r="E6503">
        <v>0.51655260000000003</v>
      </c>
      <c r="F6503" t="s">
        <v>43</v>
      </c>
      <c r="G6503">
        <v>-184.59219999999999</v>
      </c>
      <c r="H6503" s="1">
        <v>-3.2748169999999998E-6</v>
      </c>
      <c r="I6503">
        <v>35.0304</v>
      </c>
      <c r="J6503">
        <v>-186.93620000000001</v>
      </c>
      <c r="K6503">
        <v>1.109823</v>
      </c>
      <c r="L6503">
        <v>-17.57281</v>
      </c>
      <c r="M6503">
        <v>2.5066669999999999E-2</v>
      </c>
      <c r="N6503">
        <v>0</v>
      </c>
      <c r="O6503">
        <v>0.99964819999999999</v>
      </c>
      <c r="P6503">
        <v>-7.6574270000000005E-4</v>
      </c>
      <c r="Q6503">
        <v>3.4035040000000003E-2</v>
      </c>
      <c r="R6503">
        <v>0.99942030000000004</v>
      </c>
      <c r="S6503">
        <v>0.13349910000000001</v>
      </c>
      <c r="T6503">
        <v>-6.3028340000000002E-2</v>
      </c>
      <c r="U6503">
        <v>3.0039060000000002</v>
      </c>
      <c r="V6503">
        <v>-2.5888959999999999E-2</v>
      </c>
      <c r="W6503">
        <v>4.2656180000000002E-2</v>
      </c>
      <c r="X6503">
        <v>0.99875429999999998</v>
      </c>
      <c r="Y6503">
        <v>1.933143E-2</v>
      </c>
      <c r="Z6503">
        <v>-2.0955330000000001E-2</v>
      </c>
      <c r="AA6503">
        <v>0.99959350000000002</v>
      </c>
      <c r="AB6503">
        <v>31</v>
      </c>
      <c r="AC6503">
        <v>2.3440000000000198</v>
      </c>
      <c r="AD6503">
        <v>-1.109826274817</v>
      </c>
      <c r="AE6503">
        <v>52.603209999999997</v>
      </c>
      <c r="AF6503">
        <v>1.0241715851964901</v>
      </c>
      <c r="AG6503">
        <v>-1.109826274817</v>
      </c>
      <c r="AH6503">
        <v>52.622061179036599</v>
      </c>
      <c r="AI6503">
        <v>91.207989568130401</v>
      </c>
      <c r="AJ6503">
        <v>88.885005636716301</v>
      </c>
      <c r="AK6503">
        <v>52.643726734782703</v>
      </c>
      <c r="AL6503">
        <v>87.555239065554204</v>
      </c>
      <c r="AM6503">
        <v>91.484845728575806</v>
      </c>
      <c r="AN6503">
        <v>0.99999996985528095</v>
      </c>
    </row>
    <row r="6504" spans="1:40" x14ac:dyDescent="0.25">
      <c r="A6504" t="str">
        <f>"20190312151659201"</f>
        <v>20190312151659201</v>
      </c>
      <c r="B6504" t="str">
        <f>"1552375019193786"</f>
        <v>1552375019193786</v>
      </c>
      <c r="C6504" t="s">
        <v>40</v>
      </c>
      <c r="D6504">
        <v>4.7789219999999997</v>
      </c>
      <c r="E6504">
        <v>0.51630350000000003</v>
      </c>
      <c r="F6504" t="s">
        <v>43</v>
      </c>
      <c r="G6504">
        <v>-184.87569999999999</v>
      </c>
      <c r="H6504" s="1">
        <v>-1.810979E-6</v>
      </c>
      <c r="I6504">
        <v>30.963170000000002</v>
      </c>
      <c r="J6504">
        <v>-186.92920000000001</v>
      </c>
      <c r="K6504">
        <v>1.1098239999999999</v>
      </c>
      <c r="L6504">
        <v>-17.260249999999999</v>
      </c>
      <c r="M6504">
        <v>2.4216600000000001E-2</v>
      </c>
      <c r="N6504">
        <v>0</v>
      </c>
      <c r="O6504">
        <v>0.99966900000000003</v>
      </c>
      <c r="P6504">
        <v>-1.572492E-3</v>
      </c>
      <c r="Q6504">
        <v>3.3541460000000002E-2</v>
      </c>
      <c r="R6504">
        <v>0.99943610000000005</v>
      </c>
      <c r="S6504">
        <v>0.12753299999999901</v>
      </c>
      <c r="T6504">
        <v>-6.869364E-2</v>
      </c>
      <c r="U6504">
        <v>3.004181</v>
      </c>
      <c r="V6504">
        <v>-2.584521E-2</v>
      </c>
      <c r="W6504">
        <v>4.2172620000000001E-2</v>
      </c>
      <c r="X6504">
        <v>0.998776</v>
      </c>
      <c r="Y6504">
        <v>1.8194399999999999E-2</v>
      </c>
      <c r="Z6504">
        <v>-2.283781E-2</v>
      </c>
      <c r="AA6504">
        <v>0.99957359999999995</v>
      </c>
      <c r="AB6504">
        <v>31</v>
      </c>
      <c r="AC6504">
        <v>2.0535000000000099</v>
      </c>
      <c r="AD6504">
        <v>-1.109825810979</v>
      </c>
      <c r="AE6504">
        <v>48.223419999999997</v>
      </c>
      <c r="AF6504">
        <v>0.884578732181592</v>
      </c>
      <c r="AG6504">
        <v>-1.109825810979</v>
      </c>
      <c r="AH6504">
        <v>48.2335064533425</v>
      </c>
      <c r="AI6504">
        <v>91.317889492945994</v>
      </c>
      <c r="AJ6504">
        <v>88.949341428452797</v>
      </c>
      <c r="AK6504">
        <v>48.254381538351304</v>
      </c>
      <c r="AL6504">
        <v>87.582970045172402</v>
      </c>
      <c r="AM6504">
        <v>91.482305402363394</v>
      </c>
      <c r="AN6504">
        <v>1.0000000014668</v>
      </c>
    </row>
    <row r="6505" spans="1:40" x14ac:dyDescent="0.25">
      <c r="A6505" t="str">
        <f>"20190312151659223"</f>
        <v>20190312151659223</v>
      </c>
      <c r="B6505" t="str">
        <f>"1552375019214282"</f>
        <v>1552375019214282</v>
      </c>
      <c r="C6505" t="s">
        <v>40</v>
      </c>
      <c r="D6505">
        <v>4.70824</v>
      </c>
      <c r="E6505">
        <v>0.51663230000000004</v>
      </c>
      <c r="F6505" t="s">
        <v>43</v>
      </c>
      <c r="G6505">
        <v>-185.06809999999999</v>
      </c>
      <c r="H6505" s="1">
        <v>-4.5395000000000003E-6</v>
      </c>
      <c r="I6505">
        <v>28.175190000000001</v>
      </c>
      <c r="J6505">
        <v>-186.92269999999999</v>
      </c>
      <c r="K6505">
        <v>1.1098250000000001</v>
      </c>
      <c r="L6505">
        <v>-16.958310000000001</v>
      </c>
      <c r="M6505">
        <v>2.339577E-2</v>
      </c>
      <c r="N6505">
        <v>0</v>
      </c>
      <c r="O6505">
        <v>0.99968840000000003</v>
      </c>
      <c r="P6505">
        <v>-2.5284309999999998E-3</v>
      </c>
      <c r="Q6505">
        <v>3.3782909999999999E-2</v>
      </c>
      <c r="R6505">
        <v>0.99942600000000004</v>
      </c>
      <c r="S6505">
        <v>0.12306209999999999</v>
      </c>
      <c r="T6505">
        <v>-7.3385359999999997E-2</v>
      </c>
      <c r="U6505">
        <v>3.0043329999999999</v>
      </c>
      <c r="V6505">
        <v>-2.5981130000000002E-2</v>
      </c>
      <c r="W6505">
        <v>4.2425119999999997E-2</v>
      </c>
      <c r="X6505">
        <v>0.99876180000000003</v>
      </c>
      <c r="Y6505">
        <v>1.7526779999999999E-2</v>
      </c>
      <c r="Z6505">
        <v>-2.4397100000000001E-2</v>
      </c>
      <c r="AA6505">
        <v>0.99954869999999996</v>
      </c>
      <c r="AB6505">
        <v>31</v>
      </c>
      <c r="AC6505">
        <v>1.8546</v>
      </c>
      <c r="AD6505">
        <v>-1.1098295395</v>
      </c>
      <c r="AE6505">
        <v>45.133499999999998</v>
      </c>
      <c r="AF6505">
        <v>0.79763785667213305</v>
      </c>
      <c r="AG6505">
        <v>-1.1098295395</v>
      </c>
      <c r="AH6505">
        <v>45.1372897150586</v>
      </c>
      <c r="AI6505">
        <v>91.4082772558709</v>
      </c>
      <c r="AJ6505">
        <v>88.987610315384998</v>
      </c>
      <c r="AK6505">
        <v>45.157976821136302</v>
      </c>
      <c r="AL6505">
        <v>87.568489949948102</v>
      </c>
      <c r="AM6505">
        <v>91.490118519459998</v>
      </c>
      <c r="AN6505">
        <v>1.00000002153116</v>
      </c>
    </row>
    <row r="6506" spans="1:40" x14ac:dyDescent="0.25">
      <c r="A6506" t="str">
        <f>"20190312151659246"</f>
        <v>20190312151659246</v>
      </c>
      <c r="B6506" t="str">
        <f>"1552375019233801"</f>
        <v>1552375019233801</v>
      </c>
      <c r="C6506" t="s">
        <v>40</v>
      </c>
      <c r="D6506">
        <v>4.6667670000000001</v>
      </c>
      <c r="E6506">
        <v>0.52456459999999905</v>
      </c>
      <c r="F6506" t="s">
        <v>43</v>
      </c>
      <c r="G6506">
        <v>-185.1078</v>
      </c>
      <c r="H6506" s="1">
        <v>-4.2104910000000001E-6</v>
      </c>
      <c r="I6506">
        <v>27.424689999999998</v>
      </c>
      <c r="J6506">
        <v>-186.9162</v>
      </c>
      <c r="K6506">
        <v>1.1098239999999999</v>
      </c>
      <c r="L6506">
        <v>-16.64124</v>
      </c>
      <c r="M6506">
        <v>2.2534220000000001E-2</v>
      </c>
      <c r="N6506">
        <v>0</v>
      </c>
      <c r="O6506">
        <v>0.99970820000000005</v>
      </c>
      <c r="P6506">
        <v>-3.633842E-3</v>
      </c>
      <c r="Q6506">
        <v>3.3708340000000003E-2</v>
      </c>
      <c r="R6506">
        <v>0.99942509999999996</v>
      </c>
      <c r="S6506">
        <v>0.1228638</v>
      </c>
      <c r="T6506">
        <v>-7.5131649999999994E-2</v>
      </c>
      <c r="U6506">
        <v>3.004578</v>
      </c>
      <c r="V6506">
        <v>-2.622551E-2</v>
      </c>
      <c r="W6506">
        <v>4.2364140000000002E-2</v>
      </c>
      <c r="X6506">
        <v>0.99875800000000003</v>
      </c>
      <c r="Y6506">
        <v>1.8318669999999999E-2</v>
      </c>
      <c r="Z6506">
        <v>-2.4975870000000001E-2</v>
      </c>
      <c r="AA6506">
        <v>0.99952019999999997</v>
      </c>
      <c r="AB6506">
        <v>31</v>
      </c>
      <c r="AC6506">
        <v>1.8084</v>
      </c>
      <c r="AD6506">
        <v>-1.109828210491</v>
      </c>
      <c r="AE6506">
        <v>44.065930000000002</v>
      </c>
      <c r="AF6506">
        <v>0.814396086552858</v>
      </c>
      <c r="AG6506">
        <v>-1.109828210491</v>
      </c>
      <c r="AH6506">
        <v>44.067586239853398</v>
      </c>
      <c r="AI6506">
        <v>91.442424916111094</v>
      </c>
      <c r="AJ6506">
        <v>88.941259289736493</v>
      </c>
      <c r="AK6506">
        <v>44.0890816036069</v>
      </c>
      <c r="AL6506">
        <v>87.571986987185497</v>
      </c>
      <c r="AM6506">
        <v>91.504133971171697</v>
      </c>
      <c r="AN6506">
        <v>1.0000000201483401</v>
      </c>
    </row>
    <row r="6507" spans="1:40" x14ac:dyDescent="0.25">
      <c r="A6507" t="str">
        <f>"20190312151659268"</f>
        <v>20190312151659268</v>
      </c>
      <c r="B6507" t="str">
        <f>"1552375019264058"</f>
        <v>1552375019264058</v>
      </c>
      <c r="C6507" t="s">
        <v>40</v>
      </c>
      <c r="D6507">
        <v>4.703328</v>
      </c>
      <c r="E6507">
        <v>0.52489090000000005</v>
      </c>
      <c r="F6507" t="s">
        <v>41</v>
      </c>
      <c r="G6507">
        <v>-186.86789999999999</v>
      </c>
      <c r="H6507">
        <v>1.0074259999999999</v>
      </c>
      <c r="I6507">
        <v>-15.83283</v>
      </c>
      <c r="J6507">
        <v>-186.90989999999999</v>
      </c>
      <c r="K6507">
        <v>1.1098250000000001</v>
      </c>
      <c r="L6507">
        <v>-16.325289999999999</v>
      </c>
      <c r="M6507">
        <v>2.1676109999999998E-2</v>
      </c>
      <c r="N6507">
        <v>0</v>
      </c>
      <c r="O6507">
        <v>0.99972700000000003</v>
      </c>
      <c r="P6507">
        <v>-4.9208709999999899E-3</v>
      </c>
      <c r="Q6507">
        <v>3.3844699999999901E-2</v>
      </c>
      <c r="R6507">
        <v>0.99941500000000005</v>
      </c>
      <c r="S6507">
        <v>0.17935179999999901</v>
      </c>
      <c r="T6507">
        <v>-0.38194869999999997</v>
      </c>
      <c r="U6507">
        <v>3.0152589999999999</v>
      </c>
      <c r="V6507">
        <v>-2.6654919999999999E-2</v>
      </c>
      <c r="W6507">
        <v>4.251278E-2</v>
      </c>
      <c r="X6507">
        <v>0.99874030000000003</v>
      </c>
      <c r="Y6507">
        <v>3.7254530000000001E-2</v>
      </c>
      <c r="Z6507">
        <v>-0.1254712</v>
      </c>
      <c r="AA6507">
        <v>0.99139759999999999</v>
      </c>
      <c r="AB6507">
        <v>31</v>
      </c>
      <c r="AC6507">
        <v>4.2000000000001501E-2</v>
      </c>
      <c r="AD6507">
        <v>-0.102399</v>
      </c>
      <c r="AE6507">
        <v>0.49245999999999901</v>
      </c>
      <c r="AF6507">
        <v>3.0026255594706001E-2</v>
      </c>
      <c r="AG6507">
        <v>-0.102399</v>
      </c>
      <c r="AH6507">
        <v>0.47295357256956799</v>
      </c>
      <c r="AI6507">
        <v>102.192717462445</v>
      </c>
      <c r="AJ6507">
        <v>86.367356053876307</v>
      </c>
      <c r="AK6507">
        <v>0.48484246207645298</v>
      </c>
      <c r="AL6507">
        <v>87.563462823864697</v>
      </c>
      <c r="AM6507">
        <v>91.528777775022903</v>
      </c>
      <c r="AN6507">
        <v>1.00000000403381</v>
      </c>
    </row>
    <row r="6508" spans="1:40" x14ac:dyDescent="0.25">
      <c r="A6508" t="str">
        <f>"20190312151659292"</f>
        <v>20190312151659292</v>
      </c>
      <c r="B6508" t="str">
        <f>"1552375019284554"</f>
        <v>1552375019284554</v>
      </c>
      <c r="C6508" t="s">
        <v>40</v>
      </c>
      <c r="D6508">
        <v>4.7145830000000002</v>
      </c>
      <c r="E6508">
        <v>0.52514689999999997</v>
      </c>
      <c r="F6508" t="s">
        <v>41</v>
      </c>
      <c r="G6508">
        <v>-186.86420000000001</v>
      </c>
      <c r="H6508">
        <v>1.0112190000000001</v>
      </c>
      <c r="I6508">
        <v>-15.553240000000001</v>
      </c>
      <c r="J6508">
        <v>-186.90360000000001</v>
      </c>
      <c r="K6508">
        <v>1.109829</v>
      </c>
      <c r="L6508">
        <v>-15.993930000000001</v>
      </c>
      <c r="M6508">
        <v>2.0776650000000001E-2</v>
      </c>
      <c r="N6508">
        <v>0</v>
      </c>
      <c r="O6508">
        <v>0.99974600000000002</v>
      </c>
      <c r="P6508">
        <v>-5.6819829999999998E-3</v>
      </c>
      <c r="Q6508">
        <v>3.3340139999999997E-2</v>
      </c>
      <c r="R6508">
        <v>0.99942790000000004</v>
      </c>
      <c r="S6508">
        <v>0.17803959999999999</v>
      </c>
      <c r="T6508">
        <v>-0.38517430000000002</v>
      </c>
      <c r="U6508">
        <v>3.0156860000000001</v>
      </c>
      <c r="V6508">
        <v>-2.651688E-2</v>
      </c>
      <c r="W6508">
        <v>4.2022549999999999E-2</v>
      </c>
      <c r="X6508">
        <v>0.99876469999999995</v>
      </c>
      <c r="Y6508">
        <v>3.7707669999999999E-2</v>
      </c>
      <c r="Z6508">
        <v>-0.12650040000000001</v>
      </c>
      <c r="AA6508">
        <v>0.99124959999999995</v>
      </c>
      <c r="AB6508">
        <v>31</v>
      </c>
      <c r="AC6508">
        <v>3.9400000000000497E-2</v>
      </c>
      <c r="AD6508">
        <v>-9.8610000000000003E-2</v>
      </c>
      <c r="AE6508">
        <v>0.44068999999999903</v>
      </c>
      <c r="AF6508">
        <v>2.88042959643727E-2</v>
      </c>
      <c r="AG6508">
        <v>-9.8610000000000003E-2</v>
      </c>
      <c r="AH6508">
        <v>0.42052488558541001</v>
      </c>
      <c r="AI6508">
        <v>103.167227280181</v>
      </c>
      <c r="AJ6508">
        <v>86.081585471035197</v>
      </c>
      <c r="AK6508">
        <v>0.43289120915378398</v>
      </c>
      <c r="AL6508">
        <v>87.591576007007703</v>
      </c>
      <c r="AM6508">
        <v>91.520827159867395</v>
      </c>
      <c r="AN6508">
        <v>0.99999998279976299</v>
      </c>
    </row>
    <row r="6509" spans="1:40" x14ac:dyDescent="0.25">
      <c r="A6509" t="str">
        <f>"20190312151659313"</f>
        <v>20190312151659313</v>
      </c>
      <c r="B6509" t="str">
        <f>"1552375019304074"</f>
        <v>1552375019304074</v>
      </c>
      <c r="C6509" t="s">
        <v>40</v>
      </c>
      <c r="D6509">
        <v>4.7255019999999996</v>
      </c>
      <c r="E6509">
        <v>0.52511350000000001</v>
      </c>
      <c r="F6509" t="s">
        <v>41</v>
      </c>
      <c r="G6509">
        <v>-186.86099999999999</v>
      </c>
      <c r="H6509">
        <v>1.0173540000000001</v>
      </c>
      <c r="I6509">
        <v>-15.27201</v>
      </c>
      <c r="J6509">
        <v>-186.89850000000001</v>
      </c>
      <c r="K6509">
        <v>1.1098319999999999</v>
      </c>
      <c r="L6509">
        <v>-15.70584</v>
      </c>
      <c r="M6509">
        <v>1.9994979999999999E-2</v>
      </c>
      <c r="N6509">
        <v>0</v>
      </c>
      <c r="O6509">
        <v>0.99976180000000003</v>
      </c>
      <c r="P6509">
        <v>-6.6265959999999898E-3</v>
      </c>
      <c r="Q6509">
        <v>3.3147339999999997E-2</v>
      </c>
      <c r="R6509">
        <v>0.99942850000000005</v>
      </c>
      <c r="S6509">
        <v>0.17733759999999901</v>
      </c>
      <c r="T6509">
        <v>-0.38631009999999999</v>
      </c>
      <c r="U6509">
        <v>3.015625</v>
      </c>
      <c r="V6509">
        <v>-2.667949E-2</v>
      </c>
      <c r="W6509">
        <v>4.1841509999999998E-2</v>
      </c>
      <c r="X6509">
        <v>0.99876799999999999</v>
      </c>
      <c r="Y6509">
        <v>3.825742E-2</v>
      </c>
      <c r="Z6509">
        <v>-0.1268725</v>
      </c>
      <c r="AA6509">
        <v>0.99118099999999998</v>
      </c>
      <c r="AB6509">
        <v>31</v>
      </c>
      <c r="AC6509">
        <v>3.7500000000022703E-2</v>
      </c>
      <c r="AD6509">
        <v>-9.2477999999999796E-2</v>
      </c>
      <c r="AE6509">
        <v>0.43382999999999999</v>
      </c>
      <c r="AF6509">
        <v>2.75740764620407E-2</v>
      </c>
      <c r="AG6509">
        <v>-9.2477999999999796E-2</v>
      </c>
      <c r="AH6509">
        <v>0.41574192151487199</v>
      </c>
      <c r="AI6509">
        <v>102.51412013285901</v>
      </c>
      <c r="AJ6509">
        <v>86.205415934672899</v>
      </c>
      <c r="AK6509">
        <v>0.42679486346676299</v>
      </c>
      <c r="AL6509">
        <v>87.601958037641495</v>
      </c>
      <c r="AM6509">
        <v>91.5301438854559</v>
      </c>
      <c r="AN6509">
        <v>1.00000001248487</v>
      </c>
    </row>
    <row r="6510" spans="1:40" x14ac:dyDescent="0.25">
      <c r="A6510" t="str">
        <f>"20190312151659335"</f>
        <v>20190312151659335</v>
      </c>
      <c r="B6510" t="str">
        <f>"1552375019324570"</f>
        <v>1552375019324570</v>
      </c>
      <c r="C6510" t="s">
        <v>40</v>
      </c>
      <c r="D6510">
        <v>4.7358279999999997</v>
      </c>
      <c r="E6510">
        <v>0.52517150000000001</v>
      </c>
      <c r="F6510" t="s">
        <v>41</v>
      </c>
      <c r="G6510">
        <v>-186.84190000000001</v>
      </c>
      <c r="H6510">
        <v>0.98429330000000004</v>
      </c>
      <c r="I6510">
        <v>-14.730589999999999</v>
      </c>
      <c r="J6510">
        <v>-186.8931</v>
      </c>
      <c r="K6510">
        <v>1.1098319999999999</v>
      </c>
      <c r="L6510">
        <v>-15.395079999999901</v>
      </c>
      <c r="M6510">
        <v>1.9151330000000001E-2</v>
      </c>
      <c r="N6510">
        <v>0</v>
      </c>
      <c r="O6510">
        <v>0.99977819999999995</v>
      </c>
      <c r="P6510">
        <v>-7.3664119999999897E-3</v>
      </c>
      <c r="Q6510">
        <v>3.2699100000000002E-2</v>
      </c>
      <c r="R6510">
        <v>0.9994381</v>
      </c>
      <c r="S6510">
        <v>0.17437739999999999</v>
      </c>
      <c r="T6510">
        <v>-0.3882061</v>
      </c>
      <c r="U6510">
        <v>3.0157470000000002</v>
      </c>
      <c r="V6510">
        <v>-2.6575669999999999E-2</v>
      </c>
      <c r="W6510">
        <v>4.1405579999999997E-2</v>
      </c>
      <c r="X6510">
        <v>0.99878889999999998</v>
      </c>
      <c r="Y6510">
        <v>3.8124110000000003E-2</v>
      </c>
      <c r="Z6510">
        <v>-0.12748699999999999</v>
      </c>
      <c r="AA6510">
        <v>0.99110730000000002</v>
      </c>
      <c r="AB6510">
        <v>31</v>
      </c>
      <c r="AC6510">
        <v>5.1199999999994299E-2</v>
      </c>
      <c r="AD6510">
        <v>-0.125538699999999</v>
      </c>
      <c r="AE6510">
        <v>0.66448999999999803</v>
      </c>
      <c r="AF6510">
        <v>3.7146232085018903E-2</v>
      </c>
      <c r="AG6510">
        <v>-0.125538699999999</v>
      </c>
      <c r="AH6510">
        <v>0.642549781229386</v>
      </c>
      <c r="AI6510">
        <v>101.036978252087</v>
      </c>
      <c r="AJ6510">
        <v>86.691375321549401</v>
      </c>
      <c r="AK6510">
        <v>0.65575149951314404</v>
      </c>
      <c r="AL6510">
        <v>87.6269565683683</v>
      </c>
      <c r="AM6510">
        <v>91.524160451138599</v>
      </c>
      <c r="AN6510">
        <v>0.99999997752714698</v>
      </c>
    </row>
    <row r="6511" spans="1:40" x14ac:dyDescent="0.25">
      <c r="A6511" t="str">
        <f>"20190312151659357"</f>
        <v>20190312151659357</v>
      </c>
      <c r="B6511" t="str">
        <f>"1552375019353849"</f>
        <v>1552375019353849</v>
      </c>
      <c r="C6511" t="s">
        <v>40</v>
      </c>
      <c r="D6511">
        <v>4.7653210000000001</v>
      </c>
      <c r="E6511">
        <v>0.52523009999999903</v>
      </c>
      <c r="F6511" t="s">
        <v>41</v>
      </c>
      <c r="G6511">
        <v>-186.83879999999999</v>
      </c>
      <c r="H6511">
        <v>0.9878981</v>
      </c>
      <c r="I6511">
        <v>-14.449149999999999</v>
      </c>
      <c r="J6511">
        <v>-186.88800000000001</v>
      </c>
      <c r="K6511">
        <v>1.109829</v>
      </c>
      <c r="L6511">
        <v>-15.08282</v>
      </c>
      <c r="M6511">
        <v>1.8304040000000001E-2</v>
      </c>
      <c r="N6511">
        <v>0</v>
      </c>
      <c r="O6511">
        <v>0.99979399999999996</v>
      </c>
      <c r="P6511">
        <v>-7.9966310000000006E-3</v>
      </c>
      <c r="Q6511">
        <v>3.2128619999999997E-2</v>
      </c>
      <c r="R6511">
        <v>0.9994518</v>
      </c>
      <c r="S6511">
        <v>0.17288210000000001</v>
      </c>
      <c r="T6511">
        <v>-0.38873550000000001</v>
      </c>
      <c r="U6511">
        <v>3.0156860000000001</v>
      </c>
      <c r="V6511">
        <v>-2.63591E-2</v>
      </c>
      <c r="W6511">
        <v>4.0847210000000002E-2</v>
      </c>
      <c r="X6511">
        <v>0.99881770000000003</v>
      </c>
      <c r="Y6511">
        <v>3.8480979999999998E-2</v>
      </c>
      <c r="Z6511">
        <v>-0.12766449999999999</v>
      </c>
      <c r="AA6511">
        <v>0.99107060000000002</v>
      </c>
      <c r="AB6511">
        <v>31</v>
      </c>
      <c r="AC6511">
        <v>4.9200000000013198E-2</v>
      </c>
      <c r="AD6511">
        <v>-0.12193089999999999</v>
      </c>
      <c r="AE6511">
        <v>0.63367000000000195</v>
      </c>
      <c r="AF6511">
        <v>3.6258156723045797E-2</v>
      </c>
      <c r="AG6511">
        <v>-0.12193089999999999</v>
      </c>
      <c r="AH6511">
        <v>0.61194269360225795</v>
      </c>
      <c r="AI6511">
        <v>101.2495012573</v>
      </c>
      <c r="AJ6511">
        <v>86.609137726055806</v>
      </c>
      <c r="AK6511">
        <v>0.62502452636432604</v>
      </c>
      <c r="AL6511">
        <v>87.658976067184298</v>
      </c>
      <c r="AM6511">
        <v>91.511702006425097</v>
      </c>
      <c r="AN6511">
        <v>1.00000004727544</v>
      </c>
    </row>
    <row r="6512" spans="1:40" x14ac:dyDescent="0.25">
      <c r="A6512" t="str">
        <f>"20190312151659379"</f>
        <v>20190312151659379</v>
      </c>
      <c r="B6512" t="str">
        <f>"1552375019374346"</f>
        <v>1552375019374346</v>
      </c>
      <c r="C6512" t="s">
        <v>40</v>
      </c>
      <c r="D6512">
        <v>4.853618</v>
      </c>
      <c r="E6512">
        <v>0.52756009999999998</v>
      </c>
      <c r="F6512" t="s">
        <v>41</v>
      </c>
      <c r="G6512">
        <v>-186.8357</v>
      </c>
      <c r="H6512">
        <v>0.99160899999999996</v>
      </c>
      <c r="I6512">
        <v>-14.16719</v>
      </c>
      <c r="J6512">
        <v>-186.88319999999999</v>
      </c>
      <c r="K6512">
        <v>1.1098220000000001</v>
      </c>
      <c r="L6512">
        <v>-14.779210000000001</v>
      </c>
      <c r="M6512">
        <v>1.7480430000000002E-2</v>
      </c>
      <c r="N6512">
        <v>0</v>
      </c>
      <c r="O6512">
        <v>0.99980860000000005</v>
      </c>
      <c r="P6512">
        <v>-8.9625550000000005E-3</v>
      </c>
      <c r="Q6512">
        <v>3.168E-2</v>
      </c>
      <c r="R6512">
        <v>0.99945790000000001</v>
      </c>
      <c r="S6512">
        <v>0.17149349999999999</v>
      </c>
      <c r="T6512">
        <v>-0.38935330000000001</v>
      </c>
      <c r="U6512">
        <v>3.015533</v>
      </c>
      <c r="V6512">
        <v>-2.6501509999999999E-2</v>
      </c>
      <c r="W6512">
        <v>4.0409830000000001E-2</v>
      </c>
      <c r="X6512">
        <v>0.99883169999999999</v>
      </c>
      <c r="Y6512">
        <v>3.8850580000000003E-2</v>
      </c>
      <c r="Z6512">
        <v>-0.12787399999999999</v>
      </c>
      <c r="AA6512">
        <v>0.99102920000000005</v>
      </c>
      <c r="AB6512">
        <v>31</v>
      </c>
      <c r="AC6512">
        <v>4.74999999999852E-2</v>
      </c>
      <c r="AD6512">
        <v>-0.118212999999999</v>
      </c>
      <c r="AE6512">
        <v>0.61202000000000101</v>
      </c>
      <c r="AF6512">
        <v>3.5478266282521799E-2</v>
      </c>
      <c r="AG6512">
        <v>-0.118212999999999</v>
      </c>
      <c r="AH6512">
        <v>0.59084568325717501</v>
      </c>
      <c r="AI6512">
        <v>101.294203788449</v>
      </c>
      <c r="AJ6512">
        <v>86.563710023855606</v>
      </c>
      <c r="AK6512">
        <v>0.60359890835806795</v>
      </c>
      <c r="AL6512">
        <v>87.6840567504765</v>
      </c>
      <c r="AM6512">
        <v>91.519844147580201</v>
      </c>
      <c r="AN6512">
        <v>1.00000002465889</v>
      </c>
    </row>
    <row r="6513" spans="1:40" x14ac:dyDescent="0.25">
      <c r="A6513" t="str">
        <f>"20190312151659402"</f>
        <v>20190312151659402</v>
      </c>
      <c r="B6513" t="str">
        <f>"1552375019393866"</f>
        <v>1552375019393866</v>
      </c>
      <c r="C6513" t="s">
        <v>40</v>
      </c>
      <c r="D6513">
        <v>4.7285079999999997</v>
      </c>
      <c r="E6513">
        <v>0.5320587</v>
      </c>
      <c r="F6513" t="s">
        <v>41</v>
      </c>
      <c r="G6513">
        <v>-186.828</v>
      </c>
      <c r="H6513">
        <v>0.98773460000000002</v>
      </c>
      <c r="I6513">
        <v>-13.888590000000001</v>
      </c>
      <c r="J6513">
        <v>-186.8785</v>
      </c>
      <c r="K6513">
        <v>1.1098190000000001</v>
      </c>
      <c r="L6513">
        <v>-14.454219999999999</v>
      </c>
      <c r="M6513">
        <v>1.659913E-2</v>
      </c>
      <c r="N6513">
        <v>0</v>
      </c>
      <c r="O6513">
        <v>0.99982360000000003</v>
      </c>
      <c r="P6513">
        <v>-9.7403750000000008E-3</v>
      </c>
      <c r="Q6513">
        <v>3.1382299999999898E-2</v>
      </c>
      <c r="R6513">
        <v>0.99946000000000002</v>
      </c>
      <c r="S6513">
        <v>0.18679809999999999</v>
      </c>
      <c r="T6513">
        <v>-0.4134989</v>
      </c>
      <c r="U6513">
        <v>3.0164179999999998</v>
      </c>
      <c r="V6513">
        <v>-2.6397980000000001E-2</v>
      </c>
      <c r="W6513">
        <v>4.0123489999999998E-2</v>
      </c>
      <c r="X6513">
        <v>0.99884589999999995</v>
      </c>
      <c r="Y6513">
        <v>4.4661369999999999E-2</v>
      </c>
      <c r="Z6513">
        <v>-0.13558970000000001</v>
      </c>
      <c r="AA6513">
        <v>0.98975800000000003</v>
      </c>
      <c r="AB6513">
        <v>31</v>
      </c>
      <c r="AC6513">
        <v>5.0499999999999497E-2</v>
      </c>
      <c r="AD6513">
        <v>-0.1220844</v>
      </c>
      <c r="AE6513">
        <v>0.56563000000000196</v>
      </c>
      <c r="AF6513">
        <v>3.9287919907539701E-2</v>
      </c>
      <c r="AG6513">
        <v>-0.1220844</v>
      </c>
      <c r="AH6513">
        <v>0.541369550899648</v>
      </c>
      <c r="AI6513">
        <v>102.67595413370999</v>
      </c>
      <c r="AJ6513">
        <v>85.849244437631697</v>
      </c>
      <c r="AK6513">
        <v>0.55635342365739704</v>
      </c>
      <c r="AL6513">
        <v>87.700475945191499</v>
      </c>
      <c r="AM6513">
        <v>91.513888026433705</v>
      </c>
      <c r="AN6513">
        <v>0.99999993987233304</v>
      </c>
    </row>
    <row r="6514" spans="1:40" x14ac:dyDescent="0.25">
      <c r="A6514" t="str">
        <f>"20190312151659424"</f>
        <v>20190312151659424</v>
      </c>
      <c r="B6514" t="str">
        <f>"1552375019414362"</f>
        <v>1552375019414362</v>
      </c>
      <c r="C6514" t="s">
        <v>40</v>
      </c>
      <c r="D6514">
        <v>4.728523</v>
      </c>
      <c r="E6514">
        <v>0.53611560000000003</v>
      </c>
      <c r="F6514" t="s">
        <v>41</v>
      </c>
      <c r="G6514">
        <v>-186.8168</v>
      </c>
      <c r="H6514">
        <v>0.98205089999999995</v>
      </c>
      <c r="I6514">
        <v>-13.610480000000001</v>
      </c>
      <c r="J6514">
        <v>-186.8742</v>
      </c>
      <c r="K6514">
        <v>1.109823</v>
      </c>
      <c r="L6514">
        <v>-14.14575</v>
      </c>
      <c r="M6514">
        <v>1.5763200000000002E-2</v>
      </c>
      <c r="N6514">
        <v>0</v>
      </c>
      <c r="O6514">
        <v>0.99983699999999998</v>
      </c>
      <c r="P6514">
        <v>-1.092679E-2</v>
      </c>
      <c r="Q6514">
        <v>3.1201420000000001E-2</v>
      </c>
      <c r="R6514">
        <v>0.99945340000000005</v>
      </c>
      <c r="S6514">
        <v>0.2201843</v>
      </c>
      <c r="T6514">
        <v>-0.45704630000000002</v>
      </c>
      <c r="U6514">
        <v>3.0181269999999998</v>
      </c>
      <c r="V6514">
        <v>-2.6748709999999998E-2</v>
      </c>
      <c r="W6514">
        <v>3.9952439999999999E-2</v>
      </c>
      <c r="X6514">
        <v>0.9988435</v>
      </c>
      <c r="Y6514">
        <v>5.6213109999999997E-2</v>
      </c>
      <c r="Z6514">
        <v>-0.14938689999999999</v>
      </c>
      <c r="AA6514">
        <v>0.98717960000000005</v>
      </c>
      <c r="AB6514">
        <v>31</v>
      </c>
      <c r="AC6514">
        <v>5.74000000000012E-2</v>
      </c>
      <c r="AD6514">
        <v>-0.1277721</v>
      </c>
      <c r="AE6514">
        <v>0.53527000000000002</v>
      </c>
      <c r="AF6514">
        <v>4.6344274368958702E-2</v>
      </c>
      <c r="AG6514">
        <v>-0.1277721</v>
      </c>
      <c r="AH6514">
        <v>0.50751844559823001</v>
      </c>
      <c r="AI6514">
        <v>104.07481564515101</v>
      </c>
      <c r="AJ6514">
        <v>84.782480218020197</v>
      </c>
      <c r="AK6514">
        <v>0.52540315370926205</v>
      </c>
      <c r="AL6514">
        <v>87.710284423907893</v>
      </c>
      <c r="AM6514">
        <v>91.533996048542406</v>
      </c>
      <c r="AN6514">
        <v>1.0000000142204299</v>
      </c>
    </row>
    <row r="6515" spans="1:40" x14ac:dyDescent="0.25">
      <c r="A6515" t="str">
        <f>"20190312151659448"</f>
        <v>20190312151659448</v>
      </c>
      <c r="B6515" t="str">
        <f>"1552375019433882"</f>
        <v>1552375019433882</v>
      </c>
      <c r="C6515" t="s">
        <v>40</v>
      </c>
      <c r="D6515">
        <v>4.7488080000000004</v>
      </c>
      <c r="E6515">
        <v>0.53952239999999996</v>
      </c>
      <c r="F6515" t="s">
        <v>41</v>
      </c>
      <c r="G6515">
        <v>-186.8073</v>
      </c>
      <c r="H6515">
        <v>0.97377939999999996</v>
      </c>
      <c r="I6515">
        <v>-13.333080000000001</v>
      </c>
      <c r="J6515">
        <v>-186.8699</v>
      </c>
      <c r="K6515">
        <v>1.109828</v>
      </c>
      <c r="L6515">
        <v>-13.816129999999999</v>
      </c>
      <c r="M6515">
        <v>1.487026E-2</v>
      </c>
      <c r="N6515">
        <v>0</v>
      </c>
      <c r="O6515">
        <v>0.99985060000000003</v>
      </c>
      <c r="P6515">
        <v>-1.1884270000000001E-2</v>
      </c>
      <c r="Q6515">
        <v>3.1308740000000002E-2</v>
      </c>
      <c r="R6515">
        <v>0.99943910000000002</v>
      </c>
      <c r="S6515">
        <v>0.24836730000000001</v>
      </c>
      <c r="T6515">
        <v>-0.50557920000000001</v>
      </c>
      <c r="U6515">
        <v>3.0201419999999999</v>
      </c>
      <c r="V6515">
        <v>-2.6814310000000001E-2</v>
      </c>
      <c r="W6515">
        <v>4.0070120000000001E-2</v>
      </c>
      <c r="X6515">
        <v>0.99883699999999997</v>
      </c>
      <c r="Y6515">
        <v>6.601224E-2</v>
      </c>
      <c r="Z6515">
        <v>-0.1646281</v>
      </c>
      <c r="AA6515">
        <v>0.98414429999999997</v>
      </c>
      <c r="AB6515">
        <v>31</v>
      </c>
      <c r="AC6515">
        <v>6.2600000000003306E-2</v>
      </c>
      <c r="AD6515">
        <v>-0.13604859999999999</v>
      </c>
      <c r="AE6515">
        <v>0.48304999999999998</v>
      </c>
      <c r="AF6515">
        <v>5.13998293791895E-2</v>
      </c>
      <c r="AG6515">
        <v>-0.13604859999999999</v>
      </c>
      <c r="AH6515">
        <v>0.44890663583377499</v>
      </c>
      <c r="AI6515">
        <v>106.757009517017</v>
      </c>
      <c r="AJ6515">
        <v>83.468076702046801</v>
      </c>
      <c r="AK6515">
        <v>0.47187745413165</v>
      </c>
      <c r="AL6515">
        <v>87.703536390889596</v>
      </c>
      <c r="AM6515">
        <v>91.537766302496905</v>
      </c>
      <c r="AN6515">
        <v>0.99999998715329497</v>
      </c>
    </row>
    <row r="6516" spans="1:40" x14ac:dyDescent="0.25">
      <c r="A6516" t="str">
        <f>"20190312151659469"</f>
        <v>20190312151659469</v>
      </c>
      <c r="B6516" t="str">
        <f>"1552375019464137"</f>
        <v>1552375019464137</v>
      </c>
      <c r="C6516" t="s">
        <v>40</v>
      </c>
      <c r="D6516">
        <v>4.7211730000000003</v>
      </c>
      <c r="E6516">
        <v>0.54346700000000003</v>
      </c>
      <c r="F6516" t="s">
        <v>41</v>
      </c>
      <c r="G6516">
        <v>-186.80080000000001</v>
      </c>
      <c r="H6516">
        <v>0.97249779999999997</v>
      </c>
      <c r="I6516">
        <v>-13.05171</v>
      </c>
      <c r="J6516">
        <v>-186.8663</v>
      </c>
      <c r="K6516">
        <v>1.1098269999999999</v>
      </c>
      <c r="L6516">
        <v>-13.518649999999999</v>
      </c>
      <c r="M6516">
        <v>1.406453E-2</v>
      </c>
      <c r="N6516">
        <v>0</v>
      </c>
      <c r="O6516">
        <v>0.99986209999999998</v>
      </c>
      <c r="P6516">
        <v>-1.321786E-2</v>
      </c>
      <c r="Q6516">
        <v>3.0992909999999999E-2</v>
      </c>
      <c r="R6516">
        <v>0.99943219999999999</v>
      </c>
      <c r="S6516">
        <v>0.27255249999999998</v>
      </c>
      <c r="T6516">
        <v>-0.54290490000000002</v>
      </c>
      <c r="U6516">
        <v>3.0219420000000001</v>
      </c>
      <c r="V6516">
        <v>-2.7342370000000001E-2</v>
      </c>
      <c r="W6516">
        <v>3.9762329999999999E-2</v>
      </c>
      <c r="X6516">
        <v>0.99883500000000003</v>
      </c>
      <c r="Y6516">
        <v>7.4404139999999994E-2</v>
      </c>
      <c r="Z6516">
        <v>-0.17620669999999999</v>
      </c>
      <c r="AA6516">
        <v>0.9815372</v>
      </c>
      <c r="AB6516">
        <v>32</v>
      </c>
      <c r="AC6516">
        <v>6.5499999999985903E-2</v>
      </c>
      <c r="AD6516">
        <v>-0.13732920000000001</v>
      </c>
      <c r="AE6516">
        <v>0.46693999999999902</v>
      </c>
      <c r="AF6516">
        <v>5.4318246498118797E-2</v>
      </c>
      <c r="AG6516">
        <v>-0.13732920000000001</v>
      </c>
      <c r="AH6516">
        <v>0.43123419302685601</v>
      </c>
      <c r="AI6516">
        <v>107.534429707813</v>
      </c>
      <c r="AJ6516">
        <v>82.820833960722496</v>
      </c>
      <c r="AK6516">
        <v>0.45582091912372202</v>
      </c>
      <c r="AL6516">
        <v>87.721185560338199</v>
      </c>
      <c r="AM6516">
        <v>91.568038031778599</v>
      </c>
      <c r="AN6516">
        <v>1.0000000026546201</v>
      </c>
    </row>
    <row r="6517" spans="1:40" x14ac:dyDescent="0.25">
      <c r="A6517" t="str">
        <f>"20190312151659496"</f>
        <v>20190312151659496</v>
      </c>
      <c r="B6517" t="str">
        <f>"1552375019484633"</f>
        <v>1552375019484633</v>
      </c>
      <c r="C6517" t="s">
        <v>40</v>
      </c>
      <c r="D6517">
        <v>4.7560520000000004</v>
      </c>
      <c r="E6517">
        <v>0.54572699999999996</v>
      </c>
      <c r="F6517" t="s">
        <v>41</v>
      </c>
      <c r="G6517">
        <v>-186.79230000000001</v>
      </c>
      <c r="H6517">
        <v>0.96443590000000001</v>
      </c>
      <c r="I6517">
        <v>-12.773210000000001</v>
      </c>
      <c r="J6517">
        <v>-186.86199999999999</v>
      </c>
      <c r="K6517">
        <v>1.1098319999999999</v>
      </c>
      <c r="L6517">
        <v>-13.142910000000001</v>
      </c>
      <c r="M6517">
        <v>1.304715E-2</v>
      </c>
      <c r="N6517">
        <v>0</v>
      </c>
      <c r="O6517">
        <v>0.99987579999999998</v>
      </c>
      <c r="P6517">
        <v>-1.478557E-2</v>
      </c>
      <c r="Q6517">
        <v>3.055888E-2</v>
      </c>
      <c r="R6517">
        <v>0.99942359999999997</v>
      </c>
      <c r="S6517">
        <v>0.29968260000000002</v>
      </c>
      <c r="T6517">
        <v>-0.58979890000000001</v>
      </c>
      <c r="U6517">
        <v>3.0239560000000001</v>
      </c>
      <c r="V6517">
        <v>-2.789198E-2</v>
      </c>
      <c r="W6517">
        <v>3.9338280000000003E-2</v>
      </c>
      <c r="X6517">
        <v>0.99883659999999996</v>
      </c>
      <c r="Y6517">
        <v>8.3819149999999995E-2</v>
      </c>
      <c r="Z6517">
        <v>-0.19062509999999999</v>
      </c>
      <c r="AA6517">
        <v>0.97807789999999994</v>
      </c>
      <c r="AB6517">
        <v>32</v>
      </c>
      <c r="AC6517">
        <v>6.9699999999983206E-2</v>
      </c>
      <c r="AD6517">
        <v>-0.145396099999999</v>
      </c>
      <c r="AE6517">
        <v>0.36969999999999897</v>
      </c>
      <c r="AF6517">
        <v>5.64403445190182E-2</v>
      </c>
      <c r="AG6517">
        <v>-0.145396099999999</v>
      </c>
      <c r="AH6517">
        <v>0.32242077044110401</v>
      </c>
      <c r="AI6517">
        <v>113.950647268395</v>
      </c>
      <c r="AJ6517">
        <v>80.070873358627594</v>
      </c>
      <c r="AK6517">
        <v>0.35816294000981003</v>
      </c>
      <c r="AL6517">
        <v>87.745500872941605</v>
      </c>
      <c r="AM6517">
        <v>91.599538448809795</v>
      </c>
      <c r="AN6517">
        <v>1.00000000816061</v>
      </c>
    </row>
    <row r="6518" spans="1:40" x14ac:dyDescent="0.25">
      <c r="A6518" t="str">
        <f>"20190312151659515"</f>
        <v>20190312151659515</v>
      </c>
      <c r="B6518" t="str">
        <f>"1552375019504154"</f>
        <v>1552375019504154</v>
      </c>
      <c r="C6518" t="s">
        <v>40</v>
      </c>
      <c r="D6518">
        <v>4.7627620000000004</v>
      </c>
      <c r="E6518">
        <v>0.54755129999999996</v>
      </c>
      <c r="F6518" t="s">
        <v>41</v>
      </c>
      <c r="G6518">
        <v>-186.7672</v>
      </c>
      <c r="H6518">
        <v>0.92299679999999995</v>
      </c>
      <c r="I6518">
        <v>-12.22673</v>
      </c>
      <c r="J6518">
        <v>-186.85900000000001</v>
      </c>
      <c r="K6518">
        <v>1.1098330000000001</v>
      </c>
      <c r="L6518">
        <v>-12.855219999999999</v>
      </c>
      <c r="M6518">
        <v>1.2268390000000001E-2</v>
      </c>
      <c r="N6518">
        <v>0</v>
      </c>
      <c r="O6518">
        <v>0.99988560000000004</v>
      </c>
      <c r="P6518">
        <v>-1.6290039999999999E-2</v>
      </c>
      <c r="Q6518">
        <v>3.0899380000000001E-2</v>
      </c>
      <c r="R6518">
        <v>0.99938979999999999</v>
      </c>
      <c r="S6518">
        <v>0.31288149999999998</v>
      </c>
      <c r="T6518">
        <v>-0.6169386</v>
      </c>
      <c r="U6518">
        <v>3.0252080000000001</v>
      </c>
      <c r="V6518">
        <v>-2.8618859999999999E-2</v>
      </c>
      <c r="W6518">
        <v>3.9685140000000001E-2</v>
      </c>
      <c r="X6518">
        <v>0.99880230000000003</v>
      </c>
      <c r="Y6518">
        <v>8.8609480000000004E-2</v>
      </c>
      <c r="Z6518">
        <v>-0.1988964</v>
      </c>
      <c r="AA6518">
        <v>0.97600640000000005</v>
      </c>
      <c r="AB6518">
        <v>32</v>
      </c>
      <c r="AC6518">
        <v>9.1800000000006293E-2</v>
      </c>
      <c r="AD6518">
        <v>-0.18683620000000001</v>
      </c>
      <c r="AE6518">
        <v>0.62848999999999899</v>
      </c>
      <c r="AF6518">
        <v>7.7386151611082699E-2</v>
      </c>
      <c r="AG6518">
        <v>-0.18683620000000001</v>
      </c>
      <c r="AH6518">
        <v>0.57943184133711101</v>
      </c>
      <c r="AI6518">
        <v>107.724368709141</v>
      </c>
      <c r="AJ6518">
        <v>82.392865445639998</v>
      </c>
      <c r="AK6518">
        <v>0.61370810720319502</v>
      </c>
      <c r="AL6518">
        <v>87.725611690828103</v>
      </c>
      <c r="AM6518">
        <v>91.641257102363298</v>
      </c>
      <c r="AN6518">
        <v>0.99999999198490397</v>
      </c>
    </row>
    <row r="6519" spans="1:40" x14ac:dyDescent="0.25">
      <c r="A6519" t="str">
        <f>"20190312151659538"</f>
        <v>20190312151659538</v>
      </c>
      <c r="B6519" t="str">
        <f>"1552375019524650"</f>
        <v>1552375019524650</v>
      </c>
      <c r="C6519" t="s">
        <v>40</v>
      </c>
      <c r="D6519">
        <v>4.7337309999999997</v>
      </c>
      <c r="E6519">
        <v>0.54911149999999997</v>
      </c>
      <c r="F6519" t="s">
        <v>41</v>
      </c>
      <c r="G6519">
        <v>-186.76179999999999</v>
      </c>
      <c r="H6519">
        <v>0.91790769999999999</v>
      </c>
      <c r="I6519">
        <v>-11.945029999999999</v>
      </c>
      <c r="J6519">
        <v>-186.8561</v>
      </c>
      <c r="K6519">
        <v>1.1098380000000001</v>
      </c>
      <c r="L6519">
        <v>-12.54166</v>
      </c>
      <c r="M6519">
        <v>1.141985E-2</v>
      </c>
      <c r="N6519">
        <v>0</v>
      </c>
      <c r="O6519">
        <v>0.9998956</v>
      </c>
      <c r="P6519">
        <v>-1.7977440000000001E-2</v>
      </c>
      <c r="Q6519">
        <v>3.048667E-2</v>
      </c>
      <c r="R6519">
        <v>0.99937350000000003</v>
      </c>
      <c r="S6519">
        <v>0.32295230000000003</v>
      </c>
      <c r="T6519">
        <v>-0.63825379999999998</v>
      </c>
      <c r="U6519">
        <v>3.0268250000000001</v>
      </c>
      <c r="V6519">
        <v>-2.945803E-2</v>
      </c>
      <c r="W6519">
        <v>3.9277289999999999E-2</v>
      </c>
      <c r="X6519">
        <v>0.99879399999999996</v>
      </c>
      <c r="Y6519">
        <v>9.2472029999999997E-2</v>
      </c>
      <c r="Z6519">
        <v>-0.20530989999999999</v>
      </c>
      <c r="AA6519">
        <v>0.97431860000000003</v>
      </c>
      <c r="AB6519">
        <v>32</v>
      </c>
      <c r="AC6519">
        <v>9.4300000000004006E-2</v>
      </c>
      <c r="AD6519">
        <v>-0.1919303</v>
      </c>
      <c r="AE6519">
        <v>0.59662999999999899</v>
      </c>
      <c r="AF6519">
        <v>7.9457875526346394E-2</v>
      </c>
      <c r="AG6519">
        <v>-0.1919303</v>
      </c>
      <c r="AH6519">
        <v>0.54285946150795805</v>
      </c>
      <c r="AI6519">
        <v>109.281206723737</v>
      </c>
      <c r="AJ6519">
        <v>81.672796861872698</v>
      </c>
      <c r="AK6519">
        <v>0.58124623782865104</v>
      </c>
      <c r="AL6519">
        <v>87.748997954257604</v>
      </c>
      <c r="AM6519">
        <v>91.689369029848393</v>
      </c>
      <c r="AN6519">
        <v>0.999999967738611</v>
      </c>
    </row>
    <row r="6520" spans="1:40" x14ac:dyDescent="0.25">
      <c r="A6520" t="str">
        <f>"20190312151659558"</f>
        <v>20190312151659558</v>
      </c>
      <c r="B6520" t="str">
        <f>"1552375019544170"</f>
        <v>1552375019544170</v>
      </c>
      <c r="C6520" t="s">
        <v>40</v>
      </c>
      <c r="D6520">
        <v>4.7677649999999998</v>
      </c>
      <c r="E6520">
        <v>0.54983479999999996</v>
      </c>
      <c r="F6520" t="s">
        <v>41</v>
      </c>
      <c r="G6520">
        <v>-186.75989999999999</v>
      </c>
      <c r="H6520">
        <v>0.91827959999999997</v>
      </c>
      <c r="I6520">
        <v>-11.66034</v>
      </c>
      <c r="J6520">
        <v>-186.8535</v>
      </c>
      <c r="K6520">
        <v>1.109834</v>
      </c>
      <c r="L6520">
        <v>-12.24527</v>
      </c>
      <c r="M6520">
        <v>1.0617990000000001E-2</v>
      </c>
      <c r="N6520">
        <v>0</v>
      </c>
      <c r="O6520">
        <v>0.99990449999999997</v>
      </c>
      <c r="P6520">
        <v>-1.9701389999999999E-2</v>
      </c>
      <c r="Q6520">
        <v>3.0586269999999999E-2</v>
      </c>
      <c r="R6520">
        <v>0.99933799999999995</v>
      </c>
      <c r="S6520">
        <v>0.33042909999999998</v>
      </c>
      <c r="T6520">
        <v>-0.65813049999999995</v>
      </c>
      <c r="U6520">
        <v>3.0278930000000002</v>
      </c>
      <c r="V6520">
        <v>-3.038043E-2</v>
      </c>
      <c r="W6520">
        <v>3.9371629999999998E-2</v>
      </c>
      <c r="X6520">
        <v>0.9987627</v>
      </c>
      <c r="Y6520">
        <v>9.5473580000000002E-2</v>
      </c>
      <c r="Z6520">
        <v>-0.21129609999999999</v>
      </c>
      <c r="AA6520">
        <v>0.97274799999999995</v>
      </c>
      <c r="AB6520">
        <v>32</v>
      </c>
      <c r="AC6520">
        <v>9.3600000000009204E-2</v>
      </c>
      <c r="AD6520">
        <v>-0.19155439999999899</v>
      </c>
      <c r="AE6520">
        <v>0.58492999999999995</v>
      </c>
      <c r="AF6520">
        <v>7.9111249973718406E-2</v>
      </c>
      <c r="AG6520">
        <v>-0.19155439999999899</v>
      </c>
      <c r="AH6520">
        <v>0.53042572413961198</v>
      </c>
      <c r="AI6520">
        <v>109.655835919498</v>
      </c>
      <c r="AJ6520">
        <v>81.517054641043998</v>
      </c>
      <c r="AK6520">
        <v>0.56947618638604702</v>
      </c>
      <c r="AL6520">
        <v>87.743588588943695</v>
      </c>
      <c r="AM6520">
        <v>91.742289594701504</v>
      </c>
      <c r="AN6520">
        <v>1.00000001334356</v>
      </c>
    </row>
    <row r="6521" spans="1:40" x14ac:dyDescent="0.25">
      <c r="A6521" t="str">
        <f>"20190312151659581"</f>
        <v>20190312151659581</v>
      </c>
      <c r="B6521" t="str">
        <f>"1552375019574426"</f>
        <v>1552375019574426</v>
      </c>
      <c r="C6521" t="s">
        <v>40</v>
      </c>
      <c r="D6521">
        <v>4.7247560000000002</v>
      </c>
      <c r="E6521">
        <v>0.57584349999999995</v>
      </c>
      <c r="F6521" t="s">
        <v>41</v>
      </c>
      <c r="G6521">
        <v>-186.7585</v>
      </c>
      <c r="H6521">
        <v>0.91840080000000002</v>
      </c>
      <c r="I6521">
        <v>-11.375260000000001</v>
      </c>
      <c r="J6521">
        <v>-186.851</v>
      </c>
      <c r="K6521">
        <v>1.109829</v>
      </c>
      <c r="L6521">
        <v>-11.92545</v>
      </c>
      <c r="M6521">
        <v>9.7528030000000009E-3</v>
      </c>
      <c r="N6521">
        <v>0</v>
      </c>
      <c r="O6521">
        <v>0.99991339999999995</v>
      </c>
      <c r="P6521">
        <v>-2.0644889999999999E-2</v>
      </c>
      <c r="Q6521">
        <v>3.0134500000000002E-2</v>
      </c>
      <c r="R6521">
        <v>0.99933260000000002</v>
      </c>
      <c r="S6521">
        <v>0.33036799999999999</v>
      </c>
      <c r="T6521">
        <v>-0.66648379999999996</v>
      </c>
      <c r="U6521">
        <v>3.0289000000000001</v>
      </c>
      <c r="V6521">
        <v>-3.0458610000000001E-2</v>
      </c>
      <c r="W6521">
        <v>3.8908499999999999E-2</v>
      </c>
      <c r="X6521">
        <v>0.99877850000000001</v>
      </c>
      <c r="Y6521">
        <v>9.622174E-2</v>
      </c>
      <c r="Z6521">
        <v>-0.21378320000000001</v>
      </c>
      <c r="AA6521">
        <v>0.97213070000000001</v>
      </c>
      <c r="AB6521">
        <v>32</v>
      </c>
      <c r="AC6521">
        <v>9.2500000000001095E-2</v>
      </c>
      <c r="AD6521">
        <v>-0.19142819999999999</v>
      </c>
      <c r="AE6521">
        <v>0.55018999999999796</v>
      </c>
      <c r="AF6521">
        <v>7.79522988840127E-2</v>
      </c>
      <c r="AG6521">
        <v>-0.19142819999999999</v>
      </c>
      <c r="AH6521">
        <v>0.49302318327494998</v>
      </c>
      <c r="AI6521">
        <v>110.982325112433</v>
      </c>
      <c r="AJ6521">
        <v>81.015294387760207</v>
      </c>
      <c r="AK6521">
        <v>0.53459627374599905</v>
      </c>
      <c r="AL6521">
        <v>87.770144402978502</v>
      </c>
      <c r="AM6521">
        <v>91.746742755789199</v>
      </c>
      <c r="AN6521">
        <v>1.00000004517881</v>
      </c>
    </row>
    <row r="6522" spans="1:40" x14ac:dyDescent="0.25">
      <c r="A6522" t="str">
        <f>"20190312151659603"</f>
        <v>20190312151659603</v>
      </c>
      <c r="B6522" t="str">
        <f>"1552375019593946"</f>
        <v>1552375019593946</v>
      </c>
      <c r="C6522" t="s">
        <v>40</v>
      </c>
      <c r="D6522">
        <v>4.763617</v>
      </c>
      <c r="E6522">
        <v>0.57594409999999996</v>
      </c>
      <c r="F6522" t="s">
        <v>41</v>
      </c>
      <c r="G6522">
        <v>-186.70959999999999</v>
      </c>
      <c r="H6522">
        <v>0.85156290000000001</v>
      </c>
      <c r="I6522">
        <v>-11.1166</v>
      </c>
      <c r="J6522">
        <v>-186.84870000000001</v>
      </c>
      <c r="K6522">
        <v>1.1098269999999999</v>
      </c>
      <c r="L6522">
        <v>-11.6088</v>
      </c>
      <c r="M6522">
        <v>8.8963759999999992E-3</v>
      </c>
      <c r="N6522">
        <v>0</v>
      </c>
      <c r="O6522">
        <v>0.99992150000000002</v>
      </c>
      <c r="P6522">
        <v>-2.2145939999999999E-2</v>
      </c>
      <c r="Q6522">
        <v>2.9814199999999999E-2</v>
      </c>
      <c r="R6522">
        <v>0.99931009999999998</v>
      </c>
      <c r="S6522">
        <v>0.53146359999999904</v>
      </c>
      <c r="T6522">
        <v>-0.97140550000000003</v>
      </c>
      <c r="U6522">
        <v>3.0422669999999998</v>
      </c>
      <c r="V6522">
        <v>-3.110338E-2</v>
      </c>
      <c r="W6522">
        <v>3.8570680000000003E-2</v>
      </c>
      <c r="X6522">
        <v>0.99877169999999904</v>
      </c>
      <c r="Y6522">
        <v>0.15537879999999901</v>
      </c>
      <c r="Z6522">
        <v>-0.3002495</v>
      </c>
      <c r="AA6522">
        <v>0.94112039999999997</v>
      </c>
      <c r="AB6522">
        <v>32</v>
      </c>
      <c r="AC6522">
        <v>0.13910000000001299</v>
      </c>
      <c r="AD6522">
        <v>-0.2582641</v>
      </c>
      <c r="AE6522">
        <v>0.49220000000000003</v>
      </c>
      <c r="AF6522">
        <v>0.10734635763323799</v>
      </c>
      <c r="AG6522">
        <v>-0.2582641</v>
      </c>
      <c r="AH6522">
        <v>0.39317390990256501</v>
      </c>
      <c r="AI6522">
        <v>122.361468806985</v>
      </c>
      <c r="AJ6522">
        <v>74.728998054778302</v>
      </c>
      <c r="AK6522">
        <v>0.48250317022171302</v>
      </c>
      <c r="AL6522">
        <v>87.789514532050205</v>
      </c>
      <c r="AM6522">
        <v>91.783707573806893</v>
      </c>
      <c r="AN6522">
        <v>1.00000001316198</v>
      </c>
    </row>
    <row r="6523" spans="1:40" x14ac:dyDescent="0.25">
      <c r="A6523" t="str">
        <f>"20190312151659625"</f>
        <v>20190312151659625</v>
      </c>
      <c r="B6523" t="str">
        <f>"1552375019614441"</f>
        <v>1552375019614441</v>
      </c>
      <c r="C6523" t="s">
        <v>40</v>
      </c>
      <c r="D6523">
        <v>4.7198589999999996</v>
      </c>
      <c r="E6523">
        <v>0.57602769999999903</v>
      </c>
      <c r="F6523" t="s">
        <v>41</v>
      </c>
      <c r="G6523">
        <v>-186.71289999999999</v>
      </c>
      <c r="H6523">
        <v>0.85911499999999996</v>
      </c>
      <c r="I6523">
        <v>-10.827529999999999</v>
      </c>
      <c r="J6523">
        <v>-186.8467</v>
      </c>
      <c r="K6523">
        <v>1.109815</v>
      </c>
      <c r="L6523">
        <v>-11.29102</v>
      </c>
      <c r="M6523">
        <v>8.0370790000000008E-3</v>
      </c>
      <c r="N6523">
        <v>0</v>
      </c>
      <c r="O6523">
        <v>0.99992899999999996</v>
      </c>
      <c r="P6523">
        <v>-2.2987480000000001E-2</v>
      </c>
      <c r="Q6523">
        <v>2.934316E-2</v>
      </c>
      <c r="R6523">
        <v>0.999305</v>
      </c>
      <c r="S6523">
        <v>0.52836609999999995</v>
      </c>
      <c r="T6523">
        <v>-0.97650579999999998</v>
      </c>
      <c r="U6523">
        <v>3.0429080000000002</v>
      </c>
      <c r="V6523">
        <v>-3.1085870000000002E-2</v>
      </c>
      <c r="W6523">
        <v>3.807895E-2</v>
      </c>
      <c r="X6523">
        <v>0.99879110000000004</v>
      </c>
      <c r="Y6523">
        <v>0.1551872</v>
      </c>
      <c r="Z6523">
        <v>-0.30165520000000001</v>
      </c>
      <c r="AA6523">
        <v>0.94070240000000005</v>
      </c>
      <c r="AB6523">
        <v>32</v>
      </c>
      <c r="AC6523">
        <v>0.133800000000007</v>
      </c>
      <c r="AD6523">
        <v>-0.25069999999999998</v>
      </c>
      <c r="AE6523">
        <v>0.46349000000000001</v>
      </c>
      <c r="AF6523">
        <v>0.10241259193965201</v>
      </c>
      <c r="AG6523">
        <v>-0.25069999999999998</v>
      </c>
      <c r="AH6523">
        <v>0.36576964065155898</v>
      </c>
      <c r="AI6523">
        <v>123.425642096722</v>
      </c>
      <c r="AJ6523">
        <v>74.358175868160998</v>
      </c>
      <c r="AK6523">
        <v>0.455111260034476</v>
      </c>
      <c r="AL6523">
        <v>87.817709269723807</v>
      </c>
      <c r="AM6523">
        <v>91.782669459582806</v>
      </c>
      <c r="AN6523">
        <v>0.99999999959298402</v>
      </c>
    </row>
    <row r="6524" spans="1:40" x14ac:dyDescent="0.25">
      <c r="A6524" t="str">
        <f>"20190312151659648"</f>
        <v>20190312151659648</v>
      </c>
      <c r="B6524" t="str">
        <f>"1552375019644698"</f>
        <v>1552375019644698</v>
      </c>
      <c r="C6524" t="s">
        <v>40</v>
      </c>
      <c r="D6524">
        <v>4.6764830000000002</v>
      </c>
      <c r="E6524">
        <v>0.57611559999999995</v>
      </c>
      <c r="F6524" t="s">
        <v>41</v>
      </c>
      <c r="G6524">
        <v>-186.71619999999999</v>
      </c>
      <c r="H6524">
        <v>0.86673869999999897</v>
      </c>
      <c r="I6524">
        <v>-10.5379</v>
      </c>
      <c r="J6524">
        <v>-186.845</v>
      </c>
      <c r="K6524">
        <v>1.109804</v>
      </c>
      <c r="L6524">
        <v>-10.96228</v>
      </c>
      <c r="M6524">
        <v>7.1483349999999996E-3</v>
      </c>
      <c r="N6524">
        <v>0</v>
      </c>
      <c r="O6524">
        <v>0.99993600000000005</v>
      </c>
      <c r="P6524">
        <v>-2.4129479999999998E-2</v>
      </c>
      <c r="Q6524">
        <v>2.8970470000000002E-2</v>
      </c>
      <c r="R6524">
        <v>0.99928899999999998</v>
      </c>
      <c r="S6524">
        <v>0.52717590000000003</v>
      </c>
      <c r="T6524">
        <v>-0.98218510000000003</v>
      </c>
      <c r="U6524">
        <v>3.0430600000000001</v>
      </c>
      <c r="V6524">
        <v>-3.1338770000000002E-2</v>
      </c>
      <c r="W6524">
        <v>3.767583E-2</v>
      </c>
      <c r="X6524">
        <v>0.99879850000000003</v>
      </c>
      <c r="Y6524">
        <v>0.15561320000000001</v>
      </c>
      <c r="Z6524">
        <v>-0.30323470000000002</v>
      </c>
      <c r="AA6524">
        <v>0.94012410000000002</v>
      </c>
      <c r="AB6524">
        <v>32</v>
      </c>
      <c r="AC6524">
        <v>0.12880000000001199</v>
      </c>
      <c r="AD6524">
        <v>-0.24306530000000001</v>
      </c>
      <c r="AE6524">
        <v>0.42437999999999898</v>
      </c>
      <c r="AF6524">
        <v>9.6712617327284894E-2</v>
      </c>
      <c r="AG6524">
        <v>-0.24306530000000001</v>
      </c>
      <c r="AH6524">
        <v>0.32705092130267499</v>
      </c>
      <c r="AI6524">
        <v>125.477294741146</v>
      </c>
      <c r="AJ6524">
        <v>73.526462013362206</v>
      </c>
      <c r="AK6524">
        <v>0.41880350468843103</v>
      </c>
      <c r="AL6524">
        <v>87.840822964603305</v>
      </c>
      <c r="AM6524">
        <v>91.797149640274498</v>
      </c>
      <c r="AN6524">
        <v>1.0000000151367701</v>
      </c>
    </row>
    <row r="6525" spans="1:40" x14ac:dyDescent="0.25">
      <c r="A6525" t="str">
        <f>"20190312151659671"</f>
        <v>20190312151659671</v>
      </c>
      <c r="B6525" t="str">
        <f>"1552375019664217"</f>
        <v>1552375019664217</v>
      </c>
      <c r="C6525" t="s">
        <v>40</v>
      </c>
      <c r="D6525">
        <v>4.7370640000000002</v>
      </c>
      <c r="E6525">
        <v>0.57615879999999997</v>
      </c>
      <c r="F6525" t="s">
        <v>41</v>
      </c>
      <c r="G6525">
        <v>-186.72139999999999</v>
      </c>
      <c r="H6525">
        <v>0.8779188</v>
      </c>
      <c r="I6525">
        <v>-10.24621</v>
      </c>
      <c r="J6525">
        <v>-186.84350000000001</v>
      </c>
      <c r="K6525">
        <v>1.1097919999999999</v>
      </c>
      <c r="L6525">
        <v>-10.63602</v>
      </c>
      <c r="M6525">
        <v>6.2666409999999999E-3</v>
      </c>
      <c r="N6525">
        <v>0</v>
      </c>
      <c r="O6525">
        <v>0.9999422</v>
      </c>
      <c r="P6525">
        <v>-2.4950360000000001E-2</v>
      </c>
      <c r="Q6525">
        <v>2.8431430000000001E-2</v>
      </c>
      <c r="R6525">
        <v>0.99928430000000001</v>
      </c>
      <c r="S6525">
        <v>0.52484129999999996</v>
      </c>
      <c r="T6525">
        <v>-0.98556379999999999</v>
      </c>
      <c r="U6525">
        <v>3.043396</v>
      </c>
      <c r="V6525">
        <v>-3.1278479999999997E-2</v>
      </c>
      <c r="W6525">
        <v>3.7103070000000002E-2</v>
      </c>
      <c r="X6525">
        <v>0.99882179999999998</v>
      </c>
      <c r="Y6525">
        <v>0.15571460000000001</v>
      </c>
      <c r="Z6525">
        <v>-0.30416789999999999</v>
      </c>
      <c r="AA6525">
        <v>0.93980569999999997</v>
      </c>
      <c r="AB6525">
        <v>32</v>
      </c>
      <c r="AC6525">
        <v>0.122100000000017</v>
      </c>
      <c r="AD6525">
        <v>-0.2318732</v>
      </c>
      <c r="AE6525">
        <v>0.38980999999999799</v>
      </c>
      <c r="AF6525">
        <v>9.0495527147552698E-2</v>
      </c>
      <c r="AG6525">
        <v>-0.2318732</v>
      </c>
      <c r="AH6525">
        <v>0.29538841143539701</v>
      </c>
      <c r="AI6525">
        <v>126.889881179597</v>
      </c>
      <c r="AJ6525">
        <v>72.966971606259307</v>
      </c>
      <c r="AK6525">
        <v>0.38627572396188797</v>
      </c>
      <c r="AL6525">
        <v>87.873662592840702</v>
      </c>
      <c r="AM6525">
        <v>91.7936527022392</v>
      </c>
      <c r="AN6525">
        <v>0.99999998463488704</v>
      </c>
    </row>
    <row r="6526" spans="1:40" x14ac:dyDescent="0.25">
      <c r="A6526" t="str">
        <f>"20190312151659695"</f>
        <v>20190312151659695</v>
      </c>
      <c r="B6526" t="str">
        <f>"1552375019684715"</f>
        <v>1552375019684715</v>
      </c>
      <c r="C6526" t="s">
        <v>40</v>
      </c>
      <c r="D6526">
        <v>4.7239459999999998</v>
      </c>
      <c r="E6526">
        <v>0.57580690000000001</v>
      </c>
      <c r="F6526" t="s">
        <v>41</v>
      </c>
      <c r="G6526">
        <v>-186.72649999999999</v>
      </c>
      <c r="H6526">
        <v>0.88833700000000004</v>
      </c>
      <c r="I6526">
        <v>-9.9542579999999994</v>
      </c>
      <c r="J6526">
        <v>-186.84229999999999</v>
      </c>
      <c r="K6526">
        <v>1.109793</v>
      </c>
      <c r="L6526">
        <v>-10.300599999999999</v>
      </c>
      <c r="M6526">
        <v>5.3604869999999997E-3</v>
      </c>
      <c r="N6526">
        <v>0</v>
      </c>
      <c r="O6526">
        <v>0.99994780000000005</v>
      </c>
      <c r="P6526">
        <v>-2.5812740000000001E-2</v>
      </c>
      <c r="Q6526">
        <v>2.796715E-2</v>
      </c>
      <c r="R6526">
        <v>0.99927549999999998</v>
      </c>
      <c r="S6526">
        <v>0.52235410000000004</v>
      </c>
      <c r="T6526">
        <v>-0.98855479999999996</v>
      </c>
      <c r="U6526">
        <v>3.043304</v>
      </c>
      <c r="V6526">
        <v>-3.1234290000000001E-2</v>
      </c>
      <c r="W6526">
        <v>3.659987E-2</v>
      </c>
      <c r="X6526">
        <v>0.9988418</v>
      </c>
      <c r="Y6526">
        <v>0.1558204</v>
      </c>
      <c r="Z6526">
        <v>-0.30503059999999999</v>
      </c>
      <c r="AA6526">
        <v>0.93950860000000003</v>
      </c>
      <c r="AB6526">
        <v>32</v>
      </c>
      <c r="AC6526">
        <v>0.11580000000000699</v>
      </c>
      <c r="AD6526">
        <v>-0.22145599999999999</v>
      </c>
      <c r="AE6526">
        <v>0.34634199999999898</v>
      </c>
      <c r="AF6526">
        <v>8.3306523591568898E-2</v>
      </c>
      <c r="AG6526">
        <v>-0.22145599999999999</v>
      </c>
      <c r="AH6526">
        <v>0.25367224115596299</v>
      </c>
      <c r="AI6526">
        <v>129.67298534437501</v>
      </c>
      <c r="AJ6526">
        <v>71.819705729945994</v>
      </c>
      <c r="AK6526">
        <v>0.34688952526993599</v>
      </c>
      <c r="AL6526">
        <v>87.902513535265101</v>
      </c>
      <c r="AM6526">
        <v>91.791084454460204</v>
      </c>
      <c r="AN6526">
        <v>1.00000003639152</v>
      </c>
    </row>
    <row r="6527" spans="1:40" x14ac:dyDescent="0.25">
      <c r="A6527" t="str">
        <f>"20190312151659717"</f>
        <v>20190312151659717</v>
      </c>
      <c r="B6527" t="str">
        <f>"1552375019704234"</f>
        <v>1552375019704234</v>
      </c>
      <c r="C6527" t="s">
        <v>40</v>
      </c>
      <c r="D6527">
        <v>4.7002660000000001</v>
      </c>
      <c r="E6527">
        <v>0.57559479999999996</v>
      </c>
      <c r="F6527" t="s">
        <v>41</v>
      </c>
      <c r="G6527">
        <v>-186.69030000000001</v>
      </c>
      <c r="H6527">
        <v>0.81694909999999998</v>
      </c>
      <c r="I6527">
        <v>-9.4053299999999993</v>
      </c>
      <c r="J6527">
        <v>-186.84139999999999</v>
      </c>
      <c r="K6527">
        <v>1.1097889999999999</v>
      </c>
      <c r="L6527">
        <v>-9.9731450000000006</v>
      </c>
      <c r="M6527">
        <v>4.4764619999999996E-3</v>
      </c>
      <c r="N6527">
        <v>0</v>
      </c>
      <c r="O6527">
        <v>0.99995250000000002</v>
      </c>
      <c r="P6527">
        <v>-2.6669330000000002E-2</v>
      </c>
      <c r="Q6527">
        <v>2.8018479999999998E-2</v>
      </c>
      <c r="R6527">
        <v>0.99925160000000002</v>
      </c>
      <c r="S6527">
        <v>0.51684569999999996</v>
      </c>
      <c r="T6527">
        <v>-0.99550090000000002</v>
      </c>
      <c r="U6527">
        <v>3.043396</v>
      </c>
      <c r="V6527">
        <v>-3.1207599999999901E-2</v>
      </c>
      <c r="W6527">
        <v>3.6611299999999999E-2</v>
      </c>
      <c r="X6527">
        <v>0.99884220000000001</v>
      </c>
      <c r="Y6527">
        <v>0.1549277</v>
      </c>
      <c r="Z6527">
        <v>-0.30702699999999999</v>
      </c>
      <c r="AA6527">
        <v>0.9390058</v>
      </c>
      <c r="AB6527">
        <v>32</v>
      </c>
      <c r="AC6527">
        <v>0.151099999999985</v>
      </c>
      <c r="AD6527">
        <v>-0.29283989999999899</v>
      </c>
      <c r="AE6527">
        <v>0.56781499999999896</v>
      </c>
      <c r="AF6527">
        <v>0.118998601437545</v>
      </c>
      <c r="AG6527">
        <v>-0.29283989999999899</v>
      </c>
      <c r="AH6527">
        <v>0.455375338317829</v>
      </c>
      <c r="AI6527">
        <v>121.889078078422</v>
      </c>
      <c r="AJ6527">
        <v>75.354974717718605</v>
      </c>
      <c r="AK6527">
        <v>0.55433074326089804</v>
      </c>
      <c r="AL6527">
        <v>87.901858173103605</v>
      </c>
      <c r="AM6527">
        <v>91.789554235056798</v>
      </c>
      <c r="AN6527">
        <v>1.0000000210431399</v>
      </c>
    </row>
    <row r="6528" spans="1:40" x14ac:dyDescent="0.25">
      <c r="A6528" t="str">
        <f>"20190312151659739"</f>
        <v>20190312151659739</v>
      </c>
      <c r="B6528" t="str">
        <f>"1552375019734490"</f>
        <v>1552375019734490</v>
      </c>
      <c r="C6528" t="s">
        <v>40</v>
      </c>
      <c r="D6528">
        <v>4.6953809999999896</v>
      </c>
      <c r="E6528">
        <v>0.57536790000000004</v>
      </c>
      <c r="F6528" t="s">
        <v>41</v>
      </c>
      <c r="G6528">
        <v>-186.6962</v>
      </c>
      <c r="H6528">
        <v>0.82766079999999997</v>
      </c>
      <c r="I6528">
        <v>-9.1116810000000008</v>
      </c>
      <c r="J6528">
        <v>-186.8408</v>
      </c>
      <c r="K6528">
        <v>1.109782</v>
      </c>
      <c r="L6528">
        <v>-9.6570429999999998</v>
      </c>
      <c r="M6528">
        <v>3.6231520000000001E-3</v>
      </c>
      <c r="N6528">
        <v>0</v>
      </c>
      <c r="O6528">
        <v>0.99995630000000002</v>
      </c>
      <c r="P6528">
        <v>-2.7389E-2</v>
      </c>
      <c r="Q6528">
        <v>2.7867260000000001E-2</v>
      </c>
      <c r="R6528">
        <v>0.99923629999999997</v>
      </c>
      <c r="S6528">
        <v>0.51275630000000005</v>
      </c>
      <c r="T6528">
        <v>-0.99688259999999995</v>
      </c>
      <c r="U6528">
        <v>3.0438839999999998</v>
      </c>
      <c r="V6528">
        <v>-3.1074930000000001E-2</v>
      </c>
      <c r="W6528">
        <v>3.6423560000000001E-2</v>
      </c>
      <c r="X6528">
        <v>0.9988532</v>
      </c>
      <c r="Y6528">
        <v>0.15449749999999901</v>
      </c>
      <c r="Z6528">
        <v>-0.30741069999999998</v>
      </c>
      <c r="AA6528">
        <v>0.93895110000000004</v>
      </c>
      <c r="AB6528">
        <v>32</v>
      </c>
      <c r="AC6528">
        <v>0.14459999999999601</v>
      </c>
      <c r="AD6528">
        <v>-0.28212120000000002</v>
      </c>
      <c r="AE6528">
        <v>0.54536200000000001</v>
      </c>
      <c r="AF6528">
        <v>0.11409552697856901</v>
      </c>
      <c r="AG6528">
        <v>-0.28212120000000002</v>
      </c>
      <c r="AH6528">
        <v>0.43669473453624502</v>
      </c>
      <c r="AI6528">
        <v>122.007682993361</v>
      </c>
      <c r="AJ6528">
        <v>75.357610688861996</v>
      </c>
      <c r="AK6528">
        <v>0.53227103240514495</v>
      </c>
      <c r="AL6528">
        <v>87.912622061942102</v>
      </c>
      <c r="AM6528">
        <v>91.781931771727599</v>
      </c>
      <c r="AN6528">
        <v>1.0000000210739</v>
      </c>
    </row>
    <row r="6529" spans="1:40" x14ac:dyDescent="0.25">
      <c r="A6529" t="str">
        <f>"20190312151659759"</f>
        <v>20190312151659759</v>
      </c>
      <c r="B6529" t="str">
        <f>"1552375019754010"</f>
        <v>1552375019754010</v>
      </c>
      <c r="C6529" t="s">
        <v>40</v>
      </c>
      <c r="D6529">
        <v>4.6725669999999999</v>
      </c>
      <c r="E6529">
        <v>0.57533650000000003</v>
      </c>
      <c r="F6529" t="s">
        <v>41</v>
      </c>
      <c r="G6529">
        <v>-186.70060000000001</v>
      </c>
      <c r="H6529">
        <v>0.83533819999999903</v>
      </c>
      <c r="I6529">
        <v>-8.8186440000000008</v>
      </c>
      <c r="J6529">
        <v>-186.84049999999999</v>
      </c>
      <c r="K6529">
        <v>1.1097809999999999</v>
      </c>
      <c r="L6529">
        <v>-9.3590389999999992</v>
      </c>
      <c r="M6529">
        <v>2.8191029999999999E-3</v>
      </c>
      <c r="N6529">
        <v>0</v>
      </c>
      <c r="O6529">
        <v>0.99995919999999905</v>
      </c>
      <c r="P6529">
        <v>-2.7843280000000002E-2</v>
      </c>
      <c r="Q6529">
        <v>2.7461599999999999E-2</v>
      </c>
      <c r="R6529">
        <v>0.99923499999999998</v>
      </c>
      <c r="S6529">
        <v>0.50906370000000001</v>
      </c>
      <c r="T6529">
        <v>-0.99645950000000005</v>
      </c>
      <c r="U6529">
        <v>3.0440369999999999</v>
      </c>
      <c r="V6529">
        <v>-3.0725349999999998E-2</v>
      </c>
      <c r="W6529">
        <v>3.5982300000000002E-2</v>
      </c>
      <c r="X6529">
        <v>0.99887999999999999</v>
      </c>
      <c r="Y6529">
        <v>0.15418029999999999</v>
      </c>
      <c r="Z6529">
        <v>-0.30731510000000001</v>
      </c>
      <c r="AA6529">
        <v>0.93903449999999999</v>
      </c>
      <c r="AB6529">
        <v>32</v>
      </c>
      <c r="AC6529">
        <v>0.13989999999998301</v>
      </c>
      <c r="AD6529">
        <v>-0.27444279999999999</v>
      </c>
      <c r="AE6529">
        <v>0.54039499999999796</v>
      </c>
      <c r="AF6529">
        <v>0.111439169896508</v>
      </c>
      <c r="AG6529">
        <v>-0.27444279999999999</v>
      </c>
      <c r="AH6529">
        <v>0.43551556084244197</v>
      </c>
      <c r="AI6529">
        <v>121.403542106176</v>
      </c>
      <c r="AJ6529">
        <v>75.647184391225295</v>
      </c>
      <c r="AK6529">
        <v>0.52669853122537702</v>
      </c>
      <c r="AL6529">
        <v>87.937920966595499</v>
      </c>
      <c r="AM6529">
        <v>91.761851247243698</v>
      </c>
      <c r="AN6529">
        <v>1.0000000137229501</v>
      </c>
    </row>
    <row r="6530" spans="1:40" x14ac:dyDescent="0.25">
      <c r="A6530" t="str">
        <f>"20190312151659783"</f>
        <v>20190312151659783</v>
      </c>
      <c r="B6530" t="str">
        <f>"1552375019774506"</f>
        <v>1552375019774506</v>
      </c>
      <c r="C6530" t="s">
        <v>40</v>
      </c>
      <c r="D6530">
        <v>4.7524249999999997</v>
      </c>
      <c r="E6530">
        <v>0.57556350000000001</v>
      </c>
      <c r="F6530" t="s">
        <v>41</v>
      </c>
      <c r="G6530">
        <v>-186.70179999999999</v>
      </c>
      <c r="H6530">
        <v>0.83707580000000004</v>
      </c>
      <c r="I6530">
        <v>-8.5273419999999902</v>
      </c>
      <c r="J6530">
        <v>-186.84049999999999</v>
      </c>
      <c r="K6530">
        <v>1.1097760000000001</v>
      </c>
      <c r="L6530">
        <v>-9.0189509999999995</v>
      </c>
      <c r="M6530">
        <v>1.9019849999999999E-3</v>
      </c>
      <c r="N6530">
        <v>0</v>
      </c>
      <c r="O6530">
        <v>0.99996169999999995</v>
      </c>
      <c r="P6530">
        <v>-2.8521109999999999E-2</v>
      </c>
      <c r="Q6530">
        <v>2.7644430000000001E-2</v>
      </c>
      <c r="R6530">
        <v>0.99921079999999995</v>
      </c>
      <c r="S6530">
        <v>0.50711059999999997</v>
      </c>
      <c r="T6530">
        <v>-0.9980639</v>
      </c>
      <c r="U6530">
        <v>3.0438540000000001</v>
      </c>
      <c r="V6530">
        <v>-3.0486559999999999E-2</v>
      </c>
      <c r="W6530">
        <v>3.6125259999999999E-2</v>
      </c>
      <c r="X6530">
        <v>0.99888209999999999</v>
      </c>
      <c r="Y6530">
        <v>0.15448290000000001</v>
      </c>
      <c r="Z6530">
        <v>-0.30778670000000002</v>
      </c>
      <c r="AA6530">
        <v>0.93883030000000001</v>
      </c>
      <c r="AB6530">
        <v>32</v>
      </c>
      <c r="AC6530">
        <v>0.13869999999999999</v>
      </c>
      <c r="AD6530">
        <v>-0.2727002</v>
      </c>
      <c r="AE6530">
        <v>0.49160900000000002</v>
      </c>
      <c r="AF6530">
        <v>0.107208581970376</v>
      </c>
      <c r="AG6530">
        <v>-0.2727002</v>
      </c>
      <c r="AH6530">
        <v>0.38277511247277601</v>
      </c>
      <c r="AI6530">
        <v>124.451255643869</v>
      </c>
      <c r="AJ6530">
        <v>74.353374333428903</v>
      </c>
      <c r="AK6530">
        <v>0.48205379975339402</v>
      </c>
      <c r="AL6530">
        <v>87.929724516208793</v>
      </c>
      <c r="AM6530">
        <v>91.748163421542102</v>
      </c>
      <c r="AN6530">
        <v>0.99999995722555401</v>
      </c>
    </row>
    <row r="6531" spans="1:40" x14ac:dyDescent="0.25">
      <c r="A6531" t="str">
        <f>"20190312151659803"</f>
        <v>20190312151659803</v>
      </c>
      <c r="B6531" t="str">
        <f>"1552375019794026"</f>
        <v>1552375019794026</v>
      </c>
      <c r="C6531" t="s">
        <v>40</v>
      </c>
      <c r="D6531">
        <v>4.6990730000000003</v>
      </c>
      <c r="E6531">
        <v>0.57544790000000001</v>
      </c>
      <c r="F6531" t="s">
        <v>41</v>
      </c>
      <c r="G6531">
        <v>-186.709</v>
      </c>
      <c r="H6531">
        <v>0.85130599999999901</v>
      </c>
      <c r="I6531">
        <v>-8.2305670000000006</v>
      </c>
      <c r="J6531">
        <v>-186.8407</v>
      </c>
      <c r="K6531">
        <v>1.109772</v>
      </c>
      <c r="L6531">
        <v>-8.7140199999999997</v>
      </c>
      <c r="M6531">
        <v>1.0799939999999999E-3</v>
      </c>
      <c r="N6531">
        <v>0</v>
      </c>
      <c r="O6531">
        <v>0.99996320000000005</v>
      </c>
      <c r="P6531">
        <v>-2.8954500000000001E-2</v>
      </c>
      <c r="Q6531">
        <v>2.78634E-2</v>
      </c>
      <c r="R6531">
        <v>0.99919230000000003</v>
      </c>
      <c r="S6531">
        <v>0.50714110000000001</v>
      </c>
      <c r="T6531">
        <v>-0.99813510000000005</v>
      </c>
      <c r="U6531">
        <v>3.0444640000000001</v>
      </c>
      <c r="V6531">
        <v>-3.0099600000000001E-2</v>
      </c>
      <c r="W6531">
        <v>3.6312049999999998E-2</v>
      </c>
      <c r="X6531">
        <v>0.99888710000000003</v>
      </c>
      <c r="Y6531">
        <v>0.1552753</v>
      </c>
      <c r="Z6531">
        <v>-0.30773210000000001</v>
      </c>
      <c r="AA6531">
        <v>0.93871749999999998</v>
      </c>
      <c r="AB6531">
        <v>33</v>
      </c>
      <c r="AC6531">
        <v>0.13169999999999499</v>
      </c>
      <c r="AD6531">
        <v>-0.25846599999999997</v>
      </c>
      <c r="AE6531">
        <v>0.48345299999999802</v>
      </c>
      <c r="AF6531">
        <v>0.103609548564236</v>
      </c>
      <c r="AG6531">
        <v>-0.25846599999999997</v>
      </c>
      <c r="AH6531">
        <v>0.38196298271489598</v>
      </c>
      <c r="AI6531">
        <v>123.14766844706</v>
      </c>
      <c r="AJ6531">
        <v>74.823400546797103</v>
      </c>
      <c r="AK6531">
        <v>0.47268946664183797</v>
      </c>
      <c r="AL6531">
        <v>87.919015288650797</v>
      </c>
      <c r="AM6531">
        <v>91.725979195220603</v>
      </c>
      <c r="AN6531">
        <v>0.99999999472088597</v>
      </c>
    </row>
    <row r="6532" spans="1:40" x14ac:dyDescent="0.25">
      <c r="A6532" t="str">
        <f>"20190312151659828"</f>
        <v>20190312151659828</v>
      </c>
      <c r="B6532" t="str">
        <f>"1552375019824282"</f>
        <v>1552375019824282</v>
      </c>
      <c r="C6532" t="s">
        <v>40</v>
      </c>
      <c r="D6532">
        <v>4.7109560000000004</v>
      </c>
      <c r="E6532">
        <v>0.57543610000000001</v>
      </c>
      <c r="F6532" t="s">
        <v>41</v>
      </c>
      <c r="G6532">
        <v>-186.7114</v>
      </c>
      <c r="H6532">
        <v>0.85547280000000003</v>
      </c>
      <c r="I6532">
        <v>-7.9371539999999996</v>
      </c>
      <c r="J6532">
        <v>-186.84119999999999</v>
      </c>
      <c r="K6532">
        <v>1.109769</v>
      </c>
      <c r="L6532">
        <v>-8.3580319999999997</v>
      </c>
      <c r="M6532">
        <v>1.208838E-4</v>
      </c>
      <c r="N6532">
        <v>0</v>
      </c>
      <c r="O6532">
        <v>0.99996410000000002</v>
      </c>
      <c r="P6532">
        <v>-2.9899800000000001E-2</v>
      </c>
      <c r="Q6532">
        <v>2.799488E-2</v>
      </c>
      <c r="R6532">
        <v>0.99916079999999996</v>
      </c>
      <c r="S6532">
        <v>0.50604249999999995</v>
      </c>
      <c r="T6532">
        <v>-0.99673639999999997</v>
      </c>
      <c r="U6532">
        <v>3.0448909999999998</v>
      </c>
      <c r="V6532">
        <v>-3.008663E-2</v>
      </c>
      <c r="W6532">
        <v>3.6409270000000001E-2</v>
      </c>
      <c r="X6532">
        <v>0.99888399999999999</v>
      </c>
      <c r="Y6532">
        <v>0.15589339999999999</v>
      </c>
      <c r="Z6532">
        <v>-0.30729649999999997</v>
      </c>
      <c r="AA6532">
        <v>0.93875779999999998</v>
      </c>
      <c r="AB6532">
        <v>33</v>
      </c>
      <c r="AC6532">
        <v>0.12979999999998801</v>
      </c>
      <c r="AD6532">
        <v>-0.25429619999999897</v>
      </c>
      <c r="AE6532">
        <v>0.42087800000000097</v>
      </c>
      <c r="AF6532">
        <v>9.7310166829794098E-2</v>
      </c>
      <c r="AG6532">
        <v>-0.25429619999999897</v>
      </c>
      <c r="AH6532">
        <v>0.31566483880971702</v>
      </c>
      <c r="AI6532">
        <v>127.590517935666</v>
      </c>
      <c r="AJ6532">
        <v>72.867011580177504</v>
      </c>
      <c r="AK6532">
        <v>0.416869423637242</v>
      </c>
      <c r="AL6532">
        <v>87.913441407513801</v>
      </c>
      <c r="AM6532">
        <v>91.725241266595901</v>
      </c>
      <c r="AN6532">
        <v>1.00000004285134</v>
      </c>
    </row>
    <row r="6533" spans="1:40" x14ac:dyDescent="0.25">
      <c r="A6533" t="str">
        <f>"20190312151659849"</f>
        <v>20190312151659849</v>
      </c>
      <c r="B6533" t="str">
        <f>"1552375019844778"</f>
        <v>1552375019844778</v>
      </c>
      <c r="C6533" t="s">
        <v>40</v>
      </c>
      <c r="D6533">
        <v>4.6291960000000003</v>
      </c>
      <c r="E6533">
        <v>0.54343529999999995</v>
      </c>
      <c r="F6533" t="s">
        <v>41</v>
      </c>
      <c r="G6533">
        <v>-186.72219999999999</v>
      </c>
      <c r="H6533">
        <v>0.87417440000000002</v>
      </c>
      <c r="I6533">
        <v>-7.6375159999999997</v>
      </c>
      <c r="J6533">
        <v>-186.84200000000001</v>
      </c>
      <c r="K6533">
        <v>1.109772</v>
      </c>
      <c r="L6533">
        <v>-8.0422360000000008</v>
      </c>
      <c r="M6533">
        <v>-7.2963889999999999E-4</v>
      </c>
      <c r="N6533">
        <v>0</v>
      </c>
      <c r="O6533">
        <v>0.99996399999999996</v>
      </c>
      <c r="P6533">
        <v>-3.0708619999999999E-2</v>
      </c>
      <c r="Q6533">
        <v>2.8454589999999998E-2</v>
      </c>
      <c r="R6533">
        <v>0.99912330000000005</v>
      </c>
      <c r="S6533">
        <v>0.50337219999999905</v>
      </c>
      <c r="T6533">
        <v>-0.99580409999999997</v>
      </c>
      <c r="U6533">
        <v>3.045471</v>
      </c>
      <c r="V6533">
        <v>-3.0047089999999999E-2</v>
      </c>
      <c r="W6533">
        <v>3.6842420000000001E-2</v>
      </c>
      <c r="X6533">
        <v>0.99886920000000001</v>
      </c>
      <c r="Y6533">
        <v>0.15591759999999999</v>
      </c>
      <c r="Z6533">
        <v>-0.30700290000000002</v>
      </c>
      <c r="AA6533">
        <v>0.93884979999999996</v>
      </c>
      <c r="AB6533">
        <v>33</v>
      </c>
      <c r="AC6533">
        <v>0.119800000000026</v>
      </c>
      <c r="AD6533">
        <v>-0.23559759999999999</v>
      </c>
      <c r="AE6533">
        <v>0.40472000000000002</v>
      </c>
      <c r="AF6533">
        <v>9.1566071061968707E-2</v>
      </c>
      <c r="AG6533">
        <v>-0.23559759999999999</v>
      </c>
      <c r="AH6533">
        <v>0.30851010007986301</v>
      </c>
      <c r="AI6533">
        <v>126.207764231328</v>
      </c>
      <c r="AJ6533">
        <v>73.469064694061998</v>
      </c>
      <c r="AK6533">
        <v>0.398834622803453</v>
      </c>
      <c r="AL6533">
        <v>87.888606851292494</v>
      </c>
      <c r="AM6533">
        <v>91.723000826931894</v>
      </c>
      <c r="AN6533">
        <v>0.99999993511878005</v>
      </c>
    </row>
    <row r="6534" spans="1:40" x14ac:dyDescent="0.25">
      <c r="A6534" t="str">
        <f>"20190312151659871"</f>
        <v>20190312151659871</v>
      </c>
      <c r="B6534" t="str">
        <f>"1552375019864298"</f>
        <v>1552375019864298</v>
      </c>
      <c r="C6534" t="s">
        <v>40</v>
      </c>
      <c r="D6534">
        <v>4.8358400000000001</v>
      </c>
      <c r="E6534">
        <v>0.53552319999999998</v>
      </c>
      <c r="F6534" t="s">
        <v>41</v>
      </c>
      <c r="G6534">
        <v>-186.7818</v>
      </c>
      <c r="H6534">
        <v>0.9532505</v>
      </c>
      <c r="I6534">
        <v>-7.3105279999999997</v>
      </c>
      <c r="J6534">
        <v>-186.84299999999999</v>
      </c>
      <c r="K6534">
        <v>1.1097760000000001</v>
      </c>
      <c r="L6534">
        <v>-7.728485</v>
      </c>
      <c r="M6534">
        <v>-1.5743059999999999E-3</v>
      </c>
      <c r="N6534">
        <v>0</v>
      </c>
      <c r="O6534">
        <v>0.99996320000000005</v>
      </c>
      <c r="P6534">
        <v>-3.1628730000000001E-2</v>
      </c>
      <c r="Q6534">
        <v>2.9125689999999999E-2</v>
      </c>
      <c r="R6534">
        <v>0.99907520000000005</v>
      </c>
      <c r="S6534">
        <v>0.24859619999999999</v>
      </c>
      <c r="T6534">
        <v>-0.64789989999999997</v>
      </c>
      <c r="U6534">
        <v>3.0287169999999999</v>
      </c>
      <c r="V6534">
        <v>-3.0124479999999999E-2</v>
      </c>
      <c r="W6534">
        <v>3.7490469999999998E-2</v>
      </c>
      <c r="X6534">
        <v>0.99884280000000003</v>
      </c>
      <c r="Y6534">
        <v>8.1575629999999996E-2</v>
      </c>
      <c r="Z6534">
        <v>-0.20850170000000001</v>
      </c>
      <c r="AA6534">
        <v>0.97461399999999998</v>
      </c>
      <c r="AB6534">
        <v>33</v>
      </c>
      <c r="AC6534">
        <v>6.1199999999985197E-2</v>
      </c>
      <c r="AD6534">
        <v>-0.15652550000000001</v>
      </c>
      <c r="AE6534">
        <v>0.41795700000000102</v>
      </c>
      <c r="AF6534">
        <v>5.4389817466353303E-2</v>
      </c>
      <c r="AG6534">
        <v>-0.15652550000000001</v>
      </c>
      <c r="AH6534">
        <v>0.36741178805872798</v>
      </c>
      <c r="AI6534">
        <v>112.851984871217</v>
      </c>
      <c r="AJ6534">
        <v>81.5793727155271</v>
      </c>
      <c r="AK6534">
        <v>0.40305074916043199</v>
      </c>
      <c r="AL6534">
        <v>87.851450741812002</v>
      </c>
      <c r="AM6534">
        <v>91.727481573005207</v>
      </c>
      <c r="AN6534">
        <v>0.99999997937396501</v>
      </c>
    </row>
    <row r="6535" spans="1:40" x14ac:dyDescent="0.25">
      <c r="A6535" t="str">
        <f>"20190312151659895"</f>
        <v>20190312151659895</v>
      </c>
      <c r="B6535" t="str">
        <f>"1552375019884795"</f>
        <v>1552375019884795</v>
      </c>
      <c r="C6535" t="s">
        <v>40</v>
      </c>
      <c r="D6535">
        <v>4.6696689999999998</v>
      </c>
      <c r="E6535">
        <v>0.50114970000000003</v>
      </c>
      <c r="F6535" t="s">
        <v>41</v>
      </c>
      <c r="G6535">
        <v>-186.79910000000001</v>
      </c>
      <c r="H6535">
        <v>0.97680750000000005</v>
      </c>
      <c r="I6535">
        <v>-7.0054749999999997</v>
      </c>
      <c r="J6535">
        <v>-186.84450000000001</v>
      </c>
      <c r="K6535">
        <v>1.1097840000000001</v>
      </c>
      <c r="L6535">
        <v>-7.3772279999999997</v>
      </c>
      <c r="M6535">
        <v>-2.5194919999999999E-3</v>
      </c>
      <c r="N6535">
        <v>0</v>
      </c>
      <c r="O6535">
        <v>0.99996149999999995</v>
      </c>
      <c r="P6535">
        <v>-3.285486E-2</v>
      </c>
      <c r="Q6535">
        <v>2.9650739999999998E-2</v>
      </c>
      <c r="R6535">
        <v>0.99902020000000002</v>
      </c>
      <c r="S6535">
        <v>0.18348690000000001</v>
      </c>
      <c r="T6535">
        <v>-0.55629499999999998</v>
      </c>
      <c r="U6535">
        <v>3.0248110000000001</v>
      </c>
      <c r="V6535">
        <v>-3.0407770000000001E-2</v>
      </c>
      <c r="W6535">
        <v>3.7993649999999997E-2</v>
      </c>
      <c r="X6535">
        <v>0.99881520000000001</v>
      </c>
      <c r="Y6535">
        <v>6.2069069999999997E-2</v>
      </c>
      <c r="Z6535">
        <v>-0.18054139999999999</v>
      </c>
      <c r="AA6535">
        <v>0.98160700000000001</v>
      </c>
      <c r="AB6535">
        <v>33</v>
      </c>
      <c r="AC6535">
        <v>4.5400000000000697E-2</v>
      </c>
      <c r="AD6535">
        <v>-0.1329765</v>
      </c>
      <c r="AE6535">
        <v>0.371753</v>
      </c>
      <c r="AF6535">
        <v>4.1148881651910503E-2</v>
      </c>
      <c r="AG6535">
        <v>-0.1329765</v>
      </c>
      <c r="AH6535">
        <v>0.33003051218403501</v>
      </c>
      <c r="AI6535">
        <v>111.792817102974</v>
      </c>
      <c r="AJ6535">
        <v>82.892921139107898</v>
      </c>
      <c r="AK6535">
        <v>0.35818447619335703</v>
      </c>
      <c r="AL6535">
        <v>87.822600089378099</v>
      </c>
      <c r="AM6535">
        <v>91.7437649462818</v>
      </c>
      <c r="AN6535">
        <v>0.99999997683386699</v>
      </c>
    </row>
    <row r="6536" spans="1:40" x14ac:dyDescent="0.25">
      <c r="A6536" t="str">
        <f>"20190312151659917"</f>
        <v>20190312151659917</v>
      </c>
      <c r="B6536" t="str">
        <f>"1552375019914074"</f>
        <v>1552375019914074</v>
      </c>
      <c r="C6536" t="s">
        <v>40</v>
      </c>
      <c r="D6536">
        <v>4.8286740000000004</v>
      </c>
      <c r="E6536">
        <v>0.50257379999999996</v>
      </c>
      <c r="F6536" t="s">
        <v>43</v>
      </c>
      <c r="G6536">
        <v>-187.87530000000001</v>
      </c>
      <c r="H6536" s="1">
        <v>-3.397935E-6</v>
      </c>
      <c r="I6536">
        <v>26.674910000000001</v>
      </c>
      <c r="J6536">
        <v>-186.84630000000001</v>
      </c>
      <c r="K6536">
        <v>1.1097870000000001</v>
      </c>
      <c r="L6536">
        <v>-7.0390319999999997</v>
      </c>
      <c r="M6536">
        <v>-3.4290919999999999E-3</v>
      </c>
      <c r="N6536">
        <v>0</v>
      </c>
      <c r="O6536">
        <v>0.99995889999999998</v>
      </c>
      <c r="P6536">
        <v>-3.3829419999999999E-2</v>
      </c>
      <c r="Q6536">
        <v>2.9888939999999999E-2</v>
      </c>
      <c r="R6536">
        <v>0.9989806</v>
      </c>
      <c r="S6536">
        <v>-9.0896610000000003E-2</v>
      </c>
      <c r="T6536">
        <v>-9.7865939999999998E-2</v>
      </c>
      <c r="U6536">
        <v>3.002869</v>
      </c>
      <c r="V6536">
        <v>-3.0474190000000002E-2</v>
      </c>
      <c r="W6536">
        <v>3.8215220000000001E-2</v>
      </c>
      <c r="X6536">
        <v>0.99880469999999999</v>
      </c>
      <c r="Y6536">
        <v>-2.6812200000000001E-2</v>
      </c>
      <c r="Z6536">
        <v>-3.2559930000000001E-2</v>
      </c>
      <c r="AA6536">
        <v>0.9991101</v>
      </c>
      <c r="AB6536">
        <v>33</v>
      </c>
      <c r="AC6536">
        <v>-1.0289999999999899</v>
      </c>
      <c r="AD6536">
        <v>-1.1097903979349999</v>
      </c>
      <c r="AE6536">
        <v>33.713942000000003</v>
      </c>
      <c r="AF6536">
        <v>-0.91239393305486205</v>
      </c>
      <c r="AG6536">
        <v>-1.1097903979349999</v>
      </c>
      <c r="AH6536">
        <v>33.680810386404403</v>
      </c>
      <c r="AI6536">
        <v>91.886534648522996</v>
      </c>
      <c r="AJ6536">
        <v>91.551730472307497</v>
      </c>
      <c r="AK6536">
        <v>33.711438499437399</v>
      </c>
      <c r="AL6536">
        <v>87.809895786892298</v>
      </c>
      <c r="AM6536">
        <v>91.747589870491794</v>
      </c>
      <c r="AN6536">
        <v>0.99999995401894604</v>
      </c>
    </row>
    <row r="6537" spans="1:40" x14ac:dyDescent="0.25">
      <c r="A6537" t="str">
        <f>"20190312151659938"</f>
        <v>20190312151659938</v>
      </c>
      <c r="B6537" t="str">
        <f>"1552375019934570"</f>
        <v>1552375019934570</v>
      </c>
      <c r="C6537" t="s">
        <v>40</v>
      </c>
      <c r="D6537">
        <v>4.6161620000000001</v>
      </c>
      <c r="E6537">
        <v>0.50307179999999996</v>
      </c>
      <c r="F6537" t="s">
        <v>43</v>
      </c>
      <c r="G6537">
        <v>-188.00210000000001</v>
      </c>
      <c r="H6537" s="1">
        <v>-2.7119600000000002E-6</v>
      </c>
      <c r="I6537">
        <v>35.128329999999998</v>
      </c>
      <c r="J6537">
        <v>-186.84809999999999</v>
      </c>
      <c r="K6537">
        <v>1.109791</v>
      </c>
      <c r="L6537">
        <v>-6.7323300000000001</v>
      </c>
      <c r="M6537">
        <v>-4.2535809999999898E-3</v>
      </c>
      <c r="N6537">
        <v>0</v>
      </c>
      <c r="O6537">
        <v>0.99995579999999995</v>
      </c>
      <c r="P6537">
        <v>-3.4536820000000003E-2</v>
      </c>
      <c r="Q6537">
        <v>3.0424010000000001E-2</v>
      </c>
      <c r="R6537">
        <v>0.99894019999999994</v>
      </c>
      <c r="S6537">
        <v>-8.2305909999999996E-2</v>
      </c>
      <c r="T6537">
        <v>-7.9025150000000002E-2</v>
      </c>
      <c r="U6537">
        <v>3.0026250000000001</v>
      </c>
      <c r="V6537">
        <v>-3.0359270000000001E-2</v>
      </c>
      <c r="W6537">
        <v>3.8738389999999998E-2</v>
      </c>
      <c r="X6537">
        <v>0.99878809999999996</v>
      </c>
      <c r="Y6537">
        <v>-2.3139179999999999E-2</v>
      </c>
      <c r="Z6537">
        <v>-2.6300770000000001E-2</v>
      </c>
      <c r="AA6537">
        <v>0.99938629999999995</v>
      </c>
      <c r="AB6537">
        <v>33</v>
      </c>
      <c r="AC6537">
        <v>-1.1540000000000199</v>
      </c>
      <c r="AD6537">
        <v>-1.1097937119600001</v>
      </c>
      <c r="AE6537">
        <v>41.860660000000003</v>
      </c>
      <c r="AF6537">
        <v>-0.97524064934616606</v>
      </c>
      <c r="AG6537">
        <v>-1.1097937119600001</v>
      </c>
      <c r="AH6537">
        <v>41.835807459425801</v>
      </c>
      <c r="AI6537">
        <v>91.519137148493201</v>
      </c>
      <c r="AJ6537">
        <v>91.335388474891204</v>
      </c>
      <c r="AK6537">
        <v>41.861886271277697</v>
      </c>
      <c r="AL6537">
        <v>87.779898259580904</v>
      </c>
      <c r="AM6537">
        <v>91.741032585647304</v>
      </c>
      <c r="AN6537">
        <v>1.0000000084181599</v>
      </c>
    </row>
    <row r="6538" spans="1:40" x14ac:dyDescent="0.25">
      <c r="A6538" t="str">
        <f>"20190312151659972"</f>
        <v>20190312151659972</v>
      </c>
      <c r="B6538" t="str">
        <f>"1552375019964827"</f>
        <v>1552375019964827</v>
      </c>
      <c r="C6538" t="s">
        <v>40</v>
      </c>
      <c r="D6538">
        <v>4.6335419999999896</v>
      </c>
      <c r="E6538">
        <v>0.50395369999999995</v>
      </c>
      <c r="F6538" t="s">
        <v>43</v>
      </c>
      <c r="G6538">
        <v>-188.08690000000001</v>
      </c>
      <c r="H6538" s="1">
        <v>-4.6192429999999999E-6</v>
      </c>
      <c r="I6538">
        <v>39.609290000000001</v>
      </c>
      <c r="J6538">
        <v>-186.85159999999999</v>
      </c>
      <c r="K6538">
        <v>1.1097969999999999</v>
      </c>
      <c r="L6538">
        <v>-6.231293</v>
      </c>
      <c r="M6538">
        <v>-5.5999589999999998E-3</v>
      </c>
      <c r="N6538">
        <v>0</v>
      </c>
      <c r="O6538">
        <v>0.99994930000000004</v>
      </c>
      <c r="P6538">
        <v>-3.5207839999999997E-2</v>
      </c>
      <c r="Q6538">
        <v>3.007255E-2</v>
      </c>
      <c r="R6538">
        <v>0.99892749999999997</v>
      </c>
      <c r="S6538">
        <v>-8.0261230000000003E-2</v>
      </c>
      <c r="T6538">
        <v>-7.1906570000000003E-2</v>
      </c>
      <c r="U6538">
        <v>3.0025940000000002</v>
      </c>
      <c r="V6538">
        <v>-2.9685300000000001E-2</v>
      </c>
      <c r="W6538">
        <v>3.8372940000000001E-2</v>
      </c>
      <c r="X6538">
        <v>0.99882249999999995</v>
      </c>
      <c r="Y6538">
        <v>-2.1114859999999999E-2</v>
      </c>
      <c r="Z6538">
        <v>-2.3933780000000002E-2</v>
      </c>
      <c r="AA6538">
        <v>0.99949060000000001</v>
      </c>
      <c r="AB6538">
        <v>33</v>
      </c>
      <c r="AC6538">
        <v>-1.23530000000002</v>
      </c>
      <c r="AD6538">
        <v>-1.109801619243</v>
      </c>
      <c r="AE6538">
        <v>45.840583000000002</v>
      </c>
      <c r="AF6538">
        <v>-0.97799344320715298</v>
      </c>
      <c r="AG6538">
        <v>-1.109801619243</v>
      </c>
      <c r="AH6538">
        <v>45.819945306458997</v>
      </c>
      <c r="AI6538">
        <v>91.3871698745331</v>
      </c>
      <c r="AJ6538">
        <v>91.222751123239803</v>
      </c>
      <c r="AK6538">
        <v>45.843816580820601</v>
      </c>
      <c r="AL6538">
        <v>87.800852658810697</v>
      </c>
      <c r="AM6538">
        <v>91.702346399285403</v>
      </c>
      <c r="AN6538">
        <v>1.00000004303329</v>
      </c>
    </row>
    <row r="6539" spans="1:40" x14ac:dyDescent="0.25">
      <c r="A6539" t="str">
        <f>"20190312151659997"</f>
        <v>20190312151659997</v>
      </c>
      <c r="B6539" t="str">
        <f>"1552375019984346"</f>
        <v>1552375019984346</v>
      </c>
      <c r="C6539" t="s">
        <v>40</v>
      </c>
      <c r="D6539">
        <v>4.5466319999999998</v>
      </c>
      <c r="E6539">
        <v>0.50471379999999999</v>
      </c>
      <c r="F6539" t="s">
        <v>43</v>
      </c>
      <c r="G6539">
        <v>-187.92959999999999</v>
      </c>
      <c r="H6539" s="1">
        <v>-3.4568020000000001E-6</v>
      </c>
      <c r="I6539">
        <v>36.834589999999999</v>
      </c>
      <c r="J6539">
        <v>-186.8545</v>
      </c>
      <c r="K6539">
        <v>1.1097969999999999</v>
      </c>
      <c r="L6539">
        <v>-5.879791</v>
      </c>
      <c r="M6539">
        <v>-6.5438989999999997E-3</v>
      </c>
      <c r="N6539">
        <v>0</v>
      </c>
      <c r="O6539">
        <v>0.99994369999999999</v>
      </c>
      <c r="P6539">
        <v>-3.56181E-2</v>
      </c>
      <c r="Q6539">
        <v>2.9969429999999998E-2</v>
      </c>
      <c r="R6539">
        <v>0.99891600000000003</v>
      </c>
      <c r="S6539">
        <v>-7.5164789999999995E-2</v>
      </c>
      <c r="T6539">
        <v>-7.7384229999999998E-2</v>
      </c>
      <c r="U6539">
        <v>3.0028990000000002</v>
      </c>
      <c r="V6539">
        <v>-2.9151989999999999E-2</v>
      </c>
      <c r="W6539">
        <v>3.8264300000000001E-2</v>
      </c>
      <c r="X6539">
        <v>0.99884240000000002</v>
      </c>
      <c r="Y6539">
        <v>-1.8471990000000001E-2</v>
      </c>
      <c r="Z6539">
        <v>-2.5754229999999999E-2</v>
      </c>
      <c r="AA6539">
        <v>0.99949770000000004</v>
      </c>
      <c r="AB6539">
        <v>33</v>
      </c>
      <c r="AC6539">
        <v>-1.07509999999999</v>
      </c>
      <c r="AD6539">
        <v>-1.1098004568019999</v>
      </c>
      <c r="AE6539">
        <v>42.714381000000003</v>
      </c>
      <c r="AF6539">
        <v>-0.79501229141205698</v>
      </c>
      <c r="AG6539">
        <v>-1.1098004568019999</v>
      </c>
      <c r="AH6539">
        <v>42.691700786861198</v>
      </c>
      <c r="AI6539">
        <v>91.488850250011794</v>
      </c>
      <c r="AJ6539">
        <v>91.066848679221593</v>
      </c>
      <c r="AK6539">
        <v>42.713522655855698</v>
      </c>
      <c r="AL6539">
        <v>87.807081900835598</v>
      </c>
      <c r="AM6539">
        <v>91.6717471930437</v>
      </c>
      <c r="AN6539">
        <v>1.0000000676066001</v>
      </c>
    </row>
    <row r="6540" spans="1:40" x14ac:dyDescent="0.25">
      <c r="A6540" t="str">
        <f>"20190312151700019"</f>
        <v>20190312151700019</v>
      </c>
      <c r="B6540" t="str">
        <f>"1552375020014602"</f>
        <v>1552375020014602</v>
      </c>
      <c r="C6540" t="s">
        <v>40</v>
      </c>
      <c r="D6540">
        <v>4.7118710000000004</v>
      </c>
      <c r="E6540">
        <v>0.50510600000000005</v>
      </c>
      <c r="F6540" t="s">
        <v>43</v>
      </c>
      <c r="G6540">
        <v>-187.87540000000001</v>
      </c>
      <c r="H6540" s="1">
        <v>-3.8432119999999901E-6</v>
      </c>
      <c r="I6540">
        <v>37.712910000000001</v>
      </c>
      <c r="J6540">
        <v>-186.85759999999999</v>
      </c>
      <c r="K6540">
        <v>1.109799</v>
      </c>
      <c r="L6540">
        <v>-5.5400999999999998</v>
      </c>
      <c r="M6540">
        <v>-7.4558979999999999E-3</v>
      </c>
      <c r="N6540">
        <v>0</v>
      </c>
      <c r="O6540">
        <v>0.99993730000000003</v>
      </c>
      <c r="P6540">
        <v>-3.602909E-2</v>
      </c>
      <c r="Q6540">
        <v>2.9784310000000001E-2</v>
      </c>
      <c r="R6540">
        <v>0.99890679999999998</v>
      </c>
      <c r="S6540">
        <v>-7.0327760000000003E-2</v>
      </c>
      <c r="T6540">
        <v>-7.6452969999999995E-2</v>
      </c>
      <c r="U6540">
        <v>3.0030519999999998</v>
      </c>
      <c r="V6540">
        <v>-2.86521E-2</v>
      </c>
      <c r="W6540">
        <v>3.8075610000000003E-2</v>
      </c>
      <c r="X6540">
        <v>0.99886399999999997</v>
      </c>
      <c r="Y6540">
        <v>-1.5949999999999999E-2</v>
      </c>
      <c r="Z6540">
        <v>-2.5444020000000001E-2</v>
      </c>
      <c r="AA6540">
        <v>0.99954900000000002</v>
      </c>
      <c r="AB6540">
        <v>33</v>
      </c>
      <c r="AC6540">
        <v>-1.01780000000002</v>
      </c>
      <c r="AD6540">
        <v>-1.109802843212</v>
      </c>
      <c r="AE6540">
        <v>43.253009999999897</v>
      </c>
      <c r="AF6540">
        <v>-0.69481324109710296</v>
      </c>
      <c r="AG6540">
        <v>-1.109802843212</v>
      </c>
      <c r="AH6540">
        <v>43.2309510638825</v>
      </c>
      <c r="AI6540">
        <v>91.470355122757198</v>
      </c>
      <c r="AJ6540">
        <v>90.920785641112104</v>
      </c>
      <c r="AK6540">
        <v>43.250775226331001</v>
      </c>
      <c r="AL6540">
        <v>87.817900761468195</v>
      </c>
      <c r="AM6540">
        <v>91.643060889043596</v>
      </c>
      <c r="AN6540">
        <v>0.99999999270364104</v>
      </c>
    </row>
    <row r="6541" spans="1:40" x14ac:dyDescent="0.25">
      <c r="A6541" t="str">
        <f>"20190312151700039"</f>
        <v>20190312151700039</v>
      </c>
      <c r="B6541" t="str">
        <f>"1552375020034123"</f>
        <v>1552375020034123</v>
      </c>
      <c r="C6541" t="s">
        <v>40</v>
      </c>
      <c r="D6541">
        <v>4.5181120000000004</v>
      </c>
      <c r="E6541">
        <v>0.50535129999999995</v>
      </c>
      <c r="F6541" t="s">
        <v>43</v>
      </c>
      <c r="G6541">
        <v>-187.97819999999999</v>
      </c>
      <c r="H6541" s="1">
        <v>-2.1055430000000001E-6</v>
      </c>
      <c r="I6541">
        <v>43.70485</v>
      </c>
      <c r="J6541">
        <v>-186.86080000000001</v>
      </c>
      <c r="K6541">
        <v>1.109802</v>
      </c>
      <c r="L6541">
        <v>-5.2230220000000003</v>
      </c>
      <c r="M6541">
        <v>-8.3066010000000003E-3</v>
      </c>
      <c r="N6541">
        <v>0</v>
      </c>
      <c r="O6541">
        <v>0.9999306</v>
      </c>
      <c r="P6541">
        <v>-3.5864899999999998E-2</v>
      </c>
      <c r="Q6541">
        <v>2.971797E-2</v>
      </c>
      <c r="R6541">
        <v>0.99891470000000004</v>
      </c>
      <c r="S6541">
        <v>-6.8328860000000005E-2</v>
      </c>
      <c r="T6541">
        <v>-6.7672969999999999E-2</v>
      </c>
      <c r="U6541">
        <v>3.0028380000000001</v>
      </c>
      <c r="V6541">
        <v>-2.7637640000000002E-2</v>
      </c>
      <c r="W6541">
        <v>3.8010330000000002E-2</v>
      </c>
      <c r="X6541">
        <v>0.99889499999999998</v>
      </c>
      <c r="Y6541">
        <v>-1.443757E-2</v>
      </c>
      <c r="Z6541">
        <v>-2.2525360000000001E-2</v>
      </c>
      <c r="AA6541">
        <v>0.99964200000000003</v>
      </c>
      <c r="AB6541">
        <v>33</v>
      </c>
      <c r="AC6541">
        <v>-1.11739999999997</v>
      </c>
      <c r="AD6541">
        <v>-1.1098041055429999</v>
      </c>
      <c r="AE6541">
        <v>48.927872000000001</v>
      </c>
      <c r="AF6541">
        <v>-0.71055756525664004</v>
      </c>
      <c r="AG6541">
        <v>-1.1098041055429999</v>
      </c>
      <c r="AH6541">
        <v>48.910315043027303</v>
      </c>
      <c r="AI6541">
        <v>91.299715122737894</v>
      </c>
      <c r="AJ6541">
        <v>90.832321070731794</v>
      </c>
      <c r="AK6541">
        <v>48.928064286403199</v>
      </c>
      <c r="AL6541">
        <v>87.821643586894993</v>
      </c>
      <c r="AM6541">
        <v>91.584867514399605</v>
      </c>
      <c r="AN6541">
        <v>0.99999992267823601</v>
      </c>
    </row>
    <row r="6542" spans="1:40" x14ac:dyDescent="0.25">
      <c r="A6542" t="str">
        <f>"20190312151700063"</f>
        <v>20190312151700063</v>
      </c>
      <c r="B6542" t="str">
        <f>"1552375020054618"</f>
        <v>1552375020054618</v>
      </c>
      <c r="C6542" t="s">
        <v>40</v>
      </c>
      <c r="D6542">
        <v>4.5374210000000001</v>
      </c>
      <c r="E6542">
        <v>0.5056602</v>
      </c>
      <c r="F6542" t="s">
        <v>43</v>
      </c>
      <c r="G6542">
        <v>-188.02379999999999</v>
      </c>
      <c r="H6542" s="1">
        <v>-3.8672949999999999E-6</v>
      </c>
      <c r="I6542">
        <v>47.830419999999997</v>
      </c>
      <c r="J6542">
        <v>-186.86439999999999</v>
      </c>
      <c r="K6542">
        <v>1.1098030000000001</v>
      </c>
      <c r="L6542">
        <v>-4.8894349999999998</v>
      </c>
      <c r="M6542">
        <v>-9.2011079999999995E-3</v>
      </c>
      <c r="N6542">
        <v>0</v>
      </c>
      <c r="O6542">
        <v>0.9999228</v>
      </c>
      <c r="P6542">
        <v>-3.6575959999999998E-2</v>
      </c>
      <c r="Q6542">
        <v>2.937321E-2</v>
      </c>
      <c r="R6542">
        <v>0.99889910000000004</v>
      </c>
      <c r="S6542">
        <v>-6.5826419999999997E-2</v>
      </c>
      <c r="T6542">
        <v>-6.2813999999999995E-2</v>
      </c>
      <c r="U6542">
        <v>3.002777</v>
      </c>
      <c r="V6542">
        <v>-2.7455090000000001E-2</v>
      </c>
      <c r="W6542">
        <v>3.7670589999999997E-2</v>
      </c>
      <c r="X6542">
        <v>0.99891300000000005</v>
      </c>
      <c r="Y6542">
        <v>-1.271164E-2</v>
      </c>
      <c r="Z6542">
        <v>-2.0909380000000002E-2</v>
      </c>
      <c r="AA6542">
        <v>0.99970049999999999</v>
      </c>
      <c r="AB6542">
        <v>33</v>
      </c>
      <c r="AC6542">
        <v>-1.1594</v>
      </c>
      <c r="AD6542">
        <v>-1.1098068672949899</v>
      </c>
      <c r="AE6542">
        <v>52.719855000000003</v>
      </c>
      <c r="AF6542">
        <v>-0.673954408659316</v>
      </c>
      <c r="AG6542">
        <v>-1.1098068672949899</v>
      </c>
      <c r="AH6542">
        <v>52.704946619288997</v>
      </c>
      <c r="AI6542">
        <v>91.206199080528407</v>
      </c>
      <c r="AJ6542">
        <v>90.732618875148603</v>
      </c>
      <c r="AK6542">
        <v>52.720937813830098</v>
      </c>
      <c r="AL6542">
        <v>87.841123414906207</v>
      </c>
      <c r="AM6542">
        <v>91.574376200566405</v>
      </c>
      <c r="AN6542">
        <v>1.0000000184434199</v>
      </c>
    </row>
    <row r="6543" spans="1:40" x14ac:dyDescent="0.25">
      <c r="A6543" t="str">
        <f>"20190312151700085"</f>
        <v>20190312151700085</v>
      </c>
      <c r="B6543" t="str">
        <f>"1552375020074138"</f>
        <v>1552375020074138</v>
      </c>
      <c r="C6543" t="s">
        <v>40</v>
      </c>
      <c r="D6543">
        <v>4.4792100000000001</v>
      </c>
      <c r="E6543">
        <v>0.50591209999999998</v>
      </c>
      <c r="F6543" t="s">
        <v>43</v>
      </c>
      <c r="G6543">
        <v>-188.08160000000001</v>
      </c>
      <c r="H6543" s="1">
        <v>-9.9028750000000005E-7</v>
      </c>
      <c r="I6543">
        <v>51.058100000000003</v>
      </c>
      <c r="J6543">
        <v>-186.8683</v>
      </c>
      <c r="K6543">
        <v>1.1098059999999901</v>
      </c>
      <c r="L6543">
        <v>-4.555237</v>
      </c>
      <c r="M6543">
        <v>-1.0096910000000001E-2</v>
      </c>
      <c r="N6543">
        <v>0</v>
      </c>
      <c r="O6543">
        <v>0.99991410000000003</v>
      </c>
      <c r="P6543">
        <v>-3.6664780000000001E-2</v>
      </c>
      <c r="Q6543">
        <v>2.942347E-2</v>
      </c>
      <c r="R6543">
        <v>0.99889439999999996</v>
      </c>
      <c r="S6543">
        <v>-6.532288E-2</v>
      </c>
      <c r="T6543">
        <v>-5.9562209999999997E-2</v>
      </c>
      <c r="U6543">
        <v>3.0026549999999999</v>
      </c>
      <c r="V6543">
        <v>-2.6649079999999999E-2</v>
      </c>
      <c r="W6543">
        <v>3.7731099999999997E-2</v>
      </c>
      <c r="X6543">
        <v>0.9989325</v>
      </c>
      <c r="Y6543">
        <v>-1.1649639999999999E-2</v>
      </c>
      <c r="Z6543">
        <v>-1.9828080000000001E-2</v>
      </c>
      <c r="AA6543">
        <v>0.9997355</v>
      </c>
      <c r="AB6543">
        <v>33</v>
      </c>
      <c r="AC6543">
        <v>-1.2133</v>
      </c>
      <c r="AD6543">
        <v>-1.1098069902875001</v>
      </c>
      <c r="AE6543">
        <v>55.613337000000001</v>
      </c>
      <c r="AF6543">
        <v>-0.65143637839169899</v>
      </c>
      <c r="AG6543">
        <v>-1.1098069902875001</v>
      </c>
      <c r="AH6543">
        <v>55.600621459609698</v>
      </c>
      <c r="AI6543">
        <v>91.143412610268996</v>
      </c>
      <c r="AJ6543">
        <v>90.671266730137603</v>
      </c>
      <c r="AK6543">
        <v>55.615511753516998</v>
      </c>
      <c r="AL6543">
        <v>87.837653885684603</v>
      </c>
      <c r="AM6543">
        <v>91.528149042830805</v>
      </c>
      <c r="AN6543">
        <v>0.99999997446415201</v>
      </c>
    </row>
    <row r="6544" spans="1:40" x14ac:dyDescent="0.25">
      <c r="A6544" t="str">
        <f>"20190312151700112"</f>
        <v>20190312151700112</v>
      </c>
      <c r="B6544" t="str">
        <f>"1552375020104394"</f>
        <v>1552375020104394</v>
      </c>
      <c r="C6544" t="s">
        <v>40</v>
      </c>
      <c r="D6544">
        <v>4.4377469999999999</v>
      </c>
      <c r="E6544">
        <v>0.50620880000000001</v>
      </c>
      <c r="F6544" t="s">
        <v>43</v>
      </c>
      <c r="G6544">
        <v>-188.13200000000001</v>
      </c>
      <c r="H6544" s="1">
        <v>-2.5927810000000001E-6</v>
      </c>
      <c r="I6544">
        <v>54.904209999999999</v>
      </c>
      <c r="J6544">
        <v>-186.8733</v>
      </c>
      <c r="K6544">
        <v>1.1098110000000001</v>
      </c>
      <c r="L6544">
        <v>-4.1609499999999997</v>
      </c>
      <c r="M6544">
        <v>-1.1153329999999999E-2</v>
      </c>
      <c r="N6544">
        <v>0</v>
      </c>
      <c r="O6544">
        <v>0.99990270000000003</v>
      </c>
      <c r="P6544">
        <v>-3.6684090000000003E-2</v>
      </c>
      <c r="Q6544">
        <v>2.979043E-2</v>
      </c>
      <c r="R6544">
        <v>0.99888279999999996</v>
      </c>
      <c r="S6544">
        <v>-6.3812259999999996E-2</v>
      </c>
      <c r="T6544">
        <v>-5.6043860000000001E-2</v>
      </c>
      <c r="U6544">
        <v>3.0026250000000001</v>
      </c>
      <c r="V6544">
        <v>-2.561364E-2</v>
      </c>
      <c r="W6544">
        <v>3.8116110000000002E-2</v>
      </c>
      <c r="X6544">
        <v>0.99894499999999997</v>
      </c>
      <c r="Y6544">
        <v>-1.009114E-2</v>
      </c>
      <c r="Z6544">
        <v>-1.8657389999999999E-2</v>
      </c>
      <c r="AA6544">
        <v>0.99977499999999997</v>
      </c>
      <c r="AB6544">
        <v>33</v>
      </c>
      <c r="AC6544">
        <v>-1.2586999999999999</v>
      </c>
      <c r="AD6544">
        <v>-1.109813592781</v>
      </c>
      <c r="AE6544">
        <v>59.065159999999999</v>
      </c>
      <c r="AF6544">
        <v>-0.59961376179761094</v>
      </c>
      <c r="AG6544">
        <v>-1.109813592781</v>
      </c>
      <c r="AH6544">
        <v>59.054685214376697</v>
      </c>
      <c r="AI6544">
        <v>91.076576296015702</v>
      </c>
      <c r="AJ6544">
        <v>90.581734662112197</v>
      </c>
      <c r="AK6544">
        <v>59.068156130381901</v>
      </c>
      <c r="AL6544">
        <v>87.815578622936698</v>
      </c>
      <c r="AM6544">
        <v>91.468781549395501</v>
      </c>
      <c r="AN6544">
        <v>1.0000000047102899</v>
      </c>
    </row>
    <row r="6545" spans="1:40" x14ac:dyDescent="0.25">
      <c r="A6545" t="str">
        <f>"20190312151700153"</f>
        <v>20190312151700153</v>
      </c>
      <c r="B6545" t="str">
        <f>"1552375020144410"</f>
        <v>1552375020144410</v>
      </c>
      <c r="C6545" t="s">
        <v>40</v>
      </c>
      <c r="D6545">
        <v>4.4120599999999897</v>
      </c>
      <c r="E6545">
        <v>0.50666239999999996</v>
      </c>
      <c r="F6545" t="s">
        <v>43</v>
      </c>
      <c r="G6545">
        <v>-188.221</v>
      </c>
      <c r="H6545" s="1">
        <v>-1.1995849999999999E-6</v>
      </c>
      <c r="I6545">
        <v>61.693449999999999</v>
      </c>
      <c r="J6545">
        <v>-186.88200000000001</v>
      </c>
      <c r="K6545">
        <v>1.1098209999999999</v>
      </c>
      <c r="L6545">
        <v>-3.5419619999999998</v>
      </c>
      <c r="M6545">
        <v>-1.281066E-2</v>
      </c>
      <c r="N6545">
        <v>0</v>
      </c>
      <c r="O6545">
        <v>0.99988250000000001</v>
      </c>
      <c r="P6545">
        <v>-3.7047919999999998E-2</v>
      </c>
      <c r="Q6545">
        <v>3.0147879999999998E-2</v>
      </c>
      <c r="R6545">
        <v>0.99885860000000004</v>
      </c>
      <c r="S6545">
        <v>-6.1447139999999997E-2</v>
      </c>
      <c r="T6545">
        <v>-5.0601239999999999E-2</v>
      </c>
      <c r="U6545">
        <v>3.0025940000000002</v>
      </c>
      <c r="V6545">
        <v>-2.4322860000000002E-2</v>
      </c>
      <c r="W6545">
        <v>3.851255E-2</v>
      </c>
      <c r="X6545">
        <v>0.99896200000000002</v>
      </c>
      <c r="Y6545">
        <v>-7.6473909999999999E-3</v>
      </c>
      <c r="Z6545">
        <v>-1.6846030000000001E-2</v>
      </c>
      <c r="AA6545">
        <v>0.99982890000000002</v>
      </c>
      <c r="AB6545">
        <v>34</v>
      </c>
      <c r="AC6545">
        <v>-1.33899999999997</v>
      </c>
      <c r="AD6545">
        <v>-1.1098221995849999</v>
      </c>
      <c r="AE6545">
        <v>65.235411999999997</v>
      </c>
      <c r="AF6545">
        <v>-0.50300629209702097</v>
      </c>
      <c r="AG6545">
        <v>-1.1098221995849999</v>
      </c>
      <c r="AH6545">
        <v>65.228341558378901</v>
      </c>
      <c r="AI6545">
        <v>90.974731251541499</v>
      </c>
      <c r="AJ6545">
        <v>90.441825833029199</v>
      </c>
      <c r="AK6545">
        <v>65.239721513056097</v>
      </c>
      <c r="AL6545">
        <v>87.792847467683302</v>
      </c>
      <c r="AM6545">
        <v>91.394769703063801</v>
      </c>
      <c r="AN6545">
        <v>0.99999994773503897</v>
      </c>
    </row>
    <row r="6546" spans="1:40" x14ac:dyDescent="0.25">
      <c r="A6546" t="str">
        <f>"20190312151700173"</f>
        <v>20190312151700173</v>
      </c>
      <c r="B6546" t="str">
        <f>"1552375020164907"</f>
        <v>1552375020164907</v>
      </c>
      <c r="C6546" t="s">
        <v>40</v>
      </c>
      <c r="D6546">
        <v>4.6501530000000004</v>
      </c>
      <c r="E6546">
        <v>0.50692389999999998</v>
      </c>
      <c r="F6546" t="s">
        <v>43</v>
      </c>
      <c r="G6546">
        <v>-188.3597</v>
      </c>
      <c r="H6546" s="1">
        <v>-1.155762E-6</v>
      </c>
      <c r="I6546">
        <v>71.64864</v>
      </c>
      <c r="J6546">
        <v>-186.88679999999999</v>
      </c>
      <c r="K6546">
        <v>1.1098330000000001</v>
      </c>
      <c r="L6546">
        <v>-3.2304379999999999</v>
      </c>
      <c r="M6546">
        <v>-1.364449E-2</v>
      </c>
      <c r="N6546">
        <v>0</v>
      </c>
      <c r="O6546">
        <v>0.99987130000000002</v>
      </c>
      <c r="P6546">
        <v>-3.7004830000000002E-2</v>
      </c>
      <c r="Q6546">
        <v>2.9538950000000001E-2</v>
      </c>
      <c r="R6546">
        <v>0.99887840000000006</v>
      </c>
      <c r="S6546">
        <v>-5.9005740000000001E-2</v>
      </c>
      <c r="T6546">
        <v>-4.4318200000000002E-2</v>
      </c>
      <c r="U6546">
        <v>3.0025629999999999</v>
      </c>
      <c r="V6546">
        <v>-2.344547E-2</v>
      </c>
      <c r="W6546">
        <v>3.7925029999999998E-2</v>
      </c>
      <c r="X6546">
        <v>0.99900549999999999</v>
      </c>
      <c r="Y6546">
        <v>-6.0016899999999996E-3</v>
      </c>
      <c r="Z6546">
        <v>-1.47549E-2</v>
      </c>
      <c r="AA6546">
        <v>0.99987309999999996</v>
      </c>
      <c r="AB6546">
        <v>34</v>
      </c>
      <c r="AC6546">
        <v>-1.4729000000000101</v>
      </c>
      <c r="AD6546">
        <v>-1.109834155762</v>
      </c>
      <c r="AE6546">
        <v>74.879078000000007</v>
      </c>
      <c r="AF6546">
        <v>-0.45094064125127797</v>
      </c>
      <c r="AG6546">
        <v>-1.109834155762</v>
      </c>
      <c r="AH6546">
        <v>74.875762143629402</v>
      </c>
      <c r="AI6546">
        <v>90.849180056364801</v>
      </c>
      <c r="AJ6546">
        <v>90.345060703840701</v>
      </c>
      <c r="AK6546">
        <v>74.885344600292697</v>
      </c>
      <c r="AL6546">
        <v>87.826534597729605</v>
      </c>
      <c r="AM6546">
        <v>91.344416955795893</v>
      </c>
      <c r="AN6546">
        <v>0.99999999349713498</v>
      </c>
    </row>
    <row r="6547" spans="1:40" x14ac:dyDescent="0.25">
      <c r="A6547" t="str">
        <f>"20190312151700196"</f>
        <v>20190312151700196</v>
      </c>
      <c r="B6547" t="str">
        <f>"1552375020185402"</f>
        <v>1552375020185402</v>
      </c>
      <c r="C6547" t="s">
        <v>40</v>
      </c>
      <c r="D6547">
        <v>4.3919540000000001</v>
      </c>
      <c r="E6547">
        <v>0.50717369999999995</v>
      </c>
      <c r="F6547" t="s">
        <v>43</v>
      </c>
      <c r="G6547">
        <v>-188.30860000000001</v>
      </c>
      <c r="H6547" s="1">
        <v>-1.296208E-6</v>
      </c>
      <c r="I6547">
        <v>71.954880000000003</v>
      </c>
      <c r="J6547">
        <v>-186.89230000000001</v>
      </c>
      <c r="K6547">
        <v>1.109839</v>
      </c>
      <c r="L6547">
        <v>-2.892334</v>
      </c>
      <c r="M6547">
        <v>-1.454883E-2</v>
      </c>
      <c r="N6547">
        <v>0</v>
      </c>
      <c r="O6547">
        <v>0.99985840000000004</v>
      </c>
      <c r="P6547">
        <v>-3.7156889999999998E-2</v>
      </c>
      <c r="Q6547">
        <v>2.9451250000000002E-2</v>
      </c>
      <c r="R6547">
        <v>0.99887539999999997</v>
      </c>
      <c r="S6547">
        <v>-5.6777950000000001E-2</v>
      </c>
      <c r="T6547">
        <v>-4.4321779999999998E-2</v>
      </c>
      <c r="U6547">
        <v>3.0025629999999999</v>
      </c>
      <c r="V6547">
        <v>-2.269382E-2</v>
      </c>
      <c r="W6547">
        <v>3.7858799999999998E-2</v>
      </c>
      <c r="X6547">
        <v>0.99902539999999995</v>
      </c>
      <c r="Y6547">
        <v>-4.3556319999999999E-3</v>
      </c>
      <c r="Z6547">
        <v>-1.475597E-2</v>
      </c>
      <c r="AA6547">
        <v>0.99988160000000004</v>
      </c>
      <c r="AB6547">
        <v>34</v>
      </c>
      <c r="AC6547">
        <v>-1.4162999999999999</v>
      </c>
      <c r="AD6547">
        <v>-1.1098402962080001</v>
      </c>
      <c r="AE6547">
        <v>74.847213999999994</v>
      </c>
      <c r="AF6547">
        <v>-0.32709986361944199</v>
      </c>
      <c r="AG6547">
        <v>-1.1098402962080001</v>
      </c>
      <c r="AH6547">
        <v>74.843447782118403</v>
      </c>
      <c r="AI6547">
        <v>90.849558635851906</v>
      </c>
      <c r="AJ6547">
        <v>90.2504069881264</v>
      </c>
      <c r="AK6547">
        <v>74.852390848379301</v>
      </c>
      <c r="AL6547">
        <v>87.830332090644404</v>
      </c>
      <c r="AM6547">
        <v>91.301304776734199</v>
      </c>
      <c r="AN6547">
        <v>1.00000002402439</v>
      </c>
    </row>
    <row r="6548" spans="1:40" x14ac:dyDescent="0.25">
      <c r="A6548" t="str">
        <f>"20190312151700218"</f>
        <v>20190312151700218</v>
      </c>
      <c r="B6548" t="str">
        <f>"1552375020214682"</f>
        <v>1552375020214682</v>
      </c>
      <c r="C6548" t="s">
        <v>40</v>
      </c>
      <c r="D6548">
        <v>4.618163</v>
      </c>
      <c r="E6548">
        <v>0.50731280000000001</v>
      </c>
      <c r="F6548" t="s">
        <v>43</v>
      </c>
      <c r="G6548">
        <v>-188.32679999999999</v>
      </c>
      <c r="H6548" s="1">
        <v>-2.6162769999999998E-6</v>
      </c>
      <c r="I6548">
        <v>75.039509999999893</v>
      </c>
      <c r="J6548">
        <v>-186.89830000000001</v>
      </c>
      <c r="K6548">
        <v>1.1098479999999999</v>
      </c>
      <c r="L6548">
        <v>-2.544403</v>
      </c>
      <c r="M6548">
        <v>-1.5479430000000001E-2</v>
      </c>
      <c r="N6548">
        <v>0</v>
      </c>
      <c r="O6548">
        <v>0.99984430000000002</v>
      </c>
      <c r="P6548">
        <v>-3.7210350000000003E-2</v>
      </c>
      <c r="Q6548">
        <v>3.012608E-2</v>
      </c>
      <c r="R6548">
        <v>0.99885330000000006</v>
      </c>
      <c r="S6548">
        <v>-5.5267330000000003E-2</v>
      </c>
      <c r="T6548">
        <v>-4.2760489999999998E-2</v>
      </c>
      <c r="U6548">
        <v>3.0025940000000002</v>
      </c>
      <c r="V6548">
        <v>-2.1819089999999999E-2</v>
      </c>
      <c r="W6548">
        <v>3.8555909999999999E-2</v>
      </c>
      <c r="X6548">
        <v>0.99901819999999997</v>
      </c>
      <c r="Y6548">
        <v>-2.9219739999999999E-3</v>
      </c>
      <c r="Z6548">
        <v>-1.4235950000000001E-2</v>
      </c>
      <c r="AA6548">
        <v>0.99989439999999996</v>
      </c>
      <c r="AB6548">
        <v>34</v>
      </c>
      <c r="AC6548">
        <v>-1.4284999999999799</v>
      </c>
      <c r="AD6548">
        <v>-1.1098506162770001</v>
      </c>
      <c r="AE6548">
        <v>77.583912999999995</v>
      </c>
      <c r="AF6548">
        <v>-0.22728449404522899</v>
      </c>
      <c r="AG6548">
        <v>-1.1098506162770001</v>
      </c>
      <c r="AH6548">
        <v>77.580859297611894</v>
      </c>
      <c r="AI6548">
        <v>90.819598371506501</v>
      </c>
      <c r="AJ6548">
        <v>90.167855900529901</v>
      </c>
      <c r="AK6548">
        <v>77.5891303984491</v>
      </c>
      <c r="AL6548">
        <v>87.790361385824198</v>
      </c>
      <c r="AM6548">
        <v>91.251171450574503</v>
      </c>
      <c r="AN6548">
        <v>0.99999999740779799</v>
      </c>
    </row>
    <row r="6549" spans="1:40" x14ac:dyDescent="0.25">
      <c r="A6549" t="str">
        <f>"20190312151700241"</f>
        <v>20190312151700241</v>
      </c>
      <c r="B6549" t="str">
        <f>"1552375020234202"</f>
        <v>1552375020234202</v>
      </c>
      <c r="C6549" t="s">
        <v>40</v>
      </c>
      <c r="D6549">
        <v>4.3505640000000003</v>
      </c>
      <c r="E6549">
        <v>0.50743110000000002</v>
      </c>
      <c r="F6549" t="s">
        <v>43</v>
      </c>
      <c r="G6549">
        <v>-188.45009999999999</v>
      </c>
      <c r="H6549" s="1">
        <v>-1.8829940000000001E-6</v>
      </c>
      <c r="I6549">
        <v>83.381230000000002</v>
      </c>
      <c r="J6549">
        <v>-186.90430000000001</v>
      </c>
      <c r="K6549">
        <v>1.1098539999999999</v>
      </c>
      <c r="L6549">
        <v>-2.2103269999999999</v>
      </c>
      <c r="M6549">
        <v>-1.6372560000000001E-2</v>
      </c>
      <c r="N6549">
        <v>0</v>
      </c>
      <c r="O6549">
        <v>0.99982979999999999</v>
      </c>
      <c r="P6549">
        <v>-3.6926059999999997E-2</v>
      </c>
      <c r="Q6549">
        <v>3.07196E-2</v>
      </c>
      <c r="R6549">
        <v>0.99884569999999995</v>
      </c>
      <c r="S6549">
        <v>-5.4229739999999999E-2</v>
      </c>
      <c r="T6549">
        <v>-3.878272E-2</v>
      </c>
      <c r="U6549">
        <v>3.0025940000000002</v>
      </c>
      <c r="V6549">
        <v>-2.064386E-2</v>
      </c>
      <c r="W6549">
        <v>3.917151E-2</v>
      </c>
      <c r="X6549">
        <v>0.9990192</v>
      </c>
      <c r="Y6549">
        <v>-1.6836119999999999E-3</v>
      </c>
      <c r="Z6549">
        <v>-1.291167E-2</v>
      </c>
      <c r="AA6549">
        <v>0.9999152</v>
      </c>
      <c r="AB6549">
        <v>34</v>
      </c>
      <c r="AC6549">
        <v>-1.5457999999999801</v>
      </c>
      <c r="AD6549">
        <v>-1.109855882994</v>
      </c>
      <c r="AE6549">
        <v>85.591556999999995</v>
      </c>
      <c r="AF6549">
        <v>-0.14416498362959601</v>
      </c>
      <c r="AG6549">
        <v>-1.109855882994</v>
      </c>
      <c r="AH6549">
        <v>85.591006563849007</v>
      </c>
      <c r="AI6549">
        <v>90.742909876033707</v>
      </c>
      <c r="AJ6549">
        <v>90.096505902148493</v>
      </c>
      <c r="AK6549">
        <v>85.598323396176198</v>
      </c>
      <c r="AL6549">
        <v>87.755063372760603</v>
      </c>
      <c r="AM6549">
        <v>91.183798808693894</v>
      </c>
      <c r="AN6549">
        <v>0.99999996906000899</v>
      </c>
    </row>
    <row r="6550" spans="1:40" x14ac:dyDescent="0.25">
      <c r="A6550" t="str">
        <f>"20190312151700262"</f>
        <v>20190312151700262</v>
      </c>
      <c r="B6550" t="str">
        <f>"1552375020254698"</f>
        <v>1552375020254698</v>
      </c>
      <c r="C6550" t="s">
        <v>40</v>
      </c>
      <c r="D6550">
        <v>4.388719</v>
      </c>
      <c r="E6550">
        <v>0.50773299999999999</v>
      </c>
      <c r="F6550" t="s">
        <v>43</v>
      </c>
      <c r="G6550">
        <v>-188.44730000000001</v>
      </c>
      <c r="H6550" s="1">
        <v>-3.0321850000000002E-6</v>
      </c>
      <c r="I6550">
        <v>86.058859999999996</v>
      </c>
      <c r="J6550">
        <v>-186.91059999999999</v>
      </c>
      <c r="K6550">
        <v>1.1098619999999999</v>
      </c>
      <c r="L6550">
        <v>-1.877075</v>
      </c>
      <c r="M6550">
        <v>-1.7263150000000001E-2</v>
      </c>
      <c r="N6550">
        <v>0</v>
      </c>
      <c r="O6550">
        <v>0.9998146</v>
      </c>
      <c r="P6550">
        <v>-3.7091899999999997E-2</v>
      </c>
      <c r="Q6550">
        <v>3.1288749999999997E-2</v>
      </c>
      <c r="R6550">
        <v>0.99882190000000004</v>
      </c>
      <c r="S6550">
        <v>-5.2490229999999999E-2</v>
      </c>
      <c r="T6550">
        <v>-3.7754419999999997E-2</v>
      </c>
      <c r="U6550">
        <v>3.0026860000000002</v>
      </c>
      <c r="V6550">
        <v>-1.9921680000000001E-2</v>
      </c>
      <c r="W6550">
        <v>3.9765660000000001E-2</v>
      </c>
      <c r="X6550">
        <v>0.99901039999999997</v>
      </c>
      <c r="Y6550">
        <v>-2.1329669999999999E-4</v>
      </c>
      <c r="Z6550">
        <v>-1.256879E-2</v>
      </c>
      <c r="AA6550">
        <v>0.99992099999999995</v>
      </c>
      <c r="AB6550">
        <v>34</v>
      </c>
      <c r="AC6550">
        <v>-1.5367000000000199</v>
      </c>
      <c r="AD6550">
        <v>-1.1098650321850001</v>
      </c>
      <c r="AE6550">
        <v>87.935935000000001</v>
      </c>
      <c r="AF6550">
        <v>-1.8361603484809901E-2</v>
      </c>
      <c r="AG6550">
        <v>-1.1098650321850001</v>
      </c>
      <c r="AH6550">
        <v>87.9353555837925</v>
      </c>
      <c r="AI6550">
        <v>90.723113064673996</v>
      </c>
      <c r="AJ6550">
        <v>90.011963815492507</v>
      </c>
      <c r="AK6550">
        <v>87.942361232719804</v>
      </c>
      <c r="AL6550">
        <v>87.720994563123895</v>
      </c>
      <c r="AM6550">
        <v>91.142407447201194</v>
      </c>
      <c r="AN6550">
        <v>0.99999998017870795</v>
      </c>
    </row>
    <row r="6551" spans="1:40" x14ac:dyDescent="0.25">
      <c r="A6551" t="str">
        <f>"20190312151700374"</f>
        <v>20190312151700374</v>
      </c>
      <c r="B6551" t="str">
        <f>"1552375020364011"</f>
        <v>1552375020364011</v>
      </c>
      <c r="C6551" t="s">
        <v>40</v>
      </c>
      <c r="D6551">
        <v>4.620018</v>
      </c>
      <c r="E6551">
        <v>0.52332199999999995</v>
      </c>
      <c r="F6551" t="s">
        <v>43</v>
      </c>
      <c r="G6551">
        <v>-188.39930000000001</v>
      </c>
      <c r="H6551" s="1">
        <v>-3.2410730000000001E-6</v>
      </c>
      <c r="I6551">
        <v>86.525909999999996</v>
      </c>
      <c r="J6551">
        <v>-186.94730000000001</v>
      </c>
      <c r="K6551">
        <v>1.1099000000000001</v>
      </c>
      <c r="L6551">
        <v>-0.17752079999999901</v>
      </c>
      <c r="M6551">
        <v>-2.179971E-2</v>
      </c>
      <c r="N6551">
        <v>0</v>
      </c>
      <c r="O6551">
        <v>0.99972499999999997</v>
      </c>
      <c r="P6551">
        <v>-3.3710450000000003E-2</v>
      </c>
      <c r="Q6551">
        <v>3.5617889999999999E-2</v>
      </c>
      <c r="R6551">
        <v>0.99879680000000004</v>
      </c>
      <c r="S6551">
        <v>-5.0567630000000002E-2</v>
      </c>
      <c r="T6551">
        <v>-3.7699459999999997E-2</v>
      </c>
      <c r="U6551">
        <v>3.0028380000000001</v>
      </c>
      <c r="V6551">
        <v>-1.201694E-2</v>
      </c>
      <c r="W6551">
        <v>4.4227780000000001E-2</v>
      </c>
      <c r="X6551">
        <v>0.99894919999999998</v>
      </c>
      <c r="Y6551">
        <v>4.9652009999999998E-3</v>
      </c>
      <c r="Z6551">
        <v>-1.2548180000000001E-2</v>
      </c>
      <c r="AA6551">
        <v>0.99990889999999999</v>
      </c>
      <c r="AB6551">
        <v>34</v>
      </c>
      <c r="AC6551">
        <v>-1.45199999999999</v>
      </c>
      <c r="AD6551">
        <v>-1.1099032410730001</v>
      </c>
      <c r="AE6551">
        <v>86.703430799999893</v>
      </c>
      <c r="AF6551">
        <v>0.438453497082745</v>
      </c>
      <c r="AG6551">
        <v>-1.1099032410730001</v>
      </c>
      <c r="AH6551">
        <v>86.700275719946703</v>
      </c>
      <c r="AI6551">
        <v>90.733428864917101</v>
      </c>
      <c r="AJ6551">
        <v>89.710250970554696</v>
      </c>
      <c r="AK6551">
        <v>86.708488261463899</v>
      </c>
      <c r="AL6551">
        <v>87.4651080042876</v>
      </c>
      <c r="AM6551">
        <v>90.689210958326996</v>
      </c>
      <c r="AN6551">
        <v>1.00000000377566</v>
      </c>
    </row>
    <row r="6552" spans="1:40" x14ac:dyDescent="0.25">
      <c r="A6552" t="str">
        <f>"20190312151700396"</f>
        <v>20190312151700396</v>
      </c>
      <c r="B6552" t="str">
        <f>"1552375020384506"</f>
        <v>1552375020384506</v>
      </c>
      <c r="C6552" t="s">
        <v>40</v>
      </c>
      <c r="D6552">
        <v>4.356592</v>
      </c>
      <c r="E6552">
        <v>0.52304689999999998</v>
      </c>
      <c r="F6552" t="s">
        <v>82</v>
      </c>
      <c r="G6552">
        <v>-175.84829999999999</v>
      </c>
      <c r="H6552">
        <v>21.60416</v>
      </c>
      <c r="I6552">
        <v>391.00349999999997</v>
      </c>
      <c r="J6552">
        <v>-186.95570000000001</v>
      </c>
      <c r="K6552">
        <v>1.1099060000000001</v>
      </c>
      <c r="L6552">
        <v>0.16918949999999999</v>
      </c>
      <c r="M6552">
        <v>-2.2724270000000001E-2</v>
      </c>
      <c r="N6552">
        <v>0</v>
      </c>
      <c r="O6552">
        <v>0.99970420000000004</v>
      </c>
      <c r="P6552">
        <v>-3.2824699999999998E-2</v>
      </c>
      <c r="Q6552">
        <v>3.6311059999999999E-2</v>
      </c>
      <c r="R6552">
        <v>0.9988013</v>
      </c>
      <c r="S6552">
        <v>8.5144040000000004E-2</v>
      </c>
      <c r="T6552">
        <v>0.15721859999999999</v>
      </c>
      <c r="U6552">
        <v>3.0008849999999998</v>
      </c>
      <c r="V6552">
        <v>-1.0208419999999999E-2</v>
      </c>
      <c r="W6552">
        <v>4.4944230000000002E-2</v>
      </c>
      <c r="X6552">
        <v>0.99893730000000003</v>
      </c>
      <c r="Y6552">
        <v>5.1031439999999997E-2</v>
      </c>
      <c r="Z6552">
        <v>5.2254139999999998E-2</v>
      </c>
      <c r="AA6552">
        <v>0.99732909999999997</v>
      </c>
      <c r="AB6552">
        <v>34</v>
      </c>
      <c r="AC6552">
        <v>11.1074</v>
      </c>
      <c r="AD6552">
        <v>20.494254000000002</v>
      </c>
      <c r="AE6552">
        <v>390.83431050000002</v>
      </c>
      <c r="AF6552">
        <v>19.931528846010298</v>
      </c>
      <c r="AG6552">
        <v>20.494254000000002</v>
      </c>
      <c r="AH6552">
        <v>389.41107729214701</v>
      </c>
      <c r="AI6552">
        <v>86.991300122833806</v>
      </c>
      <c r="AJ6552">
        <v>87.069942645738095</v>
      </c>
      <c r="AK6552">
        <v>390.45904702924503</v>
      </c>
      <c r="AL6552">
        <v>87.424017473515093</v>
      </c>
      <c r="AM6552">
        <v>90.585501233868101</v>
      </c>
      <c r="AN6552">
        <v>0.99999996249023904</v>
      </c>
    </row>
    <row r="6553" spans="1:40" x14ac:dyDescent="0.25">
      <c r="A6553" t="str">
        <f>"20190312151700418"</f>
        <v>20190312151700418</v>
      </c>
      <c r="B6553" t="str">
        <f>"1552375020414763"</f>
        <v>1552375020414763</v>
      </c>
      <c r="C6553" t="s">
        <v>40</v>
      </c>
      <c r="D6553">
        <v>4.4272989999999997</v>
      </c>
      <c r="E6553">
        <v>0.52099150000000005</v>
      </c>
      <c r="F6553" t="s">
        <v>82</v>
      </c>
      <c r="G6553">
        <v>-175.82079999999999</v>
      </c>
      <c r="H6553">
        <v>20.964500000000001</v>
      </c>
      <c r="I6553">
        <v>391.00349999999997</v>
      </c>
      <c r="J6553">
        <v>-186.96420000000001</v>
      </c>
      <c r="K6553">
        <v>1.109915</v>
      </c>
      <c r="L6553">
        <v>0.50503540000000002</v>
      </c>
      <c r="M6553">
        <v>-2.3619749999999998E-2</v>
      </c>
      <c r="N6553">
        <v>0</v>
      </c>
      <c r="O6553">
        <v>0.99968330000000005</v>
      </c>
      <c r="P6553">
        <v>-3.2320639999999998E-2</v>
      </c>
      <c r="Q6553">
        <v>3.6937770000000002E-2</v>
      </c>
      <c r="R6553">
        <v>0.99879470000000004</v>
      </c>
      <c r="S6553">
        <v>8.5495000000000002E-2</v>
      </c>
      <c r="T6553">
        <v>0.152445</v>
      </c>
      <c r="U6553">
        <v>3.0008539999999999</v>
      </c>
      <c r="V6553">
        <v>-8.8110730000000009E-3</v>
      </c>
      <c r="W6553">
        <v>4.5592059999999997E-2</v>
      </c>
      <c r="X6553">
        <v>0.99892130000000001</v>
      </c>
      <c r="Y6553">
        <v>5.2045170000000002E-2</v>
      </c>
      <c r="Z6553">
        <v>5.0669230000000003E-2</v>
      </c>
      <c r="AA6553">
        <v>0.99735850000000004</v>
      </c>
      <c r="AB6553">
        <v>34</v>
      </c>
      <c r="AC6553">
        <v>11.1434</v>
      </c>
      <c r="AD6553">
        <v>19.854585</v>
      </c>
      <c r="AE6553">
        <v>390.49846459999998</v>
      </c>
      <c r="AF6553">
        <v>20.311649208702399</v>
      </c>
      <c r="AG6553">
        <v>19.854585</v>
      </c>
      <c r="AH6553">
        <v>389.12118713029503</v>
      </c>
      <c r="AI6553">
        <v>87.083027968484998</v>
      </c>
      <c r="AJ6553">
        <v>87.011942405907803</v>
      </c>
      <c r="AK6553">
        <v>390.15646337436101</v>
      </c>
      <c r="AL6553">
        <v>87.386861600195004</v>
      </c>
      <c r="AM6553">
        <v>90.505369345826395</v>
      </c>
      <c r="AN6553">
        <v>1.0000000172680701</v>
      </c>
    </row>
    <row r="6554" spans="1:40" x14ac:dyDescent="0.25">
      <c r="A6554" t="str">
        <f>"20190312151700440"</f>
        <v>20190312151700440</v>
      </c>
      <c r="B6554" t="str">
        <f>"1552375020434282"</f>
        <v>1552375020434282</v>
      </c>
      <c r="C6554" t="s">
        <v>40</v>
      </c>
      <c r="D6554">
        <v>4.7278200000000004</v>
      </c>
      <c r="E6554">
        <v>0.51849109999999998</v>
      </c>
      <c r="F6554" t="s">
        <v>48</v>
      </c>
      <c r="G6554">
        <v>-182.15369999999999</v>
      </c>
      <c r="H6554">
        <v>8.7769490000000001</v>
      </c>
      <c r="I6554">
        <v>205.55719999999999</v>
      </c>
      <c r="J6554">
        <v>-186.97290000000001</v>
      </c>
      <c r="K6554">
        <v>1.10992</v>
      </c>
      <c r="L6554">
        <v>0.84014889999999998</v>
      </c>
      <c r="M6554">
        <v>-2.4512820000000001E-2</v>
      </c>
      <c r="N6554">
        <v>0</v>
      </c>
      <c r="O6554">
        <v>0.99966169999999999</v>
      </c>
      <c r="P6554">
        <v>-3.1330810000000001E-2</v>
      </c>
      <c r="Q6554">
        <v>3.7141380000000002E-2</v>
      </c>
      <c r="R6554">
        <v>0.99881880000000001</v>
      </c>
      <c r="S6554">
        <v>7.0419309999999999E-2</v>
      </c>
      <c r="T6554">
        <v>0.112237</v>
      </c>
      <c r="U6554">
        <v>3.0017399999999999</v>
      </c>
      <c r="V6554">
        <v>-6.9290360000000004E-3</v>
      </c>
      <c r="W6554">
        <v>4.5816419999999997E-2</v>
      </c>
      <c r="X6554">
        <v>0.99892590000000003</v>
      </c>
      <c r="Y6554">
        <v>4.7936649999999997E-2</v>
      </c>
      <c r="Z6554">
        <v>3.7321090000000001E-2</v>
      </c>
      <c r="AA6554">
        <v>0.99815290000000001</v>
      </c>
      <c r="AB6554">
        <v>34</v>
      </c>
      <c r="AC6554">
        <v>4.8192000000000199</v>
      </c>
      <c r="AD6554">
        <v>7.6670289999999897</v>
      </c>
      <c r="AE6554">
        <v>204.71705109999999</v>
      </c>
      <c r="AF6554">
        <v>9.82236412871511</v>
      </c>
      <c r="AG6554">
        <v>7.6670289999999897</v>
      </c>
      <c r="AH6554">
        <v>204.251063528515</v>
      </c>
      <c r="AI6554">
        <v>87.852760797503095</v>
      </c>
      <c r="AJ6554">
        <v>87.246786531011395</v>
      </c>
      <c r="AK6554">
        <v>204.630787329995</v>
      </c>
      <c r="AL6554">
        <v>87.373993370683607</v>
      </c>
      <c r="AM6554">
        <v>90.397425026028202</v>
      </c>
      <c r="AN6554">
        <v>1.0000000547861501</v>
      </c>
    </row>
    <row r="6555" spans="1:40" x14ac:dyDescent="0.25">
      <c r="A6555" t="str">
        <f>"20190312151700463"</f>
        <v>20190312151700463</v>
      </c>
      <c r="B6555" t="str">
        <f>"1552375020454779"</f>
        <v>1552375020454779</v>
      </c>
      <c r="C6555" t="s">
        <v>40</v>
      </c>
      <c r="D6555">
        <v>4.4620179999999996</v>
      </c>
      <c r="E6555">
        <v>0.51628580000000002</v>
      </c>
      <c r="F6555" t="s">
        <v>82</v>
      </c>
      <c r="G6555">
        <v>-180.0273</v>
      </c>
      <c r="H6555">
        <v>11.157209999999999</v>
      </c>
      <c r="I6555">
        <v>391.87</v>
      </c>
      <c r="J6555">
        <v>-186.98259999999999</v>
      </c>
      <c r="K6555">
        <v>1.1099250000000001</v>
      </c>
      <c r="L6555">
        <v>1.1987300000000001</v>
      </c>
      <c r="M6555">
        <v>-2.546793E-2</v>
      </c>
      <c r="N6555">
        <v>0</v>
      </c>
      <c r="O6555">
        <v>0.99963769999999996</v>
      </c>
      <c r="P6555">
        <v>-3.0336829999999999E-2</v>
      </c>
      <c r="Q6555">
        <v>3.7549359999999997E-2</v>
      </c>
      <c r="R6555">
        <v>0.99883420000000001</v>
      </c>
      <c r="S6555">
        <v>5.3329469999999997E-2</v>
      </c>
      <c r="T6555">
        <v>7.7143669999999998E-2</v>
      </c>
      <c r="U6555">
        <v>3.0023499999999999</v>
      </c>
      <c r="V6555">
        <v>-4.9817079999999996E-3</v>
      </c>
      <c r="W6555">
        <v>4.6247499999999997E-2</v>
      </c>
      <c r="X6555">
        <v>0.99891759999999996</v>
      </c>
      <c r="Y6555">
        <v>4.3213050000000003E-2</v>
      </c>
      <c r="Z6555">
        <v>2.5659439999999999E-2</v>
      </c>
      <c r="AA6555">
        <v>0.99873630000000002</v>
      </c>
      <c r="AB6555">
        <v>35</v>
      </c>
      <c r="AC6555">
        <v>6.9552999999999896</v>
      </c>
      <c r="AD6555">
        <v>10.047285</v>
      </c>
      <c r="AE6555">
        <v>390.67126999999999</v>
      </c>
      <c r="AF6555">
        <v>16.891840750319599</v>
      </c>
      <c r="AG6555">
        <v>10.047285</v>
      </c>
      <c r="AH6555">
        <v>390.109455552687</v>
      </c>
      <c r="AI6555">
        <v>88.5260515062715</v>
      </c>
      <c r="AJ6555">
        <v>87.520626627457403</v>
      </c>
      <c r="AK6555">
        <v>390.60423644837601</v>
      </c>
      <c r="AL6555">
        <v>87.349267979165901</v>
      </c>
      <c r="AM6555">
        <v>90.285737759414204</v>
      </c>
      <c r="AN6555">
        <v>1.0000000101302999</v>
      </c>
    </row>
    <row r="6556" spans="1:40" x14ac:dyDescent="0.25">
      <c r="A6556" t="str">
        <f>"20190312151700485"</f>
        <v>20190312151700485</v>
      </c>
      <c r="B6556" t="str">
        <f>"1552375020474298"</f>
        <v>1552375020474298</v>
      </c>
      <c r="C6556" t="s">
        <v>40</v>
      </c>
      <c r="D6556">
        <v>4.4444949999999999</v>
      </c>
      <c r="E6556">
        <v>0.51439369999999995</v>
      </c>
      <c r="F6556" t="s">
        <v>82</v>
      </c>
      <c r="G6556">
        <v>-181.9753</v>
      </c>
      <c r="H6556">
        <v>8.9999500000000001</v>
      </c>
      <c r="I6556">
        <v>391.87</v>
      </c>
      <c r="J6556">
        <v>-186.9923</v>
      </c>
      <c r="K6556">
        <v>1.109936</v>
      </c>
      <c r="L6556">
        <v>1.5463260000000001</v>
      </c>
      <c r="M6556">
        <v>-2.639331E-2</v>
      </c>
      <c r="N6556">
        <v>0</v>
      </c>
      <c r="O6556">
        <v>0.99961350000000004</v>
      </c>
      <c r="P6556">
        <v>-3.009351E-2</v>
      </c>
      <c r="Q6556">
        <v>3.7991860000000002E-2</v>
      </c>
      <c r="R6556">
        <v>0.99882479999999996</v>
      </c>
      <c r="S6556">
        <v>3.8482669999999997E-2</v>
      </c>
      <c r="T6556">
        <v>6.0636280000000001E-2</v>
      </c>
      <c r="U6556">
        <v>3.00238</v>
      </c>
      <c r="V6556">
        <v>-3.8146360000000002E-3</v>
      </c>
      <c r="W6556">
        <v>4.6714289999999999E-2</v>
      </c>
      <c r="X6556">
        <v>0.99890100000000004</v>
      </c>
      <c r="Y6556">
        <v>3.9201409999999999E-2</v>
      </c>
      <c r="Z6556">
        <v>2.0172809999999999E-2</v>
      </c>
      <c r="AA6556">
        <v>0.99902769999999996</v>
      </c>
      <c r="AB6556">
        <v>35</v>
      </c>
      <c r="AC6556">
        <v>5.0169999999999897</v>
      </c>
      <c r="AD6556">
        <v>7.8900139999999999</v>
      </c>
      <c r="AE6556">
        <v>390.32367399999998</v>
      </c>
      <c r="AF6556">
        <v>15.311323324227599</v>
      </c>
      <c r="AG6556">
        <v>7.8900139999999999</v>
      </c>
      <c r="AH6556">
        <v>389.89598070014603</v>
      </c>
      <c r="AI6556">
        <v>88.841601860523895</v>
      </c>
      <c r="AJ6556">
        <v>87.751134401789301</v>
      </c>
      <c r="AK6556">
        <v>390.27626716082602</v>
      </c>
      <c r="AL6556">
        <v>87.322493895944405</v>
      </c>
      <c r="AM6556">
        <v>90.218801944056594</v>
      </c>
      <c r="AN6556">
        <v>0.99999999206950796</v>
      </c>
    </row>
    <row r="6557" spans="1:40" x14ac:dyDescent="0.25">
      <c r="A6557" t="str">
        <f>"20190312151700508"</f>
        <v>20190312151700508</v>
      </c>
      <c r="B6557" t="str">
        <f>"1552375020504556"</f>
        <v>1552375020504556</v>
      </c>
      <c r="C6557" t="s">
        <v>40</v>
      </c>
      <c r="D6557">
        <v>4.4944280000000001</v>
      </c>
      <c r="E6557">
        <v>0.51276369999999905</v>
      </c>
      <c r="F6557" t="s">
        <v>82</v>
      </c>
      <c r="G6557">
        <v>-183.8587</v>
      </c>
      <c r="H6557">
        <v>6.5043509999999998</v>
      </c>
      <c r="I6557">
        <v>390.11860000000001</v>
      </c>
      <c r="J6557">
        <v>-187.00229999999999</v>
      </c>
      <c r="K6557">
        <v>1.109942</v>
      </c>
      <c r="L6557">
        <v>1.8930659999999999</v>
      </c>
      <c r="M6557">
        <v>-2.7316130000000001E-2</v>
      </c>
      <c r="N6557">
        <v>0</v>
      </c>
      <c r="O6557">
        <v>0.99958840000000004</v>
      </c>
      <c r="P6557">
        <v>-2.9741199999999999E-2</v>
      </c>
      <c r="Q6557">
        <v>3.7913099999999998E-2</v>
      </c>
      <c r="R6557">
        <v>0.99883840000000002</v>
      </c>
      <c r="S6557">
        <v>2.42157E-2</v>
      </c>
      <c r="T6557">
        <v>4.1685220000000002E-2</v>
      </c>
      <c r="U6557">
        <v>3.0026860000000002</v>
      </c>
      <c r="V6557">
        <v>-2.540025E-3</v>
      </c>
      <c r="W6557">
        <v>4.666095E-2</v>
      </c>
      <c r="X6557">
        <v>0.99890760000000001</v>
      </c>
      <c r="Y6557">
        <v>3.5376919999999999E-2</v>
      </c>
      <c r="Z6557">
        <v>1.386897E-2</v>
      </c>
      <c r="AA6557">
        <v>0.99927779999999999</v>
      </c>
      <c r="AB6557">
        <v>35</v>
      </c>
      <c r="AC6557">
        <v>3.14359999999999</v>
      </c>
      <c r="AD6557">
        <v>5.3944089999999996</v>
      </c>
      <c r="AE6557">
        <v>388.22553399999998</v>
      </c>
      <c r="AF6557">
        <v>13.744999978014899</v>
      </c>
      <c r="AG6557">
        <v>5.3944089999999996</v>
      </c>
      <c r="AH6557">
        <v>387.91988863524398</v>
      </c>
      <c r="AI6557">
        <v>89.203796558778805</v>
      </c>
      <c r="AJ6557">
        <v>87.970712030159106</v>
      </c>
      <c r="AK6557">
        <v>388.20080457365702</v>
      </c>
      <c r="AL6557">
        <v>87.325553529859903</v>
      </c>
      <c r="AM6557">
        <v>90.145691552146403</v>
      </c>
      <c r="AN6557">
        <v>1.0000000446598301</v>
      </c>
    </row>
    <row r="6558" spans="1:40" x14ac:dyDescent="0.25">
      <c r="A6558" t="str">
        <f>"20190312151700532"</f>
        <v>20190312151700532</v>
      </c>
      <c r="B6558" t="str">
        <f>"1552375020524076"</f>
        <v>1552375020524076</v>
      </c>
      <c r="C6558" t="s">
        <v>40</v>
      </c>
      <c r="D6558">
        <v>4.4974100000000004</v>
      </c>
      <c r="E6558">
        <v>0.51214389999999999</v>
      </c>
      <c r="F6558" t="s">
        <v>82</v>
      </c>
      <c r="G6558">
        <v>-185.40719999999999</v>
      </c>
      <c r="H6558">
        <v>3.9682710000000001</v>
      </c>
      <c r="I6558">
        <v>391.87</v>
      </c>
      <c r="J6558">
        <v>-187.0136</v>
      </c>
      <c r="K6558">
        <v>1.1099479999999999</v>
      </c>
      <c r="L6558">
        <v>2.2704469999999999</v>
      </c>
      <c r="M6558">
        <v>-2.8319960000000002E-2</v>
      </c>
      <c r="N6558">
        <v>0</v>
      </c>
      <c r="O6558">
        <v>0.99956029999999996</v>
      </c>
      <c r="P6558">
        <v>-3.0252299999999999E-2</v>
      </c>
      <c r="Q6558">
        <v>3.7480939999999997E-2</v>
      </c>
      <c r="R6558">
        <v>0.99883929999999999</v>
      </c>
      <c r="S6558">
        <v>1.228333E-2</v>
      </c>
      <c r="T6558">
        <v>2.2010559999999998E-2</v>
      </c>
      <c r="U6558">
        <v>3.0030209999999999</v>
      </c>
      <c r="V6558">
        <v>-2.047077E-3</v>
      </c>
      <c r="W6558">
        <v>4.6254169999999997E-2</v>
      </c>
      <c r="X6558">
        <v>0.99892760000000003</v>
      </c>
      <c r="Y6558">
        <v>3.2409359999999998E-2</v>
      </c>
      <c r="Z6558">
        <v>7.3229109999999997E-3</v>
      </c>
      <c r="AA6558">
        <v>0.9994478</v>
      </c>
      <c r="AB6558">
        <v>35</v>
      </c>
      <c r="AC6558">
        <v>1.6064000000000001</v>
      </c>
      <c r="AD6558">
        <v>2.8583229999999999</v>
      </c>
      <c r="AE6558">
        <v>389.59955299999899</v>
      </c>
      <c r="AF6558">
        <v>12.638944954452301</v>
      </c>
      <c r="AG6558">
        <v>2.8583229999999999</v>
      </c>
      <c r="AH6558">
        <v>389.376823382689</v>
      </c>
      <c r="AI6558">
        <v>89.579634198422198</v>
      </c>
      <c r="AJ6558">
        <v>88.140865113478398</v>
      </c>
      <c r="AK6558">
        <v>389.59238124933597</v>
      </c>
      <c r="AL6558">
        <v>87.348885365192103</v>
      </c>
      <c r="AM6558">
        <v>90.117414623695197</v>
      </c>
      <c r="AN6558">
        <v>0.99999999440419596</v>
      </c>
    </row>
    <row r="6559" spans="1:40" x14ac:dyDescent="0.25">
      <c r="A6559" t="str">
        <f>"20190312151700554"</f>
        <v>20190312151700554</v>
      </c>
      <c r="B6559" t="str">
        <f>"1552375020544571"</f>
        <v>1552375020544571</v>
      </c>
      <c r="C6559" t="s">
        <v>40</v>
      </c>
      <c r="D6559">
        <v>4.4940059999999997</v>
      </c>
      <c r="E6559">
        <v>0.51172980000000001</v>
      </c>
      <c r="F6559" t="s">
        <v>82</v>
      </c>
      <c r="G6559">
        <v>-186.27930000000001</v>
      </c>
      <c r="H6559">
        <v>2.3798499999999998</v>
      </c>
      <c r="I6559">
        <v>391.87</v>
      </c>
      <c r="J6559">
        <v>-187.0239</v>
      </c>
      <c r="K6559">
        <v>1.109947</v>
      </c>
      <c r="L6559">
        <v>2.6058349999999999</v>
      </c>
      <c r="M6559">
        <v>-2.920992E-2</v>
      </c>
      <c r="N6559">
        <v>0</v>
      </c>
      <c r="O6559">
        <v>0.99953449999999999</v>
      </c>
      <c r="P6559">
        <v>-3.0544749999999999E-2</v>
      </c>
      <c r="Q6559">
        <v>3.6936869999999997E-2</v>
      </c>
      <c r="R6559">
        <v>0.99885069999999998</v>
      </c>
      <c r="S6559">
        <v>5.6610109999999996E-3</v>
      </c>
      <c r="T6559">
        <v>9.7892280000000005E-3</v>
      </c>
      <c r="U6559">
        <v>3.0032960000000002</v>
      </c>
      <c r="V6559">
        <v>-1.44837E-3</v>
      </c>
      <c r="W6559">
        <v>4.5732580000000002E-2</v>
      </c>
      <c r="X6559">
        <v>0.99895270000000003</v>
      </c>
      <c r="Y6559">
        <v>3.1095129999999999E-2</v>
      </c>
      <c r="Z6559">
        <v>3.256601E-3</v>
      </c>
      <c r="AA6559">
        <v>0.99951109999999999</v>
      </c>
      <c r="AB6559">
        <v>35</v>
      </c>
      <c r="AC6559">
        <v>0.74459999999999105</v>
      </c>
      <c r="AD6559">
        <v>1.26990299999999</v>
      </c>
      <c r="AE6559">
        <v>389.26416499999999</v>
      </c>
      <c r="AF6559">
        <v>12.114969427725599</v>
      </c>
      <c r="AG6559">
        <v>1.26990299999999</v>
      </c>
      <c r="AH6559">
        <v>389.07216148460401</v>
      </c>
      <c r="AI6559">
        <v>89.813082035403994</v>
      </c>
      <c r="AJ6559">
        <v>88.216494327860403</v>
      </c>
      <c r="AK6559">
        <v>389.262805801127</v>
      </c>
      <c r="AL6559">
        <v>87.378802028640493</v>
      </c>
      <c r="AM6559">
        <v>90.083072431781105</v>
      </c>
      <c r="AN6559">
        <v>1.0000000317432001</v>
      </c>
    </row>
    <row r="6560" spans="1:40" x14ac:dyDescent="0.25">
      <c r="A6560" t="str">
        <f>"20190312151700574"</f>
        <v>20190312151700574</v>
      </c>
      <c r="B6560" t="str">
        <f>"1552375020564159"</f>
        <v>1552375020564159</v>
      </c>
      <c r="C6560" t="s">
        <v>40</v>
      </c>
      <c r="D6560">
        <v>4.5297280000000004</v>
      </c>
      <c r="E6560">
        <v>0.51134230000000003</v>
      </c>
      <c r="F6560" t="s">
        <v>82</v>
      </c>
      <c r="G6560">
        <v>-186.8262</v>
      </c>
      <c r="H6560">
        <v>1.1342350000000001</v>
      </c>
      <c r="I6560">
        <v>391.87</v>
      </c>
      <c r="J6560">
        <v>-187.0342</v>
      </c>
      <c r="K6560">
        <v>1.1099509999999999</v>
      </c>
      <c r="L6560">
        <v>2.9314879999999999</v>
      </c>
      <c r="M6560">
        <v>-3.0069869999999999E-2</v>
      </c>
      <c r="N6560">
        <v>0</v>
      </c>
      <c r="O6560">
        <v>0.99950890000000003</v>
      </c>
      <c r="P6560">
        <v>-3.1020099999999901E-2</v>
      </c>
      <c r="Q6560">
        <v>3.7041089999999999E-2</v>
      </c>
      <c r="R6560">
        <v>0.99883219999999995</v>
      </c>
      <c r="S6560">
        <v>1.525879E-3</v>
      </c>
      <c r="T6560">
        <v>1.8739700000000001E-4</v>
      </c>
      <c r="U6560">
        <v>3.003479</v>
      </c>
      <c r="V6560">
        <v>-1.063959E-3</v>
      </c>
      <c r="W6560">
        <v>4.5856910000000001E-2</v>
      </c>
      <c r="X6560">
        <v>0.99894740000000004</v>
      </c>
      <c r="Y6560">
        <v>3.0578850000000001E-2</v>
      </c>
      <c r="Z6560" s="1">
        <v>6.2336399999999995E-5</v>
      </c>
      <c r="AA6560">
        <v>0.99953230000000004</v>
      </c>
      <c r="AB6560">
        <v>35</v>
      </c>
      <c r="AC6560">
        <v>0.20799999999999799</v>
      </c>
      <c r="AD6560">
        <v>2.4283999999999899E-2</v>
      </c>
      <c r="AE6560">
        <v>388.938512</v>
      </c>
      <c r="AF6560">
        <v>11.90369113349</v>
      </c>
      <c r="AG6560">
        <v>2.4283999999999899E-2</v>
      </c>
      <c r="AH6560">
        <v>388.75636372765302</v>
      </c>
      <c r="AI6560">
        <v>89.996422646584406</v>
      </c>
      <c r="AJ6560">
        <v>88.246155450837193</v>
      </c>
      <c r="AK6560">
        <v>388.93856685993597</v>
      </c>
      <c r="AL6560">
        <v>87.371670743148002</v>
      </c>
      <c r="AM6560">
        <v>90.061024571688094</v>
      </c>
      <c r="AN6560">
        <v>0.99999994808512904</v>
      </c>
    </row>
    <row r="6561" spans="1:40" x14ac:dyDescent="0.25">
      <c r="A6561" t="str">
        <f>"20190312151700597"</f>
        <v>20190312151700597</v>
      </c>
      <c r="B6561" t="str">
        <f>"1552375020594415"</f>
        <v>1552375020594415</v>
      </c>
      <c r="C6561" t="s">
        <v>40</v>
      </c>
      <c r="D6561">
        <v>4.5226649999999999</v>
      </c>
      <c r="E6561">
        <v>0.51069799999999999</v>
      </c>
      <c r="F6561" t="s">
        <v>82</v>
      </c>
      <c r="G6561">
        <v>-187.43729999999999</v>
      </c>
      <c r="H6561">
        <v>0.1180344</v>
      </c>
      <c r="I6561">
        <v>391.87</v>
      </c>
      <c r="J6561">
        <v>-187.04580000000001</v>
      </c>
      <c r="K6561">
        <v>1.109952</v>
      </c>
      <c r="L6561">
        <v>3.2868040000000001</v>
      </c>
      <c r="M6561">
        <v>-3.100371E-2</v>
      </c>
      <c r="N6561">
        <v>0</v>
      </c>
      <c r="O6561">
        <v>0.99948009999999998</v>
      </c>
      <c r="P6561">
        <v>-3.1720230000000002E-2</v>
      </c>
      <c r="Q6561">
        <v>3.6823429999999997E-2</v>
      </c>
      <c r="R6561">
        <v>0.99881819999999999</v>
      </c>
      <c r="S6561">
        <v>-3.112793E-3</v>
      </c>
      <c r="T6561">
        <v>-7.6603890000000001E-3</v>
      </c>
      <c r="U6561">
        <v>3.0036930000000002</v>
      </c>
      <c r="V6561">
        <v>-8.3056190000000004E-4</v>
      </c>
      <c r="W6561">
        <v>4.5659699999999998E-2</v>
      </c>
      <c r="X6561">
        <v>0.99895670000000003</v>
      </c>
      <c r="Y6561">
        <v>2.996909E-2</v>
      </c>
      <c r="Z6561">
        <v>-2.5479029999999998E-3</v>
      </c>
      <c r="AA6561">
        <v>0.99954759999999998</v>
      </c>
      <c r="AB6561">
        <v>35</v>
      </c>
      <c r="AC6561">
        <v>-0.39149999999997898</v>
      </c>
      <c r="AD6561">
        <v>-0.99191759999999995</v>
      </c>
      <c r="AE6561">
        <v>388.58319599999999</v>
      </c>
      <c r="AF6561">
        <v>11.656604671841601</v>
      </c>
      <c r="AG6561">
        <v>-0.99191759999999995</v>
      </c>
      <c r="AH6561">
        <v>388.40598511291199</v>
      </c>
      <c r="AI6561">
        <v>90.146256736588995</v>
      </c>
      <c r="AJ6561">
        <v>88.280989813380501</v>
      </c>
      <c r="AK6561">
        <v>388.58212723249602</v>
      </c>
      <c r="AL6561">
        <v>87.382982010701795</v>
      </c>
      <c r="AM6561">
        <v>90.047637380608194</v>
      </c>
      <c r="AN6561">
        <v>0.99999999325602396</v>
      </c>
    </row>
    <row r="6562" spans="1:40" x14ac:dyDescent="0.25">
      <c r="A6562" t="str">
        <f>"20190312151700618"</f>
        <v>20190312151700618</v>
      </c>
      <c r="B6562" t="str">
        <f>"1552375020613936"</f>
        <v>1552375020613936</v>
      </c>
      <c r="C6562" t="s">
        <v>40</v>
      </c>
      <c r="D6562">
        <v>4.5403390000000003</v>
      </c>
      <c r="E6562">
        <v>0.51034219999999997</v>
      </c>
      <c r="F6562" t="s">
        <v>43</v>
      </c>
      <c r="G6562">
        <v>-187.6823</v>
      </c>
      <c r="H6562" s="1">
        <v>-4.1525789999999999E-6</v>
      </c>
      <c r="I6562">
        <v>188.35419999999999</v>
      </c>
      <c r="J6562">
        <v>-187.05709999999999</v>
      </c>
      <c r="K6562">
        <v>1.10995</v>
      </c>
      <c r="L6562">
        <v>3.624603</v>
      </c>
      <c r="M6562">
        <v>-3.1883969999999998E-2</v>
      </c>
      <c r="N6562">
        <v>0</v>
      </c>
      <c r="O6562">
        <v>0.99945229999999996</v>
      </c>
      <c r="P6562">
        <v>-3.2187420000000001E-2</v>
      </c>
      <c r="Q6562">
        <v>3.6968750000000002E-2</v>
      </c>
      <c r="R6562">
        <v>0.99879790000000002</v>
      </c>
      <c r="S6562">
        <v>-1.0330199999999999E-2</v>
      </c>
      <c r="T6562">
        <v>-1.8015980000000001E-2</v>
      </c>
      <c r="U6562">
        <v>3.003876</v>
      </c>
      <c r="V6562">
        <v>-4.175723E-4</v>
      </c>
      <c r="W6562">
        <v>4.5823089999999997E-2</v>
      </c>
      <c r="X6562">
        <v>0.99894950000000005</v>
      </c>
      <c r="Y6562">
        <v>2.844791E-2</v>
      </c>
      <c r="Z6562">
        <v>-5.9916659999999997E-3</v>
      </c>
      <c r="AA6562">
        <v>0.9995773</v>
      </c>
      <c r="AB6562">
        <v>35</v>
      </c>
      <c r="AC6562">
        <v>-0.62520000000000597</v>
      </c>
      <c r="AD6562">
        <v>-1.109954152579</v>
      </c>
      <c r="AE6562">
        <v>184.72959700000001</v>
      </c>
      <c r="AF6562">
        <v>5.2650719693397097</v>
      </c>
      <c r="AG6562">
        <v>-1.109954152579</v>
      </c>
      <c r="AH6562">
        <v>184.64893727548201</v>
      </c>
      <c r="AI6562">
        <v>90.344269980348201</v>
      </c>
      <c r="AJ6562">
        <v>88.366713121737305</v>
      </c>
      <c r="AK6562">
        <v>184.72732071360801</v>
      </c>
      <c r="AL6562">
        <v>87.373610706080896</v>
      </c>
      <c r="AM6562">
        <v>90.023950288816394</v>
      </c>
      <c r="AN6562">
        <v>1.00000001674701</v>
      </c>
    </row>
    <row r="6563" spans="1:40" x14ac:dyDescent="0.25">
      <c r="A6563" t="str">
        <f>"20190312151700642"</f>
        <v>20190312151700642</v>
      </c>
      <c r="B6563" t="str">
        <f>"1552375020634431"</f>
        <v>1552375020634431</v>
      </c>
      <c r="C6563" t="s">
        <v>40</v>
      </c>
      <c r="D6563">
        <v>4.5491809999999999</v>
      </c>
      <c r="E6563">
        <v>0.51006700000000005</v>
      </c>
      <c r="F6563" t="s">
        <v>58</v>
      </c>
      <c r="G6563">
        <v>-187.7525</v>
      </c>
      <c r="H6563" s="1">
        <v>-9.8694469999999993E-6</v>
      </c>
      <c r="I6563">
        <v>145.77959999999999</v>
      </c>
      <c r="J6563">
        <v>-187.06979999999999</v>
      </c>
      <c r="K6563">
        <v>1.1099509999999999</v>
      </c>
      <c r="L6563">
        <v>3.9943240000000002</v>
      </c>
      <c r="M6563">
        <v>-3.2832069999999998E-2</v>
      </c>
      <c r="N6563">
        <v>0</v>
      </c>
      <c r="O6563">
        <v>0.99942140000000002</v>
      </c>
      <c r="P6563">
        <v>-3.2608350000000001E-2</v>
      </c>
      <c r="Q6563">
        <v>3.7028720000000001E-2</v>
      </c>
      <c r="R6563">
        <v>0.99878199999999995</v>
      </c>
      <c r="S6563">
        <v>-1.4694209999999999E-2</v>
      </c>
      <c r="T6563">
        <v>-2.3455500000000001E-2</v>
      </c>
      <c r="U6563">
        <v>3.0039980000000002</v>
      </c>
      <c r="V6563">
        <v>1.095267E-4</v>
      </c>
      <c r="W6563">
        <v>4.5902159999999997E-2</v>
      </c>
      <c r="X6563">
        <v>0.998946</v>
      </c>
      <c r="Y6563">
        <v>2.794427E-2</v>
      </c>
      <c r="Z6563">
        <v>-7.799973E-3</v>
      </c>
      <c r="AA6563">
        <v>0.99957910000000005</v>
      </c>
      <c r="AB6563">
        <v>35</v>
      </c>
      <c r="AC6563">
        <v>-0.68270000000001096</v>
      </c>
      <c r="AD6563">
        <v>-1.109960869447</v>
      </c>
      <c r="AE6563">
        <v>141.78527599999899</v>
      </c>
      <c r="AF6563">
        <v>3.9727124321425</v>
      </c>
      <c r="AG6563">
        <v>-1.109960869447</v>
      </c>
      <c r="AH6563">
        <v>141.72256110387499</v>
      </c>
      <c r="AI6563">
        <v>90.448551047507806</v>
      </c>
      <c r="AJ6563">
        <v>88.394327177777299</v>
      </c>
      <c r="AK6563">
        <v>141.78257573849399</v>
      </c>
      <c r="AL6563">
        <v>87.369075685412199</v>
      </c>
      <c r="AM6563">
        <v>89.993717961102107</v>
      </c>
      <c r="AN6563">
        <v>1.00000006560237</v>
      </c>
    </row>
    <row r="6564" spans="1:40" x14ac:dyDescent="0.25">
      <c r="A6564" t="str">
        <f>"20190312151700664"</f>
        <v>20190312151700664</v>
      </c>
      <c r="B6564" t="str">
        <f>"1552375020653952"</f>
        <v>1552375020653952</v>
      </c>
      <c r="C6564" t="s">
        <v>40</v>
      </c>
      <c r="D6564">
        <v>4.7827549999999999</v>
      </c>
      <c r="E6564">
        <v>0.50981350000000003</v>
      </c>
      <c r="F6564" t="s">
        <v>58</v>
      </c>
      <c r="G6564">
        <v>-187.78739999999999</v>
      </c>
      <c r="H6564" s="1">
        <v>-1.453747E-6</v>
      </c>
      <c r="I6564">
        <v>121.7169</v>
      </c>
      <c r="J6564">
        <v>-187.0822</v>
      </c>
      <c r="K6564">
        <v>1.109942</v>
      </c>
      <c r="L6564">
        <v>4.3450930000000003</v>
      </c>
      <c r="M6564">
        <v>-3.3709280000000001E-2</v>
      </c>
      <c r="N6564">
        <v>0</v>
      </c>
      <c r="O6564">
        <v>0.99939210000000001</v>
      </c>
      <c r="P6564">
        <v>-3.281398E-2</v>
      </c>
      <c r="Q6564">
        <v>3.7246719999999997E-2</v>
      </c>
      <c r="R6564">
        <v>0.99876719999999997</v>
      </c>
      <c r="S6564">
        <v>-1.8310549999999998E-2</v>
      </c>
      <c r="T6564">
        <v>-2.8324479999999999E-2</v>
      </c>
      <c r="U6564">
        <v>3.0041199999999999</v>
      </c>
      <c r="V6564">
        <v>7.8152039999999999E-4</v>
      </c>
      <c r="W6564">
        <v>4.6137459999999998E-2</v>
      </c>
      <c r="X6564">
        <v>0.99893480000000001</v>
      </c>
      <c r="Y6564">
        <v>2.7618690000000001E-2</v>
      </c>
      <c r="Z6564">
        <v>-9.4182050000000007E-3</v>
      </c>
      <c r="AA6564">
        <v>0.99957419999999997</v>
      </c>
      <c r="AB6564">
        <v>35</v>
      </c>
      <c r="AC6564">
        <v>-0.70519999999998995</v>
      </c>
      <c r="AD6564">
        <v>-1.1099434537470001</v>
      </c>
      <c r="AE6564">
        <v>117.371807</v>
      </c>
      <c r="AF6564">
        <v>3.25158566311852</v>
      </c>
      <c r="AG6564">
        <v>-1.1099434537470001</v>
      </c>
      <c r="AH6564">
        <v>117.31837860151199</v>
      </c>
      <c r="AI6564">
        <v>90.541848336811498</v>
      </c>
      <c r="AJ6564">
        <v>88.412401744649102</v>
      </c>
      <c r="AK6564">
        <v>117.368678707238</v>
      </c>
      <c r="AL6564">
        <v>87.3555795311851</v>
      </c>
      <c r="AM6564">
        <v>89.955174440426404</v>
      </c>
      <c r="AN6564">
        <v>1.0000000053202101</v>
      </c>
    </row>
    <row r="6565" spans="1:40" x14ac:dyDescent="0.25">
      <c r="A6565" t="str">
        <f>"20190312151700687"</f>
        <v>20190312151700687</v>
      </c>
      <c r="B6565" t="str">
        <f>"1552375020684209"</f>
        <v>1552375020684209</v>
      </c>
      <c r="C6565" t="s">
        <v>40</v>
      </c>
      <c r="D6565">
        <v>4.5295990000000002</v>
      </c>
      <c r="E6565">
        <v>0.50906899999999999</v>
      </c>
      <c r="F6565" t="s">
        <v>58</v>
      </c>
      <c r="G6565">
        <v>-187.95509999999999</v>
      </c>
      <c r="H6565" s="1">
        <v>-4.9255100000000004E-6</v>
      </c>
      <c r="I6565">
        <v>129.51609999999999</v>
      </c>
      <c r="J6565">
        <v>-187.09479999999999</v>
      </c>
      <c r="K6565">
        <v>1.1099190000000001</v>
      </c>
      <c r="L6565">
        <v>4.6961979999999999</v>
      </c>
      <c r="M6565">
        <v>-3.4556950000000003E-2</v>
      </c>
      <c r="N6565">
        <v>0</v>
      </c>
      <c r="O6565">
        <v>0.999363</v>
      </c>
      <c r="P6565">
        <v>-3.3144840000000002E-2</v>
      </c>
      <c r="Q6565">
        <v>3.7226660000000002E-2</v>
      </c>
      <c r="R6565">
        <v>0.99875700000000001</v>
      </c>
      <c r="S6565">
        <v>-2.0950320000000001E-2</v>
      </c>
      <c r="T6565">
        <v>-2.6637790000000001E-2</v>
      </c>
      <c r="U6565">
        <v>3.0039980000000002</v>
      </c>
      <c r="V6565">
        <v>1.3002510000000001E-3</v>
      </c>
      <c r="W6565">
        <v>4.6133180000000003E-2</v>
      </c>
      <c r="X6565">
        <v>0.9989344</v>
      </c>
      <c r="Y6565">
        <v>2.7587939999999998E-2</v>
      </c>
      <c r="Z6565">
        <v>-8.8573590000000004E-3</v>
      </c>
      <c r="AA6565">
        <v>0.99958009999999997</v>
      </c>
      <c r="AB6565">
        <v>35</v>
      </c>
      <c r="AC6565">
        <v>-0.86029999999999496</v>
      </c>
      <c r="AD6565">
        <v>-1.10992392551</v>
      </c>
      <c r="AE6565">
        <v>124.819902</v>
      </c>
      <c r="AF6565">
        <v>3.4535072008171501</v>
      </c>
      <c r="AG6565">
        <v>-1.10992392551</v>
      </c>
      <c r="AH6565">
        <v>124.765210573056</v>
      </c>
      <c r="AI6565">
        <v>90.509500462692202</v>
      </c>
      <c r="AJ6565">
        <v>88.414454846321604</v>
      </c>
      <c r="AK6565">
        <v>124.817933056294</v>
      </c>
      <c r="AL6565">
        <v>87.355824867442095</v>
      </c>
      <c r="AM6565">
        <v>89.925421676804604</v>
      </c>
      <c r="AN6565">
        <v>0.99999994822646598</v>
      </c>
    </row>
    <row r="6566" spans="1:40" x14ac:dyDescent="0.25">
      <c r="A6566" t="str">
        <f>"20190312151700708"</f>
        <v>20190312151700708</v>
      </c>
      <c r="B6566" t="str">
        <f>"1552375020704704"</f>
        <v>1552375020704704</v>
      </c>
      <c r="C6566" t="s">
        <v>40</v>
      </c>
      <c r="D6566">
        <v>4.7355049999999999</v>
      </c>
      <c r="E6566">
        <v>0.50849129999999998</v>
      </c>
      <c r="F6566" t="s">
        <v>43</v>
      </c>
      <c r="G6566">
        <v>-187.9897</v>
      </c>
      <c r="H6566" s="1">
        <v>-9.3249669999999996E-7</v>
      </c>
      <c r="I6566">
        <v>100.8165</v>
      </c>
      <c r="J6566">
        <v>-187.10679999999999</v>
      </c>
      <c r="K6566">
        <v>1.109901</v>
      </c>
      <c r="L6566">
        <v>5.0232849999999996</v>
      </c>
      <c r="M6566">
        <v>-3.5311389999999998E-2</v>
      </c>
      <c r="N6566">
        <v>0</v>
      </c>
      <c r="O6566">
        <v>0.99933649999999996</v>
      </c>
      <c r="P6566">
        <v>-3.2819220000000003E-2</v>
      </c>
      <c r="Q6566">
        <v>3.7290660000000003E-2</v>
      </c>
      <c r="R6566">
        <v>0.99876540000000003</v>
      </c>
      <c r="S6566">
        <v>-2.7969359999999999E-2</v>
      </c>
      <c r="T6566">
        <v>-3.4688829999999997E-2</v>
      </c>
      <c r="U6566">
        <v>3.004089</v>
      </c>
      <c r="V6566">
        <v>2.382955E-3</v>
      </c>
      <c r="W6566">
        <v>4.6211769999999999E-2</v>
      </c>
      <c r="X6566">
        <v>0.99892879999999995</v>
      </c>
      <c r="Y6566">
        <v>2.6007659999999998E-2</v>
      </c>
      <c r="Z6566">
        <v>-1.1533430000000001E-2</v>
      </c>
      <c r="AA6566">
        <v>0.99959520000000002</v>
      </c>
      <c r="AB6566">
        <v>35</v>
      </c>
      <c r="AC6566">
        <v>-0.88290000000000601</v>
      </c>
      <c r="AD6566">
        <v>-1.1099019324966899</v>
      </c>
      <c r="AE6566">
        <v>95.793215000000004</v>
      </c>
      <c r="AF6566">
        <v>2.5000413864659898</v>
      </c>
      <c r="AG6566">
        <v>-1.1099019324966899</v>
      </c>
      <c r="AH6566">
        <v>95.751794118468993</v>
      </c>
      <c r="AI6566">
        <v>90.663885070069895</v>
      </c>
      <c r="AJ6566">
        <v>88.504369711108296</v>
      </c>
      <c r="AK6566">
        <v>95.790856380656095</v>
      </c>
      <c r="AL6566">
        <v>87.351317260149301</v>
      </c>
      <c r="AM6566">
        <v>89.863320583726903</v>
      </c>
      <c r="AN6566">
        <v>0.99999997681525199</v>
      </c>
    </row>
    <row r="6567" spans="1:40" x14ac:dyDescent="0.25">
      <c r="A6567" t="str">
        <f>"20190312151700733"</f>
        <v>20190312151700733</v>
      </c>
      <c r="B6567" t="str">
        <f>"1552375020724224"</f>
        <v>1552375020724224</v>
      </c>
      <c r="C6567" t="s">
        <v>40</v>
      </c>
      <c r="D6567">
        <v>4.6482950000000001</v>
      </c>
      <c r="E6567">
        <v>0.50819619999999999</v>
      </c>
      <c r="F6567" t="s">
        <v>43</v>
      </c>
      <c r="G6567">
        <v>-188.0325</v>
      </c>
      <c r="H6567" s="1">
        <v>-1.968322E-6</v>
      </c>
      <c r="I6567">
        <v>93.407430000000005</v>
      </c>
      <c r="J6567">
        <v>-187.12180000000001</v>
      </c>
      <c r="K6567">
        <v>1.109866</v>
      </c>
      <c r="L6567">
        <v>5.4248960000000004</v>
      </c>
      <c r="M6567">
        <v>-3.6185990000000001E-2</v>
      </c>
      <c r="N6567">
        <v>0</v>
      </c>
      <c r="O6567">
        <v>0.99930509999999995</v>
      </c>
      <c r="P6567">
        <v>-3.2652019999999997E-2</v>
      </c>
      <c r="Q6567">
        <v>3.7848239999999998E-2</v>
      </c>
      <c r="R6567">
        <v>0.99874989999999997</v>
      </c>
      <c r="S6567">
        <v>-3.1463619999999998E-2</v>
      </c>
      <c r="T6567">
        <v>-3.7724489999999999E-2</v>
      </c>
      <c r="U6567">
        <v>3.004089</v>
      </c>
      <c r="V6567">
        <v>3.427219E-3</v>
      </c>
      <c r="W6567">
        <v>4.6785739999999999E-2</v>
      </c>
      <c r="X6567">
        <v>0.99889899999999998</v>
      </c>
      <c r="Y6567">
        <v>2.5720110000000001E-2</v>
      </c>
      <c r="Z6567">
        <v>-1.254197E-2</v>
      </c>
      <c r="AA6567">
        <v>0.99959050000000005</v>
      </c>
      <c r="AB6567">
        <v>35</v>
      </c>
      <c r="AC6567">
        <v>-0.91069999999999096</v>
      </c>
      <c r="AD6567">
        <v>-1.1098679683220001</v>
      </c>
      <c r="AE6567">
        <v>87.982534000000001</v>
      </c>
      <c r="AF6567">
        <v>2.2733970444982998</v>
      </c>
      <c r="AG6567">
        <v>-1.1098679683220001</v>
      </c>
      <c r="AH6567">
        <v>87.943870187048205</v>
      </c>
      <c r="AI6567">
        <v>90.722803548635497</v>
      </c>
      <c r="AJ6567">
        <v>88.519202616503904</v>
      </c>
      <c r="AK6567">
        <v>87.980250309404298</v>
      </c>
      <c r="AL6567">
        <v>87.318395469632307</v>
      </c>
      <c r="AM6567">
        <v>89.803419150832298</v>
      </c>
      <c r="AN6567">
        <v>0.99999993174920798</v>
      </c>
    </row>
    <row r="6568" spans="1:40" x14ac:dyDescent="0.25">
      <c r="A6568" t="str">
        <f>"20190312151700754"</f>
        <v>20190312151700754</v>
      </c>
      <c r="B6568" t="str">
        <f>"1552375020744720"</f>
        <v>1552375020744720</v>
      </c>
      <c r="C6568" t="s">
        <v>40</v>
      </c>
      <c r="D6568">
        <v>4.6607329999999996</v>
      </c>
      <c r="E6568">
        <v>0.50791249999999999</v>
      </c>
      <c r="F6568" t="s">
        <v>43</v>
      </c>
      <c r="G6568">
        <v>-188.0684</v>
      </c>
      <c r="H6568" s="1">
        <v>-8.2492099999999998E-7</v>
      </c>
      <c r="I6568">
        <v>90.561840000000004</v>
      </c>
      <c r="J6568">
        <v>-187.13409999999999</v>
      </c>
      <c r="K6568">
        <v>1.109839</v>
      </c>
      <c r="L6568">
        <v>5.7485049999999998</v>
      </c>
      <c r="M6568">
        <v>-3.6840230000000002E-2</v>
      </c>
      <c r="N6568">
        <v>0</v>
      </c>
      <c r="O6568">
        <v>0.99928110000000003</v>
      </c>
      <c r="P6568">
        <v>-3.2256859999999998E-2</v>
      </c>
      <c r="Q6568">
        <v>3.8139520000000003E-2</v>
      </c>
      <c r="R6568">
        <v>0.99875159999999996</v>
      </c>
      <c r="S6568">
        <v>-3.3401489999999999E-2</v>
      </c>
      <c r="T6568">
        <v>-3.9162870000000002E-2</v>
      </c>
      <c r="U6568">
        <v>3.0041500000000001</v>
      </c>
      <c r="V6568">
        <v>4.4797959999999899E-3</v>
      </c>
      <c r="W6568">
        <v>4.708963E-2</v>
      </c>
      <c r="X6568">
        <v>0.99888060000000001</v>
      </c>
      <c r="Y6568">
        <v>2.5730159999999998E-2</v>
      </c>
      <c r="Z6568">
        <v>-1.3019319999999999E-2</v>
      </c>
      <c r="AA6568">
        <v>0.99958409999999998</v>
      </c>
      <c r="AB6568">
        <v>35</v>
      </c>
      <c r="AC6568">
        <v>-0.93430000000000701</v>
      </c>
      <c r="AD6568">
        <v>-1.109839824921</v>
      </c>
      <c r="AE6568">
        <v>84.813334999999995</v>
      </c>
      <c r="AF6568">
        <v>2.1906271005819402</v>
      </c>
      <c r="AG6568">
        <v>-1.109839824921</v>
      </c>
      <c r="AH6568">
        <v>84.775662821804303</v>
      </c>
      <c r="AI6568">
        <v>90.749794077200804</v>
      </c>
      <c r="AJ6568">
        <v>88.5197902516895</v>
      </c>
      <c r="AK6568">
        <v>84.811223304507493</v>
      </c>
      <c r="AL6568">
        <v>87.300964765433704</v>
      </c>
      <c r="AM6568">
        <v>89.743040676706599</v>
      </c>
      <c r="AN6568">
        <v>0.99999997744104896</v>
      </c>
    </row>
    <row r="6569" spans="1:40" x14ac:dyDescent="0.25">
      <c r="A6569" t="str">
        <f>"20190312151700776"</f>
        <v>20190312151700776</v>
      </c>
      <c r="B6569" t="str">
        <f>"1552375020764747"</f>
        <v>1552375020764747</v>
      </c>
      <c r="C6569" t="s">
        <v>40</v>
      </c>
      <c r="D6569">
        <v>4.6233420000000001</v>
      </c>
      <c r="E6569">
        <v>0.50775859999999995</v>
      </c>
      <c r="F6569" t="s">
        <v>43</v>
      </c>
      <c r="G6569">
        <v>-188.06950000000001</v>
      </c>
      <c r="H6569" s="1">
        <v>-3.5146370000000002E-6</v>
      </c>
      <c r="I6569">
        <v>87.027249999999995</v>
      </c>
      <c r="J6569">
        <v>-187.14769999999999</v>
      </c>
      <c r="K6569">
        <v>1.1098030000000001</v>
      </c>
      <c r="L6569">
        <v>6.1013489999999999</v>
      </c>
      <c r="M6569">
        <v>-3.7511349999999999E-2</v>
      </c>
      <c r="N6569">
        <v>0</v>
      </c>
      <c r="O6569">
        <v>0.99925600000000003</v>
      </c>
      <c r="P6569">
        <v>-3.146231E-2</v>
      </c>
      <c r="Q6569">
        <v>3.8240320000000001E-2</v>
      </c>
      <c r="R6569">
        <v>0.99877320000000003</v>
      </c>
      <c r="S6569">
        <v>-3.4576419999999997E-2</v>
      </c>
      <c r="T6569">
        <v>-4.1021820000000001E-2</v>
      </c>
      <c r="U6569">
        <v>3.0042110000000002</v>
      </c>
      <c r="V6569">
        <v>5.9496369999999998E-3</v>
      </c>
      <c r="W6569">
        <v>4.720394E-2</v>
      </c>
      <c r="X6569">
        <v>0.99886759999999997</v>
      </c>
      <c r="Y6569">
        <v>2.6010990000000001E-2</v>
      </c>
      <c r="Z6569">
        <v>-1.363633E-2</v>
      </c>
      <c r="AA6569">
        <v>0.99956860000000003</v>
      </c>
      <c r="AB6569">
        <v>35</v>
      </c>
      <c r="AC6569">
        <v>-0.92180000000001805</v>
      </c>
      <c r="AD6569">
        <v>-1.109806514637</v>
      </c>
      <c r="AE6569">
        <v>80.925900999999996</v>
      </c>
      <c r="AF6569">
        <v>2.1142129982762201</v>
      </c>
      <c r="AG6569">
        <v>-1.109806514637</v>
      </c>
      <c r="AH6569">
        <v>80.888309569159802</v>
      </c>
      <c r="AI6569">
        <v>90.785793831890501</v>
      </c>
      <c r="AJ6569">
        <v>88.502776129905399</v>
      </c>
      <c r="AK6569">
        <v>80.923545350276399</v>
      </c>
      <c r="AL6569">
        <v>87.294408179667599</v>
      </c>
      <c r="AM6569">
        <v>89.658728485726201</v>
      </c>
      <c r="AN6569">
        <v>1.00000004623085</v>
      </c>
    </row>
    <row r="6570" spans="1:40" x14ac:dyDescent="0.25">
      <c r="A6570" t="str">
        <f>"20190312151700797"</f>
        <v>20190312151700797</v>
      </c>
      <c r="B6570" t="str">
        <f>"1552375020794026"</f>
        <v>1552375020794026</v>
      </c>
      <c r="C6570" t="s">
        <v>40</v>
      </c>
      <c r="D6570">
        <v>4.8492280000000001</v>
      </c>
      <c r="E6570">
        <v>0.50747529999999996</v>
      </c>
      <c r="F6570" t="s">
        <v>43</v>
      </c>
      <c r="G6570">
        <v>-188.0085</v>
      </c>
      <c r="H6570" s="1">
        <v>-1.7811490000000001E-6</v>
      </c>
      <c r="I6570">
        <v>82.961209999999994</v>
      </c>
      <c r="J6570">
        <v>-187.16079999999999</v>
      </c>
      <c r="K6570">
        <v>1.1097729999999999</v>
      </c>
      <c r="L6570">
        <v>6.4348450000000001</v>
      </c>
      <c r="M6570">
        <v>-3.8109509999999999E-2</v>
      </c>
      <c r="N6570">
        <v>0</v>
      </c>
      <c r="O6570">
        <v>0.99923329999999999</v>
      </c>
      <c r="P6570">
        <v>-3.0460930000000001E-2</v>
      </c>
      <c r="Q6570">
        <v>3.8574829999999997E-2</v>
      </c>
      <c r="R6570">
        <v>0.99879130000000005</v>
      </c>
      <c r="S6570">
        <v>-3.3645630000000003E-2</v>
      </c>
      <c r="T6570">
        <v>-4.337966E-2</v>
      </c>
      <c r="U6570">
        <v>3.0042719999999998</v>
      </c>
      <c r="V6570">
        <v>7.5521410000000001E-3</v>
      </c>
      <c r="W6570">
        <v>4.7551169999999997E-2</v>
      </c>
      <c r="X6570">
        <v>0.99884030000000001</v>
      </c>
      <c r="Y6570">
        <v>2.69194E-2</v>
      </c>
      <c r="Z6570">
        <v>-1.4419019999999999E-2</v>
      </c>
      <c r="AA6570">
        <v>0.99953360000000002</v>
      </c>
      <c r="AB6570">
        <v>35</v>
      </c>
      <c r="AC6570">
        <v>-0.84770000000000301</v>
      </c>
      <c r="AD6570">
        <v>-1.109774781149</v>
      </c>
      <c r="AE6570">
        <v>76.526364999999998</v>
      </c>
      <c r="AF6570">
        <v>2.0689804146311501</v>
      </c>
      <c r="AG6570">
        <v>-1.109774781149</v>
      </c>
      <c r="AH6570">
        <v>76.486992567596104</v>
      </c>
      <c r="AI6570">
        <v>90.830960955220206</v>
      </c>
      <c r="AJ6570">
        <v>88.450521569533507</v>
      </c>
      <c r="AK6570">
        <v>76.523018184442407</v>
      </c>
      <c r="AL6570">
        <v>87.2744910024593</v>
      </c>
      <c r="AM6570">
        <v>89.566800057704498</v>
      </c>
      <c r="AN6570">
        <v>1.0000000467530701</v>
      </c>
    </row>
    <row r="6571" spans="1:40" x14ac:dyDescent="0.25">
      <c r="A6571" t="str">
        <f>"20190312151700821"</f>
        <v>20190312151700821</v>
      </c>
      <c r="B6571" t="str">
        <f>"1552375020814523"</f>
        <v>1552375020814523</v>
      </c>
      <c r="C6571" t="s">
        <v>40</v>
      </c>
      <c r="D6571">
        <v>4.6284749999999999</v>
      </c>
      <c r="E6571">
        <v>0.50734109999999999</v>
      </c>
      <c r="F6571" t="s">
        <v>43</v>
      </c>
      <c r="G6571">
        <v>-187.9699</v>
      </c>
      <c r="H6571" s="1">
        <v>-8.0691750000000001E-7</v>
      </c>
      <c r="I6571">
        <v>80.431969999999893</v>
      </c>
      <c r="J6571">
        <v>-187.17580000000001</v>
      </c>
      <c r="K6571">
        <v>1.1097379999999999</v>
      </c>
      <c r="L6571">
        <v>6.8122559999999996</v>
      </c>
      <c r="M6571">
        <v>-3.8749640000000002E-2</v>
      </c>
      <c r="N6571">
        <v>0</v>
      </c>
      <c r="O6571">
        <v>0.9992086</v>
      </c>
      <c r="P6571">
        <v>-2.982127E-2</v>
      </c>
      <c r="Q6571">
        <v>3.9106990000000001E-2</v>
      </c>
      <c r="R6571">
        <v>0.99878990000000001</v>
      </c>
      <c r="S6571">
        <v>-3.285217E-2</v>
      </c>
      <c r="T6571">
        <v>-4.5058010000000003E-2</v>
      </c>
      <c r="U6571">
        <v>3.0043639999999998</v>
      </c>
      <c r="V6571">
        <v>8.8339860000000003E-3</v>
      </c>
      <c r="W6571">
        <v>4.8097479999999998E-2</v>
      </c>
      <c r="X6571">
        <v>0.99880360000000001</v>
      </c>
      <c r="Y6571">
        <v>2.7824160000000001E-2</v>
      </c>
      <c r="Z6571">
        <v>-1.497559E-2</v>
      </c>
      <c r="AA6571">
        <v>0.99950059999999996</v>
      </c>
      <c r="AB6571">
        <v>35</v>
      </c>
      <c r="AC6571">
        <v>-0.79409999999998604</v>
      </c>
      <c r="AD6571">
        <v>-1.1097388069174901</v>
      </c>
      <c r="AE6571">
        <v>73.619713999999902</v>
      </c>
      <c r="AF6571">
        <v>2.0588811270188501</v>
      </c>
      <c r="AG6571">
        <v>-1.1097388069174901</v>
      </c>
      <c r="AH6571">
        <v>73.578473016614495</v>
      </c>
      <c r="AI6571">
        <v>90.863753407745804</v>
      </c>
      <c r="AJ6571">
        <v>88.397161291129706</v>
      </c>
      <c r="AK6571">
        <v>73.615638305807295</v>
      </c>
      <c r="AL6571">
        <v>87.243153812916006</v>
      </c>
      <c r="AM6571">
        <v>89.493256815853897</v>
      </c>
      <c r="AN6571">
        <v>1.00000001913197</v>
      </c>
    </row>
    <row r="6572" spans="1:40" x14ac:dyDescent="0.25">
      <c r="A6572" t="str">
        <f>"20190312151700843"</f>
        <v>20190312151700843</v>
      </c>
      <c r="B6572" t="str">
        <f>"1552375020834042"</f>
        <v>1552375020834042</v>
      </c>
      <c r="C6572" t="s">
        <v>40</v>
      </c>
      <c r="D6572">
        <v>4.6210649999999998</v>
      </c>
      <c r="E6572">
        <v>0.50720750000000003</v>
      </c>
      <c r="F6572" t="s">
        <v>43</v>
      </c>
      <c r="G6572">
        <v>-187.97110000000001</v>
      </c>
      <c r="H6572" s="1">
        <v>-1.1203249999999999E-6</v>
      </c>
      <c r="I6572">
        <v>81.353890000000007</v>
      </c>
      <c r="J6572">
        <v>-187.19049999999999</v>
      </c>
      <c r="K6572">
        <v>1.1097189999999999</v>
      </c>
      <c r="L6572">
        <v>7.1789860000000001</v>
      </c>
      <c r="M6572">
        <v>-3.9346199999999998E-2</v>
      </c>
      <c r="N6572">
        <v>0</v>
      </c>
      <c r="O6572">
        <v>0.99918510000000005</v>
      </c>
      <c r="P6572">
        <v>-2.9912899999999999E-2</v>
      </c>
      <c r="Q6572">
        <v>3.8862170000000001E-2</v>
      </c>
      <c r="R6572">
        <v>0.99879680000000004</v>
      </c>
      <c r="S6572">
        <v>-3.2058719999999999E-2</v>
      </c>
      <c r="T6572">
        <v>-4.4728400000000001E-2</v>
      </c>
      <c r="U6572">
        <v>3.0044249999999999</v>
      </c>
      <c r="V6572">
        <v>9.3421990000000007E-3</v>
      </c>
      <c r="W6572">
        <v>4.7870280000000001E-2</v>
      </c>
      <c r="X6572">
        <v>0.99880990000000003</v>
      </c>
      <c r="Y6572">
        <v>2.868511E-2</v>
      </c>
      <c r="Z6572">
        <v>-1.4865079999999999E-2</v>
      </c>
      <c r="AA6572">
        <v>0.99947799999999998</v>
      </c>
      <c r="AB6572">
        <v>36</v>
      </c>
      <c r="AC6572">
        <v>-0.78060000000002105</v>
      </c>
      <c r="AD6572">
        <v>-1.109720120325</v>
      </c>
      <c r="AE6572">
        <v>74.174903999999998</v>
      </c>
      <c r="AF6572">
        <v>2.1381448260000302</v>
      </c>
      <c r="AG6572">
        <v>-1.109720120325</v>
      </c>
      <c r="AH6572">
        <v>74.131585208725895</v>
      </c>
      <c r="AI6572">
        <v>90.857274345392696</v>
      </c>
      <c r="AJ6572">
        <v>88.347900961666994</v>
      </c>
      <c r="AK6572">
        <v>74.170715701016306</v>
      </c>
      <c r="AL6572">
        <v>87.256186451283497</v>
      </c>
      <c r="AM6572">
        <v>89.464109270838705</v>
      </c>
      <c r="AN6572">
        <v>1.00000002836372</v>
      </c>
    </row>
    <row r="6573" spans="1:40" x14ac:dyDescent="0.25">
      <c r="A6573" t="str">
        <f>"20190312151700864"</f>
        <v>20190312151700864</v>
      </c>
      <c r="B6573" t="str">
        <f>"1552375020854539"</f>
        <v>1552375020854539</v>
      </c>
      <c r="C6573" t="s">
        <v>40</v>
      </c>
      <c r="D6573">
        <v>4.6418999999999997</v>
      </c>
      <c r="E6573">
        <v>0.50711459999999997</v>
      </c>
      <c r="F6573" t="s">
        <v>43</v>
      </c>
      <c r="G6573">
        <v>-187.98779999999999</v>
      </c>
      <c r="H6573" s="1">
        <v>-4.32895999999999E-6</v>
      </c>
      <c r="I6573">
        <v>78.891660000000002</v>
      </c>
      <c r="J6573">
        <v>-187.2039</v>
      </c>
      <c r="K6573">
        <v>1.1097079999999999</v>
      </c>
      <c r="L6573">
        <v>7.5054020000000001</v>
      </c>
      <c r="M6573">
        <v>-3.9863389999999999E-2</v>
      </c>
      <c r="N6573">
        <v>0</v>
      </c>
      <c r="O6573">
        <v>0.99916439999999995</v>
      </c>
      <c r="P6573">
        <v>-2.941914E-2</v>
      </c>
      <c r="Q6573">
        <v>3.9322820000000001E-2</v>
      </c>
      <c r="R6573">
        <v>0.99879340000000005</v>
      </c>
      <c r="S6573">
        <v>-3.3401489999999999E-2</v>
      </c>
      <c r="T6573">
        <v>-4.6492220000000001E-2</v>
      </c>
      <c r="U6573">
        <v>3.0044249999999999</v>
      </c>
      <c r="V6573">
        <v>1.035373E-2</v>
      </c>
      <c r="W6573">
        <v>4.8348469999999998E-2</v>
      </c>
      <c r="X6573">
        <v>0.99877689999999997</v>
      </c>
      <c r="Y6573">
        <v>2.8755969999999999E-2</v>
      </c>
      <c r="Z6573">
        <v>-1.54506E-2</v>
      </c>
      <c r="AA6573">
        <v>0.99946699999999999</v>
      </c>
      <c r="AB6573">
        <v>36</v>
      </c>
      <c r="AC6573">
        <v>-0.78389999999998805</v>
      </c>
      <c r="AD6573">
        <v>-1.1097123289599999</v>
      </c>
      <c r="AE6573">
        <v>71.386257999999998</v>
      </c>
      <c r="AF6573">
        <v>2.0620389922549398</v>
      </c>
      <c r="AG6573">
        <v>-1.1097123289599999</v>
      </c>
      <c r="AH6573">
        <v>71.343523147539997</v>
      </c>
      <c r="AI6573">
        <v>90.890763010672799</v>
      </c>
      <c r="AJ6573">
        <v>88.344443283679496</v>
      </c>
      <c r="AK6573">
        <v>71.381942824233903</v>
      </c>
      <c r="AL6573">
        <v>87.228756439789606</v>
      </c>
      <c r="AM6573">
        <v>89.406069781164106</v>
      </c>
      <c r="AN6573">
        <v>1.0000000351249301</v>
      </c>
    </row>
    <row r="6574" spans="1:40" x14ac:dyDescent="0.25">
      <c r="A6574" t="str">
        <f>"20190312151700887"</f>
        <v>20190312151700887</v>
      </c>
      <c r="B6574" t="str">
        <f>"1552375020884311"</f>
        <v>1552375020884311</v>
      </c>
      <c r="C6574" t="s">
        <v>40</v>
      </c>
      <c r="D6574">
        <v>4.6223450000000001</v>
      </c>
      <c r="E6574">
        <v>0.50687919999999997</v>
      </c>
      <c r="F6574" t="s">
        <v>43</v>
      </c>
      <c r="G6574">
        <v>-187.99420000000001</v>
      </c>
      <c r="H6574" s="1">
        <v>-8.2118090000000003E-7</v>
      </c>
      <c r="I6574">
        <v>80.492840000000001</v>
      </c>
      <c r="J6574">
        <v>-187.2184</v>
      </c>
      <c r="K6574">
        <v>1.1096950000000001</v>
      </c>
      <c r="L6574">
        <v>7.8574520000000003</v>
      </c>
      <c r="M6574">
        <v>-4.041285E-2</v>
      </c>
      <c r="N6574">
        <v>0</v>
      </c>
      <c r="O6574">
        <v>0.99914219999999998</v>
      </c>
      <c r="P6574">
        <v>-2.8582940000000001E-2</v>
      </c>
      <c r="Q6574">
        <v>4.0105130000000003E-2</v>
      </c>
      <c r="R6574">
        <v>0.99878659999999997</v>
      </c>
      <c r="S6574">
        <v>-3.2531740000000003E-2</v>
      </c>
      <c r="T6574">
        <v>-4.568005E-2</v>
      </c>
      <c r="U6574">
        <v>3.0044559999999998</v>
      </c>
      <c r="V6574">
        <v>1.1738749999999999E-2</v>
      </c>
      <c r="W6574">
        <v>4.9150510000000001E-2</v>
      </c>
      <c r="X6574">
        <v>0.99872240000000001</v>
      </c>
      <c r="Y6574">
        <v>2.9595030000000001E-2</v>
      </c>
      <c r="Z6574">
        <v>-1.5179939999999999E-2</v>
      </c>
      <c r="AA6574">
        <v>0.99944670000000002</v>
      </c>
      <c r="AB6574">
        <v>36</v>
      </c>
      <c r="AC6574">
        <v>-0.77580000000000304</v>
      </c>
      <c r="AD6574">
        <v>-1.1096958211808901</v>
      </c>
      <c r="AE6574">
        <v>72.635388000000006</v>
      </c>
      <c r="AF6574">
        <v>2.1598526722047802</v>
      </c>
      <c r="AG6574">
        <v>-1.1096958211808901</v>
      </c>
      <c r="AH6574">
        <v>72.590457391118704</v>
      </c>
      <c r="AI6574">
        <v>90.875429339902297</v>
      </c>
      <c r="AJ6574">
        <v>88.295727184111598</v>
      </c>
      <c r="AK6574">
        <v>72.631060109521997</v>
      </c>
      <c r="AL6574">
        <v>87.182748136496599</v>
      </c>
      <c r="AM6574">
        <v>89.326589789366693</v>
      </c>
      <c r="AN6574">
        <v>1.0000000015732899</v>
      </c>
    </row>
    <row r="6575" spans="1:40" x14ac:dyDescent="0.25">
      <c r="A6575" t="str">
        <f>"20190312151700909"</f>
        <v>20190312151700909</v>
      </c>
      <c r="B6575" t="str">
        <f>"1552375020903832"</f>
        <v>1552375020903832</v>
      </c>
      <c r="C6575" t="s">
        <v>40</v>
      </c>
      <c r="D6575">
        <v>4.5943630000000004</v>
      </c>
      <c r="E6575">
        <v>0.50674649999999999</v>
      </c>
      <c r="F6575" t="s">
        <v>43</v>
      </c>
      <c r="G6575">
        <v>-187.97319999999999</v>
      </c>
      <c r="H6575" s="1">
        <v>-4.2040340000000004E-6</v>
      </c>
      <c r="I6575">
        <v>78.594409999999996</v>
      </c>
      <c r="J6575">
        <v>-187.23349999999999</v>
      </c>
      <c r="K6575">
        <v>1.1096870000000001</v>
      </c>
      <c r="L6575">
        <v>8.2177729999999993</v>
      </c>
      <c r="M6575">
        <v>-4.097054E-2</v>
      </c>
      <c r="N6575">
        <v>0</v>
      </c>
      <c r="O6575">
        <v>0.99911930000000004</v>
      </c>
      <c r="P6575">
        <v>-2.7667310000000001E-2</v>
      </c>
      <c r="Q6575">
        <v>4.0605530000000001E-2</v>
      </c>
      <c r="R6575">
        <v>0.99879209999999996</v>
      </c>
      <c r="S6575">
        <v>-3.2058719999999999E-2</v>
      </c>
      <c r="T6575">
        <v>-4.7135349999999999E-2</v>
      </c>
      <c r="U6575">
        <v>3.0046080000000002</v>
      </c>
      <c r="V6575">
        <v>1.321191E-2</v>
      </c>
      <c r="W6575">
        <v>4.9671050000000001E-2</v>
      </c>
      <c r="X6575">
        <v>0.99867830000000002</v>
      </c>
      <c r="Y6575">
        <v>3.0310920000000002E-2</v>
      </c>
      <c r="Z6575">
        <v>-1.5661950000000001E-2</v>
      </c>
      <c r="AA6575">
        <v>0.99941780000000002</v>
      </c>
      <c r="AB6575">
        <v>36</v>
      </c>
      <c r="AC6575">
        <v>-0.73969999999999902</v>
      </c>
      <c r="AD6575">
        <v>-1.1096912040339999</v>
      </c>
      <c r="AE6575">
        <v>70.376637000000002</v>
      </c>
      <c r="AF6575">
        <v>2.1438752745122098</v>
      </c>
      <c r="AG6575">
        <v>-1.1096912040339999</v>
      </c>
      <c r="AH6575">
        <v>70.330363849984906</v>
      </c>
      <c r="AI6575">
        <v>90.903533434654506</v>
      </c>
      <c r="AJ6575">
        <v>88.253997661140403</v>
      </c>
      <c r="AK6575">
        <v>70.371781951519793</v>
      </c>
      <c r="AL6575">
        <v>87.152887075776505</v>
      </c>
      <c r="AM6575">
        <v>89.242055699895701</v>
      </c>
      <c r="AN6575">
        <v>1.0000000573324099</v>
      </c>
    </row>
    <row r="6576" spans="1:40" x14ac:dyDescent="0.25">
      <c r="A6576" t="str">
        <f>"20190312151700935"</f>
        <v>20190312151700935</v>
      </c>
      <c r="B6576" t="str">
        <f>"1552375020924328"</f>
        <v>1552375020924328</v>
      </c>
      <c r="C6576" t="s">
        <v>40</v>
      </c>
      <c r="D6576">
        <v>4.5756579999999998</v>
      </c>
      <c r="E6576">
        <v>0.5066136</v>
      </c>
      <c r="F6576" t="s">
        <v>43</v>
      </c>
      <c r="G6576">
        <v>-187.94499999999999</v>
      </c>
      <c r="H6576" s="1">
        <v>-4.0117239999999999E-6</v>
      </c>
      <c r="I6576">
        <v>78.134509999999906</v>
      </c>
      <c r="J6576">
        <v>-187.25020000000001</v>
      </c>
      <c r="K6576">
        <v>1.1096779999999999</v>
      </c>
      <c r="L6576">
        <v>8.6098630000000007</v>
      </c>
      <c r="M6576">
        <v>-4.1576219999999997E-2</v>
      </c>
      <c r="N6576">
        <v>0</v>
      </c>
      <c r="O6576">
        <v>0.99909409999999998</v>
      </c>
      <c r="P6576">
        <v>-2.7257819999999999E-2</v>
      </c>
      <c r="Q6576">
        <v>4.0883429999999998E-2</v>
      </c>
      <c r="R6576">
        <v>0.99879209999999996</v>
      </c>
      <c r="S6576">
        <v>-3.0578609999999999E-2</v>
      </c>
      <c r="T6576">
        <v>-4.7689910000000002E-2</v>
      </c>
      <c r="U6576">
        <v>3.0047299999999999</v>
      </c>
      <c r="V6576">
        <v>1.422722E-2</v>
      </c>
      <c r="W6576">
        <v>4.9968699999999998E-2</v>
      </c>
      <c r="X6576">
        <v>0.99864940000000002</v>
      </c>
      <c r="Y6576">
        <v>3.1409560000000003E-2</v>
      </c>
      <c r="Z6576">
        <v>-1.5844710000000001E-2</v>
      </c>
      <c r="AA6576">
        <v>0.99938099999999996</v>
      </c>
      <c r="AB6576">
        <v>36</v>
      </c>
      <c r="AC6576">
        <v>-0.69479999999998598</v>
      </c>
      <c r="AD6576">
        <v>-1.1096820117240001</v>
      </c>
      <c r="AE6576">
        <v>69.524646999999902</v>
      </c>
      <c r="AF6576">
        <v>2.19593256795158</v>
      </c>
      <c r="AG6576">
        <v>-1.1096820117240001</v>
      </c>
      <c r="AH6576">
        <v>69.475717484804306</v>
      </c>
      <c r="AI6576">
        <v>90.914606792925696</v>
      </c>
      <c r="AJ6576">
        <v>88.189643806720696</v>
      </c>
      <c r="AK6576">
        <v>69.5192695160017</v>
      </c>
      <c r="AL6576">
        <v>87.1358114892125</v>
      </c>
      <c r="AM6576">
        <v>89.183793112778005</v>
      </c>
      <c r="AN6576">
        <v>0.99999995444448797</v>
      </c>
    </row>
    <row r="6577" spans="1:40" x14ac:dyDescent="0.25">
      <c r="A6577" t="str">
        <f>"20190312151700955"</f>
        <v>20190312151700955</v>
      </c>
      <c r="B6577" t="str">
        <f>"1552375020944824"</f>
        <v>1552375020944824</v>
      </c>
      <c r="C6577" t="s">
        <v>40</v>
      </c>
      <c r="D6577">
        <v>4.6087350000000002</v>
      </c>
      <c r="E6577">
        <v>0.50655499999999998</v>
      </c>
      <c r="F6577" t="s">
        <v>43</v>
      </c>
      <c r="G6577">
        <v>-187.94929999999999</v>
      </c>
      <c r="H6577" s="1">
        <v>-3.8661189999999996E-6</v>
      </c>
      <c r="I6577">
        <v>77.796869999999998</v>
      </c>
      <c r="J6577">
        <v>-187.26519999999999</v>
      </c>
      <c r="K6577">
        <v>1.109667</v>
      </c>
      <c r="L6577">
        <v>8.9591370000000001</v>
      </c>
      <c r="M6577">
        <v>-4.2116439999999998E-2</v>
      </c>
      <c r="N6577">
        <v>0</v>
      </c>
      <c r="O6577">
        <v>0.9990713</v>
      </c>
      <c r="P6577">
        <v>-2.6134950000000001E-2</v>
      </c>
      <c r="Q6577">
        <v>4.0624340000000002E-2</v>
      </c>
      <c r="R6577">
        <v>0.99883259999999996</v>
      </c>
      <c r="S6577">
        <v>-3.0364990000000001E-2</v>
      </c>
      <c r="T6577">
        <v>-4.8192980000000003E-2</v>
      </c>
      <c r="U6577">
        <v>3.0047609999999998</v>
      </c>
      <c r="V6577">
        <v>1.5891949999999998E-2</v>
      </c>
      <c r="W6577">
        <v>4.9727729999999998E-2</v>
      </c>
      <c r="X6577">
        <v>0.99863639999999998</v>
      </c>
      <c r="Y6577">
        <v>3.2021180000000003E-2</v>
      </c>
      <c r="Z6577">
        <v>-1.6010949999999999E-2</v>
      </c>
      <c r="AA6577">
        <v>0.999359</v>
      </c>
      <c r="AB6577">
        <v>36</v>
      </c>
      <c r="AC6577">
        <v>-0.68410000000000004</v>
      </c>
      <c r="AD6577">
        <v>-1.109670866119</v>
      </c>
      <c r="AE6577">
        <v>68.837733</v>
      </c>
      <c r="AF6577">
        <v>2.2152516563898401</v>
      </c>
      <c r="AG6577">
        <v>-1.109670866119</v>
      </c>
      <c r="AH6577">
        <v>68.787588692586297</v>
      </c>
      <c r="AI6577">
        <v>90.923727794083504</v>
      </c>
      <c r="AJ6577">
        <v>88.155470749840006</v>
      </c>
      <c r="AK6577">
        <v>68.832194992406599</v>
      </c>
      <c r="AL6577">
        <v>87.149635455893502</v>
      </c>
      <c r="AM6577">
        <v>89.088291983185698</v>
      </c>
      <c r="AN6577">
        <v>1.00000003030535</v>
      </c>
    </row>
    <row r="6578" spans="1:40" x14ac:dyDescent="0.25">
      <c r="A6578" t="str">
        <f>"20190312151700977"</f>
        <v>20190312151700977</v>
      </c>
      <c r="B6578" t="str">
        <f>"1552375020974610"</f>
        <v>1552375020974610</v>
      </c>
      <c r="C6578" t="s">
        <v>40</v>
      </c>
      <c r="D6578">
        <v>4.5641100000000003</v>
      </c>
      <c r="E6578">
        <v>0.50605699999999998</v>
      </c>
      <c r="F6578" t="s">
        <v>43</v>
      </c>
      <c r="G6578">
        <v>-187.87</v>
      </c>
      <c r="H6578" s="1">
        <v>-2.8778670000000002E-6</v>
      </c>
      <c r="I6578">
        <v>75.460430000000002</v>
      </c>
      <c r="J6578">
        <v>-187.28020000000001</v>
      </c>
      <c r="K6578">
        <v>1.109667</v>
      </c>
      <c r="L6578">
        <v>9.3046880000000005</v>
      </c>
      <c r="M6578">
        <v>-4.2651439999999999E-2</v>
      </c>
      <c r="N6578">
        <v>0</v>
      </c>
      <c r="O6578">
        <v>0.99904850000000001</v>
      </c>
      <c r="P6578">
        <v>-2.5153160000000001E-2</v>
      </c>
      <c r="Q6578">
        <v>4.0052089999999999E-2</v>
      </c>
      <c r="R6578">
        <v>0.99888089999999996</v>
      </c>
      <c r="S6578">
        <v>-2.732849E-2</v>
      </c>
      <c r="T6578">
        <v>-5.0139780000000002E-2</v>
      </c>
      <c r="U6578">
        <v>3.0048219999999999</v>
      </c>
      <c r="V6578">
        <v>1.7411119999999999E-2</v>
      </c>
      <c r="W6578">
        <v>4.9172899999999999E-2</v>
      </c>
      <c r="X6578">
        <v>0.99863849999999998</v>
      </c>
      <c r="Y6578">
        <v>3.3566489999999997E-2</v>
      </c>
      <c r="Z6578">
        <v>-1.6656299999999999E-2</v>
      </c>
      <c r="AA6578">
        <v>0.99929769999999896</v>
      </c>
      <c r="AB6578">
        <v>36</v>
      </c>
      <c r="AC6578">
        <v>-0.58979999999999599</v>
      </c>
      <c r="AD6578">
        <v>-1.109669877867</v>
      </c>
      <c r="AE6578">
        <v>66.155742000000004</v>
      </c>
      <c r="AF6578">
        <v>2.2318635560250999</v>
      </c>
      <c r="AG6578">
        <v>-1.109669877867</v>
      </c>
      <c r="AH6578">
        <v>66.102096434823693</v>
      </c>
      <c r="AI6578">
        <v>90.961198411854994</v>
      </c>
      <c r="AJ6578">
        <v>88.066206530493503</v>
      </c>
      <c r="AK6578">
        <v>66.149072066426498</v>
      </c>
      <c r="AL6578">
        <v>87.181463691060998</v>
      </c>
      <c r="AM6578">
        <v>89.001157444754696</v>
      </c>
      <c r="AN6578">
        <v>0.99999998743815699</v>
      </c>
    </row>
    <row r="6579" spans="1:40" x14ac:dyDescent="0.25">
      <c r="A6579" t="str">
        <f>"20190312151701001"</f>
        <v>20190312151701001</v>
      </c>
      <c r="B6579" t="str">
        <f>"1552375020994130"</f>
        <v>1552375020994130</v>
      </c>
      <c r="C6579" t="s">
        <v>40</v>
      </c>
      <c r="D6579">
        <v>4.8823249999999998</v>
      </c>
      <c r="E6579">
        <v>0.50574249999999998</v>
      </c>
      <c r="F6579" t="s">
        <v>43</v>
      </c>
      <c r="G6579">
        <v>-187.83529999999999</v>
      </c>
      <c r="H6579" s="1">
        <v>-3.5914029999999999E-6</v>
      </c>
      <c r="I6579">
        <v>67.109340000000003</v>
      </c>
      <c r="J6579">
        <v>-187.29730000000001</v>
      </c>
      <c r="K6579">
        <v>1.1096600000000001</v>
      </c>
      <c r="L6579">
        <v>9.6916810000000009</v>
      </c>
      <c r="M6579">
        <v>-4.3251589999999999E-2</v>
      </c>
      <c r="N6579">
        <v>0</v>
      </c>
      <c r="O6579">
        <v>0.99902250000000004</v>
      </c>
      <c r="P6579">
        <v>-2.3826489999999999E-2</v>
      </c>
      <c r="Q6579">
        <v>3.976975E-2</v>
      </c>
      <c r="R6579">
        <v>0.9989247</v>
      </c>
      <c r="S6579">
        <v>-2.8854370000000001E-2</v>
      </c>
      <c r="T6579">
        <v>-5.7685609999999998E-2</v>
      </c>
      <c r="U6579">
        <v>3.0049440000000001</v>
      </c>
      <c r="V6579">
        <v>1.9339329999999998E-2</v>
      </c>
      <c r="W6579">
        <v>4.8908569999999998E-2</v>
      </c>
      <c r="X6579">
        <v>0.99861599999999995</v>
      </c>
      <c r="Y6579">
        <v>3.3660299999999997E-2</v>
      </c>
      <c r="Z6579">
        <v>-1.9160549999999998E-2</v>
      </c>
      <c r="AA6579">
        <v>0.99924959999999996</v>
      </c>
      <c r="AB6579">
        <v>36</v>
      </c>
      <c r="AC6579">
        <v>-0.53799999999998205</v>
      </c>
      <c r="AD6579">
        <v>-1.109663591403</v>
      </c>
      <c r="AE6579">
        <v>57.417658999999901</v>
      </c>
      <c r="AF6579">
        <v>1.94528553496443</v>
      </c>
      <c r="AG6579">
        <v>-1.109663591403</v>
      </c>
      <c r="AH6579">
        <v>57.365769807286902</v>
      </c>
      <c r="AI6579">
        <v>91.107535082670296</v>
      </c>
      <c r="AJ6579">
        <v>88.057832057426694</v>
      </c>
      <c r="AK6579">
        <v>57.409468162327201</v>
      </c>
      <c r="AL6579">
        <v>87.196626927290794</v>
      </c>
      <c r="AM6579">
        <v>88.890541015134303</v>
      </c>
      <c r="AN6579">
        <v>0.999999986680146</v>
      </c>
    </row>
    <row r="6580" spans="1:40" x14ac:dyDescent="0.25">
      <c r="A6580" t="str">
        <f>"20190312151701023"</f>
        <v>20190312151701023</v>
      </c>
      <c r="B6580" t="str">
        <f>"1552375021014627"</f>
        <v>1552375021014627</v>
      </c>
      <c r="C6580" t="s">
        <v>40</v>
      </c>
      <c r="D6580">
        <v>4.4248390000000004</v>
      </c>
      <c r="E6580">
        <v>0.50548130000000002</v>
      </c>
      <c r="F6580" t="s">
        <v>43</v>
      </c>
      <c r="G6580">
        <v>-187.78200000000001</v>
      </c>
      <c r="H6580" s="1">
        <v>-1.7425139999999901E-6</v>
      </c>
      <c r="I6580">
        <v>62.777479999999997</v>
      </c>
      <c r="J6580">
        <v>-187.31270000000001</v>
      </c>
      <c r="K6580">
        <v>1.1096549999999901</v>
      </c>
      <c r="L6580">
        <v>10.03702</v>
      </c>
      <c r="M6580">
        <v>-4.3787069999999997E-2</v>
      </c>
      <c r="N6580">
        <v>0</v>
      </c>
      <c r="O6580">
        <v>0.99899910000000003</v>
      </c>
      <c r="P6580">
        <v>-2.2668529999999999E-2</v>
      </c>
      <c r="Q6580">
        <v>3.9350299999999998E-2</v>
      </c>
      <c r="R6580">
        <v>0.99896830000000003</v>
      </c>
      <c r="S6580">
        <v>-2.7435299999999999E-2</v>
      </c>
      <c r="T6580">
        <v>-6.2815430000000005E-2</v>
      </c>
      <c r="U6580">
        <v>3.0050659999999998</v>
      </c>
      <c r="V6580">
        <v>2.1034319999999999E-2</v>
      </c>
      <c r="W6580">
        <v>4.8504220000000001E-2</v>
      </c>
      <c r="X6580">
        <v>0.99860150000000003</v>
      </c>
      <c r="Y6580">
        <v>3.466851E-2</v>
      </c>
      <c r="Z6580">
        <v>-2.0861830000000001E-2</v>
      </c>
      <c r="AA6580">
        <v>0.99918110000000004</v>
      </c>
      <c r="AB6580">
        <v>36</v>
      </c>
      <c r="AC6580">
        <v>-0.46930000000000399</v>
      </c>
      <c r="AD6580">
        <v>-1.10965674251399</v>
      </c>
      <c r="AE6580">
        <v>52.740459999999999</v>
      </c>
      <c r="AF6580">
        <v>1.83978240456798</v>
      </c>
      <c r="AG6580">
        <v>-1.10965674251399</v>
      </c>
      <c r="AH6580">
        <v>52.687100149882198</v>
      </c>
      <c r="AI6580">
        <v>91.205808259088499</v>
      </c>
      <c r="AJ6580">
        <v>88.000099572585498</v>
      </c>
      <c r="AK6580">
        <v>52.730889046042797</v>
      </c>
      <c r="AL6580">
        <v>87.219822122974307</v>
      </c>
      <c r="AM6580">
        <v>88.793312878552399</v>
      </c>
      <c r="AN6580">
        <v>1.0000000288889599</v>
      </c>
    </row>
    <row r="6581" spans="1:40" x14ac:dyDescent="0.25">
      <c r="A6581" t="str">
        <f>"20190312151701044"</f>
        <v>20190312151701044</v>
      </c>
      <c r="B6581" t="str">
        <f>"1552375021034147"</f>
        <v>1552375021034147</v>
      </c>
      <c r="C6581" t="s">
        <v>40</v>
      </c>
      <c r="D6581">
        <v>4.6560459999999999</v>
      </c>
      <c r="E6581">
        <v>0.50533240000000001</v>
      </c>
      <c r="F6581" t="s">
        <v>43</v>
      </c>
      <c r="G6581">
        <v>-187.75049999999999</v>
      </c>
      <c r="H6581" s="1">
        <v>-8.4305260000000003E-7</v>
      </c>
      <c r="I6581">
        <v>60.366579999999999</v>
      </c>
      <c r="J6581">
        <v>-187.3287</v>
      </c>
      <c r="K6581">
        <v>1.1096469999999901</v>
      </c>
      <c r="L6581">
        <v>10.38904</v>
      </c>
      <c r="M6581">
        <v>-4.433293E-2</v>
      </c>
      <c r="N6581">
        <v>0</v>
      </c>
      <c r="O6581">
        <v>0.9989749</v>
      </c>
      <c r="P6581">
        <v>-2.1727980000000001E-2</v>
      </c>
      <c r="Q6581">
        <v>3.9211749999999997E-2</v>
      </c>
      <c r="R6581">
        <v>0.99899459999999995</v>
      </c>
      <c r="S6581">
        <v>-2.6138310000000001E-2</v>
      </c>
      <c r="T6581">
        <v>-6.6256399999999993E-2</v>
      </c>
      <c r="U6581">
        <v>3.0051269999999999</v>
      </c>
      <c r="V6581">
        <v>2.2521269999999999E-2</v>
      </c>
      <c r="W6581">
        <v>4.8380380000000001E-2</v>
      </c>
      <c r="X6581">
        <v>0.99857499999999999</v>
      </c>
      <c r="Y6581">
        <v>3.564618E-2</v>
      </c>
      <c r="Z6581">
        <v>-2.2002509999999999E-2</v>
      </c>
      <c r="AA6581">
        <v>0.99912230000000002</v>
      </c>
      <c r="AB6581">
        <v>36</v>
      </c>
      <c r="AC6581">
        <v>-0.42179999999999002</v>
      </c>
      <c r="AD6581">
        <v>-1.10964784305259</v>
      </c>
      <c r="AE6581">
        <v>49.977539999999998</v>
      </c>
      <c r="AF6581">
        <v>1.7934742351294499</v>
      </c>
      <c r="AG6581">
        <v>-1.10964784305259</v>
      </c>
      <c r="AH6581">
        <v>49.9224904514193</v>
      </c>
      <c r="AI6581">
        <v>91.272506691853096</v>
      </c>
      <c r="AJ6581">
        <v>87.9425238949906</v>
      </c>
      <c r="AK6581">
        <v>49.967018332493197</v>
      </c>
      <c r="AL6581">
        <v>87.226925752377099</v>
      </c>
      <c r="AM6581">
        <v>88.708003904089097</v>
      </c>
      <c r="AN6581">
        <v>0.99999994969817696</v>
      </c>
    </row>
    <row r="6582" spans="1:40" x14ac:dyDescent="0.25">
      <c r="A6582" t="str">
        <f>"20190312151701067"</f>
        <v>20190312151701067</v>
      </c>
      <c r="B6582" t="str">
        <f>"1552375021064909"</f>
        <v>1552375021064909</v>
      </c>
      <c r="C6582" t="s">
        <v>40</v>
      </c>
      <c r="D6582">
        <v>4.3760450000000004</v>
      </c>
      <c r="E6582">
        <v>0.5050964</v>
      </c>
      <c r="F6582" t="s">
        <v>43</v>
      </c>
      <c r="G6582">
        <v>-187.74170000000001</v>
      </c>
      <c r="H6582" s="1">
        <v>-1.012116E-6</v>
      </c>
      <c r="I6582">
        <v>60.856549999999999</v>
      </c>
      <c r="J6582">
        <v>-187.3459</v>
      </c>
      <c r="K6582">
        <v>1.10964</v>
      </c>
      <c r="L6582">
        <v>10.7662</v>
      </c>
      <c r="M6582">
        <v>-4.4917319999999997E-2</v>
      </c>
      <c r="N6582">
        <v>0</v>
      </c>
      <c r="O6582">
        <v>0.99894870000000002</v>
      </c>
      <c r="P6582">
        <v>-2.1116019999999999E-2</v>
      </c>
      <c r="Q6582">
        <v>3.8370040000000001E-2</v>
      </c>
      <c r="R6582">
        <v>0.9990405</v>
      </c>
      <c r="S6582">
        <v>-2.4597170000000002E-2</v>
      </c>
      <c r="T6582">
        <v>-6.607354E-2</v>
      </c>
      <c r="U6582">
        <v>3.0050659999999998</v>
      </c>
      <c r="V6582">
        <v>2.372018E-2</v>
      </c>
      <c r="W6582">
        <v>4.755355E-2</v>
      </c>
      <c r="X6582">
        <v>0.998587</v>
      </c>
      <c r="Y6582">
        <v>3.674297E-2</v>
      </c>
      <c r="Z6582">
        <v>-2.194101E-2</v>
      </c>
      <c r="AA6582">
        <v>0.99908390000000002</v>
      </c>
      <c r="AB6582">
        <v>36</v>
      </c>
      <c r="AC6582">
        <v>-0.39580000000000798</v>
      </c>
      <c r="AD6582">
        <v>-1.1096410121160001</v>
      </c>
      <c r="AE6582">
        <v>50.090350000000001</v>
      </c>
      <c r="AF6582">
        <v>1.8537085708065399</v>
      </c>
      <c r="AG6582">
        <v>-1.1096410121160001</v>
      </c>
      <c r="AH6582">
        <v>50.033017002962801</v>
      </c>
      <c r="AI6582">
        <v>91.269636730663507</v>
      </c>
      <c r="AJ6582">
        <v>87.878178719289906</v>
      </c>
      <c r="AK6582">
        <v>50.079639865518303</v>
      </c>
      <c r="AL6582">
        <v>87.2743543342132</v>
      </c>
      <c r="AM6582">
        <v>88.639266607256602</v>
      </c>
      <c r="AN6582">
        <v>0.99999999181291699</v>
      </c>
    </row>
    <row r="6583" spans="1:40" x14ac:dyDescent="0.25">
      <c r="A6583" t="str">
        <f>"20190312151701088"</f>
        <v>20190312151701088</v>
      </c>
      <c r="B6583" t="str">
        <f>"1552375021084429"</f>
        <v>1552375021084429</v>
      </c>
      <c r="C6583" t="s">
        <v>40</v>
      </c>
      <c r="D6583">
        <v>4.4391290000000003</v>
      </c>
      <c r="E6583">
        <v>0.50486960000000003</v>
      </c>
      <c r="F6583" t="s">
        <v>43</v>
      </c>
      <c r="G6583">
        <v>-187.74860000000001</v>
      </c>
      <c r="H6583" s="1">
        <v>-6.8655519999999897E-7</v>
      </c>
      <c r="I6583">
        <v>59.905259999999998</v>
      </c>
      <c r="J6583">
        <v>-187.36089999999999</v>
      </c>
      <c r="K6583">
        <v>1.1096269999999999</v>
      </c>
      <c r="L6583">
        <v>11.09036</v>
      </c>
      <c r="M6583">
        <v>-4.5419519999999998E-2</v>
      </c>
      <c r="N6583">
        <v>0</v>
      </c>
      <c r="O6583">
        <v>0.99892590000000003</v>
      </c>
      <c r="P6583">
        <v>-2.0442729999999999E-2</v>
      </c>
      <c r="Q6583">
        <v>3.7156109999999999E-2</v>
      </c>
      <c r="R6583">
        <v>0.99910030000000005</v>
      </c>
      <c r="S6583">
        <v>-2.4627690000000001E-2</v>
      </c>
      <c r="T6583">
        <v>-6.7857269999999997E-2</v>
      </c>
      <c r="U6583">
        <v>3.0049739999999998</v>
      </c>
      <c r="V6583">
        <v>2.4899270000000001E-2</v>
      </c>
      <c r="W6583">
        <v>4.6352289999999997E-2</v>
      </c>
      <c r="X6583">
        <v>0.99861480000000002</v>
      </c>
      <c r="Y6583">
        <v>3.7235079999999997E-2</v>
      </c>
      <c r="Z6583">
        <v>-2.2532739999999999E-2</v>
      </c>
      <c r="AA6583">
        <v>0.99905250000000001</v>
      </c>
      <c r="AB6583">
        <v>36</v>
      </c>
      <c r="AC6583">
        <v>-0.38770000000002303</v>
      </c>
      <c r="AD6583">
        <v>-1.1096276865551999</v>
      </c>
      <c r="AE6583">
        <v>48.814900000000002</v>
      </c>
      <c r="AF6583">
        <v>1.8289977103964601</v>
      </c>
      <c r="AG6583">
        <v>-1.1096276865551999</v>
      </c>
      <c r="AH6583">
        <v>48.7569369493445</v>
      </c>
      <c r="AI6583">
        <v>91.302816624438805</v>
      </c>
      <c r="AJ6583">
        <v>87.851695727389895</v>
      </c>
      <c r="AK6583">
        <v>48.803846230699499</v>
      </c>
      <c r="AL6583">
        <v>87.343257518012294</v>
      </c>
      <c r="AM6583">
        <v>88.571693957666</v>
      </c>
      <c r="AN6583">
        <v>1.0000000136069001</v>
      </c>
    </row>
    <row r="6584" spans="1:40" x14ac:dyDescent="0.25">
      <c r="A6584" t="str">
        <f>"20190312151701113"</f>
        <v>20190312151701113</v>
      </c>
      <c r="B6584" t="str">
        <f>"1552375021103949"</f>
        <v>1552375021103949</v>
      </c>
      <c r="C6584" t="s">
        <v>40</v>
      </c>
      <c r="D6584">
        <v>4.5699809999999896</v>
      </c>
      <c r="E6584">
        <v>0.5047258</v>
      </c>
      <c r="F6584" t="s">
        <v>43</v>
      </c>
      <c r="G6584">
        <v>-187.73769999999999</v>
      </c>
      <c r="H6584" s="1">
        <v>-3.7237980000000002E-6</v>
      </c>
      <c r="I6584">
        <v>57.377609999999997</v>
      </c>
      <c r="J6584">
        <v>-187.37970000000001</v>
      </c>
      <c r="K6584">
        <v>1.1096189999999999</v>
      </c>
      <c r="L6584">
        <v>11.49033</v>
      </c>
      <c r="M6584">
        <v>-4.6038809999999999E-2</v>
      </c>
      <c r="N6584">
        <v>0</v>
      </c>
      <c r="O6584">
        <v>0.99889740000000005</v>
      </c>
      <c r="P6584">
        <v>-1.9973100000000001E-2</v>
      </c>
      <c r="Q6584">
        <v>3.5431150000000002E-2</v>
      </c>
      <c r="R6584">
        <v>0.99917250000000002</v>
      </c>
      <c r="S6584">
        <v>-2.445984E-2</v>
      </c>
      <c r="T6584">
        <v>-7.2035189999999999E-2</v>
      </c>
      <c r="U6584">
        <v>3.004883</v>
      </c>
      <c r="V6584">
        <v>2.5993209999999999E-2</v>
      </c>
      <c r="W6584">
        <v>4.4642210000000002E-2</v>
      </c>
      <c r="X6584">
        <v>0.99866480000000002</v>
      </c>
      <c r="Y6584">
        <v>3.791042E-2</v>
      </c>
      <c r="Z6584">
        <v>-2.3918700000000001E-2</v>
      </c>
      <c r="AA6584">
        <v>0.99899479999999996</v>
      </c>
      <c r="AB6584">
        <v>36</v>
      </c>
      <c r="AC6584">
        <v>-0.357999999999975</v>
      </c>
      <c r="AD6584">
        <v>-1.1096227237980001</v>
      </c>
      <c r="AE6584">
        <v>45.887279999999997</v>
      </c>
      <c r="AF6584">
        <v>1.75403897017482</v>
      </c>
      <c r="AG6584">
        <v>-1.1096227237980001</v>
      </c>
      <c r="AH6584">
        <v>45.828305772947402</v>
      </c>
      <c r="AI6584">
        <v>91.385994737101001</v>
      </c>
      <c r="AJ6584">
        <v>87.808123222464403</v>
      </c>
      <c r="AK6584">
        <v>45.875282291412901</v>
      </c>
      <c r="AL6584">
        <v>87.441339372384505</v>
      </c>
      <c r="AM6584">
        <v>88.509044221650896</v>
      </c>
      <c r="AN6584">
        <v>0.99999997831941301</v>
      </c>
    </row>
    <row r="6585" spans="1:40" x14ac:dyDescent="0.25">
      <c r="A6585" t="str">
        <f>"20190312151701136"</f>
        <v>20190312151701136</v>
      </c>
      <c r="B6585" t="str">
        <f>"1552375021124445"</f>
        <v>1552375021124445</v>
      </c>
      <c r="C6585" t="s">
        <v>40</v>
      </c>
      <c r="D6585">
        <v>4.3483409999999996</v>
      </c>
      <c r="E6585">
        <v>0.50456769999999995</v>
      </c>
      <c r="F6585" t="s">
        <v>43</v>
      </c>
      <c r="G6585">
        <v>-187.7321</v>
      </c>
      <c r="H6585" s="1">
        <v>-2.75261E-6</v>
      </c>
      <c r="I6585">
        <v>55.111449999999998</v>
      </c>
      <c r="J6585">
        <v>-187.3972</v>
      </c>
      <c r="K6585">
        <v>1.109612</v>
      </c>
      <c r="L6585">
        <v>11.85825</v>
      </c>
      <c r="M6585">
        <v>-4.660831E-2</v>
      </c>
      <c r="N6585">
        <v>0</v>
      </c>
      <c r="O6585">
        <v>0.99887090000000001</v>
      </c>
      <c r="P6585">
        <v>-1.9866410000000001E-2</v>
      </c>
      <c r="Q6585">
        <v>3.4034300000000003E-2</v>
      </c>
      <c r="R6585">
        <v>0.99922319999999998</v>
      </c>
      <c r="S6585">
        <v>-2.427673E-2</v>
      </c>
      <c r="T6585">
        <v>-7.6432700000000006E-2</v>
      </c>
      <c r="U6585">
        <v>3.0047000000000001</v>
      </c>
      <c r="V6585">
        <v>2.667344E-2</v>
      </c>
      <c r="W6585">
        <v>4.325739E-2</v>
      </c>
      <c r="X6585">
        <v>0.99870780000000003</v>
      </c>
      <c r="Y6585">
        <v>3.8540820000000003E-2</v>
      </c>
      <c r="Z6585">
        <v>-2.5378189999999998E-2</v>
      </c>
      <c r="AA6585">
        <v>0.99893469999999995</v>
      </c>
      <c r="AB6585">
        <v>36</v>
      </c>
      <c r="AC6585">
        <v>-0.33490000000000397</v>
      </c>
      <c r="AD6585">
        <v>-1.10961475261</v>
      </c>
      <c r="AE6585">
        <v>43.2532</v>
      </c>
      <c r="AF6585">
        <v>1.68040196389119</v>
      </c>
      <c r="AG6585">
        <v>-1.10961475261</v>
      </c>
      <c r="AH6585">
        <v>43.193375144241699</v>
      </c>
      <c r="AI6585">
        <v>91.470462441838905</v>
      </c>
      <c r="AJ6585">
        <v>87.772079402241701</v>
      </c>
      <c r="AK6585">
        <v>43.240289684629303</v>
      </c>
      <c r="AL6585">
        <v>87.520760447537299</v>
      </c>
      <c r="AM6585">
        <v>88.470110765060795</v>
      </c>
      <c r="AN6585">
        <v>0.99999997198594204</v>
      </c>
    </row>
    <row r="6586" spans="1:40" x14ac:dyDescent="0.25">
      <c r="A6586" t="str">
        <f>"20190312151701157"</f>
        <v>20190312151701157</v>
      </c>
      <c r="B6586" t="str">
        <f>"1552375021154701"</f>
        <v>1552375021154701</v>
      </c>
      <c r="C6586" t="s">
        <v>40</v>
      </c>
      <c r="D6586">
        <v>4.4263659999999998</v>
      </c>
      <c r="E6586">
        <v>0.50444789999999995</v>
      </c>
      <c r="F6586" t="s">
        <v>43</v>
      </c>
      <c r="G6586">
        <v>-187.7501</v>
      </c>
      <c r="H6586" s="1">
        <v>-2.196245E-6</v>
      </c>
      <c r="I6586">
        <v>53.821969999999901</v>
      </c>
      <c r="J6586">
        <v>-187.41419999999999</v>
      </c>
      <c r="K6586">
        <v>1.109612</v>
      </c>
      <c r="L6586">
        <v>12.21332</v>
      </c>
      <c r="M6586">
        <v>-4.7157299999999999E-2</v>
      </c>
      <c r="N6586">
        <v>0</v>
      </c>
      <c r="O6586">
        <v>0.99884499999999998</v>
      </c>
      <c r="P6586">
        <v>-1.9876919999999999E-2</v>
      </c>
      <c r="Q6586">
        <v>3.2790670000000001E-2</v>
      </c>
      <c r="R6586">
        <v>0.99926459999999995</v>
      </c>
      <c r="S6586">
        <v>-2.5268550000000001E-2</v>
      </c>
      <c r="T6586">
        <v>-7.9446909999999996E-2</v>
      </c>
      <c r="U6586">
        <v>3.0045470000000001</v>
      </c>
      <c r="V6586">
        <v>2.721548E-2</v>
      </c>
      <c r="W6586">
        <v>4.2024939999999997E-2</v>
      </c>
      <c r="X6586">
        <v>0.99874580000000002</v>
      </c>
      <c r="Y6586">
        <v>3.876011E-2</v>
      </c>
      <c r="Z6586">
        <v>-2.6378490000000001E-2</v>
      </c>
      <c r="AA6586">
        <v>0.99890029999999996</v>
      </c>
      <c r="AB6586">
        <v>36</v>
      </c>
      <c r="AC6586">
        <v>-0.33590000000000902</v>
      </c>
      <c r="AD6586">
        <v>-1.1096141962449999</v>
      </c>
      <c r="AE6586">
        <v>41.608649999999997</v>
      </c>
      <c r="AF6586">
        <v>1.6255525960444801</v>
      </c>
      <c r="AG6586">
        <v>-1.1096141962449999</v>
      </c>
      <c r="AH6586">
        <v>41.548649789039203</v>
      </c>
      <c r="AI6586">
        <v>91.528630529223406</v>
      </c>
      <c r="AJ6586">
        <v>87.759498187152701</v>
      </c>
      <c r="AK6586">
        <v>41.595239681954503</v>
      </c>
      <c r="AL6586">
        <v>87.5914389313659</v>
      </c>
      <c r="AM6586">
        <v>88.439095958326206</v>
      </c>
      <c r="AN6586">
        <v>0.99999997547563602</v>
      </c>
    </row>
    <row r="6587" spans="1:40" x14ac:dyDescent="0.25">
      <c r="A6587" t="str">
        <f>"20190312151701179"</f>
        <v>20190312151701179</v>
      </c>
      <c r="B6587" t="str">
        <f>"1552375021174221"</f>
        <v>1552375021174221</v>
      </c>
      <c r="C6587" t="s">
        <v>40</v>
      </c>
      <c r="D6587">
        <v>4.952814</v>
      </c>
      <c r="E6587">
        <v>0.52109870000000003</v>
      </c>
      <c r="F6587" t="s">
        <v>43</v>
      </c>
      <c r="G6587">
        <v>-187.77070000000001</v>
      </c>
      <c r="H6587" s="1">
        <v>-1.8877430000000001E-6</v>
      </c>
      <c r="I6587">
        <v>53.111359999999998</v>
      </c>
      <c r="J6587">
        <v>-187.43119999999999</v>
      </c>
      <c r="K6587">
        <v>1.10961</v>
      </c>
      <c r="L6587">
        <v>12.5625</v>
      </c>
      <c r="M6587">
        <v>-4.769727E-2</v>
      </c>
      <c r="N6587">
        <v>0</v>
      </c>
      <c r="O6587">
        <v>0.99881929999999997</v>
      </c>
      <c r="P6587">
        <v>-1.9776539999999999E-2</v>
      </c>
      <c r="Q6587">
        <v>3.2454770000000001E-2</v>
      </c>
      <c r="R6587">
        <v>0.99927750000000004</v>
      </c>
      <c r="S6587">
        <v>-2.6184079999999998E-2</v>
      </c>
      <c r="T6587">
        <v>-8.1512089999999995E-2</v>
      </c>
      <c r="U6587">
        <v>3.0043639999999998</v>
      </c>
      <c r="V6587">
        <v>2.7856800000000001E-2</v>
      </c>
      <c r="W6587">
        <v>4.1700019999999997E-2</v>
      </c>
      <c r="X6587">
        <v>0.99874169999999995</v>
      </c>
      <c r="Y6587">
        <v>3.899557E-2</v>
      </c>
      <c r="Z6587">
        <v>-2.7064129999999999E-2</v>
      </c>
      <c r="AA6587">
        <v>0.99887280000000001</v>
      </c>
      <c r="AB6587">
        <v>36</v>
      </c>
      <c r="AC6587">
        <v>-0.33950000000001501</v>
      </c>
      <c r="AD6587">
        <v>-1.1096118877429999</v>
      </c>
      <c r="AE6587">
        <v>40.548859999999998</v>
      </c>
      <c r="AF6587">
        <v>1.5938451030499501</v>
      </c>
      <c r="AG6587">
        <v>-1.1096118877429999</v>
      </c>
      <c r="AH6587">
        <v>40.488581739514601</v>
      </c>
      <c r="AI6587">
        <v>91.568615160441496</v>
      </c>
      <c r="AJ6587">
        <v>87.745698502025903</v>
      </c>
      <c r="AK6587">
        <v>40.535130837722598</v>
      </c>
      <c r="AL6587">
        <v>87.610071721233894</v>
      </c>
      <c r="AM6587">
        <v>88.402326276906194</v>
      </c>
      <c r="AN6587">
        <v>0.99999993814656296</v>
      </c>
    </row>
    <row r="6588" spans="1:40" x14ac:dyDescent="0.25">
      <c r="A6588" t="str">
        <f>"20190312151701201"</f>
        <v>20190312151701201</v>
      </c>
      <c r="B6588" t="str">
        <f>"1552375021194717"</f>
        <v>1552375021194717</v>
      </c>
      <c r="C6588" t="s">
        <v>40</v>
      </c>
      <c r="D6588">
        <v>4.4256390000000003</v>
      </c>
      <c r="E6588">
        <v>0.52391960000000004</v>
      </c>
      <c r="F6588" t="s">
        <v>43</v>
      </c>
      <c r="G6588">
        <v>-186.32470000000001</v>
      </c>
      <c r="H6588" s="1">
        <v>-2.417926E-6</v>
      </c>
      <c r="I6588">
        <v>43.74933</v>
      </c>
      <c r="J6588">
        <v>-187.4494</v>
      </c>
      <c r="K6588">
        <v>1.10961</v>
      </c>
      <c r="L6588">
        <v>12.93262</v>
      </c>
      <c r="M6588">
        <v>-4.826863E-2</v>
      </c>
      <c r="N6588">
        <v>0</v>
      </c>
      <c r="O6588">
        <v>0.99879180000000001</v>
      </c>
      <c r="P6588">
        <v>-2.0154060000000001E-2</v>
      </c>
      <c r="Q6588">
        <v>3.2449859999999997E-2</v>
      </c>
      <c r="R6588">
        <v>0.99927010000000005</v>
      </c>
      <c r="S6588">
        <v>0.10672</v>
      </c>
      <c r="T6588">
        <v>-0.1070144</v>
      </c>
      <c r="U6588">
        <v>3.0077509999999998</v>
      </c>
      <c r="V6588">
        <v>2.8050780000000001E-2</v>
      </c>
      <c r="W6588">
        <v>4.1705739999999998E-2</v>
      </c>
      <c r="X6588">
        <v>0.99873610000000002</v>
      </c>
      <c r="Y6588">
        <v>8.3635989999999993E-2</v>
      </c>
      <c r="Z6588">
        <v>-3.5421439999999998E-2</v>
      </c>
      <c r="AA6588">
        <v>0.99586669999999999</v>
      </c>
      <c r="AB6588">
        <v>36</v>
      </c>
      <c r="AC6588">
        <v>1.12469999999999</v>
      </c>
      <c r="AD6588">
        <v>-1.1096124179260001</v>
      </c>
      <c r="AE6588">
        <v>30.816709999999901</v>
      </c>
      <c r="AF6588">
        <v>2.60755640040863</v>
      </c>
      <c r="AG6588">
        <v>-1.1096124179260001</v>
      </c>
      <c r="AH6588">
        <v>30.686764406881</v>
      </c>
      <c r="AI6588">
        <v>92.063444317713703</v>
      </c>
      <c r="AJ6588">
        <v>85.143054494851199</v>
      </c>
      <c r="AK6588">
        <v>30.8173344055378</v>
      </c>
      <c r="AL6588">
        <v>87.609743866818604</v>
      </c>
      <c r="AM6588">
        <v>88.391197733932799</v>
      </c>
      <c r="AN6588">
        <v>1.00000000622538</v>
      </c>
    </row>
    <row r="6589" spans="1:40" x14ac:dyDescent="0.25">
      <c r="A6589" t="str">
        <f>"20190312151701223"</f>
        <v>20190312151701223</v>
      </c>
      <c r="B6589" t="str">
        <f>"1552375021214237"</f>
        <v>1552375021214237</v>
      </c>
      <c r="C6589" t="s">
        <v>40</v>
      </c>
      <c r="D6589">
        <v>4.3958529999999998</v>
      </c>
      <c r="E6589">
        <v>0.52493350000000005</v>
      </c>
      <c r="F6589" t="s">
        <v>43</v>
      </c>
      <c r="G6589">
        <v>-185.86680000000001</v>
      </c>
      <c r="H6589" s="1">
        <v>-1.2329549999999999E-6</v>
      </c>
      <c r="I6589">
        <v>50.039520000000003</v>
      </c>
      <c r="J6589">
        <v>-187.46700000000001</v>
      </c>
      <c r="K6589">
        <v>1.1096170000000001</v>
      </c>
      <c r="L6589">
        <v>13.285830000000001</v>
      </c>
      <c r="M6589">
        <v>-4.8811630000000002E-2</v>
      </c>
      <c r="N6589">
        <v>0</v>
      </c>
      <c r="O6589">
        <v>0.99876529999999997</v>
      </c>
      <c r="P6589">
        <v>-2.0703280000000001E-2</v>
      </c>
      <c r="Q6589">
        <v>3.3388439999999998E-2</v>
      </c>
      <c r="R6589">
        <v>0.99922800000000001</v>
      </c>
      <c r="S6589">
        <v>0.12828059999999999</v>
      </c>
      <c r="T6589">
        <v>-8.9939240000000004E-2</v>
      </c>
      <c r="U6589">
        <v>3.0076900000000002</v>
      </c>
      <c r="V6589">
        <v>2.8042089999999999E-2</v>
      </c>
      <c r="W6589">
        <v>4.2652849999999999E-2</v>
      </c>
      <c r="X6589">
        <v>0.99869629999999998</v>
      </c>
      <c r="Y6589">
        <v>9.1311779999999995E-2</v>
      </c>
      <c r="Z6589">
        <v>-2.9760310000000002E-2</v>
      </c>
      <c r="AA6589">
        <v>0.99537750000000003</v>
      </c>
      <c r="AB6589">
        <v>36</v>
      </c>
      <c r="AC6589">
        <v>1.6002000000000001</v>
      </c>
      <c r="AD6589">
        <v>-1.109618232955</v>
      </c>
      <c r="AE6589">
        <v>36.753689999999999</v>
      </c>
      <c r="AF6589">
        <v>3.3892930243338402</v>
      </c>
      <c r="AG6589">
        <v>-1.109618232955</v>
      </c>
      <c r="AH6589">
        <v>36.598468718457099</v>
      </c>
      <c r="AI6589">
        <v>91.729207326686804</v>
      </c>
      <c r="AJ6589">
        <v>84.709071408719595</v>
      </c>
      <c r="AK6589">
        <v>36.771816277736299</v>
      </c>
      <c r="AL6589">
        <v>87.555430015166706</v>
      </c>
      <c r="AM6589">
        <v>88.391631811121698</v>
      </c>
      <c r="AN6589">
        <v>0.99999996202918895</v>
      </c>
    </row>
    <row r="6590" spans="1:40" x14ac:dyDescent="0.25">
      <c r="A6590" t="str">
        <f>"20190312151701245"</f>
        <v>20190312151701245</v>
      </c>
      <c r="B6590" t="str">
        <f>"1552375021234733"</f>
        <v>1552375021234733</v>
      </c>
      <c r="C6590" t="s">
        <v>40</v>
      </c>
      <c r="D6590">
        <v>4.4251639999999997</v>
      </c>
      <c r="E6590">
        <v>0.5253468</v>
      </c>
      <c r="F6590" t="s">
        <v>43</v>
      </c>
      <c r="G6590">
        <v>-185.59690000000001</v>
      </c>
      <c r="H6590" s="1">
        <v>-3.089968E-6</v>
      </c>
      <c r="I6590">
        <v>55.014949999999999</v>
      </c>
      <c r="J6590">
        <v>-187.4854</v>
      </c>
      <c r="K6590">
        <v>1.1096250000000001</v>
      </c>
      <c r="L6590">
        <v>13.650539999999999</v>
      </c>
      <c r="M6590">
        <v>-4.9367460000000002E-2</v>
      </c>
      <c r="N6590">
        <v>0</v>
      </c>
      <c r="O6590">
        <v>0.99873789999999996</v>
      </c>
      <c r="P6590">
        <v>-2.1129140000000001E-2</v>
      </c>
      <c r="Q6590">
        <v>3.4079379999999999E-2</v>
      </c>
      <c r="R6590">
        <v>0.99919579999999997</v>
      </c>
      <c r="S6590">
        <v>0.1347961</v>
      </c>
      <c r="T6590">
        <v>-7.9980019999999999E-2</v>
      </c>
      <c r="U6590">
        <v>3.0077820000000002</v>
      </c>
      <c r="V6590">
        <v>2.8170400000000002E-2</v>
      </c>
      <c r="W6590">
        <v>4.3355530000000003E-2</v>
      </c>
      <c r="X6590">
        <v>0.99866250000000001</v>
      </c>
      <c r="Y6590">
        <v>9.4020610000000004E-2</v>
      </c>
      <c r="Z6590">
        <v>-2.6460850000000001E-2</v>
      </c>
      <c r="AA6590">
        <v>0.99521850000000001</v>
      </c>
      <c r="AB6590">
        <v>37</v>
      </c>
      <c r="AC6590">
        <v>1.8884999999999901</v>
      </c>
      <c r="AD6590">
        <v>-1.109628089968</v>
      </c>
      <c r="AE6590">
        <v>41.364409999999999</v>
      </c>
      <c r="AF6590">
        <v>3.9255212491382898</v>
      </c>
      <c r="AG6590">
        <v>-1.109628089968</v>
      </c>
      <c r="AH6590">
        <v>41.191154765251198</v>
      </c>
      <c r="AI6590">
        <v>91.536132857757195</v>
      </c>
      <c r="AJ6590">
        <v>84.556147200509798</v>
      </c>
      <c r="AK6590">
        <v>41.3926590408294</v>
      </c>
      <c r="AL6590">
        <v>87.515132306450795</v>
      </c>
      <c r="AM6590">
        <v>88.384221762885602</v>
      </c>
      <c r="AN6590">
        <v>1.0000000311619901</v>
      </c>
    </row>
    <row r="6591" spans="1:40" x14ac:dyDescent="0.25">
      <c r="A6591" t="str">
        <f>"20190312151701266"</f>
        <v>20190312151701266</v>
      </c>
      <c r="B6591" t="str">
        <f>"1552375021254253"</f>
        <v>1552375021254253</v>
      </c>
      <c r="C6591" t="s">
        <v>40</v>
      </c>
      <c r="D6591">
        <v>4.395327</v>
      </c>
      <c r="E6591">
        <v>0.5256016</v>
      </c>
      <c r="F6591" t="s">
        <v>43</v>
      </c>
      <c r="G6591">
        <v>-185.4451</v>
      </c>
      <c r="H6591" s="1">
        <v>-4.6108230000000004E-6</v>
      </c>
      <c r="I6591">
        <v>58.497309999999999</v>
      </c>
      <c r="J6591">
        <v>-187.5034</v>
      </c>
      <c r="K6591">
        <v>1.1096280000000001</v>
      </c>
      <c r="L6591">
        <v>14.006379999999901</v>
      </c>
      <c r="M6591">
        <v>-4.9900180000000002E-2</v>
      </c>
      <c r="N6591">
        <v>0</v>
      </c>
      <c r="O6591">
        <v>0.99871120000000002</v>
      </c>
      <c r="P6591">
        <v>-2.1891839999999999E-2</v>
      </c>
      <c r="Q6591">
        <v>3.4633379999999998E-2</v>
      </c>
      <c r="R6591">
        <v>0.9991603</v>
      </c>
      <c r="S6591">
        <v>0.13684079999999901</v>
      </c>
      <c r="T6591">
        <v>-7.4422119999999994E-2</v>
      </c>
      <c r="U6591">
        <v>3.0078429999999998</v>
      </c>
      <c r="V6591">
        <v>2.7939510000000001E-2</v>
      </c>
      <c r="W6591">
        <v>4.3923839999999999E-2</v>
      </c>
      <c r="X6591">
        <v>0.99864410000000003</v>
      </c>
      <c r="Y6591">
        <v>9.522796E-2</v>
      </c>
      <c r="Z6591">
        <v>-2.461994E-2</v>
      </c>
      <c r="AA6591">
        <v>0.99515100000000001</v>
      </c>
      <c r="AB6591">
        <v>37</v>
      </c>
      <c r="AC6591">
        <v>2.0583</v>
      </c>
      <c r="AD6591">
        <v>-1.1096326108229999</v>
      </c>
      <c r="AE6591">
        <v>44.490929999999999</v>
      </c>
      <c r="AF6591">
        <v>4.27328389834853</v>
      </c>
      <c r="AG6591">
        <v>-1.1096326108229999</v>
      </c>
      <c r="AH6591">
        <v>44.305284309247199</v>
      </c>
      <c r="AI6591">
        <v>91.428057317815203</v>
      </c>
      <c r="AJ6591">
        <v>84.490812736554304</v>
      </c>
      <c r="AK6591">
        <v>44.524717377318701</v>
      </c>
      <c r="AL6591">
        <v>87.482539361651703</v>
      </c>
      <c r="AM6591">
        <v>88.397428545510294</v>
      </c>
      <c r="AN6591">
        <v>0.99999997920209704</v>
      </c>
    </row>
    <row r="6592" spans="1:40" x14ac:dyDescent="0.25">
      <c r="A6592" t="str">
        <f>"20190312151701289"</f>
        <v>20190312151701289</v>
      </c>
      <c r="B6592" t="str">
        <f>"1552375021284510"</f>
        <v>1552375021284510</v>
      </c>
      <c r="C6592" t="s">
        <v>40</v>
      </c>
      <c r="D6592">
        <v>4.4285059999999996</v>
      </c>
      <c r="E6592">
        <v>0.52596189999999998</v>
      </c>
      <c r="F6592" t="s">
        <v>43</v>
      </c>
      <c r="G6592">
        <v>-185.47229999999999</v>
      </c>
      <c r="H6592" s="1">
        <v>-4.6993339999999997E-6</v>
      </c>
      <c r="I6592">
        <v>58.7149199999999</v>
      </c>
      <c r="J6592">
        <v>-187.52199999999999</v>
      </c>
      <c r="K6592">
        <v>1.109626</v>
      </c>
      <c r="L6592">
        <v>14.36777</v>
      </c>
      <c r="M6592">
        <v>-5.0423700000000002E-2</v>
      </c>
      <c r="N6592">
        <v>0</v>
      </c>
      <c r="O6592">
        <v>0.99868480000000004</v>
      </c>
      <c r="P6592">
        <v>-2.2974700000000001E-2</v>
      </c>
      <c r="Q6592">
        <v>3.5403379999999998E-2</v>
      </c>
      <c r="R6592">
        <v>0.99910900000000002</v>
      </c>
      <c r="S6592">
        <v>0.13665769999999999</v>
      </c>
      <c r="T6592">
        <v>-7.4659229999999993E-2</v>
      </c>
      <c r="U6592">
        <v>3.0081180000000001</v>
      </c>
      <c r="V6592">
        <v>2.7379170000000001E-2</v>
      </c>
      <c r="W6592">
        <v>4.4709850000000002E-2</v>
      </c>
      <c r="X6592">
        <v>0.99862470000000003</v>
      </c>
      <c r="Y6592">
        <v>9.5685129999999993E-2</v>
      </c>
      <c r="Z6592">
        <v>-2.4694600000000001E-2</v>
      </c>
      <c r="AA6592">
        <v>0.99510529999999997</v>
      </c>
      <c r="AB6592">
        <v>37</v>
      </c>
      <c r="AC6592">
        <v>2.0497000000000298</v>
      </c>
      <c r="AD6592">
        <v>-1.1096306993339999</v>
      </c>
      <c r="AE6592">
        <v>44.3471499999999</v>
      </c>
      <c r="AF6592">
        <v>4.2806617709420403</v>
      </c>
      <c r="AG6592">
        <v>-1.1096306993339999</v>
      </c>
      <c r="AH6592">
        <v>44.159785588290198</v>
      </c>
      <c r="AI6592">
        <v>91.432691569972704</v>
      </c>
      <c r="AJ6592">
        <v>84.463289584672694</v>
      </c>
      <c r="AK6592">
        <v>44.380649034121497</v>
      </c>
      <c r="AL6592">
        <v>87.4374599154729</v>
      </c>
      <c r="AM6592">
        <v>88.429522115889696</v>
      </c>
      <c r="AN6592">
        <v>0.99999994054349794</v>
      </c>
    </row>
    <row r="6593" spans="1:40" x14ac:dyDescent="0.25">
      <c r="A6593" t="str">
        <f>"20190312151701311"</f>
        <v>20190312151701311</v>
      </c>
      <c r="B6593" t="str">
        <f>"1552375021304029"</f>
        <v>1552375021304029</v>
      </c>
      <c r="C6593" t="s">
        <v>40</v>
      </c>
      <c r="D6593">
        <v>4.3803419999999997</v>
      </c>
      <c r="E6593">
        <v>0.52597749999999999</v>
      </c>
      <c r="F6593" t="s">
        <v>43</v>
      </c>
      <c r="G6593">
        <v>-185.43600000000001</v>
      </c>
      <c r="H6593" s="1">
        <v>-1.4884119999999999E-6</v>
      </c>
      <c r="I6593">
        <v>60.453330000000001</v>
      </c>
      <c r="J6593">
        <v>-187.54140000000001</v>
      </c>
      <c r="K6593">
        <v>1.1096090000000001</v>
      </c>
      <c r="L6593">
        <v>14.74274</v>
      </c>
      <c r="M6593">
        <v>-5.0936500000000003E-2</v>
      </c>
      <c r="N6593">
        <v>0</v>
      </c>
      <c r="O6593">
        <v>0.99865859999999995</v>
      </c>
      <c r="P6593">
        <v>-2.353829E-2</v>
      </c>
      <c r="Q6593">
        <v>3.5496130000000001E-2</v>
      </c>
      <c r="R6593">
        <v>0.9990926</v>
      </c>
      <c r="S6593">
        <v>0.1361694</v>
      </c>
      <c r="T6593">
        <v>-7.2433949999999997E-2</v>
      </c>
      <c r="U6593">
        <v>3.008362</v>
      </c>
      <c r="V6593">
        <v>2.733039E-2</v>
      </c>
      <c r="W6593">
        <v>4.4819419999999999E-2</v>
      </c>
      <c r="X6593">
        <v>0.99862119999999999</v>
      </c>
      <c r="Y6593">
        <v>9.6032220000000001E-2</v>
      </c>
      <c r="Z6593">
        <v>-2.3955790000000001E-2</v>
      </c>
      <c r="AA6593">
        <v>0.99508989999999997</v>
      </c>
      <c r="AB6593">
        <v>37</v>
      </c>
      <c r="AC6593">
        <v>2.1054000000000301</v>
      </c>
      <c r="AD6593">
        <v>-1.1096104884119999</v>
      </c>
      <c r="AE6593">
        <v>45.710590000000003</v>
      </c>
      <c r="AF6593">
        <v>4.4285008579034404</v>
      </c>
      <c r="AG6593">
        <v>-1.1096104884119999</v>
      </c>
      <c r="AH6593">
        <v>45.517236590485098</v>
      </c>
      <c r="AI6593">
        <v>91.389908690857695</v>
      </c>
      <c r="AJ6593">
        <v>84.443021227473096</v>
      </c>
      <c r="AK6593">
        <v>45.745619266970699</v>
      </c>
      <c r="AL6593">
        <v>87.431175910610193</v>
      </c>
      <c r="AM6593">
        <v>88.4323132629507</v>
      </c>
      <c r="AN6593">
        <v>1.00000001585806</v>
      </c>
    </row>
    <row r="6594" spans="1:40" x14ac:dyDescent="0.25">
      <c r="A6594" t="str">
        <f>"20190312151701337"</f>
        <v>20190312151701337</v>
      </c>
      <c r="B6594" t="str">
        <f>"1552375021324526"</f>
        <v>1552375021324526</v>
      </c>
      <c r="C6594" t="s">
        <v>40</v>
      </c>
      <c r="D6594">
        <v>4.397659</v>
      </c>
      <c r="E6594">
        <v>0.52619709999999997</v>
      </c>
      <c r="F6594" t="s">
        <v>43</v>
      </c>
      <c r="G6594">
        <v>-185.5891</v>
      </c>
      <c r="H6594" s="1">
        <v>-4.5462980000000004E-6</v>
      </c>
      <c r="I6594">
        <v>58.406440000000003</v>
      </c>
      <c r="J6594">
        <v>-187.56180000000001</v>
      </c>
      <c r="K6594">
        <v>1.1095759999999999</v>
      </c>
      <c r="L6594">
        <v>15.13419</v>
      </c>
      <c r="M6594">
        <v>-5.141561E-2</v>
      </c>
      <c r="N6594">
        <v>0</v>
      </c>
      <c r="O6594">
        <v>0.99863389999999996</v>
      </c>
      <c r="P6594">
        <v>-2.4465710000000002E-2</v>
      </c>
      <c r="Q6594">
        <v>3.536624E-2</v>
      </c>
      <c r="R6594">
        <v>0.99907489999999999</v>
      </c>
      <c r="S6594">
        <v>0.13452149999999999</v>
      </c>
      <c r="T6594">
        <v>-7.6456899999999994E-2</v>
      </c>
      <c r="U6594">
        <v>3.0086059999999999</v>
      </c>
      <c r="V6594">
        <v>2.6886400000000001E-2</v>
      </c>
      <c r="W6594">
        <v>4.4705090000000003E-2</v>
      </c>
      <c r="X6594">
        <v>0.99863829999999998</v>
      </c>
      <c r="Y6594">
        <v>9.5960690000000001E-2</v>
      </c>
      <c r="Z6594">
        <v>-2.5282869999999999E-2</v>
      </c>
      <c r="AA6594">
        <v>0.99506399999999995</v>
      </c>
      <c r="AB6594">
        <v>37</v>
      </c>
      <c r="AC6594">
        <v>1.9726999999999999</v>
      </c>
      <c r="AD6594">
        <v>-1.109580546298</v>
      </c>
      <c r="AE6594">
        <v>43.27225</v>
      </c>
      <c r="AF6594">
        <v>4.1923054855244004</v>
      </c>
      <c r="AG6594">
        <v>-1.109580546298</v>
      </c>
      <c r="AH6594">
        <v>43.085308672834103</v>
      </c>
      <c r="AI6594">
        <v>91.468286975620003</v>
      </c>
      <c r="AJ6594">
        <v>84.442476131211606</v>
      </c>
      <c r="AK6594">
        <v>43.303007028450999</v>
      </c>
      <c r="AL6594">
        <v>87.437732912158296</v>
      </c>
      <c r="AM6594">
        <v>88.457794776658503</v>
      </c>
      <c r="AN6594">
        <v>0.99999993890187699</v>
      </c>
    </row>
    <row r="6595" spans="1:40" x14ac:dyDescent="0.25">
      <c r="A6595" t="str">
        <f>"20190312151701360"</f>
        <v>20190312151701360</v>
      </c>
      <c r="B6595" t="str">
        <f>"1552375021354782"</f>
        <v>1552375021354782</v>
      </c>
      <c r="C6595" t="s">
        <v>40</v>
      </c>
      <c r="D6595">
        <v>4.7219889999999998</v>
      </c>
      <c r="E6595">
        <v>0.52647659999999996</v>
      </c>
      <c r="F6595" t="s">
        <v>43</v>
      </c>
      <c r="G6595">
        <v>-185.7354</v>
      </c>
      <c r="H6595" s="1">
        <v>-3.6257529999999998E-6</v>
      </c>
      <c r="I6595">
        <v>56.321159999999999</v>
      </c>
      <c r="J6595">
        <v>-187.583</v>
      </c>
      <c r="K6595">
        <v>1.109526</v>
      </c>
      <c r="L6595">
        <v>15.53912</v>
      </c>
      <c r="M6595">
        <v>-5.1836640000000003E-2</v>
      </c>
      <c r="N6595">
        <v>0</v>
      </c>
      <c r="O6595">
        <v>0.9986119</v>
      </c>
      <c r="P6595">
        <v>-2.497653E-2</v>
      </c>
      <c r="Q6595">
        <v>3.5615479999999998E-2</v>
      </c>
      <c r="R6595">
        <v>0.99905339999999998</v>
      </c>
      <c r="S6595">
        <v>0.13342290000000001</v>
      </c>
      <c r="T6595">
        <v>-8.1060289999999993E-2</v>
      </c>
      <c r="U6595">
        <v>3.0089109999999999</v>
      </c>
      <c r="V6595">
        <v>2.680153E-2</v>
      </c>
      <c r="W6595">
        <v>4.4968519999999998E-2</v>
      </c>
      <c r="X6595">
        <v>0.99862879999999998</v>
      </c>
      <c r="Y6595">
        <v>9.6011529999999998E-2</v>
      </c>
      <c r="Z6595">
        <v>-2.6800609999999999E-2</v>
      </c>
      <c r="AA6595">
        <v>0.9950194</v>
      </c>
      <c r="AB6595">
        <v>37</v>
      </c>
      <c r="AC6595">
        <v>1.8475999999999999</v>
      </c>
      <c r="AD6595">
        <v>-1.1095296257529901</v>
      </c>
      <c r="AE6595">
        <v>40.782040000000002</v>
      </c>
      <c r="AF6595">
        <v>3.9562895833164098</v>
      </c>
      <c r="AG6595">
        <v>-1.1095296257529901</v>
      </c>
      <c r="AH6595">
        <v>40.601438378650897</v>
      </c>
      <c r="AI6595">
        <v>91.5579767796808</v>
      </c>
      <c r="AJ6595">
        <v>84.434548896514798</v>
      </c>
      <c r="AK6595">
        <v>40.808823576193198</v>
      </c>
      <c r="AL6595">
        <v>87.422624408506195</v>
      </c>
      <c r="AM6595">
        <v>88.462645966398995</v>
      </c>
      <c r="AN6595">
        <v>0.99999998499538501</v>
      </c>
    </row>
    <row r="6596" spans="1:40" x14ac:dyDescent="0.25">
      <c r="A6596" t="str">
        <f>"20190312151701389"</f>
        <v>20190312151701389</v>
      </c>
      <c r="B6596" t="str">
        <f>"1552375021384061"</f>
        <v>1552375021384061</v>
      </c>
      <c r="C6596" t="s">
        <v>40</v>
      </c>
      <c r="D6596">
        <v>4.4265470000000002</v>
      </c>
      <c r="E6596">
        <v>0.52661530000000001</v>
      </c>
      <c r="F6596" t="s">
        <v>43</v>
      </c>
      <c r="G6596">
        <v>-185.77080000000001</v>
      </c>
      <c r="H6596" s="1">
        <v>-3.5583790000000002E-6</v>
      </c>
      <c r="I6596">
        <v>56.178730000000002</v>
      </c>
      <c r="J6596">
        <v>-187.6086</v>
      </c>
      <c r="K6596">
        <v>1.109456</v>
      </c>
      <c r="L6596">
        <v>16.02393</v>
      </c>
      <c r="M6596">
        <v>-5.2249129999999998E-2</v>
      </c>
      <c r="N6596">
        <v>0</v>
      </c>
      <c r="O6596">
        <v>0.99859019999999998</v>
      </c>
      <c r="P6596">
        <v>-2.486238E-2</v>
      </c>
      <c r="Q6596">
        <v>3.5996529999999999E-2</v>
      </c>
      <c r="R6596">
        <v>0.9990426</v>
      </c>
      <c r="S6596">
        <v>0.13418579999999999</v>
      </c>
      <c r="T6596">
        <v>-8.2154149999999995E-2</v>
      </c>
      <c r="U6596">
        <v>3.009125</v>
      </c>
      <c r="V6596">
        <v>2.7334710000000002E-2</v>
      </c>
      <c r="W6596">
        <v>4.5365320000000001E-2</v>
      </c>
      <c r="X6596">
        <v>0.99859640000000005</v>
      </c>
      <c r="Y6596">
        <v>9.6670889999999995E-2</v>
      </c>
      <c r="Z6596">
        <v>-2.7158169999999999E-2</v>
      </c>
      <c r="AA6596">
        <v>0.99494579999999999</v>
      </c>
      <c r="AB6596">
        <v>37</v>
      </c>
      <c r="AC6596">
        <v>1.8377999999999799</v>
      </c>
      <c r="AD6596">
        <v>-1.1094595583789999</v>
      </c>
      <c r="AE6596">
        <v>40.154800000000002</v>
      </c>
      <c r="AF6596">
        <v>3.9304406056715901</v>
      </c>
      <c r="AG6596">
        <v>-1.1094595583789999</v>
      </c>
      <c r="AH6596">
        <v>39.973467672147599</v>
      </c>
      <c r="AI6596">
        <v>91.582204314090802</v>
      </c>
      <c r="AJ6596">
        <v>84.384372639945397</v>
      </c>
      <c r="AK6596">
        <v>40.1815552412126</v>
      </c>
      <c r="AL6596">
        <v>87.399866215269796</v>
      </c>
      <c r="AM6596">
        <v>88.432026668984804</v>
      </c>
      <c r="AN6596">
        <v>0.99999998436122295</v>
      </c>
    </row>
    <row r="6597" spans="1:40" x14ac:dyDescent="0.25">
      <c r="A6597" t="str">
        <f>"20190312151701412"</f>
        <v>20190312151701412</v>
      </c>
      <c r="B6597" t="str">
        <f>"1552375021404558"</f>
        <v>1552375021404558</v>
      </c>
      <c r="C6597" t="s">
        <v>40</v>
      </c>
      <c r="D6597">
        <v>4.413748</v>
      </c>
      <c r="E6597">
        <v>0.52667129999999995</v>
      </c>
      <c r="F6597" t="s">
        <v>43</v>
      </c>
      <c r="G6597">
        <v>-185.7106</v>
      </c>
      <c r="H6597" s="1">
        <v>-4.3964470000000002E-6</v>
      </c>
      <c r="I6597">
        <v>58.107410000000002</v>
      </c>
      <c r="J6597">
        <v>-187.62799999999999</v>
      </c>
      <c r="K6597">
        <v>1.109402</v>
      </c>
      <c r="L6597">
        <v>16.39105</v>
      </c>
      <c r="M6597">
        <v>-5.2473209999999999E-2</v>
      </c>
      <c r="N6597">
        <v>0</v>
      </c>
      <c r="O6597">
        <v>0.99857839999999998</v>
      </c>
      <c r="P6597">
        <v>-2.4316859999999999E-2</v>
      </c>
      <c r="Q6597">
        <v>3.631334E-2</v>
      </c>
      <c r="R6597">
        <v>0.9990445</v>
      </c>
      <c r="S6597">
        <v>0.13571169999999999</v>
      </c>
      <c r="T6597">
        <v>-7.9329730000000001E-2</v>
      </c>
      <c r="U6597">
        <v>3.0090940000000002</v>
      </c>
      <c r="V6597">
        <v>2.8110019999999999E-2</v>
      </c>
      <c r="W6597">
        <v>4.5692570000000002E-2</v>
      </c>
      <c r="X6597">
        <v>0.99856</v>
      </c>
      <c r="Y6597">
        <v>9.7399299999999994E-2</v>
      </c>
      <c r="Z6597">
        <v>-2.6223710000000001E-2</v>
      </c>
      <c r="AA6597">
        <v>0.99489989999999995</v>
      </c>
      <c r="AB6597">
        <v>37</v>
      </c>
      <c r="AC6597">
        <v>1.91739999999998</v>
      </c>
      <c r="AD6597">
        <v>-1.109406396447</v>
      </c>
      <c r="AE6597">
        <v>41.716360000000002</v>
      </c>
      <c r="AF6597">
        <v>4.1009513313160699</v>
      </c>
      <c r="AG6597">
        <v>-1.109406396447</v>
      </c>
      <c r="AH6597">
        <v>41.528957980111997</v>
      </c>
      <c r="AI6597">
        <v>91.522834649442601</v>
      </c>
      <c r="AJ6597">
        <v>84.360371678533895</v>
      </c>
      <c r="AK6597">
        <v>41.7456936136916</v>
      </c>
      <c r="AL6597">
        <v>87.3810968241349</v>
      </c>
      <c r="AM6597">
        <v>88.387517753595105</v>
      </c>
      <c r="AN6597">
        <v>1.0000000288888</v>
      </c>
    </row>
    <row r="6598" spans="1:40" x14ac:dyDescent="0.25">
      <c r="A6598" t="str">
        <f>"20190312151701435"</f>
        <v>20190312151701435</v>
      </c>
      <c r="B6598" t="str">
        <f>"1552375021425054"</f>
        <v>1552375021425054</v>
      </c>
      <c r="C6598" t="s">
        <v>40</v>
      </c>
      <c r="D6598">
        <v>4.4274829999999996</v>
      </c>
      <c r="E6598">
        <v>0.5268313</v>
      </c>
      <c r="F6598" t="s">
        <v>43</v>
      </c>
      <c r="G6598">
        <v>-185.6908</v>
      </c>
      <c r="H6598" s="1">
        <v>-4.6472470000000004E-6</v>
      </c>
      <c r="I6598">
        <v>58.683819999999997</v>
      </c>
      <c r="J6598">
        <v>-187.64779999999999</v>
      </c>
      <c r="K6598">
        <v>1.1093440000000001</v>
      </c>
      <c r="L6598">
        <v>16.76501</v>
      </c>
      <c r="M6598">
        <v>-5.2621580000000001E-2</v>
      </c>
      <c r="N6598">
        <v>0</v>
      </c>
      <c r="O6598">
        <v>0.99857039999999997</v>
      </c>
      <c r="P6598">
        <v>-2.3729569999999998E-2</v>
      </c>
      <c r="Q6598">
        <v>3.7613029999999999E-2</v>
      </c>
      <c r="R6598">
        <v>0.99901059999999997</v>
      </c>
      <c r="S6598">
        <v>0.1378326</v>
      </c>
      <c r="T6598">
        <v>-7.8933359999999994E-2</v>
      </c>
      <c r="U6598">
        <v>3.0090940000000002</v>
      </c>
      <c r="V6598">
        <v>2.884925E-2</v>
      </c>
      <c r="W6598">
        <v>4.700199E-2</v>
      </c>
      <c r="X6598">
        <v>0.99847810000000004</v>
      </c>
      <c r="Y6598">
        <v>9.8247130000000002E-2</v>
      </c>
      <c r="Z6598">
        <v>-2.609096E-2</v>
      </c>
      <c r="AA6598">
        <v>0.99481989999999998</v>
      </c>
      <c r="AB6598">
        <v>37</v>
      </c>
      <c r="AC6598">
        <v>1.9569999999999901</v>
      </c>
      <c r="AD6598">
        <v>-1.109348647247</v>
      </c>
      <c r="AE6598">
        <v>41.918809999999901</v>
      </c>
      <c r="AF6598">
        <v>4.1573143378965698</v>
      </c>
      <c r="AG6598">
        <v>-1.109348647247</v>
      </c>
      <c r="AH6598">
        <v>41.728581178004703</v>
      </c>
      <c r="AI6598">
        <v>91.5153435199244</v>
      </c>
      <c r="AJ6598">
        <v>84.310538846642402</v>
      </c>
      <c r="AK6598">
        <v>41.949831990778698</v>
      </c>
      <c r="AL6598">
        <v>87.305991771049605</v>
      </c>
      <c r="AM6598">
        <v>88.345000727500505</v>
      </c>
      <c r="AN6598">
        <v>0.99999999123456595</v>
      </c>
    </row>
    <row r="6599" spans="1:40" x14ac:dyDescent="0.25">
      <c r="A6599" t="str">
        <f>"20190312151701458"</f>
        <v>20190312151701458</v>
      </c>
      <c r="B6599" t="str">
        <f>"1552375021454334"</f>
        <v>1552375021454334</v>
      </c>
      <c r="C6599" t="s">
        <v>40</v>
      </c>
      <c r="D6599">
        <v>4.8315669999999997</v>
      </c>
      <c r="E6599">
        <v>0.54255790000000004</v>
      </c>
      <c r="F6599" t="s">
        <v>43</v>
      </c>
      <c r="G6599">
        <v>-185.55950000000001</v>
      </c>
      <c r="H6599" s="1">
        <v>-1.7671030000000001E-6</v>
      </c>
      <c r="I6599">
        <v>61.368870000000001</v>
      </c>
      <c r="J6599">
        <v>-187.6678</v>
      </c>
      <c r="K6599">
        <v>1.109281</v>
      </c>
      <c r="L6599">
        <v>17.14301</v>
      </c>
      <c r="M6599">
        <v>-5.270449E-2</v>
      </c>
      <c r="N6599">
        <v>0</v>
      </c>
      <c r="O6599">
        <v>0.99856590000000001</v>
      </c>
      <c r="P6599">
        <v>-2.219579E-2</v>
      </c>
      <c r="Q6599">
        <v>3.8918029999999999E-2</v>
      </c>
      <c r="R6599">
        <v>0.99899579999999999</v>
      </c>
      <c r="S6599">
        <v>0.14088439999999999</v>
      </c>
      <c r="T6599">
        <v>-7.4840190000000001E-2</v>
      </c>
      <c r="U6599">
        <v>3.009125</v>
      </c>
      <c r="V6599">
        <v>3.0469199999999998E-2</v>
      </c>
      <c r="W6599">
        <v>4.8315610000000002E-2</v>
      </c>
      <c r="X6599">
        <v>0.99836729999999996</v>
      </c>
      <c r="Y6599">
        <v>9.9337599999999998E-2</v>
      </c>
      <c r="Z6599">
        <v>-2.473651E-2</v>
      </c>
      <c r="AA6599">
        <v>0.99474629999999997</v>
      </c>
      <c r="AB6599">
        <v>37</v>
      </c>
      <c r="AC6599">
        <v>2.1082999999999799</v>
      </c>
      <c r="AD6599">
        <v>-1.1092827671029999</v>
      </c>
      <c r="AE6599">
        <v>44.225859999999997</v>
      </c>
      <c r="AF6599">
        <v>4.4335910043744704</v>
      </c>
      <c r="AG6599">
        <v>-1.1092827671029999</v>
      </c>
      <c r="AH6599">
        <v>44.025631070105803</v>
      </c>
      <c r="AI6599">
        <v>91.436075441978105</v>
      </c>
      <c r="AJ6599">
        <v>84.249429177583295</v>
      </c>
      <c r="AK6599">
        <v>44.262212197003102</v>
      </c>
      <c r="AL6599">
        <v>87.230641334501001</v>
      </c>
      <c r="AM6599">
        <v>88.251931065692503</v>
      </c>
      <c r="AN6599">
        <v>1.0000000180138</v>
      </c>
    </row>
    <row r="6600" spans="1:40" x14ac:dyDescent="0.25">
      <c r="A6600" t="str">
        <f>"20190312151701479"</f>
        <v>20190312151701479</v>
      </c>
      <c r="B6600" t="str">
        <f>"1552375021474829"</f>
        <v>1552375021474829</v>
      </c>
      <c r="C6600" t="s">
        <v>40</v>
      </c>
      <c r="D6600">
        <v>4.5358900000000002</v>
      </c>
      <c r="E6600">
        <v>0.54690890000000003</v>
      </c>
      <c r="F6600" t="s">
        <v>43</v>
      </c>
      <c r="G6600">
        <v>-181.84299999999999</v>
      </c>
      <c r="H6600" s="1">
        <v>-2.9264230000000001E-6</v>
      </c>
      <c r="I6600">
        <v>81.869759999999999</v>
      </c>
      <c r="J6600">
        <v>-187.68620000000001</v>
      </c>
      <c r="K6600">
        <v>1.109237</v>
      </c>
      <c r="L6600">
        <v>17.490479999999899</v>
      </c>
      <c r="M6600">
        <v>-5.2734139999999999E-2</v>
      </c>
      <c r="N6600">
        <v>0</v>
      </c>
      <c r="O6600">
        <v>0.99856420000000001</v>
      </c>
      <c r="P6600">
        <v>-2.0957659999999999E-2</v>
      </c>
      <c r="Q6600">
        <v>3.9387999999999999E-2</v>
      </c>
      <c r="R6600">
        <v>0.99900420000000001</v>
      </c>
      <c r="S6600">
        <v>0.27096559999999997</v>
      </c>
      <c r="T6600">
        <v>-5.1603200000000002E-2</v>
      </c>
      <c r="U6600">
        <v>3.011047</v>
      </c>
      <c r="V6600">
        <v>3.1741150000000003E-2</v>
      </c>
      <c r="W6600">
        <v>4.8793789999999997E-2</v>
      </c>
      <c r="X6600">
        <v>0.99830439999999998</v>
      </c>
      <c r="Y6600">
        <v>0.1420148</v>
      </c>
      <c r="Z6600">
        <v>-1.6978509999999999E-2</v>
      </c>
      <c r="AA6600">
        <v>0.98971889999999996</v>
      </c>
      <c r="AB6600">
        <v>37</v>
      </c>
      <c r="AC6600">
        <v>5.8432000000000199</v>
      </c>
      <c r="AD6600">
        <v>-1.109239926423</v>
      </c>
      <c r="AE6600">
        <v>64.379279999999994</v>
      </c>
      <c r="AF6600">
        <v>9.2274884957898493</v>
      </c>
      <c r="AG6600">
        <v>-1.109239926423</v>
      </c>
      <c r="AH6600">
        <v>63.962710977641201</v>
      </c>
      <c r="AI6600">
        <v>90.983344608790603</v>
      </c>
      <c r="AJ6600">
        <v>81.790943020362704</v>
      </c>
      <c r="AK6600">
        <v>64.634397597282302</v>
      </c>
      <c r="AL6600">
        <v>87.203211248849001</v>
      </c>
      <c r="AM6600">
        <v>88.178890658403006</v>
      </c>
      <c r="AN6600">
        <v>1.0000000048026201</v>
      </c>
    </row>
    <row r="6601" spans="1:40" x14ac:dyDescent="0.25">
      <c r="A6601" t="str">
        <f>"20190312151701503"</f>
        <v>20190312151701503</v>
      </c>
      <c r="B6601" t="str">
        <f>"1552375021494350"</f>
        <v>1552375021494350</v>
      </c>
      <c r="C6601" t="s">
        <v>40</v>
      </c>
      <c r="D6601">
        <v>4.5237939999999996</v>
      </c>
      <c r="E6601">
        <v>0.54823840000000001</v>
      </c>
      <c r="F6601" t="s">
        <v>43</v>
      </c>
      <c r="G6601">
        <v>-180.6969</v>
      </c>
      <c r="H6601" s="1">
        <v>-4.4772500000000002E-6</v>
      </c>
      <c r="I6601">
        <v>85.530799999999999</v>
      </c>
      <c r="J6601">
        <v>-187.7072</v>
      </c>
      <c r="K6601">
        <v>1.1091839999999999</v>
      </c>
      <c r="L6601">
        <v>17.887879999999999</v>
      </c>
      <c r="M6601">
        <v>-5.2709520000000003E-2</v>
      </c>
      <c r="N6601">
        <v>0</v>
      </c>
      <c r="O6601">
        <v>0.99856540000000005</v>
      </c>
      <c r="P6601">
        <v>-1.9074500000000001E-2</v>
      </c>
      <c r="Q6601">
        <v>3.865006E-2</v>
      </c>
      <c r="R6601">
        <v>0.99907080000000004</v>
      </c>
      <c r="S6601">
        <v>0.30934139999999999</v>
      </c>
      <c r="T6601">
        <v>-4.9094199999999998E-2</v>
      </c>
      <c r="U6601">
        <v>3.0114139999999998</v>
      </c>
      <c r="V6601">
        <v>3.3606829999999997E-2</v>
      </c>
      <c r="W6601">
        <v>4.8064129999999997E-2</v>
      </c>
      <c r="X6601">
        <v>0.99827869999999996</v>
      </c>
      <c r="Y6601">
        <v>0.15446579999999999</v>
      </c>
      <c r="Z6601">
        <v>-1.612628E-2</v>
      </c>
      <c r="AA6601">
        <v>0.98786649999999998</v>
      </c>
      <c r="AB6601">
        <v>37</v>
      </c>
      <c r="AC6601">
        <v>7.0103</v>
      </c>
      <c r="AD6601">
        <v>-1.10918847725</v>
      </c>
      <c r="AE6601">
        <v>67.642919999999904</v>
      </c>
      <c r="AF6601">
        <v>10.563328136784</v>
      </c>
      <c r="AG6601">
        <v>-1.10918847725</v>
      </c>
      <c r="AH6601">
        <v>67.161487582291898</v>
      </c>
      <c r="AI6601">
        <v>90.934679614636195</v>
      </c>
      <c r="AJ6601">
        <v>81.0616007130089</v>
      </c>
      <c r="AK6601">
        <v>67.996173529616996</v>
      </c>
      <c r="AL6601">
        <v>87.245066707610107</v>
      </c>
      <c r="AM6601">
        <v>88.071878520373701</v>
      </c>
      <c r="AN6601">
        <v>0.99999997124449702</v>
      </c>
    </row>
    <row r="6602" spans="1:40" x14ac:dyDescent="0.25">
      <c r="A6602" t="str">
        <f>"20190312151701523"</f>
        <v>20190312151701523</v>
      </c>
      <c r="B6602" t="str">
        <f>"1552375021514846"</f>
        <v>1552375021514846</v>
      </c>
      <c r="C6602" t="s">
        <v>40</v>
      </c>
      <c r="D6602">
        <v>4.4982179999999996</v>
      </c>
      <c r="E6602">
        <v>0.54893579999999997</v>
      </c>
      <c r="F6602" t="s">
        <v>43</v>
      </c>
      <c r="G6602">
        <v>-181.67779999999999</v>
      </c>
      <c r="H6602" s="1">
        <v>-3.575824E-6</v>
      </c>
      <c r="I6602">
        <v>73.648919999999904</v>
      </c>
      <c r="J6602">
        <v>-187.72569999999999</v>
      </c>
      <c r="K6602">
        <v>1.1091359999999999</v>
      </c>
      <c r="L6602">
        <v>18.239719999999998</v>
      </c>
      <c r="M6602">
        <v>-5.2634430000000003E-2</v>
      </c>
      <c r="N6602">
        <v>0</v>
      </c>
      <c r="O6602">
        <v>0.99856929999999999</v>
      </c>
      <c r="P6602">
        <v>-1.7845639999999999E-2</v>
      </c>
      <c r="Q6602">
        <v>3.7327970000000002E-2</v>
      </c>
      <c r="R6602">
        <v>0.99914369999999997</v>
      </c>
      <c r="S6602">
        <v>0.32560729999999999</v>
      </c>
      <c r="T6602">
        <v>-5.9900639999999998E-2</v>
      </c>
      <c r="U6602">
        <v>3.0113219999999998</v>
      </c>
      <c r="V6602">
        <v>3.4768359999999998E-2</v>
      </c>
      <c r="W6602">
        <v>4.6749060000000002E-2</v>
      </c>
      <c r="X6602">
        <v>0.99830140000000001</v>
      </c>
      <c r="Y6602">
        <v>0.1596629</v>
      </c>
      <c r="Z6602">
        <v>-1.9661640000000001E-2</v>
      </c>
      <c r="AA6602">
        <v>0.98697579999999996</v>
      </c>
      <c r="AB6602">
        <v>37</v>
      </c>
      <c r="AC6602">
        <v>6.0478999999999896</v>
      </c>
      <c r="AD6602">
        <v>-1.1091395758239999</v>
      </c>
      <c r="AE6602">
        <v>55.409199999999899</v>
      </c>
      <c r="AF6602">
        <v>8.95253238971992</v>
      </c>
      <c r="AG6602">
        <v>-1.1091395758239999</v>
      </c>
      <c r="AH6602">
        <v>54.992270204620503</v>
      </c>
      <c r="AI6602">
        <v>91.140433063619597</v>
      </c>
      <c r="AJ6602">
        <v>80.753580366026299</v>
      </c>
      <c r="AK6602">
        <v>55.7272627090694</v>
      </c>
      <c r="AL6602">
        <v>87.320499562336707</v>
      </c>
      <c r="AM6602">
        <v>88.005336425447496</v>
      </c>
      <c r="AN6602">
        <v>0.99999999935496597</v>
      </c>
    </row>
    <row r="6603" spans="1:40" x14ac:dyDescent="0.25">
      <c r="A6603" t="str">
        <f>"20190312151701549"</f>
        <v>20190312151701549</v>
      </c>
      <c r="B6603" t="str">
        <f>"1552375021544126"</f>
        <v>1552375021544126</v>
      </c>
      <c r="C6603" t="s">
        <v>40</v>
      </c>
      <c r="D6603">
        <v>4.509652</v>
      </c>
      <c r="E6603">
        <v>0.54916279999999995</v>
      </c>
      <c r="F6603" t="s">
        <v>43</v>
      </c>
      <c r="G6603">
        <v>-182.82329999999999</v>
      </c>
      <c r="H6603" s="1">
        <v>-2.8166650000000002E-6</v>
      </c>
      <c r="I6603">
        <v>62.313659999999999</v>
      </c>
      <c r="J6603">
        <v>-187.7474</v>
      </c>
      <c r="K6603">
        <v>1.1090679999999999</v>
      </c>
      <c r="L6603">
        <v>18.652979999999999</v>
      </c>
      <c r="M6603">
        <v>-5.2482420000000002E-2</v>
      </c>
      <c r="N6603">
        <v>0</v>
      </c>
      <c r="O6603">
        <v>0.99857720000000005</v>
      </c>
      <c r="P6603">
        <v>-1.667716E-2</v>
      </c>
      <c r="Q6603">
        <v>3.6238739999999998E-2</v>
      </c>
      <c r="R6603">
        <v>0.99920399999999998</v>
      </c>
      <c r="S6603">
        <v>0.33496090000000001</v>
      </c>
      <c r="T6603">
        <v>-7.5782660000000002E-2</v>
      </c>
      <c r="U6603">
        <v>3.0113829999999999</v>
      </c>
      <c r="V6603">
        <v>3.5793199999999997E-2</v>
      </c>
      <c r="W6603">
        <v>4.5666850000000002E-2</v>
      </c>
      <c r="X6603">
        <v>0.99831530000000002</v>
      </c>
      <c r="Y6603">
        <v>0.16252620000000001</v>
      </c>
      <c r="Z6603">
        <v>-2.486151E-2</v>
      </c>
      <c r="AA6603">
        <v>0.98639089999999996</v>
      </c>
      <c r="AB6603">
        <v>37</v>
      </c>
      <c r="AC6603">
        <v>4.9241000000000099</v>
      </c>
      <c r="AD6603">
        <v>-1.1090708166649901</v>
      </c>
      <c r="AE6603">
        <v>43.660679999999999</v>
      </c>
      <c r="AF6603">
        <v>7.2042432990878602</v>
      </c>
      <c r="AG6603">
        <v>-1.1090708166649901</v>
      </c>
      <c r="AH6603">
        <v>43.314465140455397</v>
      </c>
      <c r="AI6603">
        <v>91.446875317598597</v>
      </c>
      <c r="AJ6603">
        <v>80.556771021754201</v>
      </c>
      <c r="AK6603">
        <v>43.923502250988101</v>
      </c>
      <c r="AL6603">
        <v>87.382572004613394</v>
      </c>
      <c r="AM6603">
        <v>87.946619451755694</v>
      </c>
      <c r="AN6603">
        <v>1.00000002628462</v>
      </c>
    </row>
    <row r="6604" spans="1:40" x14ac:dyDescent="0.25">
      <c r="A6604" t="str">
        <f>"20190312151701569"</f>
        <v>20190312151701569</v>
      </c>
      <c r="B6604" t="str">
        <f>"1552375021564623"</f>
        <v>1552375021564623</v>
      </c>
      <c r="C6604" t="s">
        <v>40</v>
      </c>
      <c r="D6604">
        <v>4.5663179999999999</v>
      </c>
      <c r="E6604">
        <v>0.5491663</v>
      </c>
      <c r="F6604" t="s">
        <v>43</v>
      </c>
      <c r="G6604">
        <v>-183.61789999999999</v>
      </c>
      <c r="H6604" s="1">
        <v>-3.587111E-6</v>
      </c>
      <c r="I6604">
        <v>55.198929999999997</v>
      </c>
      <c r="J6604">
        <v>-187.7655</v>
      </c>
      <c r="K6604">
        <v>1.1090089999999999</v>
      </c>
      <c r="L6604">
        <v>18.999569999999999</v>
      </c>
      <c r="M6604">
        <v>-5.230042E-2</v>
      </c>
      <c r="N6604">
        <v>0</v>
      </c>
      <c r="O6604">
        <v>0.99858670000000005</v>
      </c>
      <c r="P6604">
        <v>-1.5718889999999999E-2</v>
      </c>
      <c r="Q6604">
        <v>3.5676390000000002E-2</v>
      </c>
      <c r="R6604">
        <v>0.99923969999999995</v>
      </c>
      <c r="S6604">
        <v>0.34027099999999999</v>
      </c>
      <c r="T6604">
        <v>-9.1387389999999999E-2</v>
      </c>
      <c r="U6604">
        <v>3.0113829999999999</v>
      </c>
      <c r="V6604">
        <v>3.6575950000000003E-2</v>
      </c>
      <c r="W6604">
        <v>4.510952E-2</v>
      </c>
      <c r="X6604">
        <v>0.99831219999999998</v>
      </c>
      <c r="Y6604">
        <v>0.1640481</v>
      </c>
      <c r="Z6604">
        <v>-2.997025E-2</v>
      </c>
      <c r="AA6604">
        <v>0.98599700000000001</v>
      </c>
      <c r="AB6604">
        <v>37</v>
      </c>
      <c r="AC6604">
        <v>4.1476000000000104</v>
      </c>
      <c r="AD6604">
        <v>-1.1090125871109999</v>
      </c>
      <c r="AE6604">
        <v>36.199359999999999</v>
      </c>
      <c r="AF6604">
        <v>6.0296633259626704</v>
      </c>
      <c r="AG6604">
        <v>-1.1090125871109999</v>
      </c>
      <c r="AH6604">
        <v>35.899624044269402</v>
      </c>
      <c r="AI6604">
        <v>91.744994023363304</v>
      </c>
      <c r="AJ6604">
        <v>80.465651430359301</v>
      </c>
      <c r="AK6604">
        <v>36.419359621809797</v>
      </c>
      <c r="AL6604">
        <v>87.414537429302399</v>
      </c>
      <c r="AM6604">
        <v>87.901747930748698</v>
      </c>
      <c r="AN6604">
        <v>0.99999995879093495</v>
      </c>
    </row>
    <row r="6605" spans="1:40" x14ac:dyDescent="0.25">
      <c r="A6605" t="str">
        <f>"20190312151701590"</f>
        <v>20190312151701590</v>
      </c>
      <c r="B6605" t="str">
        <f>"1552375021584141"</f>
        <v>1552375021584141</v>
      </c>
      <c r="C6605" t="s">
        <v>40</v>
      </c>
      <c r="D6605">
        <v>4.6273309999999999</v>
      </c>
      <c r="E6605">
        <v>0.54926409999999903</v>
      </c>
      <c r="F6605" t="s">
        <v>43</v>
      </c>
      <c r="G6605">
        <v>-183.8836</v>
      </c>
      <c r="H6605" s="1">
        <v>-2.778701E-6</v>
      </c>
      <c r="I6605">
        <v>53.031170000000003</v>
      </c>
      <c r="J6605">
        <v>-187.78440000000001</v>
      </c>
      <c r="K6605">
        <v>1.1089359999999999</v>
      </c>
      <c r="L6605">
        <v>19.365570000000002</v>
      </c>
      <c r="M6605">
        <v>-5.205796E-2</v>
      </c>
      <c r="N6605">
        <v>0</v>
      </c>
      <c r="O6605">
        <v>0.99859920000000002</v>
      </c>
      <c r="P6605">
        <v>-1.515714E-2</v>
      </c>
      <c r="Q6605">
        <v>3.5251610000000003E-2</v>
      </c>
      <c r="R6605">
        <v>0.99926349999999997</v>
      </c>
      <c r="S6605">
        <v>0.34347529999999998</v>
      </c>
      <c r="T6605">
        <v>-9.8128080000000006E-2</v>
      </c>
      <c r="U6605">
        <v>3.0112000000000001</v>
      </c>
      <c r="V6605">
        <v>3.6902020000000001E-2</v>
      </c>
      <c r="W6605">
        <v>4.4688899999999997E-2</v>
      </c>
      <c r="X6605">
        <v>0.99831910000000001</v>
      </c>
      <c r="Y6605">
        <v>0.1648433</v>
      </c>
      <c r="Z6605">
        <v>-3.2177079999999997E-2</v>
      </c>
      <c r="AA6605">
        <v>0.98579479999999997</v>
      </c>
      <c r="AB6605">
        <v>37</v>
      </c>
      <c r="AC6605">
        <v>3.9007999999999998</v>
      </c>
      <c r="AD6605">
        <v>-1.1089387787010001</v>
      </c>
      <c r="AE6605">
        <v>33.665599999999998</v>
      </c>
      <c r="AF6605">
        <v>5.6421105113014898</v>
      </c>
      <c r="AG6605">
        <v>-1.1089387787010001</v>
      </c>
      <c r="AH6605">
        <v>33.381130999786599</v>
      </c>
      <c r="AI6605">
        <v>91.876106036657305</v>
      </c>
      <c r="AJ6605">
        <v>80.406483235777799</v>
      </c>
      <c r="AK6605">
        <v>33.872748088420003</v>
      </c>
      <c r="AL6605">
        <v>87.438661464631195</v>
      </c>
      <c r="AM6605">
        <v>87.883073839246293</v>
      </c>
      <c r="AN6605">
        <v>0.999999941144048</v>
      </c>
    </row>
    <row r="6606" spans="1:40" x14ac:dyDescent="0.25">
      <c r="A6606" t="str">
        <f>"20190312151701614"</f>
        <v>20190312151701614</v>
      </c>
      <c r="B6606" t="str">
        <f>"1552375021604637"</f>
        <v>1552375021604637</v>
      </c>
      <c r="C6606" t="s">
        <v>40</v>
      </c>
      <c r="D6606">
        <v>4.6062110000000001</v>
      </c>
      <c r="E6606">
        <v>0.54934910000000003</v>
      </c>
      <c r="F6606" t="s">
        <v>43</v>
      </c>
      <c r="G6606">
        <v>-184.1404</v>
      </c>
      <c r="H6606" s="1">
        <v>-2.0523959999999999E-6</v>
      </c>
      <c r="I6606">
        <v>51.097659999999998</v>
      </c>
      <c r="J6606">
        <v>-187.80359999999999</v>
      </c>
      <c r="K6606">
        <v>1.108884</v>
      </c>
      <c r="L6606">
        <v>19.73856</v>
      </c>
      <c r="M6606">
        <v>-5.1758560000000002E-2</v>
      </c>
      <c r="N6606">
        <v>0</v>
      </c>
      <c r="O6606">
        <v>0.99861469999999997</v>
      </c>
      <c r="P6606">
        <v>-1.5154819999999999E-2</v>
      </c>
      <c r="Q6606">
        <v>3.5238270000000002E-2</v>
      </c>
      <c r="R6606">
        <v>0.99926400000000004</v>
      </c>
      <c r="S6606">
        <v>0.34579470000000001</v>
      </c>
      <c r="T6606">
        <v>-0.10523100000000001</v>
      </c>
      <c r="U6606">
        <v>3.0111690000000002</v>
      </c>
      <c r="V6606">
        <v>3.6611230000000002E-2</v>
      </c>
      <c r="W6606">
        <v>4.4680320000000003E-2</v>
      </c>
      <c r="X6606">
        <v>0.99833019999999995</v>
      </c>
      <c r="Y6606">
        <v>0.165289299999999</v>
      </c>
      <c r="Z6606">
        <v>-3.4501839999999999E-2</v>
      </c>
      <c r="AA6606">
        <v>0.9856414</v>
      </c>
      <c r="AB6606">
        <v>37</v>
      </c>
      <c r="AC6606">
        <v>3.6631999999999798</v>
      </c>
      <c r="AD6606">
        <v>-1.108886052396</v>
      </c>
      <c r="AE6606">
        <v>31.359100000000002</v>
      </c>
      <c r="AF6606">
        <v>5.2749572129249902</v>
      </c>
      <c r="AG6606">
        <v>-1.108886052396</v>
      </c>
      <c r="AH6606">
        <v>31.089102590581401</v>
      </c>
      <c r="AI6606">
        <v>92.013999512396794</v>
      </c>
      <c r="AJ6606">
        <v>80.3702082895513</v>
      </c>
      <c r="AK6606">
        <v>31.552925407370498</v>
      </c>
      <c r="AL6606">
        <v>87.439153578448995</v>
      </c>
      <c r="AM6606">
        <v>87.899763669356901</v>
      </c>
      <c r="AN6606">
        <v>0.99999995069472603</v>
      </c>
    </row>
    <row r="6607" spans="1:40" x14ac:dyDescent="0.25">
      <c r="A6607" t="str">
        <f>"20190312151701636"</f>
        <v>20190312151701636</v>
      </c>
      <c r="B6607" t="str">
        <f>"1552375021624168"</f>
        <v>1552375021624168</v>
      </c>
      <c r="C6607" t="s">
        <v>40</v>
      </c>
      <c r="D6607">
        <v>4.5941179999999999</v>
      </c>
      <c r="E6607">
        <v>0.54947500000000005</v>
      </c>
      <c r="F6607" t="s">
        <v>43</v>
      </c>
      <c r="G6607">
        <v>-184.24010000000001</v>
      </c>
      <c r="H6607" s="1">
        <v>-1.891444E-6</v>
      </c>
      <c r="I6607">
        <v>50.702629999999999</v>
      </c>
      <c r="J6607">
        <v>-187.82320000000001</v>
      </c>
      <c r="K6607">
        <v>1.1088279999999999</v>
      </c>
      <c r="L6607">
        <v>20.123080000000002</v>
      </c>
      <c r="M6607">
        <v>-5.1397579999999998E-2</v>
      </c>
      <c r="N6607">
        <v>0</v>
      </c>
      <c r="O6607">
        <v>0.99863329999999995</v>
      </c>
      <c r="P6607">
        <v>-1.5071889999999999E-2</v>
      </c>
      <c r="Q6607">
        <v>3.5653829999999997E-2</v>
      </c>
      <c r="R6607">
        <v>0.99925050000000004</v>
      </c>
      <c r="S6607">
        <v>0.34655760000000002</v>
      </c>
      <c r="T6607">
        <v>-0.1078393</v>
      </c>
      <c r="U6607">
        <v>3.0112610000000002</v>
      </c>
      <c r="V6607">
        <v>3.6338479999999999E-2</v>
      </c>
      <c r="W6607">
        <v>4.5100950000000001E-2</v>
      </c>
      <c r="X6607">
        <v>0.99832129999999997</v>
      </c>
      <c r="Y6607">
        <v>0.1651725</v>
      </c>
      <c r="Z6607">
        <v>-3.535572E-2</v>
      </c>
      <c r="AA6607">
        <v>0.98563080000000003</v>
      </c>
      <c r="AB6607">
        <v>37</v>
      </c>
      <c r="AC6607">
        <v>3.5831</v>
      </c>
      <c r="AD6607">
        <v>-1.108829891444</v>
      </c>
      <c r="AE6607">
        <v>30.579550000000001</v>
      </c>
      <c r="AF6607">
        <v>5.1434779685513297</v>
      </c>
      <c r="AG6607">
        <v>-1.108829891444</v>
      </c>
      <c r="AH6607">
        <v>30.3156376568909</v>
      </c>
      <c r="AI6607">
        <v>92.065238424996295</v>
      </c>
      <c r="AJ6607">
        <v>80.370656039785104</v>
      </c>
      <c r="AK6607">
        <v>30.768860165515299</v>
      </c>
      <c r="AL6607">
        <v>87.415029059520705</v>
      </c>
      <c r="AM6607">
        <v>87.915377796063893</v>
      </c>
      <c r="AN6607">
        <v>0.99999999942665097</v>
      </c>
    </row>
    <row r="6608" spans="1:40" x14ac:dyDescent="0.25">
      <c r="A6608" t="str">
        <f>"20190312151701657"</f>
        <v>20190312151701657</v>
      </c>
      <c r="B6608" t="str">
        <f>"1552375021654414"</f>
        <v>1552375021654414</v>
      </c>
      <c r="C6608" t="s">
        <v>40</v>
      </c>
      <c r="D6608">
        <v>4.6025029999999996</v>
      </c>
      <c r="E6608">
        <v>0.54953019999999997</v>
      </c>
      <c r="F6608" t="s">
        <v>43</v>
      </c>
      <c r="G6608">
        <v>-184.2422</v>
      </c>
      <c r="H6608" s="1">
        <v>-2.035246E-6</v>
      </c>
      <c r="I6608">
        <v>51.126840000000001</v>
      </c>
      <c r="J6608">
        <v>-187.84100000000001</v>
      </c>
      <c r="K6608">
        <v>1.1087899999999999</v>
      </c>
      <c r="L6608">
        <v>20.47522</v>
      </c>
      <c r="M6608">
        <v>-5.1032840000000003E-2</v>
      </c>
      <c r="N6608">
        <v>0</v>
      </c>
      <c r="O6608">
        <v>0.99865190000000004</v>
      </c>
      <c r="P6608">
        <v>-1.448554E-2</v>
      </c>
      <c r="Q6608">
        <v>3.5920970000000003E-2</v>
      </c>
      <c r="R6608">
        <v>0.99924959999999996</v>
      </c>
      <c r="S6608">
        <v>0.34782410000000002</v>
      </c>
      <c r="T6608">
        <v>-0.10769919999999999</v>
      </c>
      <c r="U6608">
        <v>3.0113530000000002</v>
      </c>
      <c r="V6608">
        <v>3.6564100000000002E-2</v>
      </c>
      <c r="W6608">
        <v>4.5371990000000001E-2</v>
      </c>
      <c r="X6608">
        <v>0.99830079999999999</v>
      </c>
      <c r="Y6608">
        <v>0.16521810000000001</v>
      </c>
      <c r="Z6608">
        <v>-3.530875E-2</v>
      </c>
      <c r="AA6608">
        <v>0.98562479999999997</v>
      </c>
      <c r="AB6608">
        <v>38</v>
      </c>
      <c r="AC6608">
        <v>3.5987999999999798</v>
      </c>
      <c r="AD6608">
        <v>-1.1087920352459999</v>
      </c>
      <c r="AE6608">
        <v>30.651620000000001</v>
      </c>
      <c r="AF6608">
        <v>5.1517701645850398</v>
      </c>
      <c r="AG6608">
        <v>-1.1087920352459999</v>
      </c>
      <c r="AH6608">
        <v>30.388786536809199</v>
      </c>
      <c r="AI6608">
        <v>92.0602471892349</v>
      </c>
      <c r="AJ6608">
        <v>80.378204149547301</v>
      </c>
      <c r="AK6608">
        <v>30.842316754515799</v>
      </c>
      <c r="AL6608">
        <v>87.399483748857094</v>
      </c>
      <c r="AM6608">
        <v>87.902403190576607</v>
      </c>
      <c r="AN6608">
        <v>1.0000000190830001</v>
      </c>
    </row>
    <row r="6609" spans="1:40" x14ac:dyDescent="0.25">
      <c r="A6609" t="str">
        <f>"20190312151701681"</f>
        <v>20190312151701681</v>
      </c>
      <c r="B6609" t="str">
        <f>"1552375021674910"</f>
        <v>1552375021674910</v>
      </c>
      <c r="C6609" t="s">
        <v>40</v>
      </c>
      <c r="D6609">
        <v>4.5867680000000002</v>
      </c>
      <c r="E6609">
        <v>0.54957060000000002</v>
      </c>
      <c r="F6609" t="s">
        <v>43</v>
      </c>
      <c r="G6609">
        <v>-184.30690000000001</v>
      </c>
      <c r="H6609" s="1">
        <v>-1.9426269999999999E-6</v>
      </c>
      <c r="I6609">
        <v>50.905250000000002</v>
      </c>
      <c r="J6609">
        <v>-187.8614</v>
      </c>
      <c r="K6609">
        <v>1.108746</v>
      </c>
      <c r="L6609">
        <v>20.881589999999999</v>
      </c>
      <c r="M6609">
        <v>-5.0572409999999998E-2</v>
      </c>
      <c r="N6609">
        <v>0</v>
      </c>
      <c r="O6609">
        <v>0.99867519999999999</v>
      </c>
      <c r="P6609">
        <v>-1.3696450000000001E-2</v>
      </c>
      <c r="Q6609">
        <v>3.5348379999999999E-2</v>
      </c>
      <c r="R6609">
        <v>0.99928119999999998</v>
      </c>
      <c r="S6609">
        <v>0.34973140000000003</v>
      </c>
      <c r="T6609">
        <v>-0.1097226</v>
      </c>
      <c r="U6609">
        <v>3.0112610000000002</v>
      </c>
      <c r="V6609">
        <v>3.6897560000000003E-2</v>
      </c>
      <c r="W6609">
        <v>4.4806560000000002E-2</v>
      </c>
      <c r="X6609">
        <v>0.99831400000000003</v>
      </c>
      <c r="Y6609">
        <v>0.1653801</v>
      </c>
      <c r="Z6609">
        <v>-3.5971839999999998E-2</v>
      </c>
      <c r="AA6609">
        <v>0.98557360000000005</v>
      </c>
      <c r="AB6609">
        <v>38</v>
      </c>
      <c r="AC6609">
        <v>3.5544999999999898</v>
      </c>
      <c r="AD6609">
        <v>-1.1087479426269999</v>
      </c>
      <c r="AE6609">
        <v>30.02366</v>
      </c>
      <c r="AF6609">
        <v>5.0615812487482099</v>
      </c>
      <c r="AG6609">
        <v>-1.1087479426269999</v>
      </c>
      <c r="AH6609">
        <v>29.765438555705899</v>
      </c>
      <c r="AI6609">
        <v>92.103090550512306</v>
      </c>
      <c r="AJ6609">
        <v>80.349229460674394</v>
      </c>
      <c r="AK6609">
        <v>30.213080927827601</v>
      </c>
      <c r="AL6609">
        <v>87.431913306491296</v>
      </c>
      <c r="AM6609">
        <v>87.883318656042803</v>
      </c>
      <c r="AN6609">
        <v>0.99999995017449195</v>
      </c>
    </row>
    <row r="6610" spans="1:40" x14ac:dyDescent="0.25">
      <c r="A6610" t="str">
        <f>"20190312151701703"</f>
        <v>20190312151701703</v>
      </c>
      <c r="B6610" t="str">
        <f>"1552375021694430"</f>
        <v>1552375021694430</v>
      </c>
      <c r="C6610" t="s">
        <v>40</v>
      </c>
      <c r="D6610">
        <v>4.6915209999999998</v>
      </c>
      <c r="E6610">
        <v>0.54957119999999904</v>
      </c>
      <c r="F6610" t="s">
        <v>43</v>
      </c>
      <c r="G6610">
        <v>-184.44</v>
      </c>
      <c r="H6610" s="1">
        <v>-1.6458979999999999E-6</v>
      </c>
      <c r="I6610">
        <v>50.137430000000002</v>
      </c>
      <c r="J6610">
        <v>-187.8793</v>
      </c>
      <c r="K6610">
        <v>1.1087009999999999</v>
      </c>
      <c r="L6610">
        <v>21.241879999999998</v>
      </c>
      <c r="M6610">
        <v>-5.0131229999999999E-2</v>
      </c>
      <c r="N6610">
        <v>0</v>
      </c>
      <c r="O6610">
        <v>0.99869730000000001</v>
      </c>
      <c r="P6610">
        <v>-1.313303E-2</v>
      </c>
      <c r="Q6610">
        <v>3.505047E-2</v>
      </c>
      <c r="R6610">
        <v>0.99929920000000005</v>
      </c>
      <c r="S6610">
        <v>0.35212710000000003</v>
      </c>
      <c r="T6610">
        <v>-0.11411250000000001</v>
      </c>
      <c r="U6610">
        <v>3.0110169999999998</v>
      </c>
      <c r="V6610">
        <v>3.7023670000000002E-2</v>
      </c>
      <c r="W6610">
        <v>4.4518839999999997E-2</v>
      </c>
      <c r="X6610">
        <v>0.99832220000000005</v>
      </c>
      <c r="Y6610">
        <v>0.16572110000000001</v>
      </c>
      <c r="Z6610">
        <v>-3.7410489999999998E-2</v>
      </c>
      <c r="AA6610">
        <v>0.98546279999999997</v>
      </c>
      <c r="AB6610">
        <v>38</v>
      </c>
      <c r="AC6610">
        <v>3.4392999999999998</v>
      </c>
      <c r="AD6610">
        <v>-1.1087026458979901</v>
      </c>
      <c r="AE6610">
        <v>28.89555</v>
      </c>
      <c r="AF6610">
        <v>4.8765312634139297</v>
      </c>
      <c r="AG6610">
        <v>-1.1087026458979901</v>
      </c>
      <c r="AH6610">
        <v>28.645207920915698</v>
      </c>
      <c r="AI6610">
        <v>92.185100263426904</v>
      </c>
      <c r="AJ6610">
        <v>80.338646709702601</v>
      </c>
      <c r="AK6610">
        <v>29.078475124266198</v>
      </c>
      <c r="AL6610">
        <v>87.448414907854101</v>
      </c>
      <c r="AM6610">
        <v>87.876108219033895</v>
      </c>
      <c r="AN6610">
        <v>0.99999994713402496</v>
      </c>
    </row>
    <row r="6611" spans="1:40" x14ac:dyDescent="0.25">
      <c r="A6611" t="str">
        <f>"20190312151701724"</f>
        <v>20190312151701724</v>
      </c>
      <c r="B6611" t="str">
        <f>"1552375021714925"</f>
        <v>1552375021714925</v>
      </c>
      <c r="C6611" t="s">
        <v>40</v>
      </c>
      <c r="D6611">
        <v>4.6113869999999997</v>
      </c>
      <c r="E6611">
        <v>0.54958940000000001</v>
      </c>
      <c r="F6611" t="s">
        <v>43</v>
      </c>
      <c r="G6611">
        <v>-184.53200000000001</v>
      </c>
      <c r="H6611" s="1">
        <v>-1.4848979999999999E-6</v>
      </c>
      <c r="I6611">
        <v>49.736179999999997</v>
      </c>
      <c r="J6611">
        <v>-187.8973</v>
      </c>
      <c r="K6611">
        <v>1.108663</v>
      </c>
      <c r="L6611">
        <v>21.609649999999998</v>
      </c>
      <c r="M6611">
        <v>-4.9649680000000002E-2</v>
      </c>
      <c r="N6611">
        <v>0</v>
      </c>
      <c r="O6611">
        <v>0.99872119999999998</v>
      </c>
      <c r="P6611">
        <v>-1.2724060000000001E-2</v>
      </c>
      <c r="Q6611">
        <v>3.4319349999999998E-2</v>
      </c>
      <c r="R6611">
        <v>0.99932989999999999</v>
      </c>
      <c r="S6611">
        <v>0.35369869999999998</v>
      </c>
      <c r="T6611">
        <v>-0.11715159999999999</v>
      </c>
      <c r="U6611">
        <v>3.0108640000000002</v>
      </c>
      <c r="V6611">
        <v>3.6955370000000001E-2</v>
      </c>
      <c r="W6611">
        <v>4.3801420000000001E-2</v>
      </c>
      <c r="X6611">
        <v>0.99835649999999998</v>
      </c>
      <c r="Y6611">
        <v>0.1657544</v>
      </c>
      <c r="Z6611">
        <v>-3.8407419999999998E-2</v>
      </c>
      <c r="AA6611">
        <v>0.98541889999999999</v>
      </c>
      <c r="AB6611">
        <v>38</v>
      </c>
      <c r="AC6611">
        <v>3.3652999999999902</v>
      </c>
      <c r="AD6611">
        <v>-1.1086644848979901</v>
      </c>
      <c r="AE6611">
        <v>28.126529999999999</v>
      </c>
      <c r="AF6611">
        <v>4.7504092933447604</v>
      </c>
      <c r="AG6611">
        <v>-1.1086644848979901</v>
      </c>
      <c r="AH6611">
        <v>27.8820355850089</v>
      </c>
      <c r="AI6611">
        <v>92.244721531234703</v>
      </c>
      <c r="AJ6611">
        <v>80.331058624682001</v>
      </c>
      <c r="AK6611">
        <v>28.305537157207802</v>
      </c>
      <c r="AL6611">
        <v>87.489560276355704</v>
      </c>
      <c r="AM6611">
        <v>87.880095492076507</v>
      </c>
      <c r="AN6611">
        <v>0.99999998242905097</v>
      </c>
    </row>
    <row r="6612" spans="1:40" x14ac:dyDescent="0.25">
      <c r="A6612" t="str">
        <f>"20190312151701748"</f>
        <v>20190312151701748</v>
      </c>
      <c r="B6612" t="str">
        <f>"1552375021744207"</f>
        <v>1552375021744207</v>
      </c>
      <c r="C6612" t="s">
        <v>40</v>
      </c>
      <c r="D6612">
        <v>4.6448650000000002</v>
      </c>
      <c r="E6612">
        <v>0.54961890000000002</v>
      </c>
      <c r="F6612" t="s">
        <v>43</v>
      </c>
      <c r="G6612">
        <v>-184.63579999999999</v>
      </c>
      <c r="H6612" s="1">
        <v>-5.0746539999999999E-6</v>
      </c>
      <c r="I6612">
        <v>49.243920000000003</v>
      </c>
      <c r="J6612">
        <v>-187.9161</v>
      </c>
      <c r="K6612">
        <v>1.1086149999999999</v>
      </c>
      <c r="L6612">
        <v>21.995180000000001</v>
      </c>
      <c r="M6612">
        <v>-4.9111469999999997E-2</v>
      </c>
      <c r="N6612">
        <v>0</v>
      </c>
      <c r="O6612">
        <v>0.99874759999999996</v>
      </c>
      <c r="P6612">
        <v>-1.172364E-2</v>
      </c>
      <c r="Q6612">
        <v>3.3987160000000002E-2</v>
      </c>
      <c r="R6612">
        <v>0.99935350000000001</v>
      </c>
      <c r="S6612">
        <v>0.35533140000000002</v>
      </c>
      <c r="T6612">
        <v>-0.1207865</v>
      </c>
      <c r="U6612">
        <v>3.0106809999999999</v>
      </c>
      <c r="V6612">
        <v>3.742152E-2</v>
      </c>
      <c r="W6612">
        <v>4.3482720000000002E-2</v>
      </c>
      <c r="X6612">
        <v>0.99835309999999999</v>
      </c>
      <c r="Y6612">
        <v>0.1657515</v>
      </c>
      <c r="Z6612">
        <v>-3.959998E-2</v>
      </c>
      <c r="AA6612">
        <v>0.98537209999999997</v>
      </c>
      <c r="AB6612">
        <v>38</v>
      </c>
      <c r="AC6612">
        <v>3.2803000000000102</v>
      </c>
      <c r="AD6612">
        <v>-1.10862007465399</v>
      </c>
      <c r="AE6612">
        <v>27.248740000000002</v>
      </c>
      <c r="AF6612">
        <v>4.6071109413104097</v>
      </c>
      <c r="AG6612">
        <v>-1.10862007465399</v>
      </c>
      <c r="AH6612">
        <v>27.010676675897901</v>
      </c>
      <c r="AI6612">
        <v>92.316892142659498</v>
      </c>
      <c r="AJ6612">
        <v>80.320422899999798</v>
      </c>
      <c r="AK6612">
        <v>27.423186616171499</v>
      </c>
      <c r="AL6612">
        <v>87.507837936444403</v>
      </c>
      <c r="AM6612">
        <v>87.853372862187399</v>
      </c>
      <c r="AN6612">
        <v>1.0000000146886501</v>
      </c>
    </row>
    <row r="6613" spans="1:40" x14ac:dyDescent="0.25">
      <c r="A6613" t="str">
        <f>"20190312151701771"</f>
        <v>20190312151701771</v>
      </c>
      <c r="B6613" t="str">
        <f>"1552375021764702"</f>
        <v>1552375021764702</v>
      </c>
      <c r="C6613" t="s">
        <v>40</v>
      </c>
      <c r="D6613">
        <v>4.6702589999999997</v>
      </c>
      <c r="E6613">
        <v>0.54961479999999996</v>
      </c>
      <c r="F6613" t="s">
        <v>43</v>
      </c>
      <c r="G6613">
        <v>-184.72649999999999</v>
      </c>
      <c r="H6613" s="1">
        <v>-4.8609170000000002E-6</v>
      </c>
      <c r="I6613">
        <v>48.783200000000001</v>
      </c>
      <c r="J6613">
        <v>-187.9349</v>
      </c>
      <c r="K6613">
        <v>1.1085700000000001</v>
      </c>
      <c r="L6613">
        <v>22.38852</v>
      </c>
      <c r="M6613">
        <v>-4.8524829999999998E-2</v>
      </c>
      <c r="N6613">
        <v>0</v>
      </c>
      <c r="O6613">
        <v>0.99877609999999994</v>
      </c>
      <c r="P6613">
        <v>-1.1408160000000001E-2</v>
      </c>
      <c r="Q6613">
        <v>3.373408E-2</v>
      </c>
      <c r="R6613">
        <v>0.99936570000000002</v>
      </c>
      <c r="S6613">
        <v>0.358429</v>
      </c>
      <c r="T6613">
        <v>-0.12458420000000001</v>
      </c>
      <c r="U6613">
        <v>3.0103759999999999</v>
      </c>
      <c r="V6613">
        <v>3.7154890000000003E-2</v>
      </c>
      <c r="W6613">
        <v>4.324691E-2</v>
      </c>
      <c r="X6613">
        <v>0.99837330000000002</v>
      </c>
      <c r="Y6613">
        <v>0.16617770000000001</v>
      </c>
      <c r="Z6613">
        <v>-4.0844890000000002E-2</v>
      </c>
      <c r="AA6613">
        <v>0.9852495</v>
      </c>
      <c r="AB6613">
        <v>38</v>
      </c>
      <c r="AC6613">
        <v>3.2084000000000099</v>
      </c>
      <c r="AD6613">
        <v>-1.1085748609170001</v>
      </c>
      <c r="AE6613">
        <v>26.394679999999902</v>
      </c>
      <c r="AF6613">
        <v>4.4776925169653703</v>
      </c>
      <c r="AG6613">
        <v>-1.1085748609170001</v>
      </c>
      <c r="AH6613">
        <v>26.1624110155512</v>
      </c>
      <c r="AI6613">
        <v>92.391598143805595</v>
      </c>
      <c r="AJ6613">
        <v>80.287936252524503</v>
      </c>
      <c r="AK6613">
        <v>26.565963536927899</v>
      </c>
      <c r="AL6613">
        <v>87.521361573013095</v>
      </c>
      <c r="AM6613">
        <v>87.868696603650903</v>
      </c>
      <c r="AN6613">
        <v>1.00000001361417</v>
      </c>
    </row>
    <row r="6614" spans="1:40" x14ac:dyDescent="0.25">
      <c r="A6614" t="str">
        <f>"20190312151701794"</f>
        <v>20190312151701794</v>
      </c>
      <c r="B6614" t="str">
        <f>"1552375021784222"</f>
        <v>1552375021784222</v>
      </c>
      <c r="C6614" t="s">
        <v>40</v>
      </c>
      <c r="D6614">
        <v>4.935924</v>
      </c>
      <c r="E6614">
        <v>0.54959089999999999</v>
      </c>
      <c r="F6614" t="s">
        <v>43</v>
      </c>
      <c r="G6614">
        <v>-184.79179999999999</v>
      </c>
      <c r="H6614" s="1">
        <v>-4.8213099999999998E-6</v>
      </c>
      <c r="I6614">
        <v>48.717849999999999</v>
      </c>
      <c r="J6614">
        <v>-187.95339999999999</v>
      </c>
      <c r="K6614">
        <v>1.1085229999999999</v>
      </c>
      <c r="L6614">
        <v>22.779540000000001</v>
      </c>
      <c r="M6614">
        <v>-4.7897410000000001E-2</v>
      </c>
      <c r="N6614">
        <v>0</v>
      </c>
      <c r="O6614">
        <v>0.99880619999999998</v>
      </c>
      <c r="P6614">
        <v>-1.115322E-2</v>
      </c>
      <c r="Q6614">
        <v>3.3313469999999998E-2</v>
      </c>
      <c r="R6614">
        <v>0.99938269999999996</v>
      </c>
      <c r="S6614">
        <v>0.3593597</v>
      </c>
      <c r="T6614">
        <v>-0.12674560000000001</v>
      </c>
      <c r="U6614">
        <v>3.010284</v>
      </c>
      <c r="V6614">
        <v>3.6787199999999999E-2</v>
      </c>
      <c r="W6614">
        <v>4.2847209999999997E-2</v>
      </c>
      <c r="X6614">
        <v>0.99840410000000002</v>
      </c>
      <c r="Y6614">
        <v>0.1658588</v>
      </c>
      <c r="Z6614">
        <v>-4.1555799999999997E-2</v>
      </c>
      <c r="AA6614">
        <v>0.98527350000000002</v>
      </c>
      <c r="AB6614">
        <v>38</v>
      </c>
      <c r="AC6614">
        <v>3.1615999999999902</v>
      </c>
      <c r="AD6614">
        <v>-1.1085278213099901</v>
      </c>
      <c r="AE6614">
        <v>25.938310000000001</v>
      </c>
      <c r="AF6614">
        <v>4.3925007300955103</v>
      </c>
      <c r="AG6614">
        <v>-1.1085278213099901</v>
      </c>
      <c r="AH6614">
        <v>25.7108251224623</v>
      </c>
      <c r="AI6614">
        <v>92.433575182467294</v>
      </c>
      <c r="AJ6614">
        <v>80.305047369730801</v>
      </c>
      <c r="AK6614">
        <v>26.106884629774399</v>
      </c>
      <c r="AL6614">
        <v>87.5442838224768</v>
      </c>
      <c r="AM6614">
        <v>87.8898341573246</v>
      </c>
      <c r="AN6614">
        <v>0.99999996419271597</v>
      </c>
    </row>
    <row r="6615" spans="1:40" x14ac:dyDescent="0.25">
      <c r="A6615" t="str">
        <f>"20190312151701814"</f>
        <v>20190312151701814</v>
      </c>
      <c r="B6615" t="str">
        <f>"1552375021804718"</f>
        <v>1552375021804718</v>
      </c>
      <c r="C6615" t="s">
        <v>40</v>
      </c>
      <c r="D6615">
        <v>4.6879730000000004</v>
      </c>
      <c r="E6615">
        <v>0.54953940000000001</v>
      </c>
      <c r="F6615" t="s">
        <v>43</v>
      </c>
      <c r="G6615">
        <v>-184.85069999999999</v>
      </c>
      <c r="H6615" s="1">
        <v>-4.811714E-6</v>
      </c>
      <c r="I6615">
        <v>48.719819999999999</v>
      </c>
      <c r="J6615">
        <v>-187.96889999999999</v>
      </c>
      <c r="K6615">
        <v>1.10849</v>
      </c>
      <c r="L6615">
        <v>23.113009999999999</v>
      </c>
      <c r="M6615">
        <v>-4.732306E-2</v>
      </c>
      <c r="N6615">
        <v>0</v>
      </c>
      <c r="O6615">
        <v>0.99883330000000004</v>
      </c>
      <c r="P6615">
        <v>-1.07156E-2</v>
      </c>
      <c r="Q6615">
        <v>3.3416349999999997E-2</v>
      </c>
      <c r="R6615">
        <v>0.99938400000000005</v>
      </c>
      <c r="S6615">
        <v>0.36004639999999999</v>
      </c>
      <c r="T6615">
        <v>-0.12863579999999999</v>
      </c>
      <c r="U6615">
        <v>3.0101619999999998</v>
      </c>
      <c r="V6615">
        <v>3.6654569999999997E-2</v>
      </c>
      <c r="W6615">
        <v>4.2972030000000001E-2</v>
      </c>
      <c r="X6615">
        <v>0.99840370000000001</v>
      </c>
      <c r="Y6615">
        <v>0.16551489999999999</v>
      </c>
      <c r="Z6615">
        <v>-4.2178519999999997E-2</v>
      </c>
      <c r="AA6615">
        <v>0.98530490000000004</v>
      </c>
      <c r="AB6615">
        <v>38</v>
      </c>
      <c r="AC6615">
        <v>3.1181999999999999</v>
      </c>
      <c r="AD6615">
        <v>-1.1084948117140001</v>
      </c>
      <c r="AE6615">
        <v>25.606809999999999</v>
      </c>
      <c r="AF6615">
        <v>4.3185803312772197</v>
      </c>
      <c r="AG6615">
        <v>-1.1084948117140001</v>
      </c>
      <c r="AH6615">
        <v>25.383676295377899</v>
      </c>
      <c r="AI6615">
        <v>92.465117439226404</v>
      </c>
      <c r="AJ6615">
        <v>80.344593888991</v>
      </c>
      <c r="AK6615">
        <v>25.772270351946499</v>
      </c>
      <c r="AL6615">
        <v>87.537125782707903</v>
      </c>
      <c r="AM6615">
        <v>87.897434319623201</v>
      </c>
      <c r="AN6615">
        <v>1.0000000505189399</v>
      </c>
    </row>
    <row r="6616" spans="1:40" x14ac:dyDescent="0.25">
      <c r="A6616" t="str">
        <f>"20190312151701835"</f>
        <v>20190312151701835</v>
      </c>
      <c r="B6616" t="str">
        <f>"1552375021824238"</f>
        <v>1552375021824238</v>
      </c>
      <c r="C6616" t="s">
        <v>40</v>
      </c>
      <c r="D6616">
        <v>4.7370549999999998</v>
      </c>
      <c r="E6616">
        <v>0.54915380000000003</v>
      </c>
      <c r="F6616" t="s">
        <v>43</v>
      </c>
      <c r="G6616">
        <v>-182.31139999999999</v>
      </c>
      <c r="H6616" s="1">
        <v>-2.2303079999999999E-6</v>
      </c>
      <c r="I6616">
        <v>70.19041</v>
      </c>
      <c r="J6616">
        <v>-187.9863</v>
      </c>
      <c r="K6616">
        <v>1.1084499999999999</v>
      </c>
      <c r="L6616">
        <v>23.492460000000001</v>
      </c>
      <c r="M6616">
        <v>-4.6628749999999997E-2</v>
      </c>
      <c r="N6616">
        <v>0</v>
      </c>
      <c r="O6616">
        <v>0.99886569999999997</v>
      </c>
      <c r="P6616">
        <v>-1.0541180000000001E-2</v>
      </c>
      <c r="Q6616">
        <v>3.3368389999999998E-2</v>
      </c>
      <c r="R6616">
        <v>0.99938749999999998</v>
      </c>
      <c r="S6616">
        <v>0.36149599999999998</v>
      </c>
      <c r="T6616">
        <v>-7.0828909999999995E-2</v>
      </c>
      <c r="U6616">
        <v>3.0080870000000002</v>
      </c>
      <c r="V6616">
        <v>3.6139440000000002E-2</v>
      </c>
      <c r="W6616">
        <v>4.295202E-2</v>
      </c>
      <c r="X6616">
        <v>0.99842330000000001</v>
      </c>
      <c r="Y6616">
        <v>0.16545179999999901</v>
      </c>
      <c r="Z6616">
        <v>-2.3255359999999999E-2</v>
      </c>
      <c r="AA6616">
        <v>0.98594369999999998</v>
      </c>
      <c r="AB6616">
        <v>38</v>
      </c>
      <c r="AC6616">
        <v>5.6749000000000001</v>
      </c>
      <c r="AD6616">
        <v>-1.108452230308</v>
      </c>
      <c r="AE6616">
        <v>46.697949999999999</v>
      </c>
      <c r="AF6616">
        <v>7.84194107726724</v>
      </c>
      <c r="AG6616">
        <v>-1.108452230308</v>
      </c>
      <c r="AH6616">
        <v>46.356786954191499</v>
      </c>
      <c r="AI6616">
        <v>91.350576040720895</v>
      </c>
      <c r="AJ6616">
        <v>80.398465021141803</v>
      </c>
      <c r="AK6616">
        <v>47.028463752524402</v>
      </c>
      <c r="AL6616">
        <v>87.538273232303993</v>
      </c>
      <c r="AM6616">
        <v>87.926997708777094</v>
      </c>
      <c r="AN6616">
        <v>1.0000000105642399</v>
      </c>
    </row>
    <row r="6617" spans="1:40" x14ac:dyDescent="0.25">
      <c r="A6617" t="str">
        <f>"20190312151701858"</f>
        <v>20190312151701858</v>
      </c>
      <c r="B6617" t="str">
        <f>"1552375021854493"</f>
        <v>1552375021854493</v>
      </c>
      <c r="C6617" t="s">
        <v>40</v>
      </c>
      <c r="D6617">
        <v>4.7577369999999997</v>
      </c>
      <c r="E6617">
        <v>0.54946319999999904</v>
      </c>
      <c r="F6617" t="s">
        <v>43</v>
      </c>
      <c r="G6617">
        <v>-183.26759999999999</v>
      </c>
      <c r="H6617" s="1">
        <v>-2.9499319999999999E-6</v>
      </c>
      <c r="I6617">
        <v>63.052729999999997</v>
      </c>
      <c r="J6617">
        <v>-188.00319999999999</v>
      </c>
      <c r="K6617">
        <v>1.1084149999999999</v>
      </c>
      <c r="L6617">
        <v>23.868259999999999</v>
      </c>
      <c r="M6617">
        <v>-4.5894780000000003E-2</v>
      </c>
      <c r="N6617">
        <v>0</v>
      </c>
      <c r="O6617">
        <v>0.99889930000000005</v>
      </c>
      <c r="P6617">
        <v>-1.05018E-2</v>
      </c>
      <c r="Q6617">
        <v>3.35359E-2</v>
      </c>
      <c r="R6617">
        <v>0.99938229999999995</v>
      </c>
      <c r="S6617">
        <v>0.35884090000000002</v>
      </c>
      <c r="T6617">
        <v>-8.4294919999999995E-2</v>
      </c>
      <c r="U6617">
        <v>3.0084529999999998</v>
      </c>
      <c r="V6617">
        <v>3.5449799999999997E-2</v>
      </c>
      <c r="W6617">
        <v>4.314925E-2</v>
      </c>
      <c r="X6617">
        <v>0.99843950000000004</v>
      </c>
      <c r="Y6617">
        <v>0.1638416</v>
      </c>
      <c r="Z6617">
        <v>-2.7676780000000002E-2</v>
      </c>
      <c r="AA6617">
        <v>0.98609829999999998</v>
      </c>
      <c r="AB6617">
        <v>38</v>
      </c>
      <c r="AC6617">
        <v>4.7355999999999998</v>
      </c>
      <c r="AD6617">
        <v>-1.1084179499319999</v>
      </c>
      <c r="AE6617">
        <v>39.184469999999997</v>
      </c>
      <c r="AF6617">
        <v>6.5239115094859796</v>
      </c>
      <c r="AG6617">
        <v>-1.1084179499319999</v>
      </c>
      <c r="AH6617">
        <v>38.895152630722599</v>
      </c>
      <c r="AI6617">
        <v>91.609873009358495</v>
      </c>
      <c r="AJ6617">
        <v>80.478370643571694</v>
      </c>
      <c r="AK6617">
        <v>39.454060753014303</v>
      </c>
      <c r="AL6617">
        <v>87.526962250017505</v>
      </c>
      <c r="AM6617">
        <v>87.966555732233999</v>
      </c>
      <c r="AN6617">
        <v>0.99999999062792599</v>
      </c>
    </row>
    <row r="6618" spans="1:40" x14ac:dyDescent="0.25">
      <c r="A6618" t="str">
        <f>"20190312151701881"</f>
        <v>20190312151701881</v>
      </c>
      <c r="B6618" t="str">
        <f>"1552375021874014"</f>
        <v>1552375021874014</v>
      </c>
      <c r="C6618" t="s">
        <v>40</v>
      </c>
      <c r="D6618">
        <v>4.7411370000000002</v>
      </c>
      <c r="E6618">
        <v>0.54944919999999997</v>
      </c>
      <c r="F6618" t="s">
        <v>43</v>
      </c>
      <c r="G6618">
        <v>-183.29169999999999</v>
      </c>
      <c r="H6618" s="1">
        <v>-2.9481199999999999E-6</v>
      </c>
      <c r="I6618">
        <v>63.066189999999999</v>
      </c>
      <c r="J6618">
        <v>-188.0206</v>
      </c>
      <c r="K6618">
        <v>1.1083670000000001</v>
      </c>
      <c r="L6618">
        <v>24.263580000000001</v>
      </c>
      <c r="M6618">
        <v>-4.5064460000000001E-2</v>
      </c>
      <c r="N6618">
        <v>0</v>
      </c>
      <c r="O6618">
        <v>0.99893679999999996</v>
      </c>
      <c r="P6618">
        <v>-1.003473E-2</v>
      </c>
      <c r="Q6618">
        <v>3.3967270000000001E-2</v>
      </c>
      <c r="R6618">
        <v>0.9993725</v>
      </c>
      <c r="S6618">
        <v>0.36161799999999999</v>
      </c>
      <c r="T6618">
        <v>-8.5073109999999993E-2</v>
      </c>
      <c r="U6618">
        <v>3.0085139999999999</v>
      </c>
      <c r="V6618">
        <v>3.5092060000000001E-2</v>
      </c>
      <c r="W6618">
        <v>4.3615639999999997E-2</v>
      </c>
      <c r="X6618">
        <v>0.99843190000000004</v>
      </c>
      <c r="Y6618">
        <v>0.1639158</v>
      </c>
      <c r="Z6618">
        <v>-2.7931419999999998E-2</v>
      </c>
      <c r="AA6618">
        <v>0.98607889999999998</v>
      </c>
      <c r="AB6618">
        <v>38</v>
      </c>
      <c r="AC6618">
        <v>4.7289000000000003</v>
      </c>
      <c r="AD6618">
        <v>-1.10836994812</v>
      </c>
      <c r="AE6618">
        <v>38.802609999999902</v>
      </c>
      <c r="AF6618">
        <v>6.4675968183399801</v>
      </c>
      <c r="AG6618">
        <v>-1.10836994812</v>
      </c>
      <c r="AH6618">
        <v>38.519102032451798</v>
      </c>
      <c r="AI6618">
        <v>91.625464429803301</v>
      </c>
      <c r="AJ6618">
        <v>80.468590031916804</v>
      </c>
      <c r="AK6618">
        <v>39.0740260778555</v>
      </c>
      <c r="AL6618">
        <v>87.500214957355794</v>
      </c>
      <c r="AM6618">
        <v>87.987043863090506</v>
      </c>
      <c r="AN6618">
        <v>1.00000001783263</v>
      </c>
    </row>
    <row r="6619" spans="1:40" x14ac:dyDescent="0.25">
      <c r="A6619" t="str">
        <f>"20190312151701903"</f>
        <v>20190312151701903</v>
      </c>
      <c r="B6619" t="str">
        <f>"1552375021894510"</f>
        <v>1552375021894510</v>
      </c>
      <c r="C6619" t="s">
        <v>40</v>
      </c>
      <c r="D6619">
        <v>4.6782370000000002</v>
      </c>
      <c r="E6619">
        <v>0.51512139999999995</v>
      </c>
      <c r="F6619" t="s">
        <v>43</v>
      </c>
      <c r="G6619">
        <v>-185.37370000000001</v>
      </c>
      <c r="H6619" s="1">
        <v>-3.6604999999999999E-6</v>
      </c>
      <c r="I6619">
        <v>46.252569999999999</v>
      </c>
      <c r="J6619">
        <v>-188.03649999999999</v>
      </c>
      <c r="K6619">
        <v>1.1083149999999999</v>
      </c>
      <c r="L6619">
        <v>24.63184</v>
      </c>
      <c r="M6619">
        <v>-4.422835E-2</v>
      </c>
      <c r="N6619">
        <v>0</v>
      </c>
      <c r="O6619">
        <v>0.99897369999999996</v>
      </c>
      <c r="P6619">
        <v>-9.7295300000000001E-3</v>
      </c>
      <c r="Q6619">
        <v>3.4417629999999998E-2</v>
      </c>
      <c r="R6619">
        <v>0.99936020000000003</v>
      </c>
      <c r="S6619">
        <v>0.3624115</v>
      </c>
      <c r="T6619">
        <v>-0.15175549999999999</v>
      </c>
      <c r="U6619">
        <v>3.0106809999999999</v>
      </c>
      <c r="V6619">
        <v>3.4567359999999998E-2</v>
      </c>
      <c r="W6619">
        <v>4.4110589999999998E-2</v>
      </c>
      <c r="X6619">
        <v>0.99842850000000005</v>
      </c>
      <c r="Y6619">
        <v>0.16316050000000001</v>
      </c>
      <c r="Z6619">
        <v>-4.9751339999999998E-2</v>
      </c>
      <c r="AA6619">
        <v>0.98534440000000001</v>
      </c>
      <c r="AB6619">
        <v>38</v>
      </c>
      <c r="AC6619">
        <v>2.6627999999999701</v>
      </c>
      <c r="AD6619">
        <v>-1.1083186604999999</v>
      </c>
      <c r="AE6619">
        <v>21.620729999999998</v>
      </c>
      <c r="AF6619">
        <v>3.6071517289584301</v>
      </c>
      <c r="AG6619">
        <v>-1.1083186604999999</v>
      </c>
      <c r="AH6619">
        <v>21.4263317349467</v>
      </c>
      <c r="AI6619">
        <v>92.920077548188104</v>
      </c>
      <c r="AJ6619">
        <v>80.443787446699304</v>
      </c>
      <c r="AK6619">
        <v>21.7560935249168</v>
      </c>
      <c r="AL6619">
        <v>87.471829193328801</v>
      </c>
      <c r="AM6619">
        <v>88.017110829500297</v>
      </c>
      <c r="AN6619">
        <v>1.00000005806988</v>
      </c>
    </row>
    <row r="6620" spans="1:40" x14ac:dyDescent="0.25">
      <c r="A6620" t="str">
        <f>"20190312151701926"</f>
        <v>20190312151701926</v>
      </c>
      <c r="B6620" t="str">
        <f>"1552375021914030"</f>
        <v>1552375021914030</v>
      </c>
      <c r="C6620" t="s">
        <v>40</v>
      </c>
      <c r="D6620">
        <v>4.7224120000000003</v>
      </c>
      <c r="E6620">
        <v>0.5111774</v>
      </c>
      <c r="F6620" t="s">
        <v>43</v>
      </c>
      <c r="G6620">
        <v>-187.15209999999999</v>
      </c>
      <c r="H6620" s="1">
        <v>-2.4537689999999999E-6</v>
      </c>
      <c r="I6620">
        <v>54.174999999999997</v>
      </c>
      <c r="J6620">
        <v>-188.0531</v>
      </c>
      <c r="K6620">
        <v>1.10826</v>
      </c>
      <c r="L6620">
        <v>25.026250000000001</v>
      </c>
      <c r="M6620">
        <v>-4.3257259999999999E-2</v>
      </c>
      <c r="N6620">
        <v>0</v>
      </c>
      <c r="O6620">
        <v>0.9990156</v>
      </c>
      <c r="P6620">
        <v>-9.8171400000000002E-3</v>
      </c>
      <c r="Q6620">
        <v>3.4475169999999999E-2</v>
      </c>
      <c r="R6620">
        <v>0.9993573</v>
      </c>
      <c r="S6620">
        <v>9.0011599999999997E-2</v>
      </c>
      <c r="T6620">
        <v>-0.1127963</v>
      </c>
      <c r="U6620">
        <v>3.0066830000000002</v>
      </c>
      <c r="V6620">
        <v>3.3516509999999999E-2</v>
      </c>
      <c r="W6620">
        <v>4.4227299999999997E-2</v>
      </c>
      <c r="X6620">
        <v>0.99845910000000004</v>
      </c>
      <c r="Y6620">
        <v>7.3114760000000001E-2</v>
      </c>
      <c r="Z6620">
        <v>-3.7377639999999997E-2</v>
      </c>
      <c r="AA6620">
        <v>0.99662289999999998</v>
      </c>
      <c r="AB6620">
        <v>38</v>
      </c>
      <c r="AC6620">
        <v>0.90100000000001002</v>
      </c>
      <c r="AD6620">
        <v>-1.108262453769</v>
      </c>
      <c r="AE6620">
        <v>29.14875</v>
      </c>
      <c r="AF6620">
        <v>2.1579959396881598</v>
      </c>
      <c r="AG6620">
        <v>-1.108262453769</v>
      </c>
      <c r="AH6620">
        <v>29.0405458120626</v>
      </c>
      <c r="AI6620">
        <v>92.179491394974207</v>
      </c>
      <c r="AJ6620">
        <v>85.750175414019495</v>
      </c>
      <c r="AK6620">
        <v>29.141696814095301</v>
      </c>
      <c r="AL6620">
        <v>87.465135504446806</v>
      </c>
      <c r="AM6620">
        <v>88.077403719193399</v>
      </c>
      <c r="AN6620">
        <v>0.99999999244033999</v>
      </c>
    </row>
    <row r="6621" spans="1:40" x14ac:dyDescent="0.25">
      <c r="A6621" t="str">
        <f>"20190312151701948"</f>
        <v>20190312151701948</v>
      </c>
      <c r="B6621" t="str">
        <f>"1552375021944287"</f>
        <v>1552375021944287</v>
      </c>
      <c r="C6621" t="s">
        <v>40</v>
      </c>
      <c r="D6621">
        <v>4.9376040000000003</v>
      </c>
      <c r="E6621">
        <v>0.50865300000000002</v>
      </c>
      <c r="F6621" t="s">
        <v>43</v>
      </c>
      <c r="G6621">
        <v>-187.45580000000001</v>
      </c>
      <c r="H6621" s="1">
        <v>-3.0882159999999999E-6</v>
      </c>
      <c r="I6621">
        <v>55.77948</v>
      </c>
      <c r="J6621">
        <v>-188.06829999999999</v>
      </c>
      <c r="K6621">
        <v>1.108203</v>
      </c>
      <c r="L6621">
        <v>25.394500000000001</v>
      </c>
      <c r="M6621">
        <v>-4.2273169999999999E-2</v>
      </c>
      <c r="N6621">
        <v>0</v>
      </c>
      <c r="O6621">
        <v>0.99905699999999997</v>
      </c>
      <c r="P6621">
        <v>-8.8922740000000004E-3</v>
      </c>
      <c r="Q6621">
        <v>3.445372E-2</v>
      </c>
      <c r="R6621">
        <v>0.9993668</v>
      </c>
      <c r="S6621">
        <v>5.8395389999999998E-2</v>
      </c>
      <c r="T6621">
        <v>-0.10833619999999999</v>
      </c>
      <c r="U6621">
        <v>3.0062259999999998</v>
      </c>
      <c r="V6621">
        <v>3.3465010000000003E-2</v>
      </c>
      <c r="W6621">
        <v>4.4266369999999999E-2</v>
      </c>
      <c r="X6621">
        <v>0.99845910000000004</v>
      </c>
      <c r="Y6621">
        <v>6.1658480000000002E-2</v>
      </c>
      <c r="Z6621">
        <v>-3.5927960000000002E-2</v>
      </c>
      <c r="AA6621">
        <v>0.99745050000000002</v>
      </c>
      <c r="AB6621">
        <v>38</v>
      </c>
      <c r="AC6621">
        <v>0.61249999999998295</v>
      </c>
      <c r="AD6621">
        <v>-1.1082060882160001</v>
      </c>
      <c r="AE6621">
        <v>30.384979999999999</v>
      </c>
      <c r="AF6621">
        <v>1.8939664858024501</v>
      </c>
      <c r="AG6621">
        <v>-1.1082060882160001</v>
      </c>
      <c r="AH6621">
        <v>30.2916441561044</v>
      </c>
      <c r="AI6621">
        <v>92.091125931781306</v>
      </c>
      <c r="AJ6621">
        <v>86.422273784789098</v>
      </c>
      <c r="AK6621">
        <v>30.371021310837602</v>
      </c>
      <c r="AL6621">
        <v>87.4628947738356</v>
      </c>
      <c r="AM6621">
        <v>88.0803556843954</v>
      </c>
      <c r="AN6621">
        <v>0.999999996390043</v>
      </c>
    </row>
    <row r="6622" spans="1:40" x14ac:dyDescent="0.25">
      <c r="A6622" t="str">
        <f>"20190312151701972"</f>
        <v>20190312151701972</v>
      </c>
      <c r="B6622" t="str">
        <f>"1552375021964782"</f>
        <v>1552375021964782</v>
      </c>
      <c r="C6622" t="s">
        <v>40</v>
      </c>
      <c r="D6622">
        <v>4.6728290000000001</v>
      </c>
      <c r="E6622">
        <v>0.5083259</v>
      </c>
      <c r="F6622" t="s">
        <v>43</v>
      </c>
      <c r="G6622">
        <v>-187.58430000000001</v>
      </c>
      <c r="H6622" s="1">
        <v>-1.113945E-6</v>
      </c>
      <c r="I6622">
        <v>61.032629999999997</v>
      </c>
      <c r="J6622">
        <v>-188.0848</v>
      </c>
      <c r="K6622">
        <v>1.1081299999999901</v>
      </c>
      <c r="L6622">
        <v>25.809539999999998</v>
      </c>
      <c r="M6622">
        <v>-4.1071080000000003E-2</v>
      </c>
      <c r="N6622">
        <v>0</v>
      </c>
      <c r="O6622">
        <v>0.9991063</v>
      </c>
      <c r="P6622">
        <v>-7.8930300000000005E-3</v>
      </c>
      <c r="Q6622">
        <v>3.4292370000000003E-2</v>
      </c>
      <c r="R6622">
        <v>0.99938059999999995</v>
      </c>
      <c r="S6622">
        <v>4.0817260000000001E-2</v>
      </c>
      <c r="T6622">
        <v>-9.3458890000000003E-2</v>
      </c>
      <c r="U6622">
        <v>3.005493</v>
      </c>
      <c r="V6622">
        <v>3.3271639999999998E-2</v>
      </c>
      <c r="W6622">
        <v>4.418395E-2</v>
      </c>
      <c r="X6622">
        <v>0.99846919999999995</v>
      </c>
      <c r="Y6622">
        <v>5.4630970000000001E-2</v>
      </c>
      <c r="Z6622">
        <v>-3.1017019999999999E-2</v>
      </c>
      <c r="AA6622">
        <v>0.99802480000000005</v>
      </c>
      <c r="AB6622">
        <v>38</v>
      </c>
      <c r="AC6622">
        <v>0.50049999999998795</v>
      </c>
      <c r="AD6622">
        <v>-1.1081311139450001</v>
      </c>
      <c r="AE6622">
        <v>35.223089999999999</v>
      </c>
      <c r="AF6622">
        <v>1.9448756062922901</v>
      </c>
      <c r="AG6622">
        <v>-1.1081311139450001</v>
      </c>
      <c r="AH6622">
        <v>35.138038643652699</v>
      </c>
      <c r="AI6622">
        <v>91.803551552288297</v>
      </c>
      <c r="AJ6622">
        <v>86.831935353168504</v>
      </c>
      <c r="AK6622">
        <v>35.209263772656101</v>
      </c>
      <c r="AL6622">
        <v>87.467621683996001</v>
      </c>
      <c r="AM6622">
        <v>88.091458979845498</v>
      </c>
      <c r="AN6622">
        <v>0.99999998340726504</v>
      </c>
    </row>
    <row r="6623" spans="1:40" x14ac:dyDescent="0.25">
      <c r="A6623" t="str">
        <f>"20190312151701998"</f>
        <v>20190312151701998</v>
      </c>
      <c r="B6623" t="str">
        <f>"1552375021994062"</f>
        <v>1552375021994062</v>
      </c>
      <c r="C6623" t="s">
        <v>40</v>
      </c>
      <c r="D6623">
        <v>4.8641540000000001</v>
      </c>
      <c r="E6623">
        <v>0.50817380000000001</v>
      </c>
      <c r="F6623" t="s">
        <v>43</v>
      </c>
      <c r="G6623">
        <v>-187.5</v>
      </c>
      <c r="H6623" s="1">
        <v>-4.1304159999999999E-6</v>
      </c>
      <c r="I6623">
        <v>68.227149999999995</v>
      </c>
      <c r="J6623">
        <v>-188.10069999999999</v>
      </c>
      <c r="K6623">
        <v>1.108052</v>
      </c>
      <c r="L6623">
        <v>26.22729</v>
      </c>
      <c r="M6623">
        <v>-3.9744960000000003E-2</v>
      </c>
      <c r="N6623">
        <v>0</v>
      </c>
      <c r="O6623">
        <v>0.99915889999999996</v>
      </c>
      <c r="P6623">
        <v>-6.3447449999999997E-3</v>
      </c>
      <c r="Q6623">
        <v>3.4436969999999997E-2</v>
      </c>
      <c r="R6623">
        <v>0.99938669999999996</v>
      </c>
      <c r="S6623">
        <v>4.1427609999999997E-2</v>
      </c>
      <c r="T6623">
        <v>-7.8500749999999994E-2</v>
      </c>
      <c r="U6623">
        <v>3.004883</v>
      </c>
      <c r="V6623">
        <v>3.3503980000000003E-2</v>
      </c>
      <c r="W6623">
        <v>4.4419750000000001E-2</v>
      </c>
      <c r="X6623">
        <v>0.99845099999999998</v>
      </c>
      <c r="Y6623">
        <v>5.3513079999999998E-2</v>
      </c>
      <c r="Z6623">
        <v>-2.606458E-2</v>
      </c>
      <c r="AA6623">
        <v>0.99822690000000003</v>
      </c>
      <c r="AB6623">
        <v>38</v>
      </c>
      <c r="AC6623">
        <v>0.60069999999998902</v>
      </c>
      <c r="AD6623">
        <v>-1.1080561304159999</v>
      </c>
      <c r="AE6623">
        <v>41.999859999999899</v>
      </c>
      <c r="AF6623">
        <v>2.26801478397724</v>
      </c>
      <c r="AG6623">
        <v>-1.1080561304159999</v>
      </c>
      <c r="AH6623">
        <v>41.913627539314099</v>
      </c>
      <c r="AI6623">
        <v>91.512144870815504</v>
      </c>
      <c r="AJ6623">
        <v>86.9026525960996</v>
      </c>
      <c r="AK6623">
        <v>41.989568382549997</v>
      </c>
      <c r="AL6623">
        <v>87.454098142142101</v>
      </c>
      <c r="AM6623">
        <v>88.0781063545828</v>
      </c>
      <c r="AN6623">
        <v>1.00000001513345</v>
      </c>
    </row>
    <row r="6624" spans="1:40" x14ac:dyDescent="0.25">
      <c r="A6624" t="str">
        <f>"20190312151702016"</f>
        <v>20190312151702016</v>
      </c>
      <c r="B6624" t="str">
        <f>"1552375022004798"</f>
        <v>1552375022004798</v>
      </c>
      <c r="C6624" t="s">
        <v>40</v>
      </c>
      <c r="D6624">
        <v>4.685047</v>
      </c>
      <c r="E6624">
        <v>0.50813969999999997</v>
      </c>
      <c r="F6624" t="s">
        <v>43</v>
      </c>
      <c r="G6624">
        <v>-187.32759999999999</v>
      </c>
      <c r="H6624" s="1">
        <v>-3.9153490000000003E-6</v>
      </c>
      <c r="I6624">
        <v>77.65455</v>
      </c>
      <c r="J6624">
        <v>-188.11269999999999</v>
      </c>
      <c r="K6624">
        <v>1.1079939999999999</v>
      </c>
      <c r="L6624">
        <v>26.552579999999999</v>
      </c>
      <c r="M6624">
        <v>-3.8646979999999997E-2</v>
      </c>
      <c r="N6624">
        <v>0</v>
      </c>
      <c r="O6624">
        <v>0.99920109999999995</v>
      </c>
      <c r="P6624">
        <v>-5.2569610000000001E-3</v>
      </c>
      <c r="Q6624">
        <v>3.4926680000000002E-2</v>
      </c>
      <c r="R6624">
        <v>0.99937609999999999</v>
      </c>
      <c r="S6624">
        <v>4.5166020000000001E-2</v>
      </c>
      <c r="T6624">
        <v>-6.4732310000000001E-2</v>
      </c>
      <c r="U6624">
        <v>3.0043639999999998</v>
      </c>
      <c r="V6624">
        <v>3.3502369999999997E-2</v>
      </c>
      <c r="W6624">
        <v>4.498854E-2</v>
      </c>
      <c r="X6624">
        <v>0.99842549999999997</v>
      </c>
      <c r="Y6624">
        <v>5.3661670000000002E-2</v>
      </c>
      <c r="Z6624">
        <v>-2.150022E-2</v>
      </c>
      <c r="AA6624">
        <v>0.99832770000000004</v>
      </c>
      <c r="AB6624">
        <v>38</v>
      </c>
      <c r="AC6624">
        <v>0.78509999999999902</v>
      </c>
      <c r="AD6624">
        <v>-1.1079979153490001</v>
      </c>
      <c r="AE6624">
        <v>51.101970000000001</v>
      </c>
      <c r="AF6624">
        <v>2.7582561199230602</v>
      </c>
      <c r="AG6624">
        <v>-1.1079979153490001</v>
      </c>
      <c r="AH6624">
        <v>51.009471220857797</v>
      </c>
      <c r="AI6624">
        <v>91.242535101975406</v>
      </c>
      <c r="AJ6624">
        <v>86.904836082189803</v>
      </c>
      <c r="AK6624">
        <v>51.096005621134701</v>
      </c>
      <c r="AL6624">
        <v>87.4214760386091</v>
      </c>
      <c r="AM6624">
        <v>88.078149593581301</v>
      </c>
      <c r="AN6624">
        <v>0.99999992828859596</v>
      </c>
    </row>
    <row r="6625" spans="1:40" x14ac:dyDescent="0.25">
      <c r="A6625" t="str">
        <f>"20190312151702038"</f>
        <v>20190312151702038</v>
      </c>
      <c r="B6625" t="str">
        <f>"1552375022034079"</f>
        <v>1552375022034079</v>
      </c>
      <c r="C6625" t="s">
        <v>40</v>
      </c>
      <c r="D6625">
        <v>4.6874449999999896</v>
      </c>
      <c r="E6625">
        <v>0.50801679999999905</v>
      </c>
      <c r="F6625" t="s">
        <v>43</v>
      </c>
      <c r="G6625">
        <v>-187.22399999999999</v>
      </c>
      <c r="H6625" s="1">
        <v>-1.478128E-6</v>
      </c>
      <c r="I6625">
        <v>81.821129999999997</v>
      </c>
      <c r="J6625">
        <v>-188.12649999999999</v>
      </c>
      <c r="K6625">
        <v>1.1079330000000001</v>
      </c>
      <c r="L6625">
        <v>26.94089</v>
      </c>
      <c r="M6625">
        <v>-3.7268589999999997E-2</v>
      </c>
      <c r="N6625">
        <v>0</v>
      </c>
      <c r="O6625">
        <v>0.99925240000000004</v>
      </c>
      <c r="P6625">
        <v>-3.9921260000000004E-3</v>
      </c>
      <c r="Q6625">
        <v>3.4995360000000003E-2</v>
      </c>
      <c r="R6625">
        <v>0.99937949999999998</v>
      </c>
      <c r="S6625">
        <v>4.8309329999999998E-2</v>
      </c>
      <c r="T6625">
        <v>-6.0227509999999998E-2</v>
      </c>
      <c r="U6625">
        <v>3.0042420000000001</v>
      </c>
      <c r="V6625">
        <v>3.3397549999999998E-2</v>
      </c>
      <c r="W6625">
        <v>4.5157629999999997E-2</v>
      </c>
      <c r="X6625">
        <v>0.99842140000000001</v>
      </c>
      <c r="Y6625">
        <v>5.3329630000000003E-2</v>
      </c>
      <c r="Z6625">
        <v>-2.000702E-2</v>
      </c>
      <c r="AA6625">
        <v>0.9983765</v>
      </c>
      <c r="AB6625">
        <v>38</v>
      </c>
      <c r="AC6625">
        <v>0.90249999999997499</v>
      </c>
      <c r="AD6625">
        <v>-1.1079344781280001</v>
      </c>
      <c r="AE6625">
        <v>54.880240000000001</v>
      </c>
      <c r="AF6625">
        <v>2.9460898167343301</v>
      </c>
      <c r="AG6625">
        <v>-1.1079344781280001</v>
      </c>
      <c r="AH6625">
        <v>54.786150307734999</v>
      </c>
      <c r="AI6625">
        <v>91.15685755765</v>
      </c>
      <c r="AJ6625">
        <v>86.9219211514948</v>
      </c>
      <c r="AK6625">
        <v>54.876490681874202</v>
      </c>
      <c r="AL6625">
        <v>87.411778094454206</v>
      </c>
      <c r="AM6625">
        <v>88.084150202534303</v>
      </c>
      <c r="AN6625">
        <v>0.99999994993558805</v>
      </c>
    </row>
    <row r="6626" spans="1:40" x14ac:dyDescent="0.25">
      <c r="A6626" t="str">
        <f>"20190312151702062"</f>
        <v>20190312151702062</v>
      </c>
      <c r="B6626" t="str">
        <f>"1552375022054574"</f>
        <v>1552375022054574</v>
      </c>
      <c r="C6626" t="s">
        <v>40</v>
      </c>
      <c r="D6626">
        <v>4.7249970000000001</v>
      </c>
      <c r="E6626">
        <v>0.50786900000000001</v>
      </c>
      <c r="F6626" t="s">
        <v>43</v>
      </c>
      <c r="G6626">
        <v>-187.05539999999999</v>
      </c>
      <c r="H6626" s="1">
        <v>-8.1254959999999999E-7</v>
      </c>
      <c r="I6626">
        <v>89.73348</v>
      </c>
      <c r="J6626">
        <v>-188.14</v>
      </c>
      <c r="K6626">
        <v>1.107877</v>
      </c>
      <c r="L6626">
        <v>27.33859</v>
      </c>
      <c r="M6626">
        <v>-3.5799249999999998E-2</v>
      </c>
      <c r="N6626">
        <v>0</v>
      </c>
      <c r="O6626">
        <v>0.999305</v>
      </c>
      <c r="P6626">
        <v>-2.761922E-3</v>
      </c>
      <c r="Q6626">
        <v>3.490277E-2</v>
      </c>
      <c r="R6626">
        <v>0.99938689999999997</v>
      </c>
      <c r="S6626">
        <v>5.1239010000000001E-2</v>
      </c>
      <c r="T6626">
        <v>-5.3002479999999998E-2</v>
      </c>
      <c r="U6626">
        <v>3.0039370000000001</v>
      </c>
      <c r="V6626">
        <v>3.316587E-2</v>
      </c>
      <c r="W6626">
        <v>4.5176210000000001E-2</v>
      </c>
      <c r="X6626">
        <v>0.99842830000000005</v>
      </c>
      <c r="Y6626">
        <v>5.2837200000000001E-2</v>
      </c>
      <c r="Z6626">
        <v>-1.7611020000000002E-2</v>
      </c>
      <c r="AA6626">
        <v>0.9984478</v>
      </c>
      <c r="AB6626">
        <v>38</v>
      </c>
      <c r="AC6626">
        <v>1.08459999999999</v>
      </c>
      <c r="AD6626">
        <v>-1.1078778125496</v>
      </c>
      <c r="AE6626">
        <v>62.394889999999997</v>
      </c>
      <c r="AF6626">
        <v>3.3166701772458702</v>
      </c>
      <c r="AG6626">
        <v>-1.1078778125496</v>
      </c>
      <c r="AH6626">
        <v>62.296426284042397</v>
      </c>
      <c r="AI6626">
        <v>91.017398466999794</v>
      </c>
      <c r="AJ6626">
        <v>86.952442207631506</v>
      </c>
      <c r="AK6626">
        <v>62.394490318258804</v>
      </c>
      <c r="AL6626">
        <v>87.410712496950097</v>
      </c>
      <c r="AM6626">
        <v>88.097443858308694</v>
      </c>
      <c r="AN6626">
        <v>0.99999996756185505</v>
      </c>
    </row>
    <row r="6627" spans="1:40" x14ac:dyDescent="0.25">
      <c r="A6627" t="str">
        <f>"20190312151702082"</f>
        <v>20190312151702082</v>
      </c>
      <c r="B6627" t="str">
        <f>"1552375022074094"</f>
        <v>1552375022074094</v>
      </c>
      <c r="C6627" t="s">
        <v>40</v>
      </c>
      <c r="D6627">
        <v>4.9894470000000002</v>
      </c>
      <c r="E6627">
        <v>0.50781949999999998</v>
      </c>
      <c r="F6627" t="s">
        <v>43</v>
      </c>
      <c r="G6627">
        <v>-186.96010000000001</v>
      </c>
      <c r="H6627" s="1">
        <v>-2.06469E-6</v>
      </c>
      <c r="I6627">
        <v>93.188680000000005</v>
      </c>
      <c r="J6627">
        <v>-188.15170000000001</v>
      </c>
      <c r="K6627">
        <v>1.1078410000000001</v>
      </c>
      <c r="L6627">
        <v>27.699010000000001</v>
      </c>
      <c r="M6627">
        <v>-3.4431459999999997E-2</v>
      </c>
      <c r="N6627">
        <v>0</v>
      </c>
      <c r="O6627">
        <v>0.99935180000000001</v>
      </c>
      <c r="P6627">
        <v>-2.1296039999999998E-3</v>
      </c>
      <c r="Q6627">
        <v>3.4691880000000001E-2</v>
      </c>
      <c r="R6627">
        <v>0.99939579999999995</v>
      </c>
      <c r="S6627">
        <v>5.3817749999999998E-2</v>
      </c>
      <c r="T6627">
        <v>-5.0535919999999998E-2</v>
      </c>
      <c r="U6627">
        <v>3.0037539999999998</v>
      </c>
      <c r="V6627">
        <v>3.2435970000000001E-2</v>
      </c>
      <c r="W6627">
        <v>4.5079029999999999E-2</v>
      </c>
      <c r="X6627">
        <v>0.99845669999999997</v>
      </c>
      <c r="Y6627">
        <v>5.2328659999999999E-2</v>
      </c>
      <c r="Z6627">
        <v>-1.679404E-2</v>
      </c>
      <c r="AA6627">
        <v>0.99848870000000001</v>
      </c>
      <c r="AB6627">
        <v>38</v>
      </c>
      <c r="AC6627">
        <v>1.19159999999999</v>
      </c>
      <c r="AD6627">
        <v>-1.1078430646899999</v>
      </c>
      <c r="AE6627">
        <v>65.489669999999904</v>
      </c>
      <c r="AF6627">
        <v>3.4449373903615199</v>
      </c>
      <c r="AG6627">
        <v>-1.1078430646899999</v>
      </c>
      <c r="AH6627">
        <v>65.391097360529997</v>
      </c>
      <c r="AI6627">
        <v>90.969257083906697</v>
      </c>
      <c r="AJ6627">
        <v>86.984328425444303</v>
      </c>
      <c r="AK6627">
        <v>65.491148439264705</v>
      </c>
      <c r="AL6627">
        <v>87.416286253937798</v>
      </c>
      <c r="AM6627">
        <v>88.139337608534404</v>
      </c>
      <c r="AN6627">
        <v>0.99999999643523496</v>
      </c>
    </row>
    <row r="6628" spans="1:40" x14ac:dyDescent="0.25">
      <c r="A6628" t="str">
        <f>"20190312151702104"</f>
        <v>20190312151702104</v>
      </c>
      <c r="B6628" t="str">
        <f>"1552375022094590"</f>
        <v>1552375022094590</v>
      </c>
      <c r="C6628" t="s">
        <v>40</v>
      </c>
      <c r="D6628">
        <v>4.7447939999999997</v>
      </c>
      <c r="E6628">
        <v>0.50775090000000001</v>
      </c>
      <c r="F6628" t="s">
        <v>43</v>
      </c>
      <c r="G6628">
        <v>-186.90260000000001</v>
      </c>
      <c r="H6628" s="1">
        <v>-3.1184329999999999E-6</v>
      </c>
      <c r="I6628">
        <v>95.621189999999999</v>
      </c>
      <c r="J6628">
        <v>-188.16319999999999</v>
      </c>
      <c r="K6628">
        <v>1.1078190000000001</v>
      </c>
      <c r="L6628">
        <v>28.070979999999999</v>
      </c>
      <c r="M6628">
        <v>-3.2995219999999999E-2</v>
      </c>
      <c r="N6628">
        <v>0</v>
      </c>
      <c r="O6628">
        <v>0.99939889999999998</v>
      </c>
      <c r="P6628">
        <v>-1.425162E-3</v>
      </c>
      <c r="Q6628">
        <v>3.4085650000000002E-2</v>
      </c>
      <c r="R6628">
        <v>0.99941789999999997</v>
      </c>
      <c r="S6628">
        <v>5.5236819999999999E-2</v>
      </c>
      <c r="T6628">
        <v>-4.8990730000000003E-2</v>
      </c>
      <c r="U6628">
        <v>3.0036320000000001</v>
      </c>
      <c r="V6628">
        <v>3.1707930000000002E-2</v>
      </c>
      <c r="W6628">
        <v>4.4602210000000003E-2</v>
      </c>
      <c r="X6628">
        <v>0.99850150000000004</v>
      </c>
      <c r="Y6628">
        <v>5.1365960000000002E-2</v>
      </c>
      <c r="Z6628">
        <v>-1.6282870000000001E-2</v>
      </c>
      <c r="AA6628">
        <v>0.99854710000000002</v>
      </c>
      <c r="AB6628">
        <v>38</v>
      </c>
      <c r="AC6628">
        <v>1.26059999999998</v>
      </c>
      <c r="AD6628">
        <v>-1.1078221184329999</v>
      </c>
      <c r="AE6628">
        <v>67.550209999999893</v>
      </c>
      <c r="AF6628">
        <v>3.4879359027605199</v>
      </c>
      <c r="AG6628">
        <v>-1.1078221184329999</v>
      </c>
      <c r="AH6628">
        <v>67.453693274777606</v>
      </c>
      <c r="AI6628">
        <v>90.939654424841606</v>
      </c>
      <c r="AJ6628">
        <v>87.039951868697699</v>
      </c>
      <c r="AK6628">
        <v>67.552895593865003</v>
      </c>
      <c r="AL6628">
        <v>87.443633538366996</v>
      </c>
      <c r="AM6628">
        <v>88.181154195682893</v>
      </c>
      <c r="AN6628">
        <v>0.99999999773200898</v>
      </c>
    </row>
    <row r="6629" spans="1:40" x14ac:dyDescent="0.25">
      <c r="A6629" t="str">
        <f>"20190312151702127"</f>
        <v>20190312151702127</v>
      </c>
      <c r="B6629" t="str">
        <f>"1552375022114110"</f>
        <v>1552375022114110</v>
      </c>
      <c r="C6629" t="s">
        <v>40</v>
      </c>
      <c r="D6629">
        <v>4.7684860000000002</v>
      </c>
      <c r="E6629">
        <v>0.50758049999999999</v>
      </c>
      <c r="F6629" t="s">
        <v>43</v>
      </c>
      <c r="G6629">
        <v>-186.8921</v>
      </c>
      <c r="H6629" s="1">
        <v>-2.8868009999999999E-6</v>
      </c>
      <c r="I6629">
        <v>95.076920000000001</v>
      </c>
      <c r="J6629">
        <v>-188.1747</v>
      </c>
      <c r="K6629">
        <v>1.1077950000000001</v>
      </c>
      <c r="L6629">
        <v>28.460170000000002</v>
      </c>
      <c r="M6629">
        <v>-3.1477159999999997E-2</v>
      </c>
      <c r="N6629">
        <v>0</v>
      </c>
      <c r="O6629">
        <v>0.99944630000000001</v>
      </c>
      <c r="P6629">
        <v>-3.270654E-4</v>
      </c>
      <c r="Q6629">
        <v>3.3470739999999999E-2</v>
      </c>
      <c r="R6629">
        <v>0.99943970000000004</v>
      </c>
      <c r="S6629">
        <v>5.6976319999999997E-2</v>
      </c>
      <c r="T6629">
        <v>-4.965758E-2</v>
      </c>
      <c r="U6629">
        <v>3.0035099999999999</v>
      </c>
      <c r="V6629">
        <v>3.1290800000000001E-2</v>
      </c>
      <c r="W6629">
        <v>4.4131549999999999E-2</v>
      </c>
      <c r="X6629">
        <v>0.99853559999999997</v>
      </c>
      <c r="Y6629">
        <v>5.0427850000000003E-2</v>
      </c>
      <c r="Z6629">
        <v>-1.650664E-2</v>
      </c>
      <c r="AA6629">
        <v>0.99859129999999996</v>
      </c>
      <c r="AB6629">
        <v>38</v>
      </c>
      <c r="AC6629">
        <v>1.2826</v>
      </c>
      <c r="AD6629">
        <v>-1.1077978868009899</v>
      </c>
      <c r="AE6629">
        <v>66.616749999999996</v>
      </c>
      <c r="AF6629">
        <v>3.37805857216867</v>
      </c>
      <c r="AG6629">
        <v>-1.1077978868009899</v>
      </c>
      <c r="AH6629">
        <v>66.524970865468603</v>
      </c>
      <c r="AI6629">
        <v>90.952794508948898</v>
      </c>
      <c r="AJ6629">
        <v>87.093085507502195</v>
      </c>
      <c r="AK6629">
        <v>66.619893759495397</v>
      </c>
      <c r="AL6629">
        <v>87.470627022512005</v>
      </c>
      <c r="AM6629">
        <v>88.205127311490003</v>
      </c>
      <c r="AN6629">
        <v>1.0000000261687001</v>
      </c>
    </row>
    <row r="6630" spans="1:40" x14ac:dyDescent="0.25">
      <c r="A6630" t="str">
        <f>"20190312151702150"</f>
        <v>20190312151702150</v>
      </c>
      <c r="B6630" t="str">
        <f>"1552375022144367"</f>
        <v>1552375022144367</v>
      </c>
      <c r="C6630" t="s">
        <v>40</v>
      </c>
      <c r="D6630">
        <v>4.6804269999999999</v>
      </c>
      <c r="E6630">
        <v>0.49594450000000001</v>
      </c>
      <c r="F6630" t="s">
        <v>43</v>
      </c>
      <c r="G6630">
        <v>-186.93729999999999</v>
      </c>
      <c r="H6630" s="1">
        <v>-1.4499329999999999E-6</v>
      </c>
      <c r="I6630">
        <v>91.514089999999996</v>
      </c>
      <c r="J6630">
        <v>-188.18559999999999</v>
      </c>
      <c r="K6630">
        <v>1.107782</v>
      </c>
      <c r="L6630">
        <v>28.84891</v>
      </c>
      <c r="M6630">
        <v>-2.9954089999999999E-2</v>
      </c>
      <c r="N6630">
        <v>0</v>
      </c>
      <c r="O6630">
        <v>0.99949149999999998</v>
      </c>
      <c r="P6630">
        <v>7.0622239999999998E-4</v>
      </c>
      <c r="Q6630">
        <v>3.2573659999999997E-2</v>
      </c>
      <c r="R6630">
        <v>0.9994691</v>
      </c>
      <c r="S6630">
        <v>5.8944700000000003E-2</v>
      </c>
      <c r="T6630">
        <v>-5.2768229999999999E-2</v>
      </c>
      <c r="U6630">
        <v>3.003479</v>
      </c>
      <c r="V6630">
        <v>3.0802429999999999E-2</v>
      </c>
      <c r="W6630">
        <v>4.338554E-2</v>
      </c>
      <c r="X6630">
        <v>0.99858340000000001</v>
      </c>
      <c r="Y6630">
        <v>4.9559989999999998E-2</v>
      </c>
      <c r="Z6630">
        <v>-1.7542019999999998E-2</v>
      </c>
      <c r="AA6630">
        <v>0.99861710000000004</v>
      </c>
      <c r="AB6630">
        <v>38</v>
      </c>
      <c r="AC6630">
        <v>1.2483</v>
      </c>
      <c r="AD6630">
        <v>-1.1077834499329999</v>
      </c>
      <c r="AE6630">
        <v>62.665179999999999</v>
      </c>
      <c r="AF6630">
        <v>3.1239545270996798</v>
      </c>
      <c r="AG6630">
        <v>-1.1077834499329999</v>
      </c>
      <c r="AH6630">
        <v>62.580114466658102</v>
      </c>
      <c r="AI6630">
        <v>91.012874095679805</v>
      </c>
      <c r="AJ6630">
        <v>87.142207927178802</v>
      </c>
      <c r="AK6630">
        <v>62.667830684645203</v>
      </c>
      <c r="AL6630">
        <v>87.513411040695004</v>
      </c>
      <c r="AM6630">
        <v>88.233207346104805</v>
      </c>
      <c r="AN6630">
        <v>0.99999995076527703</v>
      </c>
    </row>
    <row r="6631" spans="1:40" x14ac:dyDescent="0.25">
      <c r="A6631" t="str">
        <f>"20190312151702173"</f>
        <v>20190312151702173</v>
      </c>
      <c r="B6631" t="str">
        <f>"1552375022164862"</f>
        <v>1552375022164862</v>
      </c>
      <c r="C6631" t="s">
        <v>40</v>
      </c>
      <c r="D6631">
        <v>4.7117500000000003</v>
      </c>
      <c r="E6631">
        <v>0.49581320000000001</v>
      </c>
      <c r="F6631" t="s">
        <v>43</v>
      </c>
      <c r="G6631">
        <v>-188.45259999999999</v>
      </c>
      <c r="H6631" s="1">
        <v>-2.4892630000000001E-6</v>
      </c>
      <c r="I6631">
        <v>54.795479999999998</v>
      </c>
      <c r="J6631">
        <v>-188.1961</v>
      </c>
      <c r="K6631">
        <v>1.107777</v>
      </c>
      <c r="L6631">
        <v>29.24484</v>
      </c>
      <c r="M6631">
        <v>-2.8401119999999998E-2</v>
      </c>
      <c r="N6631">
        <v>0</v>
      </c>
      <c r="O6631">
        <v>0.99953510000000001</v>
      </c>
      <c r="P6631">
        <v>1.4651340000000001E-3</v>
      </c>
      <c r="Q6631">
        <v>3.1716359999999999E-2</v>
      </c>
      <c r="R6631">
        <v>0.99949589999999999</v>
      </c>
      <c r="S6631">
        <v>-3.092957E-2</v>
      </c>
      <c r="T6631">
        <v>-0.128332</v>
      </c>
      <c r="U6631">
        <v>3.005798</v>
      </c>
      <c r="V6631">
        <v>3.0009419999999998E-2</v>
      </c>
      <c r="W6631">
        <v>4.2687139999999998E-2</v>
      </c>
      <c r="X6631">
        <v>0.99863769999999996</v>
      </c>
      <c r="Y6631">
        <v>1.8125450000000001E-2</v>
      </c>
      <c r="Z6631">
        <v>-4.2625540000000003E-2</v>
      </c>
      <c r="AA6631">
        <v>0.99892669999999995</v>
      </c>
      <c r="AB6631">
        <v>38</v>
      </c>
      <c r="AC6631">
        <v>-0.25649999999998802</v>
      </c>
      <c r="AD6631">
        <v>-1.107779489263</v>
      </c>
      <c r="AE6631">
        <v>25.550639999999898</v>
      </c>
      <c r="AF6631">
        <v>0.46843443704846599</v>
      </c>
      <c r="AG6631">
        <v>-1.107779489263</v>
      </c>
      <c r="AH6631">
        <v>25.499688575398601</v>
      </c>
      <c r="AI6631">
        <v>92.487109530907404</v>
      </c>
      <c r="AJ6631">
        <v>88.9475833146236</v>
      </c>
      <c r="AK6631">
        <v>25.5280379908241</v>
      </c>
      <c r="AL6631">
        <v>87.553463660751902</v>
      </c>
      <c r="AM6631">
        <v>88.278759319043004</v>
      </c>
      <c r="AN6631">
        <v>1.0000000065357</v>
      </c>
    </row>
    <row r="6632" spans="1:40" x14ac:dyDescent="0.25">
      <c r="A6632" t="str">
        <f>"20190312151702196"</f>
        <v>20190312151702196</v>
      </c>
      <c r="B6632" t="str">
        <f>"1552375022184383"</f>
        <v>1552375022184383</v>
      </c>
      <c r="C6632" t="s">
        <v>40</v>
      </c>
      <c r="D6632">
        <v>4.8392569999999999</v>
      </c>
      <c r="E6632">
        <v>0.49579129999999899</v>
      </c>
      <c r="F6632" t="s">
        <v>43</v>
      </c>
      <c r="G6632">
        <v>-188.45160000000001</v>
      </c>
      <c r="H6632" s="1">
        <v>-2.6806790000000001E-6</v>
      </c>
      <c r="I6632">
        <v>55.241259999999997</v>
      </c>
      <c r="J6632">
        <v>-188.2055</v>
      </c>
      <c r="K6632">
        <v>1.1077729999999999</v>
      </c>
      <c r="L6632">
        <v>29.62332</v>
      </c>
      <c r="M6632">
        <v>-2.6917480000000001E-2</v>
      </c>
      <c r="N6632">
        <v>0</v>
      </c>
      <c r="O6632">
        <v>0.99957439999999997</v>
      </c>
      <c r="P6632">
        <v>2.120846E-3</v>
      </c>
      <c r="Q6632">
        <v>3.1315229999999999E-2</v>
      </c>
      <c r="R6632">
        <v>0.99950729999999999</v>
      </c>
      <c r="S6632">
        <v>-2.9541020000000001E-2</v>
      </c>
      <c r="T6632">
        <v>-0.12807760000000001</v>
      </c>
      <c r="U6632">
        <v>3.0056150000000001</v>
      </c>
      <c r="V6632">
        <v>2.9183150000000001E-2</v>
      </c>
      <c r="W6632">
        <v>4.2438450000000003E-2</v>
      </c>
      <c r="X6632">
        <v>0.99867280000000003</v>
      </c>
      <c r="Y6632">
        <v>1.710221E-2</v>
      </c>
      <c r="Z6632">
        <v>-4.2546880000000002E-2</v>
      </c>
      <c r="AA6632">
        <v>0.99894810000000001</v>
      </c>
      <c r="AB6632">
        <v>38</v>
      </c>
      <c r="AC6632">
        <v>-0.246100000000012</v>
      </c>
      <c r="AD6632">
        <v>-1.10777568067899</v>
      </c>
      <c r="AE6632">
        <v>25.617940000000001</v>
      </c>
      <c r="AF6632">
        <v>0.442775316287014</v>
      </c>
      <c r="AG6632">
        <v>-1.10777568067899</v>
      </c>
      <c r="AH6632">
        <v>25.567477337218101</v>
      </c>
      <c r="AI6632">
        <v>92.480561525674702</v>
      </c>
      <c r="AJ6632">
        <v>89.007855923275699</v>
      </c>
      <c r="AK6632">
        <v>25.5952947693238</v>
      </c>
      <c r="AL6632">
        <v>87.567725504701897</v>
      </c>
      <c r="AM6632">
        <v>88.326182877474395</v>
      </c>
      <c r="AN6632">
        <v>1.0000000198710799</v>
      </c>
    </row>
    <row r="6633" spans="1:40" x14ac:dyDescent="0.25">
      <c r="A6633" t="str">
        <f>"20190312151702217"</f>
        <v>20190312151702217</v>
      </c>
      <c r="B6633" t="str">
        <f>"1552375022204879"</f>
        <v>1552375022204879</v>
      </c>
      <c r="C6633" t="s">
        <v>40</v>
      </c>
      <c r="D6633">
        <v>4.8316290000000004</v>
      </c>
      <c r="E6633">
        <v>0.49102699999999999</v>
      </c>
      <c r="F6633" t="s">
        <v>43</v>
      </c>
      <c r="G6633">
        <v>-188.44059999999999</v>
      </c>
      <c r="H6633" s="1">
        <v>-2.6639220000000002E-6</v>
      </c>
      <c r="I6633">
        <v>55.197659999999999</v>
      </c>
      <c r="J6633">
        <v>-188.214</v>
      </c>
      <c r="K6633">
        <v>1.107785</v>
      </c>
      <c r="L6633">
        <v>29.989650000000001</v>
      </c>
      <c r="M6633">
        <v>-2.5482379999999999E-2</v>
      </c>
      <c r="N6633">
        <v>0</v>
      </c>
      <c r="O6633">
        <v>0.99961049999999996</v>
      </c>
      <c r="P6633">
        <v>3.0653070000000002E-3</v>
      </c>
      <c r="Q6633">
        <v>3.1869160000000001E-2</v>
      </c>
      <c r="R6633">
        <v>0.99948729999999997</v>
      </c>
      <c r="S6633">
        <v>-2.7633669999999999E-2</v>
      </c>
      <c r="T6633">
        <v>-0.130191</v>
      </c>
      <c r="U6633">
        <v>3.0056150000000001</v>
      </c>
      <c r="V6633">
        <v>2.8696360000000001E-2</v>
      </c>
      <c r="W6633">
        <v>4.3132579999999997E-2</v>
      </c>
      <c r="X6633">
        <v>0.99865720000000002</v>
      </c>
      <c r="Y6633">
        <v>1.630092E-2</v>
      </c>
      <c r="Z6633">
        <v>-4.3250480000000001E-2</v>
      </c>
      <c r="AA6633">
        <v>0.99893129999999997</v>
      </c>
      <c r="AB6633">
        <v>38</v>
      </c>
      <c r="AC6633">
        <v>-0.226599999999962</v>
      </c>
      <c r="AD6633">
        <v>-1.1077876639219999</v>
      </c>
      <c r="AE6633">
        <v>25.208010000000002</v>
      </c>
      <c r="AF6633">
        <v>0.41507373701550099</v>
      </c>
      <c r="AG6633">
        <v>-1.1077876639219999</v>
      </c>
      <c r="AH6633">
        <v>25.157017582991202</v>
      </c>
      <c r="AI6633">
        <v>92.521044433575497</v>
      </c>
      <c r="AJ6633">
        <v>89.054744245619304</v>
      </c>
      <c r="AK6633">
        <v>25.184817120368901</v>
      </c>
      <c r="AL6633">
        <v>87.5279184120933</v>
      </c>
      <c r="AM6633">
        <v>88.354061826400894</v>
      </c>
      <c r="AN6633">
        <v>1.0000000518232699</v>
      </c>
    </row>
    <row r="6634" spans="1:40" x14ac:dyDescent="0.25">
      <c r="A6634" t="str">
        <f>"20190312151702239"</f>
        <v>20190312151702239</v>
      </c>
      <c r="B6634" t="str">
        <f>"1552375022234158"</f>
        <v>1552375022234158</v>
      </c>
      <c r="C6634" t="s">
        <v>40</v>
      </c>
      <c r="D6634">
        <v>4.7012970000000003</v>
      </c>
      <c r="E6634">
        <v>0.49736910000000001</v>
      </c>
      <c r="F6634" t="s">
        <v>43</v>
      </c>
      <c r="G6634">
        <v>-188.7441</v>
      </c>
      <c r="H6634" s="1">
        <v>-2.6812089999999999E-6</v>
      </c>
      <c r="I6634">
        <v>55.363419999999998</v>
      </c>
      <c r="J6634">
        <v>-188.22239999999999</v>
      </c>
      <c r="K6634">
        <v>1.107791</v>
      </c>
      <c r="L6634">
        <v>30.37415</v>
      </c>
      <c r="M6634">
        <v>-2.3978969999999999E-2</v>
      </c>
      <c r="N6634">
        <v>0</v>
      </c>
      <c r="O6634">
        <v>0.99964609999999998</v>
      </c>
      <c r="P6634">
        <v>3.9092689999999999E-3</v>
      </c>
      <c r="Q6634">
        <v>3.2232919999999998E-2</v>
      </c>
      <c r="R6634">
        <v>0.99947269999999999</v>
      </c>
      <c r="S6634">
        <v>-6.2789919999999999E-2</v>
      </c>
      <c r="T6634">
        <v>-0.13123479999999901</v>
      </c>
      <c r="U6634">
        <v>3.0059200000000001</v>
      </c>
      <c r="V6634">
        <v>2.8039979999999999E-2</v>
      </c>
      <c r="W6634">
        <v>4.3638499999999997E-2</v>
      </c>
      <c r="X6634">
        <v>0.99865380000000004</v>
      </c>
      <c r="Y6634">
        <v>3.1169980000000002E-3</v>
      </c>
      <c r="Z6634">
        <v>-4.3593560000000003E-2</v>
      </c>
      <c r="AA6634">
        <v>0.9990445</v>
      </c>
      <c r="AB6634">
        <v>38</v>
      </c>
      <c r="AC6634">
        <v>-0.52170000000000905</v>
      </c>
      <c r="AD6634">
        <v>-1.1077936812089999</v>
      </c>
      <c r="AE6634">
        <v>24.989270000000001</v>
      </c>
      <c r="AF6634">
        <v>7.7554395805230603E-2</v>
      </c>
      <c r="AG6634">
        <v>-1.1077936812089999</v>
      </c>
      <c r="AH6634">
        <v>24.945592211773</v>
      </c>
      <c r="AI6634">
        <v>92.542730623555798</v>
      </c>
      <c r="AJ6634">
        <v>89.821871326673005</v>
      </c>
      <c r="AK6634">
        <v>24.970298202474599</v>
      </c>
      <c r="AL6634">
        <v>87.498903847210897</v>
      </c>
      <c r="AM6634">
        <v>88.391684360976797</v>
      </c>
      <c r="AN6634">
        <v>0.999999985707545</v>
      </c>
    </row>
    <row r="6635" spans="1:40" x14ac:dyDescent="0.25">
      <c r="A6635" t="str">
        <f>"20190312151702261"</f>
        <v>20190312151702261</v>
      </c>
      <c r="B6635" t="str">
        <f>"1552375022254655"</f>
        <v>1552375022254655</v>
      </c>
      <c r="C6635" t="s">
        <v>40</v>
      </c>
      <c r="D6635">
        <v>4.7254569999999996</v>
      </c>
      <c r="E6635">
        <v>0.49542320000000001</v>
      </c>
      <c r="F6635" t="s">
        <v>43</v>
      </c>
      <c r="G6635">
        <v>-188.35830000000001</v>
      </c>
      <c r="H6635" s="1">
        <v>-1.491689E-6</v>
      </c>
      <c r="I6635">
        <v>72.431110000000004</v>
      </c>
      <c r="J6635">
        <v>-188.2303</v>
      </c>
      <c r="K6635">
        <v>1.107809</v>
      </c>
      <c r="L6635">
        <v>30.759550000000001</v>
      </c>
      <c r="M6635">
        <v>-2.2476050000000001E-2</v>
      </c>
      <c r="N6635">
        <v>0</v>
      </c>
      <c r="O6635">
        <v>0.9996794</v>
      </c>
      <c r="P6635">
        <v>4.9281459999999996E-3</v>
      </c>
      <c r="Q6635">
        <v>3.2509740000000002E-2</v>
      </c>
      <c r="R6635">
        <v>0.99945930000000005</v>
      </c>
      <c r="S6635">
        <v>-9.7045900000000008E-3</v>
      </c>
      <c r="T6635">
        <v>-7.9131010000000002E-2</v>
      </c>
      <c r="U6635">
        <v>3.004181</v>
      </c>
      <c r="V6635">
        <v>2.7558320000000001E-2</v>
      </c>
      <c r="W6635">
        <v>4.4053429999999998E-2</v>
      </c>
      <c r="X6635">
        <v>0.99864900000000001</v>
      </c>
      <c r="Y6635">
        <v>1.924905E-2</v>
      </c>
      <c r="Z6635">
        <v>-2.6318680000000001E-2</v>
      </c>
      <c r="AA6635">
        <v>0.99946829999999998</v>
      </c>
      <c r="AB6635">
        <v>38</v>
      </c>
      <c r="AC6635">
        <v>-0.12800000000001399</v>
      </c>
      <c r="AD6635">
        <v>-1.1078104916889999</v>
      </c>
      <c r="AE6635">
        <v>41.671559999999999</v>
      </c>
      <c r="AF6635">
        <v>0.808136939908635</v>
      </c>
      <c r="AG6635">
        <v>-1.1078104916889999</v>
      </c>
      <c r="AH6635">
        <v>41.634484779481099</v>
      </c>
      <c r="AI6635">
        <v>91.523879733903897</v>
      </c>
      <c r="AJ6635">
        <v>88.888012605828905</v>
      </c>
      <c r="AK6635">
        <v>41.657060052912797</v>
      </c>
      <c r="AL6635">
        <v>87.475107248380496</v>
      </c>
      <c r="AM6635">
        <v>88.419289656486995</v>
      </c>
      <c r="AN6635">
        <v>0.99999999544849305</v>
      </c>
    </row>
    <row r="6636" spans="1:40" x14ac:dyDescent="0.25">
      <c r="A6636" t="str">
        <f>"20190312151702282"</f>
        <v>20190312151702282</v>
      </c>
      <c r="B6636" t="str">
        <f>"1552375022274174"</f>
        <v>1552375022274174</v>
      </c>
      <c r="C6636" t="s">
        <v>40</v>
      </c>
      <c r="D6636">
        <v>4.746416</v>
      </c>
      <c r="E6636">
        <v>0.49623830000000002</v>
      </c>
      <c r="F6636" t="s">
        <v>43</v>
      </c>
      <c r="G6636">
        <v>-188.43709999999999</v>
      </c>
      <c r="H6636" s="1">
        <v>-4.1250070000000003E-6</v>
      </c>
      <c r="I6636">
        <v>58.602029999999999</v>
      </c>
      <c r="J6636">
        <v>-188.2372</v>
      </c>
      <c r="K6636">
        <v>1.10782</v>
      </c>
      <c r="L6636">
        <v>31.123660000000001</v>
      </c>
      <c r="M6636">
        <v>-2.1061110000000001E-2</v>
      </c>
      <c r="N6636">
        <v>0</v>
      </c>
      <c r="O6636">
        <v>0.99970870000000001</v>
      </c>
      <c r="P6636">
        <v>5.9489E-3</v>
      </c>
      <c r="Q6636">
        <v>3.2882960000000003E-2</v>
      </c>
      <c r="R6636">
        <v>0.99944149999999998</v>
      </c>
      <c r="S6636">
        <v>-2.2323610000000001E-2</v>
      </c>
      <c r="T6636">
        <v>-0.11958920000000001</v>
      </c>
      <c r="U6636">
        <v>3.0056150000000001</v>
      </c>
      <c r="V6636">
        <v>2.7166349999999999E-2</v>
      </c>
      <c r="W6636">
        <v>4.4553139999999998E-2</v>
      </c>
      <c r="X6636">
        <v>0.99863760000000001</v>
      </c>
      <c r="Y6636">
        <v>1.3642410000000001E-2</v>
      </c>
      <c r="Z6636">
        <v>-3.9741520000000002E-2</v>
      </c>
      <c r="AA6636">
        <v>0.99911680000000003</v>
      </c>
      <c r="AB6636">
        <v>38</v>
      </c>
      <c r="AC6636">
        <v>-0.19989999999998501</v>
      </c>
      <c r="AD6636">
        <v>-1.107824125007</v>
      </c>
      <c r="AE6636">
        <v>27.478370000000002</v>
      </c>
      <c r="AF6636">
        <v>0.37829468187343301</v>
      </c>
      <c r="AG6636">
        <v>-1.107824125007</v>
      </c>
      <c r="AH6636">
        <v>27.431899197567301</v>
      </c>
      <c r="AI6636">
        <v>92.312386345675307</v>
      </c>
      <c r="AJ6636">
        <v>89.209922918405994</v>
      </c>
      <c r="AK6636">
        <v>27.456865712309099</v>
      </c>
      <c r="AL6636">
        <v>87.446447908297301</v>
      </c>
      <c r="AM6636">
        <v>88.441743615537206</v>
      </c>
      <c r="AN6636">
        <v>1.0000000244949701</v>
      </c>
    </row>
    <row r="6637" spans="1:40" x14ac:dyDescent="0.25">
      <c r="A6637" t="str">
        <f>"20190312151702306"</f>
        <v>20190312151702306</v>
      </c>
      <c r="B6637" t="str">
        <f>"1552375022294670"</f>
        <v>1552375022294670</v>
      </c>
      <c r="C6637" t="s">
        <v>40</v>
      </c>
      <c r="D6637">
        <v>4.7714429999999997</v>
      </c>
      <c r="E6637">
        <v>0.49660749999999998</v>
      </c>
      <c r="F6637" t="s">
        <v>43</v>
      </c>
      <c r="G6637">
        <v>-188.35480000000001</v>
      </c>
      <c r="H6637" s="1">
        <v>-4.2410980000000003E-6</v>
      </c>
      <c r="I6637">
        <v>58.8386</v>
      </c>
      <c r="J6637">
        <v>-188.2441</v>
      </c>
      <c r="K6637">
        <v>1.1078349999999999</v>
      </c>
      <c r="L6637">
        <v>31.520019999999999</v>
      </c>
      <c r="M6637">
        <v>-1.9528159999999999E-2</v>
      </c>
      <c r="N6637">
        <v>0</v>
      </c>
      <c r="O6637">
        <v>0.99973829999999997</v>
      </c>
      <c r="P6637">
        <v>6.8506469999999996E-3</v>
      </c>
      <c r="Q6637">
        <v>3.3628980000000003E-2</v>
      </c>
      <c r="R6637">
        <v>0.99941089999999999</v>
      </c>
      <c r="S6637">
        <v>-1.275635E-2</v>
      </c>
      <c r="T6637">
        <v>-0.1201444</v>
      </c>
      <c r="U6637">
        <v>3.0057070000000001</v>
      </c>
      <c r="V6637">
        <v>2.6538320000000001E-2</v>
      </c>
      <c r="W6637">
        <v>4.5429160000000003E-2</v>
      </c>
      <c r="X6637">
        <v>0.99861500000000003</v>
      </c>
      <c r="Y6637">
        <v>1.5289560000000001E-2</v>
      </c>
      <c r="Z6637">
        <v>-3.9926259999999998E-2</v>
      </c>
      <c r="AA6637">
        <v>0.99908569999999997</v>
      </c>
      <c r="AB6637">
        <v>38</v>
      </c>
      <c r="AC6637">
        <v>-0.110700000000008</v>
      </c>
      <c r="AD6637">
        <v>-1.107839241098</v>
      </c>
      <c r="AE6637">
        <v>27.318580000000001</v>
      </c>
      <c r="AF6637">
        <v>0.42214637674453698</v>
      </c>
      <c r="AG6637">
        <v>-1.107839241098</v>
      </c>
      <c r="AH6637">
        <v>27.270685473531799</v>
      </c>
      <c r="AI6637">
        <v>92.3260155708588</v>
      </c>
      <c r="AJ6637">
        <v>89.113140222899801</v>
      </c>
      <c r="AK6637">
        <v>27.296443019994602</v>
      </c>
      <c r="AL6637">
        <v>87.396204730428295</v>
      </c>
      <c r="AM6637">
        <v>88.477715705853299</v>
      </c>
      <c r="AN6637">
        <v>1.0000000046158599</v>
      </c>
    </row>
    <row r="6638" spans="1:40" x14ac:dyDescent="0.25">
      <c r="A6638" t="str">
        <f>"20190312151702327"</f>
        <v>20190312151702327</v>
      </c>
      <c r="B6638" t="str">
        <f>"1552375022324927"</f>
        <v>1552375022324927</v>
      </c>
      <c r="C6638" t="s">
        <v>40</v>
      </c>
      <c r="D6638">
        <v>4.8107119999999997</v>
      </c>
      <c r="E6638">
        <v>0.49654219999999999</v>
      </c>
      <c r="F6638" t="s">
        <v>43</v>
      </c>
      <c r="G6638">
        <v>-188.3235</v>
      </c>
      <c r="H6638" s="1">
        <v>-1.9285729999999999E-6</v>
      </c>
      <c r="I6638">
        <v>63.435099999999998</v>
      </c>
      <c r="J6638">
        <v>-188.2501</v>
      </c>
      <c r="K6638">
        <v>1.107847</v>
      </c>
      <c r="L6638">
        <v>31.896640000000001</v>
      </c>
      <c r="M6638">
        <v>-1.808216E-2</v>
      </c>
      <c r="N6638">
        <v>0</v>
      </c>
      <c r="O6638">
        <v>0.99976419999999999</v>
      </c>
      <c r="P6638">
        <v>7.2082149999999996E-3</v>
      </c>
      <c r="Q6638">
        <v>3.385262E-2</v>
      </c>
      <c r="R6638">
        <v>0.99940090000000004</v>
      </c>
      <c r="S6638">
        <v>-7.4768069999999898E-3</v>
      </c>
      <c r="T6638">
        <v>-0.1043215</v>
      </c>
      <c r="U6638">
        <v>3.005341</v>
      </c>
      <c r="V6638">
        <v>2.545118E-2</v>
      </c>
      <c r="W6638">
        <v>4.5766880000000003E-2</v>
      </c>
      <c r="X6638">
        <v>0.99862790000000001</v>
      </c>
      <c r="Y6638">
        <v>1.559748E-2</v>
      </c>
      <c r="Z6638">
        <v>-3.4680469999999998E-2</v>
      </c>
      <c r="AA6638">
        <v>0.99927679999999997</v>
      </c>
      <c r="AB6638">
        <v>38</v>
      </c>
      <c r="AC6638">
        <v>-7.3399999999992305E-2</v>
      </c>
      <c r="AD6638">
        <v>-1.107848928573</v>
      </c>
      <c r="AE6638">
        <v>31.538460000000001</v>
      </c>
      <c r="AF6638">
        <v>0.49632430096515701</v>
      </c>
      <c r="AG6638">
        <v>-1.107848928573</v>
      </c>
      <c r="AH6638">
        <v>31.495767749676599</v>
      </c>
      <c r="AI6638">
        <v>92.014271873095694</v>
      </c>
      <c r="AJ6638">
        <v>89.097182378233896</v>
      </c>
      <c r="AK6638">
        <v>31.5191537513595</v>
      </c>
      <c r="AL6638">
        <v>87.376834709180798</v>
      </c>
      <c r="AM6638">
        <v>88.540067237021105</v>
      </c>
      <c r="AN6638">
        <v>1.0000000262633599</v>
      </c>
    </row>
    <row r="6639" spans="1:40" x14ac:dyDescent="0.25">
      <c r="A6639" t="str">
        <f>"20190312151702350"</f>
        <v>20190312151702350</v>
      </c>
      <c r="B6639" t="str">
        <f>"1552375022344447"</f>
        <v>1552375022344447</v>
      </c>
      <c r="C6639" t="s">
        <v>40</v>
      </c>
      <c r="D6639">
        <v>4.8686509999999998</v>
      </c>
      <c r="E6639">
        <v>0.49662889999999998</v>
      </c>
      <c r="F6639" t="s">
        <v>43</v>
      </c>
      <c r="G6639">
        <v>-188.32409999999999</v>
      </c>
      <c r="H6639" s="1">
        <v>-2.3670860000000002E-6</v>
      </c>
      <c r="I6639">
        <v>64.457560000000001</v>
      </c>
      <c r="J6639">
        <v>-188.25550000000001</v>
      </c>
      <c r="K6639">
        <v>1.1078650000000001</v>
      </c>
      <c r="L6639">
        <v>32.266939999999998</v>
      </c>
      <c r="M6639">
        <v>-1.667385E-2</v>
      </c>
      <c r="N6639">
        <v>0</v>
      </c>
      <c r="O6639">
        <v>0.99978750000000005</v>
      </c>
      <c r="P6639">
        <v>7.2531239999999997E-3</v>
      </c>
      <c r="Q6639">
        <v>3.3979839999999997E-2</v>
      </c>
      <c r="R6639">
        <v>0.99939619999999996</v>
      </c>
      <c r="S6639">
        <v>-6.8359379999999997E-3</v>
      </c>
      <c r="T6639">
        <v>-0.10225239999999999</v>
      </c>
      <c r="U6639">
        <v>3.0053100000000001</v>
      </c>
      <c r="V6639">
        <v>2.4088410000000001E-2</v>
      </c>
      <c r="W6639">
        <v>4.5996479999999999E-2</v>
      </c>
      <c r="X6639">
        <v>0.99865110000000001</v>
      </c>
      <c r="Y6639">
        <v>1.440205E-2</v>
      </c>
      <c r="Z6639">
        <v>-3.3995320000000002E-2</v>
      </c>
      <c r="AA6639">
        <v>0.99931820000000005</v>
      </c>
      <c r="AB6639">
        <v>38</v>
      </c>
      <c r="AC6639">
        <v>-6.8599999999975098E-2</v>
      </c>
      <c r="AD6639">
        <v>-1.107867367086</v>
      </c>
      <c r="AE6639">
        <v>32.190620000000003</v>
      </c>
      <c r="AF6639">
        <v>0.46763665556022599</v>
      </c>
      <c r="AG6639">
        <v>-1.107867367086</v>
      </c>
      <c r="AH6639">
        <v>32.149209198303701</v>
      </c>
      <c r="AI6639">
        <v>91.9734329919863</v>
      </c>
      <c r="AJ6639">
        <v>89.166644594216294</v>
      </c>
      <c r="AK6639">
        <v>32.171691068717102</v>
      </c>
      <c r="AL6639">
        <v>87.363665591085606</v>
      </c>
      <c r="AM6639">
        <v>88.618239490749403</v>
      </c>
      <c r="AN6639">
        <v>0.99999997359996395</v>
      </c>
    </row>
    <row r="6640" spans="1:40" x14ac:dyDescent="0.25">
      <c r="A6640" t="str">
        <f>"20190312151702375"</f>
        <v>20190312151702375</v>
      </c>
      <c r="B6640" t="str">
        <f>"1552375022364942"</f>
        <v>1552375022364942</v>
      </c>
      <c r="C6640" t="s">
        <v>40</v>
      </c>
      <c r="D6640">
        <v>4.7541960000000003</v>
      </c>
      <c r="E6640">
        <v>0.49670209999999998</v>
      </c>
      <c r="F6640" t="s">
        <v>43</v>
      </c>
      <c r="G6640">
        <v>-188.32329999999999</v>
      </c>
      <c r="H6640" s="1">
        <v>-2.6695189999999999E-6</v>
      </c>
      <c r="I6640">
        <v>65.162189999999995</v>
      </c>
      <c r="J6640">
        <v>-188.261</v>
      </c>
      <c r="K6640">
        <v>1.1078870000000001</v>
      </c>
      <c r="L6640">
        <v>32.69312</v>
      </c>
      <c r="M6640">
        <v>-1.507411E-2</v>
      </c>
      <c r="N6640">
        <v>0</v>
      </c>
      <c r="O6640">
        <v>0.99981180000000003</v>
      </c>
      <c r="P6640">
        <v>7.6154769999999998E-3</v>
      </c>
      <c r="Q6640">
        <v>3.4446900000000003E-2</v>
      </c>
      <c r="R6640">
        <v>0.99937750000000003</v>
      </c>
      <c r="S6640">
        <v>-6.1950679999999998E-3</v>
      </c>
      <c r="T6640">
        <v>-0.10121479999999999</v>
      </c>
      <c r="U6640">
        <v>3.0053100000000001</v>
      </c>
      <c r="V6640">
        <v>2.285216E-2</v>
      </c>
      <c r="W6640">
        <v>4.6566629999999998E-2</v>
      </c>
      <c r="X6640">
        <v>0.99865380000000004</v>
      </c>
      <c r="Y6640">
        <v>1.3015229999999999E-2</v>
      </c>
      <c r="Z6640">
        <v>-3.3652370000000001E-2</v>
      </c>
      <c r="AA6640">
        <v>0.99934880000000004</v>
      </c>
      <c r="AB6640">
        <v>38</v>
      </c>
      <c r="AC6640">
        <v>-6.2299999999993298E-2</v>
      </c>
      <c r="AD6640">
        <v>-1.1078896695189999</v>
      </c>
      <c r="AE6640">
        <v>32.469069999999903</v>
      </c>
      <c r="AF6640">
        <v>0.42668913408527998</v>
      </c>
      <c r="AG6640">
        <v>-1.1078896695189999</v>
      </c>
      <c r="AH6640">
        <v>32.428564041231802</v>
      </c>
      <c r="AI6640">
        <v>91.956523118955204</v>
      </c>
      <c r="AJ6640">
        <v>89.246156079772007</v>
      </c>
      <c r="AK6640">
        <v>32.450288887978303</v>
      </c>
      <c r="AL6640">
        <v>87.330963541871199</v>
      </c>
      <c r="AM6640">
        <v>88.689131451495101</v>
      </c>
      <c r="AN6640">
        <v>1.0000000422503299</v>
      </c>
    </row>
    <row r="6641" spans="1:40" x14ac:dyDescent="0.25">
      <c r="A6641" t="str">
        <f>"20190312151702397"</f>
        <v>20190312151702397</v>
      </c>
      <c r="B6641" t="str">
        <f>"1552375022384463"</f>
        <v>1552375022384463</v>
      </c>
      <c r="C6641" t="s">
        <v>40</v>
      </c>
      <c r="D6641">
        <v>4.8463180000000001</v>
      </c>
      <c r="E6641">
        <v>0.49670120000000001</v>
      </c>
      <c r="F6641" t="s">
        <v>43</v>
      </c>
      <c r="G6641">
        <v>-188.31379999999999</v>
      </c>
      <c r="H6641" s="1">
        <v>-3.3010420000000001E-6</v>
      </c>
      <c r="I6641">
        <v>66.630350000000007</v>
      </c>
      <c r="J6641">
        <v>-188.2654</v>
      </c>
      <c r="K6641">
        <v>1.107907</v>
      </c>
      <c r="L6641">
        <v>33.06879</v>
      </c>
      <c r="M6641">
        <v>-1.368572E-2</v>
      </c>
      <c r="N6641">
        <v>0</v>
      </c>
      <c r="O6641">
        <v>0.99983069999999996</v>
      </c>
      <c r="P6641">
        <v>7.025356E-3</v>
      </c>
      <c r="Q6641">
        <v>3.4248939999999999E-2</v>
      </c>
      <c r="R6641">
        <v>0.99938859999999996</v>
      </c>
      <c r="S6641">
        <v>-4.6691889999999998E-3</v>
      </c>
      <c r="T6641">
        <v>-9.8108169999999995E-2</v>
      </c>
      <c r="U6641">
        <v>3.00528</v>
      </c>
      <c r="V6641">
        <v>2.087249E-2</v>
      </c>
      <c r="W6641">
        <v>4.6457070000000003E-2</v>
      </c>
      <c r="X6641">
        <v>0.99870219999999998</v>
      </c>
      <c r="Y6641">
        <v>1.213405E-2</v>
      </c>
      <c r="Z6641">
        <v>-3.2622089999999999E-2</v>
      </c>
      <c r="AA6641">
        <v>0.99939409999999895</v>
      </c>
      <c r="AB6641">
        <v>38</v>
      </c>
      <c r="AC6641">
        <v>-4.83999999999866E-2</v>
      </c>
      <c r="AD6641">
        <v>-1.1079103010419999</v>
      </c>
      <c r="AE6641">
        <v>33.56156</v>
      </c>
      <c r="AF6641">
        <v>0.410506045155067</v>
      </c>
      <c r="AG6641">
        <v>-1.1079103010419999</v>
      </c>
      <c r="AH6641">
        <v>33.522547838011398</v>
      </c>
      <c r="AI6641">
        <v>91.892777774379397</v>
      </c>
      <c r="AJ6641">
        <v>89.298409882212496</v>
      </c>
      <c r="AK6641">
        <v>33.543362890444101</v>
      </c>
      <c r="AL6641">
        <v>87.337247561662807</v>
      </c>
      <c r="AM6641">
        <v>88.802714653929598</v>
      </c>
      <c r="AN6641">
        <v>1.00000000223831</v>
      </c>
    </row>
    <row r="6642" spans="1:40" x14ac:dyDescent="0.25">
      <c r="A6642" t="str">
        <f>"20190312151702427"</f>
        <v>20190312151702427</v>
      </c>
      <c r="B6642" t="str">
        <f>"1552375022424479"</f>
        <v>1552375022424479</v>
      </c>
      <c r="C6642" t="s">
        <v>40</v>
      </c>
      <c r="D6642">
        <v>4.7494610000000002</v>
      </c>
      <c r="E6642">
        <v>0.48993130000000001</v>
      </c>
      <c r="F6642" t="s">
        <v>43</v>
      </c>
      <c r="G6642">
        <v>-188.34200000000001</v>
      </c>
      <c r="H6642" s="1">
        <v>-3.3060109999999999E-6</v>
      </c>
      <c r="I6642">
        <v>66.653589999999994</v>
      </c>
      <c r="J6642">
        <v>-188.27070000000001</v>
      </c>
      <c r="K6642">
        <v>1.107939</v>
      </c>
      <c r="L6642">
        <v>33.596800000000002</v>
      </c>
      <c r="M6642">
        <v>-1.176571E-2</v>
      </c>
      <c r="N6642">
        <v>0</v>
      </c>
      <c r="O6642">
        <v>0.99985389999999996</v>
      </c>
      <c r="P6642">
        <v>5.7469449999999998E-3</v>
      </c>
      <c r="Q6642">
        <v>3.4093239999999997E-2</v>
      </c>
      <c r="R6642">
        <v>0.99940209999999996</v>
      </c>
      <c r="S6642">
        <v>-6.8511960000000004E-3</v>
      </c>
      <c r="T6642">
        <v>-9.9139450000000004E-2</v>
      </c>
      <c r="U6642">
        <v>3.00528</v>
      </c>
      <c r="V6642">
        <v>1.767258E-2</v>
      </c>
      <c r="W6642">
        <v>4.6416600000000002E-2</v>
      </c>
      <c r="X6642">
        <v>0.99876580000000004</v>
      </c>
      <c r="Y6642">
        <v>9.4882690000000006E-3</v>
      </c>
      <c r="Z6642">
        <v>-3.2966290000000002E-2</v>
      </c>
      <c r="AA6642">
        <v>0.99941139999999995</v>
      </c>
      <c r="AB6642">
        <v>38</v>
      </c>
      <c r="AC6642">
        <v>-7.1300000000007899E-2</v>
      </c>
      <c r="AD6642">
        <v>-1.1079423060110001</v>
      </c>
      <c r="AE6642">
        <v>33.056789999999999</v>
      </c>
      <c r="AF6642">
        <v>0.31731499064398799</v>
      </c>
      <c r="AG6642">
        <v>-1.1079423060110001</v>
      </c>
      <c r="AH6642">
        <v>33.0182497766761</v>
      </c>
      <c r="AI6642">
        <v>91.921776017509401</v>
      </c>
      <c r="AJ6642">
        <v>89.449387833045094</v>
      </c>
      <c r="AK6642">
        <v>33.038357151524799</v>
      </c>
      <c r="AL6642">
        <v>87.339568745582596</v>
      </c>
      <c r="AM6642">
        <v>88.986290287923794</v>
      </c>
      <c r="AN6642">
        <v>0.99999997204452695</v>
      </c>
    </row>
    <row r="6643" spans="1:40" x14ac:dyDescent="0.25">
      <c r="A6643" t="str">
        <f>"20190312151702450"</f>
        <v>20190312151702450</v>
      </c>
      <c r="B6643" t="str">
        <f>"1552375022443998"</f>
        <v>1552375022443998</v>
      </c>
      <c r="C6643" t="s">
        <v>40</v>
      </c>
      <c r="D6643">
        <v>4.6449429999999996</v>
      </c>
      <c r="E6643">
        <v>0.49245689999999998</v>
      </c>
      <c r="F6643" t="s">
        <v>43</v>
      </c>
      <c r="G6643">
        <v>-188.74189999999999</v>
      </c>
      <c r="H6643" s="1">
        <v>-2.671685E-6</v>
      </c>
      <c r="I6643">
        <v>55.340310000000002</v>
      </c>
      <c r="J6643">
        <v>-188.2741</v>
      </c>
      <c r="K6643">
        <v>1.107969</v>
      </c>
      <c r="L6643">
        <v>33.998779999999996</v>
      </c>
      <c r="M6643">
        <v>-1.033471E-2</v>
      </c>
      <c r="N6643">
        <v>0</v>
      </c>
      <c r="O6643">
        <v>0.99986889999999995</v>
      </c>
      <c r="P6643">
        <v>4.3246839999999996E-3</v>
      </c>
      <c r="Q6643">
        <v>3.4309689999999997E-2</v>
      </c>
      <c r="R6643">
        <v>0.99940189999999995</v>
      </c>
      <c r="S6643">
        <v>-6.5170290000000006E-2</v>
      </c>
      <c r="T6643">
        <v>-0.1532414</v>
      </c>
      <c r="U6643">
        <v>3.0073850000000002</v>
      </c>
      <c r="V6643">
        <v>1.481884E-2</v>
      </c>
      <c r="W6643">
        <v>4.6715729999999997E-2</v>
      </c>
      <c r="X6643">
        <v>0.99879830000000003</v>
      </c>
      <c r="Y6643">
        <v>-1.1302690000000001E-2</v>
      </c>
      <c r="Z6643">
        <v>-5.0877350000000002E-2</v>
      </c>
      <c r="AA6643">
        <v>0.998641</v>
      </c>
      <c r="AB6643">
        <v>38</v>
      </c>
      <c r="AC6643">
        <v>-0.46779999999998201</v>
      </c>
      <c r="AD6643">
        <v>-1.1079716716850001</v>
      </c>
      <c r="AE6643">
        <v>21.341529999999999</v>
      </c>
      <c r="AF6643">
        <v>-0.24653518735657501</v>
      </c>
      <c r="AG6643">
        <v>-1.1079716716850001</v>
      </c>
      <c r="AH6643">
        <v>21.287875504301301</v>
      </c>
      <c r="AI6643">
        <v>92.979190019368403</v>
      </c>
      <c r="AJ6643">
        <v>90.663513570660498</v>
      </c>
      <c r="AK6643">
        <v>21.318114933325901</v>
      </c>
      <c r="AL6643">
        <v>87.322411323149197</v>
      </c>
      <c r="AM6643">
        <v>89.149983838124498</v>
      </c>
      <c r="AN6643">
        <v>1.00000000076563</v>
      </c>
    </row>
    <row r="6644" spans="1:40" x14ac:dyDescent="0.25">
      <c r="A6644" t="str">
        <f>"20190312151702472"</f>
        <v>20190312151702472</v>
      </c>
      <c r="B6644" t="str">
        <f>"1552375022464495"</f>
        <v>1552375022464495</v>
      </c>
      <c r="C6644" t="s">
        <v>40</v>
      </c>
      <c r="D6644">
        <v>4.7684980000000001</v>
      </c>
      <c r="E6644">
        <v>0.49346269999999998</v>
      </c>
      <c r="F6644" t="s">
        <v>43</v>
      </c>
      <c r="G6644">
        <v>-188.64269999999999</v>
      </c>
      <c r="H6644" s="1">
        <v>-3.2405059999999999E-6</v>
      </c>
      <c r="I6644">
        <v>56.625259999999997</v>
      </c>
      <c r="J6644">
        <v>-188.2766</v>
      </c>
      <c r="K6644">
        <v>1.1080019999999999</v>
      </c>
      <c r="L6644">
        <v>34.354770000000002</v>
      </c>
      <c r="M6644">
        <v>-9.1006109999999998E-3</v>
      </c>
      <c r="N6644">
        <v>0</v>
      </c>
      <c r="O6644">
        <v>0.99987999999999999</v>
      </c>
      <c r="P6644">
        <v>3.0685080000000002E-3</v>
      </c>
      <c r="Q6644">
        <v>3.4908189999999999E-2</v>
      </c>
      <c r="R6644">
        <v>0.99938579999999999</v>
      </c>
      <c r="S6644">
        <v>-4.899597E-2</v>
      </c>
      <c r="T6644">
        <v>-0.14724899999999999</v>
      </c>
      <c r="U6644">
        <v>3.00705</v>
      </c>
      <c r="V6644">
        <v>1.23287E-2</v>
      </c>
      <c r="W6644">
        <v>4.7390170000000002E-2</v>
      </c>
      <c r="X6644">
        <v>0.99880040000000003</v>
      </c>
      <c r="Y6644">
        <v>-7.1712529999999998E-3</v>
      </c>
      <c r="Z6644">
        <v>-4.890241E-2</v>
      </c>
      <c r="AA6644">
        <v>0.99877780000000005</v>
      </c>
      <c r="AB6644">
        <v>38</v>
      </c>
      <c r="AC6644">
        <v>-0.36609999999998799</v>
      </c>
      <c r="AD6644">
        <v>-1.1080052405059999</v>
      </c>
      <c r="AE6644">
        <v>22.270489999999899</v>
      </c>
      <c r="AF6644">
        <v>-0.16299050418093</v>
      </c>
      <c r="AG6644">
        <v>-1.1080052405059999</v>
      </c>
      <c r="AH6644">
        <v>22.2179189168404</v>
      </c>
      <c r="AI6644">
        <v>92.854892497139701</v>
      </c>
      <c r="AJ6644">
        <v>90.420313914408595</v>
      </c>
      <c r="AK6644">
        <v>22.246126910379999</v>
      </c>
      <c r="AL6644">
        <v>87.283725993842793</v>
      </c>
      <c r="AM6644">
        <v>89.292805044091395</v>
      </c>
      <c r="AN6644">
        <v>1.0000000320482301</v>
      </c>
    </row>
    <row r="6645" spans="1:40" x14ac:dyDescent="0.25">
      <c r="A6645" t="str">
        <f>"20190312151702494"</f>
        <v>20190312151702494</v>
      </c>
      <c r="B6645" t="str">
        <f>"1552375022484018"</f>
        <v>1552375022484018</v>
      </c>
      <c r="C6645" t="s">
        <v>40</v>
      </c>
      <c r="D6645">
        <v>4.840929</v>
      </c>
      <c r="E6645">
        <v>0.49414029999999998</v>
      </c>
      <c r="F6645" t="s">
        <v>43</v>
      </c>
      <c r="G6645">
        <v>-188.63890000000001</v>
      </c>
      <c r="H6645" s="1">
        <v>-4.1115649999999998E-6</v>
      </c>
      <c r="I6645">
        <v>58.654130000000002</v>
      </c>
      <c r="J6645">
        <v>-188.27889999999999</v>
      </c>
      <c r="K6645">
        <v>1.1080509999999999</v>
      </c>
      <c r="L6645">
        <v>34.740079999999999</v>
      </c>
      <c r="M6645">
        <v>-7.8086179999999998E-3</v>
      </c>
      <c r="N6645">
        <v>0</v>
      </c>
      <c r="O6645">
        <v>0.9998899</v>
      </c>
      <c r="P6645">
        <v>1.4057480000000001E-3</v>
      </c>
      <c r="Q6645">
        <v>3.4788649999999997E-2</v>
      </c>
      <c r="R6645">
        <v>0.99939370000000005</v>
      </c>
      <c r="S6645">
        <v>-4.483032E-2</v>
      </c>
      <c r="T6645">
        <v>-0.13710329999999901</v>
      </c>
      <c r="U6645">
        <v>3.0067750000000002</v>
      </c>
      <c r="V6645">
        <v>9.3706929999999994E-3</v>
      </c>
      <c r="W6645">
        <v>4.7361590000000002E-2</v>
      </c>
      <c r="X6645">
        <v>0.99883379999999999</v>
      </c>
      <c r="Y6645">
        <v>-7.0838169999999897E-3</v>
      </c>
      <c r="Z6645">
        <v>-4.5545629999999997E-2</v>
      </c>
      <c r="AA6645">
        <v>0.99893710000000002</v>
      </c>
      <c r="AB6645">
        <v>38</v>
      </c>
      <c r="AC6645">
        <v>-0.36000000000001298</v>
      </c>
      <c r="AD6645">
        <v>-1.1080551115649999</v>
      </c>
      <c r="AE6645">
        <v>23.91405</v>
      </c>
      <c r="AF6645">
        <v>-0.172867425251893</v>
      </c>
      <c r="AG6645">
        <v>-1.1080551115649999</v>
      </c>
      <c r="AH6645">
        <v>23.864907616083201</v>
      </c>
      <c r="AI6645">
        <v>92.658282121405904</v>
      </c>
      <c r="AJ6645">
        <v>90.415019442677504</v>
      </c>
      <c r="AK6645">
        <v>23.891242847561699</v>
      </c>
      <c r="AL6645">
        <v>87.285365111623904</v>
      </c>
      <c r="AM6645">
        <v>89.462487744157499</v>
      </c>
      <c r="AN6645">
        <v>0.99999994505853196</v>
      </c>
    </row>
    <row r="6646" spans="1:40" x14ac:dyDescent="0.25">
      <c r="A6646" t="str">
        <f>"20190312151702517"</f>
        <v>20190312151702517</v>
      </c>
      <c r="B6646" t="str">
        <f>"1552375022514271"</f>
        <v>1552375022514271</v>
      </c>
      <c r="C6646" t="s">
        <v>40</v>
      </c>
      <c r="D6646">
        <v>4.6961750000000002</v>
      </c>
      <c r="E6646">
        <v>0.49461060000000001</v>
      </c>
      <c r="F6646" t="s">
        <v>43</v>
      </c>
      <c r="G6646">
        <v>-188.6618</v>
      </c>
      <c r="H6646" s="1">
        <v>-6.8978649999999999E-7</v>
      </c>
      <c r="I6646">
        <v>60.628709999999998</v>
      </c>
      <c r="J6646">
        <v>-188.2807</v>
      </c>
      <c r="K6646">
        <v>1.108104</v>
      </c>
      <c r="L6646">
        <v>35.129330000000003</v>
      </c>
      <c r="M6646">
        <v>-6.5533519999999897E-3</v>
      </c>
      <c r="N6646">
        <v>0</v>
      </c>
      <c r="O6646">
        <v>0.99989790000000001</v>
      </c>
      <c r="P6646">
        <v>-3.3346789999999998E-4</v>
      </c>
      <c r="Q6646">
        <v>3.5775620000000001E-2</v>
      </c>
      <c r="R6646">
        <v>0.99935980000000002</v>
      </c>
      <c r="S6646">
        <v>-4.4464110000000001E-2</v>
      </c>
      <c r="T6646">
        <v>-0.12867509999999999</v>
      </c>
      <c r="U6646">
        <v>3.0063780000000002</v>
      </c>
      <c r="V6646">
        <v>6.3753619999999999E-3</v>
      </c>
      <c r="W6646">
        <v>4.8443729999999997E-2</v>
      </c>
      <c r="X6646">
        <v>0.99880559999999996</v>
      </c>
      <c r="Y6646">
        <v>-8.2213049999999999E-3</v>
      </c>
      <c r="Z6646">
        <v>-4.2757120000000003E-2</v>
      </c>
      <c r="AA6646">
        <v>0.99905169999999999</v>
      </c>
      <c r="AB6646">
        <v>38</v>
      </c>
      <c r="AC6646">
        <v>-0.38110000000000299</v>
      </c>
      <c r="AD6646">
        <v>-1.1081046897864999</v>
      </c>
      <c r="AE6646">
        <v>25.499379999999999</v>
      </c>
      <c r="AF6646">
        <v>-0.21356870738083999</v>
      </c>
      <c r="AG6646">
        <v>-1.1081046897864999</v>
      </c>
      <c r="AH6646">
        <v>25.453273883426199</v>
      </c>
      <c r="AI6646">
        <v>92.492701995935903</v>
      </c>
      <c r="AJ6646">
        <v>90.480735738560796</v>
      </c>
      <c r="AK6646">
        <v>25.478278179284501</v>
      </c>
      <c r="AL6646">
        <v>87.223292036180297</v>
      </c>
      <c r="AM6646">
        <v>89.634286817411294</v>
      </c>
      <c r="AN6646">
        <v>1.0000000334041499</v>
      </c>
    </row>
    <row r="6647" spans="1:40" x14ac:dyDescent="0.25">
      <c r="A6647" t="str">
        <f>"20190312151702540"</f>
        <v>20190312151702540</v>
      </c>
      <c r="B6647" t="str">
        <f>"1552375022534766"</f>
        <v>1552375022534766</v>
      </c>
      <c r="C6647" t="s">
        <v>40</v>
      </c>
      <c r="D6647">
        <v>4.7561720000000003</v>
      </c>
      <c r="E6647">
        <v>0.49531579999999897</v>
      </c>
      <c r="F6647" t="s">
        <v>43</v>
      </c>
      <c r="G6647">
        <v>-188.7132</v>
      </c>
      <c r="H6647" s="1">
        <v>-1.8598420000000001E-6</v>
      </c>
      <c r="I6647">
        <v>63.436039999999998</v>
      </c>
      <c r="J6647">
        <v>-188.28210000000001</v>
      </c>
      <c r="K6647">
        <v>1.108171</v>
      </c>
      <c r="L6647">
        <v>35.519379999999998</v>
      </c>
      <c r="M6647">
        <v>-5.3397050000000001E-3</v>
      </c>
      <c r="N6647">
        <v>0</v>
      </c>
      <c r="O6647">
        <v>0.99990400000000002</v>
      </c>
      <c r="P6647">
        <v>-1.936038E-3</v>
      </c>
      <c r="Q6647">
        <v>3.6679459999999997E-2</v>
      </c>
      <c r="R6647">
        <v>0.99932520000000002</v>
      </c>
      <c r="S6647">
        <v>-4.5928959999999998E-2</v>
      </c>
      <c r="T6647">
        <v>-0.1176782</v>
      </c>
      <c r="U6647">
        <v>3.0061040000000001</v>
      </c>
      <c r="V6647">
        <v>3.557635E-3</v>
      </c>
      <c r="W6647">
        <v>4.9440560000000001E-2</v>
      </c>
      <c r="X6647">
        <v>0.99877070000000001</v>
      </c>
      <c r="Y6647">
        <v>-9.9253599999999994E-3</v>
      </c>
      <c r="Z6647">
        <v>-3.911237E-2</v>
      </c>
      <c r="AA6647">
        <v>0.99918549999999995</v>
      </c>
      <c r="AB6647">
        <v>38</v>
      </c>
      <c r="AC6647">
        <v>-0.43109999999998599</v>
      </c>
      <c r="AD6647">
        <v>-1.108172859842</v>
      </c>
      <c r="AE6647">
        <v>27.91666</v>
      </c>
      <c r="AF6647">
        <v>-0.28157135693094798</v>
      </c>
      <c r="AG6647">
        <v>-1.108172859842</v>
      </c>
      <c r="AH6647">
        <v>27.874650991660801</v>
      </c>
      <c r="AI6647">
        <v>92.276511905559801</v>
      </c>
      <c r="AJ6647">
        <v>90.578744526916395</v>
      </c>
      <c r="AK6647">
        <v>27.898091286380701</v>
      </c>
      <c r="AL6647">
        <v>87.166109172760201</v>
      </c>
      <c r="AM6647">
        <v>89.795912506782599</v>
      </c>
      <c r="AN6647">
        <v>0.99999996845919703</v>
      </c>
    </row>
    <row r="6648" spans="1:40" x14ac:dyDescent="0.25">
      <c r="A6648" t="str">
        <f>"20190312151702564"</f>
        <v>20190312151702564</v>
      </c>
      <c r="B6648" t="str">
        <f>"1552375022554287"</f>
        <v>1552375022554287</v>
      </c>
      <c r="C6648" t="s">
        <v>40</v>
      </c>
      <c r="D6648">
        <v>4.5577069999999997</v>
      </c>
      <c r="E6648">
        <v>0.49557299999999899</v>
      </c>
      <c r="F6648" t="s">
        <v>43</v>
      </c>
      <c r="G6648">
        <v>-188.72669999999999</v>
      </c>
      <c r="H6648" s="1">
        <v>-2.6192689999999998E-6</v>
      </c>
      <c r="I6648">
        <v>65.211879999999994</v>
      </c>
      <c r="J6648">
        <v>-188.28309999999999</v>
      </c>
      <c r="K6648">
        <v>1.108236</v>
      </c>
      <c r="L6648">
        <v>35.909939999999999</v>
      </c>
      <c r="M6648">
        <v>-4.1780130000000004E-3</v>
      </c>
      <c r="N6648">
        <v>0</v>
      </c>
      <c r="O6648">
        <v>0.99990840000000003</v>
      </c>
      <c r="P6648">
        <v>-3.6169000000000001E-3</v>
      </c>
      <c r="Q6648">
        <v>3.7511259999999998E-2</v>
      </c>
      <c r="R6648">
        <v>0.9992896</v>
      </c>
      <c r="S6648">
        <v>-4.501343E-2</v>
      </c>
      <c r="T6648">
        <v>-0.11219170000000001</v>
      </c>
      <c r="U6648">
        <v>3.0060730000000002</v>
      </c>
      <c r="V6648">
        <v>7.1285059999999999E-4</v>
      </c>
      <c r="W6648">
        <v>5.0366840000000003E-2</v>
      </c>
      <c r="X6648">
        <v>0.99873049999999997</v>
      </c>
      <c r="Y6648">
        <v>-1.078405E-2</v>
      </c>
      <c r="Z6648">
        <v>-3.729205E-2</v>
      </c>
      <c r="AA6648">
        <v>0.99924619999999997</v>
      </c>
      <c r="AB6648">
        <v>38</v>
      </c>
      <c r="AC6648">
        <v>-0.44360000000000299</v>
      </c>
      <c r="AD6648">
        <v>-1.1082386192689999</v>
      </c>
      <c r="AE6648">
        <v>29.301939999999998</v>
      </c>
      <c r="AF6648">
        <v>-0.320703448803902</v>
      </c>
      <c r="AG6648">
        <v>-1.1082386192689999</v>
      </c>
      <c r="AH6648">
        <v>29.261689830363999</v>
      </c>
      <c r="AI6648">
        <v>92.168817119388805</v>
      </c>
      <c r="AJ6648">
        <v>90.627927454968003</v>
      </c>
      <c r="AK6648">
        <v>29.284424789770799</v>
      </c>
      <c r="AL6648">
        <v>87.112971028281905</v>
      </c>
      <c r="AM6648">
        <v>89.959104759624793</v>
      </c>
      <c r="AN6648">
        <v>0.99999996917890599</v>
      </c>
    </row>
    <row r="6649" spans="1:40" x14ac:dyDescent="0.25">
      <c r="A6649" t="str">
        <f>"20190312151702588"</f>
        <v>20190312151702588</v>
      </c>
      <c r="B6649" t="str">
        <f>"1552375022584544"</f>
        <v>1552375022584544</v>
      </c>
      <c r="C6649" t="s">
        <v>40</v>
      </c>
      <c r="D6649">
        <v>4.686515</v>
      </c>
      <c r="E6649">
        <v>0.49587720000000002</v>
      </c>
      <c r="F6649" t="s">
        <v>43</v>
      </c>
      <c r="G6649">
        <v>-188.7868</v>
      </c>
      <c r="H6649" s="1">
        <v>-3.561241E-6</v>
      </c>
      <c r="I6649">
        <v>67.432479999999998</v>
      </c>
      <c r="J6649">
        <v>-188.28370000000001</v>
      </c>
      <c r="K6649">
        <v>1.1083099999999999</v>
      </c>
      <c r="L6649">
        <v>36.335299999999997</v>
      </c>
      <c r="M6649">
        <v>-2.9852479999999998E-3</v>
      </c>
      <c r="N6649">
        <v>0</v>
      </c>
      <c r="O6649">
        <v>0.99991140000000001</v>
      </c>
      <c r="P6649">
        <v>-4.8052829999999996E-3</v>
      </c>
      <c r="Q6649">
        <v>3.8023319999999999E-2</v>
      </c>
      <c r="R6649">
        <v>0.99926530000000002</v>
      </c>
      <c r="S6649">
        <v>-4.8034670000000002E-2</v>
      </c>
      <c r="T6649">
        <v>-0.1056793</v>
      </c>
      <c r="U6649">
        <v>3.0059200000000001</v>
      </c>
      <c r="V6649">
        <v>-1.672775E-3</v>
      </c>
      <c r="W6649">
        <v>5.098975E-2</v>
      </c>
      <c r="X6649">
        <v>0.99869779999999997</v>
      </c>
      <c r="Y6649">
        <v>-1.298293E-2</v>
      </c>
      <c r="Z6649">
        <v>-3.5131379999999997E-2</v>
      </c>
      <c r="AA6649">
        <v>0.99929840000000003</v>
      </c>
      <c r="AB6649">
        <v>38</v>
      </c>
      <c r="AC6649">
        <v>-0.503099999999989</v>
      </c>
      <c r="AD6649">
        <v>-1.108313561241</v>
      </c>
      <c r="AE6649">
        <v>31.097179999999899</v>
      </c>
      <c r="AF6649">
        <v>-0.40973682660378402</v>
      </c>
      <c r="AG6649">
        <v>-1.108313561241</v>
      </c>
      <c r="AH6649">
        <v>31.059101454555201</v>
      </c>
      <c r="AI6649">
        <v>92.043498871723003</v>
      </c>
      <c r="AJ6649">
        <v>90.755811599146597</v>
      </c>
      <c r="AK6649">
        <v>31.081570526301501</v>
      </c>
      <c r="AL6649">
        <v>87.077235153941601</v>
      </c>
      <c r="AM6649">
        <v>90.0959678272513</v>
      </c>
      <c r="AN6649">
        <v>1.00000002425305</v>
      </c>
    </row>
    <row r="6650" spans="1:40" x14ac:dyDescent="0.25">
      <c r="A6650" t="str">
        <f>"20190312151702608"</f>
        <v>20190312151702608</v>
      </c>
      <c r="B6650" t="str">
        <f>"1552375022604063"</f>
        <v>1552375022604063</v>
      </c>
      <c r="C6650" t="s">
        <v>40</v>
      </c>
      <c r="D6650">
        <v>4.5761659999999997</v>
      </c>
      <c r="E6650">
        <v>0.4960175</v>
      </c>
      <c r="F6650" t="s">
        <v>43</v>
      </c>
      <c r="G6650">
        <v>-188.82310000000001</v>
      </c>
      <c r="H6650" s="1">
        <v>-4.3223289999999901E-6</v>
      </c>
      <c r="I6650">
        <v>69.221590000000006</v>
      </c>
      <c r="J6650">
        <v>-188.28380000000001</v>
      </c>
      <c r="K6650">
        <v>1.1083879999999999</v>
      </c>
      <c r="L6650">
        <v>36.681240000000003</v>
      </c>
      <c r="M6650">
        <v>-2.0793949999999999E-3</v>
      </c>
      <c r="N6650">
        <v>0</v>
      </c>
      <c r="O6650">
        <v>0.99991240000000003</v>
      </c>
      <c r="P6650">
        <v>-6.4879610000000004E-3</v>
      </c>
      <c r="Q6650">
        <v>3.8185440000000001E-2</v>
      </c>
      <c r="R6650">
        <v>0.99924959999999996</v>
      </c>
      <c r="S6650">
        <v>-4.9301150000000002E-2</v>
      </c>
      <c r="T6650">
        <v>-0.10130069999999999</v>
      </c>
      <c r="U6650">
        <v>3.0058289999999999</v>
      </c>
      <c r="V6650">
        <v>-4.2666580000000004E-3</v>
      </c>
      <c r="W6650">
        <v>5.1255469999999997E-2</v>
      </c>
      <c r="X6650">
        <v>0.99867649999999997</v>
      </c>
      <c r="Y6650">
        <v>-1.4311010000000001E-2</v>
      </c>
      <c r="Z6650">
        <v>-3.367821E-2</v>
      </c>
      <c r="AA6650">
        <v>0.9993303</v>
      </c>
      <c r="AB6650">
        <v>38</v>
      </c>
      <c r="AC6650">
        <v>-0.539299999999997</v>
      </c>
      <c r="AD6650">
        <v>-1.108392322329</v>
      </c>
      <c r="AE6650">
        <v>32.540349999999997</v>
      </c>
      <c r="AF6650">
        <v>-0.471082399249943</v>
      </c>
      <c r="AG6650">
        <v>-1.108392322329</v>
      </c>
      <c r="AH6650">
        <v>32.503699870302199</v>
      </c>
      <c r="AI6650">
        <v>91.952852831129803</v>
      </c>
      <c r="AJ6650">
        <v>90.830340662132699</v>
      </c>
      <c r="AK6650">
        <v>32.526004326165904</v>
      </c>
      <c r="AL6650">
        <v>87.061990630869403</v>
      </c>
      <c r="AM6650">
        <v>90.244783980282904</v>
      </c>
      <c r="AN6650">
        <v>1.00000003961382</v>
      </c>
    </row>
    <row r="6651" spans="1:40" x14ac:dyDescent="0.25">
      <c r="A6651" t="str">
        <f>"20190312151702629"</f>
        <v>20190312151702629</v>
      </c>
      <c r="B6651" t="str">
        <f>"1552375022624559"</f>
        <v>1552375022624559</v>
      </c>
      <c r="C6651" t="s">
        <v>40</v>
      </c>
      <c r="D6651">
        <v>4.7663200000000003</v>
      </c>
      <c r="E6651">
        <v>0.49624780000000002</v>
      </c>
      <c r="F6651" t="s">
        <v>43</v>
      </c>
      <c r="G6651">
        <v>-188.87559999999999</v>
      </c>
      <c r="H6651" s="1">
        <v>-4.3937440000000002E-7</v>
      </c>
      <c r="I6651">
        <v>70.060009999999906</v>
      </c>
      <c r="J6651">
        <v>-188.28370000000001</v>
      </c>
      <c r="K6651">
        <v>1.1084700000000001</v>
      </c>
      <c r="L6651">
        <v>37.028440000000003</v>
      </c>
      <c r="M6651">
        <v>-1.232279E-3</v>
      </c>
      <c r="N6651">
        <v>0</v>
      </c>
      <c r="O6651">
        <v>0.99991240000000003</v>
      </c>
      <c r="P6651">
        <v>-8.5923089999999994E-3</v>
      </c>
      <c r="Q6651">
        <v>3.8751960000000002E-2</v>
      </c>
      <c r="R6651">
        <v>0.99921190000000004</v>
      </c>
      <c r="S6651">
        <v>-5.3283690000000002E-2</v>
      </c>
      <c r="T6651">
        <v>-9.9808690000000005E-2</v>
      </c>
      <c r="U6651">
        <v>3.0057070000000001</v>
      </c>
      <c r="V6651">
        <v>-7.2231429999999996E-3</v>
      </c>
      <c r="W6651">
        <v>5.1939770000000003E-2</v>
      </c>
      <c r="X6651">
        <v>0.99862410000000001</v>
      </c>
      <c r="Y6651">
        <v>-1.6482759999999999E-2</v>
      </c>
      <c r="Z6651">
        <v>-3.3183209999999998E-2</v>
      </c>
      <c r="AA6651">
        <v>0.99931340000000002</v>
      </c>
      <c r="AB6651">
        <v>38</v>
      </c>
      <c r="AC6651">
        <v>-0.591899999999981</v>
      </c>
      <c r="AD6651">
        <v>-1.1084704393744</v>
      </c>
      <c r="AE6651">
        <v>33.031569999999903</v>
      </c>
      <c r="AF6651">
        <v>-0.55057208685496795</v>
      </c>
      <c r="AG6651">
        <v>-1.1084704393744</v>
      </c>
      <c r="AH6651">
        <v>32.9951293789277</v>
      </c>
      <c r="AI6651">
        <v>91.923858823427395</v>
      </c>
      <c r="AJ6651">
        <v>90.955975325992696</v>
      </c>
      <c r="AK6651">
        <v>33.018334286725803</v>
      </c>
      <c r="AL6651">
        <v>87.022730725732899</v>
      </c>
      <c r="AM6651">
        <v>90.414418590164701</v>
      </c>
      <c r="AN6651">
        <v>1.0000000033016301</v>
      </c>
    </row>
    <row r="6652" spans="1:40" x14ac:dyDescent="0.25">
      <c r="A6652" t="str">
        <f>"20190312151702651"</f>
        <v>20190312151702651</v>
      </c>
      <c r="B6652" t="str">
        <f>"1552375022644078"</f>
        <v>1552375022644078</v>
      </c>
      <c r="C6652" t="s">
        <v>40</v>
      </c>
      <c r="D6652">
        <v>4.5344439999999997</v>
      </c>
      <c r="E6652">
        <v>0.49619229999999998</v>
      </c>
      <c r="F6652" t="s">
        <v>43</v>
      </c>
      <c r="G6652">
        <v>-188.94200000000001</v>
      </c>
      <c r="H6652" s="1">
        <v>-8.9993199999999999E-7</v>
      </c>
      <c r="I6652">
        <v>71.293049999999994</v>
      </c>
      <c r="J6652">
        <v>-188.2834</v>
      </c>
      <c r="K6652">
        <v>1.108576</v>
      </c>
      <c r="L6652">
        <v>37.416049999999998</v>
      </c>
      <c r="M6652">
        <v>-3.6110139999999998E-4</v>
      </c>
      <c r="N6652">
        <v>0</v>
      </c>
      <c r="O6652">
        <v>0.9999112</v>
      </c>
      <c r="P6652">
        <v>-1.060703E-2</v>
      </c>
      <c r="Q6652">
        <v>3.9501349999999998E-2</v>
      </c>
      <c r="R6652">
        <v>0.99916320000000003</v>
      </c>
      <c r="S6652">
        <v>-5.7739260000000001E-2</v>
      </c>
      <c r="T6652">
        <v>-9.7233529999999999E-2</v>
      </c>
      <c r="U6652">
        <v>3.005646</v>
      </c>
      <c r="V6652">
        <v>-1.0115910000000001E-2</v>
      </c>
      <c r="W6652">
        <v>5.2831200000000002E-2</v>
      </c>
      <c r="X6652">
        <v>0.9985522</v>
      </c>
      <c r="Y6652">
        <v>-1.8835620000000001E-2</v>
      </c>
      <c r="Z6652">
        <v>-3.2327540000000002E-2</v>
      </c>
      <c r="AA6652">
        <v>0.99929979999999996</v>
      </c>
      <c r="AB6652">
        <v>38</v>
      </c>
      <c r="AC6652">
        <v>-0.65860000000000696</v>
      </c>
      <c r="AD6652">
        <v>-1.108576899932</v>
      </c>
      <c r="AE6652">
        <v>33.876999999999903</v>
      </c>
      <c r="AF6652">
        <v>-0.64567469076338102</v>
      </c>
      <c r="AG6652">
        <v>-1.108576899932</v>
      </c>
      <c r="AH6652">
        <v>33.841011251563202</v>
      </c>
      <c r="AI6652">
        <v>91.875905126299799</v>
      </c>
      <c r="AJ6652">
        <v>91.093050865362898</v>
      </c>
      <c r="AK6652">
        <v>33.8653197397837</v>
      </c>
      <c r="AL6652">
        <v>86.971585256242605</v>
      </c>
      <c r="AM6652">
        <v>90.580419453632103</v>
      </c>
      <c r="AN6652">
        <v>0.99999998172670301</v>
      </c>
    </row>
    <row r="6653" spans="1:40" x14ac:dyDescent="0.25">
      <c r="A6653" t="str">
        <f>"20190312151702674"</f>
        <v>20190312151702674</v>
      </c>
      <c r="B6653" t="str">
        <f>"1552375022664575"</f>
        <v>1552375022664575</v>
      </c>
      <c r="C6653" t="s">
        <v>40</v>
      </c>
      <c r="D6653">
        <v>4.4496549999999999</v>
      </c>
      <c r="E6653">
        <v>0.46587099999999998</v>
      </c>
      <c r="F6653" t="s">
        <v>43</v>
      </c>
      <c r="G6653">
        <v>-189.02670000000001</v>
      </c>
      <c r="H6653" s="1">
        <v>-1.242631E-6</v>
      </c>
      <c r="I6653">
        <v>72.126909999999995</v>
      </c>
      <c r="J6653">
        <v>-188.28280000000001</v>
      </c>
      <c r="K6653">
        <v>1.108684</v>
      </c>
      <c r="L6653">
        <v>37.794429999999998</v>
      </c>
      <c r="M6653">
        <v>4.0454139999999999E-4</v>
      </c>
      <c r="N6653">
        <v>0</v>
      </c>
      <c r="O6653">
        <v>0.9999093</v>
      </c>
      <c r="P6653">
        <v>-1.2837360000000001E-2</v>
      </c>
      <c r="Q6653">
        <v>4.0164480000000002E-2</v>
      </c>
      <c r="R6653">
        <v>0.99911059999999996</v>
      </c>
      <c r="S6653">
        <v>-6.4361570000000007E-2</v>
      </c>
      <c r="T6653">
        <v>-9.5991729999999997E-2</v>
      </c>
      <c r="U6653">
        <v>3.0056150000000001</v>
      </c>
      <c r="V6653">
        <v>-1.3119779999999999E-2</v>
      </c>
      <c r="W6653">
        <v>5.3641609999999999E-2</v>
      </c>
      <c r="X6653">
        <v>0.99847410000000003</v>
      </c>
      <c r="Y6653">
        <v>-2.1802450000000001E-2</v>
      </c>
      <c r="Z6653">
        <v>-3.1913730000000001E-2</v>
      </c>
      <c r="AA6653">
        <v>0.99925280000000005</v>
      </c>
      <c r="AB6653">
        <v>38</v>
      </c>
      <c r="AC6653">
        <v>-0.74389999999999601</v>
      </c>
      <c r="AD6653">
        <v>-1.1086852426309901</v>
      </c>
      <c r="AE6653">
        <v>34.332479999999997</v>
      </c>
      <c r="AF6653">
        <v>-0.75700106769201203</v>
      </c>
      <c r="AG6653">
        <v>-1.1086852426309901</v>
      </c>
      <c r="AH6653">
        <v>34.296428267267899</v>
      </c>
      <c r="AI6653">
        <v>91.851079631620905</v>
      </c>
      <c r="AJ6653">
        <v>91.264444344237603</v>
      </c>
      <c r="AK6653">
        <v>34.322692573217097</v>
      </c>
      <c r="AL6653">
        <v>86.925086421220897</v>
      </c>
      <c r="AM6653">
        <v>90.752813482631197</v>
      </c>
      <c r="AN6653">
        <v>1.00000003966072</v>
      </c>
    </row>
    <row r="6654" spans="1:40" x14ac:dyDescent="0.25">
      <c r="A6654" t="str">
        <f>"20190312151702696"</f>
        <v>20190312151702696</v>
      </c>
      <c r="B6654" t="str">
        <f>"1552375022684601"</f>
        <v>1552375022684601</v>
      </c>
      <c r="C6654" t="s">
        <v>40</v>
      </c>
      <c r="D6654">
        <v>4.5395589999999997</v>
      </c>
      <c r="E6654">
        <v>0.45666329999999999</v>
      </c>
      <c r="F6654" t="s">
        <v>43</v>
      </c>
      <c r="G6654">
        <v>-190.13980000000001</v>
      </c>
      <c r="H6654" s="1">
        <v>-2.6033940000000002E-6</v>
      </c>
      <c r="I6654">
        <v>55.570970000000003</v>
      </c>
      <c r="J6654">
        <v>-188.28200000000001</v>
      </c>
      <c r="K6654">
        <v>1.108787</v>
      </c>
      <c r="L6654">
        <v>38.161740000000002</v>
      </c>
      <c r="M6654">
        <v>1.0659389999999999E-3</v>
      </c>
      <c r="N6654">
        <v>0</v>
      </c>
      <c r="O6654">
        <v>0.99990679999999998</v>
      </c>
      <c r="P6654">
        <v>-1.51781E-2</v>
      </c>
      <c r="Q6654">
        <v>4.0982659999999997E-2</v>
      </c>
      <c r="R6654">
        <v>0.9990445</v>
      </c>
      <c r="S6654">
        <v>-0.31404110000000002</v>
      </c>
      <c r="T6654">
        <v>-0.1874883</v>
      </c>
      <c r="U6654">
        <v>3.0061650000000002</v>
      </c>
      <c r="V6654">
        <v>-1.6129310000000001E-2</v>
      </c>
      <c r="W6654">
        <v>5.4605319999999999E-2</v>
      </c>
      <c r="X6654">
        <v>0.99837770000000003</v>
      </c>
      <c r="Y6654">
        <v>-0.1047612</v>
      </c>
      <c r="Z6654">
        <v>-6.1907900000000002E-2</v>
      </c>
      <c r="AA6654">
        <v>0.99256860000000002</v>
      </c>
      <c r="AB6654">
        <v>38</v>
      </c>
      <c r="AC6654">
        <v>-1.8577999999999899</v>
      </c>
      <c r="AD6654">
        <v>-1.1087896033939999</v>
      </c>
      <c r="AE6654">
        <v>17.409229999999901</v>
      </c>
      <c r="AF6654">
        <v>-1.8688623721897799</v>
      </c>
      <c r="AG6654">
        <v>-1.1087896033939999</v>
      </c>
      <c r="AH6654">
        <v>17.3377030909047</v>
      </c>
      <c r="AI6654">
        <v>93.6382074401088</v>
      </c>
      <c r="AJ6654">
        <v>96.152261219023899</v>
      </c>
      <c r="AK6654">
        <v>17.473351407762301</v>
      </c>
      <c r="AL6654">
        <v>86.869788615329796</v>
      </c>
      <c r="AM6654">
        <v>90.925562541611299</v>
      </c>
      <c r="AN6654">
        <v>0.99999996373533295</v>
      </c>
    </row>
    <row r="6655" spans="1:40" x14ac:dyDescent="0.25">
      <c r="A6655" t="str">
        <f>"20190312151702718"</f>
        <v>20190312151702718</v>
      </c>
      <c r="B6655" t="str">
        <f>"1552375022714857"</f>
        <v>1552375022714857</v>
      </c>
      <c r="C6655" t="s">
        <v>40</v>
      </c>
      <c r="D6655">
        <v>4.4212020000000001</v>
      </c>
      <c r="E6655">
        <v>0.45272430000000002</v>
      </c>
      <c r="F6655" t="s">
        <v>43</v>
      </c>
      <c r="G6655">
        <v>-190.79089999999999</v>
      </c>
      <c r="H6655" s="1">
        <v>-3.502847E-6</v>
      </c>
      <c r="I6655">
        <v>57.26379</v>
      </c>
      <c r="J6655">
        <v>-188.2809</v>
      </c>
      <c r="K6655">
        <v>1.108884</v>
      </c>
      <c r="L6655">
        <v>38.547550000000001</v>
      </c>
      <c r="M6655">
        <v>1.6872320000000001E-3</v>
      </c>
      <c r="N6655">
        <v>0</v>
      </c>
      <c r="O6655">
        <v>0.99990400000000002</v>
      </c>
      <c r="P6655">
        <v>-1.8078219999999999E-2</v>
      </c>
      <c r="Q6655">
        <v>4.1763500000000002E-2</v>
      </c>
      <c r="R6655">
        <v>0.99896399999999996</v>
      </c>
      <c r="S6655">
        <v>-0.39456180000000002</v>
      </c>
      <c r="T6655">
        <v>-0.17437059999999999</v>
      </c>
      <c r="U6655">
        <v>3.0040279999999999</v>
      </c>
      <c r="V6655">
        <v>-1.9658680000000001E-2</v>
      </c>
      <c r="W6655">
        <v>5.5534220000000002E-2</v>
      </c>
      <c r="X6655">
        <v>0.99826320000000002</v>
      </c>
      <c r="Y6655">
        <v>-0.13168350000000001</v>
      </c>
      <c r="Z6655">
        <v>-5.7449750000000001E-2</v>
      </c>
      <c r="AA6655">
        <v>0.98962570000000005</v>
      </c>
      <c r="AB6655">
        <v>38</v>
      </c>
      <c r="AC6655">
        <v>-2.50999999999999</v>
      </c>
      <c r="AD6655">
        <v>-1.108887502847</v>
      </c>
      <c r="AE6655">
        <v>18.716239999999999</v>
      </c>
      <c r="AF6655">
        <v>-2.53284421981347</v>
      </c>
      <c r="AG6655">
        <v>-1.108887502847</v>
      </c>
      <c r="AH6655">
        <v>18.647676499703302</v>
      </c>
      <c r="AI6655">
        <v>93.372204655791606</v>
      </c>
      <c r="AJ6655">
        <v>97.734936717674699</v>
      </c>
      <c r="AK6655">
        <v>18.851545564579101</v>
      </c>
      <c r="AL6655">
        <v>86.816485678781206</v>
      </c>
      <c r="AM6655">
        <v>91.128173235606297</v>
      </c>
      <c r="AN6655">
        <v>0.99999996488229403</v>
      </c>
    </row>
    <row r="6656" spans="1:40" x14ac:dyDescent="0.25">
      <c r="A6656" t="str">
        <f>"20190312151702742"</f>
        <v>20190312151702742</v>
      </c>
      <c r="B6656" t="str">
        <f>"1552375022734378"</f>
        <v>1552375022734378</v>
      </c>
      <c r="C6656" t="s">
        <v>40</v>
      </c>
      <c r="D6656">
        <v>4.4208959999999999</v>
      </c>
      <c r="E6656">
        <v>0.45124920000000002</v>
      </c>
      <c r="F6656" t="s">
        <v>43</v>
      </c>
      <c r="G6656">
        <v>-191.2371</v>
      </c>
      <c r="H6656" s="1">
        <v>-4.2976579999999996E-6</v>
      </c>
      <c r="I6656">
        <v>58.97081</v>
      </c>
      <c r="J6656">
        <v>-188.27959999999999</v>
      </c>
      <c r="K6656">
        <v>1.1089719999999901</v>
      </c>
      <c r="L6656">
        <v>38.947969999999998</v>
      </c>
      <c r="M6656">
        <v>2.2496299999999999E-3</v>
      </c>
      <c r="N6656">
        <v>0</v>
      </c>
      <c r="O6656">
        <v>0.99990089999999998</v>
      </c>
      <c r="P6656">
        <v>-2.0354710000000002E-2</v>
      </c>
      <c r="Q6656">
        <v>4.216661E-2</v>
      </c>
      <c r="R6656">
        <v>0.99890319999999999</v>
      </c>
      <c r="S6656">
        <v>-0.43453979999999998</v>
      </c>
      <c r="T6656">
        <v>-0.1629987</v>
      </c>
      <c r="U6656">
        <v>3.002075</v>
      </c>
      <c r="V6656">
        <v>-2.2506350000000001E-2</v>
      </c>
      <c r="W6656">
        <v>5.6077920000000003E-2</v>
      </c>
      <c r="X6656">
        <v>0.99817270000000002</v>
      </c>
      <c r="Y6656">
        <v>-0.1452735</v>
      </c>
      <c r="Z6656">
        <v>-5.3648969999999997E-2</v>
      </c>
      <c r="AA6656">
        <v>0.98793589999999998</v>
      </c>
      <c r="AB6656">
        <v>38</v>
      </c>
      <c r="AC6656">
        <v>-2.9575000000000098</v>
      </c>
      <c r="AD6656">
        <v>-1.10897629765799</v>
      </c>
      <c r="AE6656">
        <v>20.022839999999999</v>
      </c>
      <c r="AF6656">
        <v>-2.99355400519427</v>
      </c>
      <c r="AG6656">
        <v>-1.10897629765799</v>
      </c>
      <c r="AH6656">
        <v>19.956225529366801</v>
      </c>
      <c r="AI6656">
        <v>93.145558855883195</v>
      </c>
      <c r="AJ6656">
        <v>98.531103050685701</v>
      </c>
      <c r="AK6656">
        <v>20.2099512960752</v>
      </c>
      <c r="AL6656">
        <v>86.785285465976301</v>
      </c>
      <c r="AM6656">
        <v>91.291660658347297</v>
      </c>
      <c r="AN6656">
        <v>1.0000000039635599</v>
      </c>
    </row>
    <row r="6657" spans="1:40" x14ac:dyDescent="0.25">
      <c r="A6657" t="str">
        <f>"20190312151702763"</f>
        <v>20190312151702763</v>
      </c>
      <c r="B6657" t="str">
        <f>"1552375022754873"</f>
        <v>1552375022754873</v>
      </c>
      <c r="C6657" t="s">
        <v>40</v>
      </c>
      <c r="D6657">
        <v>4.3898760000000001</v>
      </c>
      <c r="E6657">
        <v>0.45045000000000002</v>
      </c>
      <c r="F6657" t="s">
        <v>43</v>
      </c>
      <c r="G6657">
        <v>-191.34030000000001</v>
      </c>
      <c r="H6657" s="1">
        <v>-4.3962719999999998E-6</v>
      </c>
      <c r="I6657">
        <v>59.206780000000002</v>
      </c>
      <c r="J6657">
        <v>-188.2784</v>
      </c>
      <c r="K6657">
        <v>1.109057</v>
      </c>
      <c r="L6657">
        <v>39.300080000000001</v>
      </c>
      <c r="M6657">
        <v>2.6705850000000001E-3</v>
      </c>
      <c r="N6657">
        <v>0</v>
      </c>
      <c r="O6657">
        <v>0.99989830000000002</v>
      </c>
      <c r="P6657">
        <v>-2.1885000000000002E-2</v>
      </c>
      <c r="Q6657">
        <v>4.2224070000000002E-2</v>
      </c>
      <c r="R6657">
        <v>0.99886850000000005</v>
      </c>
      <c r="S6657">
        <v>-0.45338440000000002</v>
      </c>
      <c r="T6657">
        <v>-0.1642747</v>
      </c>
      <c r="U6657">
        <v>3.0009769999999998</v>
      </c>
      <c r="V6657">
        <v>-2.4466100000000001E-2</v>
      </c>
      <c r="W6657">
        <v>5.624788E-2</v>
      </c>
      <c r="X6657">
        <v>0.99811700000000003</v>
      </c>
      <c r="Y6657">
        <v>-0.15180579999999999</v>
      </c>
      <c r="Z6657">
        <v>-5.4035850000000003E-2</v>
      </c>
      <c r="AA6657">
        <v>0.98693220000000004</v>
      </c>
      <c r="AB6657">
        <v>38</v>
      </c>
      <c r="AC6657">
        <v>-3.0619000000000001</v>
      </c>
      <c r="AD6657">
        <v>-1.109061396272</v>
      </c>
      <c r="AE6657">
        <v>19.906700000000001</v>
      </c>
      <c r="AF6657">
        <v>-3.1056399144357401</v>
      </c>
      <c r="AG6657">
        <v>-1.109061396272</v>
      </c>
      <c r="AH6657">
        <v>19.838297476439301</v>
      </c>
      <c r="AI6657">
        <v>93.161369652846005</v>
      </c>
      <c r="AJ6657">
        <v>98.897309047125802</v>
      </c>
      <c r="AK6657">
        <v>20.110521207132798</v>
      </c>
      <c r="AL6657">
        <v>86.775532002989493</v>
      </c>
      <c r="AM6657">
        <v>91.404167661654995</v>
      </c>
      <c r="AN6657">
        <v>0.99999997987135203</v>
      </c>
    </row>
    <row r="6658" spans="1:40" x14ac:dyDescent="0.25">
      <c r="A6658" t="str">
        <f>"20190312151702788"</f>
        <v>20190312151702788</v>
      </c>
      <c r="B6658" t="str">
        <f>"1552375022784661"</f>
        <v>1552375022784661</v>
      </c>
      <c r="C6658" t="s">
        <v>40</v>
      </c>
      <c r="D6658">
        <v>4.3603009999999998</v>
      </c>
      <c r="E6658">
        <v>0.44990750000000002</v>
      </c>
      <c r="F6658" t="s">
        <v>43</v>
      </c>
      <c r="G6658">
        <v>-191.43450000000001</v>
      </c>
      <c r="H6658" s="1">
        <v>-4.2423230000000001E-7</v>
      </c>
      <c r="I6658">
        <v>59.688290000000002</v>
      </c>
      <c r="J6658">
        <v>-188.27690000000001</v>
      </c>
      <c r="K6658">
        <v>1.1091580000000001</v>
      </c>
      <c r="L6658">
        <v>39.712769999999999</v>
      </c>
      <c r="M6658">
        <v>3.0730000000000002E-3</v>
      </c>
      <c r="N6658">
        <v>0</v>
      </c>
      <c r="O6658">
        <v>0.99989550000000005</v>
      </c>
      <c r="P6658">
        <v>-2.2802840000000001E-2</v>
      </c>
      <c r="Q6658">
        <v>4.2384159999999997E-2</v>
      </c>
      <c r="R6658">
        <v>0.99884110000000004</v>
      </c>
      <c r="S6658">
        <v>-0.46441650000000001</v>
      </c>
      <c r="T6658">
        <v>-0.1631976</v>
      </c>
      <c r="U6658">
        <v>3.0001220000000002</v>
      </c>
      <c r="V6658">
        <v>-2.579735E-2</v>
      </c>
      <c r="W6658">
        <v>5.6522570000000001E-2</v>
      </c>
      <c r="X6658">
        <v>0.99806799999999996</v>
      </c>
      <c r="Y6658">
        <v>-0.15579309999999999</v>
      </c>
      <c r="Z6658">
        <v>-5.3666039999999998E-2</v>
      </c>
      <c r="AA6658">
        <v>0.98633079999999995</v>
      </c>
      <c r="AB6658">
        <v>38</v>
      </c>
      <c r="AC6658">
        <v>-3.1576</v>
      </c>
      <c r="AD6658">
        <v>-1.1091584242323</v>
      </c>
      <c r="AE6658">
        <v>19.975519999999999</v>
      </c>
      <c r="AF6658">
        <v>-3.20932246229092</v>
      </c>
      <c r="AG6658">
        <v>-1.1091584242323</v>
      </c>
      <c r="AH6658">
        <v>19.905845339194599</v>
      </c>
      <c r="AI6658">
        <v>93.148660080088803</v>
      </c>
      <c r="AJ6658">
        <v>99.158706343082798</v>
      </c>
      <c r="AK6658">
        <v>20.193381632231599</v>
      </c>
      <c r="AL6658">
        <v>86.759768471343804</v>
      </c>
      <c r="AM6658">
        <v>91.480610790042107</v>
      </c>
      <c r="AN6658">
        <v>1.00000001840521</v>
      </c>
    </row>
    <row r="6659" spans="1:40" x14ac:dyDescent="0.25">
      <c r="A6659" t="str">
        <f>"20190312151702810"</f>
        <v>20190312151702810</v>
      </c>
      <c r="B6659" t="str">
        <f>"1552375022804181"</f>
        <v>1552375022804181</v>
      </c>
      <c r="C6659" t="s">
        <v>40</v>
      </c>
      <c r="D6659">
        <v>4.36761</v>
      </c>
      <c r="E6659">
        <v>0.44966650000000002</v>
      </c>
      <c r="F6659" t="s">
        <v>43</v>
      </c>
      <c r="G6659">
        <v>-191.3792</v>
      </c>
      <c r="H6659" s="1">
        <v>-4.4854119999999998E-6</v>
      </c>
      <c r="I6659">
        <v>59.448439999999998</v>
      </c>
      <c r="J6659">
        <v>-188.27539999999999</v>
      </c>
      <c r="K6659">
        <v>1.1092489999999999</v>
      </c>
      <c r="L6659">
        <v>40.08652</v>
      </c>
      <c r="M6659">
        <v>3.3512189999999999E-3</v>
      </c>
      <c r="N6659">
        <v>0</v>
      </c>
      <c r="O6659">
        <v>0.99989320000000004</v>
      </c>
      <c r="P6659">
        <v>-2.3331709999999999E-2</v>
      </c>
      <c r="Q6659">
        <v>4.2237049999999998E-2</v>
      </c>
      <c r="R6659">
        <v>0.99883509999999998</v>
      </c>
      <c r="S6659">
        <v>-0.47157290000000002</v>
      </c>
      <c r="T6659">
        <v>-0.16859589999999999</v>
      </c>
      <c r="U6659">
        <v>2.9998779999999998</v>
      </c>
      <c r="V6659">
        <v>-2.6616009999999999E-2</v>
      </c>
      <c r="W6659">
        <v>5.6466389999999998E-2</v>
      </c>
      <c r="X6659">
        <v>0.99804970000000004</v>
      </c>
      <c r="Y6659">
        <v>-0.15836169999999999</v>
      </c>
      <c r="Z6659">
        <v>-5.5418660000000002E-2</v>
      </c>
      <c r="AA6659">
        <v>0.9858247</v>
      </c>
      <c r="AB6659">
        <v>38</v>
      </c>
      <c r="AC6659">
        <v>-3.1038000000000001</v>
      </c>
      <c r="AD6659">
        <v>-1.109253485412</v>
      </c>
      <c r="AE6659">
        <v>19.361920000000001</v>
      </c>
      <c r="AF6659">
        <v>-3.1585678555932302</v>
      </c>
      <c r="AG6659">
        <v>-1.109253485412</v>
      </c>
      <c r="AH6659">
        <v>19.289682345081602</v>
      </c>
      <c r="AI6659">
        <v>93.248009674422406</v>
      </c>
      <c r="AJ6659">
        <v>99.299309308219094</v>
      </c>
      <c r="AK6659">
        <v>19.578019286113701</v>
      </c>
      <c r="AL6659">
        <v>86.762992549156905</v>
      </c>
      <c r="AM6659">
        <v>91.527602964078596</v>
      </c>
      <c r="AN6659">
        <v>1.0000000344290201</v>
      </c>
    </row>
    <row r="6660" spans="1:40" x14ac:dyDescent="0.25">
      <c r="A6660" t="str">
        <f>"20190312151702831"</f>
        <v>20190312151702831</v>
      </c>
      <c r="B6660" t="str">
        <f>"1552375022824676"</f>
        <v>1552375022824676</v>
      </c>
      <c r="C6660" t="s">
        <v>40</v>
      </c>
      <c r="D6660">
        <v>4.3814109999999999</v>
      </c>
      <c r="E6660">
        <v>0.44938899999999998</v>
      </c>
      <c r="F6660" t="s">
        <v>43</v>
      </c>
      <c r="G6660">
        <v>-191.32689999999999</v>
      </c>
      <c r="H6660" s="1">
        <v>-4.445776E-6</v>
      </c>
      <c r="I6660">
        <v>59.359259999999999</v>
      </c>
      <c r="J6660">
        <v>-188.274</v>
      </c>
      <c r="K6660">
        <v>1.1093379999999999</v>
      </c>
      <c r="L6660">
        <v>40.435699999999997</v>
      </c>
      <c r="M6660">
        <v>3.5363370000000001E-3</v>
      </c>
      <c r="N6660">
        <v>0</v>
      </c>
      <c r="O6660">
        <v>0.99989150000000004</v>
      </c>
      <c r="P6660">
        <v>-2.3858020000000001E-2</v>
      </c>
      <c r="Q6660">
        <v>4.2051610000000003E-2</v>
      </c>
      <c r="R6660">
        <v>0.99883060000000001</v>
      </c>
      <c r="S6660">
        <v>-0.47494510000000001</v>
      </c>
      <c r="T6660">
        <v>-0.1726491</v>
      </c>
      <c r="U6660">
        <v>2.999695</v>
      </c>
      <c r="V6660">
        <v>-2.7338600000000001E-2</v>
      </c>
      <c r="W6660">
        <v>5.6354990000000001E-2</v>
      </c>
      <c r="X6660">
        <v>0.99803640000000005</v>
      </c>
      <c r="Y6660">
        <v>-0.1596233</v>
      </c>
      <c r="Z6660">
        <v>-5.6739310000000001E-2</v>
      </c>
      <c r="AA6660">
        <v>0.98554609999999998</v>
      </c>
      <c r="AB6660">
        <v>38</v>
      </c>
      <c r="AC6660">
        <v>-3.05289999999999</v>
      </c>
      <c r="AD6660">
        <v>-1.1093424457759999</v>
      </c>
      <c r="AE6660">
        <v>18.923559999999998</v>
      </c>
      <c r="AF6660">
        <v>-3.10939323612258</v>
      </c>
      <c r="AG6660">
        <v>-1.1093424457759999</v>
      </c>
      <c r="AH6660">
        <v>18.849509929697199</v>
      </c>
      <c r="AI6660">
        <v>93.323310068296294</v>
      </c>
      <c r="AJ6660">
        <v>99.367089122906606</v>
      </c>
      <c r="AK6660">
        <v>19.136431003418501</v>
      </c>
      <c r="AL6660">
        <v>86.769385269668305</v>
      </c>
      <c r="AM6660">
        <v>91.569075835753296</v>
      </c>
      <c r="AN6660">
        <v>0.99999996983640904</v>
      </c>
    </row>
    <row r="6661" spans="1:40" x14ac:dyDescent="0.25">
      <c r="A6661" t="str">
        <f>"20190312151702852"</f>
        <v>20190312151702852</v>
      </c>
      <c r="B6661" t="str">
        <f>"1552375022844196"</f>
        <v>1552375022844196</v>
      </c>
      <c r="C6661" t="s">
        <v>40</v>
      </c>
      <c r="D6661">
        <v>4.338438</v>
      </c>
      <c r="E6661">
        <v>0.44901980000000002</v>
      </c>
      <c r="F6661" t="s">
        <v>43</v>
      </c>
      <c r="G6661">
        <v>-191.232</v>
      </c>
      <c r="H6661" s="1">
        <v>-4.2989270000000002E-6</v>
      </c>
      <c r="I6661">
        <v>58.977220000000003</v>
      </c>
      <c r="J6661">
        <v>-188.27260000000001</v>
      </c>
      <c r="K6661">
        <v>1.109421</v>
      </c>
      <c r="L6661">
        <v>40.795259999999999</v>
      </c>
      <c r="M6661">
        <v>3.6641349999999998E-3</v>
      </c>
      <c r="N6661">
        <v>0</v>
      </c>
      <c r="O6661">
        <v>0.99988999999999995</v>
      </c>
      <c r="P6661">
        <v>-2.381786E-2</v>
      </c>
      <c r="Q6661">
        <v>4.1571610000000002E-2</v>
      </c>
      <c r="R6661">
        <v>0.99885159999999995</v>
      </c>
      <c r="S6661">
        <v>-0.47853089999999998</v>
      </c>
      <c r="T6661">
        <v>-0.1794685</v>
      </c>
      <c r="U6661">
        <v>2.9996339999999999</v>
      </c>
      <c r="V6661">
        <v>-2.743727E-2</v>
      </c>
      <c r="W6661">
        <v>5.5941749999999998E-2</v>
      </c>
      <c r="X6661">
        <v>0.99805690000000002</v>
      </c>
      <c r="Y6661">
        <v>-0.16088129999999901</v>
      </c>
      <c r="Z6661">
        <v>-5.8962279999999999E-2</v>
      </c>
      <c r="AA6661">
        <v>0.98521099999999995</v>
      </c>
      <c r="AB6661">
        <v>38</v>
      </c>
      <c r="AC6661">
        <v>-2.95939999999998</v>
      </c>
      <c r="AD6661">
        <v>-1.1094252989269999</v>
      </c>
      <c r="AE6661">
        <v>18.18196</v>
      </c>
      <c r="AF6661">
        <v>-3.0150722153289</v>
      </c>
      <c r="AG6661">
        <v>-1.1094252989269999</v>
      </c>
      <c r="AH6661">
        <v>18.1053234387836</v>
      </c>
      <c r="AI6661">
        <v>93.458966784972503</v>
      </c>
      <c r="AJ6661">
        <v>99.454680780442899</v>
      </c>
      <c r="AK6661">
        <v>18.388154387553801</v>
      </c>
      <c r="AL6661">
        <v>86.793099459554298</v>
      </c>
      <c r="AM6661">
        <v>91.5747037420076</v>
      </c>
      <c r="AN6661">
        <v>0.99999992940785998</v>
      </c>
    </row>
    <row r="6662" spans="1:40" x14ac:dyDescent="0.25">
      <c r="A6662" t="str">
        <f>"20190312151702874"</f>
        <v>20190312151702874</v>
      </c>
      <c r="B6662" t="str">
        <f>"1552375022864692"</f>
        <v>1552375022864692</v>
      </c>
      <c r="C6662" t="s">
        <v>40</v>
      </c>
      <c r="D6662">
        <v>4.357488</v>
      </c>
      <c r="E6662">
        <v>0.44892530000000003</v>
      </c>
      <c r="F6662" t="s">
        <v>43</v>
      </c>
      <c r="G6662">
        <v>-191.0838</v>
      </c>
      <c r="H6662" s="1">
        <v>-4.0355690000000002E-6</v>
      </c>
      <c r="I6662">
        <v>58.323880000000003</v>
      </c>
      <c r="J6662">
        <v>-188.27109999999999</v>
      </c>
      <c r="K6662">
        <v>1.109502</v>
      </c>
      <c r="L6662">
        <v>41.17163</v>
      </c>
      <c r="M6662">
        <v>3.7412970000000002E-3</v>
      </c>
      <c r="N6662">
        <v>0</v>
      </c>
      <c r="O6662">
        <v>0.99988880000000002</v>
      </c>
      <c r="P6662">
        <v>-2.3430340000000001E-2</v>
      </c>
      <c r="Q6662">
        <v>4.1792830000000003E-2</v>
      </c>
      <c r="R6662">
        <v>0.9988515</v>
      </c>
      <c r="S6662">
        <v>-0.48112490000000002</v>
      </c>
      <c r="T6662">
        <v>-0.1898688</v>
      </c>
      <c r="U6662">
        <v>2.9998779999999998</v>
      </c>
      <c r="V6662">
        <v>-2.7136070000000002E-2</v>
      </c>
      <c r="W6662">
        <v>5.6223599999999999E-2</v>
      </c>
      <c r="X6662">
        <v>0.99804939999999998</v>
      </c>
      <c r="Y6662">
        <v>-0.161743</v>
      </c>
      <c r="Z6662">
        <v>-6.2352419999999999E-2</v>
      </c>
      <c r="AA6662">
        <v>0.98486110000000004</v>
      </c>
      <c r="AB6662">
        <v>38</v>
      </c>
      <c r="AC6662">
        <v>-2.8127</v>
      </c>
      <c r="AD6662">
        <v>-1.1095060355689901</v>
      </c>
      <c r="AE6662">
        <v>17.152249999999999</v>
      </c>
      <c r="AF6662">
        <v>-2.8651839693309098</v>
      </c>
      <c r="AG6662">
        <v>-1.1095060355689901</v>
      </c>
      <c r="AH6662">
        <v>17.072042682841101</v>
      </c>
      <c r="AI6662">
        <v>93.667257813473</v>
      </c>
      <c r="AJ6662">
        <v>99.527107235294196</v>
      </c>
      <c r="AK6662">
        <v>17.3463230739492</v>
      </c>
      <c r="AL6662">
        <v>86.776925518217197</v>
      </c>
      <c r="AM6662">
        <v>91.557437267611604</v>
      </c>
      <c r="AN6662">
        <v>1.0000000321661799</v>
      </c>
    </row>
    <row r="6663" spans="1:40" x14ac:dyDescent="0.25">
      <c r="A6663" t="str">
        <f>"20190312151702897"</f>
        <v>20190312151702897</v>
      </c>
      <c r="B6663" t="str">
        <f>"1552375022894479"</f>
        <v>1552375022894479</v>
      </c>
      <c r="C6663" t="s">
        <v>40</v>
      </c>
      <c r="D6663">
        <v>4.3465569999999998</v>
      </c>
      <c r="E6663">
        <v>0.44887290000000002</v>
      </c>
      <c r="F6663" t="s">
        <v>43</v>
      </c>
      <c r="G6663">
        <v>-191.09039999999999</v>
      </c>
      <c r="H6663" s="1">
        <v>-4.2032020000000003E-6</v>
      </c>
      <c r="I6663">
        <v>58.769689999999997</v>
      </c>
      <c r="J6663">
        <v>-188.2697</v>
      </c>
      <c r="K6663">
        <v>1.109564</v>
      </c>
      <c r="L6663">
        <v>41.53848</v>
      </c>
      <c r="M6663">
        <v>3.7703659999999998E-3</v>
      </c>
      <c r="N6663">
        <v>0</v>
      </c>
      <c r="O6663">
        <v>0.99988790000000005</v>
      </c>
      <c r="P6663">
        <v>-2.3238350000000001E-2</v>
      </c>
      <c r="Q6663">
        <v>4.1885270000000002E-2</v>
      </c>
      <c r="R6663">
        <v>0.99885210000000002</v>
      </c>
      <c r="S6663">
        <v>-0.48063660000000002</v>
      </c>
      <c r="T6663">
        <v>-0.18914700000000001</v>
      </c>
      <c r="U6663">
        <v>3.000092</v>
      </c>
      <c r="V6663">
        <v>-2.69807E-2</v>
      </c>
      <c r="W6663">
        <v>5.6367849999999997E-2</v>
      </c>
      <c r="X6663">
        <v>0.99804539999999997</v>
      </c>
      <c r="Y6663">
        <v>-0.16160679999999999</v>
      </c>
      <c r="Z6663">
        <v>-6.2113429999999997E-2</v>
      </c>
      <c r="AA6663">
        <v>0.98489859999999896</v>
      </c>
      <c r="AB6663">
        <v>37</v>
      </c>
      <c r="AC6663">
        <v>-2.82069999999998</v>
      </c>
      <c r="AD6663">
        <v>-1.109568203202</v>
      </c>
      <c r="AE6663">
        <v>17.231210000000001</v>
      </c>
      <c r="AF6663">
        <v>-2.8740486428643601</v>
      </c>
      <c r="AG6663">
        <v>-1.109568203202</v>
      </c>
      <c r="AH6663">
        <v>17.151190710395699</v>
      </c>
      <c r="AI6663">
        <v>93.6507372721302</v>
      </c>
      <c r="AJ6663">
        <v>99.512749899896406</v>
      </c>
      <c r="AK6663">
        <v>17.4256890820268</v>
      </c>
      <c r="AL6663">
        <v>86.768647229922905</v>
      </c>
      <c r="AM6663">
        <v>91.548530578468203</v>
      </c>
      <c r="AN6663">
        <v>0.99999995657363505</v>
      </c>
    </row>
    <row r="6664" spans="1:40" x14ac:dyDescent="0.25">
      <c r="A6664" t="str">
        <f>"20190312151702920"</f>
        <v>20190312151702920</v>
      </c>
      <c r="B6664" t="str">
        <f>"1552375022913999"</f>
        <v>1552375022913999</v>
      </c>
      <c r="C6664" t="s">
        <v>40</v>
      </c>
      <c r="D6664">
        <v>4.3375370000000002</v>
      </c>
      <c r="E6664">
        <v>0.44876949999999999</v>
      </c>
      <c r="F6664" t="s">
        <v>43</v>
      </c>
      <c r="G6664">
        <v>-191.12629999999999</v>
      </c>
      <c r="H6664" s="1">
        <v>-4.4184449999999997E-6</v>
      </c>
      <c r="I6664">
        <v>59.383499999999998</v>
      </c>
      <c r="J6664">
        <v>-188.2681</v>
      </c>
      <c r="K6664">
        <v>1.1096239999999999</v>
      </c>
      <c r="L6664">
        <v>41.935209999999998</v>
      </c>
      <c r="M6664">
        <v>3.7609309999999999E-3</v>
      </c>
      <c r="N6664">
        <v>0</v>
      </c>
      <c r="O6664">
        <v>0.99988719999999998</v>
      </c>
      <c r="P6664">
        <v>-2.2927900000000001E-2</v>
      </c>
      <c r="Q6664">
        <v>4.2266350000000001E-2</v>
      </c>
      <c r="R6664">
        <v>0.99884329999999999</v>
      </c>
      <c r="S6664">
        <v>-0.48025509999999899</v>
      </c>
      <c r="T6664">
        <v>-0.18653990000000001</v>
      </c>
      <c r="U6664">
        <v>3.000092</v>
      </c>
      <c r="V6664">
        <v>-2.6667380000000001E-2</v>
      </c>
      <c r="W6664">
        <v>5.6796319999999997E-2</v>
      </c>
      <c r="X6664">
        <v>0.99802959999999996</v>
      </c>
      <c r="Y6664">
        <v>-0.16148370000000001</v>
      </c>
      <c r="Z6664">
        <v>-6.126181E-2</v>
      </c>
      <c r="AA6664">
        <v>0.98497210000000002</v>
      </c>
      <c r="AB6664">
        <v>37</v>
      </c>
      <c r="AC6664">
        <v>-2.8581999999999801</v>
      </c>
      <c r="AD6664">
        <v>-1.109628418445</v>
      </c>
      <c r="AE6664">
        <v>17.44829</v>
      </c>
      <c r="AF6664">
        <v>-2.9123378049570801</v>
      </c>
      <c r="AG6664">
        <v>-1.109628418445</v>
      </c>
      <c r="AH6664">
        <v>17.369005208752402</v>
      </c>
      <c r="AI6664">
        <v>93.605211740669006</v>
      </c>
      <c r="AJ6664">
        <v>99.518492259951799</v>
      </c>
      <c r="AK6664">
        <v>17.646397044690801</v>
      </c>
      <c r="AL6664">
        <v>86.744058542250698</v>
      </c>
      <c r="AM6664">
        <v>91.530580710044802</v>
      </c>
      <c r="AN6664">
        <v>1.00000002679888</v>
      </c>
    </row>
    <row r="6665" spans="1:40" x14ac:dyDescent="0.25">
      <c r="A6665" t="str">
        <f>"20190312151702942"</f>
        <v>20190312151702942</v>
      </c>
      <c r="B6665" t="str">
        <f>"1552375022934495"</f>
        <v>1552375022934495</v>
      </c>
      <c r="C6665" t="s">
        <v>40</v>
      </c>
      <c r="D6665">
        <v>4.3319359999999998</v>
      </c>
      <c r="E6665">
        <v>0.4487043</v>
      </c>
      <c r="F6665" t="s">
        <v>43</v>
      </c>
      <c r="G6665">
        <v>-191.15729999999999</v>
      </c>
      <c r="H6665" s="1">
        <v>-4.7487950000000001E-7</v>
      </c>
      <c r="I6665">
        <v>59.978259999999999</v>
      </c>
      <c r="J6665">
        <v>-188.26679999999999</v>
      </c>
      <c r="K6665">
        <v>1.109667</v>
      </c>
      <c r="L6665">
        <v>42.295749999999998</v>
      </c>
      <c r="M6665">
        <v>3.719169E-3</v>
      </c>
      <c r="N6665">
        <v>0</v>
      </c>
      <c r="O6665">
        <v>0.99988670000000002</v>
      </c>
      <c r="P6665">
        <v>-2.296871E-2</v>
      </c>
      <c r="Q6665">
        <v>4.2060170000000001E-2</v>
      </c>
      <c r="R6665">
        <v>0.99885100000000004</v>
      </c>
      <c r="S6665">
        <v>-0.48042299999999899</v>
      </c>
      <c r="T6665">
        <v>-0.18451119999999999</v>
      </c>
      <c r="U6665">
        <v>3.0002439999999999</v>
      </c>
      <c r="V6665">
        <v>-2.6671919999999998E-2</v>
      </c>
      <c r="W6665">
        <v>5.6627789999999997E-2</v>
      </c>
      <c r="X6665">
        <v>0.99803900000000001</v>
      </c>
      <c r="Y6665">
        <v>-0.16149479999999999</v>
      </c>
      <c r="Z6665">
        <v>-6.0594710000000003E-2</v>
      </c>
      <c r="AA6665">
        <v>0.98501150000000004</v>
      </c>
      <c r="AB6665">
        <v>37</v>
      </c>
      <c r="AC6665">
        <v>-2.8904999999999998</v>
      </c>
      <c r="AD6665">
        <v>-1.1096674748794999</v>
      </c>
      <c r="AE6665">
        <v>17.682510000000001</v>
      </c>
      <c r="AF6665">
        <v>-2.9449552623126301</v>
      </c>
      <c r="AG6665">
        <v>-1.1096674748794999</v>
      </c>
      <c r="AH6665">
        <v>17.6041120806882</v>
      </c>
      <c r="AI6665">
        <v>93.557536092547807</v>
      </c>
      <c r="AJ6665">
        <v>99.496951778317694</v>
      </c>
      <c r="AK6665">
        <v>17.883201210948201</v>
      </c>
      <c r="AL6665">
        <v>86.753729986467604</v>
      </c>
      <c r="AM6665">
        <v>91.530826749138697</v>
      </c>
      <c r="AN6665">
        <v>0.999999971718884</v>
      </c>
    </row>
    <row r="6666" spans="1:40" x14ac:dyDescent="0.25">
      <c r="A6666" t="str">
        <f>"20190312151702963"</f>
        <v>20190312151702963</v>
      </c>
      <c r="B6666" t="str">
        <f>"1552375022954991"</f>
        <v>1552375022954991</v>
      </c>
      <c r="C6666" t="s">
        <v>40</v>
      </c>
      <c r="D6666">
        <v>4.3436949999999896</v>
      </c>
      <c r="E6666">
        <v>0.4485268</v>
      </c>
      <c r="F6666" t="s">
        <v>43</v>
      </c>
      <c r="G6666">
        <v>-191.15459999999999</v>
      </c>
      <c r="H6666" s="1">
        <v>-6.1347309999999997E-7</v>
      </c>
      <c r="I6666">
        <v>60.302990000000001</v>
      </c>
      <c r="J6666">
        <v>-188.2655</v>
      </c>
      <c r="K6666">
        <v>1.109715</v>
      </c>
      <c r="L6666">
        <v>42.65128</v>
      </c>
      <c r="M6666">
        <v>3.6474879999999999E-3</v>
      </c>
      <c r="N6666">
        <v>0</v>
      </c>
      <c r="O6666">
        <v>0.99988650000000001</v>
      </c>
      <c r="P6666">
        <v>-2.2959239999999999E-2</v>
      </c>
      <c r="Q6666">
        <v>4.2147299999999999E-2</v>
      </c>
      <c r="R6666">
        <v>0.99884759999999995</v>
      </c>
      <c r="S6666">
        <v>-0.48114010000000001</v>
      </c>
      <c r="T6666">
        <v>-0.1848795</v>
      </c>
      <c r="U6666">
        <v>3.0001530000000001</v>
      </c>
      <c r="V6666">
        <v>-2.659655E-2</v>
      </c>
      <c r="W6666">
        <v>5.6746329999999998E-2</v>
      </c>
      <c r="X6666">
        <v>0.99803430000000004</v>
      </c>
      <c r="Y6666">
        <v>-0.1616572</v>
      </c>
      <c r="Z6666">
        <v>-6.0715129999999999E-2</v>
      </c>
      <c r="AA6666">
        <v>0.98497749999999995</v>
      </c>
      <c r="AB6666">
        <v>37</v>
      </c>
      <c r="AC6666">
        <v>-2.88909999999998</v>
      </c>
      <c r="AD6666">
        <v>-1.1097156134731001</v>
      </c>
      <c r="AE6666">
        <v>17.651710000000001</v>
      </c>
      <c r="AF6666">
        <v>-2.9421471898912999</v>
      </c>
      <c r="AG6666">
        <v>-1.1097156134731001</v>
      </c>
      <c r="AH6666">
        <v>17.5734101693441</v>
      </c>
      <c r="AI6666">
        <v>93.563812881271403</v>
      </c>
      <c r="AJ6666">
        <v>99.504335082838793</v>
      </c>
      <c r="AK6666">
        <v>17.852519256670099</v>
      </c>
      <c r="AL6666">
        <v>86.746927275649398</v>
      </c>
      <c r="AM6666">
        <v>91.526510145829207</v>
      </c>
      <c r="AN6666">
        <v>0.99999999320843003</v>
      </c>
    </row>
    <row r="6667" spans="1:40" x14ac:dyDescent="0.25">
      <c r="A6667" t="str">
        <f>"20190312151702989"</f>
        <v>20190312151702989</v>
      </c>
      <c r="B6667" t="str">
        <f>"1552375022984778"</f>
        <v>1552375022984778</v>
      </c>
      <c r="C6667" t="s">
        <v>40</v>
      </c>
      <c r="D6667">
        <v>4.3270939999999998</v>
      </c>
      <c r="E6667">
        <v>0.44837199999999999</v>
      </c>
      <c r="F6667" t="s">
        <v>43</v>
      </c>
      <c r="G6667">
        <v>-191.1566</v>
      </c>
      <c r="H6667" s="1">
        <v>-7.5271290000000001E-7</v>
      </c>
      <c r="I6667">
        <v>60.626370000000001</v>
      </c>
      <c r="J6667">
        <v>-188.26400000000001</v>
      </c>
      <c r="K6667">
        <v>1.1097680000000001</v>
      </c>
      <c r="L6667">
        <v>43.079039999999999</v>
      </c>
      <c r="M6667">
        <v>3.5233769999999998E-3</v>
      </c>
      <c r="N6667">
        <v>0</v>
      </c>
      <c r="O6667">
        <v>0.99988639999999995</v>
      </c>
      <c r="P6667">
        <v>-2.2919499999999999E-2</v>
      </c>
      <c r="Q6667">
        <v>4.2107039999999998E-2</v>
      </c>
      <c r="R6667">
        <v>0.99885020000000002</v>
      </c>
      <c r="S6667">
        <v>-0.48254390000000003</v>
      </c>
      <c r="T6667">
        <v>-0.1852201</v>
      </c>
      <c r="U6667">
        <v>3.0001829999999998</v>
      </c>
      <c r="V6667">
        <v>-2.643999E-2</v>
      </c>
      <c r="W6667">
        <v>5.6738240000000002E-2</v>
      </c>
      <c r="X6667">
        <v>0.99803889999999995</v>
      </c>
      <c r="Y6667">
        <v>-0.1619814</v>
      </c>
      <c r="Z6667">
        <v>-6.0822139999999997E-2</v>
      </c>
      <c r="AA6667">
        <v>0.98491759999999995</v>
      </c>
      <c r="AB6667">
        <v>37</v>
      </c>
      <c r="AC6667">
        <v>-2.8925999999999799</v>
      </c>
      <c r="AD6667">
        <v>-1.1097687527128901</v>
      </c>
      <c r="AE6667">
        <v>17.547329999999899</v>
      </c>
      <c r="AF6667">
        <v>-2.9429545988974501</v>
      </c>
      <c r="AG6667">
        <v>-1.1097687527128901</v>
      </c>
      <c r="AH6667">
        <v>17.469003489097901</v>
      </c>
      <c r="AI6667">
        <v>93.584617118373501</v>
      </c>
      <c r="AJ6667">
        <v>99.562669155948299</v>
      </c>
      <c r="AK6667">
        <v>17.749891587212201</v>
      </c>
      <c r="AL6667">
        <v>86.747391482118502</v>
      </c>
      <c r="AM6667">
        <v>91.517521600924994</v>
      </c>
      <c r="AN6667">
        <v>0.99999997343135305</v>
      </c>
    </row>
    <row r="6668" spans="1:40" x14ac:dyDescent="0.25">
      <c r="A6668" t="str">
        <f>"20190312151703011"</f>
        <v>20190312151703011</v>
      </c>
      <c r="B6668" t="str">
        <f>"1552375023004298"</f>
        <v>1552375023004298</v>
      </c>
      <c r="C6668" t="s">
        <v>40</v>
      </c>
      <c r="D6668">
        <v>4.3700060000000001</v>
      </c>
      <c r="E6668">
        <v>0.44820209999999999</v>
      </c>
      <c r="F6668" t="s">
        <v>43</v>
      </c>
      <c r="G6668">
        <v>-191.14750000000001</v>
      </c>
      <c r="H6668" s="1">
        <v>-8.9337100000000004E-7</v>
      </c>
      <c r="I6668">
        <v>60.95984</v>
      </c>
      <c r="J6668">
        <v>-188.2628</v>
      </c>
      <c r="K6668">
        <v>1.109815</v>
      </c>
      <c r="L6668">
        <v>43.436770000000003</v>
      </c>
      <c r="M6668">
        <v>3.3871930000000001E-3</v>
      </c>
      <c r="N6668">
        <v>0</v>
      </c>
      <c r="O6668">
        <v>0.99988650000000001</v>
      </c>
      <c r="P6668">
        <v>-2.3226779999999999E-2</v>
      </c>
      <c r="Q6668">
        <v>4.1999599999999998E-2</v>
      </c>
      <c r="R6668">
        <v>0.99884759999999995</v>
      </c>
      <c r="S6668">
        <v>-0.48382570000000003</v>
      </c>
      <c r="T6668">
        <v>-0.1862057</v>
      </c>
      <c r="U6668">
        <v>3.0001829999999998</v>
      </c>
      <c r="V6668">
        <v>-2.661668E-2</v>
      </c>
      <c r="W6668">
        <v>5.6652069999999999E-2</v>
      </c>
      <c r="X6668">
        <v>0.99803909999999996</v>
      </c>
      <c r="Y6668">
        <v>-0.16225400000000001</v>
      </c>
      <c r="Z6668">
        <v>-6.1141170000000002E-2</v>
      </c>
      <c r="AA6668">
        <v>0.98485299999999998</v>
      </c>
      <c r="AB6668">
        <v>37</v>
      </c>
      <c r="AC6668">
        <v>-2.8847</v>
      </c>
      <c r="AD6668">
        <v>-1.1098158933710001</v>
      </c>
      <c r="AE6668">
        <v>17.523069999999901</v>
      </c>
      <c r="AF6668">
        <v>-2.9325908475116198</v>
      </c>
      <c r="AG6668">
        <v>-1.1098158933710001</v>
      </c>
      <c r="AH6668">
        <v>17.445066943441802</v>
      </c>
      <c r="AI6668">
        <v>93.589887482133193</v>
      </c>
      <c r="AJ6668">
        <v>99.542447830954998</v>
      </c>
      <c r="AK6668">
        <v>17.724619630820101</v>
      </c>
      <c r="AL6668">
        <v>86.7523366184423</v>
      </c>
      <c r="AM6668">
        <v>91.527657617055695</v>
      </c>
      <c r="AN6668">
        <v>0.99999997490915804</v>
      </c>
    </row>
    <row r="6669" spans="1:40" x14ac:dyDescent="0.25">
      <c r="A6669" t="str">
        <f>"20190312151703034"</f>
        <v>20190312151703034</v>
      </c>
      <c r="B6669" t="str">
        <f>"1552375023024794"</f>
        <v>1552375023024794</v>
      </c>
      <c r="C6669" t="s">
        <v>40</v>
      </c>
      <c r="D6669">
        <v>4.346425</v>
      </c>
      <c r="E6669">
        <v>0.44811600000000001</v>
      </c>
      <c r="F6669" t="s">
        <v>43</v>
      </c>
      <c r="G6669">
        <v>-191.1396</v>
      </c>
      <c r="H6669" s="1">
        <v>-9.8924529999999999E-7</v>
      </c>
      <c r="I6669">
        <v>61.188220000000001</v>
      </c>
      <c r="J6669">
        <v>-188.26169999999999</v>
      </c>
      <c r="K6669">
        <v>1.1098600000000001</v>
      </c>
      <c r="L6669">
        <v>43.806730000000002</v>
      </c>
      <c r="M6669">
        <v>3.2164989999999998E-3</v>
      </c>
      <c r="N6669">
        <v>0</v>
      </c>
      <c r="O6669">
        <v>0.99988679999999996</v>
      </c>
      <c r="P6669">
        <v>-2.3054930000000001E-2</v>
      </c>
      <c r="Q6669">
        <v>4.2182070000000002E-2</v>
      </c>
      <c r="R6669">
        <v>0.99884390000000001</v>
      </c>
      <c r="S6669">
        <v>-0.48619079999999898</v>
      </c>
      <c r="T6669">
        <v>-0.18756120000000001</v>
      </c>
      <c r="U6669">
        <v>3.0000309999999999</v>
      </c>
      <c r="V6669">
        <v>-2.6279919999999998E-2</v>
      </c>
      <c r="W6669">
        <v>5.6853439999999998E-2</v>
      </c>
      <c r="X6669">
        <v>0.99803660000000005</v>
      </c>
      <c r="Y6669">
        <v>-0.16284570000000001</v>
      </c>
      <c r="Z6669">
        <v>-6.1580799999999998E-2</v>
      </c>
      <c r="AA6669">
        <v>0.98472789999999999</v>
      </c>
      <c r="AB6669">
        <v>37</v>
      </c>
      <c r="AC6669">
        <v>-2.8779000000000101</v>
      </c>
      <c r="AD6669">
        <v>-1.1098609892453</v>
      </c>
      <c r="AE6669">
        <v>17.3814899999999</v>
      </c>
      <c r="AF6669">
        <v>-2.9222021713675099</v>
      </c>
      <c r="AG6669">
        <v>-1.1098609892453</v>
      </c>
      <c r="AH6669">
        <v>17.303474860609601</v>
      </c>
      <c r="AI6669">
        <v>93.618873537735993</v>
      </c>
      <c r="AJ6669">
        <v>99.5856370927618</v>
      </c>
      <c r="AK6669">
        <v>17.583551950545701</v>
      </c>
      <c r="AL6669">
        <v>86.740780427729803</v>
      </c>
      <c r="AM6669">
        <v>91.508342124516801</v>
      </c>
      <c r="AN6669">
        <v>1.0000000013873001</v>
      </c>
    </row>
    <row r="6670" spans="1:40" x14ac:dyDescent="0.25">
      <c r="A6670" t="str">
        <f>"20190312151703055"</f>
        <v>20190312151703055</v>
      </c>
      <c r="B6670" t="str">
        <f>"1552375023044314"</f>
        <v>1552375023044314</v>
      </c>
      <c r="C6670" t="s">
        <v>40</v>
      </c>
      <c r="D6670">
        <v>4.3421960000000004</v>
      </c>
      <c r="E6670">
        <v>0.44801039999999998</v>
      </c>
      <c r="F6670" t="s">
        <v>43</v>
      </c>
      <c r="G6670">
        <v>-191.1345</v>
      </c>
      <c r="H6670" s="1">
        <v>-1.134726E-6</v>
      </c>
      <c r="I6670">
        <v>61.53051</v>
      </c>
      <c r="J6670">
        <v>-188.26079999999999</v>
      </c>
      <c r="K6670">
        <v>1.109893</v>
      </c>
      <c r="L6670">
        <v>44.16272</v>
      </c>
      <c r="M6670">
        <v>3.025154E-3</v>
      </c>
      <c r="N6670">
        <v>0</v>
      </c>
      <c r="O6670">
        <v>0.99988710000000003</v>
      </c>
      <c r="P6670">
        <v>-2.320504E-2</v>
      </c>
      <c r="Q6670">
        <v>4.2037230000000002E-2</v>
      </c>
      <c r="R6670">
        <v>0.99884649999999997</v>
      </c>
      <c r="S6670">
        <v>-0.4862976</v>
      </c>
      <c r="T6670">
        <v>-0.18787110000000001</v>
      </c>
      <c r="U6670">
        <v>3.0001829999999998</v>
      </c>
      <c r="V6670">
        <v>-2.624346E-2</v>
      </c>
      <c r="W6670">
        <v>5.6723469999999998E-2</v>
      </c>
      <c r="X6670">
        <v>0.99804499999999996</v>
      </c>
      <c r="Y6670">
        <v>-0.1626822</v>
      </c>
      <c r="Z6670">
        <v>-6.16798E-2</v>
      </c>
      <c r="AA6670">
        <v>0.98474879999999998</v>
      </c>
      <c r="AB6670">
        <v>37</v>
      </c>
      <c r="AC6670">
        <v>-2.8737000000000101</v>
      </c>
      <c r="AD6670">
        <v>-1.1098941347260001</v>
      </c>
      <c r="AE6670">
        <v>17.367789999999999</v>
      </c>
      <c r="AF6670">
        <v>-2.9146468760017599</v>
      </c>
      <c r="AG6670">
        <v>-1.1098941347260001</v>
      </c>
      <c r="AH6670">
        <v>17.290286218793302</v>
      </c>
      <c r="AI6670">
        <v>93.621917068440197</v>
      </c>
      <c r="AJ6670">
        <v>99.568470104767101</v>
      </c>
      <c r="AK6670">
        <v>17.569320673545601</v>
      </c>
      <c r="AL6670">
        <v>86.7482393441868</v>
      </c>
      <c r="AM6670">
        <v>91.506237787582194</v>
      </c>
      <c r="AN6670">
        <v>1.0000000466333001</v>
      </c>
    </row>
    <row r="6671" spans="1:40" x14ac:dyDescent="0.25">
      <c r="A6671" t="str">
        <f>"20190312151703078"</f>
        <v>20190312151703078</v>
      </c>
      <c r="B6671" t="str">
        <f>"1552375023074101"</f>
        <v>1552375023074101</v>
      </c>
      <c r="C6671" t="s">
        <v>40</v>
      </c>
      <c r="D6671">
        <v>4.3451579999999996</v>
      </c>
      <c r="E6671">
        <v>0.4478511</v>
      </c>
      <c r="F6671" t="s">
        <v>43</v>
      </c>
      <c r="G6671">
        <v>-191.11699999999999</v>
      </c>
      <c r="H6671" s="1">
        <v>-1.2193360000000001E-6</v>
      </c>
      <c r="I6671">
        <v>61.738610000000001</v>
      </c>
      <c r="J6671">
        <v>-188.25980000000001</v>
      </c>
      <c r="K6671">
        <v>1.109918</v>
      </c>
      <c r="L6671">
        <v>44.542299999999997</v>
      </c>
      <c r="M6671">
        <v>2.7999919999999998E-3</v>
      </c>
      <c r="N6671">
        <v>0</v>
      </c>
      <c r="O6671">
        <v>0.99988759999999999</v>
      </c>
      <c r="P6671">
        <v>-2.335274E-2</v>
      </c>
      <c r="Q6671">
        <v>4.1946289999999997E-2</v>
      </c>
      <c r="R6671">
        <v>0.99884689999999998</v>
      </c>
      <c r="S6671">
        <v>-0.4875488</v>
      </c>
      <c r="T6671">
        <v>-0.18945380000000001</v>
      </c>
      <c r="U6671">
        <v>3.0001220000000002</v>
      </c>
      <c r="V6671">
        <v>-2.6170280000000001E-2</v>
      </c>
      <c r="W6671">
        <v>5.6646349999999998E-2</v>
      </c>
      <c r="X6671">
        <v>0.99805120000000003</v>
      </c>
      <c r="Y6671">
        <v>-0.16285820000000001</v>
      </c>
      <c r="Z6671">
        <v>-6.2195739999999999E-2</v>
      </c>
      <c r="AA6671">
        <v>0.98468719999999998</v>
      </c>
      <c r="AB6671">
        <v>37</v>
      </c>
      <c r="AC6671">
        <v>-2.8572000000000002</v>
      </c>
      <c r="AD6671">
        <v>-1.1099192193359999</v>
      </c>
      <c r="AE6671">
        <v>17.196309999999901</v>
      </c>
      <c r="AF6671">
        <v>-2.8936128009989401</v>
      </c>
      <c r="AG6671">
        <v>-1.1099192193359999</v>
      </c>
      <c r="AH6671">
        <v>17.118841525193599</v>
      </c>
      <c r="AI6671">
        <v>93.657899766221604</v>
      </c>
      <c r="AJ6671">
        <v>99.594069693721096</v>
      </c>
      <c r="AK6671">
        <v>17.397116165624901</v>
      </c>
      <c r="AL6671">
        <v>86.752664780777593</v>
      </c>
      <c r="AM6671">
        <v>91.502030237345394</v>
      </c>
      <c r="AN6671">
        <v>0.999999945172518</v>
      </c>
    </row>
    <row r="6672" spans="1:40" x14ac:dyDescent="0.25">
      <c r="A6672" t="str">
        <f>"20190312151703098"</f>
        <v>20190312151703098</v>
      </c>
      <c r="B6672" t="str">
        <f>"1552375023094597"</f>
        <v>1552375023094597</v>
      </c>
      <c r="C6672" t="s">
        <v>40</v>
      </c>
      <c r="D6672">
        <v>4.4006069999999999</v>
      </c>
      <c r="E6672">
        <v>0.44791789999999998</v>
      </c>
      <c r="F6672" t="s">
        <v>43</v>
      </c>
      <c r="G6672">
        <v>-191.10169999999999</v>
      </c>
      <c r="H6672" s="1">
        <v>-1.3150830000000001E-6</v>
      </c>
      <c r="I6672">
        <v>61.971319999999999</v>
      </c>
      <c r="J6672">
        <v>-188.25909999999999</v>
      </c>
      <c r="K6672">
        <v>1.1099399999999999</v>
      </c>
      <c r="L6672">
        <v>44.872889999999998</v>
      </c>
      <c r="M6672">
        <v>2.5920370000000002E-3</v>
      </c>
      <c r="N6672">
        <v>0</v>
      </c>
      <c r="O6672">
        <v>0.99988790000000005</v>
      </c>
      <c r="P6672">
        <v>-2.350845E-2</v>
      </c>
      <c r="Q6672">
        <v>4.1922859999999999E-2</v>
      </c>
      <c r="R6672">
        <v>0.99884430000000002</v>
      </c>
      <c r="S6672">
        <v>-0.4891663</v>
      </c>
      <c r="T6672">
        <v>-0.19105050000000001</v>
      </c>
      <c r="U6672">
        <v>3.0000610000000001</v>
      </c>
      <c r="V6672">
        <v>-2.6120330000000001E-2</v>
      </c>
      <c r="W6672">
        <v>5.6633490000000002E-2</v>
      </c>
      <c r="X6672">
        <v>0.99805330000000003</v>
      </c>
      <c r="Y6672">
        <v>-0.16316810000000001</v>
      </c>
      <c r="Z6672">
        <v>-6.2714850000000003E-2</v>
      </c>
      <c r="AA6672">
        <v>0.98460300000000001</v>
      </c>
      <c r="AB6672">
        <v>37</v>
      </c>
      <c r="AC6672">
        <v>-2.8426</v>
      </c>
      <c r="AD6672">
        <v>-1.109941315083</v>
      </c>
      <c r="AE6672">
        <v>17.098429999999901</v>
      </c>
      <c r="AF6672">
        <v>-2.8751253019371799</v>
      </c>
      <c r="AG6672">
        <v>-1.109941315083</v>
      </c>
      <c r="AH6672">
        <v>17.021206516332999</v>
      </c>
      <c r="AI6672">
        <v>93.678967612057704</v>
      </c>
      <c r="AJ6672">
        <v>99.587576108271094</v>
      </c>
      <c r="AK6672">
        <v>17.297970588957099</v>
      </c>
      <c r="AL6672">
        <v>86.753402989371395</v>
      </c>
      <c r="AM6672">
        <v>91.499161538482497</v>
      </c>
      <c r="AN6672">
        <v>1.00000000673488</v>
      </c>
    </row>
    <row r="6673" spans="1:40" x14ac:dyDescent="0.25">
      <c r="A6673" t="str">
        <f>"20190312151703120"</f>
        <v>20190312151703120</v>
      </c>
      <c r="B6673" t="str">
        <f>"1552375023114117"</f>
        <v>1552375023114117</v>
      </c>
      <c r="C6673" t="s">
        <v>40</v>
      </c>
      <c r="D6673">
        <v>4.5785260000000001</v>
      </c>
      <c r="E6673">
        <v>0.4871047</v>
      </c>
      <c r="F6673" t="s">
        <v>43</v>
      </c>
      <c r="G6673">
        <v>-191.1061</v>
      </c>
      <c r="H6673" s="1">
        <v>-1.4735270000000001E-6</v>
      </c>
      <c r="I6673">
        <v>62.337879999999998</v>
      </c>
      <c r="J6673">
        <v>-188.25829999999999</v>
      </c>
      <c r="K6673">
        <v>1.10996299999999</v>
      </c>
      <c r="L6673">
        <v>45.25085</v>
      </c>
      <c r="M6673">
        <v>2.3454909999999999E-3</v>
      </c>
      <c r="N6673">
        <v>0</v>
      </c>
      <c r="O6673">
        <v>0.99988840000000001</v>
      </c>
      <c r="P6673">
        <v>-2.3465759999999999E-2</v>
      </c>
      <c r="Q6673">
        <v>4.1943019999999998E-2</v>
      </c>
      <c r="R6673">
        <v>0.99884439999999997</v>
      </c>
      <c r="S6673">
        <v>-0.48904419999999998</v>
      </c>
      <c r="T6673">
        <v>-0.1906552</v>
      </c>
      <c r="U6673">
        <v>2.9999690000000001</v>
      </c>
      <c r="V6673">
        <v>-2.583332E-2</v>
      </c>
      <c r="W6673">
        <v>5.666301E-2</v>
      </c>
      <c r="X6673">
        <v>0.99805909999999998</v>
      </c>
      <c r="Y6673">
        <v>-0.16289189999999901</v>
      </c>
      <c r="Z6673">
        <v>-6.2589179999999994E-2</v>
      </c>
      <c r="AA6673">
        <v>0.98465670000000005</v>
      </c>
      <c r="AB6673">
        <v>37</v>
      </c>
      <c r="AC6673">
        <v>-2.8477999999999999</v>
      </c>
      <c r="AD6673">
        <v>-1.10996447352699</v>
      </c>
      <c r="AE6673">
        <v>17.087029999999999</v>
      </c>
      <c r="AF6673">
        <v>-2.8760657702928798</v>
      </c>
      <c r="AG6673">
        <v>-1.10996447352699</v>
      </c>
      <c r="AH6673">
        <v>17.010463095461599</v>
      </c>
      <c r="AI6673">
        <v>93.681263675779206</v>
      </c>
      <c r="AJ6673">
        <v>99.596598631566494</v>
      </c>
      <c r="AK6673">
        <v>17.287557090855898</v>
      </c>
      <c r="AL6673">
        <v>86.751708915070907</v>
      </c>
      <c r="AM6673">
        <v>91.482687543679006</v>
      </c>
      <c r="AN6673">
        <v>1.0000000121086401</v>
      </c>
    </row>
    <row r="6674" spans="1:40" x14ac:dyDescent="0.25">
      <c r="A6674" t="str">
        <f>"20190312151703143"</f>
        <v>20190312151703143</v>
      </c>
      <c r="B6674" t="str">
        <f>"1552375023134613"</f>
        <v>1552375023134613</v>
      </c>
      <c r="C6674" t="s">
        <v>40</v>
      </c>
      <c r="D6674">
        <v>4.6947710000000002</v>
      </c>
      <c r="E6674">
        <v>0.49265959999999998</v>
      </c>
      <c r="F6674" t="s">
        <v>43</v>
      </c>
      <c r="G6674">
        <v>-189.78210000000001</v>
      </c>
      <c r="H6674" s="1">
        <v>-7.354167E-7</v>
      </c>
      <c r="I6674">
        <v>71.25694</v>
      </c>
      <c r="J6674">
        <v>-188.2577</v>
      </c>
      <c r="K6674">
        <v>1.109979</v>
      </c>
      <c r="L6674">
        <v>45.619050000000001</v>
      </c>
      <c r="M6674">
        <v>2.1012409999999998E-3</v>
      </c>
      <c r="N6674">
        <v>0</v>
      </c>
      <c r="O6674">
        <v>0.99988880000000002</v>
      </c>
      <c r="P6674">
        <v>-2.338585E-2</v>
      </c>
      <c r="Q6674">
        <v>4.2228960000000003E-2</v>
      </c>
      <c r="R6674">
        <v>0.99883429999999995</v>
      </c>
      <c r="S6674">
        <v>-0.17605589999999999</v>
      </c>
      <c r="T6674">
        <v>-0.12824459999999999</v>
      </c>
      <c r="U6674">
        <v>3.0047299999999999</v>
      </c>
      <c r="V6674">
        <v>-2.551117E-2</v>
      </c>
      <c r="W6674">
        <v>5.695675E-2</v>
      </c>
      <c r="X6674">
        <v>0.99805060000000001</v>
      </c>
      <c r="Y6674">
        <v>-6.0537319999999999E-2</v>
      </c>
      <c r="Z6674">
        <v>-4.2566409999999999E-2</v>
      </c>
      <c r="AA6674">
        <v>0.99725790000000003</v>
      </c>
      <c r="AB6674">
        <v>37</v>
      </c>
      <c r="AC6674">
        <v>-1.52440000000001</v>
      </c>
      <c r="AD6674">
        <v>-1.1099797354167</v>
      </c>
      <c r="AE6674">
        <v>25.637889999999999</v>
      </c>
      <c r="AF6674">
        <v>-1.5753314708092201</v>
      </c>
      <c r="AG6674">
        <v>-1.1099797354167</v>
      </c>
      <c r="AH6674">
        <v>25.5868385371591</v>
      </c>
      <c r="AI6674">
        <v>92.479295559377604</v>
      </c>
      <c r="AJ6674">
        <v>93.523141639366798</v>
      </c>
      <c r="AK6674">
        <v>25.659306899887302</v>
      </c>
      <c r="AL6674">
        <v>86.734851411479198</v>
      </c>
      <c r="AM6674">
        <v>91.464218506536298</v>
      </c>
      <c r="AN6674">
        <v>0.999999945662844</v>
      </c>
    </row>
    <row r="6675" spans="1:40" x14ac:dyDescent="0.25">
      <c r="A6675" t="str">
        <f>"20190312151703169"</f>
        <v>20190312151703169</v>
      </c>
      <c r="B6675" t="str">
        <f>"1552375023164869"</f>
        <v>1552375023164869</v>
      </c>
      <c r="C6675" t="s">
        <v>40</v>
      </c>
      <c r="D6675">
        <v>4.614903</v>
      </c>
      <c r="E6675">
        <v>0.49615239999999999</v>
      </c>
      <c r="F6675" t="s">
        <v>43</v>
      </c>
      <c r="G6675">
        <v>-189.7073</v>
      </c>
      <c r="H6675" s="1">
        <v>-3.9857319999999998E-6</v>
      </c>
      <c r="I6675">
        <v>78.802580000000006</v>
      </c>
      <c r="J6675">
        <v>-188.25710000000001</v>
      </c>
      <c r="K6675">
        <v>1.1099870000000001</v>
      </c>
      <c r="L6675">
        <v>46.02722</v>
      </c>
      <c r="M6675">
        <v>1.8295130000000001E-3</v>
      </c>
      <c r="N6675">
        <v>0</v>
      </c>
      <c r="O6675">
        <v>0.99988929999999998</v>
      </c>
      <c r="P6675">
        <v>-2.3430289999999999E-2</v>
      </c>
      <c r="Q6675">
        <v>4.2628329999999999E-2</v>
      </c>
      <c r="R6675">
        <v>0.99881629999999999</v>
      </c>
      <c r="S6675">
        <v>-0.13125609999999999</v>
      </c>
      <c r="T6675">
        <v>-0.1005056</v>
      </c>
      <c r="U6675">
        <v>3.0046689999999998</v>
      </c>
      <c r="V6675">
        <v>-2.5285479999999999E-2</v>
      </c>
      <c r="W6675">
        <v>5.7362349999999999E-2</v>
      </c>
      <c r="X6675">
        <v>0.99803319999999995</v>
      </c>
      <c r="Y6675">
        <v>-4.5445970000000002E-2</v>
      </c>
      <c r="Z6675">
        <v>-3.3397839999999998E-2</v>
      </c>
      <c r="AA6675">
        <v>0.99840839999999997</v>
      </c>
      <c r="AB6675">
        <v>37</v>
      </c>
      <c r="AC6675">
        <v>-1.4501999999999899</v>
      </c>
      <c r="AD6675">
        <v>-1.1099909857320001</v>
      </c>
      <c r="AE6675">
        <v>32.775359999999999</v>
      </c>
      <c r="AF6675">
        <v>-1.5084403348842199</v>
      </c>
      <c r="AG6675">
        <v>-1.1099909857320001</v>
      </c>
      <c r="AH6675">
        <v>32.735179480400703</v>
      </c>
      <c r="AI6675">
        <v>91.939995627507997</v>
      </c>
      <c r="AJ6675">
        <v>92.6383289021026</v>
      </c>
      <c r="AK6675">
        <v>32.788709151876603</v>
      </c>
      <c r="AL6675">
        <v>86.711574467505002</v>
      </c>
      <c r="AM6675">
        <v>91.451295841132804</v>
      </c>
      <c r="AN6675">
        <v>1.0000000314992901</v>
      </c>
    </row>
    <row r="6676" spans="1:40" x14ac:dyDescent="0.25">
      <c r="A6676" t="str">
        <f>"20190312151703189"</f>
        <v>20190312151703189</v>
      </c>
      <c r="B6676" t="str">
        <f>"1552375023184896"</f>
        <v>1552375023184896</v>
      </c>
      <c r="C6676" t="s">
        <v>40</v>
      </c>
      <c r="D6676">
        <v>4.4499659999999999</v>
      </c>
      <c r="E6676">
        <v>0.49596220000000002</v>
      </c>
      <c r="F6676" t="s">
        <v>43</v>
      </c>
      <c r="G6676">
        <v>-189.5085</v>
      </c>
      <c r="H6676" s="1">
        <v>-1.296898E-6</v>
      </c>
      <c r="I6676">
        <v>82.452650000000006</v>
      </c>
      <c r="J6676">
        <v>-188.25659999999999</v>
      </c>
      <c r="K6676">
        <v>1.1099909999999999</v>
      </c>
      <c r="L6676">
        <v>46.383789999999998</v>
      </c>
      <c r="M6676">
        <v>1.59288299999999E-3</v>
      </c>
      <c r="N6676">
        <v>0</v>
      </c>
      <c r="O6676">
        <v>0.99988960000000005</v>
      </c>
      <c r="P6676">
        <v>-2.3072990000000002E-2</v>
      </c>
      <c r="Q6676">
        <v>4.2565289999999999E-2</v>
      </c>
      <c r="R6676">
        <v>0.99882720000000003</v>
      </c>
      <c r="S6676">
        <v>-0.103241</v>
      </c>
      <c r="T6676">
        <v>-9.1572169999999994E-2</v>
      </c>
      <c r="U6676">
        <v>3.0050349999999999</v>
      </c>
      <c r="V6676">
        <v>-2.4693070000000001E-2</v>
      </c>
      <c r="W6676">
        <v>5.7304269999999997E-2</v>
      </c>
      <c r="X6676">
        <v>0.99805129999999997</v>
      </c>
      <c r="Y6676">
        <v>-3.5911890000000002E-2</v>
      </c>
      <c r="Z6676">
        <v>-3.0439919999999999E-2</v>
      </c>
      <c r="AA6676">
        <v>0.99889119999999998</v>
      </c>
      <c r="AB6676">
        <v>37</v>
      </c>
      <c r="AC6676">
        <v>-1.2519</v>
      </c>
      <c r="AD6676">
        <v>-1.1099922968980001</v>
      </c>
      <c r="AE6676">
        <v>36.068860000000001</v>
      </c>
      <c r="AF6676">
        <v>-1.3081207846320999</v>
      </c>
      <c r="AG6676">
        <v>-1.1099922968980001</v>
      </c>
      <c r="AH6676">
        <v>36.0327359696374</v>
      </c>
      <c r="AI6676">
        <v>91.763283799980798</v>
      </c>
      <c r="AJ6676">
        <v>92.079134353272394</v>
      </c>
      <c r="AK6676">
        <v>36.073554362496097</v>
      </c>
      <c r="AL6676">
        <v>86.714907461370899</v>
      </c>
      <c r="AM6676">
        <v>91.4172819747847</v>
      </c>
      <c r="AN6676">
        <v>0.99999996224897303</v>
      </c>
    </row>
    <row r="6677" spans="1:40" x14ac:dyDescent="0.25">
      <c r="A6677" t="str">
        <f>"20190312151703212"</f>
        <v>20190312151703212</v>
      </c>
      <c r="B6677" t="str">
        <f>"1552375023204416"</f>
        <v>1552375023204416</v>
      </c>
      <c r="C6677" t="s">
        <v>40</v>
      </c>
      <c r="D6677">
        <v>4.6289949999999997</v>
      </c>
      <c r="E6677">
        <v>0.49695719999999999</v>
      </c>
      <c r="F6677" t="s">
        <v>43</v>
      </c>
      <c r="G6677">
        <v>-189.5051</v>
      </c>
      <c r="H6677" s="1">
        <v>-1.3167349999999999E-6</v>
      </c>
      <c r="I6677">
        <v>82.497450000000001</v>
      </c>
      <c r="J6677">
        <v>-188.25630000000001</v>
      </c>
      <c r="K6677">
        <v>1.1100030000000001</v>
      </c>
      <c r="L6677">
        <v>46.74915</v>
      </c>
      <c r="M6677">
        <v>1.351365E-3</v>
      </c>
      <c r="N6677">
        <v>0</v>
      </c>
      <c r="O6677">
        <v>0.9998899</v>
      </c>
      <c r="P6677">
        <v>-2.2212969999999999E-2</v>
      </c>
      <c r="Q6677">
        <v>4.2326120000000002E-2</v>
      </c>
      <c r="R6677">
        <v>0.99885690000000005</v>
      </c>
      <c r="S6677">
        <v>-0.1038818</v>
      </c>
      <c r="T6677">
        <v>-9.236395E-2</v>
      </c>
      <c r="U6677">
        <v>3.0050659999999998</v>
      </c>
      <c r="V6677">
        <v>-2.3592109999999999E-2</v>
      </c>
      <c r="W6677">
        <v>5.7070049999999997E-2</v>
      </c>
      <c r="X6677">
        <v>0.99809139999999996</v>
      </c>
      <c r="Y6677">
        <v>-3.5882659999999997E-2</v>
      </c>
      <c r="Z6677">
        <v>-3.0702480000000001E-2</v>
      </c>
      <c r="AA6677">
        <v>0.99888429999999995</v>
      </c>
      <c r="AB6677">
        <v>37</v>
      </c>
      <c r="AC6677">
        <v>-1.2487999999999799</v>
      </c>
      <c r="AD6677">
        <v>-1.110004316735</v>
      </c>
      <c r="AE6677">
        <v>35.7483</v>
      </c>
      <c r="AF6677">
        <v>-1.2958652679226801</v>
      </c>
      <c r="AG6677">
        <v>-1.110004316735</v>
      </c>
      <c r="AH6677">
        <v>35.712190120859802</v>
      </c>
      <c r="AI6677">
        <v>91.779120944271597</v>
      </c>
      <c r="AJ6677">
        <v>92.078143313820703</v>
      </c>
      <c r="AK6677">
        <v>35.752928545843801</v>
      </c>
      <c r="AL6677">
        <v>86.728349435309298</v>
      </c>
      <c r="AM6677">
        <v>91.354061032909698</v>
      </c>
      <c r="AN6677">
        <v>1.0000000105075999</v>
      </c>
    </row>
    <row r="6678" spans="1:40" x14ac:dyDescent="0.25">
      <c r="A6678" t="str">
        <f>"20190312151703232"</f>
        <v>20190312151703232</v>
      </c>
      <c r="B6678" t="str">
        <f>"1552375023224912"</f>
        <v>1552375023224912</v>
      </c>
      <c r="C6678" t="s">
        <v>40</v>
      </c>
      <c r="D6678">
        <v>4.6718859999999998</v>
      </c>
      <c r="E6678">
        <v>0.49740059999999903</v>
      </c>
      <c r="F6678" t="s">
        <v>43</v>
      </c>
      <c r="G6678">
        <v>-189.38550000000001</v>
      </c>
      <c r="H6678" s="1">
        <v>-1.5609289999999999E-6</v>
      </c>
      <c r="I6678">
        <v>83.017240000000001</v>
      </c>
      <c r="J6678">
        <v>-188.256</v>
      </c>
      <c r="K6678">
        <v>1.1100080000000001</v>
      </c>
      <c r="L6678">
        <v>47.094999999999999</v>
      </c>
      <c r="M6678">
        <v>1.1232989999999999E-3</v>
      </c>
      <c r="N6678">
        <v>0</v>
      </c>
      <c r="O6678">
        <v>0.9998901</v>
      </c>
      <c r="P6678">
        <v>-2.1751280000000001E-2</v>
      </c>
      <c r="Q6678">
        <v>4.2522799999999999E-2</v>
      </c>
      <c r="R6678">
        <v>0.99885869999999999</v>
      </c>
      <c r="S6678">
        <v>-9.356689E-2</v>
      </c>
      <c r="T6678">
        <v>-9.1977240000000002E-2</v>
      </c>
      <c r="U6678">
        <v>3.0052490000000001</v>
      </c>
      <c r="V6678">
        <v>-2.2903179999999999E-2</v>
      </c>
      <c r="W6678">
        <v>5.7269050000000002E-2</v>
      </c>
      <c r="X6678">
        <v>0.99809599999999998</v>
      </c>
      <c r="Y6678">
        <v>-3.2227720000000001E-2</v>
      </c>
      <c r="Z6678">
        <v>-3.0575829999999998E-2</v>
      </c>
      <c r="AA6678">
        <v>0.99901280000000003</v>
      </c>
      <c r="AB6678">
        <v>37</v>
      </c>
      <c r="AC6678">
        <v>-1.1295000000000299</v>
      </c>
      <c r="AD6678">
        <v>-1.1100095609289999</v>
      </c>
      <c r="AE6678">
        <v>35.922240000000002</v>
      </c>
      <c r="AF6678">
        <v>-1.1687402656407999</v>
      </c>
      <c r="AG6678">
        <v>-1.1100095609289999</v>
      </c>
      <c r="AH6678">
        <v>35.886716512476298</v>
      </c>
      <c r="AI6678">
        <v>91.770708772599207</v>
      </c>
      <c r="AJ6678">
        <v>91.8653204093211</v>
      </c>
      <c r="AK6678">
        <v>35.922896557498298</v>
      </c>
      <c r="AL6678">
        <v>86.716928738957705</v>
      </c>
      <c r="AM6678">
        <v>91.314528159179304</v>
      </c>
      <c r="AN6678">
        <v>0.99999996247900602</v>
      </c>
    </row>
    <row r="6679" spans="1:40" x14ac:dyDescent="0.25">
      <c r="A6679" t="str">
        <f>"20190312151703255"</f>
        <v>20190312151703255</v>
      </c>
      <c r="B6679" t="str">
        <f>"1552375023244432"</f>
        <v>1552375023244432</v>
      </c>
      <c r="C6679" t="s">
        <v>40</v>
      </c>
      <c r="D6679">
        <v>4.5379680000000002</v>
      </c>
      <c r="E6679">
        <v>0.4981566</v>
      </c>
      <c r="F6679" t="s">
        <v>43</v>
      </c>
      <c r="G6679">
        <v>-189.29390000000001</v>
      </c>
      <c r="H6679" s="1">
        <v>-1.2774869999999999E-6</v>
      </c>
      <c r="I6679">
        <v>82.318669999999997</v>
      </c>
      <c r="J6679">
        <v>-188.25579999999999</v>
      </c>
      <c r="K6679">
        <v>1.1100190000000001</v>
      </c>
      <c r="L6679">
        <v>47.455509999999997</v>
      </c>
      <c r="M6679">
        <v>8.8564380000000003E-4</v>
      </c>
      <c r="N6679">
        <v>0</v>
      </c>
      <c r="O6679">
        <v>0.99989030000000001</v>
      </c>
      <c r="P6679">
        <v>-2.1279220000000001E-2</v>
      </c>
      <c r="Q6679">
        <v>4.2734149999999999E-2</v>
      </c>
      <c r="R6679">
        <v>0.99885979999999996</v>
      </c>
      <c r="S6679">
        <v>-8.8562009999999997E-2</v>
      </c>
      <c r="T6679">
        <v>-9.4713569999999997E-2</v>
      </c>
      <c r="U6679">
        <v>3.0055239999999999</v>
      </c>
      <c r="V6679">
        <v>-2.219424E-2</v>
      </c>
      <c r="W6679">
        <v>5.7482320000000003E-2</v>
      </c>
      <c r="X6679">
        <v>0.99809979999999998</v>
      </c>
      <c r="Y6679">
        <v>-3.0324380000000001E-2</v>
      </c>
      <c r="Z6679">
        <v>-3.1483440000000001E-2</v>
      </c>
      <c r="AA6679">
        <v>0.99904420000000005</v>
      </c>
      <c r="AB6679">
        <v>37</v>
      </c>
      <c r="AC6679">
        <v>-1.03810000000001</v>
      </c>
      <c r="AD6679">
        <v>-1.1100202774869901</v>
      </c>
      <c r="AE6679">
        <v>34.863160000000001</v>
      </c>
      <c r="AF6679">
        <v>-1.0678976937261899</v>
      </c>
      <c r="AG6679">
        <v>-1.1100202774869901</v>
      </c>
      <c r="AH6679">
        <v>34.826952495853902</v>
      </c>
      <c r="AI6679">
        <v>91.824681817694994</v>
      </c>
      <c r="AJ6679">
        <v>91.756308294854094</v>
      </c>
      <c r="AK6679">
        <v>34.8609978435667</v>
      </c>
      <c r="AL6679">
        <v>86.704689248560697</v>
      </c>
      <c r="AM6679">
        <v>91.273847316536603</v>
      </c>
      <c r="AN6679">
        <v>1.0000000060809</v>
      </c>
    </row>
    <row r="6680" spans="1:40" x14ac:dyDescent="0.25">
      <c r="A6680" t="str">
        <f>"20190312151703276"</f>
        <v>20190312151703276</v>
      </c>
      <c r="B6680" t="str">
        <f>"1552375023274065"</f>
        <v>1552375023274065</v>
      </c>
      <c r="C6680" t="s">
        <v>40</v>
      </c>
      <c r="D6680">
        <v>4.6229170000000002</v>
      </c>
      <c r="E6680">
        <v>0.4983998</v>
      </c>
      <c r="F6680" t="s">
        <v>43</v>
      </c>
      <c r="G6680">
        <v>-189.17330000000001</v>
      </c>
      <c r="H6680" s="1">
        <v>-9.4481360000000004E-7</v>
      </c>
      <c r="I6680">
        <v>81.493319999999997</v>
      </c>
      <c r="J6680">
        <v>-188.25569999999999</v>
      </c>
      <c r="K6680">
        <v>1.110025</v>
      </c>
      <c r="L6680">
        <v>47.815770000000001</v>
      </c>
      <c r="M6680">
        <v>6.4798039999999996E-4</v>
      </c>
      <c r="N6680">
        <v>0</v>
      </c>
      <c r="O6680">
        <v>0.99989050000000002</v>
      </c>
      <c r="P6680">
        <v>-2.0573549999999999E-2</v>
      </c>
      <c r="Q6680">
        <v>4.2820249999999997E-2</v>
      </c>
      <c r="R6680">
        <v>0.99887099999999995</v>
      </c>
      <c r="S6680">
        <v>-8.1024170000000006E-2</v>
      </c>
      <c r="T6680">
        <v>-9.8026160000000001E-2</v>
      </c>
      <c r="U6680">
        <v>3.00589</v>
      </c>
      <c r="V6680">
        <v>-2.1251309999999999E-2</v>
      </c>
      <c r="W6680">
        <v>5.7570389999999999E-2</v>
      </c>
      <c r="X6680">
        <v>0.99811519999999998</v>
      </c>
      <c r="Y6680">
        <v>-2.7578849999999999E-2</v>
      </c>
      <c r="Z6680">
        <v>-3.258192E-2</v>
      </c>
      <c r="AA6680">
        <v>0.99908850000000005</v>
      </c>
      <c r="AB6680">
        <v>37</v>
      </c>
      <c r="AC6680">
        <v>-0.91760000000002095</v>
      </c>
      <c r="AD6680">
        <v>-1.1100259448136001</v>
      </c>
      <c r="AE6680">
        <v>33.677549999999997</v>
      </c>
      <c r="AF6680">
        <v>-0.93840586751716304</v>
      </c>
      <c r="AG6680">
        <v>-1.1100259448136001</v>
      </c>
      <c r="AH6680">
        <v>33.640428802575101</v>
      </c>
      <c r="AI6680">
        <v>91.889156392956096</v>
      </c>
      <c r="AJ6680">
        <v>91.597861801224695</v>
      </c>
      <c r="AK6680">
        <v>33.671816303720199</v>
      </c>
      <c r="AL6680">
        <v>86.699634687621</v>
      </c>
      <c r="AM6680">
        <v>91.219725369283495</v>
      </c>
      <c r="AN6680">
        <v>0.99999996022625304</v>
      </c>
    </row>
    <row r="6681" spans="1:40" x14ac:dyDescent="0.25">
      <c r="A6681" t="str">
        <f>"20190312151703299"</f>
        <v>20190312151703299</v>
      </c>
      <c r="B6681" t="str">
        <f>"1552375023294561"</f>
        <v>1552375023294561</v>
      </c>
      <c r="C6681" t="s">
        <v>40</v>
      </c>
      <c r="D6681">
        <v>4.7206900000000003</v>
      </c>
      <c r="E6681">
        <v>0.49857400000000002</v>
      </c>
      <c r="F6681" t="s">
        <v>43</v>
      </c>
      <c r="G6681">
        <v>-189.1208</v>
      </c>
      <c r="H6681" s="1">
        <v>-9.8095899999999994E-7</v>
      </c>
      <c r="I6681">
        <v>81.555869999999999</v>
      </c>
      <c r="J6681">
        <v>-188.25569999999999</v>
      </c>
      <c r="K6681">
        <v>1.1100270000000001</v>
      </c>
      <c r="L6681">
        <v>48.177579999999999</v>
      </c>
      <c r="M6681">
        <v>4.0909749999999998E-4</v>
      </c>
      <c r="N6681">
        <v>0</v>
      </c>
      <c r="O6681">
        <v>0.99989059999999996</v>
      </c>
      <c r="P6681">
        <v>-1.97904E-2</v>
      </c>
      <c r="Q6681">
        <v>4.2699510000000003E-2</v>
      </c>
      <c r="R6681">
        <v>0.99889190000000005</v>
      </c>
      <c r="S6681">
        <v>-7.7072139999999997E-2</v>
      </c>
      <c r="T6681">
        <v>-9.8896739999999997E-2</v>
      </c>
      <c r="U6681">
        <v>3.0060419999999999</v>
      </c>
      <c r="V6681">
        <v>-2.02296E-2</v>
      </c>
      <c r="W6681">
        <v>5.7450899999999999E-2</v>
      </c>
      <c r="X6681">
        <v>0.99814340000000001</v>
      </c>
      <c r="Y6681">
        <v>-2.602581E-2</v>
      </c>
      <c r="Z6681">
        <v>-3.287056E-2</v>
      </c>
      <c r="AA6681">
        <v>0.99912069999999997</v>
      </c>
      <c r="AB6681">
        <v>37</v>
      </c>
      <c r="AC6681">
        <v>-0.86510000000001197</v>
      </c>
      <c r="AD6681">
        <v>-1.1100279809589999</v>
      </c>
      <c r="AE6681">
        <v>33.37829</v>
      </c>
      <c r="AF6681">
        <v>-0.87778625007552702</v>
      </c>
      <c r="AG6681">
        <v>-1.1100279809589999</v>
      </c>
      <c r="AH6681">
        <v>33.341084082680403</v>
      </c>
      <c r="AI6681">
        <v>91.906189653901507</v>
      </c>
      <c r="AJ6681">
        <v>91.508104298355903</v>
      </c>
      <c r="AK6681">
        <v>33.371103647133097</v>
      </c>
      <c r="AL6681">
        <v>86.706492589527002</v>
      </c>
      <c r="AM6681">
        <v>91.161067678423095</v>
      </c>
      <c r="AN6681">
        <v>1.0000000447952599</v>
      </c>
    </row>
    <row r="6682" spans="1:40" x14ac:dyDescent="0.25">
      <c r="A6682" t="str">
        <f>"20190312151703321"</f>
        <v>20190312151703321</v>
      </c>
      <c r="B6682" t="str">
        <f>"1552375023314081"</f>
        <v>1552375023314081</v>
      </c>
      <c r="C6682" t="s">
        <v>40</v>
      </c>
      <c r="D6682">
        <v>4.7552079999999997</v>
      </c>
      <c r="E6682">
        <v>0.4985888</v>
      </c>
      <c r="F6682" t="s">
        <v>43</v>
      </c>
      <c r="G6682">
        <v>-189.08349999999999</v>
      </c>
      <c r="H6682" s="1">
        <v>-1.2182769999999901E-6</v>
      </c>
      <c r="I6682">
        <v>82.093630000000005</v>
      </c>
      <c r="J6682">
        <v>-188.25579999999999</v>
      </c>
      <c r="K6682">
        <v>1.1100289999999999</v>
      </c>
      <c r="L6682">
        <v>48.554870000000001</v>
      </c>
      <c r="M6682">
        <v>1.598588E-4</v>
      </c>
      <c r="N6682">
        <v>0</v>
      </c>
      <c r="O6682">
        <v>0.99989070000000002</v>
      </c>
      <c r="P6682">
        <v>-1.9435689999999999E-2</v>
      </c>
      <c r="Q6682">
        <v>4.2483800000000002E-2</v>
      </c>
      <c r="R6682">
        <v>0.99890809999999997</v>
      </c>
      <c r="S6682">
        <v>-7.3364260000000001E-2</v>
      </c>
      <c r="T6682">
        <v>-9.8384860000000005E-2</v>
      </c>
      <c r="U6682">
        <v>3.0060730000000002</v>
      </c>
      <c r="V6682">
        <v>-1.962585E-2</v>
      </c>
      <c r="W6682">
        <v>5.7235719999999997E-2</v>
      </c>
      <c r="X6682">
        <v>0.99816780000000005</v>
      </c>
      <c r="Y6682">
        <v>-2.4544860000000002E-2</v>
      </c>
      <c r="Z6682">
        <v>-3.2701389999999997E-2</v>
      </c>
      <c r="AA6682">
        <v>0.99916369999999999</v>
      </c>
      <c r="AB6682">
        <v>37</v>
      </c>
      <c r="AC6682">
        <v>-0.827699999999992</v>
      </c>
      <c r="AD6682">
        <v>-1.1100302182770001</v>
      </c>
      <c r="AE6682">
        <v>33.538759999999897</v>
      </c>
      <c r="AF6682">
        <v>-0.83215105191737304</v>
      </c>
      <c r="AG6682">
        <v>-1.1100302182770001</v>
      </c>
      <c r="AH6682">
        <v>33.501951299800702</v>
      </c>
      <c r="AI6682">
        <v>91.897119322672793</v>
      </c>
      <c r="AJ6682">
        <v>91.422870594630794</v>
      </c>
      <c r="AK6682">
        <v>33.530663330046401</v>
      </c>
      <c r="AL6682">
        <v>86.718841764337796</v>
      </c>
      <c r="AM6682">
        <v>91.126397289299604</v>
      </c>
      <c r="AN6682">
        <v>1.0000000292944899</v>
      </c>
    </row>
    <row r="6683" spans="1:40" x14ac:dyDescent="0.25">
      <c r="A6683" t="str">
        <f>"20190312151703343"</f>
        <v>20190312151703343</v>
      </c>
      <c r="B6683" t="str">
        <f>"1552375023334577"</f>
        <v>1552375023334577</v>
      </c>
      <c r="C6683" t="s">
        <v>40</v>
      </c>
      <c r="D6683">
        <v>4.5888960000000001</v>
      </c>
      <c r="E6683">
        <v>0.49869639999999998</v>
      </c>
      <c r="F6683" t="s">
        <v>43</v>
      </c>
      <c r="G6683">
        <v>-189.06790000000001</v>
      </c>
      <c r="H6683" s="1">
        <v>-1.325321E-6</v>
      </c>
      <c r="I6683">
        <v>82.336730000000003</v>
      </c>
      <c r="J6683">
        <v>-188.256</v>
      </c>
      <c r="K6683">
        <v>1.1100289999999999</v>
      </c>
      <c r="L6683">
        <v>48.891779999999997</v>
      </c>
      <c r="M6683" s="1">
        <v>-6.2809079999999993E-5</v>
      </c>
      <c r="N6683">
        <v>0</v>
      </c>
      <c r="O6683">
        <v>0.99989070000000002</v>
      </c>
      <c r="P6683">
        <v>-1.9050460000000002E-2</v>
      </c>
      <c r="Q6683">
        <v>4.2828310000000001E-2</v>
      </c>
      <c r="R6683">
        <v>0.99890080000000003</v>
      </c>
      <c r="S6683">
        <v>-7.2265629999999997E-2</v>
      </c>
      <c r="T6683">
        <v>-9.8775859999999993E-2</v>
      </c>
      <c r="U6683">
        <v>3.0060730000000002</v>
      </c>
      <c r="V6683">
        <v>-1.901862E-2</v>
      </c>
      <c r="W6683">
        <v>5.7579900000000003E-2</v>
      </c>
      <c r="X6683">
        <v>0.99815969999999998</v>
      </c>
      <c r="Y6683">
        <v>-2.3957180000000002E-2</v>
      </c>
      <c r="Z6683">
        <v>-3.2831590000000001E-2</v>
      </c>
      <c r="AA6683">
        <v>0.99917370000000005</v>
      </c>
      <c r="AB6683">
        <v>37</v>
      </c>
      <c r="AC6683">
        <v>-0.81190000000003604</v>
      </c>
      <c r="AD6683">
        <v>-1.110030325321</v>
      </c>
      <c r="AE6683">
        <v>33.444949999999999</v>
      </c>
      <c r="AF6683">
        <v>-0.80890858482087902</v>
      </c>
      <c r="AG6683">
        <v>-1.110030325321</v>
      </c>
      <c r="AH6683">
        <v>33.408221412202799</v>
      </c>
      <c r="AI6683">
        <v>91.902467316645101</v>
      </c>
      <c r="AJ6683">
        <v>91.387023671657303</v>
      </c>
      <c r="AK6683">
        <v>33.436443566092599</v>
      </c>
      <c r="AL6683">
        <v>86.699088930832403</v>
      </c>
      <c r="AM6683">
        <v>91.091563623751</v>
      </c>
      <c r="AN6683">
        <v>0.99999996974740102</v>
      </c>
    </row>
    <row r="6684" spans="1:40" x14ac:dyDescent="0.25">
      <c r="A6684" t="str">
        <f>"20190312151703366"</f>
        <v>20190312151703366</v>
      </c>
      <c r="B6684" t="str">
        <f>"1552375023354097"</f>
        <v>1552375023354097</v>
      </c>
      <c r="C6684" t="s">
        <v>40</v>
      </c>
      <c r="D6684">
        <v>4.7719630000000004</v>
      </c>
      <c r="E6684">
        <v>0.49876910000000002</v>
      </c>
      <c r="F6684" t="s">
        <v>43</v>
      </c>
      <c r="G6684">
        <v>-189.05549999999999</v>
      </c>
      <c r="H6684" s="1">
        <v>-1.6382499999999999E-6</v>
      </c>
      <c r="I6684">
        <v>83.061049999999994</v>
      </c>
      <c r="J6684">
        <v>-188.25630000000001</v>
      </c>
      <c r="K6684">
        <v>1.110033</v>
      </c>
      <c r="L6684">
        <v>49.276000000000003</v>
      </c>
      <c r="M6684">
        <v>-3.1680629999999998E-4</v>
      </c>
      <c r="N6684">
        <v>0</v>
      </c>
      <c r="O6684">
        <v>0.99989070000000002</v>
      </c>
      <c r="P6684">
        <v>-1.893065E-2</v>
      </c>
      <c r="Q6684">
        <v>4.2574319999999999E-2</v>
      </c>
      <c r="R6684">
        <v>0.99891390000000002</v>
      </c>
      <c r="S6684">
        <v>-7.0343020000000006E-2</v>
      </c>
      <c r="T6684">
        <v>-9.7657919999999995E-2</v>
      </c>
      <c r="U6684">
        <v>3.0061339999999999</v>
      </c>
      <c r="V6684">
        <v>-1.8644790000000001E-2</v>
      </c>
      <c r="W6684">
        <v>5.7325220000000003E-2</v>
      </c>
      <c r="X6684">
        <v>0.99818150000000005</v>
      </c>
      <c r="Y6684">
        <v>-2.3064339999999999E-2</v>
      </c>
      <c r="Z6684">
        <v>-3.2460330000000003E-2</v>
      </c>
      <c r="AA6684">
        <v>0.99920679999999995</v>
      </c>
      <c r="AB6684">
        <v>36</v>
      </c>
      <c r="AC6684">
        <v>-0.79919999999998403</v>
      </c>
      <c r="AD6684">
        <v>-1.1100346382499999</v>
      </c>
      <c r="AE6684">
        <v>33.785049999999899</v>
      </c>
      <c r="AF6684">
        <v>-0.78764568323371098</v>
      </c>
      <c r="AG6684">
        <v>-1.1100346382499999</v>
      </c>
      <c r="AH6684">
        <v>33.748889864401697</v>
      </c>
      <c r="AI6684">
        <v>91.883323723814001</v>
      </c>
      <c r="AJ6684">
        <v>91.336950123479795</v>
      </c>
      <c r="AK6684">
        <v>33.776324988073299</v>
      </c>
      <c r="AL6684">
        <v>86.713705453302595</v>
      </c>
      <c r="AM6684">
        <v>91.070089522596504</v>
      </c>
      <c r="AN6684">
        <v>1.0000000579922099</v>
      </c>
    </row>
    <row r="6685" spans="1:40" x14ac:dyDescent="0.25">
      <c r="A6685" t="str">
        <f>"20190312151703389"</f>
        <v>20190312151703389</v>
      </c>
      <c r="B6685" t="str">
        <f>"1552375023384353"</f>
        <v>1552375023384353</v>
      </c>
      <c r="C6685" t="s">
        <v>40</v>
      </c>
      <c r="D6685">
        <v>4.5659559999999999</v>
      </c>
      <c r="E6685">
        <v>0.49877310000000002</v>
      </c>
      <c r="F6685" t="s">
        <v>43</v>
      </c>
      <c r="G6685">
        <v>-189.03980000000001</v>
      </c>
      <c r="H6685" s="1">
        <v>-1.6847299999999999E-6</v>
      </c>
      <c r="I6685">
        <v>83.162869999999998</v>
      </c>
      <c r="J6685">
        <v>-188.25659999999999</v>
      </c>
      <c r="K6685">
        <v>1.1100319999999999</v>
      </c>
      <c r="L6685">
        <v>49.646639999999998</v>
      </c>
      <c r="M6685">
        <v>-5.6187890000000001E-4</v>
      </c>
      <c r="N6685">
        <v>0</v>
      </c>
      <c r="O6685">
        <v>0.99989059999999996</v>
      </c>
      <c r="P6685">
        <v>-1.855002E-2</v>
      </c>
      <c r="Q6685">
        <v>4.2549249999999997E-2</v>
      </c>
      <c r="R6685">
        <v>0.99892219999999998</v>
      </c>
      <c r="S6685">
        <v>-6.9503780000000001E-2</v>
      </c>
      <c r="T6685">
        <v>-9.8472119999999996E-2</v>
      </c>
      <c r="U6685">
        <v>3.0061339999999999</v>
      </c>
      <c r="V6685">
        <v>-1.801939E-2</v>
      </c>
      <c r="W6685">
        <v>5.729857E-2</v>
      </c>
      <c r="X6685">
        <v>0.99819449999999998</v>
      </c>
      <c r="Y6685">
        <v>-2.2540299999999999E-2</v>
      </c>
      <c r="Z6685">
        <v>-3.2730969999999998E-2</v>
      </c>
      <c r="AA6685">
        <v>0.99921000000000004</v>
      </c>
      <c r="AB6685">
        <v>36</v>
      </c>
      <c r="AC6685">
        <v>-0.78320000000002199</v>
      </c>
      <c r="AD6685">
        <v>-1.1100336847300001</v>
      </c>
      <c r="AE6685">
        <v>33.516229999999901</v>
      </c>
      <c r="AF6685">
        <v>-0.76352870857848798</v>
      </c>
      <c r="AG6685">
        <v>-1.1100336847300001</v>
      </c>
      <c r="AH6685">
        <v>33.479961119209101</v>
      </c>
      <c r="AI6685">
        <v>91.898462231118799</v>
      </c>
      <c r="AJ6685">
        <v>91.306434932426697</v>
      </c>
      <c r="AK6685">
        <v>33.507058173074697</v>
      </c>
      <c r="AL6685">
        <v>86.715234847674793</v>
      </c>
      <c r="AM6685">
        <v>91.034190100612804</v>
      </c>
      <c r="AN6685">
        <v>1.0000000421851301</v>
      </c>
    </row>
    <row r="6686" spans="1:40" x14ac:dyDescent="0.25">
      <c r="A6686" t="str">
        <f>"20190312151703413"</f>
        <v>20190312151703413</v>
      </c>
      <c r="B6686" t="str">
        <f>"1552375023404850"</f>
        <v>1552375023404850</v>
      </c>
      <c r="C6686" t="s">
        <v>40</v>
      </c>
      <c r="D6686">
        <v>4.792389</v>
      </c>
      <c r="E6686">
        <v>0.49876910000000002</v>
      </c>
      <c r="F6686" t="s">
        <v>43</v>
      </c>
      <c r="G6686">
        <v>-189.0384</v>
      </c>
      <c r="H6686" s="1">
        <v>-2.0623370000000001E-6</v>
      </c>
      <c r="I6686">
        <v>84.042540000000002</v>
      </c>
      <c r="J6686">
        <v>-188.25710000000001</v>
      </c>
      <c r="K6686">
        <v>1.110034</v>
      </c>
      <c r="L6686">
        <v>50.032170000000001</v>
      </c>
      <c r="M6686">
        <v>-8.1663880000000001E-4</v>
      </c>
      <c r="N6686">
        <v>0</v>
      </c>
      <c r="O6686">
        <v>0.99989050000000002</v>
      </c>
      <c r="P6686">
        <v>-1.8560670000000001E-2</v>
      </c>
      <c r="Q6686">
        <v>4.2227260000000003E-2</v>
      </c>
      <c r="R6686">
        <v>0.99893560000000003</v>
      </c>
      <c r="S6686">
        <v>-6.8328860000000005E-2</v>
      </c>
      <c r="T6686">
        <v>-9.7013829999999995E-2</v>
      </c>
      <c r="U6686">
        <v>3.0061040000000001</v>
      </c>
      <c r="V6686">
        <v>-1.7775539999999999E-2</v>
      </c>
      <c r="W6686">
        <v>5.6974839999999999E-2</v>
      </c>
      <c r="X6686">
        <v>0.99821729999999997</v>
      </c>
      <c r="Y6686">
        <v>-2.1895830000000002E-2</v>
      </c>
      <c r="Z6686">
        <v>-3.2247449999999997E-2</v>
      </c>
      <c r="AA6686">
        <v>0.99924000000000002</v>
      </c>
      <c r="AB6686">
        <v>36</v>
      </c>
      <c r="AC6686">
        <v>-0.781299999999987</v>
      </c>
      <c r="AD6686">
        <v>-1.110036062337</v>
      </c>
      <c r="AE6686">
        <v>34.010370000000002</v>
      </c>
      <c r="AF6686">
        <v>-0.75272110625218402</v>
      </c>
      <c r="AG6686">
        <v>-1.110036062337</v>
      </c>
      <c r="AH6686">
        <v>33.974824180941297</v>
      </c>
      <c r="AI6686">
        <v>91.870861140882894</v>
      </c>
      <c r="AJ6686">
        <v>91.269195327943805</v>
      </c>
      <c r="AK6686">
        <v>34.001285964642001</v>
      </c>
      <c r="AL6686">
        <v>86.733813226791995</v>
      </c>
      <c r="AM6686">
        <v>91.020174454663206</v>
      </c>
      <c r="AN6686">
        <v>0.99999994011730098</v>
      </c>
    </row>
    <row r="6687" spans="1:40" x14ac:dyDescent="0.25">
      <c r="A6687" t="str">
        <f>"20190312151703432"</f>
        <v>20190312151703432</v>
      </c>
      <c r="B6687" t="str">
        <f>"1552375023424370"</f>
        <v>1552375023424370</v>
      </c>
      <c r="C6687" t="s">
        <v>40</v>
      </c>
      <c r="D6687">
        <v>4.9102180000000004</v>
      </c>
      <c r="E6687">
        <v>0.49872670000000002</v>
      </c>
      <c r="F6687" t="s">
        <v>43</v>
      </c>
      <c r="G6687">
        <v>-189.04079999999999</v>
      </c>
      <c r="H6687" s="1">
        <v>-2.268125E-6</v>
      </c>
      <c r="I6687">
        <v>84.52319</v>
      </c>
      <c r="J6687">
        <v>-188.2576</v>
      </c>
      <c r="K6687">
        <v>1.110034</v>
      </c>
      <c r="L6687">
        <v>50.353999999999999</v>
      </c>
      <c r="M6687">
        <v>-1.02958E-3</v>
      </c>
      <c r="N6687">
        <v>0</v>
      </c>
      <c r="O6687">
        <v>0.99989030000000001</v>
      </c>
      <c r="P6687">
        <v>-1.8653019999999999E-2</v>
      </c>
      <c r="Q6687">
        <v>4.2200759999999997E-2</v>
      </c>
      <c r="R6687">
        <v>0.99893500000000002</v>
      </c>
      <c r="S6687">
        <v>-6.8298339999999999E-2</v>
      </c>
      <c r="T6687">
        <v>-9.6743460000000003E-2</v>
      </c>
      <c r="U6687">
        <v>3.0060120000000001</v>
      </c>
      <c r="V6687">
        <v>-1.7654670000000001E-2</v>
      </c>
      <c r="W6687">
        <v>5.6946280000000002E-2</v>
      </c>
      <c r="X6687">
        <v>0.99822120000000003</v>
      </c>
      <c r="Y6687">
        <v>-2.167353E-2</v>
      </c>
      <c r="Z6687">
        <v>-3.2158720000000002E-2</v>
      </c>
      <c r="AA6687">
        <v>0.99924769999999896</v>
      </c>
      <c r="AB6687">
        <v>36</v>
      </c>
      <c r="AC6687">
        <v>-0.78319999999999301</v>
      </c>
      <c r="AD6687">
        <v>-1.110036268125</v>
      </c>
      <c r="AE6687">
        <v>34.16919</v>
      </c>
      <c r="AF6687">
        <v>-0.747227641207313</v>
      </c>
      <c r="AG6687">
        <v>-1.110036268125</v>
      </c>
      <c r="AH6687">
        <v>34.133973267275302</v>
      </c>
      <c r="AI6687">
        <v>91.862155605910701</v>
      </c>
      <c r="AJ6687">
        <v>91.254063009416598</v>
      </c>
      <c r="AK6687">
        <v>34.1601911686016</v>
      </c>
      <c r="AL6687">
        <v>86.735452664062706</v>
      </c>
      <c r="AM6687">
        <v>91.013234972421998</v>
      </c>
      <c r="AN6687">
        <v>1.0000000651540399</v>
      </c>
    </row>
    <row r="6688" spans="1:40" x14ac:dyDescent="0.25">
      <c r="A6688" t="str">
        <f>"20190312151703457"</f>
        <v>20190312151703457</v>
      </c>
      <c r="B6688" t="str">
        <f>"1552375023454625"</f>
        <v>1552375023454625</v>
      </c>
      <c r="C6688" t="s">
        <v>40</v>
      </c>
      <c r="D6688">
        <v>4.8140199999999904</v>
      </c>
      <c r="E6688">
        <v>0.49872460000000002</v>
      </c>
      <c r="F6688" t="s">
        <v>43</v>
      </c>
      <c r="G6688">
        <v>-189.0539</v>
      </c>
      <c r="H6688" s="1">
        <v>-2.507388E-6</v>
      </c>
      <c r="I6688">
        <v>85.086370000000002</v>
      </c>
      <c r="J6688">
        <v>-188.25819999999999</v>
      </c>
      <c r="K6688">
        <v>1.1100380000000001</v>
      </c>
      <c r="L6688">
        <v>50.741669999999999</v>
      </c>
      <c r="M6688">
        <v>-1.2862780000000001E-3</v>
      </c>
      <c r="N6688">
        <v>0</v>
      </c>
      <c r="O6688">
        <v>0.99988999999999995</v>
      </c>
      <c r="P6688">
        <v>-1.8850390000000002E-2</v>
      </c>
      <c r="Q6688">
        <v>4.2510890000000003E-2</v>
      </c>
      <c r="R6688">
        <v>0.99891819999999998</v>
      </c>
      <c r="S6688">
        <v>-6.8923949999999998E-2</v>
      </c>
      <c r="T6688">
        <v>-9.6070290000000003E-2</v>
      </c>
      <c r="U6688">
        <v>3.0059809999999998</v>
      </c>
      <c r="V6688">
        <v>-1.7596290000000001E-2</v>
      </c>
      <c r="W6688">
        <v>5.7253329999999998E-2</v>
      </c>
      <c r="X6688">
        <v>0.9982046</v>
      </c>
      <c r="Y6688">
        <v>-2.1625120000000001E-2</v>
      </c>
      <c r="Z6688">
        <v>-3.1935430000000001E-2</v>
      </c>
      <c r="AA6688">
        <v>0.99925600000000003</v>
      </c>
      <c r="AB6688">
        <v>36</v>
      </c>
      <c r="AC6688">
        <v>-0.79570000000000995</v>
      </c>
      <c r="AD6688">
        <v>-1.11004050738799</v>
      </c>
      <c r="AE6688">
        <v>34.344700000000003</v>
      </c>
      <c r="AF6688">
        <v>-0.75073387549600201</v>
      </c>
      <c r="AG6688">
        <v>-1.11004050738799</v>
      </c>
      <c r="AH6688">
        <v>34.309873643666798</v>
      </c>
      <c r="AI6688">
        <v>91.852622825288094</v>
      </c>
      <c r="AJ6688">
        <v>91.253488145350005</v>
      </c>
      <c r="AK6688">
        <v>34.3360338525614</v>
      </c>
      <c r="AL6688">
        <v>86.717831026726302</v>
      </c>
      <c r="AM6688">
        <v>91.009901919388795</v>
      </c>
      <c r="AN6688">
        <v>0.99999999833950604</v>
      </c>
    </row>
    <row r="6689" spans="1:40" x14ac:dyDescent="0.25">
      <c r="A6689" t="str">
        <f>"20190312151703488"</f>
        <v>20190312151703488</v>
      </c>
      <c r="B6689" t="str">
        <f>"1552375023484882"</f>
        <v>1552375023484882</v>
      </c>
      <c r="C6689" t="s">
        <v>40</v>
      </c>
      <c r="D6689">
        <v>5.0008910000000002</v>
      </c>
      <c r="E6689">
        <v>0.4986698</v>
      </c>
      <c r="F6689" t="s">
        <v>43</v>
      </c>
      <c r="G6689">
        <v>-189.07929999999999</v>
      </c>
      <c r="H6689" s="1">
        <v>-3.0094520000000001E-6</v>
      </c>
      <c r="I6689">
        <v>86.267169999999993</v>
      </c>
      <c r="J6689">
        <v>-188.25919999999999</v>
      </c>
      <c r="K6689">
        <v>1.1100380000000001</v>
      </c>
      <c r="L6689">
        <v>51.260829999999999</v>
      </c>
      <c r="M6689">
        <v>-1.6303349999999999E-3</v>
      </c>
      <c r="N6689">
        <v>0</v>
      </c>
      <c r="O6689">
        <v>0.99988960000000005</v>
      </c>
      <c r="P6689">
        <v>-1.8539239999999998E-2</v>
      </c>
      <c r="Q6689">
        <v>4.2972139999999999E-2</v>
      </c>
      <c r="R6689">
        <v>0.99890420000000002</v>
      </c>
      <c r="S6689">
        <v>-6.9473270000000004E-2</v>
      </c>
      <c r="T6689">
        <v>-9.3924880000000002E-2</v>
      </c>
      <c r="U6689">
        <v>3.005951</v>
      </c>
      <c r="V6689">
        <v>-1.6941359999999999E-2</v>
      </c>
      <c r="W6689">
        <v>5.7711289999999998E-2</v>
      </c>
      <c r="X6689">
        <v>0.99818960000000001</v>
      </c>
      <c r="Y6689">
        <v>-2.146437E-2</v>
      </c>
      <c r="Z6689">
        <v>-3.1223239999999999E-2</v>
      </c>
      <c r="AA6689">
        <v>0.99928189999999995</v>
      </c>
      <c r="AB6689">
        <v>36</v>
      </c>
      <c r="AC6689">
        <v>-0.82009999999999605</v>
      </c>
      <c r="AD6689">
        <v>-1.1100410094519999</v>
      </c>
      <c r="AE6689">
        <v>35.006339999999902</v>
      </c>
      <c r="AF6689">
        <v>-0.76225459186442901</v>
      </c>
      <c r="AG6689">
        <v>-1.1100410094519999</v>
      </c>
      <c r="AH6689">
        <v>34.972484898464103</v>
      </c>
      <c r="AI6689">
        <v>91.81754980609</v>
      </c>
      <c r="AJ6689">
        <v>91.248611793764795</v>
      </c>
      <c r="AK6689">
        <v>34.9983988645021</v>
      </c>
      <c r="AL6689">
        <v>86.691548531938196</v>
      </c>
      <c r="AM6689">
        <v>90.972335558711094</v>
      </c>
      <c r="AN6689">
        <v>1.0000000401101301</v>
      </c>
    </row>
    <row r="6690" spans="1:40" x14ac:dyDescent="0.25">
      <c r="A6690" t="str">
        <f>"20190312151703511"</f>
        <v>20190312151703511</v>
      </c>
      <c r="B6690" t="str">
        <f>"1552375023504401"</f>
        <v>1552375023504401</v>
      </c>
      <c r="C6690" t="s">
        <v>40</v>
      </c>
      <c r="D6690">
        <v>4.6295409999999997</v>
      </c>
      <c r="E6690">
        <v>0.4985465</v>
      </c>
      <c r="F6690" t="s">
        <v>43</v>
      </c>
      <c r="G6690">
        <v>-189.09540000000001</v>
      </c>
      <c r="H6690" s="1">
        <v>-3.5850820000000001E-6</v>
      </c>
      <c r="I6690">
        <v>87.615650000000002</v>
      </c>
      <c r="J6690">
        <v>-188.26009999999999</v>
      </c>
      <c r="K6690">
        <v>1.1100410000000001</v>
      </c>
      <c r="L6690">
        <v>51.624299999999998</v>
      </c>
      <c r="M6690">
        <v>-1.8713670000000001E-3</v>
      </c>
      <c r="N6690">
        <v>0</v>
      </c>
      <c r="O6690">
        <v>0.99988929999999998</v>
      </c>
      <c r="P6690">
        <v>-1.8403510000000001E-2</v>
      </c>
      <c r="Q6690">
        <v>4.2615140000000003E-2</v>
      </c>
      <c r="R6690">
        <v>0.99892199999999998</v>
      </c>
      <c r="S6690">
        <v>-6.9137569999999995E-2</v>
      </c>
      <c r="T6690">
        <v>-9.1782329999999995E-2</v>
      </c>
      <c r="U6690">
        <v>3.005951</v>
      </c>
      <c r="V6690">
        <v>-1.6564740000000001E-2</v>
      </c>
      <c r="W6690">
        <v>5.7351880000000001E-2</v>
      </c>
      <c r="X6690">
        <v>0.99821660000000001</v>
      </c>
      <c r="Y6690">
        <v>-2.1112329999999999E-2</v>
      </c>
      <c r="Z6690">
        <v>-3.051181E-2</v>
      </c>
      <c r="AA6690">
        <v>0.99931139999999996</v>
      </c>
      <c r="AB6690">
        <v>36</v>
      </c>
      <c r="AC6690">
        <v>-0.83530000000001703</v>
      </c>
      <c r="AD6690">
        <v>-1.110044585082</v>
      </c>
      <c r="AE6690">
        <v>35.991349999999997</v>
      </c>
      <c r="AF6690">
        <v>-0.76720877605239102</v>
      </c>
      <c r="AG6690">
        <v>-1.110044585082</v>
      </c>
      <c r="AH6690">
        <v>35.958663818448102</v>
      </c>
      <c r="AI6690">
        <v>91.767758146956098</v>
      </c>
      <c r="AJ6690">
        <v>91.222268902314497</v>
      </c>
      <c r="AK6690">
        <v>35.983972986526801</v>
      </c>
      <c r="AL6690">
        <v>86.712175255076204</v>
      </c>
      <c r="AM6690">
        <v>90.950698062493203</v>
      </c>
      <c r="AN6690">
        <v>1.0000000046331801</v>
      </c>
    </row>
    <row r="6691" spans="1:40" x14ac:dyDescent="0.25">
      <c r="A6691" t="str">
        <f>"20190312151703533"</f>
        <v>20190312151703533</v>
      </c>
      <c r="B6691" t="str">
        <f>"1552375023524897"</f>
        <v>1552375023524897</v>
      </c>
      <c r="C6691" t="s">
        <v>40</v>
      </c>
      <c r="D6691">
        <v>4.7744049999999998</v>
      </c>
      <c r="E6691">
        <v>0.49849559999999998</v>
      </c>
      <c r="F6691" t="s">
        <v>43</v>
      </c>
      <c r="G6691">
        <v>-189.0735</v>
      </c>
      <c r="H6691" s="1">
        <v>-3.2070220000000001E-6</v>
      </c>
      <c r="I6691">
        <v>86.725300000000004</v>
      </c>
      <c r="J6691">
        <v>-188.261</v>
      </c>
      <c r="K6691">
        <v>1.1100399999999999</v>
      </c>
      <c r="L6691">
        <v>51.971649999999997</v>
      </c>
      <c r="M6691">
        <v>-2.1017399999999999E-3</v>
      </c>
      <c r="N6691">
        <v>0</v>
      </c>
      <c r="O6691">
        <v>0.99988880000000002</v>
      </c>
      <c r="P6691">
        <v>-1.8143380000000001E-2</v>
      </c>
      <c r="Q6691">
        <v>4.2682119999999997E-2</v>
      </c>
      <c r="R6691">
        <v>0.99892400000000003</v>
      </c>
      <c r="S6691">
        <v>-6.9656369999999995E-2</v>
      </c>
      <c r="T6691">
        <v>-9.5062969999999997E-2</v>
      </c>
      <c r="U6691">
        <v>3.0060120000000001</v>
      </c>
      <c r="V6691">
        <v>-1.6074410000000001E-2</v>
      </c>
      <c r="W6691">
        <v>5.7416139999999997E-2</v>
      </c>
      <c r="X6691">
        <v>0.99822089999999997</v>
      </c>
      <c r="Y6691">
        <v>-2.105311E-2</v>
      </c>
      <c r="Z6691">
        <v>-3.1600639999999999E-2</v>
      </c>
      <c r="AA6691">
        <v>0.99927880000000002</v>
      </c>
      <c r="AB6691">
        <v>36</v>
      </c>
      <c r="AC6691">
        <v>-0.8125</v>
      </c>
      <c r="AD6691">
        <v>-1.1100432070220001</v>
      </c>
      <c r="AE6691">
        <v>34.75365</v>
      </c>
      <c r="AF6691">
        <v>-0.73869391404788098</v>
      </c>
      <c r="AG6691">
        <v>-1.1100432070220001</v>
      </c>
      <c r="AH6691">
        <v>34.719879724107201</v>
      </c>
      <c r="AI6691">
        <v>91.830788560718005</v>
      </c>
      <c r="AJ6691">
        <v>91.218830812661295</v>
      </c>
      <c r="AK6691">
        <v>34.745473268852997</v>
      </c>
      <c r="AL6691">
        <v>86.708487278345004</v>
      </c>
      <c r="AM6691">
        <v>90.922557578380705</v>
      </c>
      <c r="AN6691">
        <v>0.99999998249307798</v>
      </c>
    </row>
    <row r="6692" spans="1:40" x14ac:dyDescent="0.25">
      <c r="A6692" t="str">
        <f>"20190312151703555"</f>
        <v>20190312151703555</v>
      </c>
      <c r="B6692" t="str">
        <f>"1552375023544417"</f>
        <v>1552375023544417</v>
      </c>
      <c r="C6692" t="s">
        <v>40</v>
      </c>
      <c r="D6692">
        <v>4.6893089999999997</v>
      </c>
      <c r="E6692">
        <v>0.4984825</v>
      </c>
      <c r="F6692" t="s">
        <v>43</v>
      </c>
      <c r="G6692">
        <v>-189.07</v>
      </c>
      <c r="H6692" s="1">
        <v>-3.4520990000000001E-6</v>
      </c>
      <c r="I6692">
        <v>87.295150000000007</v>
      </c>
      <c r="J6692">
        <v>-188.262</v>
      </c>
      <c r="K6692">
        <v>1.1100410000000001</v>
      </c>
      <c r="L6692">
        <v>52.33417</v>
      </c>
      <c r="M6692">
        <v>-2.34227E-3</v>
      </c>
      <c r="N6692">
        <v>0</v>
      </c>
      <c r="O6692">
        <v>0.99988840000000001</v>
      </c>
      <c r="P6692">
        <v>-1.7302599999999901E-2</v>
      </c>
      <c r="Q6692">
        <v>4.2866040000000001E-2</v>
      </c>
      <c r="R6692">
        <v>0.99893100000000001</v>
      </c>
      <c r="S6692">
        <v>-6.8847660000000005E-2</v>
      </c>
      <c r="T6692">
        <v>-9.4464179999999995E-2</v>
      </c>
      <c r="U6692">
        <v>3.0060120000000001</v>
      </c>
      <c r="V6692">
        <v>-1.499327E-2</v>
      </c>
      <c r="W6692">
        <v>5.7597509999999998E-2</v>
      </c>
      <c r="X6692">
        <v>0.99822730000000004</v>
      </c>
      <c r="Y6692">
        <v>-2.0544050000000001E-2</v>
      </c>
      <c r="Z6692">
        <v>-3.1402020000000003E-2</v>
      </c>
      <c r="AA6692">
        <v>0.99929570000000001</v>
      </c>
      <c r="AB6692">
        <v>36</v>
      </c>
      <c r="AC6692">
        <v>-0.80799999999999195</v>
      </c>
      <c r="AD6692">
        <v>-1.110044452099</v>
      </c>
      <c r="AE6692">
        <v>34.960979999999999</v>
      </c>
      <c r="AF6692">
        <v>-0.72536994165823998</v>
      </c>
      <c r="AG6692">
        <v>-1.110044452099</v>
      </c>
      <c r="AH6692">
        <v>34.927584332065301</v>
      </c>
      <c r="AI6692">
        <v>91.819930167889794</v>
      </c>
      <c r="AJ6692">
        <v>91.189737667629899</v>
      </c>
      <c r="AK6692">
        <v>34.9527467806384</v>
      </c>
      <c r="AL6692">
        <v>86.698078397592596</v>
      </c>
      <c r="AM6692">
        <v>90.860511930481906</v>
      </c>
      <c r="AN6692">
        <v>1.0000000068843899</v>
      </c>
    </row>
    <row r="6693" spans="1:40" x14ac:dyDescent="0.25">
      <c r="A6693" t="str">
        <f>"20190312151703577"</f>
        <v>20190312151703577</v>
      </c>
      <c r="B6693" t="str">
        <f>"1552375023574674"</f>
        <v>1552375023574674</v>
      </c>
      <c r="C6693" t="s">
        <v>40</v>
      </c>
      <c r="D6693">
        <v>4.7171539999999998</v>
      </c>
      <c r="E6693">
        <v>0.54280810000000002</v>
      </c>
      <c r="F6693" t="s">
        <v>43</v>
      </c>
      <c r="G6693">
        <v>-189.04249999999999</v>
      </c>
      <c r="H6693" s="1">
        <v>-3.5998170000000001E-6</v>
      </c>
      <c r="I6693">
        <v>87.628140000000002</v>
      </c>
      <c r="J6693">
        <v>-188.26300000000001</v>
      </c>
      <c r="K6693">
        <v>1.1100460000000001</v>
      </c>
      <c r="L6693">
        <v>52.688450000000003</v>
      </c>
      <c r="M6693">
        <v>-2.5773979999999998E-3</v>
      </c>
      <c r="N6693">
        <v>0</v>
      </c>
      <c r="O6693">
        <v>0.99988779999999999</v>
      </c>
      <c r="P6693">
        <v>-1.6326319999999998E-2</v>
      </c>
      <c r="Q6693">
        <v>4.2526920000000003E-2</v>
      </c>
      <c r="R6693">
        <v>0.99896189999999996</v>
      </c>
      <c r="S6693">
        <v>-6.6482540000000007E-2</v>
      </c>
      <c r="T6693">
        <v>-9.4546199999999997E-2</v>
      </c>
      <c r="U6693">
        <v>3.0061040000000001</v>
      </c>
      <c r="V6693">
        <v>-1.3781659999999999E-2</v>
      </c>
      <c r="W6693">
        <v>5.7256189999999998E-2</v>
      </c>
      <c r="X6693">
        <v>0.99826440000000005</v>
      </c>
      <c r="Y6693">
        <v>-1.9522399999999999E-2</v>
      </c>
      <c r="Z6693">
        <v>-3.1428879999999999E-2</v>
      </c>
      <c r="AA6693">
        <v>0.99931530000000002</v>
      </c>
      <c r="AB6693">
        <v>36</v>
      </c>
      <c r="AC6693">
        <v>-0.77949999999998398</v>
      </c>
      <c r="AD6693">
        <v>-1.1100495998169999</v>
      </c>
      <c r="AE6693">
        <v>34.939689999999999</v>
      </c>
      <c r="AF6693">
        <v>-0.68873927631169196</v>
      </c>
      <c r="AG6693">
        <v>-1.1100495998169999</v>
      </c>
      <c r="AH6693">
        <v>34.906367612465999</v>
      </c>
      <c r="AI6693">
        <v>91.821082239042795</v>
      </c>
      <c r="AJ6693">
        <v>91.130359203508206</v>
      </c>
      <c r="AK6693">
        <v>34.930804053176303</v>
      </c>
      <c r="AL6693">
        <v>86.717666926173194</v>
      </c>
      <c r="AM6693">
        <v>90.790953570822097</v>
      </c>
      <c r="AN6693">
        <v>1.00000000887651</v>
      </c>
    </row>
    <row r="6694" spans="1:40" x14ac:dyDescent="0.25">
      <c r="A6694" t="str">
        <f>"20190312151703602"</f>
        <v>20190312151703602</v>
      </c>
      <c r="B6694" t="str">
        <f>"1552375023594193"</f>
        <v>1552375023594193</v>
      </c>
      <c r="C6694" t="s">
        <v>40</v>
      </c>
      <c r="D6694">
        <v>4.7319740000000001</v>
      </c>
      <c r="E6694">
        <v>0.54848019999999997</v>
      </c>
      <c r="F6694" t="s">
        <v>41</v>
      </c>
      <c r="G6694">
        <v>-188.16829999999999</v>
      </c>
      <c r="H6694">
        <v>1.050845</v>
      </c>
      <c r="I6694">
        <v>53.676200000000001</v>
      </c>
      <c r="J6694">
        <v>-188.26429999999999</v>
      </c>
      <c r="K6694">
        <v>1.110047</v>
      </c>
      <c r="L6694">
        <v>53.083620000000003</v>
      </c>
      <c r="M6694">
        <v>-2.839772E-3</v>
      </c>
      <c r="N6694">
        <v>0</v>
      </c>
      <c r="O6694">
        <v>0.99988719999999998</v>
      </c>
      <c r="P6694">
        <v>-1.5378799999999899E-2</v>
      </c>
      <c r="Q6694">
        <v>4.2716469999999999E-2</v>
      </c>
      <c r="R6694">
        <v>0.99896879999999999</v>
      </c>
      <c r="S6694">
        <v>0.28909299999999999</v>
      </c>
      <c r="T6694">
        <v>-0.18073629999999999</v>
      </c>
      <c r="U6694">
        <v>3.015533</v>
      </c>
      <c r="V6694">
        <v>-1.257197E-2</v>
      </c>
      <c r="W6694">
        <v>5.7442809999999997E-2</v>
      </c>
      <c r="X6694">
        <v>0.99826959999999998</v>
      </c>
      <c r="Y6694">
        <v>9.8087800000000003E-2</v>
      </c>
      <c r="Z6694">
        <v>-5.9547099999999999E-2</v>
      </c>
      <c r="AA6694">
        <v>0.99339469999999996</v>
      </c>
      <c r="AB6694">
        <v>36</v>
      </c>
      <c r="AC6694">
        <v>9.6000000000003596E-2</v>
      </c>
      <c r="AD6694">
        <v>-5.9201999999999901E-2</v>
      </c>
      <c r="AE6694">
        <v>0.59258000000000499</v>
      </c>
      <c r="AF6694">
        <v>9.6741692549320094E-2</v>
      </c>
      <c r="AG6694">
        <v>-5.9201999999999901E-2</v>
      </c>
      <c r="AH6694">
        <v>0.58659977945643105</v>
      </c>
      <c r="AI6694">
        <v>95.686703627065597</v>
      </c>
      <c r="AJ6694">
        <v>80.635109763076898</v>
      </c>
      <c r="AK6694">
        <v>0.59746391785583297</v>
      </c>
      <c r="AL6694">
        <v>86.706956608027198</v>
      </c>
      <c r="AM6694">
        <v>90.721531280872497</v>
      </c>
      <c r="AN6694">
        <v>0.99999996256726698</v>
      </c>
    </row>
    <row r="6695" spans="1:40" x14ac:dyDescent="0.25">
      <c r="A6695" t="str">
        <f>"20190312151703624"</f>
        <v>20190312151703624</v>
      </c>
      <c r="B6695" t="str">
        <f>"1552375023614690"</f>
        <v>1552375023614690</v>
      </c>
      <c r="C6695" t="s">
        <v>40</v>
      </c>
      <c r="D6695">
        <v>4.7292339999999999</v>
      </c>
      <c r="E6695">
        <v>0.55053430000000003</v>
      </c>
      <c r="F6695" t="s">
        <v>43</v>
      </c>
      <c r="G6695">
        <v>-186.0651</v>
      </c>
      <c r="H6695" s="1">
        <v>-2.1028789999999999E-6</v>
      </c>
      <c r="I6695">
        <v>72.750889999999998</v>
      </c>
      <c r="J6695">
        <v>-188.26560000000001</v>
      </c>
      <c r="K6695">
        <v>1.1100490000000001</v>
      </c>
      <c r="L6695">
        <v>53.433259999999997</v>
      </c>
      <c r="M6695">
        <v>-3.0719929999999999E-3</v>
      </c>
      <c r="N6695">
        <v>0</v>
      </c>
      <c r="O6695">
        <v>0.99988650000000001</v>
      </c>
      <c r="P6695">
        <v>-1.339507E-2</v>
      </c>
      <c r="Q6695">
        <v>4.3272070000000003E-2</v>
      </c>
      <c r="R6695">
        <v>0.99897349999999996</v>
      </c>
      <c r="S6695">
        <v>0.337204</v>
      </c>
      <c r="T6695">
        <v>-0.17020270000000001</v>
      </c>
      <c r="U6695">
        <v>3.0155639999999999</v>
      </c>
      <c r="V6695">
        <v>-1.0356249999999999E-2</v>
      </c>
      <c r="W6695">
        <v>5.7995959999999999E-2</v>
      </c>
      <c r="X6695">
        <v>0.99826309999999996</v>
      </c>
      <c r="Y6695">
        <v>0.114007</v>
      </c>
      <c r="Z6695">
        <v>-5.5993689999999999E-2</v>
      </c>
      <c r="AA6695">
        <v>0.99190069999999997</v>
      </c>
      <c r="AB6695">
        <v>36</v>
      </c>
      <c r="AC6695">
        <v>2.2004999999999999</v>
      </c>
      <c r="AD6695">
        <v>-1.1100511028790001</v>
      </c>
      <c r="AE6695">
        <v>19.317629999999902</v>
      </c>
      <c r="AF6695">
        <v>2.2524972035589701</v>
      </c>
      <c r="AG6695">
        <v>-1.1100511028790001</v>
      </c>
      <c r="AH6695">
        <v>19.248035129181201</v>
      </c>
      <c r="AI6695">
        <v>93.278319627331399</v>
      </c>
      <c r="AJ6695">
        <v>83.325332561018598</v>
      </c>
      <c r="AK6695">
        <v>19.411151780284399</v>
      </c>
      <c r="AL6695">
        <v>86.675210645174005</v>
      </c>
      <c r="AM6695">
        <v>90.594380510246495</v>
      </c>
      <c r="AN6695">
        <v>1.0000000000559901</v>
      </c>
    </row>
    <row r="6696" spans="1:40" x14ac:dyDescent="0.25">
      <c r="A6696" t="str">
        <f>"20190312151703645"</f>
        <v>20190312151703645</v>
      </c>
      <c r="B6696" t="str">
        <f>"1552375023634209"</f>
        <v>1552375023634209</v>
      </c>
      <c r="C6696" t="s">
        <v>40</v>
      </c>
      <c r="D6696">
        <v>4.697775</v>
      </c>
      <c r="E6696">
        <v>0.55130449999999998</v>
      </c>
      <c r="F6696" t="s">
        <v>43</v>
      </c>
      <c r="G6696">
        <v>-185.82650000000001</v>
      </c>
      <c r="H6696" s="1">
        <v>-2.55742E-6</v>
      </c>
      <c r="I6696">
        <v>73.868489999999994</v>
      </c>
      <c r="J6696">
        <v>-188.26689999999999</v>
      </c>
      <c r="K6696">
        <v>1.1100490000000001</v>
      </c>
      <c r="L6696">
        <v>53.789700000000003</v>
      </c>
      <c r="M6696">
        <v>-3.308802E-3</v>
      </c>
      <c r="N6696">
        <v>0</v>
      </c>
      <c r="O6696">
        <v>0.99988580000000005</v>
      </c>
      <c r="P6696">
        <v>-1.1849719999999999E-2</v>
      </c>
      <c r="Q6696">
        <v>4.3017130000000001E-2</v>
      </c>
      <c r="R6696">
        <v>0.99900409999999995</v>
      </c>
      <c r="S6696">
        <v>0.3598633</v>
      </c>
      <c r="T6696">
        <v>-0.16377700000000001</v>
      </c>
      <c r="U6696">
        <v>3.015015</v>
      </c>
      <c r="V6696">
        <v>-8.5741830000000008E-3</v>
      </c>
      <c r="W6696">
        <v>5.773938E-2</v>
      </c>
      <c r="X6696">
        <v>0.99829489999999999</v>
      </c>
      <c r="Y6696">
        <v>0.1216291</v>
      </c>
      <c r="Z6696">
        <v>-5.3848159999999999E-2</v>
      </c>
      <c r="AA6696">
        <v>0.99111389999999999</v>
      </c>
      <c r="AB6696">
        <v>36</v>
      </c>
      <c r="AC6696">
        <v>2.4403999999999799</v>
      </c>
      <c r="AD6696">
        <v>-1.1100515574200001</v>
      </c>
      <c r="AE6696">
        <v>20.078790000000001</v>
      </c>
      <c r="AF6696">
        <v>2.4993029160637699</v>
      </c>
      <c r="AG6696">
        <v>-1.1100515574200001</v>
      </c>
      <c r="AH6696">
        <v>20.010334966370401</v>
      </c>
      <c r="AI6696">
        <v>93.150735664365001</v>
      </c>
      <c r="AJ6696">
        <v>82.880591097118796</v>
      </c>
      <c r="AK6696">
        <v>20.196342119124399</v>
      </c>
      <c r="AL6696">
        <v>86.689936371808699</v>
      </c>
      <c r="AM6696">
        <v>90.492091484537198</v>
      </c>
      <c r="AN6696">
        <v>1.00000002999145</v>
      </c>
    </row>
    <row r="6697" spans="1:40" x14ac:dyDescent="0.25">
      <c r="A6697" t="str">
        <f>"20190312151703667"</f>
        <v>20190312151703667</v>
      </c>
      <c r="B6697" t="str">
        <f>"1552375023654705"</f>
        <v>1552375023654705</v>
      </c>
      <c r="C6697" t="s">
        <v>40</v>
      </c>
      <c r="D6697">
        <v>4.7041870000000001</v>
      </c>
      <c r="E6697">
        <v>0.55194779999999999</v>
      </c>
      <c r="F6697" t="s">
        <v>43</v>
      </c>
      <c r="G6697">
        <v>-185.72640000000001</v>
      </c>
      <c r="H6697" s="1">
        <v>-2.8227460000000001E-6</v>
      </c>
      <c r="I6697">
        <v>74.445589999999996</v>
      </c>
      <c r="J6697">
        <v>-188.26820000000001</v>
      </c>
      <c r="K6697">
        <v>1.1100479999999999</v>
      </c>
      <c r="L6697">
        <v>54.118499999999997</v>
      </c>
      <c r="M6697">
        <v>-3.5273240000000001E-3</v>
      </c>
      <c r="N6697">
        <v>0</v>
      </c>
      <c r="O6697">
        <v>0.99988509999999997</v>
      </c>
      <c r="P6697">
        <v>-9.7985139999999995E-3</v>
      </c>
      <c r="Q6697">
        <v>4.2689039999999998E-2</v>
      </c>
      <c r="R6697">
        <v>0.99904040000000005</v>
      </c>
      <c r="S6697">
        <v>0.37074279999999998</v>
      </c>
      <c r="T6697">
        <v>-0.1619931</v>
      </c>
      <c r="U6697">
        <v>3.0143740000000001</v>
      </c>
      <c r="V6697">
        <v>-6.3045990000000001E-3</v>
      </c>
      <c r="W6697">
        <v>5.7409469999999997E-2</v>
      </c>
      <c r="X6697">
        <v>0.99833079999999996</v>
      </c>
      <c r="Y6697">
        <v>0.12539919999999999</v>
      </c>
      <c r="Z6697">
        <v>-5.3250449999999998E-2</v>
      </c>
      <c r="AA6697">
        <v>0.99067620000000001</v>
      </c>
      <c r="AB6697">
        <v>36</v>
      </c>
      <c r="AC6697">
        <v>2.5417999999999901</v>
      </c>
      <c r="AD6697">
        <v>-1.110050822746</v>
      </c>
      <c r="AE6697">
        <v>20.327089999999998</v>
      </c>
      <c r="AF6697">
        <v>2.6058407375963202</v>
      </c>
      <c r="AG6697">
        <v>-1.110050822746</v>
      </c>
      <c r="AH6697">
        <v>20.2585121743268</v>
      </c>
      <c r="AI6697">
        <v>93.110767178845506</v>
      </c>
      <c r="AJ6697">
        <v>82.670324547030802</v>
      </c>
      <c r="AK6697">
        <v>20.455559984907399</v>
      </c>
      <c r="AL6697">
        <v>86.708870099721196</v>
      </c>
      <c r="AM6697">
        <v>90.361826072387601</v>
      </c>
      <c r="AN6697">
        <v>0.99999999072143497</v>
      </c>
    </row>
    <row r="6698" spans="1:40" x14ac:dyDescent="0.25">
      <c r="A6698" t="str">
        <f>"20190312151703689"</f>
        <v>20190312151703689</v>
      </c>
      <c r="B6698" t="str">
        <f>"1552375023684962"</f>
        <v>1552375023684962</v>
      </c>
      <c r="C6698" t="s">
        <v>40</v>
      </c>
      <c r="D6698">
        <v>4.7142299999999997</v>
      </c>
      <c r="E6698">
        <v>0.55250940000000004</v>
      </c>
      <c r="F6698" t="s">
        <v>43</v>
      </c>
      <c r="G6698">
        <v>-185.65559999999999</v>
      </c>
      <c r="H6698" s="1">
        <v>-2.9518299999999998E-6</v>
      </c>
      <c r="I6698">
        <v>74.717219999999998</v>
      </c>
      <c r="J6698">
        <v>-188.2697</v>
      </c>
      <c r="K6698">
        <v>1.1100460000000001</v>
      </c>
      <c r="L6698">
        <v>54.489170000000001</v>
      </c>
      <c r="M6698">
        <v>-3.7737640000000002E-3</v>
      </c>
      <c r="N6698">
        <v>0</v>
      </c>
      <c r="O6698">
        <v>0.9998842</v>
      </c>
      <c r="P6698">
        <v>-8.4178069999999994E-3</v>
      </c>
      <c r="Q6698">
        <v>4.2776830000000002E-2</v>
      </c>
      <c r="R6698">
        <v>0.99904919999999997</v>
      </c>
      <c r="S6698">
        <v>0.38221739999999998</v>
      </c>
      <c r="T6698">
        <v>-0.16239979999999901</v>
      </c>
      <c r="U6698">
        <v>3.0135800000000001</v>
      </c>
      <c r="V6698">
        <v>-4.6774599999999996E-3</v>
      </c>
      <c r="W6698">
        <v>5.7494700000000003E-2</v>
      </c>
      <c r="X6698">
        <v>0.99833479999999997</v>
      </c>
      <c r="Y6698">
        <v>0.12938759999999999</v>
      </c>
      <c r="Z6698">
        <v>-5.3371330000000002E-2</v>
      </c>
      <c r="AA6698">
        <v>0.9901567</v>
      </c>
      <c r="AB6698">
        <v>36</v>
      </c>
      <c r="AC6698">
        <v>2.6141000000000001</v>
      </c>
      <c r="AD6698">
        <v>-1.1100489518300001</v>
      </c>
      <c r="AE6698">
        <v>20.22805</v>
      </c>
      <c r="AF6698">
        <v>2.6824800958236801</v>
      </c>
      <c r="AG6698">
        <v>-1.1100489518300001</v>
      </c>
      <c r="AH6698">
        <v>20.1583311578751</v>
      </c>
      <c r="AI6698">
        <v>93.124408880168005</v>
      </c>
      <c r="AJ6698">
        <v>82.420150853605705</v>
      </c>
      <c r="AK6698">
        <v>20.366301166645499</v>
      </c>
      <c r="AL6698">
        <v>86.703978553610099</v>
      </c>
      <c r="AM6698">
        <v>90.268443768422998</v>
      </c>
      <c r="AN6698">
        <v>0.99999994602558895</v>
      </c>
    </row>
    <row r="6699" spans="1:40" x14ac:dyDescent="0.25">
      <c r="A6699" t="str">
        <f>"20190312151703712"</f>
        <v>20190312151703712</v>
      </c>
      <c r="B6699" t="str">
        <f>"1552375023704481"</f>
        <v>1552375023704481</v>
      </c>
      <c r="C6699" t="s">
        <v>40</v>
      </c>
      <c r="D6699">
        <v>4.731808</v>
      </c>
      <c r="E6699">
        <v>0.55250219999999906</v>
      </c>
      <c r="F6699" t="s">
        <v>43</v>
      </c>
      <c r="G6699">
        <v>-185.57069999999999</v>
      </c>
      <c r="H6699" s="1">
        <v>-3.2118279999999998E-6</v>
      </c>
      <c r="I6699">
        <v>75.28819</v>
      </c>
      <c r="J6699">
        <v>-188.2713</v>
      </c>
      <c r="K6699">
        <v>1.11005</v>
      </c>
      <c r="L6699">
        <v>54.836150000000004</v>
      </c>
      <c r="M6699">
        <v>-4.0045410000000004E-3</v>
      </c>
      <c r="N6699">
        <v>0</v>
      </c>
      <c r="O6699">
        <v>0.99988339999999998</v>
      </c>
      <c r="P6699">
        <v>-6.2340900000000003E-3</v>
      </c>
      <c r="Q6699">
        <v>4.3216119999999997E-2</v>
      </c>
      <c r="R6699">
        <v>0.99904630000000005</v>
      </c>
      <c r="S6699">
        <v>0.39099119999999998</v>
      </c>
      <c r="T6699">
        <v>-0.16080630000000001</v>
      </c>
      <c r="U6699">
        <v>3.0130309999999998</v>
      </c>
      <c r="V6699">
        <v>-2.2629009999999999E-3</v>
      </c>
      <c r="W6699">
        <v>5.7931700000000003E-2</v>
      </c>
      <c r="X6699">
        <v>0.99831800000000004</v>
      </c>
      <c r="Y6699">
        <v>0.1324786</v>
      </c>
      <c r="Z6699">
        <v>-5.2838030000000001E-2</v>
      </c>
      <c r="AA6699">
        <v>0.98977649999999995</v>
      </c>
      <c r="AB6699">
        <v>36</v>
      </c>
      <c r="AC6699">
        <v>2.7006000000000001</v>
      </c>
      <c r="AD6699">
        <v>-1.110053211828</v>
      </c>
      <c r="AE6699">
        <v>20.45204</v>
      </c>
      <c r="AF6699">
        <v>2.77445513544223</v>
      </c>
      <c r="AG6699">
        <v>-1.110053211828</v>
      </c>
      <c r="AH6699">
        <v>20.382046144722999</v>
      </c>
      <c r="AI6699">
        <v>93.088949641666204</v>
      </c>
      <c r="AJ6699">
        <v>82.248398131176202</v>
      </c>
      <c r="AK6699">
        <v>20.599942341601</v>
      </c>
      <c r="AL6699">
        <v>86.678898725235001</v>
      </c>
      <c r="AM6699">
        <v>90.1298729009211</v>
      </c>
      <c r="AN6699">
        <v>1.0000000158549101</v>
      </c>
    </row>
    <row r="6700" spans="1:40" x14ac:dyDescent="0.25">
      <c r="A6700" t="str">
        <f>"20190312151703734"</f>
        <v>20190312151703734</v>
      </c>
      <c r="B6700" t="str">
        <f>"1552375023724977"</f>
        <v>1552375023724977</v>
      </c>
      <c r="C6700" t="s">
        <v>40</v>
      </c>
      <c r="D6700">
        <v>4.7031090000000004</v>
      </c>
      <c r="E6700">
        <v>0.55249040000000005</v>
      </c>
      <c r="F6700" t="s">
        <v>43</v>
      </c>
      <c r="G6700">
        <v>-185.4717</v>
      </c>
      <c r="H6700" s="1">
        <v>-3.5573880000000001E-6</v>
      </c>
      <c r="I6700">
        <v>76.052750000000003</v>
      </c>
      <c r="J6700">
        <v>-188.27289999999999</v>
      </c>
      <c r="K6700">
        <v>1.1100540000000001</v>
      </c>
      <c r="L6700">
        <v>55.191960000000002</v>
      </c>
      <c r="M6700">
        <v>-4.2412179999999997E-3</v>
      </c>
      <c r="N6700">
        <v>0</v>
      </c>
      <c r="O6700">
        <v>0.99988250000000001</v>
      </c>
      <c r="P6700">
        <v>-4.4877099999999998E-3</v>
      </c>
      <c r="Q6700">
        <v>4.3339219999999998E-2</v>
      </c>
      <c r="R6700">
        <v>0.99905029999999995</v>
      </c>
      <c r="S6700">
        <v>0.39746090000000001</v>
      </c>
      <c r="T6700">
        <v>-0.15759719999999999</v>
      </c>
      <c r="U6700">
        <v>3.0121769999999999</v>
      </c>
      <c r="V6700">
        <v>-2.8020889999999998E-4</v>
      </c>
      <c r="W6700">
        <v>5.8052140000000002E-2</v>
      </c>
      <c r="X6700">
        <v>0.99831349999999996</v>
      </c>
      <c r="Y6700">
        <v>0.13484599999999999</v>
      </c>
      <c r="Z6700">
        <v>-5.178543E-2</v>
      </c>
      <c r="AA6700">
        <v>0.98951239999999996</v>
      </c>
      <c r="AB6700">
        <v>36</v>
      </c>
      <c r="AC6700">
        <v>2.8011999999999899</v>
      </c>
      <c r="AD6700">
        <v>-1.110057557388</v>
      </c>
      <c r="AE6700">
        <v>20.860790000000001</v>
      </c>
      <c r="AF6700">
        <v>2.8816444629393501</v>
      </c>
      <c r="AG6700">
        <v>-1.110057557388</v>
      </c>
      <c r="AH6700">
        <v>20.7908921060077</v>
      </c>
      <c r="AI6700">
        <v>93.027322532398202</v>
      </c>
      <c r="AJ6700">
        <v>82.109004290441007</v>
      </c>
      <c r="AK6700">
        <v>21.018974693242299</v>
      </c>
      <c r="AL6700">
        <v>86.671986292014907</v>
      </c>
      <c r="AM6700">
        <v>90.016081909069996</v>
      </c>
      <c r="AN6700">
        <v>0.99999998687892799</v>
      </c>
    </row>
    <row r="6701" spans="1:40" x14ac:dyDescent="0.25">
      <c r="A6701" t="str">
        <f>"20190312151703756"</f>
        <v>20190312151703756</v>
      </c>
      <c r="B6701" t="str">
        <f>"1552375023744501"</f>
        <v>1552375023744501</v>
      </c>
      <c r="C6701" t="s">
        <v>40</v>
      </c>
      <c r="D6701">
        <v>4.6590920000000002</v>
      </c>
      <c r="E6701">
        <v>0.55232780000000004</v>
      </c>
      <c r="F6701" t="s">
        <v>43</v>
      </c>
      <c r="G6701">
        <v>-185.41139999999999</v>
      </c>
      <c r="H6701" s="1">
        <v>-3.7931749999999999E-6</v>
      </c>
      <c r="I6701">
        <v>76.577439999999996</v>
      </c>
      <c r="J6701">
        <v>-188.27459999999999</v>
      </c>
      <c r="K6701">
        <v>1.110047</v>
      </c>
      <c r="L6701">
        <v>55.54074</v>
      </c>
      <c r="M6701">
        <v>-4.4733400000000001E-3</v>
      </c>
      <c r="N6701">
        <v>0</v>
      </c>
      <c r="O6701">
        <v>0.99988149999999998</v>
      </c>
      <c r="P6701">
        <v>-2.874471E-3</v>
      </c>
      <c r="Q6701">
        <v>4.3802569999999999E-2</v>
      </c>
      <c r="R6701">
        <v>0.99903609999999998</v>
      </c>
      <c r="S6701">
        <v>0.40295409999999998</v>
      </c>
      <c r="T6701">
        <v>-0.15631519999999999</v>
      </c>
      <c r="U6701">
        <v>3.011444</v>
      </c>
      <c r="V6701">
        <v>1.5646900000000001E-3</v>
      </c>
      <c r="W6701">
        <v>5.8512460000000002E-2</v>
      </c>
      <c r="X6701">
        <v>0.99828550000000005</v>
      </c>
      <c r="Y6701">
        <v>0.13688349999999999</v>
      </c>
      <c r="Z6701">
        <v>-5.1364239999999999E-2</v>
      </c>
      <c r="AA6701">
        <v>0.98925459999999998</v>
      </c>
      <c r="AB6701">
        <v>36</v>
      </c>
      <c r="AC6701">
        <v>2.8632</v>
      </c>
      <c r="AD6701">
        <v>-1.1100507931749899</v>
      </c>
      <c r="AE6701">
        <v>21.0367</v>
      </c>
      <c r="AF6701">
        <v>2.94922342592178</v>
      </c>
      <c r="AG6701">
        <v>-1.1100507931749899</v>
      </c>
      <c r="AH6701">
        <v>20.966363198376001</v>
      </c>
      <c r="AI6701">
        <v>93.001167976805704</v>
      </c>
      <c r="AJ6701">
        <v>81.993050707191998</v>
      </c>
      <c r="AK6701">
        <v>21.2018517433184</v>
      </c>
      <c r="AL6701">
        <v>86.645567193967693</v>
      </c>
      <c r="AM6701">
        <v>89.910195971159695</v>
      </c>
      <c r="AN6701">
        <v>1.0000000478701401</v>
      </c>
    </row>
    <row r="6702" spans="1:40" x14ac:dyDescent="0.25">
      <c r="A6702" t="str">
        <f>"20190312151703779"</f>
        <v>20190312151703779</v>
      </c>
      <c r="B6702" t="str">
        <f>"1552375023774754"</f>
        <v>1552375023774754</v>
      </c>
      <c r="C6702" t="s">
        <v>40</v>
      </c>
      <c r="D6702">
        <v>4.7295569999999998</v>
      </c>
      <c r="E6702">
        <v>0.552324699999999</v>
      </c>
      <c r="F6702" t="s">
        <v>43</v>
      </c>
      <c r="G6702">
        <v>-185.35759999999999</v>
      </c>
      <c r="H6702" s="1">
        <v>-4.0437010000000002E-6</v>
      </c>
      <c r="I6702">
        <v>77.139189999999999</v>
      </c>
      <c r="J6702">
        <v>-188.2766</v>
      </c>
      <c r="K6702">
        <v>1.11005</v>
      </c>
      <c r="L6702">
        <v>55.910429999999998</v>
      </c>
      <c r="M6702">
        <v>-4.7194589999999996E-3</v>
      </c>
      <c r="N6702">
        <v>0</v>
      </c>
      <c r="O6702">
        <v>0.9998804</v>
      </c>
      <c r="P6702">
        <v>-9.5996600000000003E-4</v>
      </c>
      <c r="Q6702">
        <v>4.3723640000000001E-2</v>
      </c>
      <c r="R6702">
        <v>0.99904320000000002</v>
      </c>
      <c r="S6702">
        <v>0.40663149999999998</v>
      </c>
      <c r="T6702">
        <v>-0.15474160000000001</v>
      </c>
      <c r="U6702">
        <v>3.010834</v>
      </c>
      <c r="V6702">
        <v>3.725239E-3</v>
      </c>
      <c r="W6702">
        <v>5.843106E-2</v>
      </c>
      <c r="X6702">
        <v>0.99828450000000002</v>
      </c>
      <c r="Y6702">
        <v>0.13834379999999999</v>
      </c>
      <c r="Z6702">
        <v>-5.084934E-2</v>
      </c>
      <c r="AA6702">
        <v>0.98907800000000001</v>
      </c>
      <c r="AB6702">
        <v>36</v>
      </c>
      <c r="AC6702">
        <v>2.9190000000000098</v>
      </c>
      <c r="AD6702">
        <v>-1.110054043701</v>
      </c>
      <c r="AE6702">
        <v>21.228759999999902</v>
      </c>
      <c r="AF6702">
        <v>3.01108631079238</v>
      </c>
      <c r="AG6702">
        <v>-1.110054043701</v>
      </c>
      <c r="AH6702">
        <v>21.157968146414799</v>
      </c>
      <c r="AI6702">
        <v>92.973367943398799</v>
      </c>
      <c r="AJ6702">
        <v>81.900367547216703</v>
      </c>
      <c r="AK6702">
        <v>21.399964412018999</v>
      </c>
      <c r="AL6702">
        <v>86.650238918225298</v>
      </c>
      <c r="AM6702">
        <v>89.786193733693906</v>
      </c>
      <c r="AN6702">
        <v>1.0000000045592901</v>
      </c>
    </row>
    <row r="6703" spans="1:40" x14ac:dyDescent="0.25">
      <c r="A6703" t="str">
        <f>"20190312151703804"</f>
        <v>20190312151703804</v>
      </c>
      <c r="B6703" t="str">
        <f>"1552375023794274"</f>
        <v>1552375023794274</v>
      </c>
      <c r="C6703" t="s">
        <v>40</v>
      </c>
      <c r="D6703">
        <v>4.7038200000000003</v>
      </c>
      <c r="E6703">
        <v>0.55224649999999997</v>
      </c>
      <c r="F6703" t="s">
        <v>43</v>
      </c>
      <c r="G6703">
        <v>-185.32320000000001</v>
      </c>
      <c r="H6703" s="1">
        <v>-4.1907219999999997E-6</v>
      </c>
      <c r="I6703">
        <v>77.467640000000003</v>
      </c>
      <c r="J6703">
        <v>-188.27860000000001</v>
      </c>
      <c r="K6703">
        <v>1.1100479999999999</v>
      </c>
      <c r="L6703">
        <v>56.294800000000002</v>
      </c>
      <c r="M6703">
        <v>-4.975401E-3</v>
      </c>
      <c r="N6703">
        <v>0</v>
      </c>
      <c r="O6703">
        <v>0.99987919999999997</v>
      </c>
      <c r="P6703">
        <v>6.8053220000000004E-4</v>
      </c>
      <c r="Q6703">
        <v>4.391946E-2</v>
      </c>
      <c r="R6703">
        <v>0.9990348</v>
      </c>
      <c r="S6703">
        <v>0.41238399999999997</v>
      </c>
      <c r="T6703">
        <v>-0.1549972</v>
      </c>
      <c r="U6703">
        <v>3.01004</v>
      </c>
      <c r="V6703">
        <v>5.6213790000000001E-3</v>
      </c>
      <c r="W6703">
        <v>5.8623849999999998E-2</v>
      </c>
      <c r="X6703">
        <v>0.99826429999999999</v>
      </c>
      <c r="Y6703">
        <v>0.1404869</v>
      </c>
      <c r="Z6703">
        <v>-5.093205E-2</v>
      </c>
      <c r="AA6703">
        <v>0.98877159999999997</v>
      </c>
      <c r="AB6703">
        <v>36</v>
      </c>
      <c r="AC6703">
        <v>2.9553999999999898</v>
      </c>
      <c r="AD6703">
        <v>-1.110052190722</v>
      </c>
      <c r="AE6703">
        <v>21.172840000000001</v>
      </c>
      <c r="AF6703">
        <v>3.05248815891763</v>
      </c>
      <c r="AG6703">
        <v>-1.110052190722</v>
      </c>
      <c r="AH6703">
        <v>21.100980030222999</v>
      </c>
      <c r="AI6703">
        <v>92.980397182715905</v>
      </c>
      <c r="AJ6703">
        <v>81.768638887514896</v>
      </c>
      <c r="AK6703">
        <v>21.3495025249379</v>
      </c>
      <c r="AL6703">
        <v>86.639173828664198</v>
      </c>
      <c r="AM6703">
        <v>89.677362109992799</v>
      </c>
      <c r="AN6703">
        <v>0.99999998417258695</v>
      </c>
    </row>
    <row r="6704" spans="1:40" x14ac:dyDescent="0.25">
      <c r="A6704" t="str">
        <f>"20190312151703826"</f>
        <v>20190312151703826</v>
      </c>
      <c r="B6704" t="str">
        <f>"1552375023814770"</f>
        <v>1552375023814770</v>
      </c>
      <c r="C6704" t="s">
        <v>40</v>
      </c>
      <c r="D6704">
        <v>4.6966599999999996</v>
      </c>
      <c r="E6704">
        <v>0.55217289999999997</v>
      </c>
      <c r="F6704" t="s">
        <v>43</v>
      </c>
      <c r="G6704">
        <v>-185.28299999999999</v>
      </c>
      <c r="H6704" s="1">
        <v>-4.398421E-6</v>
      </c>
      <c r="I6704">
        <v>77.935199999999995</v>
      </c>
      <c r="J6704">
        <v>-188.28059999999999</v>
      </c>
      <c r="K6704">
        <v>1.1100449999999999</v>
      </c>
      <c r="L6704">
        <v>56.644559999999998</v>
      </c>
      <c r="M6704">
        <v>-5.2083759999999998E-3</v>
      </c>
      <c r="N6704">
        <v>0</v>
      </c>
      <c r="O6704">
        <v>0.99987809999999999</v>
      </c>
      <c r="P6704">
        <v>2.4170509999999999E-3</v>
      </c>
      <c r="Q6704">
        <v>4.3796660000000001E-2</v>
      </c>
      <c r="R6704">
        <v>0.99903759999999997</v>
      </c>
      <c r="S6704">
        <v>0.41658020000000001</v>
      </c>
      <c r="T6704">
        <v>-0.15436830000000001</v>
      </c>
      <c r="U6704">
        <v>3.0093990000000002</v>
      </c>
      <c r="V6704">
        <v>7.5908E-3</v>
      </c>
      <c r="W6704">
        <v>5.8498170000000002E-2</v>
      </c>
      <c r="X6704">
        <v>0.99825870000000005</v>
      </c>
      <c r="Y6704">
        <v>0.14210020000000001</v>
      </c>
      <c r="Z6704">
        <v>-5.0725840000000001E-2</v>
      </c>
      <c r="AA6704">
        <v>0.98855170000000003</v>
      </c>
      <c r="AB6704">
        <v>36</v>
      </c>
      <c r="AC6704">
        <v>2.9975999999999998</v>
      </c>
      <c r="AD6704">
        <v>-1.110049398421</v>
      </c>
      <c r="AE6704">
        <v>21.29064</v>
      </c>
      <c r="AF6704">
        <v>3.1001973595549699</v>
      </c>
      <c r="AG6704">
        <v>-1.110049398421</v>
      </c>
      <c r="AH6704">
        <v>21.218179302486298</v>
      </c>
      <c r="AI6704">
        <v>92.963346342030107</v>
      </c>
      <c r="AJ6704">
        <v>81.687309642387604</v>
      </c>
      <c r="AK6704">
        <v>21.472181217742701</v>
      </c>
      <c r="AL6704">
        <v>86.646387342923504</v>
      </c>
      <c r="AM6704">
        <v>89.564328945155594</v>
      </c>
      <c r="AN6704">
        <v>1.00000004413183</v>
      </c>
    </row>
    <row r="6705" spans="1:40" x14ac:dyDescent="0.25">
      <c r="A6705" t="str">
        <f>"20190312151703846"</f>
        <v>20190312151703846</v>
      </c>
      <c r="B6705" t="str">
        <f>"1552375023845026"</f>
        <v>1552375023845026</v>
      </c>
      <c r="C6705" t="s">
        <v>40</v>
      </c>
      <c r="D6705">
        <v>4.6812930000000001</v>
      </c>
      <c r="E6705">
        <v>0.55200309999999997</v>
      </c>
      <c r="F6705" t="s">
        <v>43</v>
      </c>
      <c r="G6705">
        <v>-185.27010000000001</v>
      </c>
      <c r="H6705" s="1">
        <v>-4.4915000000000001E-6</v>
      </c>
      <c r="I6705">
        <v>78.146799999999999</v>
      </c>
      <c r="J6705">
        <v>-188.2825</v>
      </c>
      <c r="K6705">
        <v>1.110042</v>
      </c>
      <c r="L6705">
        <v>56.978670000000001</v>
      </c>
      <c r="M6705">
        <v>-5.430987E-3</v>
      </c>
      <c r="N6705">
        <v>0</v>
      </c>
      <c r="O6705">
        <v>0.99987700000000002</v>
      </c>
      <c r="P6705">
        <v>3.6302389999999999E-3</v>
      </c>
      <c r="Q6705">
        <v>4.3823630000000002E-2</v>
      </c>
      <c r="R6705">
        <v>0.9990327</v>
      </c>
      <c r="S6705">
        <v>0.4212494</v>
      </c>
      <c r="T6705">
        <v>-0.1553235</v>
      </c>
      <c r="U6705">
        <v>3.0086979999999999</v>
      </c>
      <c r="V6705">
        <v>9.0264179999999996E-3</v>
      </c>
      <c r="W6705">
        <v>5.8521980000000001E-2</v>
      </c>
      <c r="X6705">
        <v>0.9982453</v>
      </c>
      <c r="Y6705">
        <v>0.14385439999999999</v>
      </c>
      <c r="Z6705">
        <v>-5.1038649999999998E-2</v>
      </c>
      <c r="AA6705">
        <v>0.98828179999999999</v>
      </c>
      <c r="AB6705">
        <v>35</v>
      </c>
      <c r="AC6705">
        <v>3.01239999999998</v>
      </c>
      <c r="AD6705">
        <v>-1.1100464914999999</v>
      </c>
      <c r="AE6705">
        <v>21.168130000000001</v>
      </c>
      <c r="AF6705">
        <v>3.1189253525308498</v>
      </c>
      <c r="AG6705">
        <v>-1.1100464914999999</v>
      </c>
      <c r="AH6705">
        <v>21.0945990132223</v>
      </c>
      <c r="AI6705">
        <v>92.979921398352104</v>
      </c>
      <c r="AJ6705">
        <v>81.589511187737401</v>
      </c>
      <c r="AK6705">
        <v>21.3527985542081</v>
      </c>
      <c r="AL6705">
        <v>86.645020603027604</v>
      </c>
      <c r="AM6705">
        <v>89.4819293805336</v>
      </c>
      <c r="AN6705">
        <v>0.99999998866855999</v>
      </c>
    </row>
    <row r="6706" spans="1:40" x14ac:dyDescent="0.25">
      <c r="A6706" t="str">
        <f>"20190312151703868"</f>
        <v>20190312151703868</v>
      </c>
      <c r="B6706" t="str">
        <f>"1552375023864546"</f>
        <v>1552375023864546</v>
      </c>
      <c r="C6706" t="s">
        <v>40</v>
      </c>
      <c r="D6706">
        <v>4.6549420000000001</v>
      </c>
      <c r="E6706">
        <v>0.55191259999999998</v>
      </c>
      <c r="F6706" t="s">
        <v>43</v>
      </c>
      <c r="G6706">
        <v>-185.2577</v>
      </c>
      <c r="H6706" s="1">
        <v>-4.6305510000000003E-6</v>
      </c>
      <c r="I6706">
        <v>78.465819999999994</v>
      </c>
      <c r="J6706">
        <v>-188.28460000000001</v>
      </c>
      <c r="K6706">
        <v>1.1100410000000001</v>
      </c>
      <c r="L6706">
        <v>57.315089999999998</v>
      </c>
      <c r="M6706">
        <v>-5.6552440000000002E-3</v>
      </c>
      <c r="N6706">
        <v>0</v>
      </c>
      <c r="O6706">
        <v>0.99987579999999998</v>
      </c>
      <c r="P6706">
        <v>4.4971519999999999E-3</v>
      </c>
      <c r="Q6706">
        <v>4.3842359999999997E-2</v>
      </c>
      <c r="R6706">
        <v>0.99902829999999998</v>
      </c>
      <c r="S6706">
        <v>0.4234772</v>
      </c>
      <c r="T6706">
        <v>-0.1554054</v>
      </c>
      <c r="U6706">
        <v>3.0081790000000002</v>
      </c>
      <c r="V6706">
        <v>1.011742E-2</v>
      </c>
      <c r="W6706">
        <v>5.8537680000000002E-2</v>
      </c>
      <c r="X6706">
        <v>0.99823390000000001</v>
      </c>
      <c r="Y6706">
        <v>0.14481720000000001</v>
      </c>
      <c r="Z6706">
        <v>-5.1067880000000003E-2</v>
      </c>
      <c r="AA6706">
        <v>0.98813969999999995</v>
      </c>
      <c r="AB6706">
        <v>35</v>
      </c>
      <c r="AC6706">
        <v>3.0269000000000101</v>
      </c>
      <c r="AD6706">
        <v>-1.110045630551</v>
      </c>
      <c r="AE6706">
        <v>21.1507299999999</v>
      </c>
      <c r="AF6706">
        <v>3.1380071349294201</v>
      </c>
      <c r="AG6706">
        <v>-1.110045630551</v>
      </c>
      <c r="AH6706">
        <v>21.076383789464298</v>
      </c>
      <c r="AI6706">
        <v>92.982043339561898</v>
      </c>
      <c r="AJ6706">
        <v>81.531591332765998</v>
      </c>
      <c r="AK6706">
        <v>21.337601639396301</v>
      </c>
      <c r="AL6706">
        <v>86.644119453930003</v>
      </c>
      <c r="AM6706">
        <v>89.419308823869898</v>
      </c>
      <c r="AN6706">
        <v>0.99999997063822399</v>
      </c>
    </row>
    <row r="6707" spans="1:40" x14ac:dyDescent="0.25">
      <c r="A6707" t="str">
        <f>"20190312151703890"</f>
        <v>20190312151703890</v>
      </c>
      <c r="B6707" t="str">
        <f>"1552375023885042"</f>
        <v>1552375023885042</v>
      </c>
      <c r="C6707" t="s">
        <v>40</v>
      </c>
      <c r="D6707">
        <v>4.6818350000000004</v>
      </c>
      <c r="E6707">
        <v>0.55185859999999998</v>
      </c>
      <c r="F6707" t="s">
        <v>43</v>
      </c>
      <c r="G6707">
        <v>-185.24870000000001</v>
      </c>
      <c r="H6707" s="1">
        <v>-4.7606300000000002E-6</v>
      </c>
      <c r="I6707">
        <v>78.765339999999995</v>
      </c>
      <c r="J6707">
        <v>-188.2869</v>
      </c>
      <c r="K6707">
        <v>1.1100460000000001</v>
      </c>
      <c r="L6707">
        <v>57.676789999999997</v>
      </c>
      <c r="M6707">
        <v>-5.8964480000000003E-3</v>
      </c>
      <c r="N6707">
        <v>0</v>
      </c>
      <c r="O6707">
        <v>0.9998745</v>
      </c>
      <c r="P6707">
        <v>5.229788E-3</v>
      </c>
      <c r="Q6707">
        <v>4.3987409999999998E-2</v>
      </c>
      <c r="R6707">
        <v>0.99901839999999997</v>
      </c>
      <c r="S6707">
        <v>0.425705</v>
      </c>
      <c r="T6707">
        <v>-0.1556553</v>
      </c>
      <c r="U6707">
        <v>3.0078429999999998</v>
      </c>
      <c r="V6707">
        <v>1.109098E-2</v>
      </c>
      <c r="W6707">
        <v>5.8679059999999998E-2</v>
      </c>
      <c r="X6707">
        <v>0.99821530000000003</v>
      </c>
      <c r="Y6707">
        <v>0.145788</v>
      </c>
      <c r="Z6707">
        <v>-5.1149E-2</v>
      </c>
      <c r="AA6707">
        <v>0.98799269999999995</v>
      </c>
      <c r="AB6707">
        <v>35</v>
      </c>
      <c r="AC6707">
        <v>3.0381999999999798</v>
      </c>
      <c r="AD6707">
        <v>-1.1100507606300001</v>
      </c>
      <c r="AE6707">
        <v>21.088550000000001</v>
      </c>
      <c r="AF6707">
        <v>3.1539471496007199</v>
      </c>
      <c r="AG6707">
        <v>-1.1100507606300001</v>
      </c>
      <c r="AH6707">
        <v>21.013228933695199</v>
      </c>
      <c r="AI6707">
        <v>92.990476897653195</v>
      </c>
      <c r="AJ6707">
        <v>81.464000329616198</v>
      </c>
      <c r="AK6707">
        <v>21.277579409639898</v>
      </c>
      <c r="AL6707">
        <v>86.636005172578805</v>
      </c>
      <c r="AM6707">
        <v>89.363423705144299</v>
      </c>
      <c r="AN6707">
        <v>1.00000001353696</v>
      </c>
    </row>
    <row r="6708" spans="1:40" x14ac:dyDescent="0.25">
      <c r="A6708" t="str">
        <f>"20190312151703912"</f>
        <v>20190312151703912</v>
      </c>
      <c r="B6708" t="str">
        <f>"1552375023904562"</f>
        <v>1552375023904562</v>
      </c>
      <c r="C6708" t="s">
        <v>40</v>
      </c>
      <c r="D6708">
        <v>4.6688839999999896</v>
      </c>
      <c r="E6708">
        <v>0.55197059999999998</v>
      </c>
      <c r="F6708" t="s">
        <v>43</v>
      </c>
      <c r="G6708">
        <v>-185.24969999999999</v>
      </c>
      <c r="H6708" s="1">
        <v>-4.8818289999999997E-6</v>
      </c>
      <c r="I6708">
        <v>79.048270000000002</v>
      </c>
      <c r="J6708">
        <v>-188.28909999999999</v>
      </c>
      <c r="K6708">
        <v>1.110047</v>
      </c>
      <c r="L6708">
        <v>58.017819999999901</v>
      </c>
      <c r="M6708">
        <v>-6.1239229999999999E-3</v>
      </c>
      <c r="N6708">
        <v>0</v>
      </c>
      <c r="O6708">
        <v>0.99987320000000002</v>
      </c>
      <c r="P6708">
        <v>5.9151459999999996E-3</v>
      </c>
      <c r="Q6708">
        <v>4.4083110000000002E-2</v>
      </c>
      <c r="R6708">
        <v>0.99901039999999997</v>
      </c>
      <c r="S6708">
        <v>0.42741390000000001</v>
      </c>
      <c r="T6708">
        <v>-0.15621699999999999</v>
      </c>
      <c r="U6708">
        <v>3.0075989999999999</v>
      </c>
      <c r="V6708">
        <v>1.200358E-2</v>
      </c>
      <c r="W6708">
        <v>5.8770940000000001E-2</v>
      </c>
      <c r="X6708">
        <v>0.99819930000000001</v>
      </c>
      <c r="Y6708">
        <v>0.14657319999999999</v>
      </c>
      <c r="Z6708">
        <v>-5.1332080000000002E-2</v>
      </c>
      <c r="AA6708">
        <v>0.9878671</v>
      </c>
      <c r="AB6708">
        <v>35</v>
      </c>
      <c r="AC6708">
        <v>3.0394000000000001</v>
      </c>
      <c r="AD6708">
        <v>-1.1100518818289999</v>
      </c>
      <c r="AE6708">
        <v>21.030449999999998</v>
      </c>
      <c r="AF6708">
        <v>3.1595232667970299</v>
      </c>
      <c r="AG6708">
        <v>-1.1100518818289999</v>
      </c>
      <c r="AH6708">
        <v>20.9542552642583</v>
      </c>
      <c r="AI6708">
        <v>92.998577796519697</v>
      </c>
      <c r="AJ6708">
        <v>81.4254234041844</v>
      </c>
      <c r="AK6708">
        <v>21.220170030739101</v>
      </c>
      <c r="AL6708">
        <v>86.630731608633596</v>
      </c>
      <c r="AM6708">
        <v>89.311038061511795</v>
      </c>
      <c r="AN6708">
        <v>0.99999997592089396</v>
      </c>
    </row>
    <row r="6709" spans="1:40" x14ac:dyDescent="0.25">
      <c r="A6709" t="str">
        <f>"20190312151703935"</f>
        <v>20190312151703935</v>
      </c>
      <c r="B6709" t="str">
        <f>"1552375023925058"</f>
        <v>1552375023925058</v>
      </c>
      <c r="C6709" t="s">
        <v>40</v>
      </c>
      <c r="D6709">
        <v>4.7122219999999997</v>
      </c>
      <c r="E6709">
        <v>0.55191759999999901</v>
      </c>
      <c r="F6709" t="s">
        <v>43</v>
      </c>
      <c r="G6709">
        <v>-185.24889999999999</v>
      </c>
      <c r="H6709" s="1">
        <v>-4.975857E-6</v>
      </c>
      <c r="I6709">
        <v>79.267119999999906</v>
      </c>
      <c r="J6709">
        <v>-188.29150000000001</v>
      </c>
      <c r="K6709">
        <v>1.1100479999999999</v>
      </c>
      <c r="L6709">
        <v>58.373539999999998</v>
      </c>
      <c r="M6709">
        <v>-6.3612699999999996E-3</v>
      </c>
      <c r="N6709">
        <v>0</v>
      </c>
      <c r="O6709">
        <v>0.99987170000000003</v>
      </c>
      <c r="P6709">
        <v>6.3218190000000002E-3</v>
      </c>
      <c r="Q6709">
        <v>4.4353030000000002E-2</v>
      </c>
      <c r="R6709">
        <v>0.99899590000000005</v>
      </c>
      <c r="S6709">
        <v>0.43026730000000002</v>
      </c>
      <c r="T6709">
        <v>-0.15710260000000001</v>
      </c>
      <c r="U6709">
        <v>3.007355</v>
      </c>
      <c r="V6709">
        <v>1.2647220000000001E-2</v>
      </c>
      <c r="W6709">
        <v>5.90375E-2</v>
      </c>
      <c r="X6709">
        <v>0.99817560000000005</v>
      </c>
      <c r="Y6709">
        <v>0.14773559999999999</v>
      </c>
      <c r="Z6709">
        <v>-5.1618400000000002E-2</v>
      </c>
      <c r="AA6709">
        <v>0.98767890000000003</v>
      </c>
      <c r="AB6709">
        <v>35</v>
      </c>
      <c r="AC6709">
        <v>3.0426000000000202</v>
      </c>
      <c r="AD6709">
        <v>-1.1100529758569999</v>
      </c>
      <c r="AE6709">
        <v>20.893579999999901</v>
      </c>
      <c r="AF6709">
        <v>3.1667095032310302</v>
      </c>
      <c r="AG6709">
        <v>-1.1100529758569999</v>
      </c>
      <c r="AH6709">
        <v>20.816262775556002</v>
      </c>
      <c r="AI6709">
        <v>93.017822106932996</v>
      </c>
      <c r="AJ6709">
        <v>81.350101732500207</v>
      </c>
      <c r="AK6709">
        <v>21.0849961495861</v>
      </c>
      <c r="AL6709">
        <v>86.615432204126193</v>
      </c>
      <c r="AM6709">
        <v>89.274082079903806</v>
      </c>
      <c r="AN6709">
        <v>0.99999995350766802</v>
      </c>
    </row>
    <row r="6710" spans="1:40" x14ac:dyDescent="0.25">
      <c r="A6710" t="str">
        <f>"20190312151703958"</f>
        <v>20190312151703958</v>
      </c>
      <c r="B6710" t="str">
        <f>"1552375023954338"</f>
        <v>1552375023954338</v>
      </c>
      <c r="C6710" t="s">
        <v>40</v>
      </c>
      <c r="D6710">
        <v>4.7070600000000002</v>
      </c>
      <c r="E6710">
        <v>0.55187730000000002</v>
      </c>
      <c r="F6710" t="s">
        <v>43</v>
      </c>
      <c r="G6710">
        <v>-185.24600000000001</v>
      </c>
      <c r="H6710" s="1">
        <v>-1.255681E-6</v>
      </c>
      <c r="I6710">
        <v>79.620930000000001</v>
      </c>
      <c r="J6710">
        <v>-188.29400000000001</v>
      </c>
      <c r="K6710">
        <v>1.110047</v>
      </c>
      <c r="L6710">
        <v>58.727870000000003</v>
      </c>
      <c r="M6710">
        <v>-6.5977859999999996E-3</v>
      </c>
      <c r="N6710">
        <v>0</v>
      </c>
      <c r="O6710">
        <v>0.99987020000000004</v>
      </c>
      <c r="P6710">
        <v>6.9633129999999996E-3</v>
      </c>
      <c r="Q6710">
        <v>4.4574599999999999E-2</v>
      </c>
      <c r="R6710">
        <v>0.99898180000000003</v>
      </c>
      <c r="S6710">
        <v>0.43104550000000003</v>
      </c>
      <c r="T6710">
        <v>-0.15711140000000001</v>
      </c>
      <c r="U6710">
        <v>3.007263</v>
      </c>
      <c r="V6710">
        <v>1.352486E-2</v>
      </c>
      <c r="W6710">
        <v>5.9255500000000003E-2</v>
      </c>
      <c r="X6710">
        <v>0.99815120000000002</v>
      </c>
      <c r="Y6710">
        <v>0.1482242</v>
      </c>
      <c r="Z6710">
        <v>-5.1619890000000002E-2</v>
      </c>
      <c r="AA6710">
        <v>0.98760570000000003</v>
      </c>
      <c r="AB6710">
        <v>35</v>
      </c>
      <c r="AC6710">
        <v>3.0480000000000298</v>
      </c>
      <c r="AD6710">
        <v>-1.1100482556810001</v>
      </c>
      <c r="AE6710">
        <v>20.893059999999998</v>
      </c>
      <c r="AF6710">
        <v>3.1770152946986299</v>
      </c>
      <c r="AG6710">
        <v>-1.1100482556810001</v>
      </c>
      <c r="AH6710">
        <v>20.8149609549261</v>
      </c>
      <c r="AI6710">
        <v>93.017771316217605</v>
      </c>
      <c r="AJ6710">
        <v>81.321844730198904</v>
      </c>
      <c r="AK6710">
        <v>21.0852610339021</v>
      </c>
      <c r="AL6710">
        <v>86.602919898521904</v>
      </c>
      <c r="AM6710">
        <v>89.223694790167002</v>
      </c>
      <c r="AN6710">
        <v>0.999999977089854</v>
      </c>
    </row>
    <row r="6711" spans="1:40" x14ac:dyDescent="0.25">
      <c r="A6711" t="str">
        <f>"20190312151703979"</f>
        <v>20190312151703979</v>
      </c>
      <c r="B6711" t="str">
        <f>"1552375023974833"</f>
        <v>1552375023974833</v>
      </c>
      <c r="C6711" t="s">
        <v>40</v>
      </c>
      <c r="D6711">
        <v>4.5917879999999904</v>
      </c>
      <c r="E6711">
        <v>0.55182640000000005</v>
      </c>
      <c r="F6711" t="s">
        <v>43</v>
      </c>
      <c r="G6711">
        <v>-185.2465</v>
      </c>
      <c r="H6711" s="1">
        <v>-1.3559279999999999E-6</v>
      </c>
      <c r="I6711">
        <v>79.915890000000005</v>
      </c>
      <c r="J6711">
        <v>-188.29650000000001</v>
      </c>
      <c r="K6711">
        <v>1.110052</v>
      </c>
      <c r="L6711">
        <v>59.067929999999997</v>
      </c>
      <c r="M6711">
        <v>-6.8248190000000002E-3</v>
      </c>
      <c r="N6711">
        <v>0</v>
      </c>
      <c r="O6711">
        <v>0.9998688</v>
      </c>
      <c r="P6711">
        <v>7.3966830000000003E-3</v>
      </c>
      <c r="Q6711">
        <v>4.4877170000000001E-2</v>
      </c>
      <c r="R6711">
        <v>0.99896510000000005</v>
      </c>
      <c r="S6711">
        <v>0.43251040000000002</v>
      </c>
      <c r="T6711">
        <v>-0.15754209999999999</v>
      </c>
      <c r="U6711">
        <v>3.0070800000000002</v>
      </c>
      <c r="V6711">
        <v>1.4184850000000001E-2</v>
      </c>
      <c r="W6711">
        <v>5.9553960000000003E-2</v>
      </c>
      <c r="X6711">
        <v>0.99812429999999996</v>
      </c>
      <c r="Y6711">
        <v>0.14892749999999999</v>
      </c>
      <c r="Z6711">
        <v>-5.1759479999999997E-2</v>
      </c>
      <c r="AA6711">
        <v>0.98749260000000005</v>
      </c>
      <c r="AB6711">
        <v>35</v>
      </c>
      <c r="AC6711">
        <v>3.05000000000001</v>
      </c>
      <c r="AD6711">
        <v>-1.1100533559279999</v>
      </c>
      <c r="AE6711">
        <v>20.84796</v>
      </c>
      <c r="AF6711">
        <v>3.1833919037481802</v>
      </c>
      <c r="AG6711">
        <v>-1.1100533559279999</v>
      </c>
      <c r="AH6711">
        <v>20.769009075879001</v>
      </c>
      <c r="AI6711">
        <v>93.024158810651699</v>
      </c>
      <c r="AJ6711">
        <v>81.285749142634998</v>
      </c>
      <c r="AK6711">
        <v>21.040863586359801</v>
      </c>
      <c r="AL6711">
        <v>86.585789228819806</v>
      </c>
      <c r="AM6711">
        <v>89.185795466896494</v>
      </c>
      <c r="AN6711">
        <v>1.0000000011858401</v>
      </c>
    </row>
    <row r="6712" spans="1:40" x14ac:dyDescent="0.25">
      <c r="A6712" t="str">
        <f>"20190312151704004"</f>
        <v>20190312151704004</v>
      </c>
      <c r="B6712" t="str">
        <f>"1552375023994353"</f>
        <v>1552375023994353</v>
      </c>
      <c r="C6712" t="s">
        <v>40</v>
      </c>
      <c r="D6712">
        <v>4.7103080000000004</v>
      </c>
      <c r="E6712">
        <v>0.55182609999999999</v>
      </c>
      <c r="F6712" t="s">
        <v>43</v>
      </c>
      <c r="G6712">
        <v>-185.2424</v>
      </c>
      <c r="H6712" s="1">
        <v>-1.4726770000000001E-6</v>
      </c>
      <c r="I6712">
        <v>80.25573</v>
      </c>
      <c r="J6712">
        <v>-188.29929999999999</v>
      </c>
      <c r="K6712">
        <v>1.1100540000000001</v>
      </c>
      <c r="L6712">
        <v>59.447850000000003</v>
      </c>
      <c r="M6712">
        <v>-7.0785190000000001E-3</v>
      </c>
      <c r="N6712">
        <v>0</v>
      </c>
      <c r="O6712">
        <v>0.99986710000000001</v>
      </c>
      <c r="P6712">
        <v>8.30615E-3</v>
      </c>
      <c r="Q6712">
        <v>4.4919639999999997E-2</v>
      </c>
      <c r="R6712">
        <v>0.99895610000000001</v>
      </c>
      <c r="S6712">
        <v>0.43344120000000003</v>
      </c>
      <c r="T6712">
        <v>-0.1575396</v>
      </c>
      <c r="U6712">
        <v>3.0069889999999999</v>
      </c>
      <c r="V6712">
        <v>1.534774E-2</v>
      </c>
      <c r="W6712">
        <v>5.9592510000000001E-2</v>
      </c>
      <c r="X6712">
        <v>0.99810480000000001</v>
      </c>
      <c r="Y6712">
        <v>0.14948210000000001</v>
      </c>
      <c r="Z6712">
        <v>-5.1756770000000001E-2</v>
      </c>
      <c r="AA6712">
        <v>0.98740890000000003</v>
      </c>
      <c r="AB6712">
        <v>35</v>
      </c>
      <c r="AC6712">
        <v>3.0568999999999802</v>
      </c>
      <c r="AD6712">
        <v>-1.110055472677</v>
      </c>
      <c r="AE6712">
        <v>20.807880000000001</v>
      </c>
      <c r="AF6712">
        <v>3.1952267867394402</v>
      </c>
      <c r="AG6712">
        <v>-1.110055472677</v>
      </c>
      <c r="AH6712">
        <v>20.7279725849911</v>
      </c>
      <c r="AI6712">
        <v>93.029743442846694</v>
      </c>
      <c r="AJ6712">
        <v>81.236805440230199</v>
      </c>
      <c r="AK6712">
        <v>21.002155719241301</v>
      </c>
      <c r="AL6712">
        <v>86.583576563391105</v>
      </c>
      <c r="AM6712">
        <v>89.119038973611694</v>
      </c>
      <c r="AN6712">
        <v>1.0000000060771199</v>
      </c>
    </row>
    <row r="6713" spans="1:40" x14ac:dyDescent="0.25">
      <c r="A6713" t="str">
        <f>"20190312151704026"</f>
        <v>20190312151704026</v>
      </c>
      <c r="B6713" t="str">
        <f>"1552375024014849"</f>
        <v>1552375024014849</v>
      </c>
      <c r="C6713" t="s">
        <v>40</v>
      </c>
      <c r="D6713">
        <v>5.2508350000000004</v>
      </c>
      <c r="E6713">
        <v>0.5518168</v>
      </c>
      <c r="F6713" t="s">
        <v>43</v>
      </c>
      <c r="G6713">
        <v>-185.2329</v>
      </c>
      <c r="H6713" s="1">
        <v>-1.5851399999999999E-6</v>
      </c>
      <c r="I6713">
        <v>80.578800000000001</v>
      </c>
      <c r="J6713">
        <v>-188.3021</v>
      </c>
      <c r="K6713">
        <v>1.1100540000000001</v>
      </c>
      <c r="L6713">
        <v>59.803890000000003</v>
      </c>
      <c r="M6713">
        <v>-7.3163680000000002E-3</v>
      </c>
      <c r="N6713">
        <v>0</v>
      </c>
      <c r="O6713">
        <v>0.99986540000000002</v>
      </c>
      <c r="P6713">
        <v>9.3244859999999999E-3</v>
      </c>
      <c r="Q6713">
        <v>4.5334380000000001E-2</v>
      </c>
      <c r="R6713">
        <v>0.99892840000000005</v>
      </c>
      <c r="S6713">
        <v>0.43630980000000003</v>
      </c>
      <c r="T6713">
        <v>-0.15794439999999901</v>
      </c>
      <c r="U6713">
        <v>3.0066220000000001</v>
      </c>
      <c r="V6713">
        <v>1.6603329999999999E-2</v>
      </c>
      <c r="W6713">
        <v>6.0003290000000001E-2</v>
      </c>
      <c r="X6713">
        <v>0.99806010000000001</v>
      </c>
      <c r="Y6713">
        <v>0.15065599999999901</v>
      </c>
      <c r="Z6713">
        <v>-5.1887339999999997E-2</v>
      </c>
      <c r="AA6713">
        <v>0.98722359999999998</v>
      </c>
      <c r="AB6713">
        <v>35</v>
      </c>
      <c r="AC6713">
        <v>3.0691999999999902</v>
      </c>
      <c r="AD6713">
        <v>-1.11005558514</v>
      </c>
      <c r="AE6713">
        <v>20.774909999999998</v>
      </c>
      <c r="AF6713">
        <v>3.2121561873642199</v>
      </c>
      <c r="AG6713">
        <v>-1.11005558514</v>
      </c>
      <c r="AH6713">
        <v>20.694075729793799</v>
      </c>
      <c r="AI6713">
        <v>93.034207340427798</v>
      </c>
      <c r="AJ6713">
        <v>81.176899274924907</v>
      </c>
      <c r="AK6713">
        <v>20.971288493665899</v>
      </c>
      <c r="AL6713">
        <v>86.559998438360793</v>
      </c>
      <c r="AM6713">
        <v>89.046938161254801</v>
      </c>
      <c r="AN6713">
        <v>1.0000000142949601</v>
      </c>
    </row>
    <row r="6714" spans="1:40" x14ac:dyDescent="0.25">
      <c r="A6714" t="str">
        <f>"20190312151704049"</f>
        <v>20190312151704049</v>
      </c>
      <c r="B6714" t="str">
        <f>"1552375024044130"</f>
        <v>1552375024044130</v>
      </c>
      <c r="C6714" t="s">
        <v>40</v>
      </c>
      <c r="D6714">
        <v>4.6985460000000003</v>
      </c>
      <c r="E6714">
        <v>0.55177209999999999</v>
      </c>
      <c r="F6714" t="s">
        <v>43</v>
      </c>
      <c r="G6714">
        <v>-185.1652</v>
      </c>
      <c r="H6714" s="1">
        <v>-1.835612E-6</v>
      </c>
      <c r="I6714">
        <v>81.261859999999999</v>
      </c>
      <c r="J6714">
        <v>-188.3048</v>
      </c>
      <c r="K6714">
        <v>1.1100540000000001</v>
      </c>
      <c r="L6714">
        <v>60.146479999999997</v>
      </c>
      <c r="M6714">
        <v>-7.5453159999999998E-3</v>
      </c>
      <c r="N6714">
        <v>0</v>
      </c>
      <c r="O6714">
        <v>0.99986379999999997</v>
      </c>
      <c r="P6714">
        <v>1.080834E-2</v>
      </c>
      <c r="Q6714">
        <v>4.5794420000000002E-2</v>
      </c>
      <c r="R6714">
        <v>0.99889240000000001</v>
      </c>
      <c r="S6714">
        <v>0.43946839999999998</v>
      </c>
      <c r="T6714">
        <v>-0.15551379999999901</v>
      </c>
      <c r="U6714">
        <v>3.0061650000000002</v>
      </c>
      <c r="V6714">
        <v>1.8315430000000001E-2</v>
      </c>
      <c r="W6714">
        <v>6.045975E-2</v>
      </c>
      <c r="X6714">
        <v>0.99800259999999996</v>
      </c>
      <c r="Y6714">
        <v>0.15192520000000001</v>
      </c>
      <c r="Z6714">
        <v>-5.1089669999999997E-2</v>
      </c>
      <c r="AA6714">
        <v>0.98707069999999997</v>
      </c>
      <c r="AB6714">
        <v>35</v>
      </c>
      <c r="AC6714">
        <v>3.1396000000000002</v>
      </c>
      <c r="AD6714">
        <v>-1.1100558356119901</v>
      </c>
      <c r="AE6714">
        <v>21.115379999999899</v>
      </c>
      <c r="AF6714">
        <v>3.2899541909214398</v>
      </c>
      <c r="AG6714">
        <v>-1.1100558356119901</v>
      </c>
      <c r="AH6714">
        <v>21.034211984936199</v>
      </c>
      <c r="AI6714">
        <v>92.984693721502694</v>
      </c>
      <c r="AJ6714">
        <v>81.1104105822386</v>
      </c>
      <c r="AK6714">
        <v>21.318867145413002</v>
      </c>
      <c r="AL6714">
        <v>86.533797633126795</v>
      </c>
      <c r="AM6714">
        <v>88.948620924628202</v>
      </c>
      <c r="AN6714">
        <v>1.0000000129764499</v>
      </c>
    </row>
    <row r="6715" spans="1:40" x14ac:dyDescent="0.25">
      <c r="A6715" t="str">
        <f>"20190312151704070"</f>
        <v>20190312151704070</v>
      </c>
      <c r="B6715" t="str">
        <f>"1552375024064627"</f>
        <v>1552375024064627</v>
      </c>
      <c r="C6715" t="s">
        <v>40</v>
      </c>
      <c r="D6715">
        <v>4.6295500000000001</v>
      </c>
      <c r="E6715">
        <v>0.55171139999999996</v>
      </c>
      <c r="F6715" t="s">
        <v>43</v>
      </c>
      <c r="G6715">
        <v>-185.1491</v>
      </c>
      <c r="H6715" s="1">
        <v>-1.9330500000000001E-6</v>
      </c>
      <c r="I6715">
        <v>81.535640000000001</v>
      </c>
      <c r="J6715">
        <v>-188.30760000000001</v>
      </c>
      <c r="K6715">
        <v>1.1100509999999999</v>
      </c>
      <c r="L6715">
        <v>60.484439999999999</v>
      </c>
      <c r="M6715">
        <v>-7.771249E-3</v>
      </c>
      <c r="N6715">
        <v>0</v>
      </c>
      <c r="O6715">
        <v>0.99986209999999998</v>
      </c>
      <c r="P6715">
        <v>1.256167E-2</v>
      </c>
      <c r="Q6715">
        <v>4.6390590000000002E-2</v>
      </c>
      <c r="R6715">
        <v>0.99884439999999997</v>
      </c>
      <c r="S6715">
        <v>0.44345089999999998</v>
      </c>
      <c r="T6715">
        <v>-0.15598879999999901</v>
      </c>
      <c r="U6715">
        <v>3.0056759999999998</v>
      </c>
      <c r="V6715">
        <v>2.0293809999999999E-2</v>
      </c>
      <c r="W6715">
        <v>6.1051830000000001E-2</v>
      </c>
      <c r="X6715">
        <v>0.99792829999999999</v>
      </c>
      <c r="Y6715">
        <v>0.15345039999999999</v>
      </c>
      <c r="Z6715">
        <v>-5.1242429999999999E-2</v>
      </c>
      <c r="AA6715">
        <v>0.9868268</v>
      </c>
      <c r="AB6715">
        <v>35</v>
      </c>
      <c r="AC6715">
        <v>3.1585000000000001</v>
      </c>
      <c r="AD6715">
        <v>-1.11005293305</v>
      </c>
      <c r="AE6715">
        <v>21.051200000000001</v>
      </c>
      <c r="AF6715">
        <v>3.3130071098432299</v>
      </c>
      <c r="AG6715">
        <v>-1.11005293305</v>
      </c>
      <c r="AH6715">
        <v>20.968993984579502</v>
      </c>
      <c r="AI6715">
        <v>92.9932250953661</v>
      </c>
      <c r="AJ6715">
        <v>81.021739478925895</v>
      </c>
      <c r="AK6715">
        <v>21.258102980966498</v>
      </c>
      <c r="AL6715">
        <v>86.4998112171114</v>
      </c>
      <c r="AM6715">
        <v>88.834997045596197</v>
      </c>
      <c r="AN6715">
        <v>1.00000002830577</v>
      </c>
    </row>
    <row r="6716" spans="1:40" x14ac:dyDescent="0.25">
      <c r="A6716" t="str">
        <f>"20190312151704091"</f>
        <v>20190312151704091</v>
      </c>
      <c r="B6716" t="str">
        <f>"1552375024084146"</f>
        <v>1552375024084146</v>
      </c>
      <c r="C6716" t="s">
        <v>40</v>
      </c>
      <c r="D6716">
        <v>4.710413</v>
      </c>
      <c r="E6716">
        <v>0.55163169999999995</v>
      </c>
      <c r="F6716" t="s">
        <v>43</v>
      </c>
      <c r="G6716">
        <v>-185.0975</v>
      </c>
      <c r="H6716" s="1">
        <v>-2.1035490000000001E-6</v>
      </c>
      <c r="I6716">
        <v>81.996279999999999</v>
      </c>
      <c r="J6716">
        <v>-188.31049999999999</v>
      </c>
      <c r="K6716">
        <v>1.1100509999999999</v>
      </c>
      <c r="L6716">
        <v>60.831969999999998</v>
      </c>
      <c r="M6716">
        <v>-8.0036440000000007E-3</v>
      </c>
      <c r="N6716">
        <v>0</v>
      </c>
      <c r="O6716">
        <v>0.99986030000000004</v>
      </c>
      <c r="P6716">
        <v>1.410925E-2</v>
      </c>
      <c r="Q6716">
        <v>4.6107889999999999E-2</v>
      </c>
      <c r="R6716">
        <v>0.99883679999999997</v>
      </c>
      <c r="S6716">
        <v>0.44842530000000003</v>
      </c>
      <c r="T6716">
        <v>-0.1550657</v>
      </c>
      <c r="U6716">
        <v>3.0050349999999999</v>
      </c>
      <c r="V6716">
        <v>2.2073619999999999E-2</v>
      </c>
      <c r="W6716">
        <v>6.0765779999999998E-2</v>
      </c>
      <c r="X6716">
        <v>0.99790789999999996</v>
      </c>
      <c r="Y6716">
        <v>0.1553108</v>
      </c>
      <c r="Z6716">
        <v>-5.0936950000000002E-2</v>
      </c>
      <c r="AA6716">
        <v>0.98655159999999997</v>
      </c>
      <c r="AB6716">
        <v>35</v>
      </c>
      <c r="AC6716">
        <v>3.2129999999999899</v>
      </c>
      <c r="AD6716">
        <v>-1.110053103549</v>
      </c>
      <c r="AE6716">
        <v>21.16431</v>
      </c>
      <c r="AF6716">
        <v>3.3732364241887098</v>
      </c>
      <c r="AG6716">
        <v>-1.110053103549</v>
      </c>
      <c r="AH6716">
        <v>21.081226995557</v>
      </c>
      <c r="AI6716">
        <v>92.976389889297906</v>
      </c>
      <c r="AJ6716">
        <v>80.909086798131696</v>
      </c>
      <c r="AK6716">
        <v>21.378238316203099</v>
      </c>
      <c r="AL6716">
        <v>86.516230890421596</v>
      </c>
      <c r="AM6716">
        <v>88.732829900734203</v>
      </c>
      <c r="AN6716">
        <v>0.99999995080065995</v>
      </c>
    </row>
    <row r="6717" spans="1:40" x14ac:dyDescent="0.25">
      <c r="A6717" t="str">
        <f>"20190312151704114"</f>
        <v>20190312151704114</v>
      </c>
      <c r="B6717" t="str">
        <f>"1552375024104645"</f>
        <v>1552375024104645</v>
      </c>
      <c r="C6717" t="s">
        <v>40</v>
      </c>
      <c r="D6717">
        <v>4.669664</v>
      </c>
      <c r="E6717">
        <v>0.55158640000000003</v>
      </c>
      <c r="F6717" t="s">
        <v>43</v>
      </c>
      <c r="G6717">
        <v>-185.10740000000001</v>
      </c>
      <c r="H6717" s="1">
        <v>-2.1324129999999998E-6</v>
      </c>
      <c r="I6717">
        <v>82.088840000000005</v>
      </c>
      <c r="J6717">
        <v>-188.3134</v>
      </c>
      <c r="K6717">
        <v>1.1100559999999999</v>
      </c>
      <c r="L6717">
        <v>61.164790000000004</v>
      </c>
      <c r="M6717">
        <v>-8.2259769999999902E-3</v>
      </c>
      <c r="N6717">
        <v>0</v>
      </c>
      <c r="O6717">
        <v>0.99985860000000004</v>
      </c>
      <c r="P6717">
        <v>1.588763E-2</v>
      </c>
      <c r="Q6717">
        <v>4.5998400000000002E-2</v>
      </c>
      <c r="R6717">
        <v>0.99881520000000001</v>
      </c>
      <c r="S6717">
        <v>0.45271299999999998</v>
      </c>
      <c r="T6717">
        <v>-0.1568891</v>
      </c>
      <c r="U6717">
        <v>3.0043329999999999</v>
      </c>
      <c r="V6717">
        <v>2.407395E-2</v>
      </c>
      <c r="W6717">
        <v>6.065251E-2</v>
      </c>
      <c r="X6717">
        <v>0.99786859999999999</v>
      </c>
      <c r="Y6717">
        <v>0.1569364</v>
      </c>
      <c r="Z6717">
        <v>-5.1533990000000002E-2</v>
      </c>
      <c r="AA6717">
        <v>0.98626329999999995</v>
      </c>
      <c r="AB6717">
        <v>35</v>
      </c>
      <c r="AC6717">
        <v>3.20599999999998</v>
      </c>
      <c r="AD6717">
        <v>-1.1100581324130001</v>
      </c>
      <c r="AE6717">
        <v>20.924050000000001</v>
      </c>
      <c r="AF6717">
        <v>3.3687668935618</v>
      </c>
      <c r="AG6717">
        <v>-1.1100581324130001</v>
      </c>
      <c r="AH6717">
        <v>20.8396589319306</v>
      </c>
      <c r="AI6717">
        <v>93.010069184097802</v>
      </c>
      <c r="AJ6717">
        <v>80.817472078284098</v>
      </c>
      <c r="AK6717">
        <v>21.139352020336101</v>
      </c>
      <c r="AL6717">
        <v>86.522732991069304</v>
      </c>
      <c r="AM6717">
        <v>88.617986157614794</v>
      </c>
      <c r="AN6717">
        <v>1.0000000124519299</v>
      </c>
    </row>
    <row r="6718" spans="1:40" x14ac:dyDescent="0.25">
      <c r="A6718" t="str">
        <f>"20190312151704135"</f>
        <v>20190312151704135</v>
      </c>
      <c r="B6718" t="str">
        <f>"1552375024124162"</f>
        <v>1552375024124162</v>
      </c>
      <c r="C6718" t="s">
        <v>40</v>
      </c>
      <c r="D6718">
        <v>4.7081080000000002</v>
      </c>
      <c r="E6718">
        <v>0.55149619999999999</v>
      </c>
      <c r="F6718" t="s">
        <v>43</v>
      </c>
      <c r="G6718">
        <v>-185.1078</v>
      </c>
      <c r="H6718" s="1">
        <v>-2.1737999999999998E-6</v>
      </c>
      <c r="I6718">
        <v>82.21078</v>
      </c>
      <c r="J6718">
        <v>-188.31649999999999</v>
      </c>
      <c r="K6718">
        <v>1.110058</v>
      </c>
      <c r="L6718">
        <v>61.512419999999999</v>
      </c>
      <c r="M6718">
        <v>-8.458531E-3</v>
      </c>
      <c r="N6718">
        <v>0</v>
      </c>
      <c r="O6718">
        <v>0.99985670000000004</v>
      </c>
      <c r="P6718">
        <v>1.7744900000000001E-2</v>
      </c>
      <c r="Q6718">
        <v>4.5464879999999999E-2</v>
      </c>
      <c r="R6718">
        <v>0.99880829999999998</v>
      </c>
      <c r="S6718">
        <v>0.45748899999999998</v>
      </c>
      <c r="T6718">
        <v>-0.15842149999999999</v>
      </c>
      <c r="U6718">
        <v>3.003571</v>
      </c>
      <c r="V6718">
        <v>2.616369E-2</v>
      </c>
      <c r="W6718">
        <v>6.0116089999999997E-2</v>
      </c>
      <c r="X6718">
        <v>0.99784850000000003</v>
      </c>
      <c r="Y6718">
        <v>0.15873190000000001</v>
      </c>
      <c r="Z6718">
        <v>-5.2035209999999998E-2</v>
      </c>
      <c r="AA6718">
        <v>0.98594959999999998</v>
      </c>
      <c r="AB6718">
        <v>35</v>
      </c>
      <c r="AC6718">
        <v>3.2086999999999901</v>
      </c>
      <c r="AD6718">
        <v>-1.1100601738</v>
      </c>
      <c r="AE6718">
        <v>20.698360000000001</v>
      </c>
      <c r="AF6718">
        <v>3.3742045536134202</v>
      </c>
      <c r="AG6718">
        <v>-1.1100601738</v>
      </c>
      <c r="AH6718">
        <v>20.612580698774401</v>
      </c>
      <c r="AI6718">
        <v>93.042189088265204</v>
      </c>
      <c r="AJ6718">
        <v>80.703343207216093</v>
      </c>
      <c r="AK6718">
        <v>20.916404399957699</v>
      </c>
      <c r="AL6718">
        <v>86.5535239301405</v>
      </c>
      <c r="AM6718">
        <v>88.498042917751903</v>
      </c>
      <c r="AN6718">
        <v>1.0000000559517701</v>
      </c>
    </row>
    <row r="6719" spans="1:40" x14ac:dyDescent="0.25">
      <c r="A6719" t="str">
        <f>"20190312151704159"</f>
        <v>20190312151704159</v>
      </c>
      <c r="B6719" t="str">
        <f>"1552375024154418"</f>
        <v>1552375024154418</v>
      </c>
      <c r="C6719" t="s">
        <v>40</v>
      </c>
      <c r="D6719">
        <v>4.6769230000000004</v>
      </c>
      <c r="E6719">
        <v>0.5222002</v>
      </c>
      <c r="F6719" t="s">
        <v>43</v>
      </c>
      <c r="G6719">
        <v>-185.1276</v>
      </c>
      <c r="H6719" s="1">
        <v>-2.1720149999999999E-6</v>
      </c>
      <c r="I6719">
        <v>82.221000000000004</v>
      </c>
      <c r="J6719">
        <v>-188.31970000000001</v>
      </c>
      <c r="K6719">
        <v>1.1100650000000001</v>
      </c>
      <c r="L6719">
        <v>61.867890000000003</v>
      </c>
      <c r="M6719">
        <v>-8.6965840000000003E-3</v>
      </c>
      <c r="N6719">
        <v>0</v>
      </c>
      <c r="O6719">
        <v>0.99985469999999999</v>
      </c>
      <c r="P6719">
        <v>1.9267570000000001E-2</v>
      </c>
      <c r="Q6719">
        <v>4.4989580000000001E-2</v>
      </c>
      <c r="R6719">
        <v>0.99880159999999996</v>
      </c>
      <c r="S6719">
        <v>0.4623871</v>
      </c>
      <c r="T6719">
        <v>-0.16095570000000001</v>
      </c>
      <c r="U6719">
        <v>3.0026860000000002</v>
      </c>
      <c r="V6719">
        <v>2.7924330000000001E-2</v>
      </c>
      <c r="W6719">
        <v>5.9637259999999997E-2</v>
      </c>
      <c r="X6719">
        <v>0.99782939999999998</v>
      </c>
      <c r="Y6719">
        <v>0.16057469999999999</v>
      </c>
      <c r="Z6719">
        <v>-5.2866030000000001E-2</v>
      </c>
      <c r="AA6719">
        <v>0.98560689999999995</v>
      </c>
      <c r="AB6719">
        <v>35</v>
      </c>
      <c r="AC6719">
        <v>3.1921000000000102</v>
      </c>
      <c r="AD6719">
        <v>-1.1100671720149999</v>
      </c>
      <c r="AE6719">
        <v>20.353110000000001</v>
      </c>
      <c r="AF6719">
        <v>3.3592480990562499</v>
      </c>
      <c r="AG6719">
        <v>-1.1100671720149999</v>
      </c>
      <c r="AH6719">
        <v>20.265740406052</v>
      </c>
      <c r="AI6719">
        <v>93.093152266358203</v>
      </c>
      <c r="AJ6719">
        <v>80.588232216005693</v>
      </c>
      <c r="AK6719">
        <v>20.572239331752101</v>
      </c>
      <c r="AL6719">
        <v>86.581007787050794</v>
      </c>
      <c r="AM6719">
        <v>88.396991733014403</v>
      </c>
      <c r="AN6719">
        <v>0.999999941245306</v>
      </c>
    </row>
    <row r="6720" spans="1:40" x14ac:dyDescent="0.25">
      <c r="A6720" t="str">
        <f>"20190312151704182"</f>
        <v>20190312151704182</v>
      </c>
      <c r="B6720" t="str">
        <f>"1552375024174914"</f>
        <v>1552375024174914</v>
      </c>
      <c r="C6720" t="s">
        <v>40</v>
      </c>
      <c r="D6720">
        <v>4.9723680000000003</v>
      </c>
      <c r="E6720">
        <v>0.51899620000000002</v>
      </c>
      <c r="F6720" t="s">
        <v>41</v>
      </c>
      <c r="G6720">
        <v>-188.24529999999999</v>
      </c>
      <c r="H6720">
        <v>1.0515699999999999</v>
      </c>
      <c r="I6720">
        <v>62.826070000000001</v>
      </c>
      <c r="J6720">
        <v>-188.32310000000001</v>
      </c>
      <c r="K6720">
        <v>1.110058</v>
      </c>
      <c r="L6720">
        <v>62.227260000000001</v>
      </c>
      <c r="M6720">
        <v>-8.9371989999999998E-3</v>
      </c>
      <c r="N6720">
        <v>0</v>
      </c>
      <c r="O6720">
        <v>0.99985270000000004</v>
      </c>
      <c r="P6720">
        <v>2.0576850000000001E-2</v>
      </c>
      <c r="Q6720">
        <v>4.495329E-2</v>
      </c>
      <c r="R6720">
        <v>0.99877720000000003</v>
      </c>
      <c r="S6720">
        <v>0.23315429999999901</v>
      </c>
      <c r="T6720">
        <v>-0.18363299999999999</v>
      </c>
      <c r="U6720">
        <v>3.007355</v>
      </c>
      <c r="V6720">
        <v>2.947373E-2</v>
      </c>
      <c r="W6720">
        <v>5.9597270000000001E-2</v>
      </c>
      <c r="X6720">
        <v>0.99778730000000004</v>
      </c>
      <c r="Y6720">
        <v>8.6061650000000003E-2</v>
      </c>
      <c r="Z6720">
        <v>-6.0740240000000001E-2</v>
      </c>
      <c r="AA6720">
        <v>0.99443649999999995</v>
      </c>
      <c r="AB6720">
        <v>35</v>
      </c>
      <c r="AC6720">
        <v>7.7800000000024697E-2</v>
      </c>
      <c r="AD6720">
        <v>-5.8487999999999797E-2</v>
      </c>
      <c r="AE6720">
        <v>0.59880999999999296</v>
      </c>
      <c r="AF6720">
        <v>8.2376313839993803E-2</v>
      </c>
      <c r="AG6720">
        <v>-5.8487999999999797E-2</v>
      </c>
      <c r="AH6720">
        <v>0.592531684613543</v>
      </c>
      <c r="AI6720">
        <v>95.583966970441693</v>
      </c>
      <c r="AJ6720">
        <v>82.085224723578307</v>
      </c>
      <c r="AK6720">
        <v>0.60108277341546601</v>
      </c>
      <c r="AL6720">
        <v>86.583303382790106</v>
      </c>
      <c r="AM6720">
        <v>88.308026747051102</v>
      </c>
      <c r="AN6720">
        <v>1.0000000156964199</v>
      </c>
    </row>
    <row r="6721" spans="1:40" x14ac:dyDescent="0.25">
      <c r="A6721" t="str">
        <f>"20190312151704205"</f>
        <v>20190312151704205</v>
      </c>
      <c r="B6721" t="str">
        <f>"1552375024194436"</f>
        <v>1552375024194436</v>
      </c>
      <c r="C6721" t="s">
        <v>40</v>
      </c>
      <c r="D6721">
        <v>4.6637620000000002</v>
      </c>
      <c r="E6721">
        <v>0.51821260000000002</v>
      </c>
      <c r="F6721" t="s">
        <v>43</v>
      </c>
      <c r="G6721">
        <v>-187.01179999999999</v>
      </c>
      <c r="H6721" s="1">
        <v>-1.210204E-6</v>
      </c>
      <c r="I6721">
        <v>80.867900000000006</v>
      </c>
      <c r="J6721">
        <v>-188.32650000000001</v>
      </c>
      <c r="K6721">
        <v>1.1100559999999999</v>
      </c>
      <c r="L6721">
        <v>62.576970000000003</v>
      </c>
      <c r="M6721">
        <v>-9.171238E-3</v>
      </c>
      <c r="N6721">
        <v>0</v>
      </c>
      <c r="O6721">
        <v>0.99985060000000003</v>
      </c>
      <c r="P6721">
        <v>2.19531E-2</v>
      </c>
      <c r="Q6721">
        <v>4.4694589999999999E-2</v>
      </c>
      <c r="R6721">
        <v>0.99875939999999996</v>
      </c>
      <c r="S6721">
        <v>0.2115631</v>
      </c>
      <c r="T6721">
        <v>-0.17908940000000001</v>
      </c>
      <c r="U6721">
        <v>3.007355</v>
      </c>
      <c r="V6721">
        <v>3.1083710000000001E-2</v>
      </c>
      <c r="W6721">
        <v>5.9334999999999999E-2</v>
      </c>
      <c r="X6721">
        <v>0.99775400000000003</v>
      </c>
      <c r="Y6721">
        <v>7.9198389999999994E-2</v>
      </c>
      <c r="Z6721">
        <v>-5.9275059999999997E-2</v>
      </c>
      <c r="AA6721">
        <v>0.99509499999999995</v>
      </c>
      <c r="AB6721">
        <v>35</v>
      </c>
      <c r="AC6721">
        <v>1.31470000000001</v>
      </c>
      <c r="AD6721">
        <v>-1.1100572102039901</v>
      </c>
      <c r="AE6721">
        <v>18.290929999999999</v>
      </c>
      <c r="AF6721">
        <v>1.47700112350361</v>
      </c>
      <c r="AG6721">
        <v>-1.1100572102039901</v>
      </c>
      <c r="AH6721">
        <v>18.2113714360719</v>
      </c>
      <c r="AI6721">
        <v>93.476707791638205</v>
      </c>
      <c r="AJ6721">
        <v>85.363275582494296</v>
      </c>
      <c r="AK6721">
        <v>18.304857522289801</v>
      </c>
      <c r="AL6721">
        <v>86.598356735320493</v>
      </c>
      <c r="AM6721">
        <v>88.215602686821299</v>
      </c>
      <c r="AN6721">
        <v>0.99999994188417995</v>
      </c>
    </row>
    <row r="6722" spans="1:40" x14ac:dyDescent="0.25">
      <c r="A6722" t="str">
        <f>"20190312151704227"</f>
        <v>20190312151704227</v>
      </c>
      <c r="B6722" t="str">
        <f>"1552375024224691"</f>
        <v>1552375024224691</v>
      </c>
      <c r="C6722" t="s">
        <v>40</v>
      </c>
      <c r="D6722">
        <v>4.688625</v>
      </c>
      <c r="E6722">
        <v>0.51740209999999998</v>
      </c>
      <c r="F6722" t="s">
        <v>43</v>
      </c>
      <c r="G6722">
        <v>-187.02010000000001</v>
      </c>
      <c r="H6722" s="1">
        <v>-1.3665190000000001E-6</v>
      </c>
      <c r="I6722">
        <v>81.333740000000006</v>
      </c>
      <c r="J6722">
        <v>-188.33</v>
      </c>
      <c r="K6722">
        <v>1.1100589999999999</v>
      </c>
      <c r="L6722">
        <v>62.931730000000002</v>
      </c>
      <c r="M6722">
        <v>-9.4071160000000001E-3</v>
      </c>
      <c r="N6722">
        <v>0</v>
      </c>
      <c r="O6722">
        <v>0.99984850000000003</v>
      </c>
      <c r="P6722">
        <v>2.2909680000000002E-2</v>
      </c>
      <c r="Q6722">
        <v>4.4533940000000001E-2</v>
      </c>
      <c r="R6722">
        <v>0.99874510000000005</v>
      </c>
      <c r="S6722">
        <v>0.20944209999999999</v>
      </c>
      <c r="T6722">
        <v>-0.17796409999999999</v>
      </c>
      <c r="U6722">
        <v>3.0070800000000002</v>
      </c>
      <c r="V6722">
        <v>3.227592E-2</v>
      </c>
      <c r="W6722">
        <v>5.9170300000000002E-2</v>
      </c>
      <c r="X6722">
        <v>0.997726</v>
      </c>
      <c r="Y6722">
        <v>7.8742950000000006E-2</v>
      </c>
      <c r="Z6722">
        <v>-5.891155E-2</v>
      </c>
      <c r="AA6722">
        <v>0.9951527</v>
      </c>
      <c r="AB6722">
        <v>35</v>
      </c>
      <c r="AC6722">
        <v>1.3098999999999901</v>
      </c>
      <c r="AD6722">
        <v>-1.1100603665190001</v>
      </c>
      <c r="AE6722">
        <v>18.402010000000001</v>
      </c>
      <c r="AF6722">
        <v>1.4776207224141</v>
      </c>
      <c r="AG6722">
        <v>-1.1100603665190001</v>
      </c>
      <c r="AH6722">
        <v>18.322535266220701</v>
      </c>
      <c r="AI6722">
        <v>93.455802416160793</v>
      </c>
      <c r="AJ6722">
        <v>85.389360279604801</v>
      </c>
      <c r="AK6722">
        <v>18.415506932977099</v>
      </c>
      <c r="AL6722">
        <v>86.607810209055501</v>
      </c>
      <c r="AM6722">
        <v>88.147157316747993</v>
      </c>
      <c r="AN6722">
        <v>1.00000001524496</v>
      </c>
    </row>
    <row r="6723" spans="1:40" x14ac:dyDescent="0.25">
      <c r="A6723" t="str">
        <f>"20190312151704248"</f>
        <v>20190312151704248</v>
      </c>
      <c r="B6723" t="str">
        <f>"1552375024244210"</f>
        <v>1552375024244210</v>
      </c>
      <c r="C6723" t="s">
        <v>40</v>
      </c>
      <c r="D6723">
        <v>4.6848029999999996</v>
      </c>
      <c r="E6723">
        <v>0.51695360000000001</v>
      </c>
      <c r="F6723" t="s">
        <v>43</v>
      </c>
      <c r="G6723">
        <v>-186.9598</v>
      </c>
      <c r="H6723" s="1">
        <v>-1.9559409999999998E-6</v>
      </c>
      <c r="I6723">
        <v>82.935050000000004</v>
      </c>
      <c r="J6723">
        <v>-188.33320000000001</v>
      </c>
      <c r="K6723">
        <v>1.1100570000000001</v>
      </c>
      <c r="L6723">
        <v>63.248170000000002</v>
      </c>
      <c r="M6723">
        <v>-9.6136590000000001E-3</v>
      </c>
      <c r="N6723">
        <v>0</v>
      </c>
      <c r="O6723">
        <v>0.99984660000000003</v>
      </c>
      <c r="P6723">
        <v>2.391277E-2</v>
      </c>
      <c r="Q6723">
        <v>4.4400679999999998E-2</v>
      </c>
      <c r="R6723">
        <v>0.99872760000000005</v>
      </c>
      <c r="S6723">
        <v>0.20593259999999999</v>
      </c>
      <c r="T6723">
        <v>-0.16684060000000001</v>
      </c>
      <c r="U6723">
        <v>3.0064700000000002</v>
      </c>
      <c r="V6723">
        <v>3.3485479999999998E-2</v>
      </c>
      <c r="W6723">
        <v>5.9033679999999998E-2</v>
      </c>
      <c r="X6723">
        <v>0.99769419999999998</v>
      </c>
      <c r="Y6723">
        <v>7.7820990000000007E-2</v>
      </c>
      <c r="Z6723">
        <v>-5.5256180000000002E-2</v>
      </c>
      <c r="AA6723">
        <v>0.99543490000000001</v>
      </c>
      <c r="AB6723">
        <v>35</v>
      </c>
      <c r="AC6723">
        <v>1.3734</v>
      </c>
      <c r="AD6723">
        <v>-1.1100589559409999</v>
      </c>
      <c r="AE6723">
        <v>19.686879999999999</v>
      </c>
      <c r="AF6723">
        <v>1.55769129768829</v>
      </c>
      <c r="AG6723">
        <v>-1.1100589559409999</v>
      </c>
      <c r="AH6723">
        <v>19.610717854109399</v>
      </c>
      <c r="AI6723">
        <v>93.229603169693107</v>
      </c>
      <c r="AJ6723">
        <v>85.458496337805798</v>
      </c>
      <c r="AK6723">
        <v>19.703778516265402</v>
      </c>
      <c r="AL6723">
        <v>86.615651562205102</v>
      </c>
      <c r="AM6723">
        <v>88.077710824055998</v>
      </c>
      <c r="AN6723">
        <v>0.99999998472940599</v>
      </c>
    </row>
    <row r="6724" spans="1:40" x14ac:dyDescent="0.25">
      <c r="A6724" t="str">
        <f>"20190312151704270"</f>
        <v>20190312151704270</v>
      </c>
      <c r="B6724" t="str">
        <f>"1552375024264706"</f>
        <v>1552375024264706</v>
      </c>
      <c r="C6724" t="s">
        <v>40</v>
      </c>
      <c r="D6724">
        <v>4.9824630000000001</v>
      </c>
      <c r="E6724">
        <v>0.51660669999999997</v>
      </c>
      <c r="F6724" t="s">
        <v>43</v>
      </c>
      <c r="G6724">
        <v>-186.97649999999999</v>
      </c>
      <c r="H6724" s="1">
        <v>-2.0167629999999999E-6</v>
      </c>
      <c r="I6724">
        <v>83.08372</v>
      </c>
      <c r="J6724">
        <v>-188.33680000000001</v>
      </c>
      <c r="K6724">
        <v>1.110053</v>
      </c>
      <c r="L6724">
        <v>63.601349999999996</v>
      </c>
      <c r="M6724">
        <v>-9.8382669999999995E-3</v>
      </c>
      <c r="N6724">
        <v>0</v>
      </c>
      <c r="O6724">
        <v>0.99984439999999997</v>
      </c>
      <c r="P6724">
        <v>2.4452950000000001E-2</v>
      </c>
      <c r="Q6724">
        <v>4.4643410000000001E-2</v>
      </c>
      <c r="R6724">
        <v>0.99870369999999997</v>
      </c>
      <c r="S6724">
        <v>0.20562739999999999</v>
      </c>
      <c r="T6724">
        <v>-0.16824629999999999</v>
      </c>
      <c r="U6724">
        <v>3.0063780000000002</v>
      </c>
      <c r="V6724">
        <v>3.4250290000000003E-2</v>
      </c>
      <c r="W6724">
        <v>5.9271690000000002E-2</v>
      </c>
      <c r="X6724">
        <v>0.99765409999999999</v>
      </c>
      <c r="Y6724">
        <v>7.7944689999999997E-2</v>
      </c>
      <c r="Z6724">
        <v>-5.5721739999999999E-2</v>
      </c>
      <c r="AA6724">
        <v>0.99539929999999999</v>
      </c>
      <c r="AB6724">
        <v>35</v>
      </c>
      <c r="AC6724">
        <v>1.36030000000002</v>
      </c>
      <c r="AD6724">
        <v>-1.1100550167629999</v>
      </c>
      <c r="AE6724">
        <v>19.48237</v>
      </c>
      <c r="AF6724">
        <v>1.54692983022567</v>
      </c>
      <c r="AG6724">
        <v>-1.1100550167629999</v>
      </c>
      <c r="AH6724">
        <v>19.4053500926738</v>
      </c>
      <c r="AI6724">
        <v>93.263623497125195</v>
      </c>
      <c r="AJ6724">
        <v>85.442209655877406</v>
      </c>
      <c r="AK6724">
        <v>19.498533951533901</v>
      </c>
      <c r="AL6724">
        <v>86.6019905864474</v>
      </c>
      <c r="AM6724">
        <v>88.033760754612302</v>
      </c>
      <c r="AN6724">
        <v>0.99999995942367403</v>
      </c>
    </row>
    <row r="6725" spans="1:40" x14ac:dyDescent="0.25">
      <c r="A6725" t="str">
        <f>"20190312151704293"</f>
        <v>20190312151704293</v>
      </c>
      <c r="B6725" t="str">
        <f>"1552375024284226"</f>
        <v>1552375024284226</v>
      </c>
      <c r="C6725" t="s">
        <v>40</v>
      </c>
      <c r="D6725">
        <v>4.7210330000000003</v>
      </c>
      <c r="E6725">
        <v>0.51627270000000003</v>
      </c>
      <c r="F6725" t="s">
        <v>43</v>
      </c>
      <c r="G6725">
        <v>-186.96080000000001</v>
      </c>
      <c r="H6725" s="1">
        <v>-2.329619E-6</v>
      </c>
      <c r="I6725">
        <v>83.806510000000003</v>
      </c>
      <c r="J6725">
        <v>-188.34030000000001</v>
      </c>
      <c r="K6725">
        <v>1.110042</v>
      </c>
      <c r="L6725">
        <v>63.934449999999998</v>
      </c>
      <c r="M6725">
        <v>-1.004263E-2</v>
      </c>
      <c r="N6725">
        <v>0</v>
      </c>
      <c r="O6725">
        <v>0.99984249999999997</v>
      </c>
      <c r="P6725">
        <v>2.4601540000000002E-2</v>
      </c>
      <c r="Q6725">
        <v>4.4788840000000003E-2</v>
      </c>
      <c r="R6725">
        <v>0.99869350000000001</v>
      </c>
      <c r="S6725">
        <v>0.2047272</v>
      </c>
      <c r="T6725">
        <v>-0.16516129999999901</v>
      </c>
      <c r="U6725">
        <v>3.006256</v>
      </c>
      <c r="V6725">
        <v>3.4603660000000001E-2</v>
      </c>
      <c r="W6725">
        <v>5.9413050000000002E-2</v>
      </c>
      <c r="X6725">
        <v>0.99763349999999995</v>
      </c>
      <c r="Y6725">
        <v>7.7858300000000005E-2</v>
      </c>
      <c r="Z6725">
        <v>-5.4705869999999997E-2</v>
      </c>
      <c r="AA6725">
        <v>0.99546239999999997</v>
      </c>
      <c r="AB6725">
        <v>35</v>
      </c>
      <c r="AC6725">
        <v>1.3794999999999999</v>
      </c>
      <c r="AD6725">
        <v>-1.1100443296189999</v>
      </c>
      <c r="AE6725">
        <v>19.872060000000001</v>
      </c>
      <c r="AF6725">
        <v>1.5741313451452099</v>
      </c>
      <c r="AG6725">
        <v>-1.1100443296189999</v>
      </c>
      <c r="AH6725">
        <v>19.795730205231301</v>
      </c>
      <c r="AI6725">
        <v>93.199417775641194</v>
      </c>
      <c r="AJ6725">
        <v>85.453479113056702</v>
      </c>
      <c r="AK6725">
        <v>19.889218744430199</v>
      </c>
      <c r="AL6725">
        <v>86.593876964962803</v>
      </c>
      <c r="AM6725">
        <v>88.013449688263904</v>
      </c>
      <c r="AN6725">
        <v>0.99999996205897301</v>
      </c>
    </row>
    <row r="6726" spans="1:40" x14ac:dyDescent="0.25">
      <c r="A6726" t="str">
        <f>"20190312151704315"</f>
        <v>20190312151704315</v>
      </c>
      <c r="B6726" t="str">
        <f>"1552375024304721"</f>
        <v>1552375024304721</v>
      </c>
      <c r="C6726" t="s">
        <v>40</v>
      </c>
      <c r="D6726">
        <v>4.7172530000000004</v>
      </c>
      <c r="E6726">
        <v>0.51591560000000003</v>
      </c>
      <c r="F6726" t="s">
        <v>43</v>
      </c>
      <c r="G6726">
        <v>-186.9795</v>
      </c>
      <c r="H6726" s="1">
        <v>-2.4661489999999999E-6</v>
      </c>
      <c r="I6726">
        <v>84.132480000000001</v>
      </c>
      <c r="J6726">
        <v>-188.34399999999999</v>
      </c>
      <c r="K6726">
        <v>1.1100350000000001</v>
      </c>
      <c r="L6726">
        <v>64.282989999999998</v>
      </c>
      <c r="M6726">
        <v>-1.024832E-2</v>
      </c>
      <c r="N6726">
        <v>0</v>
      </c>
      <c r="O6726">
        <v>0.99984039999999996</v>
      </c>
      <c r="P6726">
        <v>2.4247560000000001E-2</v>
      </c>
      <c r="Q6726">
        <v>4.4574419999999997E-2</v>
      </c>
      <c r="R6726">
        <v>0.99871180000000004</v>
      </c>
      <c r="S6726">
        <v>0.20254520000000001</v>
      </c>
      <c r="T6726">
        <v>-0.16522300000000001</v>
      </c>
      <c r="U6726">
        <v>3.006348</v>
      </c>
      <c r="V6726">
        <v>3.4456439999999998E-2</v>
      </c>
      <c r="W6726">
        <v>5.9194089999999998E-2</v>
      </c>
      <c r="X6726">
        <v>0.99765159999999997</v>
      </c>
      <c r="Y6726">
        <v>7.7342060000000004E-2</v>
      </c>
      <c r="Z6726">
        <v>-5.4726879999999999E-2</v>
      </c>
      <c r="AA6726">
        <v>0.99550150000000004</v>
      </c>
      <c r="AB6726">
        <v>35</v>
      </c>
      <c r="AC6726">
        <v>1.36450000000002</v>
      </c>
      <c r="AD6726">
        <v>-1.110037466149</v>
      </c>
      <c r="AE6726">
        <v>19.849489999999999</v>
      </c>
      <c r="AF6726">
        <v>1.56300895053528</v>
      </c>
      <c r="AG6726">
        <v>-1.110037466149</v>
      </c>
      <c r="AH6726">
        <v>19.772916037992498</v>
      </c>
      <c r="AI6726">
        <v>93.203200403781807</v>
      </c>
      <c r="AJ6726">
        <v>85.480283023292699</v>
      </c>
      <c r="AK6726">
        <v>19.865633360182802</v>
      </c>
      <c r="AL6726">
        <v>86.606444530029506</v>
      </c>
      <c r="AM6726">
        <v>88.021930524385397</v>
      </c>
      <c r="AN6726">
        <v>0.99999995076547898</v>
      </c>
    </row>
    <row r="6727" spans="1:40" x14ac:dyDescent="0.25">
      <c r="A6727" t="str">
        <f>"20190312151704336"</f>
        <v>20190312151704336</v>
      </c>
      <c r="B6727" t="str">
        <f>"1552375024324242"</f>
        <v>1552375024324242</v>
      </c>
      <c r="C6727" t="s">
        <v>40</v>
      </c>
      <c r="D6727">
        <v>4.7003519999999996</v>
      </c>
      <c r="E6727">
        <v>0.51557989999999998</v>
      </c>
      <c r="F6727" t="s">
        <v>43</v>
      </c>
      <c r="G6727">
        <v>-187.00790000000001</v>
      </c>
      <c r="H6727" s="1">
        <v>-2.6221120000000002E-6</v>
      </c>
      <c r="I6727">
        <v>84.50779</v>
      </c>
      <c r="J6727">
        <v>-188.3476</v>
      </c>
      <c r="K6727">
        <v>1.1100270000000001</v>
      </c>
      <c r="L6727">
        <v>64.620999999999995</v>
      </c>
      <c r="M6727">
        <v>-1.0439840000000001E-2</v>
      </c>
      <c r="N6727">
        <v>0</v>
      </c>
      <c r="O6727">
        <v>0.99983849999999996</v>
      </c>
      <c r="P6727">
        <v>2.3677879999999998E-2</v>
      </c>
      <c r="Q6727">
        <v>4.5382220000000001E-2</v>
      </c>
      <c r="R6727">
        <v>0.9986891</v>
      </c>
      <c r="S6727">
        <v>0.19860839999999999</v>
      </c>
      <c r="T6727">
        <v>-0.1650066</v>
      </c>
      <c r="U6727">
        <v>3.0064090000000001</v>
      </c>
      <c r="V6727">
        <v>3.4078499999999998E-2</v>
      </c>
      <c r="W6727">
        <v>5.999757E-2</v>
      </c>
      <c r="X6727">
        <v>0.99761659999999996</v>
      </c>
      <c r="Y6727">
        <v>7.6234090000000004E-2</v>
      </c>
      <c r="Z6727">
        <v>-5.4658869999999998E-2</v>
      </c>
      <c r="AA6727">
        <v>0.99559070000000005</v>
      </c>
      <c r="AB6727">
        <v>34</v>
      </c>
      <c r="AC6727">
        <v>1.3396999999999899</v>
      </c>
      <c r="AD6727">
        <v>-1.1100296221120001</v>
      </c>
      <c r="AE6727">
        <v>19.886789999999898</v>
      </c>
      <c r="AF6727">
        <v>1.54248007903801</v>
      </c>
      <c r="AG6727">
        <v>-1.1100296221120001</v>
      </c>
      <c r="AH6727">
        <v>19.8102764689094</v>
      </c>
      <c r="AI6727">
        <v>93.197444356231898</v>
      </c>
      <c r="AJ6727">
        <v>85.547783165753003</v>
      </c>
      <c r="AK6727">
        <v>19.901217659500599</v>
      </c>
      <c r="AL6727">
        <v>86.560326597423398</v>
      </c>
      <c r="AM6727">
        <v>88.043541702308303</v>
      </c>
      <c r="AN6727">
        <v>0.99999996658185597</v>
      </c>
    </row>
    <row r="6728" spans="1:40" x14ac:dyDescent="0.25">
      <c r="A6728" t="str">
        <f>"20190312151704360"</f>
        <v>20190312151704360</v>
      </c>
      <c r="B6728" t="str">
        <f>"1552375024354497"</f>
        <v>1552375024354497</v>
      </c>
      <c r="C6728" t="s">
        <v>40</v>
      </c>
      <c r="D6728">
        <v>4.7204160000000002</v>
      </c>
      <c r="E6728">
        <v>0.51521689999999998</v>
      </c>
      <c r="F6728" t="s">
        <v>43</v>
      </c>
      <c r="G6728">
        <v>-187.03190000000001</v>
      </c>
      <c r="H6728" s="1">
        <v>-2.8360640000000001E-6</v>
      </c>
      <c r="I6728">
        <v>85.016450000000006</v>
      </c>
      <c r="J6728">
        <v>-188.35149999999999</v>
      </c>
      <c r="K6728">
        <v>1.1100300000000001</v>
      </c>
      <c r="L6728">
        <v>64.97842</v>
      </c>
      <c r="M6728">
        <v>-1.063455E-2</v>
      </c>
      <c r="N6728">
        <v>0</v>
      </c>
      <c r="O6728">
        <v>0.99983650000000002</v>
      </c>
      <c r="P6728">
        <v>2.3470000000000001E-2</v>
      </c>
      <c r="Q6728">
        <v>4.5541760000000001E-2</v>
      </c>
      <c r="R6728">
        <v>0.99868670000000004</v>
      </c>
      <c r="S6728">
        <v>0.19396969999999999</v>
      </c>
      <c r="T6728">
        <v>-0.16364479999999901</v>
      </c>
      <c r="U6728">
        <v>3.0067750000000002</v>
      </c>
      <c r="V6728">
        <v>3.4065980000000003E-2</v>
      </c>
      <c r="W6728">
        <v>6.0152259999999999E-2</v>
      </c>
      <c r="X6728">
        <v>0.99760780000000004</v>
      </c>
      <c r="Y6728">
        <v>7.4892390000000003E-2</v>
      </c>
      <c r="Z6728">
        <v>-5.420784E-2</v>
      </c>
      <c r="AA6728">
        <v>0.99571719999999997</v>
      </c>
      <c r="AB6728">
        <v>34</v>
      </c>
      <c r="AC6728">
        <v>1.3195999999999799</v>
      </c>
      <c r="AD6728">
        <v>-1.1100328360639999</v>
      </c>
      <c r="AE6728">
        <v>20.038029999999999</v>
      </c>
      <c r="AF6728">
        <v>1.5279748603796699</v>
      </c>
      <c r="AG6728">
        <v>-1.1100328360639999</v>
      </c>
      <c r="AH6728">
        <v>19.961868307949501</v>
      </c>
      <c r="AI6728">
        <v>93.173542039461694</v>
      </c>
      <c r="AJ6728">
        <v>85.622848171723106</v>
      </c>
      <c r="AK6728">
        <v>20.051011605777202</v>
      </c>
      <c r="AL6728">
        <v>86.551447777974005</v>
      </c>
      <c r="AM6728">
        <v>88.044242683101203</v>
      </c>
      <c r="AN6728">
        <v>1.00000005399865</v>
      </c>
    </row>
    <row r="6729" spans="1:40" x14ac:dyDescent="0.25">
      <c r="A6729" t="str">
        <f>"20190312151704381"</f>
        <v>20190312151704381</v>
      </c>
      <c r="B6729" t="str">
        <f>"1552375024374994"</f>
        <v>1552375024374994</v>
      </c>
      <c r="C6729" t="s">
        <v>40</v>
      </c>
      <c r="D6729">
        <v>4.7055809999999996</v>
      </c>
      <c r="E6729">
        <v>0.51511839999999998</v>
      </c>
      <c r="F6729" t="s">
        <v>43</v>
      </c>
      <c r="G6729">
        <v>-187.06180000000001</v>
      </c>
      <c r="H6729" s="1">
        <v>-2.967079E-6</v>
      </c>
      <c r="I6729">
        <v>85.334199999999996</v>
      </c>
      <c r="J6729">
        <v>-188.3552</v>
      </c>
      <c r="K6729">
        <v>1.110025</v>
      </c>
      <c r="L6729">
        <v>65.305819999999997</v>
      </c>
      <c r="M6729">
        <v>-1.0804319999999999E-2</v>
      </c>
      <c r="N6729">
        <v>0</v>
      </c>
      <c r="O6729">
        <v>0.99983469999999997</v>
      </c>
      <c r="P6729">
        <v>2.303521E-2</v>
      </c>
      <c r="Q6729">
        <v>4.6087179999999998E-2</v>
      </c>
      <c r="R6729">
        <v>0.9986718</v>
      </c>
      <c r="S6729">
        <v>0.1905212</v>
      </c>
      <c r="T6729">
        <v>-0.1639726</v>
      </c>
      <c r="U6729">
        <v>3.0069270000000001</v>
      </c>
      <c r="V6729">
        <v>3.3801320000000003E-2</v>
      </c>
      <c r="W6729">
        <v>6.0692959999999997E-2</v>
      </c>
      <c r="X6729">
        <v>0.99758400000000003</v>
      </c>
      <c r="Y6729">
        <v>7.3920749999999993E-2</v>
      </c>
      <c r="Z6729">
        <v>-5.4317150000000002E-2</v>
      </c>
      <c r="AA6729">
        <v>0.9957838</v>
      </c>
      <c r="AB6729">
        <v>34</v>
      </c>
      <c r="AC6729">
        <v>1.2933999999999899</v>
      </c>
      <c r="AD6729">
        <v>-1.1100279670790001</v>
      </c>
      <c r="AE6729">
        <v>20.028379999999999</v>
      </c>
      <c r="AF6729">
        <v>1.5051365576917699</v>
      </c>
      <c r="AG6729">
        <v>-1.1100279670790001</v>
      </c>
      <c r="AH6729">
        <v>19.952202637386101</v>
      </c>
      <c r="AI6729">
        <v>93.175327553761207</v>
      </c>
      <c r="AJ6729">
        <v>85.685942863895093</v>
      </c>
      <c r="AK6729">
        <v>20.039660382060301</v>
      </c>
      <c r="AL6729">
        <v>86.520411058776006</v>
      </c>
      <c r="AM6729">
        <v>88.059379117248596</v>
      </c>
      <c r="AN6729">
        <v>1.0000000008416501</v>
      </c>
    </row>
    <row r="6730" spans="1:40" x14ac:dyDescent="0.25">
      <c r="A6730" t="str">
        <f>"20190312151704406"</f>
        <v>20190312151704406</v>
      </c>
      <c r="B6730" t="str">
        <f>"1552375024394514"</f>
        <v>1552375024394514</v>
      </c>
      <c r="C6730" t="s">
        <v>40</v>
      </c>
      <c r="D6730">
        <v>4.7962669999999896</v>
      </c>
      <c r="E6730">
        <v>0.53668099999999996</v>
      </c>
      <c r="F6730" t="s">
        <v>43</v>
      </c>
      <c r="G6730">
        <v>-187.06620000000001</v>
      </c>
      <c r="H6730" s="1">
        <v>-3.2081100000000001E-6</v>
      </c>
      <c r="I6730">
        <v>85.897859999999994</v>
      </c>
      <c r="J6730">
        <v>-188.35939999999999</v>
      </c>
      <c r="K6730">
        <v>1.110023</v>
      </c>
      <c r="L6730">
        <v>65.671390000000002</v>
      </c>
      <c r="M6730">
        <v>-1.098179E-2</v>
      </c>
      <c r="N6730">
        <v>0</v>
      </c>
      <c r="O6730">
        <v>0.99983290000000002</v>
      </c>
      <c r="P6730">
        <v>2.3400219999999999E-2</v>
      </c>
      <c r="Q6730">
        <v>4.6252189999999999E-2</v>
      </c>
      <c r="R6730">
        <v>0.99865570000000004</v>
      </c>
      <c r="S6730">
        <v>0.18824769999999999</v>
      </c>
      <c r="T6730">
        <v>-0.162102</v>
      </c>
      <c r="U6730">
        <v>3.0071409999999998</v>
      </c>
      <c r="V6730">
        <v>3.4344600000000003E-2</v>
      </c>
      <c r="W6730">
        <v>6.0853360000000002E-2</v>
      </c>
      <c r="X6730">
        <v>0.99755570000000005</v>
      </c>
      <c r="Y6730">
        <v>7.3345499999999994E-2</v>
      </c>
      <c r="Z6730">
        <v>-5.3697759999999997E-2</v>
      </c>
      <c r="AA6730">
        <v>0.99585990000000002</v>
      </c>
      <c r="AB6730">
        <v>34</v>
      </c>
      <c r="AC6730">
        <v>1.2931999999999799</v>
      </c>
      <c r="AD6730">
        <v>-1.1100262081100001</v>
      </c>
      <c r="AE6730">
        <v>20.2264699999999</v>
      </c>
      <c r="AF6730">
        <v>1.5107370552386801</v>
      </c>
      <c r="AG6730">
        <v>-1.1100262081100001</v>
      </c>
      <c r="AH6730">
        <v>20.150604348959501</v>
      </c>
      <c r="AI6730">
        <v>93.144230594651603</v>
      </c>
      <c r="AJ6730">
        <v>85.712425170536704</v>
      </c>
      <c r="AK6730">
        <v>20.237621902315201</v>
      </c>
      <c r="AL6730">
        <v>86.511203894684897</v>
      </c>
      <c r="AM6730">
        <v>88.028156545168798</v>
      </c>
      <c r="AN6730">
        <v>1.00000002878746</v>
      </c>
    </row>
    <row r="6731" spans="1:40" x14ac:dyDescent="0.25">
      <c r="A6731" t="str">
        <f>"20190312151704428"</f>
        <v>20190312151704428</v>
      </c>
      <c r="B6731" t="str">
        <f>"1552375024424770"</f>
        <v>1552375024424770</v>
      </c>
      <c r="C6731" t="s">
        <v>40</v>
      </c>
      <c r="D6731">
        <v>4.7401970000000002</v>
      </c>
      <c r="E6731">
        <v>0.54505289999999995</v>
      </c>
      <c r="F6731" t="s">
        <v>43</v>
      </c>
      <c r="G6731">
        <v>-186.16990000000001</v>
      </c>
      <c r="H6731" s="1">
        <v>-2.5133109999999998E-6</v>
      </c>
      <c r="I6731">
        <v>83.907669999999996</v>
      </c>
      <c r="J6731">
        <v>-188.36340000000001</v>
      </c>
      <c r="K6731">
        <v>1.1100099999999999</v>
      </c>
      <c r="L6731">
        <v>66.024259999999998</v>
      </c>
      <c r="M6731">
        <v>-1.114038E-2</v>
      </c>
      <c r="N6731">
        <v>0</v>
      </c>
      <c r="O6731">
        <v>0.99983109999999997</v>
      </c>
      <c r="P6731">
        <v>2.4378239999999999E-2</v>
      </c>
      <c r="Q6731">
        <v>4.6086910000000002E-2</v>
      </c>
      <c r="R6731">
        <v>0.99863990000000002</v>
      </c>
      <c r="S6731">
        <v>0.36067199999999999</v>
      </c>
      <c r="T6731">
        <v>-0.1828524</v>
      </c>
      <c r="U6731">
        <v>3.0040279999999999</v>
      </c>
      <c r="V6731">
        <v>3.5482350000000003E-2</v>
      </c>
      <c r="W6731">
        <v>6.0683439999999998E-2</v>
      </c>
      <c r="X6731">
        <v>0.99752620000000003</v>
      </c>
      <c r="Y6731">
        <v>0.13004450000000001</v>
      </c>
      <c r="Z6731">
        <v>-6.0277299999999999E-2</v>
      </c>
      <c r="AA6731">
        <v>0.98967419999999995</v>
      </c>
      <c r="AB6731">
        <v>34</v>
      </c>
      <c r="AC6731">
        <v>2.1934999999999998</v>
      </c>
      <c r="AD6731">
        <v>-1.1100125133109999</v>
      </c>
      <c r="AE6731">
        <v>17.883409999999898</v>
      </c>
      <c r="AF6731">
        <v>2.3835662738480199</v>
      </c>
      <c r="AG6731">
        <v>-1.1100125133109999</v>
      </c>
      <c r="AH6731">
        <v>17.790337566485601</v>
      </c>
      <c r="AI6731">
        <v>93.538752461738298</v>
      </c>
      <c r="AJ6731">
        <v>82.368902333192295</v>
      </c>
      <c r="AK6731">
        <v>17.983593264168402</v>
      </c>
      <c r="AL6731">
        <v>86.520957513239594</v>
      </c>
      <c r="AM6731">
        <v>87.962828304777602</v>
      </c>
      <c r="AN6731">
        <v>0.99999999836909803</v>
      </c>
    </row>
    <row r="6732" spans="1:40" x14ac:dyDescent="0.25">
      <c r="A6732" t="str">
        <f>"20190312151704450"</f>
        <v>20190312151704450</v>
      </c>
      <c r="B6732" t="str">
        <f>"1552375024444290"</f>
        <v>1552375024444290</v>
      </c>
      <c r="C6732" t="s">
        <v>40</v>
      </c>
      <c r="D6732">
        <v>4.6790629999999904</v>
      </c>
      <c r="E6732">
        <v>0.54657500000000003</v>
      </c>
      <c r="F6732" t="s">
        <v>43</v>
      </c>
      <c r="G6732">
        <v>-186.15199999999999</v>
      </c>
      <c r="H6732" s="1">
        <v>-1.6415160000000001E-6</v>
      </c>
      <c r="I6732">
        <v>81.463080000000005</v>
      </c>
      <c r="J6732">
        <v>-188.3672</v>
      </c>
      <c r="K6732">
        <v>1.110001</v>
      </c>
      <c r="L6732">
        <v>66.356719999999996</v>
      </c>
      <c r="M6732">
        <v>-1.1278410000000001E-2</v>
      </c>
      <c r="N6732">
        <v>0</v>
      </c>
      <c r="O6732">
        <v>0.99982959999999999</v>
      </c>
      <c r="P6732">
        <v>2.4927600000000001E-2</v>
      </c>
      <c r="Q6732">
        <v>4.6102169999999998E-2</v>
      </c>
      <c r="R6732">
        <v>0.9986256</v>
      </c>
      <c r="S6732">
        <v>0.43022159999999898</v>
      </c>
      <c r="T6732">
        <v>-0.21594679999999999</v>
      </c>
      <c r="U6732">
        <v>3.0035400000000001</v>
      </c>
      <c r="V6732">
        <v>3.6170939999999999E-2</v>
      </c>
      <c r="W6732">
        <v>6.0693919999999998E-2</v>
      </c>
      <c r="X6732">
        <v>0.99750079999999997</v>
      </c>
      <c r="Y6732">
        <v>0.15259029999999901</v>
      </c>
      <c r="Z6732">
        <v>-7.0925409999999994E-2</v>
      </c>
      <c r="AA6732">
        <v>0.98574130000000004</v>
      </c>
      <c r="AB6732">
        <v>34</v>
      </c>
      <c r="AC6732">
        <v>2.2151999999999799</v>
      </c>
      <c r="AD6732">
        <v>-1.110002641516</v>
      </c>
      <c r="AE6732">
        <v>15.10636</v>
      </c>
      <c r="AF6732">
        <v>2.37291090146593</v>
      </c>
      <c r="AG6732">
        <v>-1.110002641516</v>
      </c>
      <c r="AH6732">
        <v>15.001123485692601</v>
      </c>
      <c r="AI6732">
        <v>94.180082589718097</v>
      </c>
      <c r="AJ6732">
        <v>81.011303610231195</v>
      </c>
      <c r="AK6732">
        <v>15.228148864634401</v>
      </c>
      <c r="AL6732">
        <v>86.520355836775195</v>
      </c>
      <c r="AM6732">
        <v>87.923275282772195</v>
      </c>
      <c r="AN6732">
        <v>0.99999996741304398</v>
      </c>
    </row>
    <row r="6733" spans="1:40" x14ac:dyDescent="0.25">
      <c r="A6733" t="str">
        <f>"20190312151704472"</f>
        <v>20190312151704472</v>
      </c>
      <c r="B6733" t="str">
        <f>"1552375024464786"</f>
        <v>1552375024464786</v>
      </c>
      <c r="C6733" t="s">
        <v>40</v>
      </c>
      <c r="D6733">
        <v>4.7210489999999998</v>
      </c>
      <c r="E6733">
        <v>0.54736010000000002</v>
      </c>
      <c r="F6733" t="s">
        <v>43</v>
      </c>
      <c r="G6733">
        <v>-186.07839999999999</v>
      </c>
      <c r="H6733" s="1">
        <v>-1.7871480000000001E-6</v>
      </c>
      <c r="I6733">
        <v>81.833500000000001</v>
      </c>
      <c r="J6733">
        <v>-188.37119999999999</v>
      </c>
      <c r="K6733">
        <v>1.1099909999999999</v>
      </c>
      <c r="L6733">
        <v>66.690609999999893</v>
      </c>
      <c r="M6733">
        <v>-1.140645E-2</v>
      </c>
      <c r="N6733">
        <v>0</v>
      </c>
      <c r="O6733">
        <v>0.9998283</v>
      </c>
      <c r="P6733">
        <v>2.599659E-2</v>
      </c>
      <c r="Q6733">
        <v>4.6193039999999998E-2</v>
      </c>
      <c r="R6733">
        <v>0.99859419999999999</v>
      </c>
      <c r="S6733">
        <v>0.44410709999999998</v>
      </c>
      <c r="T6733">
        <v>-0.21537609999999999</v>
      </c>
      <c r="U6733">
        <v>3.0029910000000002</v>
      </c>
      <c r="V6733">
        <v>3.7368899999999997E-2</v>
      </c>
      <c r="W6733">
        <v>6.0779590000000001E-2</v>
      </c>
      <c r="X6733">
        <v>0.99745150000000005</v>
      </c>
      <c r="Y6733">
        <v>0.15720619999999999</v>
      </c>
      <c r="Z6733">
        <v>-7.0702459999999995E-2</v>
      </c>
      <c r="AA6733">
        <v>0.98503169999999995</v>
      </c>
      <c r="AB6733">
        <v>34</v>
      </c>
      <c r="AC6733">
        <v>2.2928000000000002</v>
      </c>
      <c r="AD6733">
        <v>-1.109992787148</v>
      </c>
      <c r="AE6733">
        <v>15.14289</v>
      </c>
      <c r="AF6733">
        <v>2.4525136396495499</v>
      </c>
      <c r="AG6733">
        <v>-1.109992787148</v>
      </c>
      <c r="AH6733">
        <v>15.0367662185937</v>
      </c>
      <c r="AI6733">
        <v>94.166972606543595</v>
      </c>
      <c r="AJ6733">
        <v>80.736560543773805</v>
      </c>
      <c r="AK6733">
        <v>15.275838617006499</v>
      </c>
      <c r="AL6733">
        <v>86.515438495763604</v>
      </c>
      <c r="AM6733">
        <v>87.854452700438898</v>
      </c>
      <c r="AN6733">
        <v>1.0000000440500101</v>
      </c>
    </row>
    <row r="6734" spans="1:40" x14ac:dyDescent="0.25">
      <c r="A6734" t="str">
        <f>"20190312151704494"</f>
        <v>20190312151704494</v>
      </c>
      <c r="B6734" t="str">
        <f>"1552375024484306"</f>
        <v>1552375024484306</v>
      </c>
      <c r="C6734" t="s">
        <v>40</v>
      </c>
      <c r="D6734">
        <v>4.7182909999999998</v>
      </c>
      <c r="E6734">
        <v>0.54782600000000004</v>
      </c>
      <c r="F6734" t="s">
        <v>43</v>
      </c>
      <c r="G6734">
        <v>-186.04669999999999</v>
      </c>
      <c r="H6734" s="1">
        <v>-1.8780869999999999E-6</v>
      </c>
      <c r="I6734">
        <v>82.075940000000003</v>
      </c>
      <c r="J6734">
        <v>-188.375</v>
      </c>
      <c r="K6734">
        <v>1.1099829999999999</v>
      </c>
      <c r="L6734">
        <v>67.015869999999893</v>
      </c>
      <c r="M6734">
        <v>-1.152219E-2</v>
      </c>
      <c r="N6734">
        <v>0</v>
      </c>
      <c r="O6734">
        <v>0.99982700000000002</v>
      </c>
      <c r="P6734">
        <v>2.7261460000000001E-2</v>
      </c>
      <c r="Q6734">
        <v>4.603981E-2</v>
      </c>
      <c r="R6734">
        <v>0.99856750000000005</v>
      </c>
      <c r="S6734">
        <v>0.4536133</v>
      </c>
      <c r="T6734">
        <v>-0.21661469999999999</v>
      </c>
      <c r="U6734">
        <v>3.0024410000000001</v>
      </c>
      <c r="V6734">
        <v>3.8750340000000001E-2</v>
      </c>
      <c r="W6734">
        <v>6.062157E-2</v>
      </c>
      <c r="X6734">
        <v>0.99740830000000003</v>
      </c>
      <c r="Y6734">
        <v>0.16039229999999999</v>
      </c>
      <c r="Z6734">
        <v>-7.1084830000000002E-2</v>
      </c>
      <c r="AA6734">
        <v>0.98449030000000004</v>
      </c>
      <c r="AB6734">
        <v>34</v>
      </c>
      <c r="AC6734">
        <v>2.3283000000000098</v>
      </c>
      <c r="AD6734">
        <v>-1.1099848780870001</v>
      </c>
      <c r="AE6734">
        <v>15.06007</v>
      </c>
      <c r="AF6734">
        <v>2.4884863649036202</v>
      </c>
      <c r="AG6734">
        <v>-1.1099848780870001</v>
      </c>
      <c r="AH6734">
        <v>14.952908219871601</v>
      </c>
      <c r="AI6734">
        <v>94.188005556551801</v>
      </c>
      <c r="AJ6734">
        <v>80.551342160790796</v>
      </c>
      <c r="AK6734">
        <v>15.199147839592699</v>
      </c>
      <c r="AL6734">
        <v>86.524508739283505</v>
      </c>
      <c r="AM6734">
        <v>87.7751189024615</v>
      </c>
      <c r="AN6734">
        <v>0.99999994025413297</v>
      </c>
    </row>
    <row r="6735" spans="1:40" x14ac:dyDescent="0.25">
      <c r="A6735" t="str">
        <f>"20190312151704526"</f>
        <v>20190312151704526</v>
      </c>
      <c r="B6735" t="str">
        <f>"1552375024514562"</f>
        <v>1552375024514562</v>
      </c>
      <c r="C6735" t="s">
        <v>40</v>
      </c>
      <c r="D6735">
        <v>4.6567720000000001</v>
      </c>
      <c r="E6735">
        <v>0.54801840000000002</v>
      </c>
      <c r="F6735" t="s">
        <v>43</v>
      </c>
      <c r="G6735">
        <v>-186.03190000000001</v>
      </c>
      <c r="H6735" s="1">
        <v>-1.9479049999999999E-6</v>
      </c>
      <c r="I6735">
        <v>82.269490000000005</v>
      </c>
      <c r="J6735">
        <v>-188.381</v>
      </c>
      <c r="K6735">
        <v>1.109974</v>
      </c>
      <c r="L6735">
        <v>67.521000000000001</v>
      </c>
      <c r="M6735">
        <v>-1.1688469999999999E-2</v>
      </c>
      <c r="N6735">
        <v>0</v>
      </c>
      <c r="O6735">
        <v>0.99982510000000002</v>
      </c>
      <c r="P6735">
        <v>2.9392250000000002E-2</v>
      </c>
      <c r="Q6735">
        <v>4.6632180000000002E-2</v>
      </c>
      <c r="R6735">
        <v>0.99847960000000002</v>
      </c>
      <c r="S6735">
        <v>0.4611053</v>
      </c>
      <c r="T6735">
        <v>-0.21843470000000001</v>
      </c>
      <c r="U6735">
        <v>3.00177</v>
      </c>
      <c r="V6735">
        <v>4.104733E-2</v>
      </c>
      <c r="W6735">
        <v>6.1206509999999999E-2</v>
      </c>
      <c r="X6735">
        <v>0.99728070000000002</v>
      </c>
      <c r="Y6735">
        <v>0.1629835</v>
      </c>
      <c r="Z6735">
        <v>-7.1665880000000001E-2</v>
      </c>
      <c r="AA6735">
        <v>0.98402259999999997</v>
      </c>
      <c r="AB6735">
        <v>34</v>
      </c>
      <c r="AC6735">
        <v>2.34909999999996</v>
      </c>
      <c r="AD6735">
        <v>-1.109975947905</v>
      </c>
      <c r="AE6735">
        <v>14.74849</v>
      </c>
      <c r="AF6735">
        <v>2.5074938170418202</v>
      </c>
      <c r="AG6735">
        <v>-1.109975947905</v>
      </c>
      <c r="AH6735">
        <v>14.639155633914701</v>
      </c>
      <c r="AI6735">
        <v>94.273998234927504</v>
      </c>
      <c r="AJ6735">
        <v>80.280313804675401</v>
      </c>
      <c r="AK6735">
        <v>14.893772172334501</v>
      </c>
      <c r="AL6735">
        <v>86.490931851824101</v>
      </c>
      <c r="AM6735">
        <v>87.643078777533802</v>
      </c>
      <c r="AN6735">
        <v>0.99999995737949798</v>
      </c>
    </row>
    <row r="6736" spans="1:40" x14ac:dyDescent="0.25">
      <c r="A6736" t="str">
        <f>"20190312151704548"</f>
        <v>20190312151704548</v>
      </c>
      <c r="B6736" t="str">
        <f>"1552375024544818"</f>
        <v>1552375024544818</v>
      </c>
      <c r="C6736" t="s">
        <v>40</v>
      </c>
      <c r="D6736">
        <v>4.7308130000000004</v>
      </c>
      <c r="E6736">
        <v>0.5483441</v>
      </c>
      <c r="F6736" t="s">
        <v>43</v>
      </c>
      <c r="G6736">
        <v>-185.98820000000001</v>
      </c>
      <c r="H6736" s="1">
        <v>-2.151013E-6</v>
      </c>
      <c r="I6736">
        <v>82.8322</v>
      </c>
      <c r="J6736">
        <v>-188.38499999999999</v>
      </c>
      <c r="K6736">
        <v>1.10996299999999</v>
      </c>
      <c r="L6736">
        <v>67.855800000000002</v>
      </c>
      <c r="M6736">
        <v>-1.17936E-2</v>
      </c>
      <c r="N6736">
        <v>0</v>
      </c>
      <c r="O6736">
        <v>0.99982389999999999</v>
      </c>
      <c r="P6736">
        <v>3.100731E-2</v>
      </c>
      <c r="Q6736">
        <v>4.655281E-2</v>
      </c>
      <c r="R6736">
        <v>0.9984345</v>
      </c>
      <c r="S6736">
        <v>0.46897889999999998</v>
      </c>
      <c r="T6736">
        <v>-0.21754960000000001</v>
      </c>
      <c r="U6736">
        <v>3.0009160000000001</v>
      </c>
      <c r="V6736">
        <v>4.2767350000000003E-2</v>
      </c>
      <c r="W6736">
        <v>6.1121790000000002E-2</v>
      </c>
      <c r="X6736">
        <v>0.99721369999999998</v>
      </c>
      <c r="Y6736">
        <v>0.1656532</v>
      </c>
      <c r="Z6736">
        <v>-7.1366680000000002E-2</v>
      </c>
      <c r="AA6736">
        <v>0.98359839999999998</v>
      </c>
      <c r="AB6736">
        <v>34</v>
      </c>
      <c r="AC6736">
        <v>2.3967999999999798</v>
      </c>
      <c r="AD6736">
        <v>-1.10996515101299</v>
      </c>
      <c r="AE6736">
        <v>14.9763999999999</v>
      </c>
      <c r="AF6736">
        <v>2.5595693430408901</v>
      </c>
      <c r="AG6736">
        <v>-1.10996515101299</v>
      </c>
      <c r="AH6736">
        <v>14.8674618384341</v>
      </c>
      <c r="AI6736">
        <v>94.207953005646999</v>
      </c>
      <c r="AJ6736">
        <v>80.231763293155893</v>
      </c>
      <c r="AK6736">
        <v>15.1269573733647</v>
      </c>
      <c r="AL6736">
        <v>86.495795350729296</v>
      </c>
      <c r="AM6736">
        <v>87.544269604900904</v>
      </c>
      <c r="AN6736">
        <v>1.0000000414532499</v>
      </c>
    </row>
    <row r="6737" spans="1:40" x14ac:dyDescent="0.25">
      <c r="A6737" t="str">
        <f>"20190312151704571"</f>
        <v>20190312151704571</v>
      </c>
      <c r="B6737" t="str">
        <f>"1552375024564338"</f>
        <v>1552375024564338</v>
      </c>
      <c r="C6737" t="s">
        <v>40</v>
      </c>
      <c r="D6737">
        <v>4.7556520000000004</v>
      </c>
      <c r="E6737">
        <v>0.54849110000000001</v>
      </c>
      <c r="F6737" t="s">
        <v>43</v>
      </c>
      <c r="G6737">
        <v>-185.7997</v>
      </c>
      <c r="H6737" s="1">
        <v>-2.67197E-6</v>
      </c>
      <c r="I6737">
        <v>84.124440000000007</v>
      </c>
      <c r="J6737">
        <v>-188.38929999999999</v>
      </c>
      <c r="K6737">
        <v>1.109958</v>
      </c>
      <c r="L6737">
        <v>68.206969999999998</v>
      </c>
      <c r="M6737">
        <v>-1.190158E-2</v>
      </c>
      <c r="N6737">
        <v>0</v>
      </c>
      <c r="O6737">
        <v>0.99982269999999895</v>
      </c>
      <c r="P6737">
        <v>3.2440240000000002E-2</v>
      </c>
      <c r="Q6737">
        <v>4.669645E-2</v>
      </c>
      <c r="R6737">
        <v>0.9983822</v>
      </c>
      <c r="S6737">
        <v>0.47665410000000002</v>
      </c>
      <c r="T6737">
        <v>-0.20464460000000001</v>
      </c>
      <c r="U6737">
        <v>2.9994510000000001</v>
      </c>
      <c r="V6737">
        <v>4.4307770000000003E-2</v>
      </c>
      <c r="W6737">
        <v>6.1261240000000002E-2</v>
      </c>
      <c r="X6737">
        <v>0.99713779999999996</v>
      </c>
      <c r="Y6737">
        <v>0.16833409999999999</v>
      </c>
      <c r="Z6737">
        <v>-6.7156720000000003E-2</v>
      </c>
      <c r="AA6737">
        <v>0.98343970000000003</v>
      </c>
      <c r="AB6737">
        <v>34</v>
      </c>
      <c r="AC6737">
        <v>2.5895999999999901</v>
      </c>
      <c r="AD6737">
        <v>-1.1099606719699999</v>
      </c>
      <c r="AE6737">
        <v>15.91747</v>
      </c>
      <c r="AF6737">
        <v>2.7657777189502699</v>
      </c>
      <c r="AG6737">
        <v>-1.1099606719699999</v>
      </c>
      <c r="AH6737">
        <v>15.8106206873191</v>
      </c>
      <c r="AI6737">
        <v>93.9558985516977</v>
      </c>
      <c r="AJ6737">
        <v>80.077555198085093</v>
      </c>
      <c r="AK6737">
        <v>16.089041786329201</v>
      </c>
      <c r="AL6737">
        <v>86.487790150096998</v>
      </c>
      <c r="AM6737">
        <v>87.455738441291601</v>
      </c>
      <c r="AN6737">
        <v>0.99999995509877404</v>
      </c>
    </row>
    <row r="6738" spans="1:40" x14ac:dyDescent="0.25">
      <c r="A6738" t="str">
        <f>"20190312151704593"</f>
        <v>20190312151704593</v>
      </c>
      <c r="B6738" t="str">
        <f>"1552375024584834"</f>
        <v>1552375024584834</v>
      </c>
      <c r="C6738" t="s">
        <v>40</v>
      </c>
      <c r="D6738">
        <v>4.7054269999999896</v>
      </c>
      <c r="E6738">
        <v>0.54870399999999997</v>
      </c>
      <c r="F6738" t="s">
        <v>43</v>
      </c>
      <c r="G6738">
        <v>-185.80959999999999</v>
      </c>
      <c r="H6738" s="1">
        <v>-2.7298839999999999E-6</v>
      </c>
      <c r="I6738">
        <v>84.263530000000003</v>
      </c>
      <c r="J6738">
        <v>-188.39330000000001</v>
      </c>
      <c r="K6738">
        <v>1.1099559999999999</v>
      </c>
      <c r="L6738">
        <v>68.534819999999996</v>
      </c>
      <c r="M6738">
        <v>-1.200184E-2</v>
      </c>
      <c r="N6738">
        <v>0</v>
      </c>
      <c r="O6738">
        <v>0.99982159999999998</v>
      </c>
      <c r="P6738">
        <v>3.4253199999999998E-2</v>
      </c>
      <c r="Q6738">
        <v>4.6505230000000002E-2</v>
      </c>
      <c r="R6738">
        <v>0.99833059999999996</v>
      </c>
      <c r="S6738">
        <v>0.4818115</v>
      </c>
      <c r="T6738">
        <v>-0.20730870000000001</v>
      </c>
      <c r="U6738">
        <v>2.998901</v>
      </c>
      <c r="V6738">
        <v>4.622039E-2</v>
      </c>
      <c r="W6738">
        <v>6.1065630000000003E-2</v>
      </c>
      <c r="X6738">
        <v>0.99706300000000003</v>
      </c>
      <c r="Y6738">
        <v>0.17010049999999999</v>
      </c>
      <c r="Z6738">
        <v>-6.8019490000000002E-2</v>
      </c>
      <c r="AA6738">
        <v>0.98307639999999996</v>
      </c>
      <c r="AB6738">
        <v>34</v>
      </c>
      <c r="AC6738">
        <v>2.5837000000000199</v>
      </c>
      <c r="AD6738">
        <v>-1.1099587298839999</v>
      </c>
      <c r="AE6738">
        <v>15.72871</v>
      </c>
      <c r="AF6738">
        <v>2.758929002056</v>
      </c>
      <c r="AG6738">
        <v>-1.1099587298839999</v>
      </c>
      <c r="AH6738">
        <v>15.6208170492165</v>
      </c>
      <c r="AI6738">
        <v>94.002655219653207</v>
      </c>
      <c r="AJ6738">
        <v>79.983788381324004</v>
      </c>
      <c r="AK6738">
        <v>15.9013717303107</v>
      </c>
      <c r="AL6738">
        <v>86.499018890800102</v>
      </c>
      <c r="AM6738">
        <v>87.345866046875599</v>
      </c>
      <c r="AN6738">
        <v>0.99999998079402397</v>
      </c>
    </row>
    <row r="6739" spans="1:40" x14ac:dyDescent="0.25">
      <c r="A6739" t="str">
        <f>"20190312151704618"</f>
        <v>20190312151704618</v>
      </c>
      <c r="B6739" t="str">
        <f>"1552375024604354"</f>
        <v>1552375024604354</v>
      </c>
      <c r="C6739" t="s">
        <v>40</v>
      </c>
      <c r="D6739">
        <v>4.7426550000000001</v>
      </c>
      <c r="E6739">
        <v>0.54888680000000001</v>
      </c>
      <c r="F6739" t="s">
        <v>43</v>
      </c>
      <c r="G6739">
        <v>-185.81039999999999</v>
      </c>
      <c r="H6739" s="1">
        <v>-2.7736130000000002E-6</v>
      </c>
      <c r="I6739">
        <v>84.365799999999993</v>
      </c>
      <c r="J6739">
        <v>-188.39779999999999</v>
      </c>
      <c r="K6739">
        <v>1.1099570000000001</v>
      </c>
      <c r="L6739">
        <v>68.895939999999996</v>
      </c>
      <c r="M6739">
        <v>-1.211277E-2</v>
      </c>
      <c r="N6739">
        <v>0</v>
      </c>
      <c r="O6739">
        <v>0.9998203</v>
      </c>
      <c r="P6739">
        <v>3.5562829999999997E-2</v>
      </c>
      <c r="Q6739">
        <v>4.624139E-2</v>
      </c>
      <c r="R6739">
        <v>0.99829699999999999</v>
      </c>
      <c r="S6739">
        <v>0.48913570000000001</v>
      </c>
      <c r="T6739">
        <v>-0.2102001</v>
      </c>
      <c r="U6739">
        <v>2.9980159999999998</v>
      </c>
      <c r="V6739">
        <v>4.7640599999999998E-2</v>
      </c>
      <c r="W6739">
        <v>6.0797200000000003E-2</v>
      </c>
      <c r="X6739">
        <v>0.99701260000000003</v>
      </c>
      <c r="Y6739">
        <v>0.17258470000000001</v>
      </c>
      <c r="Z6739">
        <v>-6.8955180000000005E-2</v>
      </c>
      <c r="AA6739">
        <v>0.98257810000000001</v>
      </c>
      <c r="AB6739">
        <v>34</v>
      </c>
      <c r="AC6739">
        <v>2.5874000000000001</v>
      </c>
      <c r="AD6739">
        <v>-1.10995977361299</v>
      </c>
      <c r="AE6739">
        <v>15.469859999999899</v>
      </c>
      <c r="AF6739">
        <v>2.7607870537801702</v>
      </c>
      <c r="AG6739">
        <v>-1.10995977361299</v>
      </c>
      <c r="AH6739">
        <v>15.360456611974501</v>
      </c>
      <c r="AI6739">
        <v>94.068096698519199</v>
      </c>
      <c r="AJ6739">
        <v>79.810822780282507</v>
      </c>
      <c r="AK6739">
        <v>15.6460085384008</v>
      </c>
      <c r="AL6739">
        <v>86.514427582754607</v>
      </c>
      <c r="AM6739">
        <v>87.264296660601502</v>
      </c>
      <c r="AN6739">
        <v>1.0000000254274699</v>
      </c>
    </row>
    <row r="6740" spans="1:40" x14ac:dyDescent="0.25">
      <c r="A6740" t="str">
        <f>"20190312151704642"</f>
        <v>20190312151704642</v>
      </c>
      <c r="B6740" t="str">
        <f>"1552375024634610"</f>
        <v>1552375024634610</v>
      </c>
      <c r="C6740" t="s">
        <v>40</v>
      </c>
      <c r="D6740">
        <v>4.7591850000000004</v>
      </c>
      <c r="E6740">
        <v>0.5492494</v>
      </c>
      <c r="F6740" t="s">
        <v>43</v>
      </c>
      <c r="G6740">
        <v>-185.803</v>
      </c>
      <c r="H6740" s="1">
        <v>-2.884521E-6</v>
      </c>
      <c r="I6740">
        <v>84.621269999999996</v>
      </c>
      <c r="J6740">
        <v>-188.4023</v>
      </c>
      <c r="K6740">
        <v>1.1099559999999999</v>
      </c>
      <c r="L6740">
        <v>69.262050000000002</v>
      </c>
      <c r="M6740">
        <v>-1.222616E-2</v>
      </c>
      <c r="N6740">
        <v>0</v>
      </c>
      <c r="O6740">
        <v>0.99981900000000001</v>
      </c>
      <c r="P6740">
        <v>3.6932890000000003E-2</v>
      </c>
      <c r="Q6740">
        <v>4.6071500000000001E-2</v>
      </c>
      <c r="R6740">
        <v>0.99825520000000001</v>
      </c>
      <c r="S6740">
        <v>0.4945679</v>
      </c>
      <c r="T6740">
        <v>-0.211563</v>
      </c>
      <c r="U6740">
        <v>2.9973139999999998</v>
      </c>
      <c r="V6740">
        <v>4.9123479999999997E-2</v>
      </c>
      <c r="W6740">
        <v>6.0622040000000002E-2</v>
      </c>
      <c r="X6740">
        <v>0.99695129999999998</v>
      </c>
      <c r="Y6740">
        <v>0.1744617</v>
      </c>
      <c r="Z6740">
        <v>-6.9394280000000003E-2</v>
      </c>
      <c r="AA6740">
        <v>0.98221559999999997</v>
      </c>
      <c r="AB6740">
        <v>34</v>
      </c>
      <c r="AC6740">
        <v>2.5992999999999902</v>
      </c>
      <c r="AD6740">
        <v>-1.109958884521</v>
      </c>
      <c r="AE6740">
        <v>15.359219999999899</v>
      </c>
      <c r="AF6740">
        <v>2.7728320907458999</v>
      </c>
      <c r="AG6740">
        <v>-1.109958884521</v>
      </c>
      <c r="AH6740">
        <v>15.2488695630993</v>
      </c>
      <c r="AI6740">
        <v>94.096256855833403</v>
      </c>
      <c r="AJ6740">
        <v>79.694024740765101</v>
      </c>
      <c r="AK6740">
        <v>15.5386173606668</v>
      </c>
      <c r="AL6740">
        <v>86.524482042656302</v>
      </c>
      <c r="AM6740">
        <v>87.179106377842501</v>
      </c>
      <c r="AN6740">
        <v>1.00000002129638</v>
      </c>
    </row>
    <row r="6741" spans="1:40" x14ac:dyDescent="0.25">
      <c r="A6741" t="str">
        <f>"20190312151704661"</f>
        <v>20190312151704661</v>
      </c>
      <c r="B6741" t="str">
        <f>"1552375024654130"</f>
        <v>1552375024654130</v>
      </c>
      <c r="C6741" t="s">
        <v>40</v>
      </c>
      <c r="D6741">
        <v>4.7154769999999999</v>
      </c>
      <c r="E6741">
        <v>0.54930869999999998</v>
      </c>
      <c r="F6741" t="s">
        <v>43</v>
      </c>
      <c r="G6741">
        <v>-185.80430000000001</v>
      </c>
      <c r="H6741" s="1">
        <v>-2.9519850000000001E-6</v>
      </c>
      <c r="I6741">
        <v>84.779079999999993</v>
      </c>
      <c r="J6741">
        <v>-188.40629999999999</v>
      </c>
      <c r="K6741">
        <v>1.109964</v>
      </c>
      <c r="L6741">
        <v>69.576969999999903</v>
      </c>
      <c r="M6741">
        <v>-1.232433E-2</v>
      </c>
      <c r="N6741">
        <v>0</v>
      </c>
      <c r="O6741">
        <v>0.99981779999999998</v>
      </c>
      <c r="P6741">
        <v>3.8204420000000003E-2</v>
      </c>
      <c r="Q6741">
        <v>4.6553650000000002E-2</v>
      </c>
      <c r="R6741">
        <v>0.99818490000000004</v>
      </c>
      <c r="S6741">
        <v>0.50170899999999996</v>
      </c>
      <c r="T6741">
        <v>-0.2143506</v>
      </c>
      <c r="U6741">
        <v>2.9965820000000001</v>
      </c>
      <c r="V6741">
        <v>5.0492120000000001E-2</v>
      </c>
      <c r="W6741">
        <v>6.1099420000000002E-2</v>
      </c>
      <c r="X6741">
        <v>0.99685380000000001</v>
      </c>
      <c r="Y6741">
        <v>0.17686379999999999</v>
      </c>
      <c r="Z6741">
        <v>-7.029204E-2</v>
      </c>
      <c r="AA6741">
        <v>0.98172210000000004</v>
      </c>
      <c r="AB6741">
        <v>34</v>
      </c>
      <c r="AC6741">
        <v>2.6019999999999701</v>
      </c>
      <c r="AD6741">
        <v>-1.1099669519849999</v>
      </c>
      <c r="AE6741">
        <v>15.202109999999999</v>
      </c>
      <c r="AF6741">
        <v>2.7748064809461601</v>
      </c>
      <c r="AG6741">
        <v>-1.1099669519849999</v>
      </c>
      <c r="AH6741">
        <v>15.0907243027586</v>
      </c>
      <c r="AI6741">
        <v>94.137579713043394</v>
      </c>
      <c r="AJ6741">
        <v>79.581120718810197</v>
      </c>
      <c r="AK6741">
        <v>15.383807643852901</v>
      </c>
      <c r="AL6741">
        <v>86.497079472996106</v>
      </c>
      <c r="AM6741">
        <v>87.100362037391093</v>
      </c>
      <c r="AN6741">
        <v>1.0000000459404299</v>
      </c>
    </row>
    <row r="6742" spans="1:40" x14ac:dyDescent="0.25">
      <c r="A6742" t="str">
        <f>"20190312151704685"</f>
        <v>20190312151704685</v>
      </c>
      <c r="B6742" t="str">
        <f>"1552375024674628"</f>
        <v>1552375024674628</v>
      </c>
      <c r="C6742" t="s">
        <v>40</v>
      </c>
      <c r="D6742">
        <v>4.7378629999999999</v>
      </c>
      <c r="E6742">
        <v>0.54943739999999996</v>
      </c>
      <c r="F6742" t="s">
        <v>43</v>
      </c>
      <c r="G6742">
        <v>-185.69980000000001</v>
      </c>
      <c r="H6742" s="1">
        <v>-3.3190049999999998E-6</v>
      </c>
      <c r="I6742">
        <v>85.591390000000004</v>
      </c>
      <c r="J6742">
        <v>-188.41069999999999</v>
      </c>
      <c r="K6742">
        <v>1.1099669999999999</v>
      </c>
      <c r="L6742">
        <v>69.926969999999997</v>
      </c>
      <c r="M6742">
        <v>-1.243373E-2</v>
      </c>
      <c r="N6742">
        <v>0</v>
      </c>
      <c r="O6742">
        <v>0.9998165</v>
      </c>
      <c r="P6742">
        <v>3.9180619999999999E-2</v>
      </c>
      <c r="Q6742">
        <v>4.7813729999999999E-2</v>
      </c>
      <c r="R6742">
        <v>0.99808750000000002</v>
      </c>
      <c r="S6742">
        <v>0.50628660000000003</v>
      </c>
      <c r="T6742">
        <v>-0.2076373</v>
      </c>
      <c r="U6742">
        <v>2.9957579999999999</v>
      </c>
      <c r="V6742">
        <v>5.15761E-2</v>
      </c>
      <c r="W6742">
        <v>6.2353489999999998E-2</v>
      </c>
      <c r="X6742">
        <v>0.99672059999999996</v>
      </c>
      <c r="Y6742">
        <v>0.1784994</v>
      </c>
      <c r="Z6742">
        <v>-6.8100679999999997E-2</v>
      </c>
      <c r="AA6742">
        <v>0.98158049999999997</v>
      </c>
      <c r="AB6742">
        <v>34</v>
      </c>
      <c r="AC6742">
        <v>2.7108999999999801</v>
      </c>
      <c r="AD6742">
        <v>-1.1099703190050001</v>
      </c>
      <c r="AE6742">
        <v>15.66442</v>
      </c>
      <c r="AF6742">
        <v>2.89138265429765</v>
      </c>
      <c r="AG6742">
        <v>-1.1099703190050001</v>
      </c>
      <c r="AH6742">
        <v>15.553673942109199</v>
      </c>
      <c r="AI6742">
        <v>94.013400749812007</v>
      </c>
      <c r="AJ6742">
        <v>79.469091554275906</v>
      </c>
      <c r="AK6742">
        <v>15.859032153952301</v>
      </c>
      <c r="AL6742">
        <v>86.425089122290402</v>
      </c>
      <c r="AM6742">
        <v>87.0378263103091</v>
      </c>
      <c r="AN6742">
        <v>1.00000000313537</v>
      </c>
    </row>
    <row r="6743" spans="1:40" x14ac:dyDescent="0.25">
      <c r="A6743" t="str">
        <f>"20190312151704707"</f>
        <v>20190312151704707</v>
      </c>
      <c r="B6743" t="str">
        <f>"1552375024704883"</f>
        <v>1552375024704883</v>
      </c>
      <c r="C6743" t="s">
        <v>40</v>
      </c>
      <c r="D6743">
        <v>4.6998519999999999</v>
      </c>
      <c r="E6743">
        <v>0.54965010000000003</v>
      </c>
      <c r="F6743" t="s">
        <v>43</v>
      </c>
      <c r="G6743">
        <v>-185.64269999999999</v>
      </c>
      <c r="H6743" s="1">
        <v>-3.5788789999999998E-6</v>
      </c>
      <c r="I6743">
        <v>86.173569999999998</v>
      </c>
      <c r="J6743">
        <v>-188.41480000000001</v>
      </c>
      <c r="K6743">
        <v>1.10997099999999</v>
      </c>
      <c r="L6743">
        <v>70.252200000000002</v>
      </c>
      <c r="M6743">
        <v>-1.2535320000000001E-2</v>
      </c>
      <c r="N6743">
        <v>0</v>
      </c>
      <c r="O6743">
        <v>0.99981529999999996</v>
      </c>
      <c r="P6743">
        <v>4.0127110000000001E-2</v>
      </c>
      <c r="Q6743">
        <v>4.9391520000000001E-2</v>
      </c>
      <c r="R6743">
        <v>0.99797309999999995</v>
      </c>
      <c r="S6743">
        <v>0.51034550000000001</v>
      </c>
      <c r="T6743">
        <v>-0.20465410000000001</v>
      </c>
      <c r="U6743">
        <v>2.995514</v>
      </c>
      <c r="V6743">
        <v>5.2622219999999997E-2</v>
      </c>
      <c r="W6743">
        <v>6.3926300000000005E-2</v>
      </c>
      <c r="X6743">
        <v>0.99656630000000002</v>
      </c>
      <c r="Y6743">
        <v>0.179916299999999</v>
      </c>
      <c r="Z6743">
        <v>-6.7115750000000002E-2</v>
      </c>
      <c r="AA6743">
        <v>0.98138959999999997</v>
      </c>
      <c r="AB6743">
        <v>34</v>
      </c>
      <c r="AC6743">
        <v>2.77210000000002</v>
      </c>
      <c r="AD6743">
        <v>-1.1099745788790001</v>
      </c>
      <c r="AE6743">
        <v>15.9213699999999</v>
      </c>
      <c r="AF6743">
        <v>2.9575311826798698</v>
      </c>
      <c r="AG6743">
        <v>-1.1099745788790001</v>
      </c>
      <c r="AH6743">
        <v>15.8107814500156</v>
      </c>
      <c r="AI6743">
        <v>93.947536687113896</v>
      </c>
      <c r="AJ6743">
        <v>79.404818241296397</v>
      </c>
      <c r="AK6743">
        <v>16.123270273813599</v>
      </c>
      <c r="AL6743">
        <v>86.334793669100506</v>
      </c>
      <c r="AM6743">
        <v>86.977387645736798</v>
      </c>
      <c r="AN6743">
        <v>1.00000003008255</v>
      </c>
    </row>
    <row r="6744" spans="1:40" x14ac:dyDescent="0.25">
      <c r="A6744" t="str">
        <f>"20190312151704729"</f>
        <v>20190312151704729</v>
      </c>
      <c r="B6744" t="str">
        <f>"1552375024724402"</f>
        <v>1552375024724402</v>
      </c>
      <c r="C6744" t="s">
        <v>40</v>
      </c>
      <c r="D6744">
        <v>4.7256309999999999</v>
      </c>
      <c r="E6744">
        <v>0.55014659999999904</v>
      </c>
      <c r="F6744" t="s">
        <v>43</v>
      </c>
      <c r="G6744">
        <v>-185.5915</v>
      </c>
      <c r="H6744" s="1">
        <v>-3.8053249999999999E-6</v>
      </c>
      <c r="I6744">
        <v>86.680239999999998</v>
      </c>
      <c r="J6744">
        <v>-188.41909999999999</v>
      </c>
      <c r="K6744">
        <v>1.1099699999999999</v>
      </c>
      <c r="L6744">
        <v>70.581909999999993</v>
      </c>
      <c r="M6744">
        <v>-1.263826E-2</v>
      </c>
      <c r="N6744">
        <v>0</v>
      </c>
      <c r="O6744">
        <v>0.99981410000000004</v>
      </c>
      <c r="P6744">
        <v>4.1207380000000002E-2</v>
      </c>
      <c r="Q6744">
        <v>4.9645929999999998E-2</v>
      </c>
      <c r="R6744">
        <v>0.99791649999999998</v>
      </c>
      <c r="S6744">
        <v>0.51478579999999996</v>
      </c>
      <c r="T6744">
        <v>-0.20238819999999999</v>
      </c>
      <c r="U6744">
        <v>2.995422</v>
      </c>
      <c r="V6744">
        <v>5.3804419999999999E-2</v>
      </c>
      <c r="W6744">
        <v>6.4176120000000003E-2</v>
      </c>
      <c r="X6744">
        <v>0.99648709999999996</v>
      </c>
      <c r="Y6744">
        <v>0.1814443</v>
      </c>
      <c r="Z6744">
        <v>-6.6360260000000004E-2</v>
      </c>
      <c r="AA6744">
        <v>0.98115969999999997</v>
      </c>
      <c r="AB6744">
        <v>34</v>
      </c>
      <c r="AC6744">
        <v>2.8275999999999799</v>
      </c>
      <c r="AD6744">
        <v>-1.1099738053249999</v>
      </c>
      <c r="AE6744">
        <v>16.098330000000001</v>
      </c>
      <c r="AF6744">
        <v>3.0169371526972899</v>
      </c>
      <c r="AG6744">
        <v>-1.1099738053249999</v>
      </c>
      <c r="AH6744">
        <v>15.9875732536459</v>
      </c>
      <c r="AI6744">
        <v>93.902854276582403</v>
      </c>
      <c r="AJ6744">
        <v>79.313655284668499</v>
      </c>
      <c r="AK6744">
        <v>16.307558068960802</v>
      </c>
      <c r="AL6744">
        <v>86.320450531224296</v>
      </c>
      <c r="AM6744">
        <v>86.909367295344694</v>
      </c>
      <c r="AN6744">
        <v>1.0000000152280999</v>
      </c>
    </row>
    <row r="6745" spans="1:40" x14ac:dyDescent="0.25">
      <c r="A6745" t="str">
        <f>"20190312151704774"</f>
        <v>20190312151704774</v>
      </c>
      <c r="B6745" t="str">
        <f>"1552375024764419"</f>
        <v>1552375024764419</v>
      </c>
      <c r="C6745" t="s">
        <v>40</v>
      </c>
      <c r="D6745">
        <v>4.4053180000000003</v>
      </c>
      <c r="E6745">
        <v>0.55014659999999904</v>
      </c>
      <c r="F6745" t="s">
        <v>43</v>
      </c>
      <c r="G6745">
        <v>-185.50380000000001</v>
      </c>
      <c r="H6745" s="1">
        <v>-4.0890540000000004E-6</v>
      </c>
      <c r="I6745">
        <v>87.305329999999998</v>
      </c>
      <c r="J6745">
        <v>-188.42769999999999</v>
      </c>
      <c r="K6745">
        <v>1.109964</v>
      </c>
      <c r="L6745">
        <v>71.249759999999995</v>
      </c>
      <c r="M6745">
        <v>-1.284652E-2</v>
      </c>
      <c r="N6745">
        <v>0</v>
      </c>
      <c r="O6745">
        <v>0.99981149999999996</v>
      </c>
      <c r="P6745">
        <v>4.3654579999999998E-2</v>
      </c>
      <c r="Q6745">
        <v>4.9000490000000001E-2</v>
      </c>
      <c r="R6745">
        <v>0.99784430000000002</v>
      </c>
      <c r="S6745">
        <v>0.52203370000000004</v>
      </c>
      <c r="T6745">
        <v>-0.19875870000000001</v>
      </c>
      <c r="U6745">
        <v>2.9945979999999999</v>
      </c>
      <c r="V6745">
        <v>5.6458469999999997E-2</v>
      </c>
      <c r="W6745">
        <v>6.3521820000000007E-2</v>
      </c>
      <c r="X6745">
        <v>0.9963822</v>
      </c>
      <c r="Y6745">
        <v>0.1840128</v>
      </c>
      <c r="Z6745">
        <v>-6.5163750000000006E-2</v>
      </c>
      <c r="AA6745">
        <v>0.98076140000000001</v>
      </c>
      <c r="AB6745">
        <v>34</v>
      </c>
      <c r="AC6745">
        <v>2.92389999999997</v>
      </c>
      <c r="AD6745">
        <v>-1.109968089054</v>
      </c>
      <c r="AE6745">
        <v>16.055569999999999</v>
      </c>
      <c r="AF6745">
        <v>3.11552648923705</v>
      </c>
      <c r="AG6745">
        <v>-1.109968089054</v>
      </c>
      <c r="AH6745">
        <v>15.9429278566222</v>
      </c>
      <c r="AI6745">
        <v>93.908881688407206</v>
      </c>
      <c r="AJ6745">
        <v>78.942750222037503</v>
      </c>
      <c r="AK6745">
        <v>16.282367245130999</v>
      </c>
      <c r="AL6745">
        <v>86.358015879230095</v>
      </c>
      <c r="AM6745">
        <v>86.756890452641201</v>
      </c>
      <c r="AN6745">
        <v>1.00000003446384</v>
      </c>
    </row>
    <row r="6746" spans="1:40" x14ac:dyDescent="0.25">
      <c r="A6746" t="str">
        <f>"20190312151704842"</f>
        <v>20190312151704842</v>
      </c>
      <c r="B6746" t="str">
        <f>"1552375024834428"</f>
        <v>1552375024834428</v>
      </c>
      <c r="C6746" t="s">
        <v>40</v>
      </c>
      <c r="D6746">
        <v>4.8291909999999998</v>
      </c>
      <c r="E6746">
        <v>0.55066190000000004</v>
      </c>
      <c r="F6746" t="s">
        <v>43</v>
      </c>
      <c r="G6746">
        <v>-185.4957</v>
      </c>
      <c r="H6746" s="1">
        <v>-4.3112929999999997E-6</v>
      </c>
      <c r="I6746">
        <v>87.82002</v>
      </c>
      <c r="J6746">
        <v>-188.44120000000001</v>
      </c>
      <c r="K6746">
        <v>1.1099779999999999</v>
      </c>
      <c r="L6746">
        <v>72.269289999999998</v>
      </c>
      <c r="M6746">
        <v>-1.316552E-2</v>
      </c>
      <c r="N6746">
        <v>0</v>
      </c>
      <c r="O6746">
        <v>0.99980749999999996</v>
      </c>
      <c r="P6746">
        <v>4.9800700000000003E-2</v>
      </c>
      <c r="Q6746">
        <v>4.9967549999999999E-2</v>
      </c>
      <c r="R6746">
        <v>0.99750850000000002</v>
      </c>
      <c r="S6746">
        <v>0.52963260000000001</v>
      </c>
      <c r="T6746">
        <v>-0.2004987</v>
      </c>
      <c r="U6746">
        <v>2.9931640000000002</v>
      </c>
      <c r="V6746">
        <v>6.2917819999999999E-2</v>
      </c>
      <c r="W6746">
        <v>6.4472589999999996E-2</v>
      </c>
      <c r="X6746">
        <v>0.99593410000000004</v>
      </c>
      <c r="Y6746">
        <v>0.18681400000000001</v>
      </c>
      <c r="Z6746">
        <v>-6.573039E-2</v>
      </c>
      <c r="AA6746">
        <v>0.98019389999999995</v>
      </c>
      <c r="AB6746">
        <v>33</v>
      </c>
      <c r="AC6746">
        <v>2.9455</v>
      </c>
      <c r="AD6746">
        <v>-1.1099823112930001</v>
      </c>
      <c r="AE6746">
        <v>15.55073</v>
      </c>
      <c r="AF6746">
        <v>3.1345826976732698</v>
      </c>
      <c r="AG6746">
        <v>-1.1099823112930001</v>
      </c>
      <c r="AH6746">
        <v>15.4346851080129</v>
      </c>
      <c r="AI6746">
        <v>94.031318499777896</v>
      </c>
      <c r="AJ6746">
        <v>78.520103894494198</v>
      </c>
      <c r="AK6746">
        <v>15.7888306661212</v>
      </c>
      <c r="AL6746">
        <v>86.303428926315107</v>
      </c>
      <c r="AM6746">
        <v>86.385161234600105</v>
      </c>
      <c r="AN6746">
        <v>1.0000000492388299</v>
      </c>
    </row>
    <row r="6747" spans="1:40" x14ac:dyDescent="0.25">
      <c r="A6747" t="str">
        <f>"20190312151704862"</f>
        <v>20190312151704862</v>
      </c>
      <c r="B6747" t="str">
        <f>"1552375024854924"</f>
        <v>1552375024854924</v>
      </c>
      <c r="C6747" t="s">
        <v>40</v>
      </c>
      <c r="D6747">
        <v>4.6734839999999904</v>
      </c>
      <c r="E6747">
        <v>0.55119819999999997</v>
      </c>
      <c r="F6747" t="s">
        <v>43</v>
      </c>
      <c r="G6747">
        <v>-185.22</v>
      </c>
      <c r="H6747" s="1">
        <v>-1.2891000000000001E-6</v>
      </c>
      <c r="I6747">
        <v>89.698809999999995</v>
      </c>
      <c r="J6747">
        <v>-188.44540000000001</v>
      </c>
      <c r="K6747">
        <v>1.109985</v>
      </c>
      <c r="L6747">
        <v>72.579709999999906</v>
      </c>
      <c r="M6747">
        <v>-1.3260640000000001E-2</v>
      </c>
      <c r="N6747">
        <v>0</v>
      </c>
      <c r="O6747">
        <v>0.99980630000000004</v>
      </c>
      <c r="P6747">
        <v>5.2971879999999999E-2</v>
      </c>
      <c r="Q6747">
        <v>5.1099079999999998E-2</v>
      </c>
      <c r="R6747">
        <v>0.99728779999999995</v>
      </c>
      <c r="S6747">
        <v>0.55249019999999904</v>
      </c>
      <c r="T6747">
        <v>-0.1903793</v>
      </c>
      <c r="U6747">
        <v>2.9894409999999998</v>
      </c>
      <c r="V6747">
        <v>6.6180530000000001E-2</v>
      </c>
      <c r="W6747">
        <v>6.5596950000000001E-2</v>
      </c>
      <c r="X6747">
        <v>0.99564909999999995</v>
      </c>
      <c r="Y6747">
        <v>0.19440689999999999</v>
      </c>
      <c r="Z6747">
        <v>-6.2414049999999999E-2</v>
      </c>
      <c r="AA6747">
        <v>0.97893330000000001</v>
      </c>
      <c r="AB6747">
        <v>33</v>
      </c>
      <c r="AC6747">
        <v>3.2254</v>
      </c>
      <c r="AD6747">
        <v>-1.1099862890999901</v>
      </c>
      <c r="AE6747">
        <v>17.1191</v>
      </c>
      <c r="AF6747">
        <v>3.4381915830637499</v>
      </c>
      <c r="AG6747">
        <v>-1.1099862890999901</v>
      </c>
      <c r="AH6747">
        <v>17.005775936381099</v>
      </c>
      <c r="AI6747">
        <v>93.660604782936602</v>
      </c>
      <c r="AJ6747">
        <v>78.570134423336995</v>
      </c>
      <c r="AK6747">
        <v>17.385328473234001</v>
      </c>
      <c r="AL6747">
        <v>86.2388709000586</v>
      </c>
      <c r="AM6747">
        <v>86.197158844252002</v>
      </c>
      <c r="AN6747">
        <v>0.99999997636559601</v>
      </c>
    </row>
    <row r="6748" spans="1:40" x14ac:dyDescent="0.25">
      <c r="A6748" t="str">
        <f>"20190312151704884"</f>
        <v>20190312151704884</v>
      </c>
      <c r="B6748" t="str">
        <f>"1552375024874447"</f>
        <v>1552375024874447</v>
      </c>
      <c r="C6748" t="s">
        <v>40</v>
      </c>
      <c r="D6748">
        <v>4.7103400000000004</v>
      </c>
      <c r="E6748">
        <v>0.55173099999999997</v>
      </c>
      <c r="F6748" t="s">
        <v>43</v>
      </c>
      <c r="G6748">
        <v>-184.98429999999999</v>
      </c>
      <c r="H6748" s="1">
        <v>-1.7416720000000001E-6</v>
      </c>
      <c r="I6748">
        <v>90.84442</v>
      </c>
      <c r="J6748">
        <v>-188.44990000000001</v>
      </c>
      <c r="K6748">
        <v>1.1099840000000001</v>
      </c>
      <c r="L6748">
        <v>72.907839999999993</v>
      </c>
      <c r="M6748">
        <v>-1.335593E-2</v>
      </c>
      <c r="N6748">
        <v>0</v>
      </c>
      <c r="O6748">
        <v>0.9998051</v>
      </c>
      <c r="P6748">
        <v>5.5741850000000003E-2</v>
      </c>
      <c r="Q6748">
        <v>5.2654640000000003E-2</v>
      </c>
      <c r="R6748">
        <v>0.99705580000000005</v>
      </c>
      <c r="S6748">
        <v>0.56610109999999902</v>
      </c>
      <c r="T6748">
        <v>-0.18155060000000001</v>
      </c>
      <c r="U6748">
        <v>2.9873959999999999</v>
      </c>
      <c r="V6748">
        <v>6.9042290000000006E-2</v>
      </c>
      <c r="W6748">
        <v>6.7144690000000007E-2</v>
      </c>
      <c r="X6748">
        <v>0.9953516</v>
      </c>
      <c r="Y6748">
        <v>0.19896</v>
      </c>
      <c r="Z6748">
        <v>-5.9518059999999998E-2</v>
      </c>
      <c r="AA6748">
        <v>0.97819860000000003</v>
      </c>
      <c r="AB6748">
        <v>33</v>
      </c>
      <c r="AC6748">
        <v>3.4656000000000202</v>
      </c>
      <c r="AD6748">
        <v>-1.109985741672</v>
      </c>
      <c r="AE6748">
        <v>17.9365799999999</v>
      </c>
      <c r="AF6748">
        <v>3.6912485103702899</v>
      </c>
      <c r="AG6748">
        <v>-1.109985741672</v>
      </c>
      <c r="AH6748">
        <v>17.822890112935202</v>
      </c>
      <c r="AI6748">
        <v>93.489831165570493</v>
      </c>
      <c r="AJ6748">
        <v>78.299058582472099</v>
      </c>
      <c r="AK6748">
        <v>18.2349333941693</v>
      </c>
      <c r="AL6748">
        <v>86.149996149056804</v>
      </c>
      <c r="AM6748">
        <v>86.032049751086205</v>
      </c>
      <c r="AN6748">
        <v>1.00000002741309</v>
      </c>
    </row>
    <row r="6749" spans="1:40" x14ac:dyDescent="0.25">
      <c r="A6749" t="str">
        <f>"20190312151704906"</f>
        <v>20190312151704906</v>
      </c>
      <c r="B6749" t="str">
        <f>"1552375024894594"</f>
        <v>1552375024894594</v>
      </c>
      <c r="C6749" t="s">
        <v>40</v>
      </c>
      <c r="D6749">
        <v>4.7382489999999997</v>
      </c>
      <c r="E6749">
        <v>0.55199409999999904</v>
      </c>
      <c r="F6749" t="s">
        <v>43</v>
      </c>
      <c r="G6749">
        <v>-184.72829999999999</v>
      </c>
      <c r="H6749" s="1">
        <v>-2.241553E-6</v>
      </c>
      <c r="I6749">
        <v>92.113150000000005</v>
      </c>
      <c r="J6749">
        <v>-188.45429999999999</v>
      </c>
      <c r="K6749">
        <v>1.1099829999999999</v>
      </c>
      <c r="L6749">
        <v>73.233639999999994</v>
      </c>
      <c r="M6749">
        <v>-1.343975E-2</v>
      </c>
      <c r="N6749">
        <v>0</v>
      </c>
      <c r="O6749">
        <v>0.99980400000000003</v>
      </c>
      <c r="P6749">
        <v>5.863807E-2</v>
      </c>
      <c r="Q6749">
        <v>5.4596209999999999E-2</v>
      </c>
      <c r="R6749">
        <v>0.99678520000000004</v>
      </c>
      <c r="S6749">
        <v>0.57855219999999996</v>
      </c>
      <c r="T6749">
        <v>-0.1725566</v>
      </c>
      <c r="U6749">
        <v>2.9856259999999999</v>
      </c>
      <c r="V6749">
        <v>7.2018940000000004E-2</v>
      </c>
      <c r="W6749">
        <v>6.907758E-2</v>
      </c>
      <c r="X6749">
        <v>0.99500829999999996</v>
      </c>
      <c r="Y6749">
        <v>0.20311399999999999</v>
      </c>
      <c r="Z6749">
        <v>-5.6565869999999997E-2</v>
      </c>
      <c r="AA6749">
        <v>0.97751980000000005</v>
      </c>
      <c r="AB6749">
        <v>33</v>
      </c>
      <c r="AC6749">
        <v>3.7259999999999902</v>
      </c>
      <c r="AD6749">
        <v>-1.109985241553</v>
      </c>
      <c r="AE6749">
        <v>18.87951</v>
      </c>
      <c r="AF6749">
        <v>3.9662302964874101</v>
      </c>
      <c r="AG6749">
        <v>-1.109985241553</v>
      </c>
      <c r="AH6749">
        <v>18.765289757932699</v>
      </c>
      <c r="AI6749">
        <v>93.312151748252703</v>
      </c>
      <c r="AJ6749">
        <v>78.065614234518705</v>
      </c>
      <c r="AK6749">
        <v>19.211953302577399</v>
      </c>
      <c r="AL6749">
        <v>86.038991720250706</v>
      </c>
      <c r="AM6749">
        <v>85.860137071630604</v>
      </c>
      <c r="AN6749">
        <v>0.99999997842313404</v>
      </c>
    </row>
    <row r="6750" spans="1:40" x14ac:dyDescent="0.25">
      <c r="A6750" t="str">
        <f>"20190312151704928"</f>
        <v>20190312151704928</v>
      </c>
      <c r="B6750" t="str">
        <f>"1552375024924846"</f>
        <v>1552375024924846</v>
      </c>
      <c r="C6750" t="s">
        <v>40</v>
      </c>
      <c r="D6750">
        <v>4.7156609999999999</v>
      </c>
      <c r="E6750">
        <v>0.55205090000000001</v>
      </c>
      <c r="F6750" t="s">
        <v>43</v>
      </c>
      <c r="G6750">
        <v>-184.4556</v>
      </c>
      <c r="H6750" s="1">
        <v>-2.7770619999999999E-6</v>
      </c>
      <c r="I6750">
        <v>93.473560000000006</v>
      </c>
      <c r="J6750">
        <v>-188.4588</v>
      </c>
      <c r="K6750">
        <v>1.1099760000000001</v>
      </c>
      <c r="L6750">
        <v>73.566159999999996</v>
      </c>
      <c r="M6750">
        <v>-1.350669E-2</v>
      </c>
      <c r="N6750">
        <v>0</v>
      </c>
      <c r="O6750">
        <v>0.9998032</v>
      </c>
      <c r="P6750">
        <v>6.1628139999999998E-2</v>
      </c>
      <c r="Q6750">
        <v>5.5520720000000003E-2</v>
      </c>
      <c r="R6750">
        <v>0.99655380000000005</v>
      </c>
      <c r="S6750">
        <v>0.58952329999999997</v>
      </c>
      <c r="T6750">
        <v>-0.16364379999999901</v>
      </c>
      <c r="U6750">
        <v>2.9839479999999998</v>
      </c>
      <c r="V6750">
        <v>7.5074429999999998E-2</v>
      </c>
      <c r="W6750">
        <v>6.9992330000000005E-2</v>
      </c>
      <c r="X6750">
        <v>0.99471849999999995</v>
      </c>
      <c r="Y6750">
        <v>0.2067735</v>
      </c>
      <c r="Z6750">
        <v>-5.3642950000000002E-2</v>
      </c>
      <c r="AA6750">
        <v>0.97691709999999998</v>
      </c>
      <c r="AB6750">
        <v>33</v>
      </c>
      <c r="AC6750">
        <v>4.0031999999999899</v>
      </c>
      <c r="AD6750">
        <v>-1.109978777062</v>
      </c>
      <c r="AE6750">
        <v>19.907399999999999</v>
      </c>
      <c r="AF6750">
        <v>4.2590201641457899</v>
      </c>
      <c r="AG6750">
        <v>-1.109978777062</v>
      </c>
      <c r="AH6750">
        <v>19.7923678939108</v>
      </c>
      <c r="AI6750">
        <v>93.138165957422899</v>
      </c>
      <c r="AJ6750">
        <v>77.855990260932103</v>
      </c>
      <c r="AK6750">
        <v>20.275826308489599</v>
      </c>
      <c r="AL6750">
        <v>85.986453302087</v>
      </c>
      <c r="AM6750">
        <v>85.683895981844998</v>
      </c>
      <c r="AN6750">
        <v>0.99999999527045103</v>
      </c>
    </row>
    <row r="6751" spans="1:40" x14ac:dyDescent="0.25">
      <c r="A6751" t="str">
        <f>"20190312151704951"</f>
        <v>20190312151704951</v>
      </c>
      <c r="B6751" t="str">
        <f>"1552375024944366"</f>
        <v>1552375024944366</v>
      </c>
      <c r="C6751" t="s">
        <v>40</v>
      </c>
      <c r="D6751">
        <v>4.7110890000000003</v>
      </c>
      <c r="E6751">
        <v>0.55200649999999996</v>
      </c>
      <c r="F6751" t="s">
        <v>43</v>
      </c>
      <c r="G6751">
        <v>-184.3426</v>
      </c>
      <c r="H6751" s="1">
        <v>-3.00736E-6</v>
      </c>
      <c r="I6751">
        <v>94.061940000000007</v>
      </c>
      <c r="J6751">
        <v>-188.46350000000001</v>
      </c>
      <c r="K6751">
        <v>1.109961</v>
      </c>
      <c r="L6751">
        <v>73.905090000000001</v>
      </c>
      <c r="M6751">
        <v>-1.3554149999999999E-2</v>
      </c>
      <c r="N6751">
        <v>0</v>
      </c>
      <c r="O6751">
        <v>0.99980259999999999</v>
      </c>
      <c r="P6751">
        <v>6.3885430000000007E-2</v>
      </c>
      <c r="Q6751">
        <v>5.5953339999999997E-2</v>
      </c>
      <c r="R6751">
        <v>0.99638740000000003</v>
      </c>
      <c r="S6751">
        <v>0.59895319999999996</v>
      </c>
      <c r="T6751">
        <v>-0.1615125</v>
      </c>
      <c r="U6751">
        <v>2.9823300000000001</v>
      </c>
      <c r="V6751">
        <v>7.7379439999999994E-2</v>
      </c>
      <c r="W6751">
        <v>7.0415179999999994E-2</v>
      </c>
      <c r="X6751">
        <v>0.99451199999999995</v>
      </c>
      <c r="Y6751">
        <v>0.209898</v>
      </c>
      <c r="Z6751">
        <v>-5.2940380000000002E-2</v>
      </c>
      <c r="AA6751">
        <v>0.97628899999999996</v>
      </c>
      <c r="AB6751">
        <v>33</v>
      </c>
      <c r="AC6751">
        <v>4.1208999999999998</v>
      </c>
      <c r="AD6751">
        <v>-1.1099640073599999</v>
      </c>
      <c r="AE6751">
        <v>20.156849999999999</v>
      </c>
      <c r="AF6751">
        <v>4.3810076011195802</v>
      </c>
      <c r="AG6751">
        <v>-1.1099640073599999</v>
      </c>
      <c r="AH6751">
        <v>20.040805055340901</v>
      </c>
      <c r="AI6751">
        <v>93.097108374402794</v>
      </c>
      <c r="AJ6751">
        <v>77.668875805849595</v>
      </c>
      <c r="AK6751">
        <v>20.5440773695213</v>
      </c>
      <c r="AL6751">
        <v>85.962165862228105</v>
      </c>
      <c r="AM6751">
        <v>85.550982704072695</v>
      </c>
      <c r="AN6751">
        <v>0.99999999672657303</v>
      </c>
    </row>
    <row r="6752" spans="1:40" x14ac:dyDescent="0.25">
      <c r="A6752" t="str">
        <f>"20190312151704973"</f>
        <v>20190312151704973</v>
      </c>
      <c r="B6752" t="str">
        <f>"1552375024964862"</f>
        <v>1552375024964862</v>
      </c>
      <c r="C6752" t="s">
        <v>40</v>
      </c>
      <c r="D6752">
        <v>4.7395399999999999</v>
      </c>
      <c r="E6752">
        <v>0.55203000000000002</v>
      </c>
      <c r="F6752" t="s">
        <v>43</v>
      </c>
      <c r="G6752">
        <v>-184.30500000000001</v>
      </c>
      <c r="H6752" s="1">
        <v>-3.1234029999999999E-6</v>
      </c>
      <c r="I6752">
        <v>94.373540000000006</v>
      </c>
      <c r="J6752">
        <v>-188.46789999999999</v>
      </c>
      <c r="K6752">
        <v>1.109952</v>
      </c>
      <c r="L6752">
        <v>74.228149999999999</v>
      </c>
      <c r="M6752">
        <v>-1.358295E-2</v>
      </c>
      <c r="N6752">
        <v>0</v>
      </c>
      <c r="O6752">
        <v>0.99980230000000003</v>
      </c>
      <c r="P6752">
        <v>6.6423800000000005E-2</v>
      </c>
      <c r="Q6752">
        <v>5.6311960000000001E-2</v>
      </c>
      <c r="R6752">
        <v>0.99620120000000001</v>
      </c>
      <c r="S6752">
        <v>0.60566709999999901</v>
      </c>
      <c r="T6752">
        <v>-0.16166140000000001</v>
      </c>
      <c r="U6752">
        <v>2.9811399999999999</v>
      </c>
      <c r="V6752">
        <v>7.9946519999999993E-2</v>
      </c>
      <c r="W6752">
        <v>7.076433E-2</v>
      </c>
      <c r="X6752">
        <v>0.99428419999999895</v>
      </c>
      <c r="Y6752">
        <v>0.21211289999999999</v>
      </c>
      <c r="Z6752">
        <v>-5.2985209999999998E-2</v>
      </c>
      <c r="AA6752">
        <v>0.97580769999999994</v>
      </c>
      <c r="AB6752">
        <v>33</v>
      </c>
      <c r="AC6752">
        <v>4.1628999999999703</v>
      </c>
      <c r="AD6752">
        <v>-1.1099551234029901</v>
      </c>
      <c r="AE6752">
        <v>20.145389999999999</v>
      </c>
      <c r="AF6752">
        <v>4.4233006309285896</v>
      </c>
      <c r="AG6752">
        <v>-1.1099551234029901</v>
      </c>
      <c r="AH6752">
        <v>20.028669558921401</v>
      </c>
      <c r="AI6752">
        <v>93.097502034896607</v>
      </c>
      <c r="AJ6752">
        <v>77.546221353023896</v>
      </c>
      <c r="AK6752">
        <v>20.5413045629533</v>
      </c>
      <c r="AL6752">
        <v>85.942111242872201</v>
      </c>
      <c r="AM6752">
        <v>85.402959341698093</v>
      </c>
      <c r="AN6752">
        <v>1.0000000534150399</v>
      </c>
    </row>
    <row r="6753" spans="1:40" x14ac:dyDescent="0.25">
      <c r="A6753" t="str">
        <f>"20190312151704997"</f>
        <v>20190312151704997</v>
      </c>
      <c r="B6753" t="str">
        <f>"1552375024984383"</f>
        <v>1552375024984383</v>
      </c>
      <c r="C6753" t="s">
        <v>40</v>
      </c>
      <c r="D6753">
        <v>4.7273389999999997</v>
      </c>
      <c r="E6753">
        <v>0.55199290000000001</v>
      </c>
      <c r="F6753" t="s">
        <v>43</v>
      </c>
      <c r="G6753">
        <v>-184.256</v>
      </c>
      <c r="H6753" s="1">
        <v>-3.2434530000000001E-6</v>
      </c>
      <c r="I6753">
        <v>94.688000000000002</v>
      </c>
      <c r="J6753">
        <v>-188.4726</v>
      </c>
      <c r="K6753">
        <v>1.1099319999999999</v>
      </c>
      <c r="L6753">
        <v>74.572810000000004</v>
      </c>
      <c r="M6753">
        <v>-1.358881E-2</v>
      </c>
      <c r="N6753">
        <v>0</v>
      </c>
      <c r="O6753">
        <v>0.99980219999999997</v>
      </c>
      <c r="P6753">
        <v>6.8183030000000006E-2</v>
      </c>
      <c r="Q6753">
        <v>5.6094739999999997E-2</v>
      </c>
      <c r="R6753">
        <v>0.99609460000000005</v>
      </c>
      <c r="S6753">
        <v>0.61340329999999998</v>
      </c>
      <c r="T6753">
        <v>-0.1616486</v>
      </c>
      <c r="U6753">
        <v>2.9796749999999999</v>
      </c>
      <c r="V6753">
        <v>8.1712839999999995E-2</v>
      </c>
      <c r="W6753">
        <v>7.053885E-2</v>
      </c>
      <c r="X6753">
        <v>0.9941565</v>
      </c>
      <c r="Y6753">
        <v>0.21464330000000001</v>
      </c>
      <c r="Z6753">
        <v>-5.297806E-2</v>
      </c>
      <c r="AA6753">
        <v>0.97525459999999997</v>
      </c>
      <c r="AB6753">
        <v>33</v>
      </c>
      <c r="AC6753">
        <v>4.2166000000000201</v>
      </c>
      <c r="AD6753">
        <v>-1.1099352434530001</v>
      </c>
      <c r="AE6753">
        <v>20.115189999999899</v>
      </c>
      <c r="AF6753">
        <v>4.47652486522035</v>
      </c>
      <c r="AG6753">
        <v>-1.1099352434530001</v>
      </c>
      <c r="AH6753">
        <v>19.9977032279178</v>
      </c>
      <c r="AI6753">
        <v>93.100264006018705</v>
      </c>
      <c r="AJ6753">
        <v>77.382240721302395</v>
      </c>
      <c r="AK6753">
        <v>20.522654933157899</v>
      </c>
      <c r="AL6753">
        <v>85.9550621676742</v>
      </c>
      <c r="AM6753">
        <v>85.3012423811997</v>
      </c>
      <c r="AN6753">
        <v>0.99999993203621595</v>
      </c>
    </row>
    <row r="6754" spans="1:40" x14ac:dyDescent="0.25">
      <c r="A6754" t="str">
        <f>"20190312151705020"</f>
        <v>20190312151705020</v>
      </c>
      <c r="B6754" t="str">
        <f>"1552375025014639"</f>
        <v>1552375025014639</v>
      </c>
      <c r="C6754" t="s">
        <v>40</v>
      </c>
      <c r="D6754">
        <v>4.71469</v>
      </c>
      <c r="E6754">
        <v>0.55200719999999903</v>
      </c>
      <c r="F6754" t="s">
        <v>43</v>
      </c>
      <c r="G6754">
        <v>-184.25790000000001</v>
      </c>
      <c r="H6754" s="1">
        <v>-3.301291E-6</v>
      </c>
      <c r="I6754">
        <v>94.859440000000006</v>
      </c>
      <c r="J6754">
        <v>-188.47720000000001</v>
      </c>
      <c r="K6754">
        <v>1.1099139999999901</v>
      </c>
      <c r="L6754">
        <v>74.918400000000005</v>
      </c>
      <c r="M6754">
        <v>-1.356955E-2</v>
      </c>
      <c r="N6754">
        <v>0</v>
      </c>
      <c r="O6754">
        <v>0.99980250000000004</v>
      </c>
      <c r="P6754">
        <v>6.8323720000000004E-2</v>
      </c>
      <c r="Q6754">
        <v>5.5752389999999999E-2</v>
      </c>
      <c r="R6754">
        <v>0.9961042</v>
      </c>
      <c r="S6754">
        <v>0.61882019999999904</v>
      </c>
      <c r="T6754">
        <v>-0.1629659</v>
      </c>
      <c r="U6754">
        <v>2.978577</v>
      </c>
      <c r="V6754">
        <v>8.1837430000000003E-2</v>
      </c>
      <c r="W6754">
        <v>7.0189719999999997E-2</v>
      </c>
      <c r="X6754">
        <v>0.99417100000000003</v>
      </c>
      <c r="Y6754">
        <v>0.21639140000000001</v>
      </c>
      <c r="Z6754">
        <v>-5.3407639999999999E-2</v>
      </c>
      <c r="AA6754">
        <v>0.97484479999999996</v>
      </c>
      <c r="AB6754">
        <v>33</v>
      </c>
      <c r="AC6754">
        <v>4.2192999999999996</v>
      </c>
      <c r="AD6754">
        <v>-1.10991730129099</v>
      </c>
      <c r="AE6754">
        <v>19.941040000000001</v>
      </c>
      <c r="AF6754">
        <v>4.4762575765832198</v>
      </c>
      <c r="AG6754">
        <v>-1.10991730129099</v>
      </c>
      <c r="AH6754">
        <v>19.823162456934298</v>
      </c>
      <c r="AI6754">
        <v>93.126149763793904</v>
      </c>
      <c r="AJ6754">
        <v>77.275480400806799</v>
      </c>
      <c r="AK6754">
        <v>20.3525567951949</v>
      </c>
      <c r="AL6754">
        <v>85.975115700725794</v>
      </c>
      <c r="AM6754">
        <v>85.294178524837093</v>
      </c>
      <c r="AN6754">
        <v>0.999999969491841</v>
      </c>
    </row>
    <row r="6755" spans="1:40" x14ac:dyDescent="0.25">
      <c r="A6755" t="str">
        <f>"20190312151705043"</f>
        <v>20190312151705043</v>
      </c>
      <c r="B6755" t="str">
        <f>"1552375025034159"</f>
        <v>1552375025034159</v>
      </c>
      <c r="C6755" t="s">
        <v>40</v>
      </c>
      <c r="D6755">
        <v>4.710591</v>
      </c>
      <c r="E6755">
        <v>0.55201309999999904</v>
      </c>
      <c r="F6755" t="s">
        <v>43</v>
      </c>
      <c r="G6755">
        <v>-184.31299999999999</v>
      </c>
      <c r="H6755" s="1">
        <v>-3.3158099999999902E-6</v>
      </c>
      <c r="I6755">
        <v>94.945229999999995</v>
      </c>
      <c r="J6755">
        <v>-188.4819</v>
      </c>
      <c r="K6755">
        <v>1.1098840000000001</v>
      </c>
      <c r="L6755">
        <v>75.263490000000004</v>
      </c>
      <c r="M6755">
        <v>-1.3507389999999999E-2</v>
      </c>
      <c r="N6755">
        <v>0</v>
      </c>
      <c r="O6755">
        <v>0.99980340000000001</v>
      </c>
      <c r="P6755">
        <v>6.9376190000000004E-2</v>
      </c>
      <c r="Q6755">
        <v>5.4778170000000001E-2</v>
      </c>
      <c r="R6755">
        <v>0.99608549999999996</v>
      </c>
      <c r="S6755">
        <v>0.61932369999999903</v>
      </c>
      <c r="T6755">
        <v>-0.1650721</v>
      </c>
      <c r="U6755">
        <v>2.978485</v>
      </c>
      <c r="V6755">
        <v>8.2832080000000002E-2</v>
      </c>
      <c r="W6755">
        <v>6.9206019999999993E-2</v>
      </c>
      <c r="X6755">
        <v>0.99415759999999997</v>
      </c>
      <c r="Y6755">
        <v>0.21648709999999999</v>
      </c>
      <c r="Z6755">
        <v>-5.4096020000000002E-2</v>
      </c>
      <c r="AA6755">
        <v>0.97478560000000003</v>
      </c>
      <c r="AB6755">
        <v>33</v>
      </c>
      <c r="AC6755">
        <v>4.1688999999999998</v>
      </c>
      <c r="AD6755">
        <v>-1.10988731581</v>
      </c>
      <c r="AE6755">
        <v>19.681740000000001</v>
      </c>
      <c r="AF6755">
        <v>4.4209415056764598</v>
      </c>
      <c r="AG6755">
        <v>-1.10988731581</v>
      </c>
      <c r="AH6755">
        <v>19.5640843126173</v>
      </c>
      <c r="AI6755">
        <v>93.167268140012297</v>
      </c>
      <c r="AJ6755">
        <v>77.266602184217902</v>
      </c>
      <c r="AK6755">
        <v>20.0880553723253</v>
      </c>
      <c r="AL6755">
        <v>86.031615003402806</v>
      </c>
      <c r="AM6755">
        <v>85.237181731502304</v>
      </c>
      <c r="AN6755">
        <v>0.99999998015956304</v>
      </c>
    </row>
    <row r="6756" spans="1:40" x14ac:dyDescent="0.25">
      <c r="A6756" t="str">
        <f>"20190312151705077"</f>
        <v>20190312151705077</v>
      </c>
      <c r="B6756" t="str">
        <f>"1552375025064414"</f>
        <v>1552375025064414</v>
      </c>
      <c r="C6756" t="s">
        <v>40</v>
      </c>
      <c r="D6756">
        <v>4.6762430000000004</v>
      </c>
      <c r="E6756">
        <v>0.55206080000000002</v>
      </c>
      <c r="F6756" t="s">
        <v>43</v>
      </c>
      <c r="G6756">
        <v>-184.3852</v>
      </c>
      <c r="H6756" s="1">
        <v>-3.268041E-6</v>
      </c>
      <c r="I6756">
        <v>94.861329999999995</v>
      </c>
      <c r="J6756">
        <v>-188.48840000000001</v>
      </c>
      <c r="K6756">
        <v>1.109807</v>
      </c>
      <c r="L6756">
        <v>75.757230000000007</v>
      </c>
      <c r="M6756">
        <v>-1.329783E-2</v>
      </c>
      <c r="N6756">
        <v>0</v>
      </c>
      <c r="O6756">
        <v>0.99980630000000004</v>
      </c>
      <c r="P6756">
        <v>7.0768860000000003E-2</v>
      </c>
      <c r="Q6756">
        <v>5.4018539999999997E-2</v>
      </c>
      <c r="R6756">
        <v>0.99602900000000005</v>
      </c>
      <c r="S6756">
        <v>0.6224518</v>
      </c>
      <c r="T6756">
        <v>-0.1686378</v>
      </c>
      <c r="U6756">
        <v>2.977722</v>
      </c>
      <c r="V6756">
        <v>8.4026879999999998E-2</v>
      </c>
      <c r="W6756">
        <v>6.8425860000000005E-2</v>
      </c>
      <c r="X6756">
        <v>0.99411139999999998</v>
      </c>
      <c r="Y6756">
        <v>0.2173004</v>
      </c>
      <c r="Z6756">
        <v>-5.5264059999999997E-2</v>
      </c>
      <c r="AA6756">
        <v>0.97453909999999999</v>
      </c>
      <c r="AB6756">
        <v>33</v>
      </c>
      <c r="AC6756">
        <v>4.10320000000001</v>
      </c>
      <c r="AD6756">
        <v>-1.109810268041</v>
      </c>
      <c r="AE6756">
        <v>19.104099999999999</v>
      </c>
      <c r="AF6756">
        <v>4.34289694966842</v>
      </c>
      <c r="AG6756">
        <v>-1.109810268041</v>
      </c>
      <c r="AH6756">
        <v>18.986591174500401</v>
      </c>
      <c r="AI6756">
        <v>93.261228009483204</v>
      </c>
      <c r="AJ6756">
        <v>77.116094948063505</v>
      </c>
      <c r="AK6756">
        <v>19.508538570946499</v>
      </c>
      <c r="AL6756">
        <v>86.076421355089195</v>
      </c>
      <c r="AM6756">
        <v>85.168580530138001</v>
      </c>
      <c r="AN6756">
        <v>1.0000000452446101</v>
      </c>
    </row>
    <row r="6757" spans="1:40" x14ac:dyDescent="0.25">
      <c r="A6757" t="str">
        <f>"20190312151705096"</f>
        <v>20190312151705096</v>
      </c>
      <c r="B6757" t="str">
        <f>"1552375025084911"</f>
        <v>1552375025084911</v>
      </c>
      <c r="C6757" t="s">
        <v>40</v>
      </c>
      <c r="D6757">
        <v>4.6997229999999997</v>
      </c>
      <c r="E6757">
        <v>0.55205470000000001</v>
      </c>
      <c r="F6757" t="s">
        <v>43</v>
      </c>
      <c r="G6757">
        <v>-184.42410000000001</v>
      </c>
      <c r="H6757" s="1">
        <v>-3.3212999999999999E-6</v>
      </c>
      <c r="I6757">
        <v>95.048230000000004</v>
      </c>
      <c r="J6757">
        <v>-188.4922</v>
      </c>
      <c r="K6757">
        <v>1.1097410000000001</v>
      </c>
      <c r="L6757">
        <v>76.057069999999996</v>
      </c>
      <c r="M6757">
        <v>-1.307207E-2</v>
      </c>
      <c r="N6757">
        <v>0</v>
      </c>
      <c r="O6757">
        <v>0.99980930000000001</v>
      </c>
      <c r="P6757">
        <v>7.1523749999999997E-2</v>
      </c>
      <c r="Q6757">
        <v>5.4228209999999999E-2</v>
      </c>
      <c r="R6757">
        <v>0.99596370000000001</v>
      </c>
      <c r="S6757">
        <v>0.62713619999999903</v>
      </c>
      <c r="T6757">
        <v>-0.1712486</v>
      </c>
      <c r="U6757">
        <v>2.9766849999999998</v>
      </c>
      <c r="V6757">
        <v>8.4567089999999998E-2</v>
      </c>
      <c r="W6757">
        <v>6.8618529999999997E-2</v>
      </c>
      <c r="X6757">
        <v>0.9940523</v>
      </c>
      <c r="Y6757">
        <v>0.21860689999999999</v>
      </c>
      <c r="Z6757">
        <v>-5.6119009999999997E-2</v>
      </c>
      <c r="AA6757">
        <v>0.97419800000000001</v>
      </c>
      <c r="AB6757">
        <v>33</v>
      </c>
      <c r="AC6757">
        <v>4.0680999999999798</v>
      </c>
      <c r="AD6757">
        <v>-1.1097443213</v>
      </c>
      <c r="AE6757">
        <v>18.991160000000001</v>
      </c>
      <c r="AF6757">
        <v>4.3019870491656302</v>
      </c>
      <c r="AG6757">
        <v>-1.1097443213</v>
      </c>
      <c r="AH6757">
        <v>18.874730412600499</v>
      </c>
      <c r="AI6757">
        <v>93.280895750888106</v>
      </c>
      <c r="AJ6757">
        <v>77.160305595086101</v>
      </c>
      <c r="AK6757">
        <v>19.390566602814701</v>
      </c>
      <c r="AL6757">
        <v>86.065356130661598</v>
      </c>
      <c r="AM6757">
        <v>85.137380014569999</v>
      </c>
      <c r="AN6757">
        <v>1.00000003525285</v>
      </c>
    </row>
    <row r="6758" spans="1:40" x14ac:dyDescent="0.25">
      <c r="A6758" t="str">
        <f>"20190312151705119"</f>
        <v>20190312151705119</v>
      </c>
      <c r="B6758" t="str">
        <f>"1552375025114191"</f>
        <v>1552375025114191</v>
      </c>
      <c r="C6758" t="s">
        <v>40</v>
      </c>
      <c r="D6758">
        <v>4.6993150000000004</v>
      </c>
      <c r="E6758">
        <v>0.55200109999999902</v>
      </c>
      <c r="F6758" t="s">
        <v>43</v>
      </c>
      <c r="G6758">
        <v>-184.4136</v>
      </c>
      <c r="H6758" s="1">
        <v>-3.4379970000000001E-6</v>
      </c>
      <c r="I6758">
        <v>95.336950000000002</v>
      </c>
      <c r="J6758">
        <v>-188.49610000000001</v>
      </c>
      <c r="K6758">
        <v>1.109669</v>
      </c>
      <c r="L6758">
        <v>76.385189999999994</v>
      </c>
      <c r="M6758">
        <v>-1.273228E-2</v>
      </c>
      <c r="N6758">
        <v>0</v>
      </c>
      <c r="O6758">
        <v>0.99981379999999997</v>
      </c>
      <c r="P6758">
        <v>7.2453740000000003E-2</v>
      </c>
      <c r="Q6758">
        <v>5.3933670000000003E-2</v>
      </c>
      <c r="R6758">
        <v>0.99591240000000003</v>
      </c>
      <c r="S6758">
        <v>0.62960819999999995</v>
      </c>
      <c r="T6758">
        <v>-0.17131250000000001</v>
      </c>
      <c r="U6758">
        <v>2.9762569999999999</v>
      </c>
      <c r="V6758">
        <v>8.5171529999999995E-2</v>
      </c>
      <c r="W6758">
        <v>6.830311E-2</v>
      </c>
      <c r="X6758">
        <v>0.99402239999999997</v>
      </c>
      <c r="Y6758">
        <v>0.21907779999999999</v>
      </c>
      <c r="Z6758">
        <v>-5.6140370000000002E-2</v>
      </c>
      <c r="AA6758">
        <v>0.97409089999999998</v>
      </c>
      <c r="AB6758">
        <v>33</v>
      </c>
      <c r="AC6758">
        <v>4.0824999999999996</v>
      </c>
      <c r="AD6758">
        <v>-1.109672437997</v>
      </c>
      <c r="AE6758">
        <v>18.95176</v>
      </c>
      <c r="AF6758">
        <v>4.3093744451741802</v>
      </c>
      <c r="AG6758">
        <v>-1.109672437997</v>
      </c>
      <c r="AH6758">
        <v>18.836523299006899</v>
      </c>
      <c r="AI6758">
        <v>93.286715248225704</v>
      </c>
      <c r="AJ6758">
        <v>77.113773130664995</v>
      </c>
      <c r="AK6758">
        <v>19.3550172054277</v>
      </c>
      <c r="AL6758">
        <v>86.083470797999496</v>
      </c>
      <c r="AM6758">
        <v>85.102646464680404</v>
      </c>
      <c r="AN6758">
        <v>1.00000001802998</v>
      </c>
    </row>
    <row r="6759" spans="1:40" x14ac:dyDescent="0.25">
      <c r="A6759" t="str">
        <f>"20190312151705141"</f>
        <v>20190312151705141</v>
      </c>
      <c r="B6759" t="str">
        <f>"1552375025134687"</f>
        <v>1552375025134687</v>
      </c>
      <c r="C6759" t="s">
        <v>40</v>
      </c>
      <c r="D6759">
        <v>4.7629849999999996</v>
      </c>
      <c r="E6759">
        <v>0.55192439999999998</v>
      </c>
      <c r="F6759" t="s">
        <v>43</v>
      </c>
      <c r="G6759">
        <v>-184.45189999999999</v>
      </c>
      <c r="H6759" s="1">
        <v>-3.468382E-6</v>
      </c>
      <c r="I6759">
        <v>95.423609999999996</v>
      </c>
      <c r="J6759">
        <v>-188.4999</v>
      </c>
      <c r="K6759">
        <v>1.1095699999999999</v>
      </c>
      <c r="L6759">
        <v>76.714659999999995</v>
      </c>
      <c r="M6759">
        <v>-1.2252320000000001E-2</v>
      </c>
      <c r="N6759">
        <v>0</v>
      </c>
      <c r="O6759">
        <v>0.99981980000000004</v>
      </c>
      <c r="P6759">
        <v>7.353316E-2</v>
      </c>
      <c r="Q6759">
        <v>5.3774719999999998E-2</v>
      </c>
      <c r="R6759">
        <v>0.99584189999999995</v>
      </c>
      <c r="S6759">
        <v>0.63211059999999997</v>
      </c>
      <c r="T6759">
        <v>-0.17344200000000001</v>
      </c>
      <c r="U6759">
        <v>2.975708</v>
      </c>
      <c r="V6759">
        <v>8.5788939999999994E-2</v>
      </c>
      <c r="W6759">
        <v>6.8119499999999999E-2</v>
      </c>
      <c r="X6759">
        <v>0.99398189999999997</v>
      </c>
      <c r="Y6759">
        <v>0.21942159999999999</v>
      </c>
      <c r="Z6759">
        <v>-5.6839580000000001E-2</v>
      </c>
      <c r="AA6759">
        <v>0.97397299999999998</v>
      </c>
      <c r="AB6759">
        <v>33</v>
      </c>
      <c r="AC6759">
        <v>4.048</v>
      </c>
      <c r="AD6759">
        <v>-1.109573468382</v>
      </c>
      <c r="AE6759">
        <v>18.708950000000002</v>
      </c>
      <c r="AF6759">
        <v>4.2626256654744896</v>
      </c>
      <c r="AG6759">
        <v>-1.109573468382</v>
      </c>
      <c r="AH6759">
        <v>18.595461402048301</v>
      </c>
      <c r="AI6759">
        <v>93.3286045449683</v>
      </c>
      <c r="AJ6759">
        <v>77.089178692962093</v>
      </c>
      <c r="AK6759">
        <v>19.1100056410449</v>
      </c>
      <c r="AL6759">
        <v>86.094015415841</v>
      </c>
      <c r="AM6759">
        <v>85.067119997847001</v>
      </c>
      <c r="AN6759">
        <v>1.0000000130170901</v>
      </c>
    </row>
    <row r="6760" spans="1:40" x14ac:dyDescent="0.25">
      <c r="A6760" t="str">
        <f>"20190312151705163"</f>
        <v>20190312151705163</v>
      </c>
      <c r="B6760" t="str">
        <f>"1552375025154206"</f>
        <v>1552375025154206</v>
      </c>
      <c r="C6760" t="s">
        <v>40</v>
      </c>
      <c r="D6760">
        <v>4.8291040000000001</v>
      </c>
      <c r="E6760">
        <v>0.55182759999999997</v>
      </c>
      <c r="F6760" t="s">
        <v>43</v>
      </c>
      <c r="G6760">
        <v>-184.47020000000001</v>
      </c>
      <c r="H6760" s="1">
        <v>-3.5391979999999999E-6</v>
      </c>
      <c r="I6760">
        <v>95.596249999999998</v>
      </c>
      <c r="J6760">
        <v>-188.50319999999999</v>
      </c>
      <c r="K6760">
        <v>1.1094550000000001</v>
      </c>
      <c r="L6760">
        <v>77.032469999999904</v>
      </c>
      <c r="M6760">
        <v>-1.1628309999999999E-2</v>
      </c>
      <c r="N6760">
        <v>0</v>
      </c>
      <c r="O6760">
        <v>0.99982729999999997</v>
      </c>
      <c r="P6760">
        <v>7.52665E-2</v>
      </c>
      <c r="Q6760">
        <v>5.3712870000000003E-2</v>
      </c>
      <c r="R6760">
        <v>0.99571569999999998</v>
      </c>
      <c r="S6760">
        <v>0.63493350000000004</v>
      </c>
      <c r="T6760">
        <v>-0.17483099999999999</v>
      </c>
      <c r="U6760">
        <v>2.975098</v>
      </c>
      <c r="V6760">
        <v>8.6919330000000003E-2</v>
      </c>
      <c r="W6760">
        <v>6.8027679999999993E-2</v>
      </c>
      <c r="X6760">
        <v>0.99389000000000005</v>
      </c>
      <c r="Y6760">
        <v>0.21973200000000001</v>
      </c>
      <c r="Z6760">
        <v>-5.7297769999999998E-2</v>
      </c>
      <c r="AA6760">
        <v>0.97387619999999997</v>
      </c>
      <c r="AB6760">
        <v>33</v>
      </c>
      <c r="AC6760">
        <v>4.0329999999999799</v>
      </c>
      <c r="AD6760">
        <v>-1.1094585391980001</v>
      </c>
      <c r="AE6760">
        <v>18.563780000000001</v>
      </c>
      <c r="AF6760">
        <v>4.23417328151905</v>
      </c>
      <c r="AG6760">
        <v>-1.1094585391980001</v>
      </c>
      <c r="AH6760">
        <v>18.452683683961201</v>
      </c>
      <c r="AI6760">
        <v>93.353785441817905</v>
      </c>
      <c r="AJ6760">
        <v>77.076563772462293</v>
      </c>
      <c r="AK6760">
        <v>18.964721373341</v>
      </c>
      <c r="AL6760">
        <v>86.099288626872095</v>
      </c>
      <c r="AM6760">
        <v>85.001989647248706</v>
      </c>
      <c r="AN6760">
        <v>1.0000000336369099</v>
      </c>
    </row>
    <row r="6761" spans="1:40" x14ac:dyDescent="0.25">
      <c r="A6761" t="str">
        <f>"20190312151705187"</f>
        <v>20190312151705187</v>
      </c>
      <c r="B6761" t="str">
        <f>"1552375025184969"</f>
        <v>1552375025184969</v>
      </c>
      <c r="C6761" t="s">
        <v>40</v>
      </c>
      <c r="D6761">
        <v>4.7819469999999997</v>
      </c>
      <c r="E6761">
        <v>0.55171150000000002</v>
      </c>
      <c r="F6761" t="s">
        <v>43</v>
      </c>
      <c r="G6761">
        <v>-184.46350000000001</v>
      </c>
      <c r="H6761" s="1">
        <v>-3.631764E-6</v>
      </c>
      <c r="I6761">
        <v>95.809229999999999</v>
      </c>
      <c r="J6761">
        <v>-188.50649999999999</v>
      </c>
      <c r="K6761">
        <v>1.109299</v>
      </c>
      <c r="L6761">
        <v>77.387079999999997</v>
      </c>
      <c r="M6761">
        <v>-1.072418E-2</v>
      </c>
      <c r="N6761">
        <v>0</v>
      </c>
      <c r="O6761">
        <v>0.99983750000000005</v>
      </c>
      <c r="P6761">
        <v>7.6820159999999998E-2</v>
      </c>
      <c r="Q6761">
        <v>5.4050580000000001E-2</v>
      </c>
      <c r="R6761">
        <v>0.99557879999999999</v>
      </c>
      <c r="S6761">
        <v>0.63984680000000005</v>
      </c>
      <c r="T6761">
        <v>-0.17572579999999999</v>
      </c>
      <c r="U6761">
        <v>2.97403</v>
      </c>
      <c r="V6761">
        <v>8.7598609999999993E-2</v>
      </c>
      <c r="W6761">
        <v>6.8327849999999996E-2</v>
      </c>
      <c r="X6761">
        <v>0.99380979999999997</v>
      </c>
      <c r="Y6761">
        <v>0.22045580000000001</v>
      </c>
      <c r="Z6761">
        <v>-5.7596469999999997E-2</v>
      </c>
      <c r="AA6761">
        <v>0.97369499999999998</v>
      </c>
      <c r="AB6761">
        <v>33</v>
      </c>
      <c r="AC6761">
        <v>4.04299999999997</v>
      </c>
      <c r="AD6761">
        <v>-1.109302631764</v>
      </c>
      <c r="AE6761">
        <v>18.422149999999899</v>
      </c>
      <c r="AF6761">
        <v>4.2257325153703604</v>
      </c>
      <c r="AG6761">
        <v>-1.109302631764</v>
      </c>
      <c r="AH6761">
        <v>18.314372815508001</v>
      </c>
      <c r="AI6761">
        <v>93.377644308500507</v>
      </c>
      <c r="AJ6761">
        <v>77.007347205791703</v>
      </c>
      <c r="AK6761">
        <v>18.828266496035098</v>
      </c>
      <c r="AL6761">
        <v>86.082050165662494</v>
      </c>
      <c r="AM6761">
        <v>84.962725658457899</v>
      </c>
      <c r="AN6761">
        <v>1.00000006506779</v>
      </c>
    </row>
    <row r="6762" spans="1:40" x14ac:dyDescent="0.25">
      <c r="A6762" t="str">
        <f>"20190312151705208"</f>
        <v>20190312151705208</v>
      </c>
      <c r="B6762" t="str">
        <f>"1552375025204489"</f>
        <v>1552375025204489</v>
      </c>
      <c r="C6762" t="s">
        <v>40</v>
      </c>
      <c r="D6762">
        <v>4.7960890000000003</v>
      </c>
      <c r="E6762">
        <v>0.5515776</v>
      </c>
      <c r="F6762" t="s">
        <v>43</v>
      </c>
      <c r="G6762">
        <v>-184.4469</v>
      </c>
      <c r="H6762" s="1">
        <v>-3.7728219999999999E-6</v>
      </c>
      <c r="I6762">
        <v>96.131180000000001</v>
      </c>
      <c r="J6762">
        <v>-188.5087</v>
      </c>
      <c r="K6762">
        <v>1.1091390000000001</v>
      </c>
      <c r="L6762">
        <v>77.688319999999905</v>
      </c>
      <c r="M6762">
        <v>-9.7586789999999993E-3</v>
      </c>
      <c r="N6762">
        <v>0</v>
      </c>
      <c r="O6762">
        <v>0.99984740000000005</v>
      </c>
      <c r="P6762">
        <v>7.8898239999999994E-2</v>
      </c>
      <c r="Q6762">
        <v>5.4213860000000003E-2</v>
      </c>
      <c r="R6762">
        <v>0.99540740000000005</v>
      </c>
      <c r="S6762">
        <v>0.64393619999999996</v>
      </c>
      <c r="T6762">
        <v>-0.17595859999999999</v>
      </c>
      <c r="U6762">
        <v>2.9732059999999998</v>
      </c>
      <c r="V6762">
        <v>8.8740410000000006E-2</v>
      </c>
      <c r="W6762">
        <v>6.8452970000000002E-2</v>
      </c>
      <c r="X6762">
        <v>0.99369980000000002</v>
      </c>
      <c r="Y6762">
        <v>0.22084809999999999</v>
      </c>
      <c r="Z6762">
        <v>-5.7678130000000001E-2</v>
      </c>
      <c r="AA6762">
        <v>0.97360119999999895</v>
      </c>
      <c r="AB6762">
        <v>33</v>
      </c>
      <c r="AC6762">
        <v>4.0617999999999999</v>
      </c>
      <c r="AD6762">
        <v>-1.10914277282199</v>
      </c>
      <c r="AE6762">
        <v>18.44286</v>
      </c>
      <c r="AF6762">
        <v>4.2270225494211804</v>
      </c>
      <c r="AG6762">
        <v>-1.10914277282199</v>
      </c>
      <c r="AH6762">
        <v>18.339080167012501</v>
      </c>
      <c r="AI6762">
        <v>93.372796530337794</v>
      </c>
      <c r="AJ6762">
        <v>77.020431671282395</v>
      </c>
      <c r="AK6762">
        <v>18.852580160177801</v>
      </c>
      <c r="AL6762">
        <v>86.0748641633961</v>
      </c>
      <c r="AM6762">
        <v>84.896850080813095</v>
      </c>
      <c r="AN6762">
        <v>0.99999998099441401</v>
      </c>
    </row>
    <row r="6763" spans="1:40" x14ac:dyDescent="0.25">
      <c r="A6763" t="str">
        <f>"20190312151705232"</f>
        <v>20190312151705232</v>
      </c>
      <c r="B6763" t="str">
        <f>"1552375025224985"</f>
        <v>1552375025224985</v>
      </c>
      <c r="C6763" t="s">
        <v>40</v>
      </c>
      <c r="D6763">
        <v>4.8074719999999997</v>
      </c>
      <c r="E6763">
        <v>0.55155779999999999</v>
      </c>
      <c r="F6763" t="s">
        <v>43</v>
      </c>
      <c r="G6763">
        <v>-184.41550000000001</v>
      </c>
      <c r="H6763" s="1">
        <v>-3.8983130000000002E-6</v>
      </c>
      <c r="I6763">
        <v>96.410719999999998</v>
      </c>
      <c r="J6763">
        <v>-188.51079999999999</v>
      </c>
      <c r="K6763">
        <v>1.108938</v>
      </c>
      <c r="L6763">
        <v>78.047150000000002</v>
      </c>
      <c r="M6763">
        <v>-8.3616049999999994E-3</v>
      </c>
      <c r="N6763">
        <v>0</v>
      </c>
      <c r="O6763">
        <v>0.99985999999999997</v>
      </c>
      <c r="P6763">
        <v>8.1519389999999997E-2</v>
      </c>
      <c r="Q6763">
        <v>5.4086290000000002E-2</v>
      </c>
      <c r="R6763">
        <v>0.99520310000000001</v>
      </c>
      <c r="S6763">
        <v>0.64974980000000004</v>
      </c>
      <c r="T6763">
        <v>-0.176061299999999</v>
      </c>
      <c r="U6763">
        <v>2.971924</v>
      </c>
      <c r="V6763">
        <v>9.0003710000000001E-2</v>
      </c>
      <c r="W6763">
        <v>6.8276020000000007E-2</v>
      </c>
      <c r="X6763">
        <v>0.99359830000000005</v>
      </c>
      <c r="Y6763">
        <v>0.22139020000000001</v>
      </c>
      <c r="Z6763">
        <v>-5.7721599999999998E-2</v>
      </c>
      <c r="AA6763">
        <v>0.97347550000000005</v>
      </c>
      <c r="AB6763">
        <v>33</v>
      </c>
      <c r="AC6763">
        <v>4.0952999999999697</v>
      </c>
      <c r="AD6763">
        <v>-1.1089418983129999</v>
      </c>
      <c r="AE6763">
        <v>18.363569999999999</v>
      </c>
      <c r="AF6763">
        <v>4.23401309032025</v>
      </c>
      <c r="AG6763">
        <v>-1.1089418983129999</v>
      </c>
      <c r="AH6763">
        <v>18.265228476894201</v>
      </c>
      <c r="AI6763">
        <v>93.384815889729595</v>
      </c>
      <c r="AJ6763">
        <v>76.948926960189894</v>
      </c>
      <c r="AK6763">
        <v>18.782310568617</v>
      </c>
      <c r="AL6763">
        <v>86.085026236145495</v>
      </c>
      <c r="AM6763">
        <v>84.824068082432603</v>
      </c>
      <c r="AN6763">
        <v>0.99999993224184502</v>
      </c>
    </row>
    <row r="6764" spans="1:40" x14ac:dyDescent="0.25">
      <c r="A6764" t="str">
        <f>"20190312151705254"</f>
        <v>20190312151705254</v>
      </c>
      <c r="B6764" t="str">
        <f>"1552375025244505"</f>
        <v>1552375025244505</v>
      </c>
      <c r="C6764" t="s">
        <v>40</v>
      </c>
      <c r="D6764">
        <v>4.8185419999999999</v>
      </c>
      <c r="E6764">
        <v>0.55159829999999999</v>
      </c>
      <c r="F6764" t="s">
        <v>43</v>
      </c>
      <c r="G6764">
        <v>-184.39410000000001</v>
      </c>
      <c r="H6764" s="1">
        <v>-4.0006490000000002E-6</v>
      </c>
      <c r="I6764">
        <v>96.640439999999998</v>
      </c>
      <c r="J6764">
        <v>-188.512</v>
      </c>
      <c r="K6764">
        <v>1.108746</v>
      </c>
      <c r="L6764">
        <v>78.358639999999994</v>
      </c>
      <c r="M6764">
        <v>-6.8800880000000003E-3</v>
      </c>
      <c r="N6764">
        <v>0</v>
      </c>
      <c r="O6764">
        <v>0.99987130000000002</v>
      </c>
      <c r="P6764">
        <v>8.445983E-2</v>
      </c>
      <c r="Q6764">
        <v>5.409709E-2</v>
      </c>
      <c r="R6764">
        <v>0.99495730000000004</v>
      </c>
      <c r="S6764">
        <v>0.65763850000000001</v>
      </c>
      <c r="T6764">
        <v>-0.17715159999999999</v>
      </c>
      <c r="U6764">
        <v>2.9702449999999998</v>
      </c>
      <c r="V6764">
        <v>9.1500780000000004E-2</v>
      </c>
      <c r="W6764">
        <v>6.8239380000000002E-2</v>
      </c>
      <c r="X6764">
        <v>0.99346409999999996</v>
      </c>
      <c r="Y6764">
        <v>0.22252140000000001</v>
      </c>
      <c r="Z6764">
        <v>-5.8086859999999997E-2</v>
      </c>
      <c r="AA6764">
        <v>0.9731959</v>
      </c>
      <c r="AB6764">
        <v>33</v>
      </c>
      <c r="AC6764">
        <v>4.1178999999999899</v>
      </c>
      <c r="AD6764">
        <v>-1.1087500006489901</v>
      </c>
      <c r="AE6764">
        <v>18.281799999999901</v>
      </c>
      <c r="AF6764">
        <v>4.2287930342545703</v>
      </c>
      <c r="AG6764">
        <v>-1.1087500006489901</v>
      </c>
      <c r="AH6764">
        <v>18.189360020277</v>
      </c>
      <c r="AI6764">
        <v>93.397806543458998</v>
      </c>
      <c r="AJ6764">
        <v>76.911964023207105</v>
      </c>
      <c r="AK6764">
        <v>18.707347087114002</v>
      </c>
      <c r="AL6764">
        <v>86.087130577342094</v>
      </c>
      <c r="AM6764">
        <v>84.737747132952805</v>
      </c>
      <c r="AN6764">
        <v>0.99999996185609996</v>
      </c>
    </row>
    <row r="6765" spans="1:40" x14ac:dyDescent="0.25">
      <c r="A6765" t="str">
        <f>"20190312151705275"</f>
        <v>20190312151705275</v>
      </c>
      <c r="B6765" t="str">
        <f>"1552375025265001"</f>
        <v>1552375025265001</v>
      </c>
      <c r="C6765" t="s">
        <v>40</v>
      </c>
      <c r="D6765">
        <v>4.8310139999999997</v>
      </c>
      <c r="E6765">
        <v>0.55160949999999997</v>
      </c>
      <c r="F6765" t="s">
        <v>43</v>
      </c>
      <c r="G6765">
        <v>-184.37209999999999</v>
      </c>
      <c r="H6765" s="1">
        <v>-4.0645309999999996E-6</v>
      </c>
      <c r="I6765">
        <v>96.780270000000002</v>
      </c>
      <c r="J6765">
        <v>-188.51240000000001</v>
      </c>
      <c r="K6765">
        <v>1.1085510000000001</v>
      </c>
      <c r="L6765">
        <v>78.670069999999996</v>
      </c>
      <c r="M6765">
        <v>-5.1561530000000001E-3</v>
      </c>
      <c r="N6765">
        <v>0</v>
      </c>
      <c r="O6765">
        <v>0.99988169999999998</v>
      </c>
      <c r="P6765">
        <v>8.7470129999999993E-2</v>
      </c>
      <c r="Q6765">
        <v>5.4359850000000001E-2</v>
      </c>
      <c r="R6765">
        <v>0.99468279999999998</v>
      </c>
      <c r="S6765">
        <v>0.66705319999999901</v>
      </c>
      <c r="T6765">
        <v>-0.17865400000000001</v>
      </c>
      <c r="U6765">
        <v>2.9682919999999999</v>
      </c>
      <c r="V6765">
        <v>9.2829060000000005E-2</v>
      </c>
      <c r="W6765">
        <v>6.8452979999999997E-2</v>
      </c>
      <c r="X6765">
        <v>0.99332619999999905</v>
      </c>
      <c r="Y6765">
        <v>0.22390950000000001</v>
      </c>
      <c r="Z6765">
        <v>-5.8586829999999999E-2</v>
      </c>
      <c r="AA6765">
        <v>0.97284740000000003</v>
      </c>
      <c r="AB6765">
        <v>33</v>
      </c>
      <c r="AC6765">
        <v>4.1403000000000203</v>
      </c>
      <c r="AD6765">
        <v>-1.1085550645310001</v>
      </c>
      <c r="AE6765">
        <v>18.110199999999999</v>
      </c>
      <c r="AF6765">
        <v>4.2186122568639997</v>
      </c>
      <c r="AG6765">
        <v>-1.1085550645310001</v>
      </c>
      <c r="AH6765">
        <v>18.024428297073399</v>
      </c>
      <c r="AI6765">
        <v>93.427040734686699</v>
      </c>
      <c r="AJ6765">
        <v>76.827057693449404</v>
      </c>
      <c r="AK6765">
        <v>18.5446919397762</v>
      </c>
      <c r="AL6765">
        <v>86.074863633257195</v>
      </c>
      <c r="AM6765">
        <v>84.661058497664797</v>
      </c>
      <c r="AN6765">
        <v>0.99999999222890101</v>
      </c>
    </row>
    <row r="6766" spans="1:40" x14ac:dyDescent="0.25">
      <c r="A6766" t="str">
        <f>"20190312151705297"</f>
        <v>20190312151705297</v>
      </c>
      <c r="B6766" t="str">
        <f>"1552375025294758"</f>
        <v>1552375025294758</v>
      </c>
      <c r="C6766" t="s">
        <v>40</v>
      </c>
      <c r="D6766">
        <v>4.8293939999999997</v>
      </c>
      <c r="E6766">
        <v>0.55162769999999905</v>
      </c>
      <c r="F6766" t="s">
        <v>43</v>
      </c>
      <c r="G6766">
        <v>-184.32849999999999</v>
      </c>
      <c r="H6766" s="1">
        <v>-4.1743680000000002E-6</v>
      </c>
      <c r="I6766">
        <v>97.018259999999998</v>
      </c>
      <c r="J6766">
        <v>-188.5121</v>
      </c>
      <c r="K6766">
        <v>1.1083620000000001</v>
      </c>
      <c r="L6766">
        <v>78.987639999999999</v>
      </c>
      <c r="M6766">
        <v>-3.1927470000000001E-3</v>
      </c>
      <c r="N6766">
        <v>0</v>
      </c>
      <c r="O6766">
        <v>0.9998899</v>
      </c>
      <c r="P6766">
        <v>9.0969649999999999E-2</v>
      </c>
      <c r="Q6766">
        <v>5.4836219999999998E-2</v>
      </c>
      <c r="R6766">
        <v>0.99434270000000002</v>
      </c>
      <c r="S6766">
        <v>0.67640690000000003</v>
      </c>
      <c r="T6766">
        <v>-0.1792195</v>
      </c>
      <c r="U6766">
        <v>2.9663390000000001</v>
      </c>
      <c r="V6766">
        <v>9.440809E-2</v>
      </c>
      <c r="W6766">
        <v>6.8880170000000004E-2</v>
      </c>
      <c r="X6766">
        <v>0.99314789999999997</v>
      </c>
      <c r="Y6766">
        <v>0.22504830000000001</v>
      </c>
      <c r="Z6766">
        <v>-5.8782040000000001E-2</v>
      </c>
      <c r="AA6766">
        <v>0.97257289999999996</v>
      </c>
      <c r="AB6766">
        <v>33</v>
      </c>
      <c r="AC6766">
        <v>4.18360000000001</v>
      </c>
      <c r="AD6766">
        <v>-1.108366174368</v>
      </c>
      <c r="AE6766">
        <v>18.030619999999999</v>
      </c>
      <c r="AF6766">
        <v>4.2259988346895598</v>
      </c>
      <c r="AG6766">
        <v>-1.108366174368</v>
      </c>
      <c r="AH6766">
        <v>17.952796470603001</v>
      </c>
      <c r="AI6766">
        <v>93.439070072955602</v>
      </c>
      <c r="AJ6766">
        <v>76.754002359179793</v>
      </c>
      <c r="AK6766">
        <v>18.476754120845399</v>
      </c>
      <c r="AL6766">
        <v>86.050329801427694</v>
      </c>
      <c r="AM6766">
        <v>84.569811932217704</v>
      </c>
      <c r="AN6766">
        <v>1.0000000582755399</v>
      </c>
    </row>
    <row r="6767" spans="1:40" x14ac:dyDescent="0.25">
      <c r="A6767" t="str">
        <f>"20190312151705320"</f>
        <v>20190312151705320</v>
      </c>
      <c r="B6767" t="str">
        <f>"1552375025314276"</f>
        <v>1552375025314276</v>
      </c>
      <c r="C6767" t="s">
        <v>40</v>
      </c>
      <c r="D6767">
        <v>4.8726050000000001</v>
      </c>
      <c r="E6767">
        <v>0.55160379999999998</v>
      </c>
      <c r="F6767" t="s">
        <v>43</v>
      </c>
      <c r="G6767">
        <v>-184.29220000000001</v>
      </c>
      <c r="H6767" s="1">
        <v>-4.2558440000000003E-6</v>
      </c>
      <c r="I6767">
        <v>97.193179999999998</v>
      </c>
      <c r="J6767">
        <v>-188.51079999999999</v>
      </c>
      <c r="K6767">
        <v>1.108174</v>
      </c>
      <c r="L6767">
        <v>79.33023</v>
      </c>
      <c r="M6767">
        <v>-8.5331030000000002E-4</v>
      </c>
      <c r="N6767">
        <v>0</v>
      </c>
      <c r="O6767">
        <v>0.99989459999999997</v>
      </c>
      <c r="P6767">
        <v>9.4612989999999994E-2</v>
      </c>
      <c r="Q6767">
        <v>5.5002410000000002E-2</v>
      </c>
      <c r="R6767">
        <v>0.99399349999999997</v>
      </c>
      <c r="S6767">
        <v>0.68705749999999999</v>
      </c>
      <c r="T6767">
        <v>-0.18045910000000001</v>
      </c>
      <c r="U6767">
        <v>2.9641419999999998</v>
      </c>
      <c r="V6767">
        <v>9.5756389999999997E-2</v>
      </c>
      <c r="W6767">
        <v>6.8998139999999999E-2</v>
      </c>
      <c r="X6767">
        <v>0.99301059999999997</v>
      </c>
      <c r="Y6767">
        <v>0.22623850000000001</v>
      </c>
      <c r="Z6767">
        <v>-5.9198519999999998E-2</v>
      </c>
      <c r="AA6767">
        <v>0.97227140000000001</v>
      </c>
      <c r="AB6767">
        <v>33</v>
      </c>
      <c r="AC6767">
        <v>4.2185999999999799</v>
      </c>
      <c r="AD6767">
        <v>-1.1081782558439901</v>
      </c>
      <c r="AE6767">
        <v>17.862949999999898</v>
      </c>
      <c r="AF6767">
        <v>4.2184648255506403</v>
      </c>
      <c r="AG6767">
        <v>-1.1081782558439901</v>
      </c>
      <c r="AH6767">
        <v>17.7944758367309</v>
      </c>
      <c r="AI6767">
        <v>93.467713314283003</v>
      </c>
      <c r="AJ6767">
        <v>76.663323660703298</v>
      </c>
      <c r="AK6767">
        <v>18.321213792626601</v>
      </c>
      <c r="AL6767">
        <v>86.043554429439396</v>
      </c>
      <c r="AM6767">
        <v>84.491976752898495</v>
      </c>
      <c r="AN6767">
        <v>1.00000004063082</v>
      </c>
    </row>
    <row r="6768" spans="1:40" x14ac:dyDescent="0.25">
      <c r="A6768" t="str">
        <f>"20190312151705342"</f>
        <v>20190312151705342</v>
      </c>
      <c r="B6768" t="str">
        <f>"1552375025334772"</f>
        <v>1552375025334772</v>
      </c>
      <c r="C6768" t="s">
        <v>40</v>
      </c>
      <c r="D6768">
        <v>5.1215710000000003</v>
      </c>
      <c r="E6768">
        <v>0.55176899999999995</v>
      </c>
      <c r="F6768" t="s">
        <v>43</v>
      </c>
      <c r="G6768">
        <v>-184.27440000000001</v>
      </c>
      <c r="H6768" s="1">
        <v>-4.3142600000000001E-6</v>
      </c>
      <c r="I6768">
        <v>97.321960000000004</v>
      </c>
      <c r="J6768">
        <v>-188.5087</v>
      </c>
      <c r="K6768">
        <v>1.10802</v>
      </c>
      <c r="L6768">
        <v>79.645899999999997</v>
      </c>
      <c r="M6768">
        <v>1.4961639999999999E-3</v>
      </c>
      <c r="N6768">
        <v>0</v>
      </c>
      <c r="O6768">
        <v>0.99989380000000005</v>
      </c>
      <c r="P6768">
        <v>9.8684620000000001E-2</v>
      </c>
      <c r="Q6768">
        <v>5.4899480000000001E-2</v>
      </c>
      <c r="R6768">
        <v>0.99360320000000002</v>
      </c>
      <c r="S6768">
        <v>0.697403</v>
      </c>
      <c r="T6768">
        <v>-0.1824298</v>
      </c>
      <c r="U6768">
        <v>2.9618229999999999</v>
      </c>
      <c r="V6768">
        <v>9.7518830000000001E-2</v>
      </c>
      <c r="W6768">
        <v>6.8849720000000003E-2</v>
      </c>
      <c r="X6768">
        <v>0.99284930000000005</v>
      </c>
      <c r="Y6768">
        <v>0.22732849999999999</v>
      </c>
      <c r="Z6768">
        <v>-5.9856949999999999E-2</v>
      </c>
      <c r="AA6768">
        <v>0.97197679999999997</v>
      </c>
      <c r="AB6768">
        <v>33</v>
      </c>
      <c r="AC6768">
        <v>4.2342999999999904</v>
      </c>
      <c r="AD6768">
        <v>-1.1080243142599999</v>
      </c>
      <c r="AE6768">
        <v>17.67606</v>
      </c>
      <c r="AF6768">
        <v>4.1922670454121498</v>
      </c>
      <c r="AG6768">
        <v>-1.1080243142599999</v>
      </c>
      <c r="AH6768">
        <v>17.616908768804599</v>
      </c>
      <c r="AI6768">
        <v>93.501385006477904</v>
      </c>
      <c r="AJ6768">
        <v>76.614381538802505</v>
      </c>
      <c r="AK6768">
        <v>18.142720177234299</v>
      </c>
      <c r="AL6768">
        <v>86.052078257788096</v>
      </c>
      <c r="AM6768">
        <v>84.390334303292903</v>
      </c>
      <c r="AN6768">
        <v>0.99999996932956803</v>
      </c>
    </row>
    <row r="6769" spans="1:40" x14ac:dyDescent="0.25">
      <c r="A6769" t="str">
        <f>"20190312151705364"</f>
        <v>20190312151705364</v>
      </c>
      <c r="B6769" t="str">
        <f>"1552375025354293"</f>
        <v>1552375025354293</v>
      </c>
      <c r="C6769" t="s">
        <v>40</v>
      </c>
      <c r="D6769">
        <v>4.8174149999999996</v>
      </c>
      <c r="E6769">
        <v>0.55172219999999905</v>
      </c>
      <c r="F6769" t="s">
        <v>43</v>
      </c>
      <c r="G6769">
        <v>-184.26570000000001</v>
      </c>
      <c r="H6769" s="1">
        <v>-4.3134780000000001E-6</v>
      </c>
      <c r="I6769">
        <v>97.316540000000003</v>
      </c>
      <c r="J6769">
        <v>-188.50559999999999</v>
      </c>
      <c r="K6769">
        <v>1.107864</v>
      </c>
      <c r="L6769">
        <v>79.966030000000003</v>
      </c>
      <c r="M6769">
        <v>4.0570909999999996E-3</v>
      </c>
      <c r="N6769">
        <v>0</v>
      </c>
      <c r="O6769">
        <v>0.99988659999999996</v>
      </c>
      <c r="P6769">
        <v>0.1026068</v>
      </c>
      <c r="Q6769">
        <v>5.4502149999999999E-2</v>
      </c>
      <c r="R6769">
        <v>0.99322770000000005</v>
      </c>
      <c r="S6769">
        <v>0.71051030000000004</v>
      </c>
      <c r="T6769">
        <v>-0.18554290000000001</v>
      </c>
      <c r="U6769">
        <v>2.959015</v>
      </c>
      <c r="V6769">
        <v>9.8920739999999993E-2</v>
      </c>
      <c r="W6769">
        <v>6.8408259999999999E-2</v>
      </c>
      <c r="X6769">
        <v>0.99274119999999999</v>
      </c>
      <c r="Y6769">
        <v>0.22910030000000001</v>
      </c>
      <c r="Z6769">
        <v>-6.0886429999999998E-2</v>
      </c>
      <c r="AA6769">
        <v>0.97149669999999999</v>
      </c>
      <c r="AB6769">
        <v>32</v>
      </c>
      <c r="AC6769">
        <v>4.2398999999999702</v>
      </c>
      <c r="AD6769">
        <v>-1.1078683134780001</v>
      </c>
      <c r="AE6769">
        <v>17.35051</v>
      </c>
      <c r="AF6769">
        <v>4.1534851547145797</v>
      </c>
      <c r="AG6769">
        <v>-1.1078683134780001</v>
      </c>
      <c r="AH6769">
        <v>17.301007486120898</v>
      </c>
      <c r="AI6769">
        <v>93.562962566520497</v>
      </c>
      <c r="AJ6769">
        <v>76.500373409772493</v>
      </c>
      <c r="AK6769">
        <v>17.827048863041099</v>
      </c>
      <c r="AL6769">
        <v>86.077432134164098</v>
      </c>
      <c r="AM6769">
        <v>84.309600867876995</v>
      </c>
      <c r="AN6769">
        <v>1.0000000465079</v>
      </c>
    </row>
    <row r="6770" spans="1:40" x14ac:dyDescent="0.25">
      <c r="A6770" t="str">
        <f>"20190312151705386"</f>
        <v>20190312151705386</v>
      </c>
      <c r="B6770" t="str">
        <f>"1552375025374788"</f>
        <v>1552375025374788</v>
      </c>
      <c r="C6770" t="s">
        <v>40</v>
      </c>
      <c r="D6770">
        <v>4.8541290000000004</v>
      </c>
      <c r="E6770">
        <v>0.55171239999999999</v>
      </c>
      <c r="F6770" t="s">
        <v>43</v>
      </c>
      <c r="G6770">
        <v>-184.26249999999999</v>
      </c>
      <c r="H6770" s="1">
        <v>-4.3254180000000002E-6</v>
      </c>
      <c r="I6770">
        <v>97.343059999999994</v>
      </c>
      <c r="J6770">
        <v>-188.5016</v>
      </c>
      <c r="K6770">
        <v>1.1077090000000001</v>
      </c>
      <c r="L6770">
        <v>80.282139999999998</v>
      </c>
      <c r="M6770">
        <v>6.7380119999999998E-3</v>
      </c>
      <c r="N6770">
        <v>0</v>
      </c>
      <c r="O6770">
        <v>0.99987210000000004</v>
      </c>
      <c r="P6770">
        <v>0.10708959999999999</v>
      </c>
      <c r="Q6770">
        <v>5.2800689999999997E-2</v>
      </c>
      <c r="R6770">
        <v>0.99284640000000002</v>
      </c>
      <c r="S6770">
        <v>0.72184749999999998</v>
      </c>
      <c r="T6770">
        <v>-0.18847240000000001</v>
      </c>
      <c r="U6770">
        <v>2.956207</v>
      </c>
      <c r="V6770">
        <v>0.1007564</v>
      </c>
      <c r="W6770">
        <v>6.6662739999999998E-2</v>
      </c>
      <c r="X6770">
        <v>0.99267530000000004</v>
      </c>
      <c r="Y6770">
        <v>0.23020499999999999</v>
      </c>
      <c r="Z6770">
        <v>-6.1863920000000003E-2</v>
      </c>
      <c r="AA6770">
        <v>0.97117379999999998</v>
      </c>
      <c r="AB6770">
        <v>32</v>
      </c>
      <c r="AC6770">
        <v>4.2390999999999996</v>
      </c>
      <c r="AD6770">
        <v>-1.107713325418</v>
      </c>
      <c r="AE6770">
        <v>17.0609199999999</v>
      </c>
      <c r="AF6770">
        <v>4.1077257010382002</v>
      </c>
      <c r="AG6770">
        <v>-1.107713325418</v>
      </c>
      <c r="AH6770">
        <v>17.0215166878804</v>
      </c>
      <c r="AI6770">
        <v>93.619776366915403</v>
      </c>
      <c r="AJ6770">
        <v>76.432480044162901</v>
      </c>
      <c r="AK6770">
        <v>17.545155160387399</v>
      </c>
      <c r="AL6770">
        <v>86.177671800218107</v>
      </c>
      <c r="AM6770">
        <v>84.204334985573894</v>
      </c>
      <c r="AN6770">
        <v>1.00000001213767</v>
      </c>
    </row>
    <row r="6771" spans="1:40" x14ac:dyDescent="0.25">
      <c r="A6771" t="str">
        <f>"20190312151705409"</f>
        <v>20190312151705409</v>
      </c>
      <c r="B6771" t="str">
        <f>"1552375025405045"</f>
        <v>1552375025405045</v>
      </c>
      <c r="C6771" t="s">
        <v>40</v>
      </c>
      <c r="D6771">
        <v>4.866053</v>
      </c>
      <c r="E6771">
        <v>0.55167169999999999</v>
      </c>
      <c r="F6771" t="s">
        <v>43</v>
      </c>
      <c r="G6771">
        <v>-184.33090000000001</v>
      </c>
      <c r="H6771" s="1">
        <v>-4.1822000000000004E-6</v>
      </c>
      <c r="I6771">
        <v>97.037509999999997</v>
      </c>
      <c r="J6771">
        <v>-188.49629999999999</v>
      </c>
      <c r="K6771">
        <v>1.1075660000000001</v>
      </c>
      <c r="L6771">
        <v>80.623750000000001</v>
      </c>
      <c r="M6771">
        <v>9.776145E-3</v>
      </c>
      <c r="N6771">
        <v>0</v>
      </c>
      <c r="O6771">
        <v>0.99984700000000004</v>
      </c>
      <c r="P6771">
        <v>0.1127727</v>
      </c>
      <c r="Q6771">
        <v>5.0217369999999997E-2</v>
      </c>
      <c r="R6771">
        <v>0.99235099999999998</v>
      </c>
      <c r="S6771">
        <v>0.73498540000000001</v>
      </c>
      <c r="T6771">
        <v>-0.19520760000000001</v>
      </c>
      <c r="U6771">
        <v>2.952728</v>
      </c>
      <c r="V6771">
        <v>0.103433</v>
      </c>
      <c r="W6771">
        <v>6.4029089999999997E-2</v>
      </c>
      <c r="X6771">
        <v>0.99257340000000005</v>
      </c>
      <c r="Y6771">
        <v>0.23155110000000001</v>
      </c>
      <c r="Z6771">
        <v>-6.4092209999999997E-2</v>
      </c>
      <c r="AA6771">
        <v>0.97070909999999999</v>
      </c>
      <c r="AB6771">
        <v>32</v>
      </c>
      <c r="AC6771">
        <v>4.1653999999999698</v>
      </c>
      <c r="AD6771">
        <v>-1.1075701821999999</v>
      </c>
      <c r="AE6771">
        <v>16.4137599999999</v>
      </c>
      <c r="AF6771">
        <v>3.9876622876605601</v>
      </c>
      <c r="AG6771">
        <v>-1.1075701821999999</v>
      </c>
      <c r="AH6771">
        <v>16.383615417184402</v>
      </c>
      <c r="AI6771">
        <v>93.758057964455006</v>
      </c>
      <c r="AJ6771">
        <v>76.320575593783005</v>
      </c>
      <c r="AK6771">
        <v>16.898254831997601</v>
      </c>
      <c r="AL6771">
        <v>86.328892153313504</v>
      </c>
      <c r="AM6771">
        <v>84.050856330583201</v>
      </c>
      <c r="AN6771">
        <v>1.00000003212139</v>
      </c>
    </row>
    <row r="6772" spans="1:40" x14ac:dyDescent="0.25">
      <c r="A6772" t="str">
        <f>"20190312151705433"</f>
        <v>20190312151705433</v>
      </c>
      <c r="B6772" t="str">
        <f>"1552375025424565"</f>
        <v>1552375025424565</v>
      </c>
      <c r="C6772" t="s">
        <v>40</v>
      </c>
      <c r="D6772">
        <v>4.844487</v>
      </c>
      <c r="E6772">
        <v>0.55164069999999898</v>
      </c>
      <c r="F6772" t="s">
        <v>43</v>
      </c>
      <c r="G6772">
        <v>-184.45439999999999</v>
      </c>
      <c r="H6772" s="1">
        <v>-3.9258120000000001E-6</v>
      </c>
      <c r="I6772">
        <v>96.490899999999996</v>
      </c>
      <c r="J6772">
        <v>-188.48990000000001</v>
      </c>
      <c r="K6772">
        <v>1.1074440000000001</v>
      </c>
      <c r="L6772">
        <v>80.956269999999904</v>
      </c>
      <c r="M6772">
        <v>1.284861E-2</v>
      </c>
      <c r="N6772">
        <v>0</v>
      </c>
      <c r="O6772">
        <v>0.99981220000000004</v>
      </c>
      <c r="P6772">
        <v>0.1191802</v>
      </c>
      <c r="Q6772">
        <v>4.8769229999999997E-2</v>
      </c>
      <c r="R6772">
        <v>0.99167419999999995</v>
      </c>
      <c r="S6772">
        <v>0.75100710000000004</v>
      </c>
      <c r="T6772">
        <v>-0.205791</v>
      </c>
      <c r="U6772">
        <v>2.9481809999999999</v>
      </c>
      <c r="V6772">
        <v>0.10680480000000001</v>
      </c>
      <c r="W6772">
        <v>6.2528630000000002E-2</v>
      </c>
      <c r="X6772">
        <v>0.99231190000000002</v>
      </c>
      <c r="Y6772">
        <v>0.23381569999999999</v>
      </c>
      <c r="Z6772">
        <v>-6.7585679999999995E-2</v>
      </c>
      <c r="AA6772">
        <v>0.96992900000000004</v>
      </c>
      <c r="AB6772">
        <v>32</v>
      </c>
      <c r="AC6772">
        <v>4.0355000000000096</v>
      </c>
      <c r="AD6772">
        <v>-1.107447925812</v>
      </c>
      <c r="AE6772">
        <v>15.53463</v>
      </c>
      <c r="AF6772">
        <v>3.8173734823741099</v>
      </c>
      <c r="AG6772">
        <v>-1.107447925812</v>
      </c>
      <c r="AH6772">
        <v>15.511356275726101</v>
      </c>
      <c r="AI6772">
        <v>93.965819671304999</v>
      </c>
      <c r="AJ6772">
        <v>76.174157997987194</v>
      </c>
      <c r="AK6772">
        <v>16.012524932840101</v>
      </c>
      <c r="AL6772">
        <v>86.415034711752199</v>
      </c>
      <c r="AM6772">
        <v>83.856773823353194</v>
      </c>
      <c r="AN6772">
        <v>1.0000000008771599</v>
      </c>
    </row>
    <row r="6773" spans="1:40" x14ac:dyDescent="0.25">
      <c r="A6773" t="str">
        <f>"20190312151705455"</f>
        <v>20190312151705455</v>
      </c>
      <c r="B6773" t="str">
        <f>"1552375025445061"</f>
        <v>1552375025445061</v>
      </c>
      <c r="C6773" t="s">
        <v>40</v>
      </c>
      <c r="D6773">
        <v>4.857685</v>
      </c>
      <c r="E6773">
        <v>0.55155650000000001</v>
      </c>
      <c r="F6773" t="s">
        <v>43</v>
      </c>
      <c r="G6773">
        <v>-184.46889999999999</v>
      </c>
      <c r="H6773" s="1">
        <v>-3.8575599999999999E-6</v>
      </c>
      <c r="I6773">
        <v>96.337810000000005</v>
      </c>
      <c r="J6773">
        <v>-188.48269999999999</v>
      </c>
      <c r="K6773">
        <v>1.107353</v>
      </c>
      <c r="L6773">
        <v>81.277860000000004</v>
      </c>
      <c r="M6773">
        <v>1.590689E-2</v>
      </c>
      <c r="N6773">
        <v>0</v>
      </c>
      <c r="O6773">
        <v>0.99976830000000005</v>
      </c>
      <c r="P6773">
        <v>0.12538460000000001</v>
      </c>
      <c r="Q6773">
        <v>4.8233760000000001E-2</v>
      </c>
      <c r="R6773">
        <v>0.99093500000000001</v>
      </c>
      <c r="S6773">
        <v>0.76939389999999996</v>
      </c>
      <c r="T6773">
        <v>-0.21190200000000001</v>
      </c>
      <c r="U6773">
        <v>2.943146</v>
      </c>
      <c r="V6773">
        <v>0.1099914</v>
      </c>
      <c r="W6773">
        <v>6.1947540000000002E-2</v>
      </c>
      <c r="X6773">
        <v>0.9920002</v>
      </c>
      <c r="Y6773">
        <v>0.23688310000000001</v>
      </c>
      <c r="Z6773">
        <v>-6.9613469999999997E-2</v>
      </c>
      <c r="AA6773">
        <v>0.96904089999999998</v>
      </c>
      <c r="AB6773">
        <v>32</v>
      </c>
      <c r="AC6773">
        <v>4.0137999999999998</v>
      </c>
      <c r="AD6773">
        <v>-1.1073568575599999</v>
      </c>
      <c r="AE6773">
        <v>15.059950000000001</v>
      </c>
      <c r="AF6773">
        <v>3.7547556398766799</v>
      </c>
      <c r="AG6773">
        <v>-1.1073568575599999</v>
      </c>
      <c r="AH6773">
        <v>15.0459450453281</v>
      </c>
      <c r="AI6773">
        <v>94.084467212997296</v>
      </c>
      <c r="AJ6773">
        <v>75.987881962857799</v>
      </c>
      <c r="AK6773">
        <v>15.5468611440446</v>
      </c>
      <c r="AL6773">
        <v>86.448393389620904</v>
      </c>
      <c r="AM6773">
        <v>83.672979066103906</v>
      </c>
      <c r="AN6773">
        <v>1.0000000012930199</v>
      </c>
    </row>
    <row r="6774" spans="1:40" x14ac:dyDescent="0.25">
      <c r="A6774" t="str">
        <f>"20190312151705475"</f>
        <v>20190312151705475</v>
      </c>
      <c r="B6774" t="str">
        <f>"1552375025464581"</f>
        <v>1552375025464581</v>
      </c>
      <c r="C6774" t="s">
        <v>40</v>
      </c>
      <c r="D6774">
        <v>4.8399679999999998</v>
      </c>
      <c r="E6774">
        <v>0.55151549999999905</v>
      </c>
      <c r="F6774" t="s">
        <v>43</v>
      </c>
      <c r="G6774">
        <v>-184.4443</v>
      </c>
      <c r="H6774" s="1">
        <v>-3.8730040000000001E-6</v>
      </c>
      <c r="I6774">
        <v>96.363640000000004</v>
      </c>
      <c r="J6774">
        <v>-188.47479999999999</v>
      </c>
      <c r="K6774">
        <v>1.1073029999999999</v>
      </c>
      <c r="L6774">
        <v>81.581630000000004</v>
      </c>
      <c r="M6774">
        <v>1.8844130000000001E-2</v>
      </c>
      <c r="N6774">
        <v>0</v>
      </c>
      <c r="O6774">
        <v>0.99971719999999997</v>
      </c>
      <c r="P6774">
        <v>0.13071160000000001</v>
      </c>
      <c r="Q6774">
        <v>4.9324729999999997E-2</v>
      </c>
      <c r="R6774">
        <v>0.99019270000000004</v>
      </c>
      <c r="S6774">
        <v>0.78659060000000003</v>
      </c>
      <c r="T6774">
        <v>-0.21569160000000001</v>
      </c>
      <c r="U6774">
        <v>2.9384160000000001</v>
      </c>
      <c r="V6774">
        <v>0.1124295</v>
      </c>
      <c r="W6774">
        <v>6.3002619999999995E-2</v>
      </c>
      <c r="X6774">
        <v>0.9916604</v>
      </c>
      <c r="Y6774">
        <v>0.23968639999999999</v>
      </c>
      <c r="Z6774">
        <v>-7.0879609999999996E-2</v>
      </c>
      <c r="AA6774">
        <v>0.96825950000000005</v>
      </c>
      <c r="AB6774">
        <v>32</v>
      </c>
      <c r="AC6774">
        <v>4.0304999999999804</v>
      </c>
      <c r="AD6774">
        <v>-1.1073068730040001</v>
      </c>
      <c r="AE6774">
        <v>14.78201</v>
      </c>
      <c r="AF6774">
        <v>3.73170978180053</v>
      </c>
      <c r="AG6774">
        <v>-1.1073068730040001</v>
      </c>
      <c r="AH6774">
        <v>14.778156667346</v>
      </c>
      <c r="AI6774">
        <v>94.1551378355433</v>
      </c>
      <c r="AJ6774">
        <v>75.828201571611899</v>
      </c>
      <c r="AK6774">
        <v>15.2822020956147</v>
      </c>
      <c r="AL6774">
        <v>86.387823558532702</v>
      </c>
      <c r="AM6774">
        <v>83.531710740246297</v>
      </c>
      <c r="AN6774">
        <v>1.00000003576263</v>
      </c>
    </row>
    <row r="6775" spans="1:40" x14ac:dyDescent="0.25">
      <c r="A6775" t="str">
        <f>"20190312151705497"</f>
        <v>20190312151705497</v>
      </c>
      <c r="B6775" t="str">
        <f>"1552375025494837"</f>
        <v>1552375025494837</v>
      </c>
      <c r="C6775" t="s">
        <v>40</v>
      </c>
      <c r="D6775">
        <v>4.8574979999999996</v>
      </c>
      <c r="E6775">
        <v>0.55141430000000002</v>
      </c>
      <c r="F6775" t="s">
        <v>43</v>
      </c>
      <c r="G6775">
        <v>-184.3219</v>
      </c>
      <c r="H6775" s="1">
        <v>-4.0721730000000001E-6</v>
      </c>
      <c r="I6775">
        <v>96.777280000000005</v>
      </c>
      <c r="J6775">
        <v>-188.4657</v>
      </c>
      <c r="K6775">
        <v>1.107267</v>
      </c>
      <c r="L6775">
        <v>81.897949999999994</v>
      </c>
      <c r="M6775">
        <v>2.193297E-2</v>
      </c>
      <c r="N6775">
        <v>0</v>
      </c>
      <c r="O6775">
        <v>0.99965420000000005</v>
      </c>
      <c r="P6775">
        <v>0.1347614</v>
      </c>
      <c r="Q6775">
        <v>5.089552E-2</v>
      </c>
      <c r="R6775">
        <v>0.98957010000000001</v>
      </c>
      <c r="S6775">
        <v>0.80200199999999999</v>
      </c>
      <c r="T6775">
        <v>-0.21383769999999999</v>
      </c>
      <c r="U6775">
        <v>2.9345089999999998</v>
      </c>
      <c r="V6775">
        <v>0.1134411</v>
      </c>
      <c r="W6775">
        <v>6.4552040000000005E-2</v>
      </c>
      <c r="X6775">
        <v>0.99144549999999998</v>
      </c>
      <c r="Y6775">
        <v>0.24175759999999999</v>
      </c>
      <c r="Z6775">
        <v>-7.029125E-2</v>
      </c>
      <c r="AA6775">
        <v>0.96778739999999996</v>
      </c>
      <c r="AB6775">
        <v>32</v>
      </c>
      <c r="AC6775">
        <v>4.1437999999999899</v>
      </c>
      <c r="AD6775">
        <v>-1.1072710721729999</v>
      </c>
      <c r="AE6775">
        <v>14.87933</v>
      </c>
      <c r="AF6775">
        <v>3.7969074552471702</v>
      </c>
      <c r="AG6775">
        <v>-1.1072710721729999</v>
      </c>
      <c r="AH6775">
        <v>14.890121196566399</v>
      </c>
      <c r="AI6775">
        <v>94.121440184332201</v>
      </c>
      <c r="AJ6775">
        <v>75.694713526042307</v>
      </c>
      <c r="AK6775">
        <v>15.4064358207672</v>
      </c>
      <c r="AL6775">
        <v>86.298867144865298</v>
      </c>
      <c r="AM6775">
        <v>83.472608924592805</v>
      </c>
      <c r="AN6775">
        <v>1.0000000142538099</v>
      </c>
    </row>
    <row r="6776" spans="1:40" x14ac:dyDescent="0.25">
      <c r="A6776" t="str">
        <f>"20190312151705520"</f>
        <v>20190312151705520</v>
      </c>
      <c r="B6776" t="str">
        <f>"1552375025514357"</f>
        <v>1552375025514357</v>
      </c>
      <c r="C6776" t="s">
        <v>40</v>
      </c>
      <c r="D6776">
        <v>4.7789830000000002</v>
      </c>
      <c r="E6776">
        <v>0.55133559999999904</v>
      </c>
      <c r="F6776" t="s">
        <v>43</v>
      </c>
      <c r="G6776">
        <v>-184.19409999999999</v>
      </c>
      <c r="H6776" s="1">
        <v>-4.3175429999999999E-6</v>
      </c>
      <c r="I6776">
        <v>97.296419999999998</v>
      </c>
      <c r="J6776">
        <v>-188.45500000000001</v>
      </c>
      <c r="K6776">
        <v>1.1072360000000001</v>
      </c>
      <c r="L6776">
        <v>82.230559999999997</v>
      </c>
      <c r="M6776">
        <v>2.5195289999999999E-2</v>
      </c>
      <c r="N6776">
        <v>0</v>
      </c>
      <c r="O6776">
        <v>0.9995773</v>
      </c>
      <c r="P6776">
        <v>0.13804720000000001</v>
      </c>
      <c r="Q6776">
        <v>5.1966810000000002E-2</v>
      </c>
      <c r="R6776">
        <v>0.98906139999999998</v>
      </c>
      <c r="S6776">
        <v>0.81326290000000001</v>
      </c>
      <c r="T6776">
        <v>-0.21081240000000001</v>
      </c>
      <c r="U6776">
        <v>2.931702</v>
      </c>
      <c r="V6776">
        <v>0.1135108</v>
      </c>
      <c r="W6776">
        <v>6.5613610000000003E-2</v>
      </c>
      <c r="X6776">
        <v>0.99136780000000002</v>
      </c>
      <c r="Y6776">
        <v>0.2423005</v>
      </c>
      <c r="Z6776">
        <v>-6.9318069999999996E-2</v>
      </c>
      <c r="AA6776">
        <v>0.96772179999999997</v>
      </c>
      <c r="AB6776">
        <v>32</v>
      </c>
      <c r="AC6776">
        <v>4.2609000000000199</v>
      </c>
      <c r="AD6776">
        <v>-1.1072403175429999</v>
      </c>
      <c r="AE6776">
        <v>15.065860000000001</v>
      </c>
      <c r="AF6776">
        <v>3.8606105889068298</v>
      </c>
      <c r="AG6776">
        <v>-1.1072403175429999</v>
      </c>
      <c r="AH6776">
        <v>15.092958701705699</v>
      </c>
      <c r="AI6776">
        <v>94.065354589902498</v>
      </c>
      <c r="AJ6776">
        <v>75.652017804628599</v>
      </c>
      <c r="AK6776">
        <v>15.6181848372775</v>
      </c>
      <c r="AL6776">
        <v>86.237914309716203</v>
      </c>
      <c r="AM6776">
        <v>83.468125553045198</v>
      </c>
      <c r="AN6776">
        <v>0.99999998120535505</v>
      </c>
    </row>
    <row r="6777" spans="1:40" x14ac:dyDescent="0.25">
      <c r="A6777" t="str">
        <f>"20190312151705542"</f>
        <v>20190312151705542</v>
      </c>
      <c r="B6777" t="str">
        <f>"1552375025534853"</f>
        <v>1552375025534853</v>
      </c>
      <c r="C6777" t="s">
        <v>40</v>
      </c>
      <c r="D6777">
        <v>4.8426559999999998</v>
      </c>
      <c r="E6777">
        <v>0.55124930000000005</v>
      </c>
      <c r="F6777" t="s">
        <v>43</v>
      </c>
      <c r="G6777">
        <v>-184.09030000000001</v>
      </c>
      <c r="H6777" s="1">
        <v>-4.5412779999999999E-6</v>
      </c>
      <c r="I6777">
        <v>97.775009999999995</v>
      </c>
      <c r="J6777">
        <v>-188.44409999999999</v>
      </c>
      <c r="K6777">
        <v>1.1072310000000001</v>
      </c>
      <c r="L6777">
        <v>82.540440000000004</v>
      </c>
      <c r="M6777">
        <v>2.8237399999999999E-2</v>
      </c>
      <c r="N6777">
        <v>0</v>
      </c>
      <c r="O6777">
        <v>0.99949600000000005</v>
      </c>
      <c r="P6777">
        <v>0.14055219999999999</v>
      </c>
      <c r="Q6777">
        <v>5.2345349999999999E-2</v>
      </c>
      <c r="R6777">
        <v>0.98868849999999997</v>
      </c>
      <c r="S6777">
        <v>0.8225403</v>
      </c>
      <c r="T6777">
        <v>-0.2086595</v>
      </c>
      <c r="U6777">
        <v>2.9293520000000002</v>
      </c>
      <c r="V6777">
        <v>0.11301</v>
      </c>
      <c r="W6777">
        <v>6.5989969999999995E-2</v>
      </c>
      <c r="X6777">
        <v>0.99140010000000001</v>
      </c>
      <c r="Y6777">
        <v>0.24240410000000001</v>
      </c>
      <c r="Z6777">
        <v>-6.8628499999999995E-2</v>
      </c>
      <c r="AA6777">
        <v>0.96774499999999997</v>
      </c>
      <c r="AB6777">
        <v>32</v>
      </c>
      <c r="AC6777">
        <v>4.3537999999999704</v>
      </c>
      <c r="AD6777">
        <v>-1.1072355412779999</v>
      </c>
      <c r="AE6777">
        <v>15.2345699999999</v>
      </c>
      <c r="AF6777">
        <v>3.9027747513295101</v>
      </c>
      <c r="AG6777">
        <v>-1.1072355412779999</v>
      </c>
      <c r="AH6777">
        <v>15.276843594673201</v>
      </c>
      <c r="AI6777">
        <v>94.016870775969096</v>
      </c>
      <c r="AJ6777">
        <v>75.669167828518297</v>
      </c>
      <c r="AK6777">
        <v>15.806314292699399</v>
      </c>
      <c r="AL6777">
        <v>86.216303883373499</v>
      </c>
      <c r="AM6777">
        <v>83.496906276987204</v>
      </c>
      <c r="AN6777">
        <v>1.0000000472602999</v>
      </c>
    </row>
    <row r="6778" spans="1:40" x14ac:dyDescent="0.25">
      <c r="A6778" t="str">
        <f>"20190312151705575"</f>
        <v>20190312151705575</v>
      </c>
      <c r="B6778" t="str">
        <f>"1552375025564137"</f>
        <v>1552375025564137</v>
      </c>
      <c r="C6778" t="s">
        <v>40</v>
      </c>
      <c r="D6778">
        <v>4.7968950000000001</v>
      </c>
      <c r="E6778">
        <v>0.55110369999999997</v>
      </c>
      <c r="F6778" t="s">
        <v>43</v>
      </c>
      <c r="G6778">
        <v>-184.05</v>
      </c>
      <c r="H6778" s="1">
        <v>-4.666793E-6</v>
      </c>
      <c r="I6778">
        <v>98.05095</v>
      </c>
      <c r="J6778">
        <v>-188.4255</v>
      </c>
      <c r="K6778">
        <v>1.107213</v>
      </c>
      <c r="L6778">
        <v>83.016970000000001</v>
      </c>
      <c r="M6778">
        <v>3.2909420000000002E-2</v>
      </c>
      <c r="N6778">
        <v>0</v>
      </c>
      <c r="O6778">
        <v>0.99935320000000005</v>
      </c>
      <c r="P6778">
        <v>0.14370859999999999</v>
      </c>
      <c r="Q6778">
        <v>5.0764490000000002E-2</v>
      </c>
      <c r="R6778">
        <v>0.98831709999999995</v>
      </c>
      <c r="S6778">
        <v>0.82934569999999996</v>
      </c>
      <c r="T6778">
        <v>-0.2089821</v>
      </c>
      <c r="U6778">
        <v>2.9274900000000001</v>
      </c>
      <c r="V6778">
        <v>0.1115292</v>
      </c>
      <c r="W6778">
        <v>6.4415479999999997E-2</v>
      </c>
      <c r="X6778">
        <v>0.99167130000000003</v>
      </c>
      <c r="Y6778">
        <v>0.2401105</v>
      </c>
      <c r="Z6778">
        <v>-6.8759799999999996E-2</v>
      </c>
      <c r="AA6778">
        <v>0.96830729999999998</v>
      </c>
      <c r="AB6778">
        <v>32</v>
      </c>
      <c r="AC6778">
        <v>4.3754999999999802</v>
      </c>
      <c r="AD6778">
        <v>-1.107217666793</v>
      </c>
      <c r="AE6778">
        <v>15.03398</v>
      </c>
      <c r="AF6778">
        <v>3.8590211734372102</v>
      </c>
      <c r="AG6778">
        <v>-1.107217666793</v>
      </c>
      <c r="AH6778">
        <v>15.0943670688936</v>
      </c>
      <c r="AI6778">
        <v>94.065019272665893</v>
      </c>
      <c r="AJ6778">
        <v>75.658964144257993</v>
      </c>
      <c r="AK6778">
        <v>15.619151468283899</v>
      </c>
      <c r="AL6778">
        <v>86.306707876842196</v>
      </c>
      <c r="AM6778">
        <v>83.583142944628307</v>
      </c>
      <c r="AN6778">
        <v>1.0000000418799699</v>
      </c>
    </row>
    <row r="6779" spans="1:40" x14ac:dyDescent="0.25">
      <c r="A6779" t="str">
        <f>"20190312151705598"</f>
        <v>20190312151705598</v>
      </c>
      <c r="B6779" t="str">
        <f>"1552375025594389"</f>
        <v>1552375025594389</v>
      </c>
      <c r="C6779" t="s">
        <v>40</v>
      </c>
      <c r="D6779">
        <v>4.7310499999999998</v>
      </c>
      <c r="E6779">
        <v>0.55096469999999997</v>
      </c>
      <c r="F6779" t="s">
        <v>43</v>
      </c>
      <c r="G6779">
        <v>-184.12530000000001</v>
      </c>
      <c r="H6779" s="1">
        <v>-4.6462020000000001E-6</v>
      </c>
      <c r="I6779">
        <v>98.03407</v>
      </c>
      <c r="J6779">
        <v>-188.41130000000001</v>
      </c>
      <c r="K6779">
        <v>1.1072070000000001</v>
      </c>
      <c r="L6779">
        <v>83.345209999999994</v>
      </c>
      <c r="M6779">
        <v>3.6120979999999997E-2</v>
      </c>
      <c r="N6779">
        <v>0</v>
      </c>
      <c r="O6779">
        <v>0.99924219999999997</v>
      </c>
      <c r="P6779">
        <v>0.14668819999999999</v>
      </c>
      <c r="Q6779">
        <v>4.9954869999999998E-2</v>
      </c>
      <c r="R6779">
        <v>0.98792060000000004</v>
      </c>
      <c r="S6779">
        <v>0.83750919999999895</v>
      </c>
      <c r="T6779">
        <v>-0.21564259999999999</v>
      </c>
      <c r="U6779">
        <v>2.924744</v>
      </c>
      <c r="V6779">
        <v>0.1113263</v>
      </c>
      <c r="W6779">
        <v>6.3605090000000003E-2</v>
      </c>
      <c r="X6779">
        <v>0.99174640000000003</v>
      </c>
      <c r="Y6779">
        <v>0.23968680000000001</v>
      </c>
      <c r="Z6779">
        <v>-7.0969210000000005E-2</v>
      </c>
      <c r="AA6779">
        <v>0.96825280000000002</v>
      </c>
      <c r="AB6779">
        <v>32</v>
      </c>
      <c r="AC6779">
        <v>4.2859999999999996</v>
      </c>
      <c r="AD6779">
        <v>-1.1072116462019901</v>
      </c>
      <c r="AE6779">
        <v>14.68886</v>
      </c>
      <c r="AF6779">
        <v>3.7330245332660499</v>
      </c>
      <c r="AG6779">
        <v>-1.1072116462019901</v>
      </c>
      <c r="AH6779">
        <v>14.7568363761087</v>
      </c>
      <c r="AI6779">
        <v>94.160316321273598</v>
      </c>
      <c r="AJ6779">
        <v>75.803755358170307</v>
      </c>
      <c r="AK6779">
        <v>15.2619005902508</v>
      </c>
      <c r="AL6779">
        <v>86.353235202422098</v>
      </c>
      <c r="AM6779">
        <v>83.595200740729396</v>
      </c>
      <c r="AN6779">
        <v>1.0000000372292699</v>
      </c>
    </row>
    <row r="6780" spans="1:40" x14ac:dyDescent="0.25">
      <c r="A6780" t="str">
        <f>"20190312151705620"</f>
        <v>20190312151705620</v>
      </c>
      <c r="B6780" t="str">
        <f>"1552375025614885"</f>
        <v>1552375025614885</v>
      </c>
      <c r="C6780" t="s">
        <v>40</v>
      </c>
      <c r="D6780">
        <v>4.7417210000000001</v>
      </c>
      <c r="E6780">
        <v>0.55086550000000001</v>
      </c>
      <c r="F6780" t="s">
        <v>43</v>
      </c>
      <c r="G6780">
        <v>-184.15369999999999</v>
      </c>
      <c r="H6780" s="1">
        <v>-4.6539700000000003E-6</v>
      </c>
      <c r="I6780">
        <v>98.063950000000006</v>
      </c>
      <c r="J6780">
        <v>-188.3965</v>
      </c>
      <c r="K6780">
        <v>1.1072040000000001</v>
      </c>
      <c r="L6780">
        <v>83.664490000000001</v>
      </c>
      <c r="M6780">
        <v>3.9242119999999998E-2</v>
      </c>
      <c r="N6780">
        <v>0</v>
      </c>
      <c r="O6780">
        <v>0.99912460000000003</v>
      </c>
      <c r="P6780">
        <v>0.1495474</v>
      </c>
      <c r="Q6780">
        <v>5.0132990000000002E-2</v>
      </c>
      <c r="R6780">
        <v>0.98748279999999999</v>
      </c>
      <c r="S6780">
        <v>0.84530640000000001</v>
      </c>
      <c r="T6780">
        <v>-0.2198291</v>
      </c>
      <c r="U6780">
        <v>2.9223020000000002</v>
      </c>
      <c r="V6780">
        <v>0.1111009</v>
      </c>
      <c r="W6780">
        <v>6.3782599999999995E-2</v>
      </c>
      <c r="X6780">
        <v>0.99176030000000004</v>
      </c>
      <c r="Y6780">
        <v>0.23922679999999999</v>
      </c>
      <c r="Z6780">
        <v>-7.2362689999999993E-2</v>
      </c>
      <c r="AA6780">
        <v>0.96826350000000005</v>
      </c>
      <c r="AB6780">
        <v>32</v>
      </c>
      <c r="AC6780">
        <v>4.2428000000000097</v>
      </c>
      <c r="AD6780">
        <v>-1.1072086539699999</v>
      </c>
      <c r="AE6780">
        <v>14.399459999999999</v>
      </c>
      <c r="AF6780">
        <v>3.6545254110298901</v>
      </c>
      <c r="AG6780">
        <v>-1.1072086539699999</v>
      </c>
      <c r="AH6780">
        <v>14.4761281203418</v>
      </c>
      <c r="AI6780">
        <v>94.241205785584995</v>
      </c>
      <c r="AJ6780">
        <v>75.831615589473699</v>
      </c>
      <c r="AK6780">
        <v>14.9712976171019</v>
      </c>
      <c r="AL6780">
        <v>86.343044023780394</v>
      </c>
      <c r="AM6780">
        <v>83.608149812200494</v>
      </c>
      <c r="AN6780">
        <v>1.0000000613498199</v>
      </c>
    </row>
    <row r="6781" spans="1:40" x14ac:dyDescent="0.25">
      <c r="A6781" t="str">
        <f>"20190312151705645"</f>
        <v>20190312151705645</v>
      </c>
      <c r="B6781" t="str">
        <f>"1552375025634405"</f>
        <v>1552375025634405</v>
      </c>
      <c r="C6781" t="s">
        <v>40</v>
      </c>
      <c r="D6781">
        <v>4.7416109999999998</v>
      </c>
      <c r="E6781">
        <v>0.5507803</v>
      </c>
      <c r="F6781" t="s">
        <v>43</v>
      </c>
      <c r="G6781">
        <v>-184.11330000000001</v>
      </c>
      <c r="H6781" s="1">
        <v>-4.7725999999999998E-6</v>
      </c>
      <c r="I6781">
        <v>98.323750000000004</v>
      </c>
      <c r="J6781">
        <v>-188.37960000000001</v>
      </c>
      <c r="K6781">
        <v>1.1072029999999999</v>
      </c>
      <c r="L6781">
        <v>84.005650000000003</v>
      </c>
      <c r="M6781">
        <v>4.257582E-2</v>
      </c>
      <c r="N6781">
        <v>0</v>
      </c>
      <c r="O6781">
        <v>0.99898819999999999</v>
      </c>
      <c r="P6781">
        <v>0.15228620000000001</v>
      </c>
      <c r="Q6781">
        <v>5.0771080000000003E-2</v>
      </c>
      <c r="R6781">
        <v>0.98703149999999995</v>
      </c>
      <c r="S6781">
        <v>0.85317989999999999</v>
      </c>
      <c r="T6781">
        <v>-0.2205474</v>
      </c>
      <c r="U6781">
        <v>2.920013</v>
      </c>
      <c r="V6781">
        <v>0.1105478</v>
      </c>
      <c r="W6781">
        <v>6.4422610000000005E-2</v>
      </c>
      <c r="X6781">
        <v>0.99178069999999896</v>
      </c>
      <c r="Y6781">
        <v>0.238592</v>
      </c>
      <c r="Z6781">
        <v>-7.2616360000000005E-2</v>
      </c>
      <c r="AA6781">
        <v>0.96840110000000001</v>
      </c>
      <c r="AB6781">
        <v>32</v>
      </c>
      <c r="AC6781">
        <v>4.2663000000000002</v>
      </c>
      <c r="AD6781">
        <v>-1.1072077726</v>
      </c>
      <c r="AE6781">
        <v>14.318099999999999</v>
      </c>
      <c r="AF6781">
        <v>3.6328097425834698</v>
      </c>
      <c r="AG6781">
        <v>-1.1072077726</v>
      </c>
      <c r="AH6781">
        <v>14.4076448616878</v>
      </c>
      <c r="AI6781">
        <v>94.261597310395402</v>
      </c>
      <c r="AJ6781">
        <v>75.848166923259399</v>
      </c>
      <c r="AK6781">
        <v>14.899780070123001</v>
      </c>
      <c r="AL6781">
        <v>86.306298437196503</v>
      </c>
      <c r="AM6781">
        <v>83.639839065736894</v>
      </c>
      <c r="AN6781">
        <v>1.0000000228282699</v>
      </c>
    </row>
    <row r="6782" spans="1:40" x14ac:dyDescent="0.25">
      <c r="A6782" t="str">
        <f>"20190312151705666"</f>
        <v>20190312151705666</v>
      </c>
      <c r="B6782" t="str">
        <f>"1552375025654901"</f>
        <v>1552375025654901</v>
      </c>
      <c r="C6782" t="s">
        <v>40</v>
      </c>
      <c r="D6782">
        <v>4.7706350000000004</v>
      </c>
      <c r="E6782">
        <v>0.55069809999999997</v>
      </c>
      <c r="F6782" t="s">
        <v>43</v>
      </c>
      <c r="G6782">
        <v>-184.04050000000001</v>
      </c>
      <c r="H6782" s="1">
        <v>-4.9545359999999999E-6</v>
      </c>
      <c r="I6782">
        <v>98.717740000000006</v>
      </c>
      <c r="J6782">
        <v>-188.36320000000001</v>
      </c>
      <c r="K6782">
        <v>1.1072109999999999</v>
      </c>
      <c r="L6782">
        <v>84.316040000000001</v>
      </c>
      <c r="M6782">
        <v>4.5608969999999999E-2</v>
      </c>
      <c r="N6782">
        <v>0</v>
      </c>
      <c r="O6782">
        <v>0.99885429999999997</v>
      </c>
      <c r="P6782">
        <v>0.1542975</v>
      </c>
      <c r="Q6782">
        <v>5.237116E-2</v>
      </c>
      <c r="R6782">
        <v>0.98663540000000005</v>
      </c>
      <c r="S6782">
        <v>0.86059569999999996</v>
      </c>
      <c r="T6782">
        <v>-0.21959909999999999</v>
      </c>
      <c r="U6782">
        <v>2.9179379999999999</v>
      </c>
      <c r="V6782">
        <v>0.1095708</v>
      </c>
      <c r="W6782">
        <v>6.6027550000000004E-2</v>
      </c>
      <c r="X6782">
        <v>0.99178359999999999</v>
      </c>
      <c r="Y6782">
        <v>0.23810100000000001</v>
      </c>
      <c r="Z6782">
        <v>-7.2319430000000004E-2</v>
      </c>
      <c r="AA6782">
        <v>0.96854419999999997</v>
      </c>
      <c r="AB6782">
        <v>32</v>
      </c>
      <c r="AC6782">
        <v>4.3226999999999904</v>
      </c>
      <c r="AD6782">
        <v>-1.1072159545360001</v>
      </c>
      <c r="AE6782">
        <v>14.4017</v>
      </c>
      <c r="AF6782">
        <v>3.6415399666925001</v>
      </c>
      <c r="AG6782">
        <v>-1.1072159545360001</v>
      </c>
      <c r="AH6782">
        <v>14.5052345352402</v>
      </c>
      <c r="AI6782">
        <v>94.234153939520596</v>
      </c>
      <c r="AJ6782">
        <v>75.9071457156858</v>
      </c>
      <c r="AK6782">
        <v>14.996285187383</v>
      </c>
      <c r="AL6782">
        <v>86.214146025114701</v>
      </c>
      <c r="AM6782">
        <v>83.695612629745199</v>
      </c>
      <c r="AN6782">
        <v>1.00000005340029</v>
      </c>
    </row>
    <row r="6783" spans="1:40" x14ac:dyDescent="0.25">
      <c r="A6783" t="str">
        <f>"20190312151705688"</f>
        <v>20190312151705688</v>
      </c>
      <c r="B6783" t="str">
        <f>"1552375025684181"</f>
        <v>1552375025684181</v>
      </c>
      <c r="C6783" t="s">
        <v>40</v>
      </c>
      <c r="D6783">
        <v>4.7728849999999996</v>
      </c>
      <c r="E6783">
        <v>0.550566</v>
      </c>
      <c r="F6783" t="s">
        <v>43</v>
      </c>
      <c r="G6783">
        <v>-183.92679999999999</v>
      </c>
      <c r="H6783" s="1">
        <v>-5.2073089999999997E-6</v>
      </c>
      <c r="I6783">
        <v>99.259960000000007</v>
      </c>
      <c r="J6783">
        <v>-188.34569999999999</v>
      </c>
      <c r="K6783">
        <v>1.1072109999999999</v>
      </c>
      <c r="L6783">
        <v>84.628330000000005</v>
      </c>
      <c r="M6783">
        <v>4.866148E-2</v>
      </c>
      <c r="N6783">
        <v>0</v>
      </c>
      <c r="O6783">
        <v>0.99871030000000005</v>
      </c>
      <c r="P6783">
        <v>0.1565647</v>
      </c>
      <c r="Q6783">
        <v>5.274595E-2</v>
      </c>
      <c r="R6783">
        <v>0.98625830000000003</v>
      </c>
      <c r="S6783">
        <v>0.86587519999999996</v>
      </c>
      <c r="T6783">
        <v>-0.2161015</v>
      </c>
      <c r="U6783">
        <v>2.916687</v>
      </c>
      <c r="V6783">
        <v>0.1088214</v>
      </c>
      <c r="W6783">
        <v>6.6406770000000004E-2</v>
      </c>
      <c r="X6783">
        <v>0.99184070000000002</v>
      </c>
      <c r="Y6783">
        <v>0.23688100000000001</v>
      </c>
      <c r="Z6783">
        <v>-7.1180240000000006E-2</v>
      </c>
      <c r="AA6783">
        <v>0.9689276</v>
      </c>
      <c r="AB6783">
        <v>32</v>
      </c>
      <c r="AC6783">
        <v>4.4188999999999998</v>
      </c>
      <c r="AD6783">
        <v>-1.1072162073089999</v>
      </c>
      <c r="AE6783">
        <v>14.6316299999999</v>
      </c>
      <c r="AF6783">
        <v>3.6822689510283202</v>
      </c>
      <c r="AG6783">
        <v>-1.1072162073089999</v>
      </c>
      <c r="AH6783">
        <v>14.7519313790946</v>
      </c>
      <c r="AI6783">
        <v>94.165003255826306</v>
      </c>
      <c r="AJ6783">
        <v>75.984645478353997</v>
      </c>
      <c r="AK6783">
        <v>15.2448191780339</v>
      </c>
      <c r="AL6783">
        <v>86.192370192176298</v>
      </c>
      <c r="AM6783">
        <v>83.7387448936</v>
      </c>
      <c r="AN6783">
        <v>0.99999996518814005</v>
      </c>
    </row>
    <row r="6784" spans="1:40" x14ac:dyDescent="0.25">
      <c r="A6784" t="str">
        <f>"20190312151705710"</f>
        <v>20190312151705710</v>
      </c>
      <c r="B6784" t="str">
        <f>"1552375025704677"</f>
        <v>1552375025704677</v>
      </c>
      <c r="C6784" t="s">
        <v>40</v>
      </c>
      <c r="D6784">
        <v>4.7574300000000003</v>
      </c>
      <c r="E6784">
        <v>0.55048649999999999</v>
      </c>
      <c r="F6784" t="s">
        <v>43</v>
      </c>
      <c r="G6784">
        <v>-183.89189999999999</v>
      </c>
      <c r="H6784" s="1">
        <v>-5.3276379999999901E-6</v>
      </c>
      <c r="I6784">
        <v>99.526020000000003</v>
      </c>
      <c r="J6784">
        <v>-188.3272</v>
      </c>
      <c r="K6784">
        <v>1.1072150000000001</v>
      </c>
      <c r="L6784">
        <v>84.942539999999994</v>
      </c>
      <c r="M6784">
        <v>5.173353E-2</v>
      </c>
      <c r="N6784">
        <v>0</v>
      </c>
      <c r="O6784">
        <v>0.99855590000000005</v>
      </c>
      <c r="P6784">
        <v>0.159141</v>
      </c>
      <c r="Q6784">
        <v>5.2523920000000002E-2</v>
      </c>
      <c r="R6784">
        <v>0.98585769999999995</v>
      </c>
      <c r="S6784">
        <v>0.87149049999999995</v>
      </c>
      <c r="T6784">
        <v>-0.2166497</v>
      </c>
      <c r="U6784">
        <v>2.9150390000000002</v>
      </c>
      <c r="V6784">
        <v>0.1083585</v>
      </c>
      <c r="W6784">
        <v>6.6186960000000003E-2</v>
      </c>
      <c r="X6784">
        <v>0.99190610000000001</v>
      </c>
      <c r="Y6784">
        <v>0.2357524</v>
      </c>
      <c r="Z6784">
        <v>-7.1372469999999993E-2</v>
      </c>
      <c r="AA6784">
        <v>0.96918870000000001</v>
      </c>
      <c r="AB6784">
        <v>32</v>
      </c>
      <c r="AC6784">
        <v>4.4353000000000096</v>
      </c>
      <c r="AD6784">
        <v>-1.1072203276379999</v>
      </c>
      <c r="AE6784">
        <v>14.5834799999999</v>
      </c>
      <c r="AF6784">
        <v>3.6555379591205202</v>
      </c>
      <c r="AG6784">
        <v>-1.1072203276379999</v>
      </c>
      <c r="AH6784">
        <v>14.715781086005601</v>
      </c>
      <c r="AI6784">
        <v>94.176388195755194</v>
      </c>
      <c r="AJ6784">
        <v>76.049563819503902</v>
      </c>
      <c r="AK6784">
        <v>15.2033913189046</v>
      </c>
      <c r="AL6784">
        <v>86.204992259148298</v>
      </c>
      <c r="AM6784">
        <v>83.765576410929</v>
      </c>
      <c r="AN6784">
        <v>0.99999999470675005</v>
      </c>
    </row>
    <row r="6785" spans="1:40" x14ac:dyDescent="0.25">
      <c r="A6785" t="str">
        <f>"20190312151705732"</f>
        <v>20190312151705732</v>
      </c>
      <c r="B6785" t="str">
        <f>"1552375025725173"</f>
        <v>1552375025725173</v>
      </c>
      <c r="C6785" t="s">
        <v>40</v>
      </c>
      <c r="D6785">
        <v>4.7146790000000003</v>
      </c>
      <c r="E6785">
        <v>0.55039939999999998</v>
      </c>
      <c r="F6785" t="s">
        <v>43</v>
      </c>
      <c r="G6785">
        <v>-183.8683</v>
      </c>
      <c r="H6785" s="1">
        <v>-1.658595E-6</v>
      </c>
      <c r="I6785">
        <v>99.727729999999994</v>
      </c>
      <c r="J6785">
        <v>-188.30770000000001</v>
      </c>
      <c r="K6785">
        <v>1.1072200000000001</v>
      </c>
      <c r="L6785">
        <v>85.257599999999996</v>
      </c>
      <c r="M6785">
        <v>5.481461E-2</v>
      </c>
      <c r="N6785">
        <v>0</v>
      </c>
      <c r="O6785">
        <v>0.99839149999999999</v>
      </c>
      <c r="P6785">
        <v>0.16275400000000001</v>
      </c>
      <c r="Q6785">
        <v>5.1942189999999999E-2</v>
      </c>
      <c r="R6785">
        <v>0.98529849999999997</v>
      </c>
      <c r="S6785">
        <v>0.87846369999999896</v>
      </c>
      <c r="T6785">
        <v>-0.218136</v>
      </c>
      <c r="U6785">
        <v>2.9128720000000001</v>
      </c>
      <c r="V6785">
        <v>0.1089281</v>
      </c>
      <c r="W6785">
        <v>6.55998E-2</v>
      </c>
      <c r="X6785">
        <v>0.99188270000000001</v>
      </c>
      <c r="Y6785">
        <v>0.23506969999999999</v>
      </c>
      <c r="Z6785">
        <v>-7.1874530000000006E-2</v>
      </c>
      <c r="AA6785">
        <v>0.9693174</v>
      </c>
      <c r="AB6785">
        <v>32</v>
      </c>
      <c r="AC6785">
        <v>4.4394</v>
      </c>
      <c r="AD6785">
        <v>-1.1072216585950001</v>
      </c>
      <c r="AE6785">
        <v>14.470129999999999</v>
      </c>
      <c r="AF6785">
        <v>3.6200943120354601</v>
      </c>
      <c r="AG6785">
        <v>-1.1072216585950001</v>
      </c>
      <c r="AH6785">
        <v>14.6135387119607</v>
      </c>
      <c r="AI6785">
        <v>94.206181708233501</v>
      </c>
      <c r="AJ6785">
        <v>76.086667050854501</v>
      </c>
      <c r="AK6785">
        <v>15.0959112449454</v>
      </c>
      <c r="AL6785">
        <v>86.238707259425397</v>
      </c>
      <c r="AM6785">
        <v>83.732917799118496</v>
      </c>
      <c r="AN6785">
        <v>0.99999997764446902</v>
      </c>
    </row>
    <row r="6786" spans="1:40" x14ac:dyDescent="0.25">
      <c r="A6786" t="str">
        <f>"20190312151705755"</f>
        <v>20190312151705755</v>
      </c>
      <c r="B6786" t="str">
        <f>"1552375025744696"</f>
        <v>1552375025744696</v>
      </c>
      <c r="C6786" t="s">
        <v>40</v>
      </c>
      <c r="D6786">
        <v>4.7201269999999997</v>
      </c>
      <c r="E6786">
        <v>0.55031470000000005</v>
      </c>
      <c r="F6786" t="s">
        <v>43</v>
      </c>
      <c r="G6786">
        <v>-183.8518</v>
      </c>
      <c r="H6786" s="1">
        <v>-1.7039539999999999E-6</v>
      </c>
      <c r="I6786">
        <v>99.848060000000004</v>
      </c>
      <c r="J6786">
        <v>-188.28659999999999</v>
      </c>
      <c r="K6786">
        <v>1.1072299999999999</v>
      </c>
      <c r="L6786">
        <v>85.580960000000005</v>
      </c>
      <c r="M6786">
        <v>5.7978389999999998E-2</v>
      </c>
      <c r="N6786">
        <v>0</v>
      </c>
      <c r="O6786">
        <v>0.99821280000000001</v>
      </c>
      <c r="P6786">
        <v>0.16616929999999999</v>
      </c>
      <c r="Q6786">
        <v>5.2008110000000003E-2</v>
      </c>
      <c r="R6786">
        <v>0.98472479999999996</v>
      </c>
      <c r="S6786">
        <v>0.88861080000000003</v>
      </c>
      <c r="T6786">
        <v>-0.22080269999999999</v>
      </c>
      <c r="U6786">
        <v>2.909637</v>
      </c>
      <c r="V6786">
        <v>0.1092238</v>
      </c>
      <c r="W6786">
        <v>6.5662139999999994E-2</v>
      </c>
      <c r="X6786">
        <v>0.99184609999999995</v>
      </c>
      <c r="Y6786">
        <v>0.23536389999999999</v>
      </c>
      <c r="Z6786">
        <v>-7.2767269999999995E-2</v>
      </c>
      <c r="AA6786">
        <v>0.96917949999999997</v>
      </c>
      <c r="AB6786">
        <v>32</v>
      </c>
      <c r="AC6786">
        <v>4.4347999999999903</v>
      </c>
      <c r="AD6786">
        <v>-1.1072317039539901</v>
      </c>
      <c r="AE6786">
        <v>14.267099999999999</v>
      </c>
      <c r="AF6786">
        <v>3.5804037505803099</v>
      </c>
      <c r="AG6786">
        <v>-1.1072317039539901</v>
      </c>
      <c r="AH6786">
        <v>14.421041266777401</v>
      </c>
      <c r="AI6786">
        <v>94.261610375733</v>
      </c>
      <c r="AJ6786">
        <v>76.056741767009399</v>
      </c>
      <c r="AK6786">
        <v>14.9000565194064</v>
      </c>
      <c r="AL6786">
        <v>86.235127884796</v>
      </c>
      <c r="AM6786">
        <v>83.715810851163099</v>
      </c>
      <c r="AN6786">
        <v>1.00000002060051</v>
      </c>
    </row>
    <row r="6787" spans="1:40" x14ac:dyDescent="0.25">
      <c r="A6787" t="str">
        <f>"20190312151705776"</f>
        <v>20190312151705776</v>
      </c>
      <c r="B6787" t="str">
        <f>"1552375025765190"</f>
        <v>1552375025765190</v>
      </c>
      <c r="C6787" t="s">
        <v>40</v>
      </c>
      <c r="D6787">
        <v>4.7541979999999997</v>
      </c>
      <c r="E6787">
        <v>0.5502454</v>
      </c>
      <c r="F6787" t="s">
        <v>43</v>
      </c>
      <c r="G6787">
        <v>-183.79419999999999</v>
      </c>
      <c r="H6787" s="1">
        <v>-1.812015E-6</v>
      </c>
      <c r="I6787">
        <v>100.1206</v>
      </c>
      <c r="J6787">
        <v>-188.2655</v>
      </c>
      <c r="K6787">
        <v>1.107235</v>
      </c>
      <c r="L6787">
        <v>85.890079999999998</v>
      </c>
      <c r="M6787">
        <v>6.1003420000000003E-2</v>
      </c>
      <c r="N6787">
        <v>0</v>
      </c>
      <c r="O6787">
        <v>0.99803260000000005</v>
      </c>
      <c r="P6787">
        <v>0.1684911</v>
      </c>
      <c r="Q6787">
        <v>5.2261290000000002E-2</v>
      </c>
      <c r="R6787">
        <v>0.98431679999999999</v>
      </c>
      <c r="S6787">
        <v>0.89810179999999995</v>
      </c>
      <c r="T6787">
        <v>-0.2213514</v>
      </c>
      <c r="U6787">
        <v>2.9066770000000002</v>
      </c>
      <c r="V6787">
        <v>0.1085578</v>
      </c>
      <c r="W6787">
        <v>6.5919080000000005E-2</v>
      </c>
      <c r="X6787">
        <v>0.99190219999999996</v>
      </c>
      <c r="Y6787">
        <v>0.23558180000000001</v>
      </c>
      <c r="Z6787">
        <v>-7.2961849999999995E-2</v>
      </c>
      <c r="AA6787">
        <v>0.96911190000000003</v>
      </c>
      <c r="AB6787">
        <v>32</v>
      </c>
      <c r="AC6787">
        <v>4.47130000000001</v>
      </c>
      <c r="AD6787">
        <v>-1.107236812015</v>
      </c>
      <c r="AE6787">
        <v>14.230519999999901</v>
      </c>
      <c r="AF6787">
        <v>3.57507077570973</v>
      </c>
      <c r="AG6787">
        <v>-1.107236812015</v>
      </c>
      <c r="AH6787">
        <v>14.3974741820267</v>
      </c>
      <c r="AI6787">
        <v>94.268544224208199</v>
      </c>
      <c r="AJ6787">
        <v>76.054799398345907</v>
      </c>
      <c r="AK6787">
        <v>14.875966094050501</v>
      </c>
      <c r="AL6787">
        <v>86.220374445798996</v>
      </c>
      <c r="AM6787">
        <v>83.754175833085796</v>
      </c>
      <c r="AN6787">
        <v>1.00000004770686</v>
      </c>
    </row>
    <row r="6788" spans="1:40" x14ac:dyDescent="0.25">
      <c r="A6788" t="str">
        <f>"20190312151705799"</f>
        <v>20190312151705799</v>
      </c>
      <c r="B6788" t="str">
        <f>"1552375025794469"</f>
        <v>1552375025794469</v>
      </c>
      <c r="C6788" t="s">
        <v>40</v>
      </c>
      <c r="D6788">
        <v>4.8275610000000002</v>
      </c>
      <c r="E6788">
        <v>0.55028189999999999</v>
      </c>
      <c r="F6788" t="s">
        <v>43</v>
      </c>
      <c r="G6788">
        <v>-183.73480000000001</v>
      </c>
      <c r="H6788" s="1">
        <v>-1.9353860000000002E-6</v>
      </c>
      <c r="I6788">
        <v>100.4367</v>
      </c>
      <c r="J6788">
        <v>-188.24270000000001</v>
      </c>
      <c r="K6788">
        <v>1.10724</v>
      </c>
      <c r="L6788">
        <v>86.208799999999997</v>
      </c>
      <c r="M6788">
        <v>6.4121719999999993E-2</v>
      </c>
      <c r="N6788">
        <v>0</v>
      </c>
      <c r="O6788">
        <v>0.99783710000000003</v>
      </c>
      <c r="P6788">
        <v>0.1702786</v>
      </c>
      <c r="Q6788">
        <v>5.1914349999999998E-2</v>
      </c>
      <c r="R6788">
        <v>0.98402750000000005</v>
      </c>
      <c r="S6788">
        <v>0.90467830000000005</v>
      </c>
      <c r="T6788">
        <v>-0.22109229999999999</v>
      </c>
      <c r="U6788">
        <v>2.9046630000000002</v>
      </c>
      <c r="V6788">
        <v>0.1072543</v>
      </c>
      <c r="W6788">
        <v>6.5581730000000005E-2</v>
      </c>
      <c r="X6788">
        <v>0.99206629999999996</v>
      </c>
      <c r="Y6788">
        <v>0.23473810000000001</v>
      </c>
      <c r="Z6788">
        <v>-7.2887190000000004E-2</v>
      </c>
      <c r="AA6788">
        <v>0.96932220000000002</v>
      </c>
      <c r="AB6788">
        <v>32</v>
      </c>
      <c r="AC6788">
        <v>4.5079000000000002</v>
      </c>
      <c r="AD6788">
        <v>-1.1072419353859999</v>
      </c>
      <c r="AE6788">
        <v>14.2279</v>
      </c>
      <c r="AF6788">
        <v>3.5665785978109201</v>
      </c>
      <c r="AG6788">
        <v>-1.1072419353859999</v>
      </c>
      <c r="AH6788">
        <v>14.408398368280899</v>
      </c>
      <c r="AI6788">
        <v>94.266111448176105</v>
      </c>
      <c r="AJ6788">
        <v>76.096775726612407</v>
      </c>
      <c r="AK6788">
        <v>14.8845023812326</v>
      </c>
      <c r="AL6788">
        <v>86.239744897173395</v>
      </c>
      <c r="AM6788">
        <v>83.829602883743604</v>
      </c>
      <c r="AN6788">
        <v>0.99999999588698596</v>
      </c>
    </row>
    <row r="6789" spans="1:40" x14ac:dyDescent="0.25">
      <c r="A6789" t="str">
        <f>"20190312151705820"</f>
        <v>20190312151705820</v>
      </c>
      <c r="B6789" t="str">
        <f>"1552375025814966"</f>
        <v>1552375025814966</v>
      </c>
      <c r="C6789" t="s">
        <v>40</v>
      </c>
      <c r="D6789">
        <v>4.785971</v>
      </c>
      <c r="E6789">
        <v>0.55041340000000005</v>
      </c>
      <c r="F6789" t="s">
        <v>43</v>
      </c>
      <c r="G6789">
        <v>-183.70840000000001</v>
      </c>
      <c r="H6789" s="1">
        <v>-2.0205910000000001E-6</v>
      </c>
      <c r="I6789">
        <v>100.6665</v>
      </c>
      <c r="J6789">
        <v>-188.21969999999999</v>
      </c>
      <c r="K6789">
        <v>1.107248</v>
      </c>
      <c r="L6789">
        <v>86.517179999999996</v>
      </c>
      <c r="M6789">
        <v>6.7131490000000002E-2</v>
      </c>
      <c r="N6789">
        <v>0</v>
      </c>
      <c r="O6789">
        <v>0.99763919999999995</v>
      </c>
      <c r="P6789">
        <v>0.17169519999999999</v>
      </c>
      <c r="Q6789">
        <v>5.1351769999999998E-2</v>
      </c>
      <c r="R6789">
        <v>0.98381079999999999</v>
      </c>
      <c r="S6789">
        <v>0.91041559999999999</v>
      </c>
      <c r="T6789">
        <v>-0.2223185</v>
      </c>
      <c r="U6789">
        <v>2.9028930000000002</v>
      </c>
      <c r="V6789">
        <v>0.10568130000000001</v>
      </c>
      <c r="W6789">
        <v>6.5031690000000003E-2</v>
      </c>
      <c r="X6789">
        <v>0.99227129999999997</v>
      </c>
      <c r="Y6789">
        <v>0.2337101</v>
      </c>
      <c r="Z6789">
        <v>-7.3297899999999999E-2</v>
      </c>
      <c r="AA6789">
        <v>0.96953959999999995</v>
      </c>
      <c r="AB6789">
        <v>32</v>
      </c>
      <c r="AC6789">
        <v>4.5112999999999701</v>
      </c>
      <c r="AD6789">
        <v>-1.1072500205910001</v>
      </c>
      <c r="AE6789">
        <v>14.1493199999999</v>
      </c>
      <c r="AF6789">
        <v>3.53152585430569</v>
      </c>
      <c r="AG6789">
        <v>-1.1072500205910001</v>
      </c>
      <c r="AH6789">
        <v>14.340561306488301</v>
      </c>
      <c r="AI6789">
        <v>94.287513733845401</v>
      </c>
      <c r="AJ6789">
        <v>76.165542050008895</v>
      </c>
      <c r="AK6789">
        <v>14.8104482056715</v>
      </c>
      <c r="AL6789">
        <v>86.271327287107795</v>
      </c>
      <c r="AM6789">
        <v>83.920662291264094</v>
      </c>
      <c r="AN6789">
        <v>0.999999995338818</v>
      </c>
    </row>
    <row r="6790" spans="1:40" x14ac:dyDescent="0.25">
      <c r="A6790" t="str">
        <f>"20190312151705845"</f>
        <v>20190312151705845</v>
      </c>
      <c r="B6790" t="str">
        <f>"1552375025834485"</f>
        <v>1552375025834485</v>
      </c>
      <c r="C6790" t="s">
        <v>40</v>
      </c>
      <c r="D6790">
        <v>4.7163740000000001</v>
      </c>
      <c r="E6790">
        <v>0.55051569999999905</v>
      </c>
      <c r="F6790" t="s">
        <v>43</v>
      </c>
      <c r="G6790">
        <v>-183.71549999999999</v>
      </c>
      <c r="H6790" s="1">
        <v>-2.06125E-6</v>
      </c>
      <c r="I6790">
        <v>100.7915</v>
      </c>
      <c r="J6790">
        <v>-188.19399999999999</v>
      </c>
      <c r="K6790">
        <v>1.1072519999999999</v>
      </c>
      <c r="L6790">
        <v>86.84769</v>
      </c>
      <c r="M6790">
        <v>7.0341710000000002E-2</v>
      </c>
      <c r="N6790">
        <v>0</v>
      </c>
      <c r="O6790">
        <v>0.99741800000000003</v>
      </c>
      <c r="P6790">
        <v>0.17400019999999999</v>
      </c>
      <c r="Q6790">
        <v>5.0616080000000001E-2</v>
      </c>
      <c r="R6790">
        <v>0.98344390000000004</v>
      </c>
      <c r="S6790">
        <v>0.9154968</v>
      </c>
      <c r="T6790">
        <v>-0.2250549</v>
      </c>
      <c r="U6790">
        <v>2.9013369999999998</v>
      </c>
      <c r="V6790">
        <v>0.10480250000000001</v>
      </c>
      <c r="W6790">
        <v>6.4304609999999998E-2</v>
      </c>
      <c r="X6790">
        <v>0.99241190000000001</v>
      </c>
      <c r="Y6790">
        <v>0.23225480000000001</v>
      </c>
      <c r="Z6790">
        <v>-7.4202130000000005E-2</v>
      </c>
      <c r="AA6790">
        <v>0.96982049999999997</v>
      </c>
      <c r="AB6790">
        <v>32</v>
      </c>
      <c r="AC6790">
        <v>4.4785000000000199</v>
      </c>
      <c r="AD6790">
        <v>-1.1072540612499999</v>
      </c>
      <c r="AE6790">
        <v>13.943809999999999</v>
      </c>
      <c r="AF6790">
        <v>3.4666546075993399</v>
      </c>
      <c r="AG6790">
        <v>-1.1072540612499999</v>
      </c>
      <c r="AH6790">
        <v>14.143477186498099</v>
      </c>
      <c r="AI6790">
        <v>94.348206118565301</v>
      </c>
      <c r="AJ6790">
        <v>76.227956681607097</v>
      </c>
      <c r="AK6790">
        <v>14.6041655923759</v>
      </c>
      <c r="AL6790">
        <v>86.313073350760007</v>
      </c>
      <c r="AM6790">
        <v>83.971689423428103</v>
      </c>
      <c r="AN6790">
        <v>1.0000000130675499</v>
      </c>
    </row>
    <row r="6791" spans="1:40" x14ac:dyDescent="0.25">
      <c r="A6791" t="str">
        <f>"20190312151705867"</f>
        <v>20190312151705867</v>
      </c>
      <c r="B6791" t="str">
        <f>"1552375025854982"</f>
        <v>1552375025854982</v>
      </c>
      <c r="C6791" t="s">
        <v>40</v>
      </c>
      <c r="D6791">
        <v>4.7782289999999996</v>
      </c>
      <c r="E6791">
        <v>0.55062219999999995</v>
      </c>
      <c r="F6791" t="s">
        <v>43</v>
      </c>
      <c r="G6791">
        <v>-183.70930000000001</v>
      </c>
      <c r="H6791" s="1">
        <v>-2.1086360000000002E-6</v>
      </c>
      <c r="I6791">
        <v>100.9259</v>
      </c>
      <c r="J6791">
        <v>-188.1686</v>
      </c>
      <c r="K6791">
        <v>1.107272</v>
      </c>
      <c r="L6791">
        <v>87.162779999999998</v>
      </c>
      <c r="M6791">
        <v>7.3377419999999999E-2</v>
      </c>
      <c r="N6791">
        <v>0</v>
      </c>
      <c r="O6791">
        <v>0.99719939999999996</v>
      </c>
      <c r="P6791">
        <v>0.17677670000000001</v>
      </c>
      <c r="Q6791">
        <v>4.9817930000000003E-2</v>
      </c>
      <c r="R6791">
        <v>0.98298940000000001</v>
      </c>
      <c r="S6791">
        <v>0.92344669999999895</v>
      </c>
      <c r="T6791">
        <v>-0.22799420000000001</v>
      </c>
      <c r="U6791">
        <v>2.8988339999999999</v>
      </c>
      <c r="V6791">
        <v>0.1045722</v>
      </c>
      <c r="W6791">
        <v>6.3510860000000002E-2</v>
      </c>
      <c r="X6791">
        <v>0.99248729999999996</v>
      </c>
      <c r="Y6791">
        <v>0.2319293</v>
      </c>
      <c r="Z6791">
        <v>-7.517501E-2</v>
      </c>
      <c r="AA6791">
        <v>0.9698234</v>
      </c>
      <c r="AB6791">
        <v>32</v>
      </c>
      <c r="AC6791">
        <v>4.4592999999999803</v>
      </c>
      <c r="AD6791">
        <v>-1.1072741086360001</v>
      </c>
      <c r="AE6791">
        <v>13.763120000000001</v>
      </c>
      <c r="AF6791">
        <v>3.4172514199402202</v>
      </c>
      <c r="AG6791">
        <v>-1.1072741086360001</v>
      </c>
      <c r="AH6791">
        <v>13.9714168139955</v>
      </c>
      <c r="AI6791">
        <v>94.402149370403905</v>
      </c>
      <c r="AJ6791">
        <v>76.255929866338903</v>
      </c>
      <c r="AK6791">
        <v>14.425815436540599</v>
      </c>
      <c r="AL6791">
        <v>86.358645013203102</v>
      </c>
      <c r="AM6791">
        <v>83.985292833317601</v>
      </c>
      <c r="AN6791">
        <v>1.00000000750603</v>
      </c>
    </row>
    <row r="6792" spans="1:40" x14ac:dyDescent="0.25">
      <c r="A6792" t="str">
        <f>"20190312151705889"</f>
        <v>20190312151705889</v>
      </c>
      <c r="B6792" t="str">
        <f>"1552375025885238"</f>
        <v>1552375025885238</v>
      </c>
      <c r="C6792" t="s">
        <v>40</v>
      </c>
      <c r="D6792">
        <v>4.7467050000000004</v>
      </c>
      <c r="E6792">
        <v>0.55080430000000002</v>
      </c>
      <c r="F6792" t="s">
        <v>43</v>
      </c>
      <c r="G6792">
        <v>-183.69319999999999</v>
      </c>
      <c r="H6792" s="1">
        <v>-2.1572740000000002E-6</v>
      </c>
      <c r="I6792">
        <v>101.0562</v>
      </c>
      <c r="J6792">
        <v>-188.1429</v>
      </c>
      <c r="K6792">
        <v>1.107299</v>
      </c>
      <c r="L6792">
        <v>87.470339999999993</v>
      </c>
      <c r="M6792">
        <v>7.6306219999999994E-2</v>
      </c>
      <c r="N6792">
        <v>0</v>
      </c>
      <c r="O6792">
        <v>0.99697959999999997</v>
      </c>
      <c r="P6792">
        <v>0.1808051</v>
      </c>
      <c r="Q6792">
        <v>4.8579419999999998E-2</v>
      </c>
      <c r="R6792">
        <v>0.98231849999999998</v>
      </c>
      <c r="S6792">
        <v>0.93283079999999996</v>
      </c>
      <c r="T6792">
        <v>-0.23079440000000001</v>
      </c>
      <c r="U6792">
        <v>2.8958740000000001</v>
      </c>
      <c r="V6792">
        <v>0.1057091</v>
      </c>
      <c r="W6792">
        <v>6.2268780000000003E-2</v>
      </c>
      <c r="X6792">
        <v>0.99244549999999998</v>
      </c>
      <c r="Y6792">
        <v>0.23218759999999999</v>
      </c>
      <c r="Z6792">
        <v>-7.6102290000000003E-2</v>
      </c>
      <c r="AA6792">
        <v>0.96968929999999998</v>
      </c>
      <c r="AB6792">
        <v>32</v>
      </c>
      <c r="AC6792">
        <v>4.4497</v>
      </c>
      <c r="AD6792">
        <v>-1.1073011572739999</v>
      </c>
      <c r="AE6792">
        <v>13.585859999999901</v>
      </c>
      <c r="AF6792">
        <v>3.3796542147772399</v>
      </c>
      <c r="AG6792">
        <v>-1.1073011572739999</v>
      </c>
      <c r="AH6792">
        <v>13.8030076479986</v>
      </c>
      <c r="AI6792">
        <v>94.455486217827996</v>
      </c>
      <c r="AJ6792">
        <v>76.241855105801207</v>
      </c>
      <c r="AK6792">
        <v>14.2538134755254</v>
      </c>
      <c r="AL6792">
        <v>86.429951881328606</v>
      </c>
      <c r="AM6792">
        <v>83.920134436575694</v>
      </c>
      <c r="AN6792">
        <v>0.99999994262787195</v>
      </c>
    </row>
    <row r="6793" spans="1:40" x14ac:dyDescent="0.25">
      <c r="A6793" t="str">
        <f>"20190312151705910"</f>
        <v>20190312151705910</v>
      </c>
      <c r="B6793" t="str">
        <f>"1552375025904757"</f>
        <v>1552375025904757</v>
      </c>
      <c r="C6793" t="s">
        <v>40</v>
      </c>
      <c r="D6793">
        <v>5.1113670000000004</v>
      </c>
      <c r="E6793">
        <v>0.55087779999999997</v>
      </c>
      <c r="F6793" t="s">
        <v>43</v>
      </c>
      <c r="G6793">
        <v>-183.68870000000001</v>
      </c>
      <c r="H6793" s="1">
        <v>-2.1662749999999999E-6</v>
      </c>
      <c r="I6793">
        <v>101.0791</v>
      </c>
      <c r="J6793">
        <v>-188.11660000000001</v>
      </c>
      <c r="K6793">
        <v>1.107332</v>
      </c>
      <c r="L6793">
        <v>87.775239999999997</v>
      </c>
      <c r="M6793">
        <v>7.9164769999999995E-2</v>
      </c>
      <c r="N6793">
        <v>0</v>
      </c>
      <c r="O6793">
        <v>0.99675670000000005</v>
      </c>
      <c r="P6793">
        <v>0.18442729999999999</v>
      </c>
      <c r="Q6793">
        <v>4.6665180000000001E-2</v>
      </c>
      <c r="R6793">
        <v>0.98173770000000005</v>
      </c>
      <c r="S6793">
        <v>0.94639589999999996</v>
      </c>
      <c r="T6793">
        <v>-0.23527000000000001</v>
      </c>
      <c r="U6793">
        <v>2.8914789999999999</v>
      </c>
      <c r="V6793">
        <v>0.10649930000000001</v>
      </c>
      <c r="W6793">
        <v>6.0355979999999997E-2</v>
      </c>
      <c r="X6793">
        <v>0.99247929999999995</v>
      </c>
      <c r="Y6793">
        <v>0.2339079</v>
      </c>
      <c r="Z6793">
        <v>-7.7583540000000006E-2</v>
      </c>
      <c r="AA6793">
        <v>0.96915839999999998</v>
      </c>
      <c r="AB6793">
        <v>31</v>
      </c>
      <c r="AC6793">
        <v>4.4278999999999904</v>
      </c>
      <c r="AD6793">
        <v>-1.107334166275</v>
      </c>
      <c r="AE6793">
        <v>13.30386</v>
      </c>
      <c r="AF6793">
        <v>3.33986247936831</v>
      </c>
      <c r="AG6793">
        <v>-1.107334166275</v>
      </c>
      <c r="AH6793">
        <v>13.5282919815683</v>
      </c>
      <c r="AI6793">
        <v>94.543591434398905</v>
      </c>
      <c r="AJ6793">
        <v>76.132135984980707</v>
      </c>
      <c r="AK6793">
        <v>13.9783959836405</v>
      </c>
      <c r="AL6793">
        <v>86.5397542328366</v>
      </c>
      <c r="AM6793">
        <v>83.875237234431395</v>
      </c>
      <c r="AN6793">
        <v>1.0000000530753601</v>
      </c>
    </row>
    <row r="6794" spans="1:40" x14ac:dyDescent="0.25">
      <c r="A6794" t="str">
        <f>"20190312151705934"</f>
        <v>20190312151705934</v>
      </c>
      <c r="B6794" t="str">
        <f>"1552375025924277"</f>
        <v>1552375025924277</v>
      </c>
      <c r="C6794" t="s">
        <v>40</v>
      </c>
      <c r="D6794">
        <v>4.7526020000000004</v>
      </c>
      <c r="E6794">
        <v>0.55098159999999996</v>
      </c>
      <c r="F6794" t="s">
        <v>43</v>
      </c>
      <c r="G6794">
        <v>-183.7063</v>
      </c>
      <c r="H6794" s="1">
        <v>-2.1576849999999999E-6</v>
      </c>
      <c r="I6794">
        <v>101.0677</v>
      </c>
      <c r="J6794">
        <v>-188.08789999999999</v>
      </c>
      <c r="K6794">
        <v>1.10738</v>
      </c>
      <c r="L6794">
        <v>88.097080000000005</v>
      </c>
      <c r="M6794">
        <v>8.2120280000000004E-2</v>
      </c>
      <c r="N6794">
        <v>0</v>
      </c>
      <c r="O6794">
        <v>0.99651769999999995</v>
      </c>
      <c r="P6794">
        <v>0.18753810000000001</v>
      </c>
      <c r="Q6794">
        <v>4.6227890000000001E-2</v>
      </c>
      <c r="R6794">
        <v>0.98116890000000001</v>
      </c>
      <c r="S6794">
        <v>0.95796199999999998</v>
      </c>
      <c r="T6794">
        <v>-0.24052789999999999</v>
      </c>
      <c r="U6794">
        <v>2.8872990000000001</v>
      </c>
      <c r="V6794">
        <v>0.10668999999999999</v>
      </c>
      <c r="W6794">
        <v>5.9925699999999901E-2</v>
      </c>
      <c r="X6794">
        <v>0.9924849</v>
      </c>
      <c r="Y6794">
        <v>0.2348983</v>
      </c>
      <c r="Z6794">
        <v>-7.9328140000000005E-2</v>
      </c>
      <c r="AA6794">
        <v>0.96877749999999996</v>
      </c>
      <c r="AB6794">
        <v>31</v>
      </c>
      <c r="AC6794">
        <v>4.3815999999999899</v>
      </c>
      <c r="AD6794">
        <v>-1.107382157685</v>
      </c>
      <c r="AE6794">
        <v>12.970619999999901</v>
      </c>
      <c r="AF6794">
        <v>3.2800757160736498</v>
      </c>
      <c r="AG6794">
        <v>-1.107382157685</v>
      </c>
      <c r="AH6794">
        <v>13.200294519017699</v>
      </c>
      <c r="AI6794">
        <v>94.654463691453302</v>
      </c>
      <c r="AJ6794">
        <v>76.045480473566698</v>
      </c>
      <c r="AK6794">
        <v>13.6467200211313</v>
      </c>
      <c r="AL6794">
        <v>86.564452193274604</v>
      </c>
      <c r="AM6794">
        <v>83.864388033690801</v>
      </c>
      <c r="AN6794">
        <v>1.0000000611742399</v>
      </c>
    </row>
    <row r="6795" spans="1:40" x14ac:dyDescent="0.25">
      <c r="A6795" t="str">
        <f>"20190312151705955"</f>
        <v>20190312151705955</v>
      </c>
      <c r="B6795" t="str">
        <f>"1552375025944776"</f>
        <v>1552375025944776</v>
      </c>
      <c r="C6795" t="s">
        <v>40</v>
      </c>
      <c r="D6795">
        <v>4.7680740000000004</v>
      </c>
      <c r="E6795">
        <v>0.55102559999999901</v>
      </c>
      <c r="F6795" t="s">
        <v>43</v>
      </c>
      <c r="G6795">
        <v>-183.65369999999999</v>
      </c>
      <c r="H6795" s="1">
        <v>-2.2504469999999999E-6</v>
      </c>
      <c r="I6795">
        <v>101.2991</v>
      </c>
      <c r="J6795">
        <v>-188.06020000000001</v>
      </c>
      <c r="K6795">
        <v>1.1074349999999999</v>
      </c>
      <c r="L6795">
        <v>88.397769999999994</v>
      </c>
      <c r="M6795">
        <v>8.481031E-2</v>
      </c>
      <c r="N6795">
        <v>0</v>
      </c>
      <c r="O6795">
        <v>0.99629239999999997</v>
      </c>
      <c r="P6795">
        <v>0.1902131</v>
      </c>
      <c r="Q6795">
        <v>4.6447549999999997E-2</v>
      </c>
      <c r="R6795">
        <v>0.9806435</v>
      </c>
      <c r="S6795">
        <v>0.96859740000000005</v>
      </c>
      <c r="T6795">
        <v>-0.24189440000000001</v>
      </c>
      <c r="U6795">
        <v>2.8838200000000001</v>
      </c>
      <c r="V6795">
        <v>0.106711</v>
      </c>
      <c r="W6795">
        <v>6.015417E-2</v>
      </c>
      <c r="X6795">
        <v>0.99246880000000004</v>
      </c>
      <c r="Y6795">
        <v>0.23582639999999999</v>
      </c>
      <c r="Z6795">
        <v>-7.9785159999999994E-2</v>
      </c>
      <c r="AA6795">
        <v>0.9685144</v>
      </c>
      <c r="AB6795">
        <v>31</v>
      </c>
      <c r="AC6795">
        <v>4.4065000000000198</v>
      </c>
      <c r="AD6795">
        <v>-1.107437250447</v>
      </c>
      <c r="AE6795">
        <v>12.90133</v>
      </c>
      <c r="AF6795">
        <v>3.2747321053275802</v>
      </c>
      <c r="AG6795">
        <v>-1.107437250447</v>
      </c>
      <c r="AH6795">
        <v>13.1418765409286</v>
      </c>
      <c r="AI6795">
        <v>94.674532476134601</v>
      </c>
      <c r="AJ6795">
        <v>76.007822557778098</v>
      </c>
      <c r="AK6795">
        <v>13.5889369209791</v>
      </c>
      <c r="AL6795">
        <v>86.551338097321207</v>
      </c>
      <c r="AM6795">
        <v>83.863090770848203</v>
      </c>
      <c r="AN6795">
        <v>1.00000004033141</v>
      </c>
    </row>
    <row r="6796" spans="1:40" x14ac:dyDescent="0.25">
      <c r="A6796" t="str">
        <f>"20190312151705977"</f>
        <v>20190312151705977</v>
      </c>
      <c r="B6796" t="str">
        <f>"1552375025975029"</f>
        <v>1552375025975029</v>
      </c>
      <c r="C6796" t="s">
        <v>40</v>
      </c>
      <c r="D6796">
        <v>4.7378929999999997</v>
      </c>
      <c r="E6796">
        <v>0.55112779999999995</v>
      </c>
      <c r="F6796" t="s">
        <v>43</v>
      </c>
      <c r="G6796">
        <v>-183.56120000000001</v>
      </c>
      <c r="H6796" s="1">
        <v>-2.4000010000000001E-6</v>
      </c>
      <c r="I6796">
        <v>101.6662</v>
      </c>
      <c r="J6796">
        <v>-188.03030000000001</v>
      </c>
      <c r="K6796">
        <v>1.1075029999999999</v>
      </c>
      <c r="L6796">
        <v>88.713840000000005</v>
      </c>
      <c r="M6796">
        <v>8.757529E-2</v>
      </c>
      <c r="N6796">
        <v>0</v>
      </c>
      <c r="O6796">
        <v>0.99605319999999997</v>
      </c>
      <c r="P6796">
        <v>0.19214120000000001</v>
      </c>
      <c r="Q6796">
        <v>4.6590779999999998E-2</v>
      </c>
      <c r="R6796">
        <v>0.98026069999999998</v>
      </c>
      <c r="S6796">
        <v>0.97692869999999998</v>
      </c>
      <c r="T6796">
        <v>-0.2404705</v>
      </c>
      <c r="U6796">
        <v>2.8811339999999999</v>
      </c>
      <c r="V6796">
        <v>0.1059002</v>
      </c>
      <c r="W6796">
        <v>6.0313619999999998E-2</v>
      </c>
      <c r="X6796">
        <v>0.99254589999999998</v>
      </c>
      <c r="Y6796">
        <v>0.235928</v>
      </c>
      <c r="Z6796">
        <v>-7.9323000000000005E-2</v>
      </c>
      <c r="AA6796">
        <v>0.96852769999999999</v>
      </c>
      <c r="AB6796">
        <v>31</v>
      </c>
      <c r="AC6796">
        <v>4.4690999999999903</v>
      </c>
      <c r="AD6796">
        <v>-1.1075054000010001</v>
      </c>
      <c r="AE6796">
        <v>12.952360000000001</v>
      </c>
      <c r="AF6796">
        <v>3.2959666363142901</v>
      </c>
      <c r="AG6796">
        <v>-1.1075054000010001</v>
      </c>
      <c r="AH6796">
        <v>13.2077168863027</v>
      </c>
      <c r="AI6796">
        <v>94.651220012161801</v>
      </c>
      <c r="AJ6796">
        <v>75.988103599203399</v>
      </c>
      <c r="AK6796">
        <v>13.6577358895043</v>
      </c>
      <c r="AL6796">
        <v>86.542185439097807</v>
      </c>
      <c r="AM6796">
        <v>83.909837327160801</v>
      </c>
      <c r="AN6796">
        <v>0.99999997436217603</v>
      </c>
    </row>
    <row r="6797" spans="1:40" x14ac:dyDescent="0.25">
      <c r="A6797" t="str">
        <f>"20190312151705999"</f>
        <v>20190312151705999</v>
      </c>
      <c r="B6797" t="str">
        <f>"1552375025994549"</f>
        <v>1552375025994549</v>
      </c>
      <c r="C6797" t="s">
        <v>40</v>
      </c>
      <c r="D6797">
        <v>4.7561200000000001</v>
      </c>
      <c r="E6797">
        <v>0.55116669999999901</v>
      </c>
      <c r="F6797" t="s">
        <v>43</v>
      </c>
      <c r="G6797">
        <v>-183.51859999999999</v>
      </c>
      <c r="H6797" s="1">
        <v>-2.4995080000000002E-6</v>
      </c>
      <c r="I6797">
        <v>101.9254</v>
      </c>
      <c r="J6797">
        <v>-188.00020000000001</v>
      </c>
      <c r="K6797">
        <v>1.1075649999999999</v>
      </c>
      <c r="L6797">
        <v>89.023740000000004</v>
      </c>
      <c r="M6797">
        <v>9.0214290000000003E-2</v>
      </c>
      <c r="N6797">
        <v>0</v>
      </c>
      <c r="O6797">
        <v>0.99581779999999998</v>
      </c>
      <c r="P6797">
        <v>0.1937286</v>
      </c>
      <c r="Q6797">
        <v>4.6972739999999999E-2</v>
      </c>
      <c r="R6797">
        <v>0.97992999999999997</v>
      </c>
      <c r="S6797">
        <v>0.98323059999999995</v>
      </c>
      <c r="T6797">
        <v>-0.24135799999999999</v>
      </c>
      <c r="U6797">
        <v>2.879181</v>
      </c>
      <c r="V6797">
        <v>0.1048719</v>
      </c>
      <c r="W6797">
        <v>6.0712479999999999E-2</v>
      </c>
      <c r="X6797">
        <v>0.99263080000000004</v>
      </c>
      <c r="Y6797">
        <v>0.2354456</v>
      </c>
      <c r="Z6797">
        <v>-7.9613890000000007E-2</v>
      </c>
      <c r="AA6797">
        <v>0.96862119999999996</v>
      </c>
      <c r="AB6797">
        <v>31</v>
      </c>
      <c r="AC6797">
        <v>4.48160000000001</v>
      </c>
      <c r="AD6797">
        <v>-1.10756749950799</v>
      </c>
      <c r="AE6797">
        <v>12.9016599999999</v>
      </c>
      <c r="AF6797">
        <v>3.2777316066878699</v>
      </c>
      <c r="AG6797">
        <v>-1.10756749950799</v>
      </c>
      <c r="AH6797">
        <v>13.166800065446299</v>
      </c>
      <c r="AI6797">
        <v>94.666535150654497</v>
      </c>
      <c r="AJ6797">
        <v>76.020979277940697</v>
      </c>
      <c r="AK6797">
        <v>13.613774429411</v>
      </c>
      <c r="AL6797">
        <v>86.5192906208013</v>
      </c>
      <c r="AM6797">
        <v>83.969047375041796</v>
      </c>
      <c r="AN6797">
        <v>1.000000012873</v>
      </c>
    </row>
    <row r="6798" spans="1:40" x14ac:dyDescent="0.25">
      <c r="A6798" t="str">
        <f>"20190312151706022"</f>
        <v>20190312151706022</v>
      </c>
      <c r="B6798" t="str">
        <f>"1552375026015045"</f>
        <v>1552375026015045</v>
      </c>
      <c r="C6798" t="s">
        <v>40</v>
      </c>
      <c r="D6798">
        <v>4.7146869999999996</v>
      </c>
      <c r="E6798">
        <v>0.55118599999999995</v>
      </c>
      <c r="F6798" t="s">
        <v>43</v>
      </c>
      <c r="G6798">
        <v>-183.4545</v>
      </c>
      <c r="H6798" s="1">
        <v>-2.6307990000000001E-6</v>
      </c>
      <c r="I6798">
        <v>102.261</v>
      </c>
      <c r="J6798">
        <v>-187.96780000000001</v>
      </c>
      <c r="K6798">
        <v>1.107637</v>
      </c>
      <c r="L6798">
        <v>89.349269999999905</v>
      </c>
      <c r="M6798">
        <v>9.2893299999999998E-2</v>
      </c>
      <c r="N6798">
        <v>0</v>
      </c>
      <c r="O6798">
        <v>0.9955716</v>
      </c>
      <c r="P6798">
        <v>0.19512560000000001</v>
      </c>
      <c r="Q6798">
        <v>4.6854779999999999E-2</v>
      </c>
      <c r="R6798">
        <v>0.97965840000000004</v>
      </c>
      <c r="S6798">
        <v>0.98818969999999995</v>
      </c>
      <c r="T6798">
        <v>-0.24077200000000001</v>
      </c>
      <c r="U6798">
        <v>2.8776250000000001</v>
      </c>
      <c r="V6798">
        <v>0.10360370000000001</v>
      </c>
      <c r="W6798">
        <v>6.0615860000000001E-2</v>
      </c>
      <c r="X6798">
        <v>0.99276980000000004</v>
      </c>
      <c r="Y6798">
        <v>0.23449020000000001</v>
      </c>
      <c r="Z6798">
        <v>-7.9420550000000006E-2</v>
      </c>
      <c r="AA6798">
        <v>0.96886879999999997</v>
      </c>
      <c r="AB6798">
        <v>31</v>
      </c>
      <c r="AC6798">
        <v>4.5133000000000099</v>
      </c>
      <c r="AD6798">
        <v>-1.107639630799</v>
      </c>
      <c r="AE6798">
        <v>12.91173</v>
      </c>
      <c r="AF6798">
        <v>3.2727802525770202</v>
      </c>
      <c r="AG6798">
        <v>-1.107639630799</v>
      </c>
      <c r="AH6798">
        <v>13.188697978804001</v>
      </c>
      <c r="AI6798">
        <v>94.659979781521599</v>
      </c>
      <c r="AJ6798">
        <v>76.063542094854498</v>
      </c>
      <c r="AK6798">
        <v>13.633770957056701</v>
      </c>
      <c r="AL6798">
        <v>86.524836508650793</v>
      </c>
      <c r="AM6798">
        <v>84.042279156396205</v>
      </c>
      <c r="AN6798">
        <v>0.99999994246463297</v>
      </c>
    </row>
    <row r="6799" spans="1:40" x14ac:dyDescent="0.25">
      <c r="A6799" t="str">
        <f>"20190312151706046"</f>
        <v>20190312151706046</v>
      </c>
      <c r="B6799" t="str">
        <f>"1552375026034565"</f>
        <v>1552375026034565</v>
      </c>
      <c r="C6799" t="s">
        <v>40</v>
      </c>
      <c r="D6799">
        <v>4.7494199999999998</v>
      </c>
      <c r="E6799">
        <v>0.55109969999999997</v>
      </c>
      <c r="F6799" t="s">
        <v>43</v>
      </c>
      <c r="G6799">
        <v>-183.42570000000001</v>
      </c>
      <c r="H6799" s="1">
        <v>-2.7250129999999999E-6</v>
      </c>
      <c r="I6799">
        <v>102.5153</v>
      </c>
      <c r="J6799">
        <v>-187.93549999999999</v>
      </c>
      <c r="K6799">
        <v>1.10772</v>
      </c>
      <c r="L6799">
        <v>89.666259999999994</v>
      </c>
      <c r="M6799">
        <v>9.5397129999999997E-2</v>
      </c>
      <c r="N6799">
        <v>0</v>
      </c>
      <c r="O6799">
        <v>0.99533479999999996</v>
      </c>
      <c r="P6799">
        <v>0.19726299999999999</v>
      </c>
      <c r="Q6799">
        <v>4.6671490000000003E-2</v>
      </c>
      <c r="R6799">
        <v>0.97923899999999997</v>
      </c>
      <c r="S6799">
        <v>0.99226380000000003</v>
      </c>
      <c r="T6799">
        <v>-0.24197170000000001</v>
      </c>
      <c r="U6799">
        <v>2.8762210000000001</v>
      </c>
      <c r="V6799">
        <v>0.103259</v>
      </c>
      <c r="W6799">
        <v>6.0448799999999997E-2</v>
      </c>
      <c r="X6799">
        <v>0.99281600000000003</v>
      </c>
      <c r="Y6799">
        <v>0.23340739999999999</v>
      </c>
      <c r="Z6799">
        <v>-7.981452E-2</v>
      </c>
      <c r="AA6799">
        <v>0.96909789999999996</v>
      </c>
      <c r="AB6799">
        <v>31</v>
      </c>
      <c r="AC6799">
        <v>4.5097999999999798</v>
      </c>
      <c r="AD6799">
        <v>-1.107722725013</v>
      </c>
      <c r="AE6799">
        <v>12.84904</v>
      </c>
      <c r="AF6799">
        <v>3.2418868908423302</v>
      </c>
      <c r="AG6799">
        <v>-1.107722725013</v>
      </c>
      <c r="AH6799">
        <v>13.133786219749499</v>
      </c>
      <c r="AI6799">
        <v>94.681154728227895</v>
      </c>
      <c r="AJ6799">
        <v>76.134521180137398</v>
      </c>
      <c r="AK6799">
        <v>13.5732538735046</v>
      </c>
      <c r="AL6799">
        <v>86.534426279788903</v>
      </c>
      <c r="AM6799">
        <v>84.062233578985996</v>
      </c>
      <c r="AN6799">
        <v>1.0000000441792101</v>
      </c>
    </row>
    <row r="6800" spans="1:40" x14ac:dyDescent="0.25">
      <c r="A6800" t="str">
        <f>"20190312151706069"</f>
        <v>20190312151706069</v>
      </c>
      <c r="B6800" t="str">
        <f>"1552375026064821"</f>
        <v>1552375026064821</v>
      </c>
      <c r="C6800" t="s">
        <v>40</v>
      </c>
      <c r="D6800">
        <v>4.7126409999999996</v>
      </c>
      <c r="E6800">
        <v>0.55094030000000005</v>
      </c>
      <c r="F6800" t="s">
        <v>43</v>
      </c>
      <c r="G6800">
        <v>-183.37889999999999</v>
      </c>
      <c r="H6800" s="1">
        <v>-2.8295479999999998E-6</v>
      </c>
      <c r="I6800">
        <v>102.786</v>
      </c>
      <c r="J6800">
        <v>-187.9023</v>
      </c>
      <c r="K6800">
        <v>1.1078170000000001</v>
      </c>
      <c r="L6800">
        <v>89.985109999999906</v>
      </c>
      <c r="M6800">
        <v>9.7794610000000004E-2</v>
      </c>
      <c r="N6800">
        <v>0</v>
      </c>
      <c r="O6800">
        <v>0.99510220000000005</v>
      </c>
      <c r="P6800">
        <v>0.19908870000000001</v>
      </c>
      <c r="Q6800">
        <v>4.7122240000000003E-2</v>
      </c>
      <c r="R6800">
        <v>0.97884789999999999</v>
      </c>
      <c r="S6800">
        <v>0.99819950000000002</v>
      </c>
      <c r="T6800">
        <v>-0.24266480000000001</v>
      </c>
      <c r="U6800">
        <v>2.8740839999999999</v>
      </c>
      <c r="V6800">
        <v>0.1027081</v>
      </c>
      <c r="W6800">
        <v>6.0920469999999997E-2</v>
      </c>
      <c r="X6800">
        <v>0.99284430000000001</v>
      </c>
      <c r="Y6800">
        <v>0.23306840000000001</v>
      </c>
      <c r="Z6800">
        <v>-8.0046500000000007E-2</v>
      </c>
      <c r="AA6800">
        <v>0.96916029999999997</v>
      </c>
      <c r="AB6800">
        <v>31</v>
      </c>
      <c r="AC6800">
        <v>4.5233999999999996</v>
      </c>
      <c r="AD6800">
        <v>-1.107819829548</v>
      </c>
      <c r="AE6800">
        <v>12.800890000000001</v>
      </c>
      <c r="AF6800">
        <v>3.2282307606989198</v>
      </c>
      <c r="AG6800">
        <v>-1.107819829548</v>
      </c>
      <c r="AH6800">
        <v>13.0947404416911</v>
      </c>
      <c r="AI6800">
        <v>94.695793934913297</v>
      </c>
      <c r="AJ6800">
        <v>76.151094392560097</v>
      </c>
      <c r="AK6800">
        <v>13.5322195464869</v>
      </c>
      <c r="AL6800">
        <v>86.507351634694302</v>
      </c>
      <c r="AM6800">
        <v>84.093854948457604</v>
      </c>
      <c r="AN6800">
        <v>1.00000003075656</v>
      </c>
    </row>
    <row r="6801" spans="1:40" x14ac:dyDescent="0.25">
      <c r="A6801" t="str">
        <f>"20190312151706091"</f>
        <v>20190312151706091</v>
      </c>
      <c r="B6801" t="str">
        <f>"1552375026084342"</f>
        <v>1552375026084342</v>
      </c>
      <c r="C6801" t="s">
        <v>40</v>
      </c>
      <c r="D6801">
        <v>4.7155250000000004</v>
      </c>
      <c r="E6801">
        <v>0.5508286</v>
      </c>
      <c r="F6801" t="s">
        <v>43</v>
      </c>
      <c r="G6801">
        <v>-183.3177</v>
      </c>
      <c r="H6801" s="1">
        <v>-2.961111E-6</v>
      </c>
      <c r="I6801">
        <v>103.1247</v>
      </c>
      <c r="J6801">
        <v>-187.86959999999999</v>
      </c>
      <c r="K6801">
        <v>1.1079300000000001</v>
      </c>
      <c r="L6801">
        <v>90.293490000000006</v>
      </c>
      <c r="M6801">
        <v>9.9974080000000007E-2</v>
      </c>
      <c r="N6801">
        <v>0</v>
      </c>
      <c r="O6801">
        <v>0.99488569999999998</v>
      </c>
      <c r="P6801">
        <v>0.2008955</v>
      </c>
      <c r="Q6801">
        <v>4.6577279999999999E-2</v>
      </c>
      <c r="R6801">
        <v>0.97850479999999995</v>
      </c>
      <c r="S6801">
        <v>1.002289</v>
      </c>
      <c r="T6801">
        <v>-0.2421942</v>
      </c>
      <c r="U6801">
        <v>2.87262</v>
      </c>
      <c r="V6801">
        <v>0.1023439</v>
      </c>
      <c r="W6801">
        <v>6.0399290000000001E-2</v>
      </c>
      <c r="X6801">
        <v>0.99291370000000001</v>
      </c>
      <c r="Y6801">
        <v>0.23232630000000001</v>
      </c>
      <c r="Z6801">
        <v>-7.9893499999999895E-2</v>
      </c>
      <c r="AA6801">
        <v>0.96935110000000002</v>
      </c>
      <c r="AB6801">
        <v>31</v>
      </c>
      <c r="AC6801">
        <v>4.5518999999999803</v>
      </c>
      <c r="AD6801">
        <v>-1.10793296111099</v>
      </c>
      <c r="AE6801">
        <v>12.83121</v>
      </c>
      <c r="AF6801">
        <v>3.2248130052012098</v>
      </c>
      <c r="AG6801">
        <v>-1.10793296111099</v>
      </c>
      <c r="AH6801">
        <v>13.135047292514599</v>
      </c>
      <c r="AI6801">
        <v>94.683023765117596</v>
      </c>
      <c r="AJ6801">
        <v>76.2060230586725</v>
      </c>
      <c r="AK6801">
        <v>13.5704237863608</v>
      </c>
      <c r="AL6801">
        <v>86.537267970434101</v>
      </c>
      <c r="AM6801">
        <v>84.115059178682799</v>
      </c>
      <c r="AN6801">
        <v>0.99999998187370198</v>
      </c>
    </row>
    <row r="6802" spans="1:40" x14ac:dyDescent="0.25">
      <c r="A6802" t="str">
        <f>"20190312151706112"</f>
        <v>20190312151706112</v>
      </c>
      <c r="B6802" t="str">
        <f>"1552375026104837"</f>
        <v>1552375026104837</v>
      </c>
      <c r="C6802" t="s">
        <v>40</v>
      </c>
      <c r="D6802">
        <v>4.6730049999999999</v>
      </c>
      <c r="E6802">
        <v>0.55072010000000005</v>
      </c>
      <c r="F6802" t="s">
        <v>43</v>
      </c>
      <c r="G6802">
        <v>-183.30680000000001</v>
      </c>
      <c r="H6802" s="1">
        <v>-3.0262459999999999E-6</v>
      </c>
      <c r="I6802">
        <v>103.30759999999999</v>
      </c>
      <c r="J6802">
        <v>-187.8382</v>
      </c>
      <c r="K6802">
        <v>1.1080559999999999</v>
      </c>
      <c r="L6802">
        <v>90.585329999999999</v>
      </c>
      <c r="M6802">
        <v>0.10188850000000001</v>
      </c>
      <c r="N6802">
        <v>0</v>
      </c>
      <c r="O6802">
        <v>0.99469160000000001</v>
      </c>
      <c r="P6802">
        <v>0.20203260000000001</v>
      </c>
      <c r="Q6802">
        <v>4.6583430000000002E-2</v>
      </c>
      <c r="R6802">
        <v>0.97827030000000004</v>
      </c>
      <c r="S6802">
        <v>1.0065459999999999</v>
      </c>
      <c r="T6802">
        <v>-0.24440729999999999</v>
      </c>
      <c r="U6802">
        <v>2.8708800000000001</v>
      </c>
      <c r="V6802">
        <v>0.1015683</v>
      </c>
      <c r="W6802">
        <v>6.0434040000000001E-2</v>
      </c>
      <c r="X6802">
        <v>0.99299130000000002</v>
      </c>
      <c r="Y6802">
        <v>0.23189870000000001</v>
      </c>
      <c r="Z6802">
        <v>-8.0625939999999993E-2</v>
      </c>
      <c r="AA6802">
        <v>0.96939280000000005</v>
      </c>
      <c r="AB6802">
        <v>31</v>
      </c>
      <c r="AC6802">
        <v>4.5313999999999899</v>
      </c>
      <c r="AD6802">
        <v>-1.1080590262459999</v>
      </c>
      <c r="AE6802">
        <v>12.7222699999999</v>
      </c>
      <c r="AF6802">
        <v>3.1899516494141902</v>
      </c>
      <c r="AG6802">
        <v>-1.1080590262459999</v>
      </c>
      <c r="AH6802">
        <v>13.030078033312799</v>
      </c>
      <c r="AI6802">
        <v>94.721873010335898</v>
      </c>
      <c r="AJ6802">
        <v>76.243727884184096</v>
      </c>
      <c r="AK6802">
        <v>13.4605542191051</v>
      </c>
      <c r="AL6802">
        <v>86.535273559986706</v>
      </c>
      <c r="AM6802">
        <v>84.159801235618502</v>
      </c>
      <c r="AN6802">
        <v>1.00000005731564</v>
      </c>
    </row>
    <row r="6803" spans="1:40" x14ac:dyDescent="0.25">
      <c r="A6803" t="str">
        <f>"20190312151706135"</f>
        <v>20190312151706135</v>
      </c>
      <c r="B6803" t="str">
        <f>"1552375026124357"</f>
        <v>1552375026124357</v>
      </c>
      <c r="C6803" t="s">
        <v>40</v>
      </c>
      <c r="D6803">
        <v>4.6760950000000001</v>
      </c>
      <c r="E6803">
        <v>0.550604599999999</v>
      </c>
      <c r="F6803" t="s">
        <v>43</v>
      </c>
      <c r="G6803">
        <v>-183.2679</v>
      </c>
      <c r="H6803" s="1">
        <v>-3.1301880000000002E-6</v>
      </c>
      <c r="I6803">
        <v>103.5826</v>
      </c>
      <c r="J6803">
        <v>-187.80529999999999</v>
      </c>
      <c r="K6803">
        <v>1.108203</v>
      </c>
      <c r="L6803">
        <v>90.886380000000003</v>
      </c>
      <c r="M6803">
        <v>0.1036846</v>
      </c>
      <c r="N6803">
        <v>0</v>
      </c>
      <c r="O6803">
        <v>0.99450609999999995</v>
      </c>
      <c r="P6803">
        <v>0.2036152</v>
      </c>
      <c r="Q6803">
        <v>4.6769459999999999E-2</v>
      </c>
      <c r="R6803">
        <v>0.97793319999999995</v>
      </c>
      <c r="S6803">
        <v>1.0091399999999999</v>
      </c>
      <c r="T6803">
        <v>-0.2446653</v>
      </c>
      <c r="U6803">
        <v>2.8698730000000001</v>
      </c>
      <c r="V6803">
        <v>0.1013621</v>
      </c>
      <c r="W6803">
        <v>6.0649170000000002E-2</v>
      </c>
      <c r="X6803">
        <v>0.99299919999999997</v>
      </c>
      <c r="Y6803">
        <v>0.23102619999999999</v>
      </c>
      <c r="Z6803">
        <v>-8.071122E-2</v>
      </c>
      <c r="AA6803">
        <v>0.96959410000000001</v>
      </c>
      <c r="AB6803">
        <v>31</v>
      </c>
      <c r="AC6803">
        <v>4.5373999999999901</v>
      </c>
      <c r="AD6803">
        <v>-1.108206130188</v>
      </c>
      <c r="AE6803">
        <v>12.696219999999901</v>
      </c>
      <c r="AF6803">
        <v>3.1749505293550802</v>
      </c>
      <c r="AG6803">
        <v>-1.108206130188</v>
      </c>
      <c r="AH6803">
        <v>13.010384997037001</v>
      </c>
      <c r="AI6803">
        <v>94.730462543132205</v>
      </c>
      <c r="AJ6803">
        <v>76.286031641505701</v>
      </c>
      <c r="AK6803">
        <v>13.4379518328488</v>
      </c>
      <c r="AL6803">
        <v>86.522924683085805</v>
      </c>
      <c r="AM6803">
        <v>84.171622121799103</v>
      </c>
      <c r="AN6803">
        <v>1.00000000416936</v>
      </c>
    </row>
    <row r="6804" spans="1:40" x14ac:dyDescent="0.25">
      <c r="A6804" t="str">
        <f>"20190312151706155"</f>
        <v>20190312151706155</v>
      </c>
      <c r="B6804" t="str">
        <f>"1552375026144857"</f>
        <v>1552375026144857</v>
      </c>
      <c r="C6804" t="s">
        <v>40</v>
      </c>
      <c r="D6804">
        <v>4.6860910000000002</v>
      </c>
      <c r="E6804">
        <v>0.55049680000000001</v>
      </c>
      <c r="F6804" t="s">
        <v>43</v>
      </c>
      <c r="G6804">
        <v>-183.21430000000001</v>
      </c>
      <c r="H6804" s="1">
        <v>-3.2477659999999898E-6</v>
      </c>
      <c r="I6804">
        <v>103.8862</v>
      </c>
      <c r="J6804">
        <v>-187.77209999999999</v>
      </c>
      <c r="K6804">
        <v>1.1083590000000001</v>
      </c>
      <c r="L6804">
        <v>91.187439999999995</v>
      </c>
      <c r="M6804">
        <v>0.1052874</v>
      </c>
      <c r="N6804">
        <v>0</v>
      </c>
      <c r="O6804">
        <v>0.99433780000000005</v>
      </c>
      <c r="P6804">
        <v>0.20545840000000001</v>
      </c>
      <c r="Q6804">
        <v>4.730409E-2</v>
      </c>
      <c r="R6804">
        <v>0.977522</v>
      </c>
      <c r="S6804">
        <v>1.0130159999999999</v>
      </c>
      <c r="T6804">
        <v>-0.24452750000000001</v>
      </c>
      <c r="U6804">
        <v>2.868439</v>
      </c>
      <c r="V6804">
        <v>0.10161539999999999</v>
      </c>
      <c r="W6804">
        <v>6.1212700000000002E-2</v>
      </c>
      <c r="X6804">
        <v>0.99293869999999895</v>
      </c>
      <c r="Y6804">
        <v>0.2307765</v>
      </c>
      <c r="Z6804">
        <v>-8.0668279999999995E-2</v>
      </c>
      <c r="AA6804">
        <v>0.96965710000000005</v>
      </c>
      <c r="AB6804">
        <v>31</v>
      </c>
      <c r="AC6804">
        <v>4.5577999999999799</v>
      </c>
      <c r="AD6804">
        <v>-1.108362247766</v>
      </c>
      <c r="AE6804">
        <v>12.698759999999901</v>
      </c>
      <c r="AF6804">
        <v>3.1738846052616401</v>
      </c>
      <c r="AG6804">
        <v>-1.108362247766</v>
      </c>
      <c r="AH6804">
        <v>13.020223447586901</v>
      </c>
      <c r="AI6804">
        <v>94.727855628018602</v>
      </c>
      <c r="AJ6804">
        <v>76.300430899807196</v>
      </c>
      <c r="AK6804">
        <v>13.447238712274</v>
      </c>
      <c r="AL6804">
        <v>86.490576579763498</v>
      </c>
      <c r="AM6804">
        <v>84.156804328650793</v>
      </c>
      <c r="AN6804">
        <v>0.99999997305806898</v>
      </c>
    </row>
    <row r="6805" spans="1:40" x14ac:dyDescent="0.25">
      <c r="A6805" t="str">
        <f>"20190312151706179"</f>
        <v>20190312151706179</v>
      </c>
      <c r="B6805" t="str">
        <f>"1552375026175110"</f>
        <v>1552375026175110</v>
      </c>
      <c r="C6805" t="s">
        <v>40</v>
      </c>
      <c r="D6805">
        <v>4.7015960000000003</v>
      </c>
      <c r="E6805">
        <v>0.55035540000000005</v>
      </c>
      <c r="F6805" t="s">
        <v>43</v>
      </c>
      <c r="G6805">
        <v>-183.14779999999999</v>
      </c>
      <c r="H6805" s="1">
        <v>-3.3784149999999999E-6</v>
      </c>
      <c r="I6805">
        <v>104.2182</v>
      </c>
      <c r="J6805">
        <v>-187.73670000000001</v>
      </c>
      <c r="K6805">
        <v>1.1085179999999999</v>
      </c>
      <c r="L6805">
        <v>91.505679999999998</v>
      </c>
      <c r="M6805">
        <v>0.106804</v>
      </c>
      <c r="N6805">
        <v>0</v>
      </c>
      <c r="O6805">
        <v>0.99417610000000001</v>
      </c>
      <c r="P6805">
        <v>0.2070842</v>
      </c>
      <c r="Q6805">
        <v>4.6702380000000002E-2</v>
      </c>
      <c r="R6805">
        <v>0.97720779999999996</v>
      </c>
      <c r="S6805">
        <v>1.0174099999999999</v>
      </c>
      <c r="T6805">
        <v>-0.24385509999999999</v>
      </c>
      <c r="U6805">
        <v>2.866943</v>
      </c>
      <c r="V6805">
        <v>0.1017242</v>
      </c>
      <c r="W6805">
        <v>6.064203E-2</v>
      </c>
      <c r="X6805">
        <v>0.99296260000000003</v>
      </c>
      <c r="Y6805">
        <v>0.23077810000000001</v>
      </c>
      <c r="Z6805">
        <v>-8.0447710000000006E-2</v>
      </c>
      <c r="AA6805">
        <v>0.96967499999999995</v>
      </c>
      <c r="AB6805">
        <v>31</v>
      </c>
      <c r="AC6805">
        <v>4.5889000000000202</v>
      </c>
      <c r="AD6805">
        <v>-1.1085213784150001</v>
      </c>
      <c r="AE6805">
        <v>12.7125199999999</v>
      </c>
      <c r="AF6805">
        <v>3.18334331418037</v>
      </c>
      <c r="AG6805">
        <v>-1.1085213784150001</v>
      </c>
      <c r="AH6805">
        <v>13.0422173241334</v>
      </c>
      <c r="AI6805">
        <v>94.720253527021598</v>
      </c>
      <c r="AJ6805">
        <v>76.283441638175503</v>
      </c>
      <c r="AK6805">
        <v>13.4707804908352</v>
      </c>
      <c r="AL6805">
        <v>86.523334503792697</v>
      </c>
      <c r="AM6805">
        <v>84.150731170298599</v>
      </c>
      <c r="AN6805">
        <v>0.99999999683345997</v>
      </c>
    </row>
    <row r="6806" spans="1:40" x14ac:dyDescent="0.25">
      <c r="A6806" t="str">
        <f>"20190312151706202"</f>
        <v>20190312151706202</v>
      </c>
      <c r="B6806" t="str">
        <f>"1552375026194629"</f>
        <v>1552375026194629</v>
      </c>
      <c r="C6806" t="s">
        <v>40</v>
      </c>
      <c r="D6806">
        <v>4.6844229999999998</v>
      </c>
      <c r="E6806">
        <v>0.5502454</v>
      </c>
      <c r="F6806" t="s">
        <v>43</v>
      </c>
      <c r="G6806">
        <v>-183.1497</v>
      </c>
      <c r="H6806" s="1">
        <v>-3.4338239999999999E-6</v>
      </c>
      <c r="I6806">
        <v>104.3824</v>
      </c>
      <c r="J6806">
        <v>-187.70179999999999</v>
      </c>
      <c r="K6806">
        <v>1.108673</v>
      </c>
      <c r="L6806">
        <v>91.816249999999997</v>
      </c>
      <c r="M6806">
        <v>0.1080961</v>
      </c>
      <c r="N6806">
        <v>0</v>
      </c>
      <c r="O6806">
        <v>0.99403660000000005</v>
      </c>
      <c r="P6806">
        <v>0.20843619999999999</v>
      </c>
      <c r="Q6806">
        <v>4.6937850000000003E-2</v>
      </c>
      <c r="R6806">
        <v>0.97690900000000003</v>
      </c>
      <c r="S6806">
        <v>1.0207520000000001</v>
      </c>
      <c r="T6806">
        <v>-0.2466805</v>
      </c>
      <c r="U6806">
        <v>2.8654790000000001</v>
      </c>
      <c r="V6806">
        <v>0.10178760000000001</v>
      </c>
      <c r="W6806">
        <v>6.0906670000000003E-2</v>
      </c>
      <c r="X6806">
        <v>0.99293989999999999</v>
      </c>
      <c r="Y6806">
        <v>0.2306483</v>
      </c>
      <c r="Z6806">
        <v>-8.1381140000000005E-2</v>
      </c>
      <c r="AA6806">
        <v>0.96962800000000005</v>
      </c>
      <c r="AB6806">
        <v>31</v>
      </c>
      <c r="AC6806">
        <v>4.5520999999999896</v>
      </c>
      <c r="AD6806">
        <v>-1.1086764338240001</v>
      </c>
      <c r="AE6806">
        <v>12.56615</v>
      </c>
      <c r="AF6806">
        <v>3.1452862270674502</v>
      </c>
      <c r="AG6806">
        <v>-1.1086764338240001</v>
      </c>
      <c r="AH6806">
        <v>12.8958803876204</v>
      </c>
      <c r="AI6806">
        <v>94.774433926943701</v>
      </c>
      <c r="AJ6806">
        <v>76.293250569502106</v>
      </c>
      <c r="AK6806">
        <v>13.3201246186704</v>
      </c>
      <c r="AL6806">
        <v>86.508143650129995</v>
      </c>
      <c r="AM6806">
        <v>84.146978015191195</v>
      </c>
      <c r="AN6806">
        <v>0.99999999148812901</v>
      </c>
    </row>
    <row r="6807" spans="1:40" x14ac:dyDescent="0.25">
      <c r="A6807" t="str">
        <f>"20190312151706224"</f>
        <v>20190312151706224</v>
      </c>
      <c r="B6807" t="str">
        <f>"1552375026215125"</f>
        <v>1552375026215125</v>
      </c>
      <c r="C6807" t="s">
        <v>40</v>
      </c>
      <c r="D6807">
        <v>4.7224459999999997</v>
      </c>
      <c r="E6807">
        <v>0.55015439999999904</v>
      </c>
      <c r="F6807" t="s">
        <v>43</v>
      </c>
      <c r="G6807">
        <v>-183.09350000000001</v>
      </c>
      <c r="H6807" s="1">
        <v>-3.5588480000000002E-6</v>
      </c>
      <c r="I6807">
        <v>104.7059</v>
      </c>
      <c r="J6807">
        <v>-187.666</v>
      </c>
      <c r="K6807">
        <v>1.1088290000000001</v>
      </c>
      <c r="L6807">
        <v>92.133510000000001</v>
      </c>
      <c r="M6807">
        <v>0.10920050000000001</v>
      </c>
      <c r="N6807">
        <v>0</v>
      </c>
      <c r="O6807">
        <v>0.99391600000000002</v>
      </c>
      <c r="P6807">
        <v>0.2093372</v>
      </c>
      <c r="Q6807">
        <v>4.7529759999999997E-2</v>
      </c>
      <c r="R6807">
        <v>0.97668770000000005</v>
      </c>
      <c r="S6807">
        <v>1.024017</v>
      </c>
      <c r="T6807">
        <v>-0.24636269999999999</v>
      </c>
      <c r="U6807">
        <v>2.864258</v>
      </c>
      <c r="V6807">
        <v>0.1015809</v>
      </c>
      <c r="W6807">
        <v>6.153111E-2</v>
      </c>
      <c r="X6807">
        <v>0.99292259999999999</v>
      </c>
      <c r="Y6807">
        <v>0.23068130000000001</v>
      </c>
      <c r="Z6807">
        <v>-8.1279229999999994E-2</v>
      </c>
      <c r="AA6807">
        <v>0.96962870000000001</v>
      </c>
      <c r="AB6807">
        <v>31</v>
      </c>
      <c r="AC6807">
        <v>4.57249999999999</v>
      </c>
      <c r="AD6807">
        <v>-1.1088325588479999</v>
      </c>
      <c r="AE6807">
        <v>12.57239</v>
      </c>
      <c r="AF6807">
        <v>3.1504537185957502</v>
      </c>
      <c r="AG6807">
        <v>-1.1088325588479999</v>
      </c>
      <c r="AH6807">
        <v>12.9078843357922</v>
      </c>
      <c r="AI6807">
        <v>94.770493221736601</v>
      </c>
      <c r="AJ6807">
        <v>76.283867312505706</v>
      </c>
      <c r="AK6807">
        <v>13.332979648329401</v>
      </c>
      <c r="AL6807">
        <v>86.472298752405493</v>
      </c>
      <c r="AM6807">
        <v>84.158680404907699</v>
      </c>
      <c r="AN6807">
        <v>1.0000000231666999</v>
      </c>
    </row>
    <row r="6808" spans="1:40" x14ac:dyDescent="0.25">
      <c r="A6808" t="str">
        <f>"20190312151706245"</f>
        <v>20190312151706245</v>
      </c>
      <c r="B6808" t="str">
        <f>"1552375026234645"</f>
        <v>1552375026234645</v>
      </c>
      <c r="C6808" t="s">
        <v>40</v>
      </c>
      <c r="D6808">
        <v>4.7235880000000003</v>
      </c>
      <c r="E6808">
        <v>0.55006299999999997</v>
      </c>
      <c r="F6808" t="s">
        <v>43</v>
      </c>
      <c r="G6808">
        <v>-183.0196</v>
      </c>
      <c r="H6808" s="1">
        <v>-3.7126490000000001E-6</v>
      </c>
      <c r="I6808">
        <v>105.1001</v>
      </c>
      <c r="J6808">
        <v>-187.6343</v>
      </c>
      <c r="K6808">
        <v>1.108992</v>
      </c>
      <c r="L6808">
        <v>92.412480000000002</v>
      </c>
      <c r="M6808">
        <v>0.1099739</v>
      </c>
      <c r="N6808">
        <v>0</v>
      </c>
      <c r="O6808">
        <v>0.99383080000000001</v>
      </c>
      <c r="P6808">
        <v>0.20991109999999999</v>
      </c>
      <c r="Q6808">
        <v>4.7670129999999998E-2</v>
      </c>
      <c r="R6808">
        <v>0.97655769999999997</v>
      </c>
      <c r="S6808">
        <v>1.0261229999999999</v>
      </c>
      <c r="T6808">
        <v>-0.24487909999999999</v>
      </c>
      <c r="U6808">
        <v>2.8635860000000002</v>
      </c>
      <c r="V6808">
        <v>0.1013689</v>
      </c>
      <c r="W6808">
        <v>6.1704809999999999E-2</v>
      </c>
      <c r="X6808">
        <v>0.99293350000000002</v>
      </c>
      <c r="Y6808">
        <v>0.23064180000000001</v>
      </c>
      <c r="Z6808">
        <v>-8.0791119999999994E-2</v>
      </c>
      <c r="AA6808">
        <v>0.96967890000000001</v>
      </c>
      <c r="AB6808">
        <v>31</v>
      </c>
      <c r="AC6808">
        <v>4.6146999999999903</v>
      </c>
      <c r="AD6808">
        <v>-1.108995712649</v>
      </c>
      <c r="AE6808">
        <v>12.6876199999999</v>
      </c>
      <c r="AF6808">
        <v>3.1698641830213998</v>
      </c>
      <c r="AG6808">
        <v>-1.108995712649</v>
      </c>
      <c r="AH6808">
        <v>13.0302743233309</v>
      </c>
      <c r="AI6808">
        <v>94.727450319509302</v>
      </c>
      <c r="AJ6808">
        <v>76.327289686357503</v>
      </c>
      <c r="AK6808">
        <v>13.4560751844932</v>
      </c>
      <c r="AL6808">
        <v>86.462327575512205</v>
      </c>
      <c r="AM6808">
        <v>84.170850790431601</v>
      </c>
      <c r="AN6808">
        <v>1.0000000364432899</v>
      </c>
    </row>
    <row r="6809" spans="1:40" x14ac:dyDescent="0.25">
      <c r="A6809" t="str">
        <f>"20190312151706270"</f>
        <v>20190312151706270</v>
      </c>
      <c r="B6809" t="str">
        <f>"1552375026264902"</f>
        <v>1552375026264902</v>
      </c>
      <c r="C6809" t="s">
        <v>40</v>
      </c>
      <c r="D6809">
        <v>4.7001089999999897</v>
      </c>
      <c r="E6809">
        <v>0.54992569999999996</v>
      </c>
      <c r="F6809" t="s">
        <v>43</v>
      </c>
      <c r="G6809">
        <v>-182.9907</v>
      </c>
      <c r="H6809" s="1">
        <v>-3.8087909999999998E-6</v>
      </c>
      <c r="I6809">
        <v>105.36</v>
      </c>
      <c r="J6809">
        <v>-187.5966</v>
      </c>
      <c r="K6809">
        <v>1.1092040000000001</v>
      </c>
      <c r="L6809">
        <v>92.745450000000005</v>
      </c>
      <c r="M6809">
        <v>0.1106509</v>
      </c>
      <c r="N6809">
        <v>0</v>
      </c>
      <c r="O6809">
        <v>0.99375579999999997</v>
      </c>
      <c r="P6809">
        <v>0.21050489999999999</v>
      </c>
      <c r="Q6809">
        <v>4.7562979999999998E-2</v>
      </c>
      <c r="R6809">
        <v>0.9764351</v>
      </c>
      <c r="S6809">
        <v>1.0269010000000001</v>
      </c>
      <c r="T6809">
        <v>-0.2452463</v>
      </c>
      <c r="U6809">
        <v>2.863251</v>
      </c>
      <c r="V6809">
        <v>0.1012638</v>
      </c>
      <c r="W6809">
        <v>6.164294E-2</v>
      </c>
      <c r="X6809">
        <v>0.9929481</v>
      </c>
      <c r="Y6809">
        <v>0.23024530000000001</v>
      </c>
      <c r="Z6809">
        <v>-8.0911399999999994E-2</v>
      </c>
      <c r="AA6809">
        <v>0.96976309999999999</v>
      </c>
      <c r="AB6809">
        <v>31</v>
      </c>
      <c r="AC6809">
        <v>4.6058999999999903</v>
      </c>
      <c r="AD6809">
        <v>-1.109207808791</v>
      </c>
      <c r="AE6809">
        <v>12.6145499999999</v>
      </c>
      <c r="AF6809">
        <v>3.1600967859233799</v>
      </c>
      <c r="AG6809">
        <v>-1.109207808791</v>
      </c>
      <c r="AH6809">
        <v>12.9583658329313</v>
      </c>
      <c r="AI6809">
        <v>94.753820210936595</v>
      </c>
      <c r="AJ6809">
        <v>76.295043209970501</v>
      </c>
      <c r="AK6809">
        <v>13.384162234505601</v>
      </c>
      <c r="AL6809">
        <v>86.465879342498894</v>
      </c>
      <c r="AM6809">
        <v>84.176937973844403</v>
      </c>
      <c r="AN6809">
        <v>1.0000000692679401</v>
      </c>
    </row>
    <row r="6810" spans="1:40" x14ac:dyDescent="0.25">
      <c r="A6810" t="str">
        <f>"20190312151706292"</f>
        <v>20190312151706292</v>
      </c>
      <c r="B6810" t="str">
        <f>"1552375026284421"</f>
        <v>1552375026284421</v>
      </c>
      <c r="C6810" t="s">
        <v>40</v>
      </c>
      <c r="D6810">
        <v>4.6858849999999999</v>
      </c>
      <c r="E6810">
        <v>0.54982949999999997</v>
      </c>
      <c r="F6810" t="s">
        <v>43</v>
      </c>
      <c r="G6810">
        <v>-182.97409999999999</v>
      </c>
      <c r="H6810" s="1">
        <v>-3.9038109999999999E-6</v>
      </c>
      <c r="I6810">
        <v>105.6263</v>
      </c>
      <c r="J6810">
        <v>-187.56209999999999</v>
      </c>
      <c r="K6810">
        <v>1.1094029999999999</v>
      </c>
      <c r="L6810">
        <v>93.049499999999995</v>
      </c>
      <c r="M6810">
        <v>0.11103739999999999</v>
      </c>
      <c r="N6810">
        <v>0</v>
      </c>
      <c r="O6810">
        <v>0.9937127</v>
      </c>
      <c r="P6810">
        <v>0.21044969999999999</v>
      </c>
      <c r="Q6810">
        <v>4.7196849999999999E-2</v>
      </c>
      <c r="R6810">
        <v>0.97646469999999996</v>
      </c>
      <c r="S6810">
        <v>1.02739</v>
      </c>
      <c r="T6810">
        <v>-0.2465348</v>
      </c>
      <c r="U6810">
        <v>2.8629150000000001</v>
      </c>
      <c r="V6810">
        <v>0.10078869999999999</v>
      </c>
      <c r="W6810">
        <v>6.1321210000000001E-2</v>
      </c>
      <c r="X6810">
        <v>0.99301629999999996</v>
      </c>
      <c r="Y6810">
        <v>0.23003779999999999</v>
      </c>
      <c r="Z6810">
        <v>-8.1337000000000007E-2</v>
      </c>
      <c r="AA6810">
        <v>0.96977670000000005</v>
      </c>
      <c r="AB6810">
        <v>31</v>
      </c>
      <c r="AC6810">
        <v>4.5879999999999903</v>
      </c>
      <c r="AD6810">
        <v>-1.1094069038109999</v>
      </c>
      <c r="AE6810">
        <v>12.5768</v>
      </c>
      <c r="AF6810">
        <v>3.1414113351242299</v>
      </c>
      <c r="AG6810">
        <v>-1.1094069038109999</v>
      </c>
      <c r="AH6810">
        <v>12.9197807929396</v>
      </c>
      <c r="AI6810">
        <v>94.769587533837793</v>
      </c>
      <c r="AJ6810">
        <v>76.333876684085496</v>
      </c>
      <c r="AK6810">
        <v>13.3424129973661</v>
      </c>
      <c r="AL6810">
        <v>86.484347851784094</v>
      </c>
      <c r="AM6810">
        <v>84.204466993412595</v>
      </c>
      <c r="AN6810">
        <v>1.00000001245462</v>
      </c>
    </row>
    <row r="6811" spans="1:40" x14ac:dyDescent="0.25">
      <c r="A6811" t="str">
        <f>"20190312151706314"</f>
        <v>20190312151706314</v>
      </c>
      <c r="B6811" t="str">
        <f>"1552375026304350"</f>
        <v>1552375026304350</v>
      </c>
      <c r="C6811" t="s">
        <v>40</v>
      </c>
      <c r="D6811">
        <v>5.0229429999999997</v>
      </c>
      <c r="E6811">
        <v>0.549724199999999</v>
      </c>
      <c r="F6811" t="s">
        <v>43</v>
      </c>
      <c r="G6811">
        <v>-182.97640000000001</v>
      </c>
      <c r="H6811" s="1">
        <v>-3.97621E-6</v>
      </c>
      <c r="I6811">
        <v>105.8408</v>
      </c>
      <c r="J6811">
        <v>-187.52879999999999</v>
      </c>
      <c r="K6811">
        <v>1.109588</v>
      </c>
      <c r="L6811">
        <v>93.345399999999998</v>
      </c>
      <c r="M6811">
        <v>0.11120149999999999</v>
      </c>
      <c r="N6811">
        <v>0</v>
      </c>
      <c r="O6811">
        <v>0.99369439999999998</v>
      </c>
      <c r="P6811">
        <v>0.210512</v>
      </c>
      <c r="Q6811">
        <v>4.6761289999999997E-2</v>
      </c>
      <c r="R6811">
        <v>0.97647229999999996</v>
      </c>
      <c r="S6811">
        <v>1.0264279999999999</v>
      </c>
      <c r="T6811">
        <v>-0.2483206</v>
      </c>
      <c r="U6811">
        <v>2.8630979999999999</v>
      </c>
      <c r="V6811">
        <v>0.1006577</v>
      </c>
      <c r="W6811">
        <v>6.0926180000000003E-2</v>
      </c>
      <c r="X6811">
        <v>0.99305390000000004</v>
      </c>
      <c r="Y6811">
        <v>0.2295526</v>
      </c>
      <c r="Z6811">
        <v>-8.1924170000000004E-2</v>
      </c>
      <c r="AA6811">
        <v>0.96984230000000005</v>
      </c>
      <c r="AB6811">
        <v>31</v>
      </c>
      <c r="AC6811">
        <v>4.5523999999999702</v>
      </c>
      <c r="AD6811">
        <v>-1.1095919762099999</v>
      </c>
      <c r="AE6811">
        <v>12.4954</v>
      </c>
      <c r="AF6811">
        <v>3.1128396907217102</v>
      </c>
      <c r="AG6811">
        <v>-1.1095919762099999</v>
      </c>
      <c r="AH6811">
        <v>12.834823072214199</v>
      </c>
      <c r="AI6811">
        <v>94.802484870037901</v>
      </c>
      <c r="AJ6811">
        <v>76.367239784793497</v>
      </c>
      <c r="AK6811">
        <v>13.253439123067</v>
      </c>
      <c r="AL6811">
        <v>86.507023794862405</v>
      </c>
      <c r="AM6811">
        <v>84.212166219162697</v>
      </c>
      <c r="AN6811">
        <v>1.00000001014194</v>
      </c>
    </row>
    <row r="6812" spans="1:40" x14ac:dyDescent="0.25">
      <c r="A6812" t="str">
        <f>"20190312151706335"</f>
        <v>20190312151706335</v>
      </c>
      <c r="B6812" t="str">
        <f>"1552375026324846"</f>
        <v>1552375026324846</v>
      </c>
      <c r="C6812" t="s">
        <v>40</v>
      </c>
      <c r="D6812">
        <v>4.7367819999999998</v>
      </c>
      <c r="E6812">
        <v>0.54961439999999995</v>
      </c>
      <c r="F6812" t="s">
        <v>43</v>
      </c>
      <c r="G6812">
        <v>-182.9727</v>
      </c>
      <c r="H6812" s="1">
        <v>-4.0533809999999997E-6</v>
      </c>
      <c r="I6812">
        <v>106.0647</v>
      </c>
      <c r="J6812">
        <v>-187.49619999999999</v>
      </c>
      <c r="K6812">
        <v>1.1097549999999901</v>
      </c>
      <c r="L6812">
        <v>93.635310000000004</v>
      </c>
      <c r="M6812">
        <v>0.1111602</v>
      </c>
      <c r="N6812">
        <v>0</v>
      </c>
      <c r="O6812">
        <v>0.99369909999999995</v>
      </c>
      <c r="P6812">
        <v>0.2110969</v>
      </c>
      <c r="Q6812">
        <v>4.6222880000000001E-2</v>
      </c>
      <c r="R6812">
        <v>0.97637160000000001</v>
      </c>
      <c r="S6812">
        <v>1.0255890000000001</v>
      </c>
      <c r="T6812">
        <v>-0.24977360000000001</v>
      </c>
      <c r="U6812">
        <v>2.863159</v>
      </c>
      <c r="V6812">
        <v>0.1012665</v>
      </c>
      <c r="W6812">
        <v>6.0422610000000002E-2</v>
      </c>
      <c r="X6812">
        <v>0.99302270000000004</v>
      </c>
      <c r="Y6812">
        <v>0.2293212</v>
      </c>
      <c r="Z6812">
        <v>-8.2405359999999997E-2</v>
      </c>
      <c r="AA6812">
        <v>0.9698563</v>
      </c>
      <c r="AB6812">
        <v>31</v>
      </c>
      <c r="AC6812">
        <v>4.5234999999999799</v>
      </c>
      <c r="AD6812">
        <v>-1.10975905338099</v>
      </c>
      <c r="AE6812">
        <v>12.4293899999999</v>
      </c>
      <c r="AF6812">
        <v>3.0918990764483998</v>
      </c>
      <c r="AG6812">
        <v>-1.10975905338099</v>
      </c>
      <c r="AH6812">
        <v>12.7653666012896</v>
      </c>
      <c r="AI6812">
        <v>94.829568633751094</v>
      </c>
      <c r="AJ6812">
        <v>76.384601092459903</v>
      </c>
      <c r="AK6812">
        <v>13.181274199440001</v>
      </c>
      <c r="AL6812">
        <v>86.535929240264196</v>
      </c>
      <c r="AM6812">
        <v>84.177218238579002</v>
      </c>
      <c r="AN6812">
        <v>0.99999993926837405</v>
      </c>
    </row>
    <row r="6813" spans="1:40" x14ac:dyDescent="0.25">
      <c r="A6813" t="str">
        <f>"20190312151706359"</f>
        <v>20190312151706359</v>
      </c>
      <c r="B6813" t="str">
        <f>"1552375026355102"</f>
        <v>1552375026355102</v>
      </c>
      <c r="C6813" t="s">
        <v>40</v>
      </c>
      <c r="D6813">
        <v>4.7408580000000002</v>
      </c>
      <c r="E6813">
        <v>0.54948140000000001</v>
      </c>
      <c r="F6813" t="s">
        <v>43</v>
      </c>
      <c r="G6813">
        <v>-182.9649</v>
      </c>
      <c r="H6813" s="1">
        <v>-4.1270219999999998E-6</v>
      </c>
      <c r="I6813">
        <v>106.2749</v>
      </c>
      <c r="J6813">
        <v>-187.46100000000001</v>
      </c>
      <c r="K6813">
        <v>1.1099060000000001</v>
      </c>
      <c r="L6813">
        <v>93.95102</v>
      </c>
      <c r="M6813">
        <v>0.11094</v>
      </c>
      <c r="N6813">
        <v>0</v>
      </c>
      <c r="O6813">
        <v>0.99372380000000005</v>
      </c>
      <c r="P6813">
        <v>0.2114317</v>
      </c>
      <c r="Q6813">
        <v>4.5298930000000001E-2</v>
      </c>
      <c r="R6813">
        <v>0.9763425</v>
      </c>
      <c r="S6813">
        <v>1.02626</v>
      </c>
      <c r="T6813">
        <v>-0.25133729999999999</v>
      </c>
      <c r="U6813">
        <v>2.8626100000000001</v>
      </c>
      <c r="V6813">
        <v>0.1018</v>
      </c>
      <c r="W6813">
        <v>5.9531580000000001E-2</v>
      </c>
      <c r="X6813">
        <v>0.99302199999999996</v>
      </c>
      <c r="Y6813">
        <v>0.22978280000000001</v>
      </c>
      <c r="Z6813">
        <v>-8.2927769999999998E-2</v>
      </c>
      <c r="AA6813">
        <v>0.96970250000000002</v>
      </c>
      <c r="AB6813">
        <v>31</v>
      </c>
      <c r="AC6813">
        <v>4.4960999999999798</v>
      </c>
      <c r="AD6813">
        <v>-1.109910127022</v>
      </c>
      <c r="AE6813">
        <v>12.323880000000001</v>
      </c>
      <c r="AF6813">
        <v>3.0789485286613698</v>
      </c>
      <c r="AG6813">
        <v>-1.109910127022</v>
      </c>
      <c r="AH6813">
        <v>12.6560425602382</v>
      </c>
      <c r="AI6813">
        <v>94.870559017164496</v>
      </c>
      <c r="AJ6813">
        <v>76.326762247966499</v>
      </c>
      <c r="AK6813">
        <v>13.0723845498353</v>
      </c>
      <c r="AL6813">
        <v>86.587073683489095</v>
      </c>
      <c r="AM6813">
        <v>84.1467505456894</v>
      </c>
      <c r="AN6813">
        <v>0.99999997075064695</v>
      </c>
    </row>
    <row r="6814" spans="1:40" x14ac:dyDescent="0.25">
      <c r="A6814" t="str">
        <f>"20190312151706380"</f>
        <v>20190312151706380</v>
      </c>
      <c r="B6814" t="str">
        <f>"1552375026374623"</f>
        <v>1552375026374623</v>
      </c>
      <c r="C6814" t="s">
        <v>40</v>
      </c>
      <c r="D6814">
        <v>4.7450279999999996</v>
      </c>
      <c r="E6814">
        <v>0.54938450000000005</v>
      </c>
      <c r="F6814" t="s">
        <v>43</v>
      </c>
      <c r="G6814">
        <v>-182.9675</v>
      </c>
      <c r="H6814" s="1">
        <v>-4.1975409999999997E-6</v>
      </c>
      <c r="I6814">
        <v>106.4842</v>
      </c>
      <c r="J6814">
        <v>-187.42789999999999</v>
      </c>
      <c r="K6814">
        <v>1.110028</v>
      </c>
      <c r="L6814">
        <v>94.249390000000005</v>
      </c>
      <c r="M6814">
        <v>0.110594899999999</v>
      </c>
      <c r="N6814">
        <v>0</v>
      </c>
      <c r="O6814">
        <v>0.99376240000000005</v>
      </c>
      <c r="P6814">
        <v>0.21168490000000001</v>
      </c>
      <c r="Q6814">
        <v>4.4802229999999998E-2</v>
      </c>
      <c r="R6814">
        <v>0.97631060000000003</v>
      </c>
      <c r="S6814">
        <v>1.026184</v>
      </c>
      <c r="T6814">
        <v>-0.2534708</v>
      </c>
      <c r="U6814">
        <v>2.8622130000000001</v>
      </c>
      <c r="V6814">
        <v>0.1023826</v>
      </c>
      <c r="W6814">
        <v>5.906082E-2</v>
      </c>
      <c r="X6814">
        <v>0.99299029999999999</v>
      </c>
      <c r="Y6814">
        <v>0.2301204</v>
      </c>
      <c r="Z6814">
        <v>-8.3639309999999994E-2</v>
      </c>
      <c r="AA6814">
        <v>0.96956129999999996</v>
      </c>
      <c r="AB6814">
        <v>31</v>
      </c>
      <c r="AC6814">
        <v>4.4603999999999902</v>
      </c>
      <c r="AD6814">
        <v>-1.1100321975409999</v>
      </c>
      <c r="AE6814">
        <v>12.2348099999999</v>
      </c>
      <c r="AF6814">
        <v>3.05757039610249</v>
      </c>
      <c r="AG6814">
        <v>-1.1100321975409999</v>
      </c>
      <c r="AH6814">
        <v>12.561817718545299</v>
      </c>
      <c r="AI6814">
        <v>94.907313912347405</v>
      </c>
      <c r="AJ6814">
        <v>76.320110211298697</v>
      </c>
      <c r="AK6814">
        <v>12.976138585906799</v>
      </c>
      <c r="AL6814">
        <v>86.614094080310807</v>
      </c>
      <c r="AM6814">
        <v>84.113300442177504</v>
      </c>
      <c r="AN6814">
        <v>1.0000000565679501</v>
      </c>
    </row>
    <row r="6815" spans="1:40" x14ac:dyDescent="0.25">
      <c r="A6815" t="str">
        <f>"20190312151706402"</f>
        <v>20190312151706402</v>
      </c>
      <c r="B6815" t="str">
        <f>"1552375026395119"</f>
        <v>1552375026395119</v>
      </c>
      <c r="C6815" t="s">
        <v>40</v>
      </c>
      <c r="D6815">
        <v>4.7193189999999996</v>
      </c>
      <c r="E6815">
        <v>0.54929589999999995</v>
      </c>
      <c r="F6815" t="s">
        <v>43</v>
      </c>
      <c r="G6815">
        <v>-182.95</v>
      </c>
      <c r="H6815" s="1">
        <v>-4.2977109999999996E-6</v>
      </c>
      <c r="I6815">
        <v>106.7358</v>
      </c>
      <c r="J6815">
        <v>-187.3947</v>
      </c>
      <c r="K6815">
        <v>1.1101379999999901</v>
      </c>
      <c r="L6815">
        <v>94.552059999999997</v>
      </c>
      <c r="M6815">
        <v>0.1101297</v>
      </c>
      <c r="N6815">
        <v>0</v>
      </c>
      <c r="O6815">
        <v>0.99381410000000003</v>
      </c>
      <c r="P6815">
        <v>0.21074390000000001</v>
      </c>
      <c r="Q6815">
        <v>4.4526540000000003E-2</v>
      </c>
      <c r="R6815">
        <v>0.97652669999999997</v>
      </c>
      <c r="S6815">
        <v>1.026367</v>
      </c>
      <c r="T6815">
        <v>-0.2544247</v>
      </c>
      <c r="U6815">
        <v>2.8619379999999999</v>
      </c>
      <c r="V6815">
        <v>0.1018729</v>
      </c>
      <c r="W6815">
        <v>5.8808060000000002E-2</v>
      </c>
      <c r="X6815">
        <v>0.99305770000000004</v>
      </c>
      <c r="Y6815">
        <v>0.2306513</v>
      </c>
      <c r="Z6815">
        <v>-8.3959629999999993E-2</v>
      </c>
      <c r="AA6815">
        <v>0.96940740000000003</v>
      </c>
      <c r="AB6815">
        <v>31</v>
      </c>
      <c r="AC6815">
        <v>4.4447000000000099</v>
      </c>
      <c r="AD6815">
        <v>-1.11014229771099</v>
      </c>
      <c r="AE6815">
        <v>12.18374</v>
      </c>
      <c r="AF6815">
        <v>3.0533567946888698</v>
      </c>
      <c r="AG6815">
        <v>-1.11014229771099</v>
      </c>
      <c r="AH6815">
        <v>12.5075132179911</v>
      </c>
      <c r="AI6815">
        <v>94.928189593212593</v>
      </c>
      <c r="AJ6815">
        <v>76.281176166247803</v>
      </c>
      <c r="AK6815">
        <v>12.922588383720299</v>
      </c>
      <c r="AL6815">
        <v>86.628601305772193</v>
      </c>
      <c r="AM6815">
        <v>84.142797215893907</v>
      </c>
      <c r="AN6815">
        <v>1.00000003560233</v>
      </c>
    </row>
    <row r="6816" spans="1:40" x14ac:dyDescent="0.25">
      <c r="A6816" t="str">
        <f>"20190312151706424"</f>
        <v>20190312151706424</v>
      </c>
      <c r="B6816" t="str">
        <f>"1552375026414642"</f>
        <v>1552375026414642</v>
      </c>
      <c r="C6816" t="s">
        <v>40</v>
      </c>
      <c r="D6816">
        <v>4.6927089999999998</v>
      </c>
      <c r="E6816">
        <v>0.549216699999999</v>
      </c>
      <c r="F6816" t="s">
        <v>43</v>
      </c>
      <c r="G6816">
        <v>-182.95089999999999</v>
      </c>
      <c r="H6816" s="1">
        <v>-4.4057150000000002E-6</v>
      </c>
      <c r="I6816">
        <v>106.9879</v>
      </c>
      <c r="J6816">
        <v>-187.36279999999999</v>
      </c>
      <c r="K6816">
        <v>1.110228</v>
      </c>
      <c r="L6816">
        <v>94.84357</v>
      </c>
      <c r="M6816">
        <v>0.10959729999999999</v>
      </c>
      <c r="N6816">
        <v>0</v>
      </c>
      <c r="O6816">
        <v>0.99387300000000001</v>
      </c>
      <c r="P6816">
        <v>0.2101122</v>
      </c>
      <c r="Q6816">
        <v>4.4524380000000002E-2</v>
      </c>
      <c r="R6816">
        <v>0.9766629</v>
      </c>
      <c r="S6816">
        <v>1.0230410000000001</v>
      </c>
      <c r="T6816">
        <v>-0.25557659999999999</v>
      </c>
      <c r="U6816">
        <v>2.8629760000000002</v>
      </c>
      <c r="V6816">
        <v>0.1017489</v>
      </c>
      <c r="W6816">
        <v>5.8825200000000001E-2</v>
      </c>
      <c r="X6816">
        <v>0.99306939999999999</v>
      </c>
      <c r="Y6816">
        <v>0.23005159999999999</v>
      </c>
      <c r="Z6816">
        <v>-8.4337910000000002E-2</v>
      </c>
      <c r="AA6816">
        <v>0.96951710000000002</v>
      </c>
      <c r="AB6816">
        <v>31</v>
      </c>
      <c r="AC6816">
        <v>4.4119000000000002</v>
      </c>
      <c r="AD6816">
        <v>-1.1102324057149999</v>
      </c>
      <c r="AE6816">
        <v>12.144329999999901</v>
      </c>
      <c r="AF6816">
        <v>3.0318110645928198</v>
      </c>
      <c r="AG6816">
        <v>-1.1102324057149999</v>
      </c>
      <c r="AH6816">
        <v>12.4627259434533</v>
      </c>
      <c r="AI6816">
        <v>94.947175918531897</v>
      </c>
      <c r="AJ6816">
        <v>76.327229301318795</v>
      </c>
      <c r="AK6816">
        <v>12.8741614199803</v>
      </c>
      <c r="AL6816">
        <v>86.627617561210599</v>
      </c>
      <c r="AM6816">
        <v>84.149945589886201</v>
      </c>
      <c r="AN6816">
        <v>1.0000000380113001</v>
      </c>
    </row>
    <row r="6817" spans="1:40" x14ac:dyDescent="0.25">
      <c r="A6817" t="str">
        <f>"20190312151706446"</f>
        <v>20190312151706446</v>
      </c>
      <c r="B6817" t="str">
        <f>"1552375026435134"</f>
        <v>1552375026435134</v>
      </c>
      <c r="C6817" t="s">
        <v>40</v>
      </c>
      <c r="D6817">
        <v>4.7653270000000001</v>
      </c>
      <c r="E6817">
        <v>0.54916259999999995</v>
      </c>
      <c r="F6817" t="s">
        <v>43</v>
      </c>
      <c r="G6817">
        <v>-182.94059999999999</v>
      </c>
      <c r="H6817" s="1">
        <v>-4.5216019999999997E-6</v>
      </c>
      <c r="I6817">
        <v>107.2538</v>
      </c>
      <c r="J6817">
        <v>-187.32910000000001</v>
      </c>
      <c r="K6817">
        <v>1.1103050000000001</v>
      </c>
      <c r="L6817">
        <v>95.154849999999996</v>
      </c>
      <c r="M6817">
        <v>0.10896500000000001</v>
      </c>
      <c r="N6817">
        <v>0</v>
      </c>
      <c r="O6817">
        <v>0.99394260000000001</v>
      </c>
      <c r="P6817">
        <v>0.20898559999999999</v>
      </c>
      <c r="Q6817">
        <v>4.441486E-2</v>
      </c>
      <c r="R6817">
        <v>0.97690960000000004</v>
      </c>
      <c r="S6817">
        <v>1.0204930000000001</v>
      </c>
      <c r="T6817">
        <v>-0.25619950000000002</v>
      </c>
      <c r="U6817">
        <v>2.8637999999999999</v>
      </c>
      <c r="V6817">
        <v>0.10122299999999999</v>
      </c>
      <c r="W6817">
        <v>5.8731430000000001E-2</v>
      </c>
      <c r="X6817">
        <v>0.99312869999999998</v>
      </c>
      <c r="Y6817">
        <v>0.22981109999999999</v>
      </c>
      <c r="Z6817">
        <v>-8.4542720000000002E-2</v>
      </c>
      <c r="AA6817">
        <v>0.96955630000000004</v>
      </c>
      <c r="AB6817">
        <v>30</v>
      </c>
      <c r="AC6817">
        <v>4.3885000000000201</v>
      </c>
      <c r="AD6817">
        <v>-1.11030952160199</v>
      </c>
      <c r="AE6817">
        <v>12.09895</v>
      </c>
      <c r="AF6817">
        <v>3.0213802701411301</v>
      </c>
      <c r="AG6817">
        <v>-1.11030952160199</v>
      </c>
      <c r="AH6817">
        <v>12.4127540965672</v>
      </c>
      <c r="AI6817">
        <v>94.967178458467501</v>
      </c>
      <c r="AJ6817">
        <v>76.319708239491106</v>
      </c>
      <c r="AK6817">
        <v>12.823337718098401</v>
      </c>
      <c r="AL6817">
        <v>86.632999517140107</v>
      </c>
      <c r="AM6817">
        <v>84.180319251245393</v>
      </c>
      <c r="AN6817">
        <v>1.0000000456812601</v>
      </c>
    </row>
    <row r="6818" spans="1:40" x14ac:dyDescent="0.25">
      <c r="A6818" t="str">
        <f>"20190312151706470"</f>
        <v>20190312151706470</v>
      </c>
      <c r="B6818" t="str">
        <f>"1552375026465391"</f>
        <v>1552375026465391</v>
      </c>
      <c r="C6818" t="s">
        <v>40</v>
      </c>
      <c r="D6818">
        <v>4.7187020000000004</v>
      </c>
      <c r="E6818">
        <v>0.54908330000000005</v>
      </c>
      <c r="F6818" t="s">
        <v>43</v>
      </c>
      <c r="G6818">
        <v>-182.93530000000001</v>
      </c>
      <c r="H6818" s="1">
        <v>-4.6435560000000004E-6</v>
      </c>
      <c r="I6818">
        <v>107.5359</v>
      </c>
      <c r="J6818">
        <v>-187.2954</v>
      </c>
      <c r="K6818">
        <v>1.1103609999999999</v>
      </c>
      <c r="L6818">
        <v>95.468230000000005</v>
      </c>
      <c r="M6818">
        <v>0.10828500000000001</v>
      </c>
      <c r="N6818">
        <v>0</v>
      </c>
      <c r="O6818">
        <v>0.99401700000000004</v>
      </c>
      <c r="P6818">
        <v>0.20741780000000001</v>
      </c>
      <c r="Q6818">
        <v>4.436172E-2</v>
      </c>
      <c r="R6818">
        <v>0.97724610000000001</v>
      </c>
      <c r="S6818">
        <v>1.016769</v>
      </c>
      <c r="T6818">
        <v>-0.25693569999999999</v>
      </c>
      <c r="U6818">
        <v>2.8650820000000001</v>
      </c>
      <c r="V6818">
        <v>0.10029979999999999</v>
      </c>
      <c r="W6818">
        <v>5.8688570000000002E-2</v>
      </c>
      <c r="X6818">
        <v>0.99322489999999997</v>
      </c>
      <c r="Y6818">
        <v>0.2292141</v>
      </c>
      <c r="Z6818">
        <v>-8.4781770000000006E-2</v>
      </c>
      <c r="AA6818">
        <v>0.96967669999999995</v>
      </c>
      <c r="AB6818">
        <v>30</v>
      </c>
      <c r="AC6818">
        <v>4.3600999999999797</v>
      </c>
      <c r="AD6818">
        <v>-1.1103656435560001</v>
      </c>
      <c r="AE6818">
        <v>12.0676699999999</v>
      </c>
      <c r="AF6818">
        <v>3.0050718610804501</v>
      </c>
      <c r="AG6818">
        <v>-1.1103656435560001</v>
      </c>
      <c r="AH6818">
        <v>12.3761979167333</v>
      </c>
      <c r="AI6818">
        <v>94.982708401442096</v>
      </c>
      <c r="AJ6818">
        <v>76.352099870140805</v>
      </c>
      <c r="AK6818">
        <v>12.7841168497007</v>
      </c>
      <c r="AL6818">
        <v>86.635459472067296</v>
      </c>
      <c r="AM6818">
        <v>84.233592809979996</v>
      </c>
      <c r="AN6818">
        <v>1.00000005005434</v>
      </c>
    </row>
    <row r="6819" spans="1:40" x14ac:dyDescent="0.25">
      <c r="A6819" t="str">
        <f>"20190312151706491"</f>
        <v>20190312151706491</v>
      </c>
      <c r="B6819" t="str">
        <f>"1552375026484910"</f>
        <v>1552375026484910</v>
      </c>
      <c r="C6819" t="s">
        <v>40</v>
      </c>
      <c r="D6819">
        <v>4.7504670000000004</v>
      </c>
      <c r="E6819">
        <v>0.54904439999999999</v>
      </c>
      <c r="F6819" t="s">
        <v>43</v>
      </c>
      <c r="G6819">
        <v>-182.93969999999999</v>
      </c>
      <c r="H6819" s="1">
        <v>-4.7616549999999999E-6</v>
      </c>
      <c r="I6819">
        <v>107.813</v>
      </c>
      <c r="J6819">
        <v>-187.26509999999999</v>
      </c>
      <c r="K6819">
        <v>1.1103989999999999</v>
      </c>
      <c r="L6819">
        <v>95.752470000000002</v>
      </c>
      <c r="M6819">
        <v>0.1076442</v>
      </c>
      <c r="N6819">
        <v>0</v>
      </c>
      <c r="O6819">
        <v>0.99408660000000004</v>
      </c>
      <c r="P6819">
        <v>0.20567099999999999</v>
      </c>
      <c r="Q6819">
        <v>4.4270629999999998E-2</v>
      </c>
      <c r="R6819">
        <v>0.97761929999999997</v>
      </c>
      <c r="S6819">
        <v>1.011536</v>
      </c>
      <c r="T6819">
        <v>-0.257862799999999</v>
      </c>
      <c r="U6819">
        <v>2.8668520000000002</v>
      </c>
      <c r="V6819">
        <v>9.9159259999999999E-2</v>
      </c>
      <c r="W6819">
        <v>5.8601470000000003E-2</v>
      </c>
      <c r="X6819">
        <v>0.99334449999999996</v>
      </c>
      <c r="Y6819">
        <v>0.22807060000000001</v>
      </c>
      <c r="Z6819">
        <v>-8.5081809999999994E-2</v>
      </c>
      <c r="AA6819">
        <v>0.96992</v>
      </c>
      <c r="AB6819">
        <v>30</v>
      </c>
      <c r="AC6819">
        <v>4.3254000000000001</v>
      </c>
      <c r="AD6819">
        <v>-1.110403761655</v>
      </c>
      <c r="AE6819">
        <v>12.0605299999999</v>
      </c>
      <c r="AF6819">
        <v>2.97950497288122</v>
      </c>
      <c r="AG6819">
        <v>-1.110403761655</v>
      </c>
      <c r="AH6819">
        <v>12.3632330916714</v>
      </c>
      <c r="AI6819">
        <v>94.990134671791296</v>
      </c>
      <c r="AJ6819">
        <v>76.450253548220999</v>
      </c>
      <c r="AK6819">
        <v>12.7655778904176</v>
      </c>
      <c r="AL6819">
        <v>86.640458347573897</v>
      </c>
      <c r="AM6819">
        <v>84.299411889361494</v>
      </c>
      <c r="AN6819">
        <v>0.99999999340507895</v>
      </c>
    </row>
    <row r="6820" spans="1:40" x14ac:dyDescent="0.25">
      <c r="A6820" t="str">
        <f>"20190312151706514"</f>
        <v>20190312151706514</v>
      </c>
      <c r="B6820" t="str">
        <f>"1552375026504431"</f>
        <v>1552375026504431</v>
      </c>
      <c r="C6820" t="s">
        <v>40</v>
      </c>
      <c r="D6820">
        <v>4.7731859999999999</v>
      </c>
      <c r="E6820">
        <v>0.54898449999999999</v>
      </c>
      <c r="F6820" t="s">
        <v>43</v>
      </c>
      <c r="G6820">
        <v>-182.9462</v>
      </c>
      <c r="H6820" s="1">
        <v>-4.8694759999999999E-6</v>
      </c>
      <c r="I6820">
        <v>108.06699999999999</v>
      </c>
      <c r="J6820">
        <v>-187.2328</v>
      </c>
      <c r="K6820">
        <v>1.11042</v>
      </c>
      <c r="L6820">
        <v>96.057770000000005</v>
      </c>
      <c r="M6820">
        <v>0.10694380000000001</v>
      </c>
      <c r="N6820">
        <v>0</v>
      </c>
      <c r="O6820">
        <v>0.99416230000000005</v>
      </c>
      <c r="P6820">
        <v>0.20428859999999999</v>
      </c>
      <c r="Q6820">
        <v>4.4106680000000002E-2</v>
      </c>
      <c r="R6820">
        <v>0.97791649999999997</v>
      </c>
      <c r="S6820">
        <v>1.006119</v>
      </c>
      <c r="T6820">
        <v>-0.25867269999999998</v>
      </c>
      <c r="U6820">
        <v>2.8687130000000001</v>
      </c>
      <c r="V6820">
        <v>9.8451120000000003E-2</v>
      </c>
      <c r="W6820">
        <v>5.8437719999999999E-2</v>
      </c>
      <c r="X6820">
        <v>0.99342459999999999</v>
      </c>
      <c r="Y6820">
        <v>0.2269215</v>
      </c>
      <c r="Z6820">
        <v>-8.5342379999999995E-2</v>
      </c>
      <c r="AA6820">
        <v>0.97016659999999999</v>
      </c>
      <c r="AB6820">
        <v>30</v>
      </c>
      <c r="AC6820">
        <v>4.2865999999999902</v>
      </c>
      <c r="AD6820">
        <v>-1.1104248694759999</v>
      </c>
      <c r="AE6820">
        <v>12.009230000000001</v>
      </c>
      <c r="AF6820">
        <v>2.9551573653796002</v>
      </c>
      <c r="AG6820">
        <v>-1.1104248694759999</v>
      </c>
      <c r="AH6820">
        <v>12.3054977193681</v>
      </c>
      <c r="AI6820">
        <v>95.014485189302107</v>
      </c>
      <c r="AJ6820">
        <v>76.496175533484802</v>
      </c>
      <c r="AK6820">
        <v>12.7039864832376</v>
      </c>
      <c r="AL6820">
        <v>86.649856703543605</v>
      </c>
      <c r="AM6820">
        <v>84.340310429171893</v>
      </c>
      <c r="AN6820">
        <v>1.0000000130166</v>
      </c>
    </row>
    <row r="6821" spans="1:40" x14ac:dyDescent="0.25">
      <c r="A6821" t="str">
        <f>"20190312151706536"</f>
        <v>20190312151706536</v>
      </c>
      <c r="B6821" t="str">
        <f>"1552375026524930"</f>
        <v>1552375026524930</v>
      </c>
      <c r="C6821" t="s">
        <v>40</v>
      </c>
      <c r="D6821">
        <v>4.6953230000000001</v>
      </c>
      <c r="E6821">
        <v>0.54894549999999998</v>
      </c>
      <c r="F6821" t="s">
        <v>43</v>
      </c>
      <c r="G6821">
        <v>-182.959</v>
      </c>
      <c r="H6821" s="1">
        <v>-4.9711919999999997E-6</v>
      </c>
      <c r="I6821">
        <v>108.3094</v>
      </c>
      <c r="J6821">
        <v>-187.20079999999999</v>
      </c>
      <c r="K6821">
        <v>1.1104290000000001</v>
      </c>
      <c r="L6821">
        <v>96.362430000000003</v>
      </c>
      <c r="M6821">
        <v>0.1062444</v>
      </c>
      <c r="N6821">
        <v>0</v>
      </c>
      <c r="O6821">
        <v>0.99423729999999999</v>
      </c>
      <c r="P6821">
        <v>0.20264850000000001</v>
      </c>
      <c r="Q6821">
        <v>4.381579E-2</v>
      </c>
      <c r="R6821">
        <v>0.9782708</v>
      </c>
      <c r="S6821">
        <v>1.001282</v>
      </c>
      <c r="T6821">
        <v>-0.260152299999999</v>
      </c>
      <c r="U6821">
        <v>2.8703310000000002</v>
      </c>
      <c r="V6821">
        <v>9.7481150000000003E-2</v>
      </c>
      <c r="W6821">
        <v>5.8144969999999997E-2</v>
      </c>
      <c r="X6821">
        <v>0.99353740000000001</v>
      </c>
      <c r="Y6821">
        <v>0.2259652</v>
      </c>
      <c r="Z6821">
        <v>-8.5823999999999998E-2</v>
      </c>
      <c r="AA6821">
        <v>0.97034730000000002</v>
      </c>
      <c r="AB6821">
        <v>30</v>
      </c>
      <c r="AC6821">
        <v>4.24179999999998</v>
      </c>
      <c r="AD6821">
        <v>-1.1104339711919999</v>
      </c>
      <c r="AE6821">
        <v>11.946969999999901</v>
      </c>
      <c r="AF6821">
        <v>2.9259108033586201</v>
      </c>
      <c r="AG6821">
        <v>-1.1104339711919999</v>
      </c>
      <c r="AH6821">
        <v>12.2361746782552</v>
      </c>
      <c r="AI6821">
        <v>95.043960115148707</v>
      </c>
      <c r="AJ6821">
        <v>76.551965032901293</v>
      </c>
      <c r="AK6821">
        <v>12.6300430874309</v>
      </c>
      <c r="AL6821">
        <v>86.666658531323804</v>
      </c>
      <c r="AM6821">
        <v>84.396346888609898</v>
      </c>
      <c r="AN6821">
        <v>0.99999998867019102</v>
      </c>
    </row>
    <row r="6822" spans="1:40" x14ac:dyDescent="0.25">
      <c r="A6822" t="str">
        <f>"20190312151706559"</f>
        <v>20190312151706559</v>
      </c>
      <c r="B6822" t="str">
        <f>"1552375026555183"</f>
        <v>1552375026555183</v>
      </c>
      <c r="C6822" t="s">
        <v>40</v>
      </c>
      <c r="D6822">
        <v>4.6493019999999996</v>
      </c>
      <c r="E6822">
        <v>0.53580380000000005</v>
      </c>
      <c r="F6822" t="s">
        <v>43</v>
      </c>
      <c r="G6822">
        <v>-182.97069999999999</v>
      </c>
      <c r="H6822" s="1">
        <v>-5.0747589999999996E-6</v>
      </c>
      <c r="I6822">
        <v>108.5556</v>
      </c>
      <c r="J6822">
        <v>-187.1696</v>
      </c>
      <c r="K6822">
        <v>1.110439</v>
      </c>
      <c r="L6822">
        <v>96.661249999999995</v>
      </c>
      <c r="M6822">
        <v>0.1055651</v>
      </c>
      <c r="N6822">
        <v>0</v>
      </c>
      <c r="O6822">
        <v>0.99430969999999996</v>
      </c>
      <c r="P6822">
        <v>0.20133580000000001</v>
      </c>
      <c r="Q6822">
        <v>4.3218489999999998E-2</v>
      </c>
      <c r="R6822">
        <v>0.9785684</v>
      </c>
      <c r="S6822">
        <v>0.99635309999999999</v>
      </c>
      <c r="T6822">
        <v>-0.261548</v>
      </c>
      <c r="U6822">
        <v>2.8719480000000002</v>
      </c>
      <c r="V6822">
        <v>9.6823939999999997E-2</v>
      </c>
      <c r="W6822">
        <v>5.7545159999999998E-2</v>
      </c>
      <c r="X6822">
        <v>0.99363659999999998</v>
      </c>
      <c r="Y6822">
        <v>0.2249621</v>
      </c>
      <c r="Z6822">
        <v>-8.6278480000000005E-2</v>
      </c>
      <c r="AA6822">
        <v>0.97054010000000002</v>
      </c>
      <c r="AB6822">
        <v>30</v>
      </c>
      <c r="AC6822">
        <v>4.1989000000000001</v>
      </c>
      <c r="AD6822">
        <v>-1.1104440747590001</v>
      </c>
      <c r="AE6822">
        <v>11.894349999999999</v>
      </c>
      <c r="AF6822">
        <v>2.8972232112847598</v>
      </c>
      <c r="AG6822">
        <v>-1.1104440747590001</v>
      </c>
      <c r="AH6822">
        <v>12.176806840440699</v>
      </c>
      <c r="AI6822">
        <v>95.069824369242397</v>
      </c>
      <c r="AJ6822">
        <v>76.616481888539795</v>
      </c>
      <c r="AK6822">
        <v>12.565890864104301</v>
      </c>
      <c r="AL6822">
        <v>86.701082814584396</v>
      </c>
      <c r="AM6822">
        <v>84.434440423328397</v>
      </c>
      <c r="AN6822">
        <v>1.0000000068280499</v>
      </c>
    </row>
    <row r="6823" spans="1:40" x14ac:dyDescent="0.25">
      <c r="A6823" t="str">
        <f>"20190312151706579"</f>
        <v>20190312151706579</v>
      </c>
      <c r="B6823" t="str">
        <f>"1552375026574703"</f>
        <v>1552375026574703</v>
      </c>
      <c r="C6823" t="s">
        <v>40</v>
      </c>
      <c r="D6823">
        <v>4.7185940000000004</v>
      </c>
      <c r="E6823">
        <v>0.53284739999999997</v>
      </c>
      <c r="F6823" t="s">
        <v>43</v>
      </c>
      <c r="G6823">
        <v>-181.58590000000001</v>
      </c>
      <c r="H6823" s="1">
        <v>-4.0014130000000001E-6</v>
      </c>
      <c r="I6823">
        <v>114.8276</v>
      </c>
      <c r="J6823">
        <v>-187.14</v>
      </c>
      <c r="K6823">
        <v>1.11043799999999</v>
      </c>
      <c r="L6823">
        <v>96.9465</v>
      </c>
      <c r="M6823">
        <v>0.1049238</v>
      </c>
      <c r="N6823">
        <v>0</v>
      </c>
      <c r="O6823">
        <v>0.99437770000000003</v>
      </c>
      <c r="P6823">
        <v>0.200269</v>
      </c>
      <c r="Q6823">
        <v>4.2855879999999999E-2</v>
      </c>
      <c r="R6823">
        <v>0.97880319999999998</v>
      </c>
      <c r="S6823">
        <v>0.88850399999999996</v>
      </c>
      <c r="T6823">
        <v>-0.17669699999999999</v>
      </c>
      <c r="U6823">
        <v>2.8906860000000001</v>
      </c>
      <c r="V6823">
        <v>9.6379800000000002E-2</v>
      </c>
      <c r="W6823">
        <v>5.7180019999999998E-2</v>
      </c>
      <c r="X6823">
        <v>0.9937009</v>
      </c>
      <c r="Y6823">
        <v>0.19137109999999999</v>
      </c>
      <c r="Z6823">
        <v>-5.8599289999999998E-2</v>
      </c>
      <c r="AA6823">
        <v>0.9797669</v>
      </c>
      <c r="AB6823">
        <v>30</v>
      </c>
      <c r="AC6823">
        <v>5.5540999999999698</v>
      </c>
      <c r="AD6823">
        <v>-1.1104420014130001</v>
      </c>
      <c r="AE6823">
        <v>17.8811</v>
      </c>
      <c r="AF6823">
        <v>3.6343094686856401</v>
      </c>
      <c r="AG6823">
        <v>-1.1104420014130001</v>
      </c>
      <c r="AH6823">
        <v>18.300829112946001</v>
      </c>
      <c r="AI6823">
        <v>93.405937820621702</v>
      </c>
      <c r="AJ6823">
        <v>78.767925582424198</v>
      </c>
      <c r="AK6823">
        <v>18.691218070899801</v>
      </c>
      <c r="AL6823">
        <v>86.722038440914304</v>
      </c>
      <c r="AM6823">
        <v>84.460167203457999</v>
      </c>
      <c r="AN6823">
        <v>1.0000000495980199</v>
      </c>
    </row>
    <row r="6824" spans="1:40" x14ac:dyDescent="0.25">
      <c r="A6824" t="str">
        <f>"20190312151706593"</f>
        <v>20190312151706593</v>
      </c>
      <c r="B6824" t="str">
        <f>"1552375026584463"</f>
        <v>1552375026584463</v>
      </c>
      <c r="C6824" t="s">
        <v>40</v>
      </c>
      <c r="D6824">
        <v>4.6406169999999998</v>
      </c>
      <c r="E6824">
        <v>0.53226640000000003</v>
      </c>
      <c r="F6824" t="s">
        <v>43</v>
      </c>
      <c r="G6824">
        <v>-181.76740000000001</v>
      </c>
      <c r="H6824" s="1">
        <v>-4.0098969999999996E-6</v>
      </c>
      <c r="I6824">
        <v>114.9945</v>
      </c>
      <c r="J6824">
        <v>-187.12200000000001</v>
      </c>
      <c r="K6824">
        <v>1.11043799999999</v>
      </c>
      <c r="L6824">
        <v>97.121399999999994</v>
      </c>
      <c r="M6824">
        <v>0.104533399999999</v>
      </c>
      <c r="N6824">
        <v>0</v>
      </c>
      <c r="O6824">
        <v>0.99441880000000005</v>
      </c>
      <c r="P6824">
        <v>0.20018569999999999</v>
      </c>
      <c r="Q6824">
        <v>4.3029159999999997E-2</v>
      </c>
      <c r="R6824">
        <v>0.97881260000000003</v>
      </c>
      <c r="S6824">
        <v>0.86221309999999995</v>
      </c>
      <c r="T6824">
        <v>-0.17820540000000001</v>
      </c>
      <c r="U6824">
        <v>2.8963619999999999</v>
      </c>
      <c r="V6824">
        <v>9.6686099999999997E-2</v>
      </c>
      <c r="W6824">
        <v>5.7351399999999997E-2</v>
      </c>
      <c r="X6824">
        <v>0.99366120000000002</v>
      </c>
      <c r="Y6824">
        <v>0.1830524</v>
      </c>
      <c r="Z6824">
        <v>-5.9114170000000001E-2</v>
      </c>
      <c r="AA6824">
        <v>0.98132430000000004</v>
      </c>
      <c r="AB6824">
        <v>30</v>
      </c>
      <c r="AC6824">
        <v>5.3545999999999996</v>
      </c>
      <c r="AD6824">
        <v>-1.11044200989699</v>
      </c>
      <c r="AE6824">
        <v>17.873100000000001</v>
      </c>
      <c r="AF6824">
        <v>3.4445306844524799</v>
      </c>
      <c r="AG6824">
        <v>-1.11044200989699</v>
      </c>
      <c r="AH6824">
        <v>18.2702362267684</v>
      </c>
      <c r="AI6824">
        <v>93.418018142307702</v>
      </c>
      <c r="AJ6824">
        <v>79.3232146277563</v>
      </c>
      <c r="AK6824">
        <v>18.625235699861602</v>
      </c>
      <c r="AL6824">
        <v>86.712202730201895</v>
      </c>
      <c r="AM6824">
        <v>84.442450725329905</v>
      </c>
      <c r="AN6824">
        <v>0.99999998270030399</v>
      </c>
    </row>
    <row r="6825" spans="1:40" x14ac:dyDescent="0.25">
      <c r="A6825" t="str">
        <f>"20190312151706613"</f>
        <v>20190312151706613</v>
      </c>
      <c r="B6825" t="str">
        <f>"1552375026604964"</f>
        <v>1552375026604964</v>
      </c>
      <c r="C6825" t="s">
        <v>40</v>
      </c>
      <c r="D6825">
        <v>4.6586740000000004</v>
      </c>
      <c r="E6825">
        <v>0.53219159999999999</v>
      </c>
      <c r="F6825" t="s">
        <v>43</v>
      </c>
      <c r="G6825">
        <v>-181.87039999999999</v>
      </c>
      <c r="H6825" s="1">
        <v>-3.9371559999999998E-6</v>
      </c>
      <c r="I6825">
        <v>114.8612</v>
      </c>
      <c r="J6825">
        <v>-187.09399999999999</v>
      </c>
      <c r="K6825">
        <v>1.1104350000000001</v>
      </c>
      <c r="L6825">
        <v>97.393519999999995</v>
      </c>
      <c r="M6825">
        <v>0.1039298</v>
      </c>
      <c r="N6825">
        <v>0</v>
      </c>
      <c r="O6825">
        <v>0.99448210000000004</v>
      </c>
      <c r="P6825">
        <v>0.2006193</v>
      </c>
      <c r="Q6825">
        <v>4.2912560000000002E-2</v>
      </c>
      <c r="R6825">
        <v>0.97872899999999996</v>
      </c>
      <c r="S6825">
        <v>0.85775759999999901</v>
      </c>
      <c r="T6825">
        <v>-0.18137120000000001</v>
      </c>
      <c r="U6825">
        <v>2.897491</v>
      </c>
      <c r="V6825">
        <v>9.7729739999999996E-2</v>
      </c>
      <c r="W6825">
        <v>5.7230959999999997E-2</v>
      </c>
      <c r="X6825">
        <v>0.99356599999999995</v>
      </c>
      <c r="Y6825">
        <v>0.18213969999999999</v>
      </c>
      <c r="Z6825">
        <v>-6.0161859999999998E-2</v>
      </c>
      <c r="AA6825">
        <v>0.98143040000000004</v>
      </c>
      <c r="AB6825">
        <v>30</v>
      </c>
      <c r="AC6825">
        <v>5.2236000000000304</v>
      </c>
      <c r="AD6825">
        <v>-1.1104389371559999</v>
      </c>
      <c r="AE6825">
        <v>17.467679999999898</v>
      </c>
      <c r="AF6825">
        <v>3.3672180222936001</v>
      </c>
      <c r="AG6825">
        <v>-1.1104389371559999</v>
      </c>
      <c r="AH6825">
        <v>17.849795235451499</v>
      </c>
      <c r="AI6825">
        <v>93.498250588358701</v>
      </c>
      <c r="AJ6825">
        <v>79.317157708363595</v>
      </c>
      <c r="AK6825">
        <v>18.198528011637599</v>
      </c>
      <c r="AL6825">
        <v>86.719114648738199</v>
      </c>
      <c r="AM6825">
        <v>84.382308795532495</v>
      </c>
      <c r="AN6825">
        <v>0.99999994060949204</v>
      </c>
    </row>
    <row r="6826" spans="1:40" x14ac:dyDescent="0.25">
      <c r="A6826" t="str">
        <f>"20190312151706636"</f>
        <v>20190312151706636</v>
      </c>
      <c r="B6826" t="str">
        <f>"1552375026624479"</f>
        <v>1552375026624479</v>
      </c>
      <c r="C6826" t="s">
        <v>40</v>
      </c>
      <c r="D6826">
        <v>4.6405529999999997</v>
      </c>
      <c r="E6826">
        <v>0.53258450000000002</v>
      </c>
      <c r="F6826" t="s">
        <v>43</v>
      </c>
      <c r="G6826">
        <v>-181.90260000000001</v>
      </c>
      <c r="H6826" s="1">
        <v>-3.9461100000000001E-6</v>
      </c>
      <c r="I6826">
        <v>114.9128</v>
      </c>
      <c r="J6826">
        <v>-187.0633</v>
      </c>
      <c r="K6826">
        <v>1.1104400000000001</v>
      </c>
      <c r="L6826">
        <v>97.694490000000002</v>
      </c>
      <c r="M6826">
        <v>0.1032645</v>
      </c>
      <c r="N6826">
        <v>0</v>
      </c>
      <c r="O6826">
        <v>0.99455150000000003</v>
      </c>
      <c r="P6826">
        <v>0.2010709</v>
      </c>
      <c r="Q6826">
        <v>4.2981039999999998E-2</v>
      </c>
      <c r="R6826">
        <v>0.97863330000000004</v>
      </c>
      <c r="S6826">
        <v>0.85853579999999996</v>
      </c>
      <c r="T6826">
        <v>-0.18364069999999999</v>
      </c>
      <c r="U6826">
        <v>2.897278</v>
      </c>
      <c r="V6826">
        <v>9.8853969999999999E-2</v>
      </c>
      <c r="W6826">
        <v>5.7295230000000003E-2</v>
      </c>
      <c r="X6826">
        <v>0.99345110000000003</v>
      </c>
      <c r="Y6826">
        <v>0.1830465</v>
      </c>
      <c r="Z6826">
        <v>-6.0915009999999999E-2</v>
      </c>
      <c r="AA6826">
        <v>0.98121519999999995</v>
      </c>
      <c r="AB6826">
        <v>30</v>
      </c>
      <c r="AC6826">
        <v>5.1606999999999896</v>
      </c>
      <c r="AD6826">
        <v>-1.11044394611</v>
      </c>
      <c r="AE6826">
        <v>17.218309999999999</v>
      </c>
      <c r="AF6826">
        <v>3.3421287085930702</v>
      </c>
      <c r="AG6826">
        <v>-1.11044394611</v>
      </c>
      <c r="AH6826">
        <v>17.592074187584501</v>
      </c>
      <c r="AI6826">
        <v>93.548520060082694</v>
      </c>
      <c r="AJ6826">
        <v>79.243181484902806</v>
      </c>
      <c r="AK6826">
        <v>17.9411255021454</v>
      </c>
      <c r="AL6826">
        <v>86.715426291232902</v>
      </c>
      <c r="AM6826">
        <v>84.317453531774802</v>
      </c>
      <c r="AN6826">
        <v>0.999999969428361</v>
      </c>
    </row>
    <row r="6827" spans="1:40" x14ac:dyDescent="0.25">
      <c r="A6827" t="str">
        <f>"20190312151706659"</f>
        <v>20190312151706659</v>
      </c>
      <c r="B6827" t="str">
        <f>"1552375026654735"</f>
        <v>1552375026654735</v>
      </c>
      <c r="C6827" t="s">
        <v>40</v>
      </c>
      <c r="D6827">
        <v>4.6288369999999999</v>
      </c>
      <c r="E6827">
        <v>0.53290879999999996</v>
      </c>
      <c r="F6827" t="s">
        <v>43</v>
      </c>
      <c r="G6827">
        <v>-181.86969999999999</v>
      </c>
      <c r="H6827" s="1">
        <v>-4.0259209999999998E-6</v>
      </c>
      <c r="I6827">
        <v>115.1216</v>
      </c>
      <c r="J6827">
        <v>-187.0317</v>
      </c>
      <c r="K6827">
        <v>1.110441</v>
      </c>
      <c r="L6827">
        <v>98.006870000000006</v>
      </c>
      <c r="M6827">
        <v>0.1025744</v>
      </c>
      <c r="N6827">
        <v>0</v>
      </c>
      <c r="O6827">
        <v>0.99462289999999998</v>
      </c>
      <c r="P6827">
        <v>0.2007158</v>
      </c>
      <c r="Q6827">
        <v>4.3516779999999998E-2</v>
      </c>
      <c r="R6827">
        <v>0.97868250000000001</v>
      </c>
      <c r="S6827">
        <v>0.86314389999999996</v>
      </c>
      <c r="T6827">
        <v>-0.18454870000000001</v>
      </c>
      <c r="U6827">
        <v>2.896271</v>
      </c>
      <c r="V6827">
        <v>9.9184880000000003E-2</v>
      </c>
      <c r="W6827">
        <v>5.7826969999999998E-2</v>
      </c>
      <c r="X6827">
        <v>0.99338729999999997</v>
      </c>
      <c r="Y6827">
        <v>0.18525030000000001</v>
      </c>
      <c r="Z6827">
        <v>-6.1215640000000002E-2</v>
      </c>
      <c r="AA6827">
        <v>0.98078290000000001</v>
      </c>
      <c r="AB6827">
        <v>30</v>
      </c>
      <c r="AC6827">
        <v>5.1619999999999999</v>
      </c>
      <c r="AD6827">
        <v>-1.1104450259209999</v>
      </c>
      <c r="AE6827">
        <v>17.114730000000002</v>
      </c>
      <c r="AF6827">
        <v>3.3660659068651002</v>
      </c>
      <c r="AG6827">
        <v>-1.1104450259209999</v>
      </c>
      <c r="AH6827">
        <v>17.486504860859299</v>
      </c>
      <c r="AI6827">
        <v>93.568239086341606</v>
      </c>
      <c r="AJ6827">
        <v>79.104120456474803</v>
      </c>
      <c r="AK6827">
        <v>17.842122634199299</v>
      </c>
      <c r="AL6827">
        <v>86.684909214206101</v>
      </c>
      <c r="AM6827">
        <v>84.298192773749307</v>
      </c>
      <c r="AN6827">
        <v>0.99999996334064101</v>
      </c>
    </row>
    <row r="6828" spans="1:40" x14ac:dyDescent="0.25">
      <c r="A6828" t="str">
        <f>"20190312151706683"</f>
        <v>20190312151706683</v>
      </c>
      <c r="B6828" t="str">
        <f>"1552375026675231"</f>
        <v>1552375026675231</v>
      </c>
      <c r="C6828" t="s">
        <v>40</v>
      </c>
      <c r="D6828">
        <v>4.6355459999999997</v>
      </c>
      <c r="E6828">
        <v>0.53328719999999996</v>
      </c>
      <c r="F6828" t="s">
        <v>43</v>
      </c>
      <c r="G6828">
        <v>-181.84540000000001</v>
      </c>
      <c r="H6828" s="1">
        <v>-4.119273E-6</v>
      </c>
      <c r="I6828">
        <v>115.37690000000001</v>
      </c>
      <c r="J6828">
        <v>-187.0008</v>
      </c>
      <c r="K6828">
        <v>1.1104430000000001</v>
      </c>
      <c r="L6828">
        <v>98.313999999999993</v>
      </c>
      <c r="M6828">
        <v>0.1018956</v>
      </c>
      <c r="N6828">
        <v>0</v>
      </c>
      <c r="O6828">
        <v>0.99469269999999999</v>
      </c>
      <c r="P6828">
        <v>0.19976079999999999</v>
      </c>
      <c r="Q6828">
        <v>4.3951230000000001E-2</v>
      </c>
      <c r="R6828">
        <v>0.97885849999999996</v>
      </c>
      <c r="S6828">
        <v>0.86474609999999996</v>
      </c>
      <c r="T6828">
        <v>-0.18515309999999999</v>
      </c>
      <c r="U6828">
        <v>2.8962400000000001</v>
      </c>
      <c r="V6828">
        <v>9.8895040000000003E-2</v>
      </c>
      <c r="W6828">
        <v>5.8257299999999998E-2</v>
      </c>
      <c r="X6828">
        <v>0.99339109999999997</v>
      </c>
      <c r="Y6828">
        <v>0.18641840000000001</v>
      </c>
      <c r="Z6828">
        <v>-6.1410810000000003E-2</v>
      </c>
      <c r="AA6828">
        <v>0.98054929999999996</v>
      </c>
      <c r="AB6828">
        <v>30</v>
      </c>
      <c r="AC6828">
        <v>5.1553999999999798</v>
      </c>
      <c r="AD6828">
        <v>-1.1104471192730001</v>
      </c>
      <c r="AE6828">
        <v>17.062899999999999</v>
      </c>
      <c r="AF6828">
        <v>3.37664465145662</v>
      </c>
      <c r="AG6828">
        <v>-1.1104471192730001</v>
      </c>
      <c r="AH6828">
        <v>17.4317834440571</v>
      </c>
      <c r="AI6828">
        <v>93.578613221706107</v>
      </c>
      <c r="AJ6828">
        <v>79.037221707676295</v>
      </c>
      <c r="AK6828">
        <v>17.790500160125202</v>
      </c>
      <c r="AL6828">
        <v>86.660211638420506</v>
      </c>
      <c r="AM6828">
        <v>84.314767001075097</v>
      </c>
      <c r="AN6828">
        <v>1.0000000097495501</v>
      </c>
    </row>
    <row r="6829" spans="1:40" x14ac:dyDescent="0.25">
      <c r="A6829" t="str">
        <f>"20190312151706705"</f>
        <v>20190312151706705</v>
      </c>
      <c r="B6829" t="str">
        <f>"1552375026694751"</f>
        <v>1552375026694751</v>
      </c>
      <c r="C6829" t="s">
        <v>40</v>
      </c>
      <c r="D6829">
        <v>4.6398080000000004</v>
      </c>
      <c r="E6829">
        <v>0.53358470000000002</v>
      </c>
      <c r="F6829" t="s">
        <v>43</v>
      </c>
      <c r="G6829">
        <v>-181.78360000000001</v>
      </c>
      <c r="H6829" s="1">
        <v>-4.2732580000000003E-6</v>
      </c>
      <c r="I6829">
        <v>115.78100000000001</v>
      </c>
      <c r="J6829">
        <v>-186.97049999999999</v>
      </c>
      <c r="K6829">
        <v>1.1104430000000001</v>
      </c>
      <c r="L6829">
        <v>98.617490000000004</v>
      </c>
      <c r="M6829">
        <v>0.10122440000000001</v>
      </c>
      <c r="N6829">
        <v>0</v>
      </c>
      <c r="O6829">
        <v>0.99476129999999996</v>
      </c>
      <c r="P6829">
        <v>0.19874259999999999</v>
      </c>
      <c r="Q6829">
        <v>4.4025469999999997E-2</v>
      </c>
      <c r="R6829">
        <v>0.9790624</v>
      </c>
      <c r="S6829">
        <v>0.86515810000000004</v>
      </c>
      <c r="T6829">
        <v>-0.1841429</v>
      </c>
      <c r="U6829">
        <v>2.896515</v>
      </c>
      <c r="V6829">
        <v>9.8532300000000003E-2</v>
      </c>
      <c r="W6829">
        <v>5.8327759999999999E-2</v>
      </c>
      <c r="X6829">
        <v>0.99342299999999994</v>
      </c>
      <c r="Y6829">
        <v>0.18718969999999999</v>
      </c>
      <c r="Z6829">
        <v>-6.1072069999999999E-2</v>
      </c>
      <c r="AA6829">
        <v>0.9804235</v>
      </c>
      <c r="AB6829">
        <v>30</v>
      </c>
      <c r="AC6829">
        <v>5.1868999999999801</v>
      </c>
      <c r="AD6829">
        <v>-1.110447273258</v>
      </c>
      <c r="AE6829">
        <v>17.163509999999999</v>
      </c>
      <c r="AF6829">
        <v>3.4096319586675898</v>
      </c>
      <c r="AG6829">
        <v>-1.110447273258</v>
      </c>
      <c r="AH6829">
        <v>17.533178471768299</v>
      </c>
      <c r="AI6829">
        <v>93.557466536633498</v>
      </c>
      <c r="AJ6829">
        <v>78.995190782351003</v>
      </c>
      <c r="AK6829">
        <v>17.896117751153</v>
      </c>
      <c r="AL6829">
        <v>86.656167666417602</v>
      </c>
      <c r="AM6829">
        <v>84.335664881911399</v>
      </c>
      <c r="AN6829">
        <v>0.99999999932945305</v>
      </c>
    </row>
    <row r="6830" spans="1:40" x14ac:dyDescent="0.25">
      <c r="A6830" t="str">
        <f>"20190312151706725"</f>
        <v>20190312151706725</v>
      </c>
      <c r="B6830" t="str">
        <f>"1552375026714271"</f>
        <v>1552375026714271</v>
      </c>
      <c r="C6830" t="s">
        <v>40</v>
      </c>
      <c r="D6830">
        <v>4.6247749999999996</v>
      </c>
      <c r="E6830">
        <v>0.53393169999999901</v>
      </c>
      <c r="F6830" t="s">
        <v>43</v>
      </c>
      <c r="G6830">
        <v>-181.7594</v>
      </c>
      <c r="H6830" s="1">
        <v>-4.3821370000000003E-6</v>
      </c>
      <c r="I6830">
        <v>116.0821</v>
      </c>
      <c r="J6830">
        <v>-186.9435</v>
      </c>
      <c r="K6830">
        <v>1.110436</v>
      </c>
      <c r="L6830">
        <v>98.88843</v>
      </c>
      <c r="M6830">
        <v>0.1006254</v>
      </c>
      <c r="N6830">
        <v>0</v>
      </c>
      <c r="O6830">
        <v>0.99482210000000004</v>
      </c>
      <c r="P6830">
        <v>0.1979793</v>
      </c>
      <c r="Q6830">
        <v>4.3304549999999997E-2</v>
      </c>
      <c r="R6830">
        <v>0.97924920000000004</v>
      </c>
      <c r="S6830">
        <v>0.86439509999999897</v>
      </c>
      <c r="T6830">
        <v>-0.18419769999999999</v>
      </c>
      <c r="U6830">
        <v>2.896973</v>
      </c>
      <c r="V6830">
        <v>9.8353739999999995E-2</v>
      </c>
      <c r="W6830">
        <v>5.760419E-2</v>
      </c>
      <c r="X6830">
        <v>0.99348289999999995</v>
      </c>
      <c r="Y6830">
        <v>0.18750140000000001</v>
      </c>
      <c r="Z6830">
        <v>-6.1086939999999999E-2</v>
      </c>
      <c r="AA6830">
        <v>0.98036299999999998</v>
      </c>
      <c r="AB6830">
        <v>30</v>
      </c>
      <c r="AC6830">
        <v>5.1840999999999999</v>
      </c>
      <c r="AD6830">
        <v>-1.1104403821369999</v>
      </c>
      <c r="AE6830">
        <v>17.193669999999901</v>
      </c>
      <c r="AF6830">
        <v>3.4144309418706902</v>
      </c>
      <c r="AG6830">
        <v>-1.1104403821369999</v>
      </c>
      <c r="AH6830">
        <v>17.560944134807901</v>
      </c>
      <c r="AI6830">
        <v>93.551856940302301</v>
      </c>
      <c r="AJ6830">
        <v>78.997078746986404</v>
      </c>
      <c r="AK6830">
        <v>17.9242343045645</v>
      </c>
      <c r="AL6830">
        <v>86.6976949586589</v>
      </c>
      <c r="AM6830">
        <v>84.346201899855302</v>
      </c>
      <c r="AN6830">
        <v>0.99999998673497603</v>
      </c>
    </row>
    <row r="6831" spans="1:40" x14ac:dyDescent="0.25">
      <c r="A6831" t="str">
        <f>"20190312151706749"</f>
        <v>20190312151706749</v>
      </c>
      <c r="B6831" t="str">
        <f>"1552375026744527"</f>
        <v>1552375026744527</v>
      </c>
      <c r="C6831" t="s">
        <v>40</v>
      </c>
      <c r="D6831">
        <v>4.6389909999999999</v>
      </c>
      <c r="E6831">
        <v>0.53439950000000003</v>
      </c>
      <c r="F6831" t="s">
        <v>43</v>
      </c>
      <c r="G6831">
        <v>-181.8201</v>
      </c>
      <c r="H6831" s="1">
        <v>-4.3572520000000001E-6</v>
      </c>
      <c r="I6831">
        <v>116.0564</v>
      </c>
      <c r="J6831">
        <v>-186.91290000000001</v>
      </c>
      <c r="K6831">
        <v>1.1104290000000001</v>
      </c>
      <c r="L6831">
        <v>99.198639999999997</v>
      </c>
      <c r="M6831">
        <v>9.9939130000000001E-2</v>
      </c>
      <c r="N6831">
        <v>0</v>
      </c>
      <c r="O6831">
        <v>0.99489139999999998</v>
      </c>
      <c r="P6831">
        <v>0.19664970000000001</v>
      </c>
      <c r="Q6831">
        <v>4.2636720000000003E-2</v>
      </c>
      <c r="R6831">
        <v>0.97954629999999998</v>
      </c>
      <c r="S6831">
        <v>0.86457819999999996</v>
      </c>
      <c r="T6831">
        <v>-0.187385</v>
      </c>
      <c r="U6831">
        <v>2.8970639999999999</v>
      </c>
      <c r="V6831">
        <v>9.7688070000000002E-2</v>
      </c>
      <c r="W6831">
        <v>5.693343E-2</v>
      </c>
      <c r="X6831">
        <v>0.99358729999999995</v>
      </c>
      <c r="Y6831">
        <v>0.1882086</v>
      </c>
      <c r="Z6831">
        <v>-6.2139630000000001E-2</v>
      </c>
      <c r="AA6831">
        <v>0.98016130000000001</v>
      </c>
      <c r="AB6831">
        <v>30</v>
      </c>
      <c r="AC6831">
        <v>5.0928000000000102</v>
      </c>
      <c r="AD6831">
        <v>-1.110433357252</v>
      </c>
      <c r="AE6831">
        <v>16.857759999999999</v>
      </c>
      <c r="AF6831">
        <v>3.3689815294286301</v>
      </c>
      <c r="AG6831">
        <v>-1.110433357252</v>
      </c>
      <c r="AH6831">
        <v>17.2139232505208</v>
      </c>
      <c r="AI6831">
        <v>93.622379530264894</v>
      </c>
      <c r="AJ6831">
        <v>78.926463413213895</v>
      </c>
      <c r="AK6831">
        <v>17.575615279737701</v>
      </c>
      <c r="AL6831">
        <v>86.736190057109098</v>
      </c>
      <c r="AM6831">
        <v>84.384808363395095</v>
      </c>
      <c r="AN6831">
        <v>1.0000000485965801</v>
      </c>
    </row>
    <row r="6832" spans="1:40" x14ac:dyDescent="0.25">
      <c r="A6832" t="str">
        <f>"20190312151706771"</f>
        <v>20190312151706771</v>
      </c>
      <c r="B6832" t="str">
        <f>"1552375026765022"</f>
        <v>1552375026765022</v>
      </c>
      <c r="C6832" t="s">
        <v>40</v>
      </c>
      <c r="D6832">
        <v>4.6427170000000002</v>
      </c>
      <c r="E6832">
        <v>0.53466239999999998</v>
      </c>
      <c r="F6832" t="s">
        <v>43</v>
      </c>
      <c r="G6832">
        <v>-181.8603</v>
      </c>
      <c r="H6832" s="1">
        <v>-4.372284E-6</v>
      </c>
      <c r="I6832">
        <v>116.13200000000001</v>
      </c>
      <c r="J6832">
        <v>-186.8835</v>
      </c>
      <c r="K6832">
        <v>1.1104229999999999</v>
      </c>
      <c r="L6832">
        <v>99.498930000000001</v>
      </c>
      <c r="M6832">
        <v>9.9274390000000004E-2</v>
      </c>
      <c r="N6832">
        <v>0</v>
      </c>
      <c r="O6832">
        <v>0.99495800000000001</v>
      </c>
      <c r="P6832">
        <v>0.1956995</v>
      </c>
      <c r="Q6832">
        <v>4.2728629999999997E-2</v>
      </c>
      <c r="R6832">
        <v>0.97973259999999995</v>
      </c>
      <c r="S6832">
        <v>0.86453250000000004</v>
      </c>
      <c r="T6832">
        <v>-0.1899998</v>
      </c>
      <c r="U6832">
        <v>2.8973689999999999</v>
      </c>
      <c r="V6832">
        <v>9.7388370000000002E-2</v>
      </c>
      <c r="W6832">
        <v>5.7021500000000003E-2</v>
      </c>
      <c r="X6832">
        <v>0.99361160000000004</v>
      </c>
      <c r="Y6832">
        <v>0.1888068</v>
      </c>
      <c r="Z6832">
        <v>-6.2999719999999995E-2</v>
      </c>
      <c r="AA6832">
        <v>0.97999130000000001</v>
      </c>
      <c r="AB6832">
        <v>30</v>
      </c>
      <c r="AC6832">
        <v>5.0232000000000001</v>
      </c>
      <c r="AD6832">
        <v>-1.1104273722839999</v>
      </c>
      <c r="AE6832">
        <v>16.63307</v>
      </c>
      <c r="AF6832">
        <v>3.3333603624491301</v>
      </c>
      <c r="AG6832">
        <v>-1.1104273722839999</v>
      </c>
      <c r="AH6832">
        <v>16.980258938866601</v>
      </c>
      <c r="AI6832">
        <v>93.671660138305199</v>
      </c>
      <c r="AJ6832">
        <v>78.893612208606996</v>
      </c>
      <c r="AK6832">
        <v>17.339940423370098</v>
      </c>
      <c r="AL6832">
        <v>86.731135579050402</v>
      </c>
      <c r="AM6832">
        <v>84.402061814387807</v>
      </c>
      <c r="AN6832">
        <v>0.99999997886403302</v>
      </c>
    </row>
    <row r="6833" spans="1:40" x14ac:dyDescent="0.25">
      <c r="A6833" t="str">
        <f>"20190312151706795"</f>
        <v>20190312151706795</v>
      </c>
      <c r="B6833" t="str">
        <f>"1552375026784543"</f>
        <v>1552375026784543</v>
      </c>
      <c r="C6833" t="s">
        <v>40</v>
      </c>
      <c r="D6833">
        <v>4.569585</v>
      </c>
      <c r="E6833">
        <v>0.53487150000000006</v>
      </c>
      <c r="F6833" t="s">
        <v>43</v>
      </c>
      <c r="G6833">
        <v>-181.80520000000001</v>
      </c>
      <c r="H6833" s="1">
        <v>-4.5202740000000003E-6</v>
      </c>
      <c r="I6833">
        <v>116.52379999999999</v>
      </c>
      <c r="J6833">
        <v>-186.85419999999999</v>
      </c>
      <c r="K6833">
        <v>1.1104240000000001</v>
      </c>
      <c r="L6833">
        <v>99.800479999999993</v>
      </c>
      <c r="M6833">
        <v>9.8606470000000002E-2</v>
      </c>
      <c r="N6833">
        <v>0</v>
      </c>
      <c r="O6833">
        <v>0.99502440000000003</v>
      </c>
      <c r="P6833">
        <v>0.19496620000000001</v>
      </c>
      <c r="Q6833">
        <v>4.2737160000000003E-2</v>
      </c>
      <c r="R6833">
        <v>0.97987840000000004</v>
      </c>
      <c r="S6833">
        <v>0.86433409999999999</v>
      </c>
      <c r="T6833">
        <v>-0.18899560000000001</v>
      </c>
      <c r="U6833">
        <v>2.8976440000000001</v>
      </c>
      <c r="V6833">
        <v>9.7311850000000005E-2</v>
      </c>
      <c r="W6833">
        <v>5.7026260000000002E-2</v>
      </c>
      <c r="X6833">
        <v>0.99361880000000002</v>
      </c>
      <c r="Y6833">
        <v>0.18938489999999999</v>
      </c>
      <c r="Z6833">
        <v>-6.2665750000000006E-2</v>
      </c>
      <c r="AA6833">
        <v>0.97990120000000003</v>
      </c>
      <c r="AB6833">
        <v>30</v>
      </c>
      <c r="AC6833">
        <v>5.0489999999999702</v>
      </c>
      <c r="AD6833">
        <v>-1.1104285202740001</v>
      </c>
      <c r="AE6833">
        <v>16.723319999999902</v>
      </c>
      <c r="AF6833">
        <v>3.3616105092123401</v>
      </c>
      <c r="AG6833">
        <v>-1.1104285202740001</v>
      </c>
      <c r="AH6833">
        <v>17.070740214399802</v>
      </c>
      <c r="AI6833">
        <v>93.6518319668142</v>
      </c>
      <c r="AJ6833">
        <v>78.859720886498806</v>
      </c>
      <c r="AK6833">
        <v>17.433979700051601</v>
      </c>
      <c r="AL6833">
        <v>86.730862328849</v>
      </c>
      <c r="AM6833">
        <v>84.4064725974727</v>
      </c>
      <c r="AN6833">
        <v>0.99999995509672401</v>
      </c>
    </row>
    <row r="6834" spans="1:40" x14ac:dyDescent="0.25">
      <c r="A6834" t="str">
        <f>"20190312151706814"</f>
        <v>20190312151706814</v>
      </c>
      <c r="B6834" t="str">
        <f>"1552375026805039"</f>
        <v>1552375026805039</v>
      </c>
      <c r="C6834" t="s">
        <v>40</v>
      </c>
      <c r="D6834">
        <v>4.6141360000000002</v>
      </c>
      <c r="E6834">
        <v>0.53519439999999996</v>
      </c>
      <c r="F6834" t="s">
        <v>43</v>
      </c>
      <c r="G6834">
        <v>-181.7901</v>
      </c>
      <c r="H6834" s="1">
        <v>-4.6161919999999997E-6</v>
      </c>
      <c r="I6834">
        <v>116.79389999999999</v>
      </c>
      <c r="J6834">
        <v>-186.82849999999999</v>
      </c>
      <c r="K6834">
        <v>1.110417</v>
      </c>
      <c r="L6834">
        <v>100.0664</v>
      </c>
      <c r="M6834">
        <v>9.8017000000000007E-2</v>
      </c>
      <c r="N6834">
        <v>0</v>
      </c>
      <c r="O6834">
        <v>0.99508269999999999</v>
      </c>
      <c r="P6834">
        <v>0.1934486</v>
      </c>
      <c r="Q6834">
        <v>4.2102100000000003E-2</v>
      </c>
      <c r="R6834">
        <v>0.98020660000000004</v>
      </c>
      <c r="S6834">
        <v>0.86361690000000002</v>
      </c>
      <c r="T6834">
        <v>-0.1893697</v>
      </c>
      <c r="U6834">
        <v>2.8980100000000002</v>
      </c>
      <c r="V6834">
        <v>9.6359420000000001E-2</v>
      </c>
      <c r="W6834">
        <v>5.6388319999999999E-2</v>
      </c>
      <c r="X6834">
        <v>0.99374810000000002</v>
      </c>
      <c r="Y6834">
        <v>0.18970780000000001</v>
      </c>
      <c r="Z6834">
        <v>-6.2787410000000002E-2</v>
      </c>
      <c r="AA6834">
        <v>0.97983100000000001</v>
      </c>
      <c r="AB6834">
        <v>30</v>
      </c>
      <c r="AC6834">
        <v>5.0383999999999904</v>
      </c>
      <c r="AD6834">
        <v>-1.110421616192</v>
      </c>
      <c r="AE6834">
        <v>16.7274999999999</v>
      </c>
      <c r="AF6834">
        <v>3.3608097582116501</v>
      </c>
      <c r="AG6834">
        <v>-1.110421616192</v>
      </c>
      <c r="AH6834">
        <v>17.071862263475701</v>
      </c>
      <c r="AI6834">
        <v>93.651611267728697</v>
      </c>
      <c r="AJ6834">
        <v>78.863021923168802</v>
      </c>
      <c r="AK6834">
        <v>17.434923559903599</v>
      </c>
      <c r="AL6834">
        <v>86.767472765332897</v>
      </c>
      <c r="AM6834">
        <v>84.461592778604498</v>
      </c>
      <c r="AN6834">
        <v>1.0000000333543799</v>
      </c>
    </row>
    <row r="6835" spans="1:40" x14ac:dyDescent="0.25">
      <c r="A6835" t="str">
        <f>"20190312151706838"</f>
        <v>20190312151706838</v>
      </c>
      <c r="B6835" t="str">
        <f>"1552375026834319"</f>
        <v>1552375026834319</v>
      </c>
      <c r="C6835" t="s">
        <v>40</v>
      </c>
      <c r="D6835">
        <v>4.6274089999999903</v>
      </c>
      <c r="E6835">
        <v>0.53575360000000005</v>
      </c>
      <c r="F6835" t="s">
        <v>43</v>
      </c>
      <c r="G6835">
        <v>-181.8175</v>
      </c>
      <c r="H6835" s="1">
        <v>-4.65255E-6</v>
      </c>
      <c r="I6835">
        <v>116.9222</v>
      </c>
      <c r="J6835">
        <v>-186.79910000000001</v>
      </c>
      <c r="K6835">
        <v>1.110411</v>
      </c>
      <c r="L6835">
        <v>100.37269999999999</v>
      </c>
      <c r="M6835">
        <v>9.733783E-2</v>
      </c>
      <c r="N6835">
        <v>0</v>
      </c>
      <c r="O6835">
        <v>0.99514939999999996</v>
      </c>
      <c r="P6835">
        <v>0.19172320000000001</v>
      </c>
      <c r="Q6835">
        <v>4.1294619999999997E-2</v>
      </c>
      <c r="R6835">
        <v>0.98057989999999995</v>
      </c>
      <c r="S6835">
        <v>0.86174010000000001</v>
      </c>
      <c r="T6835">
        <v>-0.19096089999999999</v>
      </c>
      <c r="U6835">
        <v>2.8987120000000002</v>
      </c>
      <c r="V6835">
        <v>9.5285739999999994E-2</v>
      </c>
      <c r="W6835">
        <v>5.5577550000000003E-2</v>
      </c>
      <c r="X6835">
        <v>0.99389729999999998</v>
      </c>
      <c r="Y6835">
        <v>0.18972069999999999</v>
      </c>
      <c r="Z6835">
        <v>-6.331022E-2</v>
      </c>
      <c r="AA6835">
        <v>0.97979479999999997</v>
      </c>
      <c r="AB6835">
        <v>30</v>
      </c>
      <c r="AC6835">
        <v>4.98160000000001</v>
      </c>
      <c r="AD6835">
        <v>-1.11041565255</v>
      </c>
      <c r="AE6835">
        <v>16.549499999999998</v>
      </c>
      <c r="AF6835">
        <v>3.3331246763188598</v>
      </c>
      <c r="AG6835">
        <v>-1.11041565255</v>
      </c>
      <c r="AH6835">
        <v>16.8861395456567</v>
      </c>
      <c r="AI6835">
        <v>93.691276189937298</v>
      </c>
      <c r="AJ6835">
        <v>78.834029110386098</v>
      </c>
      <c r="AK6835">
        <v>17.247737584526899</v>
      </c>
      <c r="AL6835">
        <v>86.813999450806705</v>
      </c>
      <c r="AM6835">
        <v>84.523744047864994</v>
      </c>
      <c r="AN6835">
        <v>1.0000000396293101</v>
      </c>
    </row>
    <row r="6836" spans="1:40" x14ac:dyDescent="0.25">
      <c r="A6836" t="str">
        <f>"20190312151706862"</f>
        <v>20190312151706862</v>
      </c>
      <c r="B6836" t="str">
        <f>"1552375026854814"</f>
        <v>1552375026854814</v>
      </c>
      <c r="C6836" t="s">
        <v>40</v>
      </c>
      <c r="D6836">
        <v>4.5811580000000003</v>
      </c>
      <c r="E6836">
        <v>0.536103</v>
      </c>
      <c r="F6836" t="s">
        <v>43</v>
      </c>
      <c r="G6836">
        <v>-181.83430000000001</v>
      </c>
      <c r="H6836" s="1">
        <v>-4.7060840000000001E-6</v>
      </c>
      <c r="I6836">
        <v>117.0926</v>
      </c>
      <c r="J6836">
        <v>-186.76849999999999</v>
      </c>
      <c r="K6836">
        <v>1.110409</v>
      </c>
      <c r="L6836">
        <v>100.69370000000001</v>
      </c>
      <c r="M6836">
        <v>9.6626219999999999E-2</v>
      </c>
      <c r="N6836">
        <v>0</v>
      </c>
      <c r="O6836">
        <v>0.99521890000000002</v>
      </c>
      <c r="P6836">
        <v>0.1909208</v>
      </c>
      <c r="Q6836">
        <v>4.1068E-2</v>
      </c>
      <c r="R6836">
        <v>0.98074600000000001</v>
      </c>
      <c r="S6836">
        <v>0.86088560000000003</v>
      </c>
      <c r="T6836">
        <v>-0.19254470000000001</v>
      </c>
      <c r="U6836">
        <v>2.8992</v>
      </c>
      <c r="V6836">
        <v>9.5182630000000004E-2</v>
      </c>
      <c r="W6836">
        <v>5.534758E-2</v>
      </c>
      <c r="X6836">
        <v>0.99392000000000003</v>
      </c>
      <c r="Y6836">
        <v>0.19010279999999999</v>
      </c>
      <c r="Z6836">
        <v>-6.3829759999999999E-2</v>
      </c>
      <c r="AA6836">
        <v>0.97968699999999997</v>
      </c>
      <c r="AB6836">
        <v>30</v>
      </c>
      <c r="AC6836">
        <v>4.9341999999999704</v>
      </c>
      <c r="AD6836">
        <v>-1.110413706084</v>
      </c>
      <c r="AE6836">
        <v>16.398899999999902</v>
      </c>
      <c r="AF6836">
        <v>3.3124557360217</v>
      </c>
      <c r="AG6836">
        <v>-1.110413706084</v>
      </c>
      <c r="AH6836">
        <v>16.728637605797999</v>
      </c>
      <c r="AI6836">
        <v>93.725485700820698</v>
      </c>
      <c r="AJ6836">
        <v>78.799682638750099</v>
      </c>
      <c r="AK6836">
        <v>17.089549372288399</v>
      </c>
      <c r="AL6836">
        <v>86.827196033392397</v>
      </c>
      <c r="AM6836">
        <v>84.529758192117797</v>
      </c>
      <c r="AN6836">
        <v>1.00000002703278</v>
      </c>
    </row>
    <row r="6837" spans="1:40" x14ac:dyDescent="0.25">
      <c r="A6837" t="str">
        <f>"20190312151706883"</f>
        <v>20190312151706883</v>
      </c>
      <c r="B6837" t="str">
        <f>"1552375026874335"</f>
        <v>1552375026874335</v>
      </c>
      <c r="C6837" t="s">
        <v>40</v>
      </c>
      <c r="D6837">
        <v>4.5990699999999904</v>
      </c>
      <c r="E6837">
        <v>0.53645200000000004</v>
      </c>
      <c r="F6837" t="s">
        <v>43</v>
      </c>
      <c r="G6837">
        <v>-181.82650000000001</v>
      </c>
      <c r="H6837" s="1">
        <v>-4.7905460000000001E-6</v>
      </c>
      <c r="I6837">
        <v>117.3347</v>
      </c>
      <c r="J6837">
        <v>-186.7424</v>
      </c>
      <c r="K6837">
        <v>1.1104130000000001</v>
      </c>
      <c r="L6837">
        <v>100.96939999999999</v>
      </c>
      <c r="M6837">
        <v>9.6014699999999994E-2</v>
      </c>
      <c r="N6837">
        <v>0</v>
      </c>
      <c r="O6837">
        <v>0.99527810000000005</v>
      </c>
      <c r="P6837">
        <v>0.19021569999999999</v>
      </c>
      <c r="Q6837">
        <v>4.1003449999999997E-2</v>
      </c>
      <c r="R6837">
        <v>0.98088569999999997</v>
      </c>
      <c r="S6837">
        <v>0.86105350000000003</v>
      </c>
      <c r="T6837">
        <v>-0.1934688</v>
      </c>
      <c r="U6837">
        <v>2.899384</v>
      </c>
      <c r="V6837">
        <v>9.5078720000000005E-2</v>
      </c>
      <c r="W6837">
        <v>5.5279979999999999E-2</v>
      </c>
      <c r="X6837">
        <v>0.99393370000000003</v>
      </c>
      <c r="Y6837">
        <v>0.19073570000000001</v>
      </c>
      <c r="Z6837">
        <v>-6.4132159999999994E-2</v>
      </c>
      <c r="AA6837">
        <v>0.97954430000000003</v>
      </c>
      <c r="AB6837">
        <v>30</v>
      </c>
      <c r="AC6837">
        <v>4.9158999999999899</v>
      </c>
      <c r="AD6837">
        <v>-1.110417790546</v>
      </c>
      <c r="AE6837">
        <v>16.365300000000001</v>
      </c>
      <c r="AF6837">
        <v>3.30774674873292</v>
      </c>
      <c r="AG6837">
        <v>-1.110417790546</v>
      </c>
      <c r="AH6837">
        <v>16.6912374079313</v>
      </c>
      <c r="AI6837">
        <v>93.733708877592505</v>
      </c>
      <c r="AJ6837">
        <v>78.790775354024106</v>
      </c>
      <c r="AK6837">
        <v>17.052026930287202</v>
      </c>
      <c r="AL6837">
        <v>86.831075143247801</v>
      </c>
      <c r="AM6837">
        <v>84.535768702044294</v>
      </c>
      <c r="AN6837">
        <v>1.00000001959066</v>
      </c>
    </row>
    <row r="6838" spans="1:40" x14ac:dyDescent="0.25">
      <c r="A6838" t="str">
        <f>"20190312151706904"</f>
        <v>20190312151706904</v>
      </c>
      <c r="B6838" t="str">
        <f>"1552375026894831"</f>
        <v>1552375026894831</v>
      </c>
      <c r="C6838" t="s">
        <v>40</v>
      </c>
      <c r="D6838">
        <v>4.6065180000000003</v>
      </c>
      <c r="E6838">
        <v>0.54459829999999998</v>
      </c>
      <c r="F6838" t="s">
        <v>43</v>
      </c>
      <c r="G6838">
        <v>-181.79150000000001</v>
      </c>
      <c r="H6838" s="1">
        <v>-4.9005820000000001E-6</v>
      </c>
      <c r="I6838">
        <v>117.6306</v>
      </c>
      <c r="J6838">
        <v>-186.71610000000001</v>
      </c>
      <c r="K6838">
        <v>1.1104080000000001</v>
      </c>
      <c r="L6838">
        <v>101.249</v>
      </c>
      <c r="M6838">
        <v>9.5394629999999994E-2</v>
      </c>
      <c r="N6838">
        <v>0</v>
      </c>
      <c r="O6838">
        <v>0.99533769999999999</v>
      </c>
      <c r="P6838">
        <v>0.18973480000000001</v>
      </c>
      <c r="Q6838">
        <v>4.1030560000000001E-2</v>
      </c>
      <c r="R6838">
        <v>0.98097769999999995</v>
      </c>
      <c r="S6838">
        <v>0.86158749999999995</v>
      </c>
      <c r="T6838">
        <v>-0.19324089999999999</v>
      </c>
      <c r="U6838">
        <v>2.8994749999999998</v>
      </c>
      <c r="V6838">
        <v>9.5210980000000001E-2</v>
      </c>
      <c r="W6838">
        <v>5.5303310000000001E-2</v>
      </c>
      <c r="X6838">
        <v>0.99391969999999996</v>
      </c>
      <c r="Y6838">
        <v>0.19150590000000001</v>
      </c>
      <c r="Z6838">
        <v>-6.4054249999999993E-2</v>
      </c>
      <c r="AA6838">
        <v>0.97939909999999997</v>
      </c>
      <c r="AB6838">
        <v>30</v>
      </c>
      <c r="AC6838">
        <v>4.9245999999999901</v>
      </c>
      <c r="AD6838">
        <v>-1.110412900582</v>
      </c>
      <c r="AE6838">
        <v>16.381599999999999</v>
      </c>
      <c r="AF6838">
        <v>3.3252496644048701</v>
      </c>
      <c r="AG6838">
        <v>-1.110412900582</v>
      </c>
      <c r="AH6838">
        <v>16.706306743319001</v>
      </c>
      <c r="AI6838">
        <v>93.729716614936706</v>
      </c>
      <c r="AJ6838">
        <v>78.742878696012696</v>
      </c>
      <c r="AK6838">
        <v>17.070178298490902</v>
      </c>
      <c r="AL6838">
        <v>86.829736254140798</v>
      </c>
      <c r="AM6838">
        <v>84.528137134764094</v>
      </c>
      <c r="AN6838">
        <v>0.99999997842880295</v>
      </c>
    </row>
    <row r="6839" spans="1:40" x14ac:dyDescent="0.25">
      <c r="A6839" t="str">
        <f>"20190312151706927"</f>
        <v>20190312151706927</v>
      </c>
      <c r="B6839" t="str">
        <f>"1552375026925087"</f>
        <v>1552375026925087</v>
      </c>
      <c r="C6839" t="s">
        <v>40</v>
      </c>
      <c r="D6839">
        <v>4.6619539999999997</v>
      </c>
      <c r="E6839">
        <v>0.53264999999999996</v>
      </c>
      <c r="F6839" t="s">
        <v>43</v>
      </c>
      <c r="G6839">
        <v>-180.87780000000001</v>
      </c>
      <c r="H6839" s="1">
        <v>-5.8481620000000004E-6</v>
      </c>
      <c r="I6839">
        <v>119.4931</v>
      </c>
      <c r="J6839">
        <v>-186.6884</v>
      </c>
      <c r="K6839">
        <v>1.1104080000000001</v>
      </c>
      <c r="L6839">
        <v>101.5455</v>
      </c>
      <c r="M6839">
        <v>9.4737279999999993E-2</v>
      </c>
      <c r="N6839">
        <v>0</v>
      </c>
      <c r="O6839">
        <v>0.99540050000000002</v>
      </c>
      <c r="P6839">
        <v>0.1891139</v>
      </c>
      <c r="Q6839">
        <v>4.1277849999999998E-2</v>
      </c>
      <c r="R6839">
        <v>0.98108720000000005</v>
      </c>
      <c r="S6839">
        <v>0.92382810000000004</v>
      </c>
      <c r="T6839">
        <v>-0.1757058</v>
      </c>
      <c r="U6839">
        <v>2.886841</v>
      </c>
      <c r="V6839">
        <v>9.5239249999999998E-2</v>
      </c>
      <c r="W6839">
        <v>5.5546600000000002E-2</v>
      </c>
      <c r="X6839">
        <v>0.99390350000000005</v>
      </c>
      <c r="Y6839">
        <v>0.2126603</v>
      </c>
      <c r="Z6839">
        <v>-5.820173E-2</v>
      </c>
      <c r="AA6839">
        <v>0.97539129999999996</v>
      </c>
      <c r="AB6839">
        <v>30</v>
      </c>
      <c r="AC6839">
        <v>5.8105999999999902</v>
      </c>
      <c r="AD6839">
        <v>-1.1104138481620001</v>
      </c>
      <c r="AE6839">
        <v>17.947599999999898</v>
      </c>
      <c r="AF6839">
        <v>4.0698803014427698</v>
      </c>
      <c r="AG6839">
        <v>-1.1104138481620001</v>
      </c>
      <c r="AH6839">
        <v>18.353806467090699</v>
      </c>
      <c r="AI6839">
        <v>93.380289385482698</v>
      </c>
      <c r="AJ6839">
        <v>77.4972049420942</v>
      </c>
      <c r="AK6839">
        <v>18.832396459656501</v>
      </c>
      <c r="AL6839">
        <v>86.815775542622205</v>
      </c>
      <c r="AM6839">
        <v>84.526433624590993</v>
      </c>
      <c r="AN6839">
        <v>1.00000005341218</v>
      </c>
    </row>
    <row r="6840" spans="1:40" x14ac:dyDescent="0.25">
      <c r="A6840" t="str">
        <f>"20190312151706949"</f>
        <v>20190312151706949</v>
      </c>
      <c r="B6840" t="str">
        <f>"1552375026944607"</f>
        <v>1552375026944607</v>
      </c>
      <c r="C6840" t="s">
        <v>40</v>
      </c>
      <c r="D6840">
        <v>4.6365480000000003</v>
      </c>
      <c r="E6840">
        <v>0.53122029999999998</v>
      </c>
      <c r="F6840" t="s">
        <v>43</v>
      </c>
      <c r="G6840">
        <v>-181.852</v>
      </c>
      <c r="H6840" s="1">
        <v>-5.2511770000000002E-6</v>
      </c>
      <c r="I6840">
        <v>118.5043</v>
      </c>
      <c r="J6840">
        <v>-186.66050000000001</v>
      </c>
      <c r="K6840">
        <v>1.1104000000000001</v>
      </c>
      <c r="L6840">
        <v>101.8475</v>
      </c>
      <c r="M6840">
        <v>9.4067869999999998E-2</v>
      </c>
      <c r="N6840">
        <v>0</v>
      </c>
      <c r="O6840">
        <v>0.99546409999999996</v>
      </c>
      <c r="P6840">
        <v>0.1884256</v>
      </c>
      <c r="Q6840">
        <v>4.1483550000000001E-2</v>
      </c>
      <c r="R6840">
        <v>0.9812109</v>
      </c>
      <c r="S6840">
        <v>0.82878109999999905</v>
      </c>
      <c r="T6840">
        <v>-0.1902826</v>
      </c>
      <c r="U6840">
        <v>2.9060969999999999</v>
      </c>
      <c r="V6840">
        <v>9.5211219999999999E-2</v>
      </c>
      <c r="W6840">
        <v>5.5748939999999997E-2</v>
      </c>
      <c r="X6840">
        <v>0.99389479999999997</v>
      </c>
      <c r="Y6840">
        <v>0.18201819999999999</v>
      </c>
      <c r="Z6840">
        <v>-6.3107029999999995E-2</v>
      </c>
      <c r="AA6840">
        <v>0.98126800000000003</v>
      </c>
      <c r="AB6840">
        <v>30</v>
      </c>
      <c r="AC6840">
        <v>4.8085000000000004</v>
      </c>
      <c r="AD6840">
        <v>-1.110405251177</v>
      </c>
      <c r="AE6840">
        <v>16.6568</v>
      </c>
      <c r="AF6840">
        <v>3.2069897208428699</v>
      </c>
      <c r="AG6840">
        <v>-1.110405251177</v>
      </c>
      <c r="AH6840">
        <v>16.965699726982301</v>
      </c>
      <c r="AI6840">
        <v>93.679688871603702</v>
      </c>
      <c r="AJ6840">
        <v>79.295801932555605</v>
      </c>
      <c r="AK6840">
        <v>17.301813492162001</v>
      </c>
      <c r="AL6840">
        <v>86.804164143010496</v>
      </c>
      <c r="AM6840">
        <v>84.527987170850494</v>
      </c>
      <c r="AN6840">
        <v>0.99999999709602505</v>
      </c>
    </row>
    <row r="6841" spans="1:40" x14ac:dyDescent="0.25">
      <c r="A6841" t="str">
        <f>"20190312151706970"</f>
        <v>20190312151706970</v>
      </c>
      <c r="B6841" t="str">
        <f>"1552375026965103"</f>
        <v>1552375026965103</v>
      </c>
      <c r="C6841" t="s">
        <v>40</v>
      </c>
      <c r="D6841">
        <v>4.643624</v>
      </c>
      <c r="E6841">
        <v>0.53067399999999998</v>
      </c>
      <c r="F6841" t="s">
        <v>43</v>
      </c>
      <c r="G6841">
        <v>-181.96420000000001</v>
      </c>
      <c r="H6841" s="1">
        <v>-5.268958E-6</v>
      </c>
      <c r="I6841">
        <v>118.59220000000001</v>
      </c>
      <c r="J6841">
        <v>-186.63480000000001</v>
      </c>
      <c r="K6841">
        <v>1.1104019999999999</v>
      </c>
      <c r="L6841">
        <v>102.12649999999999</v>
      </c>
      <c r="M6841">
        <v>9.3449450000000003E-2</v>
      </c>
      <c r="N6841">
        <v>0</v>
      </c>
      <c r="O6841">
        <v>0.99552240000000003</v>
      </c>
      <c r="P6841">
        <v>0.18821740000000001</v>
      </c>
      <c r="Q6841">
        <v>4.1035469999999998E-2</v>
      </c>
      <c r="R6841">
        <v>0.98126970000000002</v>
      </c>
      <c r="S6841">
        <v>0.815841699999999</v>
      </c>
      <c r="T6841">
        <v>-0.19290260000000001</v>
      </c>
      <c r="U6841">
        <v>2.9089360000000002</v>
      </c>
      <c r="V6841">
        <v>9.5617060000000004E-2</v>
      </c>
      <c r="W6841">
        <v>5.5297590000000001E-2</v>
      </c>
      <c r="X6841">
        <v>0.99388100000000001</v>
      </c>
      <c r="Y6841">
        <v>0.17831820000000001</v>
      </c>
      <c r="Z6841">
        <v>-6.3977909999999999E-2</v>
      </c>
      <c r="AA6841">
        <v>0.98189070000000001</v>
      </c>
      <c r="AB6841">
        <v>30</v>
      </c>
      <c r="AC6841">
        <v>4.6706000000000003</v>
      </c>
      <c r="AD6841">
        <v>-1.110407268958</v>
      </c>
      <c r="AE6841">
        <v>16.465699999999998</v>
      </c>
      <c r="AF6841">
        <v>3.0982500941708002</v>
      </c>
      <c r="AG6841">
        <v>-1.110407268958</v>
      </c>
      <c r="AH6841">
        <v>16.759597292338899</v>
      </c>
      <c r="AI6841">
        <v>93.727614790720594</v>
      </c>
      <c r="AJ6841">
        <v>79.526303508242606</v>
      </c>
      <c r="AK6841">
        <v>17.0797031399951</v>
      </c>
      <c r="AL6841">
        <v>86.830064378692398</v>
      </c>
      <c r="AM6841">
        <v>84.504729230092806</v>
      </c>
      <c r="AN6841">
        <v>0.99999994389192404</v>
      </c>
    </row>
    <row r="6842" spans="1:40" x14ac:dyDescent="0.25">
      <c r="A6842" t="str">
        <f>"20190312151706994"</f>
        <v>20190312151706994</v>
      </c>
      <c r="B6842" t="str">
        <f>"1552375026984623"</f>
        <v>1552375026984623</v>
      </c>
      <c r="C6842" t="s">
        <v>40</v>
      </c>
      <c r="D6842">
        <v>4.6487449999999999</v>
      </c>
      <c r="E6842">
        <v>0.53057929999999998</v>
      </c>
      <c r="F6842" t="s">
        <v>43</v>
      </c>
      <c r="G6842">
        <v>-182.09610000000001</v>
      </c>
      <c r="H6842" s="1">
        <v>-5.1658690000000002E-6</v>
      </c>
      <c r="I6842">
        <v>118.4064</v>
      </c>
      <c r="J6842">
        <v>-186.6069</v>
      </c>
      <c r="K6842">
        <v>1.1104000000000001</v>
      </c>
      <c r="L6842">
        <v>102.43210000000001</v>
      </c>
      <c r="M6842">
        <v>9.2772389999999996E-2</v>
      </c>
      <c r="N6842">
        <v>0</v>
      </c>
      <c r="O6842">
        <v>0.99558570000000002</v>
      </c>
      <c r="P6842">
        <v>0.1880387</v>
      </c>
      <c r="Q6842">
        <v>4.0137850000000003E-2</v>
      </c>
      <c r="R6842">
        <v>0.98134109999999997</v>
      </c>
      <c r="S6842">
        <v>0.81126399999999999</v>
      </c>
      <c r="T6842">
        <v>-0.19847890000000001</v>
      </c>
      <c r="U6842">
        <v>2.9099430000000002</v>
      </c>
      <c r="V6842">
        <v>9.6110119999999993E-2</v>
      </c>
      <c r="W6842">
        <v>5.439629E-2</v>
      </c>
      <c r="X6842">
        <v>0.99388330000000003</v>
      </c>
      <c r="Y6842">
        <v>0.17743399999999901</v>
      </c>
      <c r="Z6842">
        <v>-6.5822679999999995E-2</v>
      </c>
      <c r="AA6842">
        <v>0.98192900000000005</v>
      </c>
      <c r="AB6842">
        <v>30</v>
      </c>
      <c r="AC6842">
        <v>4.5107999999999802</v>
      </c>
      <c r="AD6842">
        <v>-1.110405165869</v>
      </c>
      <c r="AE6842">
        <v>15.974299999999999</v>
      </c>
      <c r="AF6842">
        <v>2.99581202535397</v>
      </c>
      <c r="AG6842">
        <v>-1.110405165869</v>
      </c>
      <c r="AH6842">
        <v>16.251188980441199</v>
      </c>
      <c r="AI6842">
        <v>93.844235129475194</v>
      </c>
      <c r="AJ6842">
        <v>79.555118637776403</v>
      </c>
      <c r="AK6842">
        <v>16.562277397799399</v>
      </c>
      <c r="AL6842">
        <v>86.881783288617299</v>
      </c>
      <c r="AM6842">
        <v>84.476579751228897</v>
      </c>
      <c r="AN6842">
        <v>1.0000000627755301</v>
      </c>
    </row>
    <row r="6843" spans="1:40" x14ac:dyDescent="0.25">
      <c r="A6843" t="str">
        <f>"20190312151707017"</f>
        <v>20190312151707017</v>
      </c>
      <c r="B6843" t="str">
        <f>"1552375027004649"</f>
        <v>1552375027004649</v>
      </c>
      <c r="C6843" t="s">
        <v>40</v>
      </c>
      <c r="D6843">
        <v>4.6527390000000004</v>
      </c>
      <c r="E6843">
        <v>0.53082700000000005</v>
      </c>
      <c r="F6843" t="s">
        <v>43</v>
      </c>
      <c r="G6843">
        <v>-182.18180000000001</v>
      </c>
      <c r="H6843" s="1">
        <v>-5.1205269999999899E-6</v>
      </c>
      <c r="I6843">
        <v>118.33620000000001</v>
      </c>
      <c r="J6843">
        <v>-186.58</v>
      </c>
      <c r="K6843">
        <v>1.110393</v>
      </c>
      <c r="L6843">
        <v>102.7274</v>
      </c>
      <c r="M6843">
        <v>9.2117959999999999E-2</v>
      </c>
      <c r="N6843">
        <v>0</v>
      </c>
      <c r="O6843">
        <v>0.99564660000000005</v>
      </c>
      <c r="P6843">
        <v>0.18817049999999999</v>
      </c>
      <c r="Q6843">
        <v>3.9559749999999998E-2</v>
      </c>
      <c r="R6843">
        <v>0.98133930000000003</v>
      </c>
      <c r="S6843">
        <v>0.80970759999999997</v>
      </c>
      <c r="T6843">
        <v>-0.2031859</v>
      </c>
      <c r="U6843">
        <v>2.9101870000000001</v>
      </c>
      <c r="V6843">
        <v>9.6896120000000002E-2</v>
      </c>
      <c r="W6843">
        <v>5.3814939999999999E-2</v>
      </c>
      <c r="X6843">
        <v>0.99383849999999996</v>
      </c>
      <c r="Y6843">
        <v>0.17754429999999999</v>
      </c>
      <c r="Z6843">
        <v>-6.7381339999999998E-2</v>
      </c>
      <c r="AA6843">
        <v>0.98180330000000005</v>
      </c>
      <c r="AB6843">
        <v>29</v>
      </c>
      <c r="AC6843">
        <v>4.3982000000000001</v>
      </c>
      <c r="AD6843">
        <v>-1.1103981205269999</v>
      </c>
      <c r="AE6843">
        <v>15.6088</v>
      </c>
      <c r="AF6843">
        <v>2.9277724101147502</v>
      </c>
      <c r="AG6843">
        <v>-1.1103981205269999</v>
      </c>
      <c r="AH6843">
        <v>15.873191748541901</v>
      </c>
      <c r="AI6843">
        <v>93.935398462860206</v>
      </c>
      <c r="AJ6843">
        <v>79.549386680192598</v>
      </c>
      <c r="AK6843">
        <v>16.1790930387793</v>
      </c>
      <c r="AL6843">
        <v>86.915140655575897</v>
      </c>
      <c r="AM6843">
        <v>84.431441884624206</v>
      </c>
      <c r="AN6843">
        <v>0.99999993496025097</v>
      </c>
    </row>
    <row r="6844" spans="1:40" x14ac:dyDescent="0.25">
      <c r="A6844" t="str">
        <f>"20190312151707038"</f>
        <v>20190312151707038</v>
      </c>
      <c r="B6844" t="str">
        <f>"1552375027034905"</f>
        <v>1552375027034905</v>
      </c>
      <c r="C6844" t="s">
        <v>40</v>
      </c>
      <c r="D6844">
        <v>4.6346369999999997</v>
      </c>
      <c r="E6844">
        <v>0.53158039999999995</v>
      </c>
      <c r="F6844" t="s">
        <v>43</v>
      </c>
      <c r="G6844">
        <v>-182.20650000000001</v>
      </c>
      <c r="H6844" s="1">
        <v>-5.1450169999999997E-6</v>
      </c>
      <c r="I6844">
        <v>118.4034</v>
      </c>
      <c r="J6844">
        <v>-186.5539</v>
      </c>
      <c r="K6844">
        <v>1.110392</v>
      </c>
      <c r="L6844">
        <v>103.01730000000001</v>
      </c>
      <c r="M6844">
        <v>9.1475970000000004E-2</v>
      </c>
      <c r="N6844">
        <v>0</v>
      </c>
      <c r="O6844">
        <v>0.99570579999999997</v>
      </c>
      <c r="P6844">
        <v>0.18818560000000001</v>
      </c>
      <c r="Q6844">
        <v>3.9618210000000001E-2</v>
      </c>
      <c r="R6844">
        <v>0.98133409999999999</v>
      </c>
      <c r="S6844">
        <v>0.81179809999999997</v>
      </c>
      <c r="T6844">
        <v>-0.20610619999999999</v>
      </c>
      <c r="U6844">
        <v>2.9096980000000001</v>
      </c>
      <c r="V6844">
        <v>9.7552929999999996E-2</v>
      </c>
      <c r="W6844">
        <v>5.3870649999999999E-2</v>
      </c>
      <c r="X6844">
        <v>0.99377130000000002</v>
      </c>
      <c r="Y6844">
        <v>0.17885809999999999</v>
      </c>
      <c r="Z6844">
        <v>-6.8347630000000006E-2</v>
      </c>
      <c r="AA6844">
        <v>0.98149799999999998</v>
      </c>
      <c r="AB6844">
        <v>29</v>
      </c>
      <c r="AC6844">
        <v>4.3473999999999897</v>
      </c>
      <c r="AD6844">
        <v>-1.110397145017</v>
      </c>
      <c r="AE6844">
        <v>15.386100000000001</v>
      </c>
      <c r="AF6844">
        <v>2.9075443523522502</v>
      </c>
      <c r="AG6844">
        <v>-1.110397145017</v>
      </c>
      <c r="AH6844">
        <v>15.6438457270625</v>
      </c>
      <c r="AI6844">
        <v>93.991899228871006</v>
      </c>
      <c r="AJ6844">
        <v>79.471219120230202</v>
      </c>
      <c r="AK6844">
        <v>15.9504452951223</v>
      </c>
      <c r="AL6844">
        <v>86.911944299134007</v>
      </c>
      <c r="AM6844">
        <v>84.393558408253398</v>
      </c>
      <c r="AN6844">
        <v>1.0000000088933401</v>
      </c>
    </row>
    <row r="6845" spans="1:40" x14ac:dyDescent="0.25">
      <c r="A6845" t="str">
        <f>"20190312151707062"</f>
        <v>20190312151707062</v>
      </c>
      <c r="B6845" t="str">
        <f>"1552375027054425"</f>
        <v>1552375027054425</v>
      </c>
      <c r="C6845" t="s">
        <v>40</v>
      </c>
      <c r="D6845">
        <v>4.6950539999999998</v>
      </c>
      <c r="E6845">
        <v>0.53205499999999994</v>
      </c>
      <c r="F6845" t="s">
        <v>43</v>
      </c>
      <c r="G6845">
        <v>-182.13990000000001</v>
      </c>
      <c r="H6845" s="1">
        <v>-5.2898149999999999E-6</v>
      </c>
      <c r="I6845">
        <v>118.71339999999999</v>
      </c>
      <c r="J6845">
        <v>-186.52719999999999</v>
      </c>
      <c r="K6845">
        <v>1.110392</v>
      </c>
      <c r="L6845">
        <v>103.3163</v>
      </c>
      <c r="M6845">
        <v>9.0813930000000001E-2</v>
      </c>
      <c r="N6845">
        <v>0</v>
      </c>
      <c r="O6845">
        <v>0.9957665</v>
      </c>
      <c r="P6845">
        <v>0.18875549999999999</v>
      </c>
      <c r="Q6845">
        <v>3.890677E-2</v>
      </c>
      <c r="R6845">
        <v>0.98125309999999999</v>
      </c>
      <c r="S6845">
        <v>0.81793209999999905</v>
      </c>
      <c r="T6845">
        <v>-0.20575930000000001</v>
      </c>
      <c r="U6845">
        <v>2.9085239999999999</v>
      </c>
      <c r="V6845">
        <v>9.8790039999999996E-2</v>
      </c>
      <c r="W6845">
        <v>5.3155470000000003E-2</v>
      </c>
      <c r="X6845">
        <v>0.9936876</v>
      </c>
      <c r="Y6845">
        <v>0.18153569999999999</v>
      </c>
      <c r="Z6845">
        <v>-6.8229869999999998E-2</v>
      </c>
      <c r="AA6845">
        <v>0.98101450000000001</v>
      </c>
      <c r="AB6845">
        <v>29</v>
      </c>
      <c r="AC6845">
        <v>4.3872999999999802</v>
      </c>
      <c r="AD6845">
        <v>-1.1103972898150001</v>
      </c>
      <c r="AE6845">
        <v>15.397099999999901</v>
      </c>
      <c r="AF6845">
        <v>2.9565331961293202</v>
      </c>
      <c r="AG6845">
        <v>-1.1103972898150001</v>
      </c>
      <c r="AH6845">
        <v>15.656618939945099</v>
      </c>
      <c r="AI6845">
        <v>93.986511643073499</v>
      </c>
      <c r="AJ6845">
        <v>79.306415555090297</v>
      </c>
      <c r="AK6845">
        <v>15.971968798857899</v>
      </c>
      <c r="AL6845">
        <v>86.952979900124802</v>
      </c>
      <c r="AM6845">
        <v>84.322447230436197</v>
      </c>
      <c r="AN6845">
        <v>1.00000001119394</v>
      </c>
    </row>
    <row r="6846" spans="1:40" x14ac:dyDescent="0.25">
      <c r="A6846" t="str">
        <f>"20190312151707085"</f>
        <v>20190312151707085</v>
      </c>
      <c r="B6846" t="str">
        <f>"1552375027074921"</f>
        <v>1552375027074921</v>
      </c>
      <c r="C6846" t="s">
        <v>40</v>
      </c>
      <c r="D6846">
        <v>4.6714570000000002</v>
      </c>
      <c r="E6846">
        <v>0.53234780000000004</v>
      </c>
      <c r="F6846" t="s">
        <v>43</v>
      </c>
      <c r="G6846">
        <v>-182.16370000000001</v>
      </c>
      <c r="H6846" s="1">
        <v>-5.2907879999999999E-6</v>
      </c>
      <c r="I6846">
        <v>118.7255</v>
      </c>
      <c r="J6846">
        <v>-186.5001</v>
      </c>
      <c r="K6846">
        <v>1.1103959999999999</v>
      </c>
      <c r="L6846">
        <v>103.62179999999999</v>
      </c>
      <c r="M6846">
        <v>9.013699E-2</v>
      </c>
      <c r="N6846">
        <v>0</v>
      </c>
      <c r="O6846">
        <v>0.99582800000000005</v>
      </c>
      <c r="P6846">
        <v>0.1887982</v>
      </c>
      <c r="Q6846">
        <v>3.8606550000000003E-2</v>
      </c>
      <c r="R6846">
        <v>0.98125669999999998</v>
      </c>
      <c r="S6846">
        <v>0.82327269999999897</v>
      </c>
      <c r="T6846">
        <v>-0.20949799999999999</v>
      </c>
      <c r="U6846">
        <v>2.907257</v>
      </c>
      <c r="V6846">
        <v>9.9508719999999995E-2</v>
      </c>
      <c r="W6846">
        <v>5.2852139999999999E-2</v>
      </c>
      <c r="X6846">
        <v>0.99363210000000002</v>
      </c>
      <c r="Y6846">
        <v>0.18396080000000001</v>
      </c>
      <c r="Z6846">
        <v>-6.9466239999999999E-2</v>
      </c>
      <c r="AA6846">
        <v>0.98047580000000001</v>
      </c>
      <c r="AB6846">
        <v>29</v>
      </c>
      <c r="AC6846">
        <v>4.3363999999999896</v>
      </c>
      <c r="AD6846">
        <v>-1.1104012907880001</v>
      </c>
      <c r="AE6846">
        <v>15.1037</v>
      </c>
      <c r="AF6846">
        <v>2.9425120319099598</v>
      </c>
      <c r="AG6846">
        <v>-1.1104012907880001</v>
      </c>
      <c r="AH6846">
        <v>15.3564353817738</v>
      </c>
      <c r="AI6846">
        <v>94.062129444020201</v>
      </c>
      <c r="AJ6846">
        <v>79.152791572973996</v>
      </c>
      <c r="AK6846">
        <v>15.675186624698</v>
      </c>
      <c r="AL6846">
        <v>86.970383987144601</v>
      </c>
      <c r="AM6846">
        <v>84.281099518662202</v>
      </c>
      <c r="AN6846">
        <v>1.0000000421045101</v>
      </c>
    </row>
    <row r="6847" spans="1:40" x14ac:dyDescent="0.25">
      <c r="A6847" t="str">
        <f>"20190312151707105"</f>
        <v>20190312151707105</v>
      </c>
      <c r="B6847" t="str">
        <f>"1552375027094948"</f>
        <v>1552375027094948</v>
      </c>
      <c r="C6847" t="s">
        <v>40</v>
      </c>
      <c r="D6847">
        <v>4.6914980000000002</v>
      </c>
      <c r="E6847">
        <v>0.53254319999999999</v>
      </c>
      <c r="F6847" t="s">
        <v>43</v>
      </c>
      <c r="G6847">
        <v>-182.16139999999999</v>
      </c>
      <c r="H6847" s="1">
        <v>-5.3664909999999997E-6</v>
      </c>
      <c r="I6847">
        <v>118.9011</v>
      </c>
      <c r="J6847">
        <v>-186.47669999999999</v>
      </c>
      <c r="K6847">
        <v>1.1103940000000001</v>
      </c>
      <c r="L6847">
        <v>103.8867</v>
      </c>
      <c r="M6847">
        <v>8.9550519999999995E-2</v>
      </c>
      <c r="N6847">
        <v>0</v>
      </c>
      <c r="O6847">
        <v>0.99588100000000002</v>
      </c>
      <c r="P6847">
        <v>0.18942510000000001</v>
      </c>
      <c r="Q6847">
        <v>3.80722E-2</v>
      </c>
      <c r="R6847">
        <v>0.98115680000000005</v>
      </c>
      <c r="S6847">
        <v>0.8254089</v>
      </c>
      <c r="T6847">
        <v>-0.2112474</v>
      </c>
      <c r="U6847">
        <v>2.9067989999999999</v>
      </c>
      <c r="V6847">
        <v>0.1007285</v>
      </c>
      <c r="W6847">
        <v>5.2314060000000003E-2</v>
      </c>
      <c r="X6847">
        <v>0.99353760000000002</v>
      </c>
      <c r="Y6847">
        <v>0.18523590000000001</v>
      </c>
      <c r="Z6847">
        <v>-7.0044200000000001E-2</v>
      </c>
      <c r="AA6847">
        <v>0.98019460000000003</v>
      </c>
      <c r="AB6847">
        <v>29</v>
      </c>
      <c r="AC6847">
        <v>4.3152999999999997</v>
      </c>
      <c r="AD6847">
        <v>-1.1103993664909999</v>
      </c>
      <c r="AE6847">
        <v>15.014399999999901</v>
      </c>
      <c r="AF6847">
        <v>2.93843059866487</v>
      </c>
      <c r="AG6847">
        <v>-1.1103993664909999</v>
      </c>
      <c r="AH6847">
        <v>15.2634280555749</v>
      </c>
      <c r="AI6847">
        <v>94.0861121687647</v>
      </c>
      <c r="AJ6847">
        <v>79.103049008560802</v>
      </c>
      <c r="AK6847">
        <v>15.583311494800601</v>
      </c>
      <c r="AL6847">
        <v>87.001256214545194</v>
      </c>
      <c r="AM6847">
        <v>84.210923472193301</v>
      </c>
      <c r="AN6847">
        <v>0.999999977099846</v>
      </c>
    </row>
    <row r="6848" spans="1:40" x14ac:dyDescent="0.25">
      <c r="A6848" t="str">
        <f>"20190312151707127"</f>
        <v>20190312151707127</v>
      </c>
      <c r="B6848" t="str">
        <f>"1552375027125204"</f>
        <v>1552375027125204</v>
      </c>
      <c r="C6848" t="s">
        <v>40</v>
      </c>
      <c r="D6848">
        <v>4.6787580000000002</v>
      </c>
      <c r="E6848">
        <v>0.53291659999999996</v>
      </c>
      <c r="F6848" t="s">
        <v>43</v>
      </c>
      <c r="G6848">
        <v>-182.17609999999999</v>
      </c>
      <c r="H6848" s="1">
        <v>-5.3930029999999997E-6</v>
      </c>
      <c r="I6848">
        <v>118.9689</v>
      </c>
      <c r="J6848">
        <v>-186.4521</v>
      </c>
      <c r="K6848">
        <v>1.1103889999999901</v>
      </c>
      <c r="L6848">
        <v>104.16849999999999</v>
      </c>
      <c r="M6848">
        <v>8.8931079999999996E-2</v>
      </c>
      <c r="N6848">
        <v>0</v>
      </c>
      <c r="O6848">
        <v>0.9959365</v>
      </c>
      <c r="P6848">
        <v>0.1895995</v>
      </c>
      <c r="Q6848">
        <v>3.7974239999999999E-2</v>
      </c>
      <c r="R6848">
        <v>0.98112690000000002</v>
      </c>
      <c r="S6848">
        <v>0.8286133</v>
      </c>
      <c r="T6848">
        <v>-0.213944</v>
      </c>
      <c r="U6848">
        <v>2.9059300000000001</v>
      </c>
      <c r="V6848">
        <v>0.10152369999999999</v>
      </c>
      <c r="W6848">
        <v>5.2212630000000003E-2</v>
      </c>
      <c r="X6848">
        <v>0.99346199999999996</v>
      </c>
      <c r="Y6848">
        <v>0.1869064</v>
      </c>
      <c r="Z6848">
        <v>-7.0938169999999995E-2</v>
      </c>
      <c r="AA6848">
        <v>0.97981320000000005</v>
      </c>
      <c r="AB6848">
        <v>29</v>
      </c>
      <c r="AC6848">
        <v>4.2760000000000096</v>
      </c>
      <c r="AD6848">
        <v>-1.11039439300299</v>
      </c>
      <c r="AE6848">
        <v>14.8004</v>
      </c>
      <c r="AF6848">
        <v>2.92749724493265</v>
      </c>
      <c r="AG6848">
        <v>-1.11039439300299</v>
      </c>
      <c r="AH6848">
        <v>15.0438993794869</v>
      </c>
      <c r="AI6848">
        <v>94.143909305317493</v>
      </c>
      <c r="AJ6848">
        <v>78.988038661482094</v>
      </c>
      <c r="AK6848">
        <v>15.366265791246301</v>
      </c>
      <c r="AL6848">
        <v>87.007075696271798</v>
      </c>
      <c r="AM6848">
        <v>84.165094808138093</v>
      </c>
      <c r="AN6848">
        <v>0.99999998291860304</v>
      </c>
    </row>
    <row r="6849" spans="1:40" x14ac:dyDescent="0.25">
      <c r="A6849" t="str">
        <f>"20190312151707150"</f>
        <v>20190312151707150</v>
      </c>
      <c r="B6849" t="str">
        <f>"1552375027144722"</f>
        <v>1552375027144722</v>
      </c>
      <c r="C6849" t="s">
        <v>40</v>
      </c>
      <c r="D6849">
        <v>4.7018329999999997</v>
      </c>
      <c r="E6849">
        <v>0.53324380000000005</v>
      </c>
      <c r="F6849" t="s">
        <v>43</v>
      </c>
      <c r="G6849">
        <v>-182.16560000000001</v>
      </c>
      <c r="H6849" s="1">
        <v>-5.4692250000000001E-6</v>
      </c>
      <c r="I6849">
        <v>119.14230000000001</v>
      </c>
      <c r="J6849">
        <v>-186.42570000000001</v>
      </c>
      <c r="K6849">
        <v>1.110382</v>
      </c>
      <c r="L6849">
        <v>104.47199999999999</v>
      </c>
      <c r="M6849">
        <v>8.8272470000000006E-2</v>
      </c>
      <c r="N6849">
        <v>0</v>
      </c>
      <c r="O6849">
        <v>0.99599519999999997</v>
      </c>
      <c r="P6849">
        <v>0.1900297</v>
      </c>
      <c r="Q6849">
        <v>3.7996490000000001E-2</v>
      </c>
      <c r="R6849">
        <v>0.98104279999999999</v>
      </c>
      <c r="S6849">
        <v>0.83169559999999998</v>
      </c>
      <c r="T6849">
        <v>-0.215446</v>
      </c>
      <c r="U6849">
        <v>2.905319</v>
      </c>
      <c r="V6849">
        <v>0.102617899999999</v>
      </c>
      <c r="W6849">
        <v>5.2229780000000003E-2</v>
      </c>
      <c r="X6849">
        <v>0.99334869999999997</v>
      </c>
      <c r="Y6849">
        <v>0.18856129999999999</v>
      </c>
      <c r="Z6849">
        <v>-7.1432670000000004E-2</v>
      </c>
      <c r="AA6849">
        <v>0.97946009999999994</v>
      </c>
      <c r="AB6849">
        <v>29</v>
      </c>
      <c r="AC6849">
        <v>4.2600999999999898</v>
      </c>
      <c r="AD6849">
        <v>-1.110387469225</v>
      </c>
      <c r="AE6849">
        <v>14.6702999999999</v>
      </c>
      <c r="AF6849">
        <v>2.9328572668951001</v>
      </c>
      <c r="AG6849">
        <v>-1.110387469225</v>
      </c>
      <c r="AH6849">
        <v>14.910331568768401</v>
      </c>
      <c r="AI6849">
        <v>94.179223353464906</v>
      </c>
      <c r="AJ6849">
        <v>78.872004601950394</v>
      </c>
      <c r="AK6849">
        <v>15.2365547145804</v>
      </c>
      <c r="AL6849">
        <v>87.006091816871404</v>
      </c>
      <c r="AM6849">
        <v>84.101980471549794</v>
      </c>
      <c r="AN6849">
        <v>1.0000000115554699</v>
      </c>
    </row>
    <row r="6850" spans="1:40" x14ac:dyDescent="0.25">
      <c r="A6850" t="str">
        <f>"20190312151707174"</f>
        <v>20190312151707174</v>
      </c>
      <c r="B6850" t="str">
        <f>"1552375027164243"</f>
        <v>1552375027164243</v>
      </c>
      <c r="C6850" t="s">
        <v>40</v>
      </c>
      <c r="D6850">
        <v>4.6599629999999896</v>
      </c>
      <c r="E6850">
        <v>0.53359609999999902</v>
      </c>
      <c r="F6850" t="s">
        <v>43</v>
      </c>
      <c r="G6850">
        <v>-182.10679999999999</v>
      </c>
      <c r="H6850" s="1">
        <v>-5.6269479999999999E-6</v>
      </c>
      <c r="I6850">
        <v>119.48560000000001</v>
      </c>
      <c r="J6850">
        <v>-186.40010000000001</v>
      </c>
      <c r="K6850">
        <v>1.110368</v>
      </c>
      <c r="L6850">
        <v>104.76819999999999</v>
      </c>
      <c r="M6850">
        <v>8.7645580000000001E-2</v>
      </c>
      <c r="N6850">
        <v>0</v>
      </c>
      <c r="O6850">
        <v>0.99605049999999995</v>
      </c>
      <c r="P6850">
        <v>0.19036539999999999</v>
      </c>
      <c r="Q6850">
        <v>3.7987489999999999E-2</v>
      </c>
      <c r="R6850">
        <v>0.98097809999999996</v>
      </c>
      <c r="S6850">
        <v>0.83551030000000004</v>
      </c>
      <c r="T6850">
        <v>-0.21480940000000001</v>
      </c>
      <c r="U6850">
        <v>2.9044490000000001</v>
      </c>
      <c r="V6850">
        <v>0.103585</v>
      </c>
      <c r="W6850">
        <v>5.221406E-2</v>
      </c>
      <c r="X6850">
        <v>0.9932491</v>
      </c>
      <c r="Y6850">
        <v>0.19044929999999999</v>
      </c>
      <c r="Z6850">
        <v>-7.1223320000000007E-2</v>
      </c>
      <c r="AA6850">
        <v>0.97910989999999998</v>
      </c>
      <c r="AB6850">
        <v>29</v>
      </c>
      <c r="AC6850">
        <v>4.2933000000000101</v>
      </c>
      <c r="AD6850">
        <v>-1.110373626948</v>
      </c>
      <c r="AE6850">
        <v>14.7174</v>
      </c>
      <c r="AF6850">
        <v>2.9711438517661799</v>
      </c>
      <c r="AG6850">
        <v>-1.110373626948</v>
      </c>
      <c r="AH6850">
        <v>14.9586095861433</v>
      </c>
      <c r="AI6850">
        <v>94.164211425723806</v>
      </c>
      <c r="AJ6850">
        <v>78.765875914552097</v>
      </c>
      <c r="AK6850">
        <v>15.291194398409999</v>
      </c>
      <c r="AL6850">
        <v>87.006993605109002</v>
      </c>
      <c r="AM6850">
        <v>84.046200542245501</v>
      </c>
      <c r="AN6850">
        <v>0.99999996746874598</v>
      </c>
    </row>
    <row r="6851" spans="1:40" x14ac:dyDescent="0.25">
      <c r="A6851" t="str">
        <f>"20190312151707194"</f>
        <v>20190312151707194</v>
      </c>
      <c r="B6851" t="str">
        <f>"1552375027184739"</f>
        <v>1552375027184739</v>
      </c>
      <c r="C6851" t="s">
        <v>40</v>
      </c>
      <c r="D6851">
        <v>4.6723559999999997</v>
      </c>
      <c r="E6851">
        <v>0.53386889999999998</v>
      </c>
      <c r="F6851" t="s">
        <v>58</v>
      </c>
      <c r="G6851">
        <v>-182.06909999999999</v>
      </c>
      <c r="H6851" s="1">
        <v>-2.141595E-6</v>
      </c>
      <c r="I6851">
        <v>119.761</v>
      </c>
      <c r="J6851">
        <v>-186.37739999999999</v>
      </c>
      <c r="K6851">
        <v>1.110355</v>
      </c>
      <c r="L6851">
        <v>105.0335</v>
      </c>
      <c r="M6851">
        <v>8.7106459999999997E-2</v>
      </c>
      <c r="N6851">
        <v>0</v>
      </c>
      <c r="O6851">
        <v>0.99609789999999998</v>
      </c>
      <c r="P6851">
        <v>0.19094050000000001</v>
      </c>
      <c r="Q6851">
        <v>3.8532520000000001E-2</v>
      </c>
      <c r="R6851">
        <v>0.98084499999999997</v>
      </c>
      <c r="S6851">
        <v>0.83880619999999995</v>
      </c>
      <c r="T6851">
        <v>-0.21504970000000001</v>
      </c>
      <c r="U6851">
        <v>2.9037169999999999</v>
      </c>
      <c r="V6851">
        <v>0.10470889999999999</v>
      </c>
      <c r="W6851">
        <v>5.2751190000000003E-2</v>
      </c>
      <c r="X6851">
        <v>0.99310290000000001</v>
      </c>
      <c r="Y6851">
        <v>0.19207050000000001</v>
      </c>
      <c r="Z6851">
        <v>-7.1302530000000003E-2</v>
      </c>
      <c r="AA6851">
        <v>0.97878750000000003</v>
      </c>
      <c r="AB6851">
        <v>29</v>
      </c>
      <c r="AC6851">
        <v>4.3083</v>
      </c>
      <c r="AD6851">
        <v>-1.110357141595</v>
      </c>
      <c r="AE6851">
        <v>14.727499999999999</v>
      </c>
      <c r="AF6851">
        <v>2.9932583011065699</v>
      </c>
      <c r="AG6851">
        <v>-1.110357141595</v>
      </c>
      <c r="AH6851">
        <v>14.9684520308566</v>
      </c>
      <c r="AI6851">
        <v>94.1603509198045</v>
      </c>
      <c r="AJ6851">
        <v>78.691657917937206</v>
      </c>
      <c r="AK6851">
        <v>15.305131310743199</v>
      </c>
      <c r="AL6851">
        <v>86.976175966080504</v>
      </c>
      <c r="AM6851">
        <v>83.981193766746003</v>
      </c>
      <c r="AN6851">
        <v>1.00000000588701</v>
      </c>
    </row>
    <row r="6852" spans="1:40" x14ac:dyDescent="0.25">
      <c r="A6852" t="str">
        <f>"20190312151707206"</f>
        <v>20190312151707206</v>
      </c>
      <c r="B6852" t="str">
        <f>"1552375027194499"</f>
        <v>1552375027194499</v>
      </c>
      <c r="C6852" t="s">
        <v>40</v>
      </c>
      <c r="D6852">
        <v>4.6791960000000001</v>
      </c>
      <c r="E6852">
        <v>0.53398080000000003</v>
      </c>
      <c r="F6852" t="s">
        <v>58</v>
      </c>
      <c r="G6852">
        <v>-182.00790000000001</v>
      </c>
      <c r="H6852" s="1">
        <v>-2.2543339999999998E-6</v>
      </c>
      <c r="I6852">
        <v>120.0886</v>
      </c>
      <c r="J6852">
        <v>-186.36349999999999</v>
      </c>
      <c r="K6852">
        <v>1.1103459999999901</v>
      </c>
      <c r="L6852">
        <v>105.19710000000001</v>
      </c>
      <c r="M6852">
        <v>8.678553E-2</v>
      </c>
      <c r="N6852">
        <v>0</v>
      </c>
      <c r="O6852">
        <v>0.99612590000000001</v>
      </c>
      <c r="P6852">
        <v>0.1907423</v>
      </c>
      <c r="Q6852">
        <v>3.8938159999999999E-2</v>
      </c>
      <c r="R6852">
        <v>0.98086759999999995</v>
      </c>
      <c r="S6852">
        <v>0.84254459999999998</v>
      </c>
      <c r="T6852">
        <v>-0.21410470000000001</v>
      </c>
      <c r="U6852">
        <v>2.9029850000000001</v>
      </c>
      <c r="V6852">
        <v>0.1048307</v>
      </c>
      <c r="W6852">
        <v>5.3152129999999999E-2</v>
      </c>
      <c r="X6852">
        <v>0.99306859999999997</v>
      </c>
      <c r="Y6852">
        <v>0.1936215</v>
      </c>
      <c r="Z6852">
        <v>-7.0987540000000002E-2</v>
      </c>
      <c r="AA6852">
        <v>0.97850470000000001</v>
      </c>
      <c r="AB6852">
        <v>29</v>
      </c>
      <c r="AC6852">
        <v>4.3555999999999804</v>
      </c>
      <c r="AD6852">
        <v>-1.11034825433399</v>
      </c>
      <c r="AE6852">
        <v>14.891499999999899</v>
      </c>
      <c r="AF6852">
        <v>3.0311423583595101</v>
      </c>
      <c r="AG6852">
        <v>-1.11034825433399</v>
      </c>
      <c r="AH6852">
        <v>15.135827259895001</v>
      </c>
      <c r="AI6852">
        <v>94.114240863486103</v>
      </c>
      <c r="AJ6852">
        <v>78.675592926844899</v>
      </c>
      <c r="AK6852">
        <v>15.476238693039299</v>
      </c>
      <c r="AL6852">
        <v>86.9531713048803</v>
      </c>
      <c r="AM6852">
        <v>83.974037428178093</v>
      </c>
      <c r="AN6852">
        <v>0.999999934445991</v>
      </c>
    </row>
    <row r="6853" spans="1:40" x14ac:dyDescent="0.25">
      <c r="A6853" t="str">
        <f>"20190312151707228"</f>
        <v>20190312151707228</v>
      </c>
      <c r="B6853" t="str">
        <f>"1552375027224755"</f>
        <v>1552375027224755</v>
      </c>
      <c r="C6853" t="s">
        <v>40</v>
      </c>
      <c r="D6853">
        <v>4.6719480000000004</v>
      </c>
      <c r="E6853">
        <v>0.53431600000000001</v>
      </c>
      <c r="F6853" t="s">
        <v>58</v>
      </c>
      <c r="G6853">
        <v>-181.9736</v>
      </c>
      <c r="H6853" s="1">
        <v>-2.330088E-6</v>
      </c>
      <c r="I6853">
        <v>120.3147</v>
      </c>
      <c r="J6853">
        <v>-186.34030000000001</v>
      </c>
      <c r="K6853">
        <v>1.1103320000000001</v>
      </c>
      <c r="L6853">
        <v>105.4699</v>
      </c>
      <c r="M6853">
        <v>8.6269419999999999E-2</v>
      </c>
      <c r="N6853">
        <v>0</v>
      </c>
      <c r="O6853">
        <v>0.99617080000000002</v>
      </c>
      <c r="P6853">
        <v>0.19084519999999999</v>
      </c>
      <c r="Q6853">
        <v>3.9143860000000003E-2</v>
      </c>
      <c r="R6853">
        <v>0.98083940000000003</v>
      </c>
      <c r="S6853">
        <v>0.84298709999999899</v>
      </c>
      <c r="T6853">
        <v>-0.21322050000000001</v>
      </c>
      <c r="U6853">
        <v>2.9030459999999998</v>
      </c>
      <c r="V6853">
        <v>0.10545309999999999</v>
      </c>
      <c r="W6853">
        <v>5.3348779999999998E-2</v>
      </c>
      <c r="X6853">
        <v>0.99299219999999999</v>
      </c>
      <c r="Y6853">
        <v>0.19426750000000001</v>
      </c>
      <c r="Z6853">
        <v>-7.0693210000000006E-2</v>
      </c>
      <c r="AA6853">
        <v>0.97839799999999999</v>
      </c>
      <c r="AB6853">
        <v>29</v>
      </c>
      <c r="AC6853">
        <v>4.3666999999999998</v>
      </c>
      <c r="AD6853">
        <v>-1.110334330088</v>
      </c>
      <c r="AE6853">
        <v>14.844799999999999</v>
      </c>
      <c r="AF6853">
        <v>3.0539113528367401</v>
      </c>
      <c r="AG6853">
        <v>-1.110334330088</v>
      </c>
      <c r="AH6853">
        <v>15.0885059008527</v>
      </c>
      <c r="AI6853">
        <v>94.125347758854204</v>
      </c>
      <c r="AJ6853">
        <v>78.557915904355696</v>
      </c>
      <c r="AK6853">
        <v>15.434449364833901</v>
      </c>
      <c r="AL6853">
        <v>86.941888216514798</v>
      </c>
      <c r="AM6853">
        <v>83.938062813439998</v>
      </c>
      <c r="AN6853">
        <v>0.99999997894396897</v>
      </c>
    </row>
    <row r="6854" spans="1:40" x14ac:dyDescent="0.25">
      <c r="A6854" t="str">
        <f>"20190312151707251"</f>
        <v>20190312151707251</v>
      </c>
      <c r="B6854" t="str">
        <f>"1552375027244275"</f>
        <v>1552375027244275</v>
      </c>
      <c r="C6854" t="s">
        <v>40</v>
      </c>
      <c r="D6854">
        <v>4.6976659999999999</v>
      </c>
      <c r="E6854">
        <v>0.53450330000000001</v>
      </c>
      <c r="F6854" t="s">
        <v>58</v>
      </c>
      <c r="G6854">
        <v>-181.94470000000001</v>
      </c>
      <c r="H6854" s="1">
        <v>-2.4069990000000002E-6</v>
      </c>
      <c r="I6854">
        <v>120.5498</v>
      </c>
      <c r="J6854">
        <v>-186.31479999999999</v>
      </c>
      <c r="K6854">
        <v>1.1102989999999999</v>
      </c>
      <c r="L6854">
        <v>105.771</v>
      </c>
      <c r="M6854">
        <v>8.5748260000000007E-2</v>
      </c>
      <c r="N6854">
        <v>0</v>
      </c>
      <c r="O6854">
        <v>0.99621579999999998</v>
      </c>
      <c r="P6854">
        <v>0.19081999999999999</v>
      </c>
      <c r="Q6854">
        <v>3.8851339999999998E-2</v>
      </c>
      <c r="R6854">
        <v>0.9808559</v>
      </c>
      <c r="S6854">
        <v>0.84603879999999998</v>
      </c>
      <c r="T6854">
        <v>-0.21371209999999999</v>
      </c>
      <c r="U6854">
        <v>2.9025120000000002</v>
      </c>
      <c r="V6854">
        <v>0.105951</v>
      </c>
      <c r="W6854">
        <v>5.3044510000000003E-2</v>
      </c>
      <c r="X6854">
        <v>0.99295549999999999</v>
      </c>
      <c r="Y6854">
        <v>0.195774</v>
      </c>
      <c r="Z6854">
        <v>-7.0851730000000002E-2</v>
      </c>
      <c r="AA6854">
        <v>0.97808620000000002</v>
      </c>
      <c r="AB6854">
        <v>29</v>
      </c>
      <c r="AC6854">
        <v>4.3700999999999697</v>
      </c>
      <c r="AD6854">
        <v>-1.11030140699899</v>
      </c>
      <c r="AE6854">
        <v>14.7788</v>
      </c>
      <c r="AF6854">
        <v>3.0706790202091798</v>
      </c>
      <c r="AG6854">
        <v>-1.11030140699899</v>
      </c>
      <c r="AH6854">
        <v>15.021157045540599</v>
      </c>
      <c r="AI6854">
        <v>94.142025482925405</v>
      </c>
      <c r="AJ6854">
        <v>78.446570663400095</v>
      </c>
      <c r="AK6854">
        <v>15.371954912968301</v>
      </c>
      <c r="AL6854">
        <v>86.959346325819695</v>
      </c>
      <c r="AM6854">
        <v>83.909432394495894</v>
      </c>
      <c r="AN6854">
        <v>0.99999997971119403</v>
      </c>
    </row>
    <row r="6855" spans="1:40" x14ac:dyDescent="0.25">
      <c r="A6855" t="str">
        <f>"20190312151707263"</f>
        <v>20190312151707263</v>
      </c>
      <c r="B6855" t="str">
        <f>"1552375027255011"</f>
        <v>1552375027255011</v>
      </c>
      <c r="C6855" t="s">
        <v>40</v>
      </c>
      <c r="D6855">
        <v>4.6685080000000001</v>
      </c>
      <c r="E6855">
        <v>0.53461930000000002</v>
      </c>
      <c r="F6855" t="s">
        <v>58</v>
      </c>
      <c r="G6855">
        <v>-181.93199999999999</v>
      </c>
      <c r="H6855" s="1">
        <v>-2.4779079999999998E-6</v>
      </c>
      <c r="I6855">
        <v>120.7791</v>
      </c>
      <c r="J6855">
        <v>-186.3014</v>
      </c>
      <c r="K6855">
        <v>1.110276</v>
      </c>
      <c r="L6855">
        <v>105.9297</v>
      </c>
      <c r="M6855">
        <v>8.550845E-2</v>
      </c>
      <c r="N6855">
        <v>0</v>
      </c>
      <c r="O6855">
        <v>0.99623649999999997</v>
      </c>
      <c r="P6855">
        <v>0.19121189999999999</v>
      </c>
      <c r="Q6855">
        <v>3.8962209999999997E-2</v>
      </c>
      <c r="R6855">
        <v>0.98077519999999996</v>
      </c>
      <c r="S6855">
        <v>0.84751889999999996</v>
      </c>
      <c r="T6855">
        <v>-0.21470449999999999</v>
      </c>
      <c r="U6855">
        <v>2.9021759999999999</v>
      </c>
      <c r="V6855">
        <v>0.10659059999999999</v>
      </c>
      <c r="W6855">
        <v>5.314642E-2</v>
      </c>
      <c r="X6855">
        <v>0.99288160000000003</v>
      </c>
      <c r="Y6855">
        <v>0.19649359999999999</v>
      </c>
      <c r="Z6855">
        <v>-7.1178980000000003E-2</v>
      </c>
      <c r="AA6855">
        <v>0.97791810000000001</v>
      </c>
      <c r="AB6855">
        <v>29</v>
      </c>
      <c r="AC6855">
        <v>4.3693999999999802</v>
      </c>
      <c r="AD6855">
        <v>-1.1102784779079999</v>
      </c>
      <c r="AE6855">
        <v>14.849399999999999</v>
      </c>
      <c r="AF6855">
        <v>3.06773328654364</v>
      </c>
      <c r="AG6855">
        <v>-1.1102784779079999</v>
      </c>
      <c r="AH6855">
        <v>15.091017521945799</v>
      </c>
      <c r="AI6855">
        <v>94.123750379470295</v>
      </c>
      <c r="AJ6855">
        <v>78.509366040971898</v>
      </c>
      <c r="AK6855">
        <v>15.4396410471082</v>
      </c>
      <c r="AL6855">
        <v>86.953499080397293</v>
      </c>
      <c r="AM6855">
        <v>83.872491410725303</v>
      </c>
      <c r="AN6855">
        <v>0.999999984792868</v>
      </c>
    </row>
    <row r="6856" spans="1:40" x14ac:dyDescent="0.25">
      <c r="A6856" t="str">
        <f>"20190312151707285"</f>
        <v>20190312151707285</v>
      </c>
      <c r="B6856" t="str">
        <f>"1552375027274531"</f>
        <v>1552375027274531</v>
      </c>
      <c r="C6856" t="s">
        <v>40</v>
      </c>
      <c r="D6856">
        <v>4.6212429999999998</v>
      </c>
      <c r="E6856">
        <v>0.53475130000000004</v>
      </c>
      <c r="F6856" t="s">
        <v>58</v>
      </c>
      <c r="G6856">
        <v>-181.90110000000001</v>
      </c>
      <c r="H6856" s="1">
        <v>-2.5389500000000001E-6</v>
      </c>
      <c r="I6856">
        <v>120.9584</v>
      </c>
      <c r="J6856">
        <v>-186.27770000000001</v>
      </c>
      <c r="K6856">
        <v>1.110222</v>
      </c>
      <c r="L6856">
        <v>106.21080000000001</v>
      </c>
      <c r="M6856">
        <v>8.5133249999999994E-2</v>
      </c>
      <c r="N6856">
        <v>0</v>
      </c>
      <c r="O6856">
        <v>0.99626859999999995</v>
      </c>
      <c r="P6856">
        <v>0.1919679</v>
      </c>
      <c r="Q6856">
        <v>3.8648170000000003E-2</v>
      </c>
      <c r="R6856">
        <v>0.98063990000000001</v>
      </c>
      <c r="S6856">
        <v>0.84959409999999902</v>
      </c>
      <c r="T6856">
        <v>-0.21436949999999999</v>
      </c>
      <c r="U6856">
        <v>2.9017029999999999</v>
      </c>
      <c r="V6856">
        <v>0.1077366</v>
      </c>
      <c r="W6856">
        <v>5.2815470000000003E-2</v>
      </c>
      <c r="X6856">
        <v>0.99277559999999998</v>
      </c>
      <c r="Y6856">
        <v>0.19755210000000001</v>
      </c>
      <c r="Z6856">
        <v>-7.1068389999999995E-2</v>
      </c>
      <c r="AA6856">
        <v>0.9777129</v>
      </c>
      <c r="AB6856">
        <v>29</v>
      </c>
      <c r="AC6856">
        <v>4.3765999999999901</v>
      </c>
      <c r="AD6856">
        <v>-1.1102245389500001</v>
      </c>
      <c r="AE6856">
        <v>14.747599999999901</v>
      </c>
      <c r="AF6856">
        <v>3.08898113387382</v>
      </c>
      <c r="AG6856">
        <v>-1.1102245389500001</v>
      </c>
      <c r="AH6856">
        <v>14.9886109864341</v>
      </c>
      <c r="AI6856">
        <v>94.149345495127506</v>
      </c>
      <c r="AJ6856">
        <v>78.355032546919901</v>
      </c>
      <c r="AK6856">
        <v>15.343821632011</v>
      </c>
      <c r="AL6856">
        <v>86.972487896109499</v>
      </c>
      <c r="AM6856">
        <v>83.806465135587402</v>
      </c>
      <c r="AN6856">
        <v>1.0000000204031201</v>
      </c>
    </row>
    <row r="6857" spans="1:40" x14ac:dyDescent="0.25">
      <c r="A6857" t="str">
        <f>"20190312151707306"</f>
        <v>20190312151707306</v>
      </c>
      <c r="B6857" t="str">
        <f>"1552375027304788"</f>
        <v>1552375027304788</v>
      </c>
      <c r="C6857" t="s">
        <v>40</v>
      </c>
      <c r="D6857">
        <v>4.6680320000000002</v>
      </c>
      <c r="E6857">
        <v>0.53507439999999995</v>
      </c>
      <c r="F6857" t="s">
        <v>58</v>
      </c>
      <c r="G6857">
        <v>-181.89580000000001</v>
      </c>
      <c r="H6857" s="1">
        <v>-2.5869199999999999E-6</v>
      </c>
      <c r="I6857">
        <v>121.1165</v>
      </c>
      <c r="J6857">
        <v>-186.25399999999999</v>
      </c>
      <c r="K6857">
        <v>1.1101669999999999</v>
      </c>
      <c r="L6857">
        <v>106.4931</v>
      </c>
      <c r="M6857">
        <v>8.4836949999999994E-2</v>
      </c>
      <c r="N6857">
        <v>0</v>
      </c>
      <c r="O6857">
        <v>0.99629400000000001</v>
      </c>
      <c r="P6857">
        <v>0.19342670000000001</v>
      </c>
      <c r="Q6857">
        <v>3.8965779999999998E-2</v>
      </c>
      <c r="R6857">
        <v>0.98034069999999995</v>
      </c>
      <c r="S6857">
        <v>0.85276790000000002</v>
      </c>
      <c r="T6857">
        <v>-0.21606220000000001</v>
      </c>
      <c r="U6857">
        <v>2.9008180000000001</v>
      </c>
      <c r="V6857">
        <v>0.10951900000000001</v>
      </c>
      <c r="W6857">
        <v>5.3111169999999999E-2</v>
      </c>
      <c r="X6857">
        <v>0.99256469999999997</v>
      </c>
      <c r="Y6857">
        <v>0.1988975</v>
      </c>
      <c r="Z6857">
        <v>-7.162955E-2</v>
      </c>
      <c r="AA6857">
        <v>0.97739909999999997</v>
      </c>
      <c r="AB6857">
        <v>29</v>
      </c>
      <c r="AC6857">
        <v>4.3582000000000098</v>
      </c>
      <c r="AD6857">
        <v>-1.1101695869199999</v>
      </c>
      <c r="AE6857">
        <v>14.6234</v>
      </c>
      <c r="AF6857">
        <v>3.0854235060512099</v>
      </c>
      <c r="AG6857">
        <v>-1.1101695869199999</v>
      </c>
      <c r="AH6857">
        <v>14.861775731430001</v>
      </c>
      <c r="AI6857">
        <v>94.183169198450301</v>
      </c>
      <c r="AJ6857">
        <v>78.271546755804096</v>
      </c>
      <c r="AK6857">
        <v>15.2192211566406</v>
      </c>
      <c r="AL6857">
        <v>86.955521494053201</v>
      </c>
      <c r="AM6857">
        <v>83.7034881450424</v>
      </c>
      <c r="AN6857">
        <v>0.99999994571292705</v>
      </c>
    </row>
    <row r="6858" spans="1:40" x14ac:dyDescent="0.25">
      <c r="A6858" t="str">
        <f>"20190312151707330"</f>
        <v>20190312151707330</v>
      </c>
      <c r="B6858" t="str">
        <f>"1552375027324308"</f>
        <v>1552375027324308</v>
      </c>
      <c r="C6858" t="s">
        <v>40</v>
      </c>
      <c r="D6858">
        <v>4.6830189999999998</v>
      </c>
      <c r="E6858">
        <v>0.53531359999999995</v>
      </c>
      <c r="F6858" t="s">
        <v>58</v>
      </c>
      <c r="G6858">
        <v>-181.8408</v>
      </c>
      <c r="H6858" s="1">
        <v>-2.678021E-6</v>
      </c>
      <c r="I6858">
        <v>121.376</v>
      </c>
      <c r="J6858">
        <v>-186.22919999999999</v>
      </c>
      <c r="K6858">
        <v>1.1100989999999999</v>
      </c>
      <c r="L6858">
        <v>106.7873</v>
      </c>
      <c r="M6858">
        <v>8.4624130000000006E-2</v>
      </c>
      <c r="N6858">
        <v>0</v>
      </c>
      <c r="O6858">
        <v>0.99631210000000003</v>
      </c>
      <c r="P6858">
        <v>0.19502939999999999</v>
      </c>
      <c r="Q6858">
        <v>3.9871990000000003E-2</v>
      </c>
      <c r="R6858">
        <v>0.97998660000000004</v>
      </c>
      <c r="S6858">
        <v>0.85968020000000001</v>
      </c>
      <c r="T6858">
        <v>-0.21625720000000001</v>
      </c>
      <c r="U6858">
        <v>2.8991389999999999</v>
      </c>
      <c r="V6858">
        <v>0.11136740000000001</v>
      </c>
      <c r="W6858">
        <v>5.3991110000000002E-2</v>
      </c>
      <c r="X6858">
        <v>0.99231159999999996</v>
      </c>
      <c r="Y6858">
        <v>0.20140140000000001</v>
      </c>
      <c r="Z6858">
        <v>-7.1693270000000003E-2</v>
      </c>
      <c r="AA6858">
        <v>0.97688160000000002</v>
      </c>
      <c r="AB6858">
        <v>29</v>
      </c>
      <c r="AC6858">
        <v>4.3883999999999901</v>
      </c>
      <c r="AD6858">
        <v>-1.110101678021</v>
      </c>
      <c r="AE6858">
        <v>14.588699999999999</v>
      </c>
      <c r="AF6858">
        <v>3.1214014893432802</v>
      </c>
      <c r="AG6858">
        <v>-1.110101678021</v>
      </c>
      <c r="AH6858">
        <v>14.8290227397028</v>
      </c>
      <c r="AI6858">
        <v>94.189707270181898</v>
      </c>
      <c r="AJ6858">
        <v>78.113184592279595</v>
      </c>
      <c r="AK6858">
        <v>15.1945841801559</v>
      </c>
      <c r="AL6858">
        <v>86.905032439205996</v>
      </c>
      <c r="AM6858">
        <v>83.596474898380905</v>
      </c>
      <c r="AN6858">
        <v>1.0000000246181699</v>
      </c>
    </row>
    <row r="6859" spans="1:40" x14ac:dyDescent="0.25">
      <c r="A6859" t="str">
        <f>"20190312151707350"</f>
        <v>20190312151707350</v>
      </c>
      <c r="B6859" t="str">
        <f>"1552375027344803"</f>
        <v>1552375027344803</v>
      </c>
      <c r="C6859" t="s">
        <v>40</v>
      </c>
      <c r="D6859">
        <v>4.6968969999999999</v>
      </c>
      <c r="E6859">
        <v>0.54082399999999997</v>
      </c>
      <c r="F6859" t="s">
        <v>58</v>
      </c>
      <c r="G6859">
        <v>-181.738</v>
      </c>
      <c r="H6859" s="1">
        <v>-2.832477E-6</v>
      </c>
      <c r="I6859">
        <v>121.80759999999999</v>
      </c>
      <c r="J6859">
        <v>-186.20650000000001</v>
      </c>
      <c r="K6859">
        <v>1.1100399999999999</v>
      </c>
      <c r="L6859">
        <v>107.0566</v>
      </c>
      <c r="M6859">
        <v>8.451612E-2</v>
      </c>
      <c r="N6859">
        <v>0</v>
      </c>
      <c r="O6859">
        <v>0.99632129999999997</v>
      </c>
      <c r="P6859">
        <v>0.19607150000000001</v>
      </c>
      <c r="Q6859">
        <v>4.0442680000000002E-2</v>
      </c>
      <c r="R6859">
        <v>0.9797553</v>
      </c>
      <c r="S6859">
        <v>0.866394</v>
      </c>
      <c r="T6859">
        <v>-0.2141477</v>
      </c>
      <c r="U6859">
        <v>2.8975520000000001</v>
      </c>
      <c r="V6859">
        <v>0.1125419</v>
      </c>
      <c r="W6859">
        <v>5.453819E-2</v>
      </c>
      <c r="X6859">
        <v>0.99214910000000001</v>
      </c>
      <c r="Y6859">
        <v>0.20374619999999999</v>
      </c>
      <c r="Z6859">
        <v>-7.0995269999999999E-2</v>
      </c>
      <c r="AA6859">
        <v>0.97644620000000004</v>
      </c>
      <c r="AB6859">
        <v>29</v>
      </c>
      <c r="AC6859">
        <v>4.4684999999999997</v>
      </c>
      <c r="AD6859">
        <v>-1.110042832477</v>
      </c>
      <c r="AE6859">
        <v>14.7509999999999</v>
      </c>
      <c r="AF6859">
        <v>3.1891447139193199</v>
      </c>
      <c r="AG6859">
        <v>-1.110042832477</v>
      </c>
      <c r="AH6859">
        <v>14.998116585036501</v>
      </c>
      <c r="AI6859">
        <v>94.140626132565203</v>
      </c>
      <c r="AJ6859">
        <v>77.995626347277494</v>
      </c>
      <c r="AK6859">
        <v>15.3735597762717</v>
      </c>
      <c r="AL6859">
        <v>86.873640625253501</v>
      </c>
      <c r="AM6859">
        <v>83.528461195934895</v>
      </c>
      <c r="AN6859">
        <v>0.99999996502744704</v>
      </c>
    </row>
    <row r="6860" spans="1:40" x14ac:dyDescent="0.25">
      <c r="A6860" t="str">
        <f>"20190312151707374"</f>
        <v>20190312151707374</v>
      </c>
      <c r="B6860" t="str">
        <f>"1552375027364323"</f>
        <v>1552375027364323</v>
      </c>
      <c r="C6860" t="s">
        <v>40</v>
      </c>
      <c r="D6860">
        <v>4.6713789999999999</v>
      </c>
      <c r="E6860">
        <v>0.54082319999999995</v>
      </c>
      <c r="F6860" t="s">
        <v>58</v>
      </c>
      <c r="G6860">
        <v>-181.65450000000001</v>
      </c>
      <c r="H6860" s="1">
        <v>-2.7529459999999999E-6</v>
      </c>
      <c r="I6860">
        <v>121.46210000000001</v>
      </c>
      <c r="J6860">
        <v>-186.18209999999999</v>
      </c>
      <c r="K6860">
        <v>1.109964</v>
      </c>
      <c r="L6860">
        <v>107.345</v>
      </c>
      <c r="M6860">
        <v>8.4501660000000006E-2</v>
      </c>
      <c r="N6860">
        <v>0</v>
      </c>
      <c r="O6860">
        <v>0.99632259999999995</v>
      </c>
      <c r="P6860">
        <v>0.19681100000000001</v>
      </c>
      <c r="Q6860">
        <v>4.1033800000000002E-2</v>
      </c>
      <c r="R6860">
        <v>0.97958239999999996</v>
      </c>
      <c r="S6860">
        <v>0.91275019999999996</v>
      </c>
      <c r="T6860">
        <v>-0.22257850000000001</v>
      </c>
      <c r="U6860">
        <v>2.8885040000000002</v>
      </c>
      <c r="V6860">
        <v>0.1133176</v>
      </c>
      <c r="W6860">
        <v>5.5103819999999998E-2</v>
      </c>
      <c r="X6860">
        <v>0.99202950000000001</v>
      </c>
      <c r="Y6860">
        <v>0.21882860000000001</v>
      </c>
      <c r="Z6860">
        <v>-7.370351E-2</v>
      </c>
      <c r="AA6860">
        <v>0.97297579999999995</v>
      </c>
      <c r="AB6860">
        <v>29</v>
      </c>
      <c r="AC6860">
        <v>4.5275999999999703</v>
      </c>
      <c r="AD6860">
        <v>-1.109966752946</v>
      </c>
      <c r="AE6860">
        <v>14.117100000000001</v>
      </c>
      <c r="AF6860">
        <v>3.29986774278201</v>
      </c>
      <c r="AG6860">
        <v>-1.109966752946</v>
      </c>
      <c r="AH6860">
        <v>14.3686832728786</v>
      </c>
      <c r="AI6860">
        <v>94.305623096061296</v>
      </c>
      <c r="AJ6860">
        <v>77.065905559244598</v>
      </c>
      <c r="AK6860">
        <v>14.7844584719496</v>
      </c>
      <c r="AL6860">
        <v>86.841183457942293</v>
      </c>
      <c r="AM6860">
        <v>83.483459326488202</v>
      </c>
      <c r="AN6860">
        <v>0.99999991915929798</v>
      </c>
    </row>
    <row r="6861" spans="1:40" x14ac:dyDescent="0.25">
      <c r="A6861" t="str">
        <f>"20190312151707385"</f>
        <v>20190312151707385</v>
      </c>
      <c r="B6861" t="str">
        <f>"1552375027375059"</f>
        <v>1552375027375059</v>
      </c>
      <c r="C6861" t="s">
        <v>40</v>
      </c>
      <c r="D6861">
        <v>4.6611390000000004</v>
      </c>
      <c r="E6861">
        <v>0.54094350000000002</v>
      </c>
      <c r="F6861" t="s">
        <v>58</v>
      </c>
      <c r="G6861">
        <v>-181.5684</v>
      </c>
      <c r="H6861" s="1">
        <v>-2.906238E-6</v>
      </c>
      <c r="I6861">
        <v>121.9049</v>
      </c>
      <c r="J6861">
        <v>-186.16800000000001</v>
      </c>
      <c r="K6861">
        <v>1.109918</v>
      </c>
      <c r="L6861">
        <v>107.5119</v>
      </c>
      <c r="M6861">
        <v>8.4557729999999998E-2</v>
      </c>
      <c r="N6861">
        <v>0</v>
      </c>
      <c r="O6861">
        <v>0.99631789999999998</v>
      </c>
      <c r="P6861">
        <v>0.196987</v>
      </c>
      <c r="Q6861">
        <v>4.1204810000000001E-2</v>
      </c>
      <c r="R6861">
        <v>0.97953979999999996</v>
      </c>
      <c r="S6861">
        <v>0.91511540000000002</v>
      </c>
      <c r="T6861">
        <v>-0.22015799999999999</v>
      </c>
      <c r="U6861">
        <v>2.8878940000000002</v>
      </c>
      <c r="V6861">
        <v>0.1134471</v>
      </c>
      <c r="W6861">
        <v>5.5259500000000003E-2</v>
      </c>
      <c r="X6861">
        <v>0.9920061</v>
      </c>
      <c r="Y6861">
        <v>0.21957470000000001</v>
      </c>
      <c r="Z6861">
        <v>-7.2905520000000001E-2</v>
      </c>
      <c r="AA6861">
        <v>0.97286779999999995</v>
      </c>
      <c r="AB6861">
        <v>29</v>
      </c>
      <c r="AC6861">
        <v>4.5995999999999997</v>
      </c>
      <c r="AD6861">
        <v>-1.109920906238</v>
      </c>
      <c r="AE6861">
        <v>14.392999999999899</v>
      </c>
      <c r="AF6861">
        <v>3.3478977365458702</v>
      </c>
      <c r="AG6861">
        <v>-1.109920906238</v>
      </c>
      <c r="AH6861">
        <v>14.651358297238</v>
      </c>
      <c r="AI6861">
        <v>94.223738214342106</v>
      </c>
      <c r="AJ6861">
        <v>77.128656071858998</v>
      </c>
      <c r="AK6861">
        <v>15.0699251367258</v>
      </c>
      <c r="AL6861">
        <v>86.832250230461597</v>
      </c>
      <c r="AM6861">
        <v>83.4759237886108</v>
      </c>
      <c r="AN6861">
        <v>0.99999997963793397</v>
      </c>
    </row>
    <row r="6862" spans="1:40" x14ac:dyDescent="0.25">
      <c r="A6862" t="str">
        <f>"20190312151707406"</f>
        <v>20190312151707406</v>
      </c>
      <c r="B6862" t="str">
        <f>"1552375027394579"</f>
        <v>1552375027394579</v>
      </c>
      <c r="C6862" t="s">
        <v>40</v>
      </c>
      <c r="D6862">
        <v>4.7061320000000002</v>
      </c>
      <c r="E6862">
        <v>0.54160079999999999</v>
      </c>
      <c r="F6862" t="s">
        <v>58</v>
      </c>
      <c r="G6862">
        <v>-181.56219999999999</v>
      </c>
      <c r="H6862" s="1">
        <v>-2.9419019999999998E-6</v>
      </c>
      <c r="I6862">
        <v>122.02030000000001</v>
      </c>
      <c r="J6862">
        <v>-186.14609999999999</v>
      </c>
      <c r="K6862">
        <v>1.1098509999999999</v>
      </c>
      <c r="L6862">
        <v>107.7681</v>
      </c>
      <c r="M6862">
        <v>8.4694599999999995E-2</v>
      </c>
      <c r="N6862">
        <v>0</v>
      </c>
      <c r="O6862">
        <v>0.99630629999999998</v>
      </c>
      <c r="P6862">
        <v>0.19777729999999999</v>
      </c>
      <c r="Q6862">
        <v>4.1383389999999999E-2</v>
      </c>
      <c r="R6862">
        <v>0.97937300000000005</v>
      </c>
      <c r="S6862">
        <v>0.91668700000000003</v>
      </c>
      <c r="T6862">
        <v>-0.2209074</v>
      </c>
      <c r="U6862">
        <v>2.8876040000000001</v>
      </c>
      <c r="V6862">
        <v>0.1141218</v>
      </c>
      <c r="W6862">
        <v>5.5414709999999999E-2</v>
      </c>
      <c r="X6862">
        <v>0.99192009999999997</v>
      </c>
      <c r="Y6862">
        <v>0.21994449999999999</v>
      </c>
      <c r="Z6862">
        <v>-7.3149080000000005E-2</v>
      </c>
      <c r="AA6862">
        <v>0.97276600000000002</v>
      </c>
      <c r="AB6862">
        <v>29</v>
      </c>
      <c r="AC6862">
        <v>4.5838999999999999</v>
      </c>
      <c r="AD6862">
        <v>-1.1098539419019999</v>
      </c>
      <c r="AE6862">
        <v>14.2522</v>
      </c>
      <c r="AF6862">
        <v>3.3418554869398198</v>
      </c>
      <c r="AG6862">
        <v>-1.1098539419019999</v>
      </c>
      <c r="AH6862">
        <v>14.5095125612999</v>
      </c>
      <c r="AI6862">
        <v>94.262939072324102</v>
      </c>
      <c r="AJ6862">
        <v>77.029731152964104</v>
      </c>
      <c r="AK6862">
        <v>14.930697526722099</v>
      </c>
      <c r="AL6862">
        <v>86.823343865429507</v>
      </c>
      <c r="AM6862">
        <v>83.436896835605197</v>
      </c>
      <c r="AN6862">
        <v>1.0000000300518099</v>
      </c>
    </row>
    <row r="6863" spans="1:40" x14ac:dyDescent="0.25">
      <c r="A6863" t="str">
        <f>"20190312151707418"</f>
        <v>20190312151707418</v>
      </c>
      <c r="B6863" t="str">
        <f>"1552375027415075"</f>
        <v>1552375027415075</v>
      </c>
      <c r="C6863" t="s">
        <v>40</v>
      </c>
      <c r="D6863">
        <v>4.6320690000000004</v>
      </c>
      <c r="E6863">
        <v>0.54180950000000005</v>
      </c>
      <c r="F6863" t="s">
        <v>58</v>
      </c>
      <c r="G6863">
        <v>-181.56379999999999</v>
      </c>
      <c r="H6863" s="1">
        <v>-2.9591620000000002E-6</v>
      </c>
      <c r="I6863">
        <v>122.08029999999999</v>
      </c>
      <c r="J6863">
        <v>-186.13210000000001</v>
      </c>
      <c r="K6863">
        <v>1.1098030000000001</v>
      </c>
      <c r="L6863">
        <v>107.9319</v>
      </c>
      <c r="M6863">
        <v>8.4827130000000001E-2</v>
      </c>
      <c r="N6863">
        <v>0</v>
      </c>
      <c r="O6863">
        <v>0.99629500000000004</v>
      </c>
      <c r="P6863">
        <v>0.19803689999999999</v>
      </c>
      <c r="Q6863">
        <v>4.1378129999999999E-2</v>
      </c>
      <c r="R6863">
        <v>0.97932079999999999</v>
      </c>
      <c r="S6863">
        <v>0.92402649999999997</v>
      </c>
      <c r="T6863">
        <v>-0.22379950000000001</v>
      </c>
      <c r="U6863">
        <v>2.8860320000000002</v>
      </c>
      <c r="V6863">
        <v>0.1142591</v>
      </c>
      <c r="W6863">
        <v>5.5394720000000001E-2</v>
      </c>
      <c r="X6863">
        <v>0.99190540000000005</v>
      </c>
      <c r="Y6863">
        <v>0.22219120000000001</v>
      </c>
      <c r="Z6863">
        <v>-7.4091340000000006E-2</v>
      </c>
      <c r="AA6863">
        <v>0.97218389999999999</v>
      </c>
      <c r="AB6863">
        <v>29</v>
      </c>
      <c r="AC6863">
        <v>4.5683000000000202</v>
      </c>
      <c r="AD6863">
        <v>-1.109805959162</v>
      </c>
      <c r="AE6863">
        <v>14.148399999999899</v>
      </c>
      <c r="AF6863">
        <v>3.3329712301817098</v>
      </c>
      <c r="AG6863">
        <v>-1.109805959162</v>
      </c>
      <c r="AH6863">
        <v>14.4046863325418</v>
      </c>
      <c r="AI6863">
        <v>94.292667866035501</v>
      </c>
      <c r="AJ6863">
        <v>76.972106264005603</v>
      </c>
      <c r="AK6863">
        <v>14.826845747735</v>
      </c>
      <c r="AL6863">
        <v>86.824490937234501</v>
      </c>
      <c r="AM6863">
        <v>83.4289732459238</v>
      </c>
      <c r="AN6863">
        <v>1.00000001974292</v>
      </c>
    </row>
    <row r="6864" spans="1:40" x14ac:dyDescent="0.25">
      <c r="A6864" t="str">
        <f>"20190312151707431"</f>
        <v>20190312151707431</v>
      </c>
      <c r="B6864" t="str">
        <f>"1552375027424836"</f>
        <v>1552375027424836</v>
      </c>
      <c r="C6864" t="s">
        <v>40</v>
      </c>
      <c r="D6864">
        <v>4.7556770000000004</v>
      </c>
      <c r="E6864">
        <v>0.54326569999999996</v>
      </c>
      <c r="F6864" t="s">
        <v>58</v>
      </c>
      <c r="G6864">
        <v>-181.53319999999999</v>
      </c>
      <c r="H6864" s="1">
        <v>-3.0193719999999999E-6</v>
      </c>
      <c r="I6864">
        <v>122.25709999999999</v>
      </c>
      <c r="J6864">
        <v>-186.1181</v>
      </c>
      <c r="K6864">
        <v>1.1097539999999999</v>
      </c>
      <c r="L6864">
        <v>108.09480000000001</v>
      </c>
      <c r="M6864">
        <v>8.4988590000000003E-2</v>
      </c>
      <c r="N6864">
        <v>0</v>
      </c>
      <c r="O6864">
        <v>0.99628130000000004</v>
      </c>
      <c r="P6864">
        <v>0.198181</v>
      </c>
      <c r="Q6864">
        <v>4.1409439999999999E-2</v>
      </c>
      <c r="R6864">
        <v>0.97929029999999995</v>
      </c>
      <c r="S6864">
        <v>0.9263458</v>
      </c>
      <c r="T6864">
        <v>-0.22354350000000001</v>
      </c>
      <c r="U6864">
        <v>2.8854679999999999</v>
      </c>
      <c r="V6864">
        <v>0.11425100000000001</v>
      </c>
      <c r="W6864">
        <v>5.5410910000000001E-2</v>
      </c>
      <c r="X6864">
        <v>0.99190540000000005</v>
      </c>
      <c r="Y6864">
        <v>0.222799</v>
      </c>
      <c r="Z6864">
        <v>-7.4005219999999997E-2</v>
      </c>
      <c r="AA6864">
        <v>0.97205129999999995</v>
      </c>
      <c r="AB6864">
        <v>29</v>
      </c>
      <c r="AC6864">
        <v>4.5849000000000002</v>
      </c>
      <c r="AD6864">
        <v>-1.1097570193719899</v>
      </c>
      <c r="AE6864">
        <v>14.162299999999901</v>
      </c>
      <c r="AF6864">
        <v>3.34595744865236</v>
      </c>
      <c r="AG6864">
        <v>-1.1097570193719899</v>
      </c>
      <c r="AH6864">
        <v>14.4206060862124</v>
      </c>
      <c r="AI6864">
        <v>94.287152308165503</v>
      </c>
      <c r="AJ6864">
        <v>76.937028153566999</v>
      </c>
      <c r="AK6864">
        <v>14.8452306073009</v>
      </c>
      <c r="AL6864">
        <v>86.823561801043695</v>
      </c>
      <c r="AM6864">
        <v>83.429435002411395</v>
      </c>
      <c r="AN6864">
        <v>0.99999999124859396</v>
      </c>
    </row>
    <row r="6865" spans="1:40" x14ac:dyDescent="0.25">
      <c r="A6865" t="str">
        <f>"20190312151707452"</f>
        <v>20190312151707452</v>
      </c>
      <c r="B6865" t="str">
        <f>"1552375027445331"</f>
        <v>1552375027445331</v>
      </c>
      <c r="C6865" t="s">
        <v>40</v>
      </c>
      <c r="D6865">
        <v>4.6827620000000003</v>
      </c>
      <c r="E6865">
        <v>0.54396979999999995</v>
      </c>
      <c r="F6865" t="s">
        <v>58</v>
      </c>
      <c r="G6865">
        <v>-181.67269999999999</v>
      </c>
      <c r="H6865" s="1">
        <v>-2.8342060000000001E-6</v>
      </c>
      <c r="I6865">
        <v>121.75449999999999</v>
      </c>
      <c r="J6865">
        <v>-186.09630000000001</v>
      </c>
      <c r="K6865">
        <v>1.109666</v>
      </c>
      <c r="L6865">
        <v>108.3473</v>
      </c>
      <c r="M6865">
        <v>8.5334309999999997E-2</v>
      </c>
      <c r="N6865">
        <v>0</v>
      </c>
      <c r="O6865">
        <v>0.99625180000000002</v>
      </c>
      <c r="P6865">
        <v>0.19895299999999999</v>
      </c>
      <c r="Q6865">
        <v>4.0745620000000003E-2</v>
      </c>
      <c r="R6865">
        <v>0.97916159999999997</v>
      </c>
      <c r="S6865">
        <v>0.93840029999999997</v>
      </c>
      <c r="T6865">
        <v>-0.23426179999999999</v>
      </c>
      <c r="U6865">
        <v>2.8834529999999998</v>
      </c>
      <c r="V6865">
        <v>0.11469749999999999</v>
      </c>
      <c r="W6865">
        <v>5.4721020000000002E-2</v>
      </c>
      <c r="X6865">
        <v>0.9918922</v>
      </c>
      <c r="Y6865">
        <v>0.22625390000000001</v>
      </c>
      <c r="Z6865">
        <v>-7.7500159999999998E-2</v>
      </c>
      <c r="AA6865">
        <v>0.97098039999999997</v>
      </c>
      <c r="AB6865">
        <v>29</v>
      </c>
      <c r="AC6865">
        <v>4.42360000000002</v>
      </c>
      <c r="AD6865">
        <v>-1.1096688342059999</v>
      </c>
      <c r="AE6865">
        <v>13.4071999999999</v>
      </c>
      <c r="AF6865">
        <v>3.2432163948697701</v>
      </c>
      <c r="AG6865">
        <v>-1.1096688342059999</v>
      </c>
      <c r="AH6865">
        <v>13.651472491154999</v>
      </c>
      <c r="AI6865">
        <v>94.5217961729862</v>
      </c>
      <c r="AJ6865">
        <v>76.635841740010704</v>
      </c>
      <c r="AK6865">
        <v>14.075244888893399</v>
      </c>
      <c r="AL6865">
        <v>86.863149748342806</v>
      </c>
      <c r="AM6865">
        <v>83.403895663468305</v>
      </c>
      <c r="AN6865">
        <v>1.0000000214784599</v>
      </c>
    </row>
    <row r="6866" spans="1:40" x14ac:dyDescent="0.25">
      <c r="A6866" t="str">
        <f>"20190312151707464"</f>
        <v>20190312151707464</v>
      </c>
      <c r="B6866" t="str">
        <f>"1552375027455092"</f>
        <v>1552375027455092</v>
      </c>
      <c r="C6866" t="s">
        <v>40</v>
      </c>
      <c r="D6866">
        <v>4.7427210000000004</v>
      </c>
      <c r="E6866">
        <v>0.54427490000000001</v>
      </c>
      <c r="F6866" t="s">
        <v>58</v>
      </c>
      <c r="G6866">
        <v>-181.8947</v>
      </c>
      <c r="H6866" s="1">
        <v>-2.5958670000000001E-6</v>
      </c>
      <c r="I6866">
        <v>121.1459</v>
      </c>
      <c r="J6866">
        <v>-186.08179999999999</v>
      </c>
      <c r="K6866">
        <v>1.1096029999999999</v>
      </c>
      <c r="L6866">
        <v>108.51309999999999</v>
      </c>
      <c r="M6866">
        <v>8.5629659999999996E-2</v>
      </c>
      <c r="N6866">
        <v>0</v>
      </c>
      <c r="O6866">
        <v>0.99622650000000001</v>
      </c>
      <c r="P6866">
        <v>0.1996301</v>
      </c>
      <c r="Q6866">
        <v>4.079907E-2</v>
      </c>
      <c r="R6866">
        <v>0.97902160000000005</v>
      </c>
      <c r="S6866">
        <v>0.946106</v>
      </c>
      <c r="T6866">
        <v>-0.24987670000000001</v>
      </c>
      <c r="U6866">
        <v>2.8820039999999998</v>
      </c>
      <c r="V6866">
        <v>0.1150979</v>
      </c>
      <c r="W6866">
        <v>5.47553E-2</v>
      </c>
      <c r="X6866">
        <v>0.9918439</v>
      </c>
      <c r="Y6866">
        <v>0.22832569999999999</v>
      </c>
      <c r="Z6866">
        <v>-8.261338E-2</v>
      </c>
      <c r="AA6866">
        <v>0.97007339999999997</v>
      </c>
      <c r="AB6866">
        <v>29</v>
      </c>
      <c r="AC6866">
        <v>4.1870999999999796</v>
      </c>
      <c r="AD6866">
        <v>-1.1096055958669999</v>
      </c>
      <c r="AE6866">
        <v>12.6328</v>
      </c>
      <c r="AF6866">
        <v>3.0685365449364399</v>
      </c>
      <c r="AG6866">
        <v>-1.1096055958669999</v>
      </c>
      <c r="AH6866">
        <v>12.8556025439237</v>
      </c>
      <c r="AI6866">
        <v>94.798985113310295</v>
      </c>
      <c r="AJ6866">
        <v>76.575119212898599</v>
      </c>
      <c r="AK6866">
        <v>13.263244620880901</v>
      </c>
      <c r="AL6866">
        <v>86.861182619004097</v>
      </c>
      <c r="AM6866">
        <v>83.380753684218206</v>
      </c>
      <c r="AN6866">
        <v>0.99999999571485398</v>
      </c>
    </row>
    <row r="6867" spans="1:40" x14ac:dyDescent="0.25">
      <c r="A6867" t="str">
        <f>"20190312151707487"</f>
        <v>20190312151707487</v>
      </c>
      <c r="B6867" t="str">
        <f>"1552375027474612"</f>
        <v>1552375027474612</v>
      </c>
      <c r="C6867" t="s">
        <v>40</v>
      </c>
      <c r="D6867">
        <v>4.7141070000000003</v>
      </c>
      <c r="E6867">
        <v>0.54489119999999902</v>
      </c>
      <c r="F6867" t="s">
        <v>58</v>
      </c>
      <c r="G6867">
        <v>-181.9247</v>
      </c>
      <c r="H6867" s="1">
        <v>-2.578978E-6</v>
      </c>
      <c r="I6867">
        <v>121.1156</v>
      </c>
      <c r="J6867">
        <v>-186.05709999999999</v>
      </c>
      <c r="K6867">
        <v>1.10949599999999</v>
      </c>
      <c r="L6867">
        <v>108.79389999999999</v>
      </c>
      <c r="M6867">
        <v>8.6214750000000007E-2</v>
      </c>
      <c r="N6867">
        <v>0</v>
      </c>
      <c r="O6867">
        <v>0.99617599999999995</v>
      </c>
      <c r="P6867">
        <v>0.20095170000000001</v>
      </c>
      <c r="Q6867">
        <v>4.0953789999999997E-2</v>
      </c>
      <c r="R6867">
        <v>0.97874470000000002</v>
      </c>
      <c r="S6867">
        <v>0.95034790000000002</v>
      </c>
      <c r="T6867">
        <v>-0.2536678</v>
      </c>
      <c r="U6867">
        <v>2.8810730000000002</v>
      </c>
      <c r="V6867">
        <v>0.11586970000000001</v>
      </c>
      <c r="W6867">
        <v>5.4876229999999998E-2</v>
      </c>
      <c r="X6867">
        <v>0.99174739999999995</v>
      </c>
      <c r="Y6867">
        <v>0.2291031</v>
      </c>
      <c r="Z6867">
        <v>-8.3850460000000002E-2</v>
      </c>
      <c r="AA6867">
        <v>0.96978390000000003</v>
      </c>
      <c r="AB6867">
        <v>29</v>
      </c>
      <c r="AC6867">
        <v>4.1323999999999899</v>
      </c>
      <c r="AD6867">
        <v>-1.1094985789780001</v>
      </c>
      <c r="AE6867">
        <v>12.3217</v>
      </c>
      <c r="AF6867">
        <v>3.03249005134604</v>
      </c>
      <c r="AG6867">
        <v>-1.1094985789780001</v>
      </c>
      <c r="AH6867">
        <v>12.5407219272021</v>
      </c>
      <c r="AI6867">
        <v>94.914959021806794</v>
      </c>
      <c r="AJ6867">
        <v>76.406171762361197</v>
      </c>
      <c r="AK6867">
        <v>12.949775653024799</v>
      </c>
      <c r="AL6867">
        <v>86.854243567703406</v>
      </c>
      <c r="AM6867">
        <v>83.336122982645506</v>
      </c>
      <c r="AN6867">
        <v>1.0000000467019301</v>
      </c>
    </row>
    <row r="6868" spans="1:40" x14ac:dyDescent="0.25">
      <c r="A6868" t="str">
        <f>"20190312151707508"</f>
        <v>20190312151707508</v>
      </c>
      <c r="B6868" t="str">
        <f>"1552375027504867"</f>
        <v>1552375027504867</v>
      </c>
      <c r="C6868" t="s">
        <v>40</v>
      </c>
      <c r="D6868">
        <v>4.743214</v>
      </c>
      <c r="E6868">
        <v>0.54587730000000001</v>
      </c>
      <c r="F6868" t="s">
        <v>58</v>
      </c>
      <c r="G6868">
        <v>-181.97550000000001</v>
      </c>
      <c r="H6868" s="1">
        <v>-2.5441450000000001E-6</v>
      </c>
      <c r="I6868">
        <v>121.0432</v>
      </c>
      <c r="J6868">
        <v>-186.0324</v>
      </c>
      <c r="K6868">
        <v>1.109397</v>
      </c>
      <c r="L6868">
        <v>109.07080000000001</v>
      </c>
      <c r="M6868">
        <v>8.691248E-2</v>
      </c>
      <c r="N6868">
        <v>0</v>
      </c>
      <c r="O6868">
        <v>0.99611539999999998</v>
      </c>
      <c r="P6868">
        <v>0.20264109999999999</v>
      </c>
      <c r="Q6868">
        <v>4.1343350000000001E-2</v>
      </c>
      <c r="R6868">
        <v>0.97838000000000003</v>
      </c>
      <c r="S6868">
        <v>0.95935060000000005</v>
      </c>
      <c r="T6868">
        <v>-0.26077850000000002</v>
      </c>
      <c r="U6868">
        <v>2.879089</v>
      </c>
      <c r="V6868">
        <v>0.11690349999999999</v>
      </c>
      <c r="W6868">
        <v>5.5231410000000002E-2</v>
      </c>
      <c r="X6868">
        <v>0.99160630000000005</v>
      </c>
      <c r="Y6868">
        <v>0.2312892</v>
      </c>
      <c r="Z6868">
        <v>-8.6167549999999996E-2</v>
      </c>
      <c r="AA6868">
        <v>0.96906159999999997</v>
      </c>
      <c r="AB6868">
        <v>29</v>
      </c>
      <c r="AC6868">
        <v>4.0568999999999802</v>
      </c>
      <c r="AD6868">
        <v>-1.109399544145</v>
      </c>
      <c r="AE6868">
        <v>11.972399999999899</v>
      </c>
      <c r="AF6868">
        <v>2.97795376004348</v>
      </c>
      <c r="AG6868">
        <v>-1.109399544145</v>
      </c>
      <c r="AH6868">
        <v>12.1858608728494</v>
      </c>
      <c r="AI6868">
        <v>95.0539427583102</v>
      </c>
      <c r="AJ6868">
        <v>76.267335389288505</v>
      </c>
      <c r="AK6868">
        <v>12.593418168152199</v>
      </c>
      <c r="AL6868">
        <v>86.833862181159304</v>
      </c>
      <c r="AM6868">
        <v>83.276261239332896</v>
      </c>
      <c r="AN6868">
        <v>0.99999999558126396</v>
      </c>
    </row>
    <row r="6869" spans="1:40" x14ac:dyDescent="0.25">
      <c r="A6869" t="str">
        <f>"20190312151707530"</f>
        <v>20190312151707530</v>
      </c>
      <c r="B6869" t="str">
        <f>"1552375027524388"</f>
        <v>1552375027524388</v>
      </c>
      <c r="C6869" t="s">
        <v>40</v>
      </c>
      <c r="D6869">
        <v>4.687805</v>
      </c>
      <c r="E6869">
        <v>0.54648819999999998</v>
      </c>
      <c r="F6869" t="s">
        <v>58</v>
      </c>
      <c r="G6869">
        <v>-182.03020000000001</v>
      </c>
      <c r="H6869" s="1">
        <v>-2.4908700000000002E-6</v>
      </c>
      <c r="I6869">
        <v>120.9117</v>
      </c>
      <c r="J6869">
        <v>-186.00829999999999</v>
      </c>
      <c r="K6869">
        <v>1.109307</v>
      </c>
      <c r="L6869">
        <v>109.3382</v>
      </c>
      <c r="M6869">
        <v>8.7700620000000007E-2</v>
      </c>
      <c r="N6869">
        <v>0</v>
      </c>
      <c r="O6869">
        <v>0.9960464</v>
      </c>
      <c r="P6869">
        <v>0.20478060000000001</v>
      </c>
      <c r="Q6869">
        <v>4.212461E-2</v>
      </c>
      <c r="R6869">
        <v>0.97790100000000002</v>
      </c>
      <c r="S6869">
        <v>0.97219849999999997</v>
      </c>
      <c r="T6869">
        <v>-0.26948860000000002</v>
      </c>
      <c r="U6869">
        <v>2.876312</v>
      </c>
      <c r="V6869">
        <v>0.11830540000000001</v>
      </c>
      <c r="W6869">
        <v>5.5978409999999999E-2</v>
      </c>
      <c r="X6869">
        <v>0.99139820000000001</v>
      </c>
      <c r="Y6869">
        <v>0.23460919999999999</v>
      </c>
      <c r="Z6869">
        <v>-8.8996820000000004E-2</v>
      </c>
      <c r="AA6869">
        <v>0.96800730000000001</v>
      </c>
      <c r="AB6869">
        <v>29</v>
      </c>
      <c r="AC6869">
        <v>3.97809999999998</v>
      </c>
      <c r="AD6869">
        <v>-1.1093094908700001</v>
      </c>
      <c r="AE6869">
        <v>11.5734999999999</v>
      </c>
      <c r="AF6869">
        <v>2.9236425159701498</v>
      </c>
      <c r="AG6869">
        <v>-1.1093094908700001</v>
      </c>
      <c r="AH6869">
        <v>11.7810171247362</v>
      </c>
      <c r="AI6869">
        <v>95.221679940275607</v>
      </c>
      <c r="AJ6869">
        <v>76.062723032479298</v>
      </c>
      <c r="AK6869">
        <v>12.188954737837401</v>
      </c>
      <c r="AL6869">
        <v>86.790996152820298</v>
      </c>
      <c r="AM6869">
        <v>83.194967236302901</v>
      </c>
      <c r="AN6869">
        <v>1.00000007050926</v>
      </c>
    </row>
    <row r="6870" spans="1:40" x14ac:dyDescent="0.25">
      <c r="A6870" t="str">
        <f>"20190312151707543"</f>
        <v>20190312151707543</v>
      </c>
      <c r="B6870" t="str">
        <f>"1552375027535124"</f>
        <v>1552375027535124</v>
      </c>
      <c r="C6870" t="s">
        <v>40</v>
      </c>
      <c r="D6870">
        <v>4.7073150000000004</v>
      </c>
      <c r="E6870">
        <v>0.54676029999999998</v>
      </c>
      <c r="F6870" t="s">
        <v>58</v>
      </c>
      <c r="G6870">
        <v>-181.99189999999999</v>
      </c>
      <c r="H6870" s="1">
        <v>-2.5487510000000002E-6</v>
      </c>
      <c r="I6870">
        <v>121.0737</v>
      </c>
      <c r="J6870">
        <v>-185.99250000000001</v>
      </c>
      <c r="K6870">
        <v>1.1092470000000001</v>
      </c>
      <c r="L6870">
        <v>109.51090000000001</v>
      </c>
      <c r="M6870">
        <v>8.8277300000000003E-2</v>
      </c>
      <c r="N6870">
        <v>0</v>
      </c>
      <c r="O6870">
        <v>0.99599550000000003</v>
      </c>
      <c r="P6870">
        <v>0.20566329999999999</v>
      </c>
      <c r="Q6870">
        <v>4.2437669999999997E-2</v>
      </c>
      <c r="R6870">
        <v>0.97770230000000002</v>
      </c>
      <c r="S6870">
        <v>0.98344419999999999</v>
      </c>
      <c r="T6870">
        <v>-0.27162589999999998</v>
      </c>
      <c r="U6870">
        <v>2.8735499999999998</v>
      </c>
      <c r="V6870">
        <v>0.11863609999999999</v>
      </c>
      <c r="W6870">
        <v>5.6272639999999999E-2</v>
      </c>
      <c r="X6870">
        <v>0.9913419</v>
      </c>
      <c r="Y6870">
        <v>0.237703</v>
      </c>
      <c r="Z6870">
        <v>-8.9681979999999994E-2</v>
      </c>
      <c r="AA6870">
        <v>0.96718899999999997</v>
      </c>
      <c r="AB6870">
        <v>29</v>
      </c>
      <c r="AC6870">
        <v>4.0006000000000199</v>
      </c>
      <c r="AD6870">
        <v>-1.1092495487509999</v>
      </c>
      <c r="AE6870">
        <v>11.5627999999999</v>
      </c>
      <c r="AF6870">
        <v>2.9399792152516402</v>
      </c>
      <c r="AG6870">
        <v>-1.1092495487509999</v>
      </c>
      <c r="AH6870">
        <v>11.774073535293001</v>
      </c>
      <c r="AI6870">
        <v>95.222593830014802</v>
      </c>
      <c r="AJ6870">
        <v>75.979967125159305</v>
      </c>
      <c r="AK6870">
        <v>12.1861692078357</v>
      </c>
      <c r="AL6870">
        <v>86.774111007540597</v>
      </c>
      <c r="AM6870">
        <v>83.175740315893805</v>
      </c>
      <c r="AN6870">
        <v>0.99999994846569296</v>
      </c>
    </row>
    <row r="6871" spans="1:40" x14ac:dyDescent="0.25">
      <c r="A6871" t="str">
        <f>"20190312151707556"</f>
        <v>20190312151707556</v>
      </c>
      <c r="B6871" t="str">
        <f>"1552375027544883"</f>
        <v>1552375027544883</v>
      </c>
      <c r="C6871" t="s">
        <v>40</v>
      </c>
      <c r="D6871">
        <v>4.7029589999999999</v>
      </c>
      <c r="E6871">
        <v>0.54705539999999997</v>
      </c>
      <c r="F6871" t="s">
        <v>58</v>
      </c>
      <c r="G6871">
        <v>-181.96369999999999</v>
      </c>
      <c r="H6871" s="1">
        <v>-2.5987530000000002E-6</v>
      </c>
      <c r="I6871">
        <v>121.218</v>
      </c>
      <c r="J6871">
        <v>-185.97710000000001</v>
      </c>
      <c r="K6871">
        <v>1.109194</v>
      </c>
      <c r="L6871">
        <v>109.6778</v>
      </c>
      <c r="M6871">
        <v>8.8869039999999996E-2</v>
      </c>
      <c r="N6871">
        <v>0</v>
      </c>
      <c r="O6871">
        <v>0.99594280000000002</v>
      </c>
      <c r="P6871">
        <v>0.20704649999999999</v>
      </c>
      <c r="Q6871">
        <v>4.2668789999999998E-2</v>
      </c>
      <c r="R6871">
        <v>0.97740020000000005</v>
      </c>
      <c r="S6871">
        <v>0.98844909999999997</v>
      </c>
      <c r="T6871">
        <v>-0.27215209999999901</v>
      </c>
      <c r="U6871">
        <v>2.8723139999999998</v>
      </c>
      <c r="V6871">
        <v>0.119459</v>
      </c>
      <c r="W6871">
        <v>5.6484489999999998E-2</v>
      </c>
      <c r="X6871">
        <v>0.99123110000000003</v>
      </c>
      <c r="Y6871">
        <v>0.2387562</v>
      </c>
      <c r="Z6871">
        <v>-8.9847040000000003E-2</v>
      </c>
      <c r="AA6871">
        <v>0.96691419999999995</v>
      </c>
      <c r="AB6871">
        <v>29</v>
      </c>
      <c r="AC6871">
        <v>4.0134000000000096</v>
      </c>
      <c r="AD6871">
        <v>-1.1091965987529999</v>
      </c>
      <c r="AE6871">
        <v>11.540199999999899</v>
      </c>
      <c r="AF6871">
        <v>2.9475556759361998</v>
      </c>
      <c r="AG6871">
        <v>-1.1091965987529999</v>
      </c>
      <c r="AH6871">
        <v>11.754359403227101</v>
      </c>
      <c r="AI6871">
        <v>95.229753693845794</v>
      </c>
      <c r="AJ6871">
        <v>75.9226314308588</v>
      </c>
      <c r="AK6871">
        <v>12.16895092182</v>
      </c>
      <c r="AL6871">
        <v>86.761953797335707</v>
      </c>
      <c r="AM6871">
        <v>83.128095241607298</v>
      </c>
      <c r="AN6871">
        <v>1.0000000219493801</v>
      </c>
    </row>
    <row r="6872" spans="1:40" x14ac:dyDescent="0.25">
      <c r="A6872" t="str">
        <f>"20190312151707584"</f>
        <v>20190312151707584</v>
      </c>
      <c r="B6872" t="str">
        <f>"1552375027575139"</f>
        <v>1552375027575139</v>
      </c>
      <c r="C6872" t="s">
        <v>40</v>
      </c>
      <c r="D6872">
        <v>4.6526209999999999</v>
      </c>
      <c r="E6872">
        <v>0.54774679999999998</v>
      </c>
      <c r="F6872" t="s">
        <v>58</v>
      </c>
      <c r="G6872">
        <v>-181.93639999999999</v>
      </c>
      <c r="H6872" s="1">
        <v>-2.6410799999999999E-6</v>
      </c>
      <c r="I6872">
        <v>121.337</v>
      </c>
      <c r="J6872">
        <v>-185.94309999999999</v>
      </c>
      <c r="K6872">
        <v>1.1090869999999999</v>
      </c>
      <c r="L6872">
        <v>110.04130000000001</v>
      </c>
      <c r="M6872">
        <v>9.0318990000000002E-2</v>
      </c>
      <c r="N6872">
        <v>0</v>
      </c>
      <c r="O6872">
        <v>0.99581240000000004</v>
      </c>
      <c r="P6872">
        <v>0.2096229</v>
      </c>
      <c r="Q6872">
        <v>4.2013330000000002E-2</v>
      </c>
      <c r="R6872">
        <v>0.97687930000000001</v>
      </c>
      <c r="S6872">
        <v>0.99484249999999996</v>
      </c>
      <c r="T6872">
        <v>-0.27309050000000001</v>
      </c>
      <c r="U6872">
        <v>2.8705599999999998</v>
      </c>
      <c r="V6872">
        <v>0.120641899999999</v>
      </c>
      <c r="W6872">
        <v>5.5789400000000003E-2</v>
      </c>
      <c r="X6872">
        <v>0.99112719999999999</v>
      </c>
      <c r="Y6872">
        <v>0.2394395</v>
      </c>
      <c r="Z6872">
        <v>-9.0148790000000006E-2</v>
      </c>
      <c r="AA6872">
        <v>0.9667171</v>
      </c>
      <c r="AB6872">
        <v>28</v>
      </c>
      <c r="AC6872">
        <v>4.0066999999999897</v>
      </c>
      <c r="AD6872">
        <v>-1.10908964108</v>
      </c>
      <c r="AE6872">
        <v>11.295699999999901</v>
      </c>
      <c r="AF6872">
        <v>2.9447856399468302</v>
      </c>
      <c r="AG6872">
        <v>-1.10908964108</v>
      </c>
      <c r="AH6872">
        <v>11.512853889919599</v>
      </c>
      <c r="AI6872">
        <v>95.331982001619096</v>
      </c>
      <c r="AJ6872">
        <v>75.652363682785193</v>
      </c>
      <c r="AK6872">
        <v>11.9351433584949</v>
      </c>
      <c r="AL6872">
        <v>86.801842434483902</v>
      </c>
      <c r="AM6872">
        <v>83.059988585217397</v>
      </c>
      <c r="AN6872">
        <v>1.0000000258838999</v>
      </c>
    </row>
    <row r="6873" spans="1:40" x14ac:dyDescent="0.25">
      <c r="A6873" t="str">
        <f>"20190312151707608"</f>
        <v>20190312151707608</v>
      </c>
      <c r="B6873" t="str">
        <f>"1552375027604420"</f>
        <v>1552375027604420</v>
      </c>
      <c r="C6873" t="s">
        <v>40</v>
      </c>
      <c r="D6873">
        <v>4.6679740000000001</v>
      </c>
      <c r="E6873">
        <v>0.548373</v>
      </c>
      <c r="F6873" t="s">
        <v>58</v>
      </c>
      <c r="G6873">
        <v>-181.9494</v>
      </c>
      <c r="H6873" s="1">
        <v>-2.6555260000000001E-6</v>
      </c>
      <c r="I6873">
        <v>121.3978</v>
      </c>
      <c r="J6873">
        <v>-185.9151</v>
      </c>
      <c r="K6873">
        <v>1.108994</v>
      </c>
      <c r="L6873">
        <v>110.33459999999999</v>
      </c>
      <c r="M6873">
        <v>9.1612059999999995E-2</v>
      </c>
      <c r="N6873">
        <v>0</v>
      </c>
      <c r="O6873">
        <v>0.99569430000000003</v>
      </c>
      <c r="P6873">
        <v>0.21183399999999999</v>
      </c>
      <c r="Q6873">
        <v>4.1722090000000003E-2</v>
      </c>
      <c r="R6873">
        <v>0.97641469999999997</v>
      </c>
      <c r="S6873">
        <v>1.0081180000000001</v>
      </c>
      <c r="T6873">
        <v>-0.27996589999999999</v>
      </c>
      <c r="U6873">
        <v>2.866714</v>
      </c>
      <c r="V6873">
        <v>0.1216093</v>
      </c>
      <c r="W6873">
        <v>5.5467089999999997E-2</v>
      </c>
      <c r="X6873">
        <v>0.99102710000000005</v>
      </c>
      <c r="Y6873">
        <v>0.24250060000000001</v>
      </c>
      <c r="Z6873">
        <v>-9.2394390000000007E-2</v>
      </c>
      <c r="AA6873">
        <v>0.96574159999999998</v>
      </c>
      <c r="AB6873">
        <v>28</v>
      </c>
      <c r="AC6873">
        <v>3.9656999999999898</v>
      </c>
      <c r="AD6873">
        <v>-1.108996655526</v>
      </c>
      <c r="AE6873">
        <v>11.0632</v>
      </c>
      <c r="AF6873">
        <v>2.9094890423451001</v>
      </c>
      <c r="AG6873">
        <v>-1.108996655526</v>
      </c>
      <c r="AH6873">
        <v>11.2795729017834</v>
      </c>
      <c r="AI6873">
        <v>95.438332493713105</v>
      </c>
      <c r="AJ6873">
        <v>75.536223398157603</v>
      </c>
      <c r="AK6873">
        <v>11.701442856167001</v>
      </c>
      <c r="AL6873">
        <v>86.820338205396496</v>
      </c>
      <c r="AM6873">
        <v>83.004187850151993</v>
      </c>
      <c r="AN6873">
        <v>1.0000000664269799</v>
      </c>
    </row>
    <row r="6874" spans="1:40" x14ac:dyDescent="0.25">
      <c r="A6874" t="str">
        <f>"20190312151707629"</f>
        <v>20190312151707629</v>
      </c>
      <c r="B6874" t="str">
        <f>"1552375027624916"</f>
        <v>1552375027624916</v>
      </c>
      <c r="C6874" t="s">
        <v>40</v>
      </c>
      <c r="D6874">
        <v>4.6455919999999997</v>
      </c>
      <c r="E6874">
        <v>0.54871819999999905</v>
      </c>
      <c r="F6874" t="s">
        <v>58</v>
      </c>
      <c r="G6874">
        <v>-181.97499999999999</v>
      </c>
      <c r="H6874" s="1">
        <v>-2.6507330000000002E-6</v>
      </c>
      <c r="I6874">
        <v>121.40470000000001</v>
      </c>
      <c r="J6874">
        <v>-185.88820000000001</v>
      </c>
      <c r="K6874">
        <v>1.108914</v>
      </c>
      <c r="L6874">
        <v>110.61150000000001</v>
      </c>
      <c r="M6874">
        <v>9.294318E-2</v>
      </c>
      <c r="N6874">
        <v>0</v>
      </c>
      <c r="O6874">
        <v>0.99557099999999998</v>
      </c>
      <c r="P6874">
        <v>0.21348510000000001</v>
      </c>
      <c r="Q6874">
        <v>4.1079739999999997E-2</v>
      </c>
      <c r="R6874">
        <v>0.97608229999999996</v>
      </c>
      <c r="S6874">
        <v>1.0192110000000001</v>
      </c>
      <c r="T6874">
        <v>-0.28687319999999999</v>
      </c>
      <c r="U6874">
        <v>2.8636020000000002</v>
      </c>
      <c r="V6874">
        <v>0.1219678</v>
      </c>
      <c r="W6874">
        <v>5.4798149999999997E-2</v>
      </c>
      <c r="X6874">
        <v>0.99102020000000002</v>
      </c>
      <c r="Y6874">
        <v>0.24478549999999999</v>
      </c>
      <c r="Z6874">
        <v>-9.4645000000000007E-2</v>
      </c>
      <c r="AA6874">
        <v>0.96494690000000005</v>
      </c>
      <c r="AB6874">
        <v>28</v>
      </c>
      <c r="AC6874">
        <v>3.91320000000001</v>
      </c>
      <c r="AD6874">
        <v>-1.1089166507329999</v>
      </c>
      <c r="AE6874">
        <v>10.793200000000001</v>
      </c>
      <c r="AF6874">
        <v>2.8662623522697599</v>
      </c>
      <c r="AG6874">
        <v>-1.1089166507329999</v>
      </c>
      <c r="AH6874">
        <v>11.007517555887</v>
      </c>
      <c r="AI6874">
        <v>95.568217240074105</v>
      </c>
      <c r="AJ6874">
        <v>75.404782918395796</v>
      </c>
      <c r="AK6874">
        <v>11.4284994095232</v>
      </c>
      <c r="AL6874">
        <v>86.8587238454719</v>
      </c>
      <c r="AM6874">
        <v>82.983721332918094</v>
      </c>
      <c r="AN6874">
        <v>1.0000000091441501</v>
      </c>
    </row>
    <row r="6875" spans="1:40" x14ac:dyDescent="0.25">
      <c r="A6875" t="str">
        <f>"20190312151707652"</f>
        <v>20190312151707652</v>
      </c>
      <c r="B6875" t="str">
        <f>"1552375027644439"</f>
        <v>1552375027644439</v>
      </c>
      <c r="C6875" t="s">
        <v>40</v>
      </c>
      <c r="D6875">
        <v>4.6462260000000004</v>
      </c>
      <c r="E6875">
        <v>0.54919549999999995</v>
      </c>
      <c r="F6875" t="s">
        <v>58</v>
      </c>
      <c r="G6875">
        <v>-181.99850000000001</v>
      </c>
      <c r="H6875" s="1">
        <v>-2.658744E-6</v>
      </c>
      <c r="I6875">
        <v>121.45310000000001</v>
      </c>
      <c r="J6875">
        <v>-185.86070000000001</v>
      </c>
      <c r="K6875">
        <v>1.1088260000000001</v>
      </c>
      <c r="L6875">
        <v>110.8904</v>
      </c>
      <c r="M6875">
        <v>9.4405069999999994E-2</v>
      </c>
      <c r="N6875">
        <v>0</v>
      </c>
      <c r="O6875">
        <v>0.99543340000000002</v>
      </c>
      <c r="P6875">
        <v>0.21535219999999999</v>
      </c>
      <c r="Q6875">
        <v>4.1464910000000001E-2</v>
      </c>
      <c r="R6875">
        <v>0.97565570000000001</v>
      </c>
      <c r="S6875">
        <v>1.0265660000000001</v>
      </c>
      <c r="T6875">
        <v>-0.29266350000000002</v>
      </c>
      <c r="U6875">
        <v>2.8612980000000001</v>
      </c>
      <c r="V6875">
        <v>0.1224234</v>
      </c>
      <c r="W6875">
        <v>5.5152850000000003E-2</v>
      </c>
      <c r="X6875">
        <v>0.9909443</v>
      </c>
      <c r="Y6875">
        <v>0.2457453</v>
      </c>
      <c r="Z6875">
        <v>-9.6537419999999999E-2</v>
      </c>
      <c r="AA6875">
        <v>0.96451529999999996</v>
      </c>
      <c r="AB6875">
        <v>28</v>
      </c>
      <c r="AC6875">
        <v>3.8622000000000001</v>
      </c>
      <c r="AD6875">
        <v>-1.1088286587439999</v>
      </c>
      <c r="AE6875">
        <v>10.5627</v>
      </c>
      <c r="AF6875">
        <v>2.8202613193731598</v>
      </c>
      <c r="AG6875">
        <v>-1.1088286587439999</v>
      </c>
      <c r="AH6875">
        <v>10.7754229012448</v>
      </c>
      <c r="AI6875">
        <v>95.685076744100996</v>
      </c>
      <c r="AJ6875">
        <v>75.332928447831506</v>
      </c>
      <c r="AK6875">
        <v>11.193440650875599</v>
      </c>
      <c r="AL6875">
        <v>86.838370114451095</v>
      </c>
      <c r="AM6875">
        <v>82.957241343593495</v>
      </c>
      <c r="AN6875">
        <v>0.999999965716585</v>
      </c>
    </row>
    <row r="6876" spans="1:40" x14ac:dyDescent="0.25">
      <c r="A6876" t="str">
        <f>"20190312151707676"</f>
        <v>20190312151707676</v>
      </c>
      <c r="B6876" t="str">
        <f>"1552375027664931"</f>
        <v>1552375027664931</v>
      </c>
      <c r="C6876" t="s">
        <v>40</v>
      </c>
      <c r="D6876">
        <v>4.6270850000000001</v>
      </c>
      <c r="E6876">
        <v>0.54942290000000005</v>
      </c>
      <c r="F6876" t="s">
        <v>58</v>
      </c>
      <c r="G6876">
        <v>-181.96299999999999</v>
      </c>
      <c r="H6876" s="1">
        <v>-2.7250519999999999E-6</v>
      </c>
      <c r="I6876">
        <v>121.64619999999999</v>
      </c>
      <c r="J6876">
        <v>-185.8313</v>
      </c>
      <c r="K6876">
        <v>1.1087279999999999</v>
      </c>
      <c r="L6876">
        <v>111.181</v>
      </c>
      <c r="M6876">
        <v>9.6078189999999994E-2</v>
      </c>
      <c r="N6876">
        <v>0</v>
      </c>
      <c r="O6876">
        <v>0.99527339999999997</v>
      </c>
      <c r="P6876">
        <v>0.21769759999999999</v>
      </c>
      <c r="Q6876">
        <v>4.1558589999999999E-2</v>
      </c>
      <c r="R6876">
        <v>0.97513110000000003</v>
      </c>
      <c r="S6876">
        <v>1.035919</v>
      </c>
      <c r="T6876">
        <v>-0.29470800000000003</v>
      </c>
      <c r="U6876">
        <v>2.8587189999999998</v>
      </c>
      <c r="V6876">
        <v>0.1231556</v>
      </c>
      <c r="W6876">
        <v>5.5211419999999997E-2</v>
      </c>
      <c r="X6876">
        <v>0.99085029999999996</v>
      </c>
      <c r="Y6876">
        <v>0.24716350000000001</v>
      </c>
      <c r="Z6876">
        <v>-9.7193710000000003E-2</v>
      </c>
      <c r="AA6876">
        <v>0.96408689999999997</v>
      </c>
      <c r="AB6876">
        <v>28</v>
      </c>
      <c r="AC6876">
        <v>3.8683000000000001</v>
      </c>
      <c r="AD6876">
        <v>-1.108730725052</v>
      </c>
      <c r="AE6876">
        <v>10.4651999999999</v>
      </c>
      <c r="AF6876">
        <v>2.8170049027311301</v>
      </c>
      <c r="AG6876">
        <v>-1.108730725052</v>
      </c>
      <c r="AH6876">
        <v>10.682977844778</v>
      </c>
      <c r="AI6876">
        <v>95.730700357502002</v>
      </c>
      <c r="AJ6876">
        <v>75.227875558040907</v>
      </c>
      <c r="AK6876">
        <v>11.103639766973</v>
      </c>
      <c r="AL6876">
        <v>86.835009160934703</v>
      </c>
      <c r="AM6876">
        <v>82.914880932568394</v>
      </c>
      <c r="AN6876">
        <v>0.99999995985993195</v>
      </c>
    </row>
    <row r="6877" spans="1:40" x14ac:dyDescent="0.25">
      <c r="A6877" t="str">
        <f>"20190312151707699"</f>
        <v>20190312151707699</v>
      </c>
      <c r="B6877" t="str">
        <f>"1552375027695188"</f>
        <v>1552375027695188</v>
      </c>
      <c r="C6877" t="s">
        <v>40</v>
      </c>
      <c r="D6877">
        <v>4.6674829999999998</v>
      </c>
      <c r="E6877">
        <v>0.54955520000000002</v>
      </c>
      <c r="F6877" t="s">
        <v>58</v>
      </c>
      <c r="G6877">
        <v>-181.9213</v>
      </c>
      <c r="H6877" s="1">
        <v>-2.8029509999999998E-6</v>
      </c>
      <c r="I6877">
        <v>121.873</v>
      </c>
      <c r="J6877">
        <v>-185.8015</v>
      </c>
      <c r="K6877">
        <v>1.108622</v>
      </c>
      <c r="L6877">
        <v>111.4692</v>
      </c>
      <c r="M6877">
        <v>9.7879110000000005E-2</v>
      </c>
      <c r="N6877">
        <v>0</v>
      </c>
      <c r="O6877">
        <v>0.99509789999999998</v>
      </c>
      <c r="P6877">
        <v>0.22023239999999999</v>
      </c>
      <c r="Q6877">
        <v>4.135664E-2</v>
      </c>
      <c r="R6877">
        <v>0.9745703</v>
      </c>
      <c r="S6877">
        <v>1.044403</v>
      </c>
      <c r="T6877">
        <v>-0.29615809999999998</v>
      </c>
      <c r="U6877">
        <v>2.855972</v>
      </c>
      <c r="V6877">
        <v>0.1239524</v>
      </c>
      <c r="W6877">
        <v>5.4973359999999999E-2</v>
      </c>
      <c r="X6877">
        <v>0.99076419999999998</v>
      </c>
      <c r="Y6877">
        <v>0.24822</v>
      </c>
      <c r="Z6877">
        <v>-9.7667589999999999E-2</v>
      </c>
      <c r="AA6877">
        <v>0.9637675</v>
      </c>
      <c r="AB6877">
        <v>28</v>
      </c>
      <c r="AC6877">
        <v>3.8801999999999999</v>
      </c>
      <c r="AD6877">
        <v>-1.108624802951</v>
      </c>
      <c r="AE6877">
        <v>10.403799999999899</v>
      </c>
      <c r="AF6877">
        <v>2.8150865072409501</v>
      </c>
      <c r="AG6877">
        <v>-1.108624802951</v>
      </c>
      <c r="AH6877">
        <v>10.6277217142962</v>
      </c>
      <c r="AI6877">
        <v>95.758066973624906</v>
      </c>
      <c r="AJ6877">
        <v>75.164118991673007</v>
      </c>
      <c r="AK6877">
        <v>11.049987775264301</v>
      </c>
      <c r="AL6877">
        <v>86.848669817442598</v>
      </c>
      <c r="AM6877">
        <v>82.868898248655597</v>
      </c>
      <c r="AN6877">
        <v>0.99999998388854405</v>
      </c>
    </row>
    <row r="6878" spans="1:40" x14ac:dyDescent="0.25">
      <c r="A6878" t="str">
        <f>"20190312151707720"</f>
        <v>20190312151707720</v>
      </c>
      <c r="B6878" t="str">
        <f>"1552375027714707"</f>
        <v>1552375027714707</v>
      </c>
      <c r="C6878" t="s">
        <v>40</v>
      </c>
      <c r="D6878">
        <v>4.6481139999999996</v>
      </c>
      <c r="E6878">
        <v>0.54959069999999899</v>
      </c>
      <c r="F6878" t="s">
        <v>58</v>
      </c>
      <c r="G6878">
        <v>-181.89410000000001</v>
      </c>
      <c r="H6878" s="1">
        <v>-2.8643369999999998E-6</v>
      </c>
      <c r="I6878">
        <v>122.0568</v>
      </c>
      <c r="J6878">
        <v>-185.773</v>
      </c>
      <c r="K6878">
        <v>1.108525</v>
      </c>
      <c r="L6878">
        <v>111.7388</v>
      </c>
      <c r="M6878">
        <v>9.9669389999999997E-2</v>
      </c>
      <c r="N6878">
        <v>0</v>
      </c>
      <c r="O6878">
        <v>0.99492009999999997</v>
      </c>
      <c r="P6878">
        <v>0.22269369999999999</v>
      </c>
      <c r="Q6878">
        <v>4.1194330000000001E-2</v>
      </c>
      <c r="R6878">
        <v>0.97401769999999999</v>
      </c>
      <c r="S6878">
        <v>1.0529170000000001</v>
      </c>
      <c r="T6878">
        <v>-0.29873899999999998</v>
      </c>
      <c r="U6878">
        <v>2.8530120000000001</v>
      </c>
      <c r="V6878">
        <v>0.12468410000000001</v>
      </c>
      <c r="W6878">
        <v>5.4780530000000001E-2</v>
      </c>
      <c r="X6878">
        <v>0.99068310000000004</v>
      </c>
      <c r="Y6878">
        <v>0.2493051</v>
      </c>
      <c r="Z6878">
        <v>-9.8516080000000006E-2</v>
      </c>
      <c r="AA6878">
        <v>0.96340099999999995</v>
      </c>
      <c r="AB6878">
        <v>28</v>
      </c>
      <c r="AC6878">
        <v>3.8788999999999798</v>
      </c>
      <c r="AD6878">
        <v>-1.108527864337</v>
      </c>
      <c r="AE6878">
        <v>10.3179999999999</v>
      </c>
      <c r="AF6878">
        <v>2.8027450024971099</v>
      </c>
      <c r="AG6878">
        <v>-1.108527864337</v>
      </c>
      <c r="AH6878">
        <v>10.546597924339601</v>
      </c>
      <c r="AI6878">
        <v>95.800314272858799</v>
      </c>
      <c r="AJ6878">
        <v>75.117696228393498</v>
      </c>
      <c r="AK6878">
        <v>10.968816770860901</v>
      </c>
      <c r="AL6878">
        <v>86.859734943447606</v>
      </c>
      <c r="AM6878">
        <v>82.826658947201807</v>
      </c>
      <c r="AN6878">
        <v>1.00000001794275</v>
      </c>
    </row>
    <row r="6879" spans="1:40" x14ac:dyDescent="0.25">
      <c r="A6879" t="str">
        <f>"20190312151707741"</f>
        <v>20190312151707741</v>
      </c>
      <c r="B6879" t="str">
        <f>"1552375027734227"</f>
        <v>1552375027734227</v>
      </c>
      <c r="C6879" t="s">
        <v>40</v>
      </c>
      <c r="D6879">
        <v>4.6534170000000001</v>
      </c>
      <c r="E6879">
        <v>0.54965839999999999</v>
      </c>
      <c r="F6879" t="s">
        <v>58</v>
      </c>
      <c r="G6879">
        <v>-181.85990000000001</v>
      </c>
      <c r="H6879" s="1">
        <v>-2.9330550000000002E-6</v>
      </c>
      <c r="I6879">
        <v>122.25920000000001</v>
      </c>
      <c r="J6879">
        <v>-185.74379999999999</v>
      </c>
      <c r="K6879">
        <v>1.1084430000000001</v>
      </c>
      <c r="L6879">
        <v>112.0102</v>
      </c>
      <c r="M6879">
        <v>0.1015807</v>
      </c>
      <c r="N6879">
        <v>0</v>
      </c>
      <c r="O6879">
        <v>0.99472680000000002</v>
      </c>
      <c r="P6879">
        <v>0.2257565</v>
      </c>
      <c r="Q6879">
        <v>4.0921260000000001E-2</v>
      </c>
      <c r="R6879">
        <v>0.97332390000000002</v>
      </c>
      <c r="S6879">
        <v>1.060211</v>
      </c>
      <c r="T6879">
        <v>-0.30033779999999999</v>
      </c>
      <c r="U6879">
        <v>2.8503270000000001</v>
      </c>
      <c r="V6879">
        <v>0.1259065</v>
      </c>
      <c r="W6879">
        <v>5.447581E-2</v>
      </c>
      <c r="X6879">
        <v>0.99054529999999996</v>
      </c>
      <c r="Y6879">
        <v>0.2498889</v>
      </c>
      <c r="Z6879">
        <v>-9.9045800000000003E-2</v>
      </c>
      <c r="AA6879">
        <v>0.96319540000000003</v>
      </c>
      <c r="AB6879">
        <v>28</v>
      </c>
      <c r="AC6879">
        <v>3.8838999999999801</v>
      </c>
      <c r="AD6879">
        <v>-1.1084459330550001</v>
      </c>
      <c r="AE6879">
        <v>10.249000000000001</v>
      </c>
      <c r="AF6879">
        <v>2.7940238355035198</v>
      </c>
      <c r="AG6879">
        <v>-1.1084459330550001</v>
      </c>
      <c r="AH6879">
        <v>10.4833200123472</v>
      </c>
      <c r="AI6879">
        <v>95.833544252543305</v>
      </c>
      <c r="AJ6879">
        <v>75.076380693195105</v>
      </c>
      <c r="AK6879">
        <v>10.9057425268135</v>
      </c>
      <c r="AL6879">
        <v>86.8772202478754</v>
      </c>
      <c r="AM6879">
        <v>82.756078054617205</v>
      </c>
      <c r="AN6879">
        <v>1.0000000259847399</v>
      </c>
    </row>
    <row r="6880" spans="1:40" x14ac:dyDescent="0.25">
      <c r="A6880" t="str">
        <f>"20190312151707763"</f>
        <v>20190312151707763</v>
      </c>
      <c r="B6880" t="str">
        <f>"1552375027754727"</f>
        <v>1552375027754727</v>
      </c>
      <c r="C6880" t="s">
        <v>40</v>
      </c>
      <c r="D6880">
        <v>4.6410679999999997</v>
      </c>
      <c r="E6880">
        <v>0.54982050000000005</v>
      </c>
      <c r="F6880" t="s">
        <v>58</v>
      </c>
      <c r="G6880">
        <v>-181.8295</v>
      </c>
      <c r="H6880" s="1">
        <v>-2.990468E-6</v>
      </c>
      <c r="I6880">
        <v>122.4268</v>
      </c>
      <c r="J6880">
        <v>-185.7133</v>
      </c>
      <c r="K6880">
        <v>1.108366</v>
      </c>
      <c r="L6880">
        <v>112.2865</v>
      </c>
      <c r="M6880">
        <v>0.1036465</v>
      </c>
      <c r="N6880">
        <v>0</v>
      </c>
      <c r="O6880">
        <v>0.99451369999999895</v>
      </c>
      <c r="P6880">
        <v>0.2290634</v>
      </c>
      <c r="Q6880">
        <v>4.1377289999999997E-2</v>
      </c>
      <c r="R6880">
        <v>0.9725317</v>
      </c>
      <c r="S6880">
        <v>1.0697479999999999</v>
      </c>
      <c r="T6880">
        <v>-0.30293619999999999</v>
      </c>
      <c r="U6880">
        <v>2.846832</v>
      </c>
      <c r="V6880">
        <v>0.12723119999999999</v>
      </c>
      <c r="W6880">
        <v>5.4899089999999998E-2</v>
      </c>
      <c r="X6880">
        <v>0.99035260000000003</v>
      </c>
      <c r="Y6880">
        <v>0.25106499999999998</v>
      </c>
      <c r="Z6880">
        <v>-9.9903660000000005E-2</v>
      </c>
      <c r="AA6880">
        <v>0.96280089999999996</v>
      </c>
      <c r="AB6880">
        <v>28</v>
      </c>
      <c r="AC6880">
        <v>3.8837999999999999</v>
      </c>
      <c r="AD6880">
        <v>-1.1083689904680001</v>
      </c>
      <c r="AE6880">
        <v>10.1402999999999</v>
      </c>
      <c r="AF6880">
        <v>2.7827734711037202</v>
      </c>
      <c r="AG6880">
        <v>-1.1083689904680001</v>
      </c>
      <c r="AH6880">
        <v>10.380109162807299</v>
      </c>
      <c r="AI6880">
        <v>95.888450865333795</v>
      </c>
      <c r="AJ6880">
        <v>74.992627478156606</v>
      </c>
      <c r="AK6880">
        <v>10.8036556888076</v>
      </c>
      <c r="AL6880">
        <v>86.852931599733395</v>
      </c>
      <c r="AM6880">
        <v>82.679276105091802</v>
      </c>
      <c r="AN6880">
        <v>0.99999998033151305</v>
      </c>
    </row>
    <row r="6881" spans="1:40" x14ac:dyDescent="0.25">
      <c r="A6881" t="str">
        <f>"20190312151707784"</f>
        <v>20190312151707784</v>
      </c>
      <c r="B6881" t="str">
        <f>"1552375027774243"</f>
        <v>1552375027774243</v>
      </c>
      <c r="C6881" t="s">
        <v>40</v>
      </c>
      <c r="D6881">
        <v>4.635599</v>
      </c>
      <c r="E6881">
        <v>0.54994719999999997</v>
      </c>
      <c r="F6881" t="s">
        <v>58</v>
      </c>
      <c r="G6881">
        <v>-181.75370000000001</v>
      </c>
      <c r="H6881" s="1">
        <v>-3.0917789999999998E-6</v>
      </c>
      <c r="I6881">
        <v>122.7022</v>
      </c>
      <c r="J6881">
        <v>-185.68170000000001</v>
      </c>
      <c r="K6881">
        <v>1.1082879999999999</v>
      </c>
      <c r="L6881">
        <v>112.5663</v>
      </c>
      <c r="M6881">
        <v>0.1058571</v>
      </c>
      <c r="N6881">
        <v>0</v>
      </c>
      <c r="O6881">
        <v>0.99428079999999996</v>
      </c>
      <c r="P6881">
        <v>0.2323556</v>
      </c>
      <c r="Q6881">
        <v>4.1648400000000002E-2</v>
      </c>
      <c r="R6881">
        <v>0.97173880000000001</v>
      </c>
      <c r="S6881">
        <v>1.080811</v>
      </c>
      <c r="T6881">
        <v>-0.30253740000000001</v>
      </c>
      <c r="U6881">
        <v>2.843048</v>
      </c>
      <c r="V6881">
        <v>0.1283975</v>
      </c>
      <c r="W6881">
        <v>5.5138090000000001E-2</v>
      </c>
      <c r="X6881">
        <v>0.99018879999999998</v>
      </c>
      <c r="Y6881">
        <v>0.25261790000000001</v>
      </c>
      <c r="Z6881">
        <v>-9.9775020000000006E-2</v>
      </c>
      <c r="AA6881">
        <v>0.96240800000000004</v>
      </c>
      <c r="AB6881">
        <v>28</v>
      </c>
      <c r="AC6881">
        <v>3.9279999999999902</v>
      </c>
      <c r="AD6881">
        <v>-1.1082910917790001</v>
      </c>
      <c r="AE6881">
        <v>10.135899999999999</v>
      </c>
      <c r="AF6881">
        <v>2.8037171549561299</v>
      </c>
      <c r="AG6881">
        <v>-1.1082910917790001</v>
      </c>
      <c r="AH6881">
        <v>10.386817831937501</v>
      </c>
      <c r="AI6881">
        <v>95.881562557692902</v>
      </c>
      <c r="AJ6881">
        <v>74.894145562237895</v>
      </c>
      <c r="AK6881">
        <v>10.8155038580256</v>
      </c>
      <c r="AL6881">
        <v>86.839217176307002</v>
      </c>
      <c r="AM6881">
        <v>82.611698064791199</v>
      </c>
      <c r="AN6881">
        <v>0.99999999331026901</v>
      </c>
    </row>
    <row r="6882" spans="1:40" x14ac:dyDescent="0.25">
      <c r="A6882" t="str">
        <f>"20190312151707809"</f>
        <v>20190312151707809</v>
      </c>
      <c r="B6882" t="str">
        <f>"1552375027804500"</f>
        <v>1552375027804500</v>
      </c>
      <c r="C6882" t="s">
        <v>40</v>
      </c>
      <c r="D6882">
        <v>4.5789619999999998</v>
      </c>
      <c r="E6882">
        <v>0.55020400000000003</v>
      </c>
      <c r="F6882" t="s">
        <v>58</v>
      </c>
      <c r="G6882">
        <v>-181.69540000000001</v>
      </c>
      <c r="H6882" s="1">
        <v>-3.1753170000000002E-6</v>
      </c>
      <c r="I6882">
        <v>122.9331</v>
      </c>
      <c r="J6882">
        <v>-185.64840000000001</v>
      </c>
      <c r="K6882">
        <v>1.1082000000000001</v>
      </c>
      <c r="L6882">
        <v>112.8553</v>
      </c>
      <c r="M6882">
        <v>0.10825650000000001</v>
      </c>
      <c r="N6882">
        <v>0</v>
      </c>
      <c r="O6882">
        <v>0.99402239999999997</v>
      </c>
      <c r="P6882">
        <v>0.2358258</v>
      </c>
      <c r="Q6882">
        <v>4.1753159999999997E-2</v>
      </c>
      <c r="R6882">
        <v>0.97089800000000004</v>
      </c>
      <c r="S6882">
        <v>1.091766</v>
      </c>
      <c r="T6882">
        <v>-0.3035312</v>
      </c>
      <c r="U6882">
        <v>2.8392029999999999</v>
      </c>
      <c r="V6882">
        <v>0.1295587</v>
      </c>
      <c r="W6882">
        <v>5.5208550000000002E-2</v>
      </c>
      <c r="X6882">
        <v>0.99003359999999996</v>
      </c>
      <c r="Y6882">
        <v>0.2539439</v>
      </c>
      <c r="Z6882">
        <v>-0.1001017</v>
      </c>
      <c r="AA6882">
        <v>0.96202500000000002</v>
      </c>
      <c r="AB6882">
        <v>28</v>
      </c>
      <c r="AC6882">
        <v>3.9529999999999998</v>
      </c>
      <c r="AD6882">
        <v>-1.1082031753170001</v>
      </c>
      <c r="AE6882">
        <v>10.0777999999999</v>
      </c>
      <c r="AF6882">
        <v>2.8092268216163401</v>
      </c>
      <c r="AG6882">
        <v>-1.1082031753170001</v>
      </c>
      <c r="AH6882">
        <v>10.3381989114659</v>
      </c>
      <c r="AI6882">
        <v>95.905894421382499</v>
      </c>
      <c r="AJ6882">
        <v>74.797933782426</v>
      </c>
      <c r="AK6882">
        <v>10.770247274139299</v>
      </c>
      <c r="AL6882">
        <v>86.835173930454999</v>
      </c>
      <c r="AM6882">
        <v>82.544472555491893</v>
      </c>
      <c r="AN6882">
        <v>0.99999998493387598</v>
      </c>
    </row>
    <row r="6883" spans="1:40" x14ac:dyDescent="0.25">
      <c r="A6883" t="str">
        <f>"20190312151707830"</f>
        <v>20190312151707830</v>
      </c>
      <c r="B6883" t="str">
        <f>"1552375027824996"</f>
        <v>1552375027824996</v>
      </c>
      <c r="C6883" t="s">
        <v>40</v>
      </c>
      <c r="D6883">
        <v>4.5752689999999996</v>
      </c>
      <c r="E6883">
        <v>0.55038719999999997</v>
      </c>
      <c r="F6883" t="s">
        <v>58</v>
      </c>
      <c r="G6883">
        <v>-181.66079999999999</v>
      </c>
      <c r="H6883" s="1">
        <v>-3.2325840000000002E-6</v>
      </c>
      <c r="I6883">
        <v>123.0964</v>
      </c>
      <c r="J6883">
        <v>-185.6156</v>
      </c>
      <c r="K6883">
        <v>1.1081160000000001</v>
      </c>
      <c r="L6883">
        <v>113.1322</v>
      </c>
      <c r="M6883">
        <v>0.11066230000000001</v>
      </c>
      <c r="N6883">
        <v>0</v>
      </c>
      <c r="O6883">
        <v>0.99375740000000001</v>
      </c>
      <c r="P6883">
        <v>0.23910229999999999</v>
      </c>
      <c r="Q6883">
        <v>4.1784109999999999E-2</v>
      </c>
      <c r="R6883">
        <v>0.97009489999999998</v>
      </c>
      <c r="S6883">
        <v>1.1038509999999999</v>
      </c>
      <c r="T6883">
        <v>-0.30677769999999999</v>
      </c>
      <c r="U6883">
        <v>2.834991</v>
      </c>
      <c r="V6883">
        <v>0.13051679999999999</v>
      </c>
      <c r="W6883">
        <v>5.520808E-2</v>
      </c>
      <c r="X6883">
        <v>0.9899078</v>
      </c>
      <c r="Y6883">
        <v>0.25560899999999998</v>
      </c>
      <c r="Z6883">
        <v>-0.1011621</v>
      </c>
      <c r="AA6883">
        <v>0.96147300000000002</v>
      </c>
      <c r="AB6883">
        <v>28</v>
      </c>
      <c r="AC6883">
        <v>3.9548000000000001</v>
      </c>
      <c r="AD6883">
        <v>-1.1081192325839999</v>
      </c>
      <c r="AE6883">
        <v>9.9641999999999999</v>
      </c>
      <c r="AF6883">
        <v>2.7978397596757598</v>
      </c>
      <c r="AG6883">
        <v>-1.1081192325839999</v>
      </c>
      <c r="AH6883">
        <v>10.2313619378998</v>
      </c>
      <c r="AI6883">
        <v>95.964081499723406</v>
      </c>
      <c r="AJ6883">
        <v>74.705961218290696</v>
      </c>
      <c r="AK6883">
        <v>10.6647364083107</v>
      </c>
      <c r="AL6883">
        <v>86.835200979508798</v>
      </c>
      <c r="AM6883">
        <v>82.489021720418506</v>
      </c>
      <c r="AN6883">
        <v>1.00000000984018</v>
      </c>
    </row>
    <row r="6884" spans="1:40" x14ac:dyDescent="0.25">
      <c r="A6884" t="str">
        <f>"20190312151707853"</f>
        <v>20190312151707853</v>
      </c>
      <c r="B6884" t="str">
        <f>"1552375027844519"</f>
        <v>1552375027844519</v>
      </c>
      <c r="C6884" t="s">
        <v>40</v>
      </c>
      <c r="D6884">
        <v>4.5680990000000001</v>
      </c>
      <c r="E6884">
        <v>0.55056329999999998</v>
      </c>
      <c r="F6884" t="s">
        <v>58</v>
      </c>
      <c r="G6884">
        <v>-181.6069</v>
      </c>
      <c r="H6884" s="1">
        <v>-3.3093159999999998E-6</v>
      </c>
      <c r="I6884">
        <v>123.3082</v>
      </c>
      <c r="J6884">
        <v>-185.58279999999999</v>
      </c>
      <c r="K6884">
        <v>1.1080429999999999</v>
      </c>
      <c r="L6884">
        <v>113.4033</v>
      </c>
      <c r="M6884">
        <v>0.1131128</v>
      </c>
      <c r="N6884">
        <v>0</v>
      </c>
      <c r="O6884">
        <v>0.99348150000000002</v>
      </c>
      <c r="P6884">
        <v>0.2421276</v>
      </c>
      <c r="Q6884">
        <v>4.1562689999999999E-2</v>
      </c>
      <c r="R6884">
        <v>0.96935380000000004</v>
      </c>
      <c r="S6884">
        <v>1.115173</v>
      </c>
      <c r="T6884">
        <v>-0.30826959999999998</v>
      </c>
      <c r="U6884">
        <v>2.8308870000000002</v>
      </c>
      <c r="V6884">
        <v>0.13117229999999999</v>
      </c>
      <c r="W6884">
        <v>5.495908E-2</v>
      </c>
      <c r="X6884">
        <v>0.98983500000000002</v>
      </c>
      <c r="Y6884">
        <v>0.25701180000000001</v>
      </c>
      <c r="Z6884">
        <v>-0.10165200000000001</v>
      </c>
      <c r="AA6884">
        <v>0.96104719999999999</v>
      </c>
      <c r="AB6884">
        <v>28</v>
      </c>
      <c r="AC6884">
        <v>3.97589999999999</v>
      </c>
      <c r="AD6884">
        <v>-1.108046309316</v>
      </c>
      <c r="AE6884">
        <v>9.9048999999999907</v>
      </c>
      <c r="AF6884">
        <v>2.7997199313638799</v>
      </c>
      <c r="AG6884">
        <v>-1.108046309316</v>
      </c>
      <c r="AH6884">
        <v>10.181355280409599</v>
      </c>
      <c r="AI6884">
        <v>95.990452777456696</v>
      </c>
      <c r="AJ6884">
        <v>74.624548029479797</v>
      </c>
      <c r="AK6884">
        <v>10.6172592350187</v>
      </c>
      <c r="AL6884">
        <v>86.849489290768005</v>
      </c>
      <c r="AM6884">
        <v>82.451184160961901</v>
      </c>
      <c r="AN6884">
        <v>0.99999999999336797</v>
      </c>
    </row>
    <row r="6885" spans="1:40" x14ac:dyDescent="0.25">
      <c r="A6885" t="str">
        <f>"20190312151707876"</f>
        <v>20190312151707876</v>
      </c>
      <c r="B6885" t="str">
        <f>"1552375027865012"</f>
        <v>1552375027865012</v>
      </c>
      <c r="C6885" t="s">
        <v>40</v>
      </c>
      <c r="D6885">
        <v>4.5411109999999999</v>
      </c>
      <c r="E6885">
        <v>0.55072189999999999</v>
      </c>
      <c r="F6885" t="s">
        <v>58</v>
      </c>
      <c r="G6885">
        <v>-181.56960000000001</v>
      </c>
      <c r="H6885" s="1">
        <v>-3.371198E-6</v>
      </c>
      <c r="I6885">
        <v>123.4846</v>
      </c>
      <c r="J6885">
        <v>-185.5472</v>
      </c>
      <c r="K6885">
        <v>1.1079699999999999</v>
      </c>
      <c r="L6885">
        <v>113.6892</v>
      </c>
      <c r="M6885">
        <v>0.1157933</v>
      </c>
      <c r="N6885">
        <v>0</v>
      </c>
      <c r="O6885">
        <v>0.99317259999999996</v>
      </c>
      <c r="P6885">
        <v>0.2454142</v>
      </c>
      <c r="Q6885">
        <v>4.1988039999999997E-2</v>
      </c>
      <c r="R6885">
        <v>0.96850860000000005</v>
      </c>
      <c r="S6885">
        <v>1.125397</v>
      </c>
      <c r="T6885">
        <v>-0.3107241</v>
      </c>
      <c r="U6885">
        <v>2.8270420000000001</v>
      </c>
      <c r="V6885">
        <v>0.1318724</v>
      </c>
      <c r="W6885">
        <v>5.5358539999999998E-2</v>
      </c>
      <c r="X6885">
        <v>0.98971969999999998</v>
      </c>
      <c r="Y6885">
        <v>0.25782369999999999</v>
      </c>
      <c r="Z6885">
        <v>-0.1024564</v>
      </c>
      <c r="AA6885">
        <v>0.9607443</v>
      </c>
      <c r="AB6885">
        <v>28</v>
      </c>
      <c r="AC6885">
        <v>3.97759999999999</v>
      </c>
      <c r="AD6885">
        <v>-1.107973371198</v>
      </c>
      <c r="AE6885">
        <v>9.7954000000000008</v>
      </c>
      <c r="AF6885">
        <v>2.78588550721638</v>
      </c>
      <c r="AG6885">
        <v>-1.107973371198</v>
      </c>
      <c r="AH6885">
        <v>10.07941762451</v>
      </c>
      <c r="AI6885">
        <v>96.048027558204495</v>
      </c>
      <c r="AJ6885">
        <v>74.549547106779997</v>
      </c>
      <c r="AK6885">
        <v>10.515865285362199</v>
      </c>
      <c r="AL6885">
        <v>86.826566993596302</v>
      </c>
      <c r="AM6885">
        <v>82.410488760265295</v>
      </c>
      <c r="AN6885">
        <v>0.99999999120038996</v>
      </c>
    </row>
    <row r="6886" spans="1:40" x14ac:dyDescent="0.25">
      <c r="A6886" t="str">
        <f>"20190312151707899"</f>
        <v>20190312151707899</v>
      </c>
      <c r="B6886" t="str">
        <f>"1552375027895268"</f>
        <v>1552375027895268</v>
      </c>
      <c r="C6886" t="s">
        <v>40</v>
      </c>
      <c r="D6886">
        <v>4.5316470000000004</v>
      </c>
      <c r="E6886">
        <v>0.55100439999999995</v>
      </c>
      <c r="F6886" t="s">
        <v>58</v>
      </c>
      <c r="G6886">
        <v>-181.5086</v>
      </c>
      <c r="H6886" s="1">
        <v>-3.4594050000000002E-6</v>
      </c>
      <c r="I6886">
        <v>123.7289</v>
      </c>
      <c r="J6886">
        <v>-185.51089999999999</v>
      </c>
      <c r="K6886">
        <v>1.107918</v>
      </c>
      <c r="L6886">
        <v>113.9747</v>
      </c>
      <c r="M6886">
        <v>0.11854240000000001</v>
      </c>
      <c r="N6886">
        <v>0</v>
      </c>
      <c r="O6886">
        <v>0.99284830000000002</v>
      </c>
      <c r="P6886">
        <v>0.24889359999999999</v>
      </c>
      <c r="Q6886">
        <v>4.1731299999999999E-2</v>
      </c>
      <c r="R6886">
        <v>0.96763129999999997</v>
      </c>
      <c r="S6886">
        <v>1.1357120000000001</v>
      </c>
      <c r="T6886">
        <v>-0.31157309999999999</v>
      </c>
      <c r="U6886">
        <v>2.8232729999999999</v>
      </c>
      <c r="V6886">
        <v>0.1326947</v>
      </c>
      <c r="W6886">
        <v>5.5080009999999999E-2</v>
      </c>
      <c r="X6886">
        <v>0.98962530000000004</v>
      </c>
      <c r="Y6886">
        <v>0.25860499999999997</v>
      </c>
      <c r="Z6886">
        <v>-0.1027313</v>
      </c>
      <c r="AA6886">
        <v>0.96050489999999999</v>
      </c>
      <c r="AB6886">
        <v>28</v>
      </c>
      <c r="AC6886">
        <v>4.0022999999999902</v>
      </c>
      <c r="AD6886">
        <v>-1.107921459405</v>
      </c>
      <c r="AE6886">
        <v>9.7541999999999902</v>
      </c>
      <c r="AF6886">
        <v>2.7868985004234501</v>
      </c>
      <c r="AG6886">
        <v>-1.107921459405</v>
      </c>
      <c r="AH6886">
        <v>10.048935867139599</v>
      </c>
      <c r="AI6886">
        <v>96.064500609083794</v>
      </c>
      <c r="AJ6886">
        <v>74.499566156210193</v>
      </c>
      <c r="AK6886">
        <v>10.4869159085861</v>
      </c>
      <c r="AL6886">
        <v>86.842549883036</v>
      </c>
      <c r="AM6886">
        <v>82.363000721451399</v>
      </c>
      <c r="AN6886">
        <v>0.999999962654889</v>
      </c>
    </row>
    <row r="6887" spans="1:40" x14ac:dyDescent="0.25">
      <c r="A6887" t="str">
        <f>"20190312151707920"</f>
        <v>20190312151707920</v>
      </c>
      <c r="B6887" t="str">
        <f>"1552375027914788"</f>
        <v>1552375027914788</v>
      </c>
      <c r="C6887" t="s">
        <v>40</v>
      </c>
      <c r="D6887">
        <v>4.5533530000000004</v>
      </c>
      <c r="E6887">
        <v>0.55118610000000001</v>
      </c>
      <c r="F6887" t="s">
        <v>58</v>
      </c>
      <c r="G6887">
        <v>-181.46960000000001</v>
      </c>
      <c r="H6887" s="1">
        <v>-3.528685E-6</v>
      </c>
      <c r="I6887">
        <v>123.8972</v>
      </c>
      <c r="J6887">
        <v>-185.47579999999999</v>
      </c>
      <c r="K6887">
        <v>1.107882</v>
      </c>
      <c r="L6887">
        <v>114.244</v>
      </c>
      <c r="M6887">
        <v>0.12118039999999899</v>
      </c>
      <c r="N6887">
        <v>0</v>
      </c>
      <c r="O6887">
        <v>0.99252969999999896</v>
      </c>
      <c r="P6887">
        <v>0.2519826</v>
      </c>
      <c r="Q6887">
        <v>4.1329110000000002E-2</v>
      </c>
      <c r="R6887">
        <v>0.96684890000000001</v>
      </c>
      <c r="S6887">
        <v>1.14798</v>
      </c>
      <c r="T6887">
        <v>-0.31472040000000001</v>
      </c>
      <c r="U6887">
        <v>2.8186339999999999</v>
      </c>
      <c r="V6887">
        <v>0.13322600000000001</v>
      </c>
      <c r="W6887">
        <v>5.4662929999999998E-2</v>
      </c>
      <c r="X6887">
        <v>0.98957709999999999</v>
      </c>
      <c r="Y6887">
        <v>0.2601368</v>
      </c>
      <c r="Z6887">
        <v>-0.1037613</v>
      </c>
      <c r="AA6887">
        <v>0.95998039999999996</v>
      </c>
      <c r="AB6887">
        <v>28</v>
      </c>
      <c r="AC6887">
        <v>4.0061999999999696</v>
      </c>
      <c r="AD6887">
        <v>-1.107885528685</v>
      </c>
      <c r="AE6887">
        <v>9.6531999999999893</v>
      </c>
      <c r="AF6887">
        <v>2.7755867162905199</v>
      </c>
      <c r="AG6887">
        <v>-1.107885528685</v>
      </c>
      <c r="AH6887">
        <v>9.9557004063125198</v>
      </c>
      <c r="AI6887">
        <v>96.118378558762103</v>
      </c>
      <c r="AJ6887">
        <v>74.421863873335198</v>
      </c>
      <c r="AK6887">
        <v>10.3945785169274</v>
      </c>
      <c r="AL6887">
        <v>86.866483044248298</v>
      </c>
      <c r="AM6887">
        <v>82.332416747477495</v>
      </c>
      <c r="AN6887">
        <v>1.0000000199182899</v>
      </c>
    </row>
    <row r="6888" spans="1:40" x14ac:dyDescent="0.25">
      <c r="A6888" t="str">
        <f>"20190312151707942"</f>
        <v>20190312151707942</v>
      </c>
      <c r="B6888" t="str">
        <f>"1552375027935284"</f>
        <v>1552375027935284</v>
      </c>
      <c r="C6888" t="s">
        <v>40</v>
      </c>
      <c r="D6888">
        <v>4.50359</v>
      </c>
      <c r="E6888">
        <v>0.55135100000000004</v>
      </c>
      <c r="F6888" t="s">
        <v>58</v>
      </c>
      <c r="G6888">
        <v>-181.4256</v>
      </c>
      <c r="H6888" s="1">
        <v>-3.6367400000000001E-6</v>
      </c>
      <c r="I6888">
        <v>124.08320000000001</v>
      </c>
      <c r="J6888">
        <v>-185.43950000000001</v>
      </c>
      <c r="K6888">
        <v>1.1078650000000001</v>
      </c>
      <c r="L6888">
        <v>114.51609999999999</v>
      </c>
      <c r="M6888">
        <v>0.1238732</v>
      </c>
      <c r="N6888">
        <v>0</v>
      </c>
      <c r="O6888">
        <v>0.99219729999999995</v>
      </c>
      <c r="P6888">
        <v>0.25525589999999998</v>
      </c>
      <c r="Q6888">
        <v>4.0571889999999999E-2</v>
      </c>
      <c r="R6888">
        <v>0.96602189999999999</v>
      </c>
      <c r="S6888">
        <v>1.1585540000000001</v>
      </c>
      <c r="T6888">
        <v>-0.31690819999999997</v>
      </c>
      <c r="U6888">
        <v>2.8144680000000002</v>
      </c>
      <c r="V6888">
        <v>0.1338877</v>
      </c>
      <c r="W6888">
        <v>5.3894930000000001E-2</v>
      </c>
      <c r="X6888">
        <v>0.98952989999999996</v>
      </c>
      <c r="Y6888">
        <v>0.26107350000000001</v>
      </c>
      <c r="Z6888">
        <v>-0.104479</v>
      </c>
      <c r="AA6888">
        <v>0.95964830000000001</v>
      </c>
      <c r="AB6888">
        <v>28</v>
      </c>
      <c r="AC6888">
        <v>4.0138999999999996</v>
      </c>
      <c r="AD6888">
        <v>-1.1078686367399999</v>
      </c>
      <c r="AE6888">
        <v>9.5670999999999999</v>
      </c>
      <c r="AF6888">
        <v>2.7662114735251002</v>
      </c>
      <c r="AG6888">
        <v>-1.1078686367399999</v>
      </c>
      <c r="AH6888">
        <v>9.8780301602244904</v>
      </c>
      <c r="AI6888">
        <v>96.164053577713105</v>
      </c>
      <c r="AJ6888">
        <v>74.355800961263398</v>
      </c>
      <c r="AK6888">
        <v>10.3176925074766</v>
      </c>
      <c r="AL6888">
        <v>86.910551110372197</v>
      </c>
      <c r="AM6888">
        <v>82.294427065532901</v>
      </c>
      <c r="AN6888">
        <v>1.0000000013424999</v>
      </c>
    </row>
    <row r="6889" spans="1:40" x14ac:dyDescent="0.25">
      <c r="A6889" t="str">
        <f>"20190312151707964"</f>
        <v>20190312151707964</v>
      </c>
      <c r="B6889" t="str">
        <f>"1552375027954808"</f>
        <v>1552375027954808</v>
      </c>
      <c r="C6889" t="s">
        <v>40</v>
      </c>
      <c r="D6889">
        <v>4.4744729999999997</v>
      </c>
      <c r="E6889">
        <v>0.55152509999999999</v>
      </c>
      <c r="F6889" t="s">
        <v>58</v>
      </c>
      <c r="G6889">
        <v>-181.39089999999999</v>
      </c>
      <c r="H6889" s="1">
        <v>-3.7296369999999998E-6</v>
      </c>
      <c r="I6889">
        <v>124.24379999999999</v>
      </c>
      <c r="J6889">
        <v>-185.4033</v>
      </c>
      <c r="K6889">
        <v>1.1078520000000001</v>
      </c>
      <c r="L6889">
        <v>114.78279999999999</v>
      </c>
      <c r="M6889">
        <v>0.12652479999999999</v>
      </c>
      <c r="N6889">
        <v>0</v>
      </c>
      <c r="O6889">
        <v>0.99186269999999999</v>
      </c>
      <c r="P6889">
        <v>0.25822889999999998</v>
      </c>
      <c r="Q6889">
        <v>4.0069790000000001E-2</v>
      </c>
      <c r="R6889">
        <v>0.96525240000000001</v>
      </c>
      <c r="S6889">
        <v>1.1694789999999999</v>
      </c>
      <c r="T6889">
        <v>-0.32001819999999997</v>
      </c>
      <c r="U6889">
        <v>2.8099370000000001</v>
      </c>
      <c r="V6889">
        <v>0.1342856</v>
      </c>
      <c r="W6889">
        <v>5.3386400000000001E-2</v>
      </c>
      <c r="X6889">
        <v>0.98950360000000004</v>
      </c>
      <c r="Y6889">
        <v>0.26218200000000003</v>
      </c>
      <c r="Z6889">
        <v>-0.1055036</v>
      </c>
      <c r="AA6889">
        <v>0.95923389999999997</v>
      </c>
      <c r="AB6889">
        <v>28</v>
      </c>
      <c r="AC6889">
        <v>4.0124000000000102</v>
      </c>
      <c r="AD6889">
        <v>-1.107855729637</v>
      </c>
      <c r="AE6889">
        <v>9.4610000000000003</v>
      </c>
      <c r="AF6889">
        <v>2.7510060852383198</v>
      </c>
      <c r="AG6889">
        <v>-1.107855729637</v>
      </c>
      <c r="AH6889">
        <v>9.7790228961715897</v>
      </c>
      <c r="AI6889">
        <v>96.223844294337596</v>
      </c>
      <c r="AJ6889">
        <v>74.287801006506001</v>
      </c>
      <c r="AK6889">
        <v>10.2188388578427</v>
      </c>
      <c r="AL6889">
        <v>86.939729897706101</v>
      </c>
      <c r="AM6889">
        <v>82.271600338861205</v>
      </c>
      <c r="AN6889">
        <v>1.00000005224263</v>
      </c>
    </row>
    <row r="6890" spans="1:40" x14ac:dyDescent="0.25">
      <c r="A6890" t="str">
        <f>"20190312151707987"</f>
        <v>20190312151707987</v>
      </c>
      <c r="B6890" t="str">
        <f>"1552375027985060"</f>
        <v>1552375027985060</v>
      </c>
      <c r="C6890" t="s">
        <v>40</v>
      </c>
      <c r="D6890">
        <v>4.489865</v>
      </c>
      <c r="E6890">
        <v>0.55189500000000002</v>
      </c>
      <c r="F6890" t="s">
        <v>58</v>
      </c>
      <c r="G6890">
        <v>-181.3553</v>
      </c>
      <c r="H6890" s="1">
        <v>-3.827899E-6</v>
      </c>
      <c r="I6890">
        <v>124.414</v>
      </c>
      <c r="J6890">
        <v>-185.36269999999999</v>
      </c>
      <c r="K6890">
        <v>1.1078509999999999</v>
      </c>
      <c r="L6890">
        <v>115.07550000000001</v>
      </c>
      <c r="M6890">
        <v>0.12943740000000001</v>
      </c>
      <c r="N6890">
        <v>0</v>
      </c>
      <c r="O6890">
        <v>0.9914868</v>
      </c>
      <c r="P6890">
        <v>0.26115630000000001</v>
      </c>
      <c r="Q6890">
        <v>3.94983E-2</v>
      </c>
      <c r="R6890">
        <v>0.96448809999999996</v>
      </c>
      <c r="S6890">
        <v>1.1793209999999901</v>
      </c>
      <c r="T6890">
        <v>-0.32275690000000001</v>
      </c>
      <c r="U6890">
        <v>2.8059080000000001</v>
      </c>
      <c r="V6890">
        <v>0.13437579999999999</v>
      </c>
      <c r="W6890">
        <v>5.2812610000000003E-2</v>
      </c>
      <c r="X6890">
        <v>0.98952209999999996</v>
      </c>
      <c r="Y6890">
        <v>0.26266339999999999</v>
      </c>
      <c r="Z6890">
        <v>-0.10639899999999999</v>
      </c>
      <c r="AA6890">
        <v>0.9590033</v>
      </c>
      <c r="AB6890">
        <v>28</v>
      </c>
      <c r="AC6890">
        <v>4.0073999999999899</v>
      </c>
      <c r="AD6890">
        <v>-1.1078548278989999</v>
      </c>
      <c r="AE6890">
        <v>9.3384999999999891</v>
      </c>
      <c r="AF6890">
        <v>2.73233515244157</v>
      </c>
      <c r="AG6890">
        <v>-1.1078548278989999</v>
      </c>
      <c r="AH6890">
        <v>9.6638281814372</v>
      </c>
      <c r="AI6890">
        <v>96.295116935995097</v>
      </c>
      <c r="AJ6890">
        <v>74.212365959894797</v>
      </c>
      <c r="AK6890">
        <v>10.1035920753614</v>
      </c>
      <c r="AL6890">
        <v>86.972651950119001</v>
      </c>
      <c r="AM6890">
        <v>82.266614787569907</v>
      </c>
      <c r="AN6890">
        <v>1.0000000068945301</v>
      </c>
    </row>
    <row r="6891" spans="1:40" x14ac:dyDescent="0.25">
      <c r="A6891" t="str">
        <f>"20190312151708009"</f>
        <v>20190312151708009</v>
      </c>
      <c r="B6891" t="str">
        <f>"1552375028004579"</f>
        <v>1552375028004579</v>
      </c>
      <c r="C6891" t="s">
        <v>40</v>
      </c>
      <c r="D6891">
        <v>4.462046</v>
      </c>
      <c r="E6891">
        <v>0.55212620000000001</v>
      </c>
      <c r="F6891" t="s">
        <v>58</v>
      </c>
      <c r="G6891">
        <v>-181.31880000000001</v>
      </c>
      <c r="H6891" s="1">
        <v>-3.9292420000000003E-6</v>
      </c>
      <c r="I6891">
        <v>124.5896</v>
      </c>
      <c r="J6891">
        <v>-185.32550000000001</v>
      </c>
      <c r="K6891">
        <v>1.1078520000000001</v>
      </c>
      <c r="L6891">
        <v>115.33839999999999</v>
      </c>
      <c r="M6891">
        <v>0.13205049999999999</v>
      </c>
      <c r="N6891">
        <v>0</v>
      </c>
      <c r="O6891">
        <v>0.99114219999999997</v>
      </c>
      <c r="P6891">
        <v>0.26413959999999997</v>
      </c>
      <c r="Q6891">
        <v>3.906946E-2</v>
      </c>
      <c r="R6891">
        <v>0.96369280000000002</v>
      </c>
      <c r="S6891">
        <v>1.19072</v>
      </c>
      <c r="T6891">
        <v>-0.32620290000000002</v>
      </c>
      <c r="U6891">
        <v>2.8013919999999999</v>
      </c>
      <c r="V6891">
        <v>0.13482479999999999</v>
      </c>
      <c r="W6891">
        <v>5.2380250000000003E-2</v>
      </c>
      <c r="X6891">
        <v>0.98948400000000003</v>
      </c>
      <c r="Y6891">
        <v>0.26393529999999998</v>
      </c>
      <c r="Z6891">
        <v>-0.10752299999999999</v>
      </c>
      <c r="AA6891">
        <v>0.95852850000000001</v>
      </c>
      <c r="AB6891">
        <v>28</v>
      </c>
      <c r="AC6891">
        <v>4.0066999999999897</v>
      </c>
      <c r="AD6891">
        <v>-1.107855929242</v>
      </c>
      <c r="AE6891">
        <v>9.2512000000000096</v>
      </c>
      <c r="AF6891">
        <v>2.7170485865493799</v>
      </c>
      <c r="AG6891">
        <v>-1.107855929242</v>
      </c>
      <c r="AH6891">
        <v>9.5835829079224393</v>
      </c>
      <c r="AI6891">
        <v>96.346130656116202</v>
      </c>
      <c r="AJ6891">
        <v>74.171397723106907</v>
      </c>
      <c r="AK6891">
        <v>10.0227121646114</v>
      </c>
      <c r="AL6891">
        <v>86.997458674226493</v>
      </c>
      <c r="AM6891">
        <v>82.240793764008899</v>
      </c>
      <c r="AN6891">
        <v>1.0000000017705499</v>
      </c>
    </row>
    <row r="6892" spans="1:40" x14ac:dyDescent="0.25">
      <c r="A6892" t="str">
        <f>"20190312151708032"</f>
        <v>20190312151708032</v>
      </c>
      <c r="B6892" t="str">
        <f>"1552375028025076"</f>
        <v>1552375028025076</v>
      </c>
      <c r="C6892" t="s">
        <v>40</v>
      </c>
      <c r="D6892">
        <v>4.4569470000000004</v>
      </c>
      <c r="E6892">
        <v>0.55222629999999995</v>
      </c>
      <c r="F6892" t="s">
        <v>58</v>
      </c>
      <c r="G6892">
        <v>-181.27160000000001</v>
      </c>
      <c r="H6892" s="1">
        <v>-3.991876E-6</v>
      </c>
      <c r="I6892">
        <v>124.7758</v>
      </c>
      <c r="J6892">
        <v>-185.28389999999999</v>
      </c>
      <c r="K6892">
        <v>1.107858</v>
      </c>
      <c r="L6892">
        <v>115.6264</v>
      </c>
      <c r="M6892">
        <v>0.13490350000000001</v>
      </c>
      <c r="N6892">
        <v>0</v>
      </c>
      <c r="O6892">
        <v>0.99075789999999997</v>
      </c>
      <c r="P6892">
        <v>0.26710009999999901</v>
      </c>
      <c r="Q6892">
        <v>3.9128499999999997E-2</v>
      </c>
      <c r="R6892">
        <v>0.96287409999999996</v>
      </c>
      <c r="S6892">
        <v>1.201462</v>
      </c>
      <c r="T6892">
        <v>-0.32834360000000001</v>
      </c>
      <c r="U6892">
        <v>2.7970280000000001</v>
      </c>
      <c r="V6892">
        <v>0.135017</v>
      </c>
      <c r="W6892">
        <v>5.243739E-2</v>
      </c>
      <c r="X6892">
        <v>0.98945470000000002</v>
      </c>
      <c r="Y6892">
        <v>0.26478000000000002</v>
      </c>
      <c r="Z6892">
        <v>-0.1082201</v>
      </c>
      <c r="AA6892">
        <v>0.95821699999999999</v>
      </c>
      <c r="AB6892">
        <v>28</v>
      </c>
      <c r="AC6892">
        <v>4.0122999999999802</v>
      </c>
      <c r="AD6892">
        <v>-1.107861991876</v>
      </c>
      <c r="AE6892">
        <v>9.1494</v>
      </c>
      <c r="AF6892">
        <v>2.7079067796471699</v>
      </c>
      <c r="AG6892">
        <v>-1.107861991876</v>
      </c>
      <c r="AH6892">
        <v>9.4903710804091101</v>
      </c>
      <c r="AI6892">
        <v>96.404934683474494</v>
      </c>
      <c r="AJ6892">
        <v>74.074855197703698</v>
      </c>
      <c r="AK6892">
        <v>9.9311258457522396</v>
      </c>
      <c r="AL6892">
        <v>86.994180092345502</v>
      </c>
      <c r="AM6892">
        <v>82.229640344971799</v>
      </c>
      <c r="AN6892">
        <v>0.99999993675554899</v>
      </c>
    </row>
    <row r="6893" spans="1:40" x14ac:dyDescent="0.25">
      <c r="A6893" t="str">
        <f>"20190312151708054"</f>
        <v>20190312151708054</v>
      </c>
      <c r="B6893" t="str">
        <f>"1552375028044596"</f>
        <v>1552375028044596</v>
      </c>
      <c r="C6893" t="s">
        <v>40</v>
      </c>
      <c r="D6893">
        <v>4.4600569999999999</v>
      </c>
      <c r="E6893">
        <v>0.56197830000000004</v>
      </c>
      <c r="F6893" t="s">
        <v>58</v>
      </c>
      <c r="G6893">
        <v>-181.20400000000001</v>
      </c>
      <c r="H6893" s="1">
        <v>-4.0692739999999999E-6</v>
      </c>
      <c r="I6893">
        <v>125.0376</v>
      </c>
      <c r="J6893">
        <v>-185.24510000000001</v>
      </c>
      <c r="K6893">
        <v>1.107856</v>
      </c>
      <c r="L6893">
        <v>115.8899</v>
      </c>
      <c r="M6893">
        <v>0.13750889999999999</v>
      </c>
      <c r="N6893">
        <v>0</v>
      </c>
      <c r="O6893">
        <v>0.99039969999999999</v>
      </c>
      <c r="P6893">
        <v>0.27041880000000001</v>
      </c>
      <c r="Q6893">
        <v>3.8798050000000001E-2</v>
      </c>
      <c r="R6893">
        <v>0.9619607</v>
      </c>
      <c r="S6893">
        <v>1.2108460000000001</v>
      </c>
      <c r="T6893">
        <v>-0.32879999999999998</v>
      </c>
      <c r="U6893">
        <v>2.7931370000000002</v>
      </c>
      <c r="V6893">
        <v>0.13582269999999999</v>
      </c>
      <c r="W6893">
        <v>5.2101210000000002E-2</v>
      </c>
      <c r="X6893">
        <v>0.98936219999999997</v>
      </c>
      <c r="Y6893">
        <v>0.2654358</v>
      </c>
      <c r="Z6893">
        <v>-0.10836850000000001</v>
      </c>
      <c r="AA6893">
        <v>0.95801879999999995</v>
      </c>
      <c r="AB6893">
        <v>28</v>
      </c>
      <c r="AC6893">
        <v>4.0411000000000001</v>
      </c>
      <c r="AD6893">
        <v>-1.1078600692739999</v>
      </c>
      <c r="AE6893">
        <v>9.1477000000000004</v>
      </c>
      <c r="AF6893">
        <v>2.7114131764645002</v>
      </c>
      <c r="AG6893">
        <v>-1.1078600692739999</v>
      </c>
      <c r="AH6893">
        <v>9.4999417897692897</v>
      </c>
      <c r="AI6893">
        <v>96.398387866979704</v>
      </c>
      <c r="AJ6893">
        <v>74.070529865239493</v>
      </c>
      <c r="AK6893">
        <v>9.9412277589642795</v>
      </c>
      <c r="AL6893">
        <v>87.0134682017259</v>
      </c>
      <c r="AM6893">
        <v>82.183121263752</v>
      </c>
      <c r="AN6893">
        <v>0.99999995235379502</v>
      </c>
    </row>
    <row r="6894" spans="1:40" x14ac:dyDescent="0.25">
      <c r="A6894" t="str">
        <f>"20190312151708076"</f>
        <v>20190312151708076</v>
      </c>
      <c r="B6894" t="str">
        <f>"1552375028065093"</f>
        <v>1552375028065093</v>
      </c>
      <c r="C6894" t="s">
        <v>40</v>
      </c>
      <c r="D6894">
        <v>4.4303809999999997</v>
      </c>
      <c r="E6894">
        <v>0.56252239999999998</v>
      </c>
      <c r="F6894" t="s">
        <v>58</v>
      </c>
      <c r="G6894">
        <v>-181.42939999999999</v>
      </c>
      <c r="H6894" s="1">
        <v>-3.61403E-6</v>
      </c>
      <c r="I6894">
        <v>124.0427</v>
      </c>
      <c r="J6894">
        <v>-185.20320000000001</v>
      </c>
      <c r="K6894">
        <v>1.1078570000000001</v>
      </c>
      <c r="L6894">
        <v>116.1683</v>
      </c>
      <c r="M6894">
        <v>0.14025589999999999</v>
      </c>
      <c r="N6894">
        <v>0</v>
      </c>
      <c r="O6894">
        <v>0.99001439999999996</v>
      </c>
      <c r="P6894">
        <v>0.27343659999999997</v>
      </c>
      <c r="Q6894">
        <v>3.801471E-2</v>
      </c>
      <c r="R6894">
        <v>0.96113850000000001</v>
      </c>
      <c r="S6894">
        <v>1.296173</v>
      </c>
      <c r="T6894">
        <v>-0.37633230000000001</v>
      </c>
      <c r="U6894">
        <v>2.7694399999999999</v>
      </c>
      <c r="V6894">
        <v>0.1361742</v>
      </c>
      <c r="W6894">
        <v>5.1316430000000003E-2</v>
      </c>
      <c r="X6894">
        <v>0.98935499999999998</v>
      </c>
      <c r="Y6894">
        <v>0.28940729999999998</v>
      </c>
      <c r="Z6894">
        <v>-0.12349889999999999</v>
      </c>
      <c r="AA6894">
        <v>0.94920570000000004</v>
      </c>
      <c r="AB6894">
        <v>28</v>
      </c>
      <c r="AC6894">
        <v>3.77380000000002</v>
      </c>
      <c r="AD6894">
        <v>-1.10786061402999</v>
      </c>
      <c r="AE6894">
        <v>7.8743999999999899</v>
      </c>
      <c r="AF6894">
        <v>2.5902530478222099</v>
      </c>
      <c r="AG6894">
        <v>-1.10786061402999</v>
      </c>
      <c r="AH6894">
        <v>8.1940004679631393</v>
      </c>
      <c r="AI6894">
        <v>97.345826426951803</v>
      </c>
      <c r="AJ6894">
        <v>72.457431335385806</v>
      </c>
      <c r="AK6894">
        <v>8.6647798391448703</v>
      </c>
      <c r="AL6894">
        <v>87.058493315388702</v>
      </c>
      <c r="AM6894">
        <v>82.163086433399499</v>
      </c>
      <c r="AN6894">
        <v>1.00000005237929</v>
      </c>
    </row>
    <row r="6895" spans="1:40" x14ac:dyDescent="0.25">
      <c r="A6895" t="str">
        <f>"20190312151708100"</f>
        <v>20190312151708100</v>
      </c>
      <c r="B6895" t="str">
        <f>"1552375028095347"</f>
        <v>1552375028095347</v>
      </c>
      <c r="C6895" t="s">
        <v>40</v>
      </c>
      <c r="D6895">
        <v>4.4201439999999996</v>
      </c>
      <c r="E6895">
        <v>0.56306319999999999</v>
      </c>
      <c r="F6895" t="s">
        <v>58</v>
      </c>
      <c r="G6895">
        <v>-181.44040000000001</v>
      </c>
      <c r="H6895" s="1">
        <v>-3.6513519999999998E-6</v>
      </c>
      <c r="I6895">
        <v>124.11360000000001</v>
      </c>
      <c r="J6895">
        <v>-185.16059999999999</v>
      </c>
      <c r="K6895">
        <v>1.1078619999999999</v>
      </c>
      <c r="L6895">
        <v>116.4466</v>
      </c>
      <c r="M6895">
        <v>0.14299909999999999</v>
      </c>
      <c r="N6895">
        <v>0</v>
      </c>
      <c r="O6895">
        <v>0.989622</v>
      </c>
      <c r="P6895">
        <v>0.276570599999999</v>
      </c>
      <c r="Q6895">
        <v>3.7199000000000003E-2</v>
      </c>
      <c r="R6895">
        <v>0.9602733</v>
      </c>
      <c r="S6895">
        <v>1.3090820000000001</v>
      </c>
      <c r="T6895">
        <v>-0.38541779999999998</v>
      </c>
      <c r="U6895">
        <v>2.7640989999999999</v>
      </c>
      <c r="V6895">
        <v>0.13665079999999999</v>
      </c>
      <c r="W6895">
        <v>5.0497809999999997E-2</v>
      </c>
      <c r="X6895">
        <v>0.98933139999999997</v>
      </c>
      <c r="Y6895">
        <v>0.290929299999999</v>
      </c>
      <c r="Z6895">
        <v>-0.12642509999999901</v>
      </c>
      <c r="AA6895">
        <v>0.94835480000000005</v>
      </c>
      <c r="AB6895">
        <v>28</v>
      </c>
      <c r="AC6895">
        <v>3.72019999999997</v>
      </c>
      <c r="AD6895">
        <v>-1.107865651352</v>
      </c>
      <c r="AE6895">
        <v>7.6669999999999998</v>
      </c>
      <c r="AF6895">
        <v>2.5425058520069301</v>
      </c>
      <c r="AG6895">
        <v>-1.107865651352</v>
      </c>
      <c r="AH6895">
        <v>7.9852717390736396</v>
      </c>
      <c r="AI6895">
        <v>97.5307936393761</v>
      </c>
      <c r="AJ6895">
        <v>72.338555258568704</v>
      </c>
      <c r="AK6895">
        <v>8.4531808838911804</v>
      </c>
      <c r="AL6895">
        <v>87.105457656792296</v>
      </c>
      <c r="AM6895">
        <v>82.135815140123398</v>
      </c>
      <c r="AN6895">
        <v>1.00000004449069</v>
      </c>
    </row>
    <row r="6896" spans="1:40" x14ac:dyDescent="0.25">
      <c r="A6896" t="str">
        <f>"20190312151708121"</f>
        <v>20190312151708121</v>
      </c>
      <c r="B6896" t="str">
        <f>"1552375028114868"</f>
        <v>1552375028114868</v>
      </c>
      <c r="C6896" t="s">
        <v>40</v>
      </c>
      <c r="D6896">
        <v>4.3756389999999996</v>
      </c>
      <c r="E6896">
        <v>0.56343659999999995</v>
      </c>
      <c r="F6896" t="s">
        <v>58</v>
      </c>
      <c r="G6896">
        <v>-181.42670000000001</v>
      </c>
      <c r="H6896" s="1">
        <v>-3.721175E-6</v>
      </c>
      <c r="I6896">
        <v>124.2375</v>
      </c>
      <c r="J6896">
        <v>-185.1189</v>
      </c>
      <c r="K6896">
        <v>1.107872</v>
      </c>
      <c r="L6896">
        <v>116.7145</v>
      </c>
      <c r="M6896">
        <v>0.14563970000000001</v>
      </c>
      <c r="N6896">
        <v>0</v>
      </c>
      <c r="O6896">
        <v>0.98923680000000003</v>
      </c>
      <c r="P6896">
        <v>0.28014800000000001</v>
      </c>
      <c r="Q6896">
        <v>3.6840610000000003E-2</v>
      </c>
      <c r="R6896">
        <v>0.95924960000000004</v>
      </c>
      <c r="S6896">
        <v>1.3220829999999999</v>
      </c>
      <c r="T6896">
        <v>-0.392266</v>
      </c>
      <c r="U6896">
        <v>2.7585449999999998</v>
      </c>
      <c r="V6896">
        <v>0.13769400000000001</v>
      </c>
      <c r="W6896">
        <v>5.0132070000000001E-2</v>
      </c>
      <c r="X6896">
        <v>0.98920529999999995</v>
      </c>
      <c r="Y6896">
        <v>0.29263420000000001</v>
      </c>
      <c r="Z6896">
        <v>-0.12863089999999999</v>
      </c>
      <c r="AA6896">
        <v>0.94753319999999996</v>
      </c>
      <c r="AB6896">
        <v>28</v>
      </c>
      <c r="AC6896">
        <v>3.6921999999999802</v>
      </c>
      <c r="AD6896">
        <v>-1.1078757211750001</v>
      </c>
      <c r="AE6896">
        <v>7.5229999999999899</v>
      </c>
      <c r="AF6896">
        <v>2.5131450840655698</v>
      </c>
      <c r="AG6896">
        <v>-1.1078757211750001</v>
      </c>
      <c r="AH6896">
        <v>7.8434737779414903</v>
      </c>
      <c r="AI6896">
        <v>97.6609855191289</v>
      </c>
      <c r="AJ6896">
        <v>72.233904771761601</v>
      </c>
      <c r="AK6896">
        <v>8.3104372768457697</v>
      </c>
      <c r="AL6896">
        <v>87.126439444317896</v>
      </c>
      <c r="AM6896">
        <v>82.075541955651502</v>
      </c>
      <c r="AN6896">
        <v>0.99999999381328697</v>
      </c>
    </row>
    <row r="6897" spans="1:40" x14ac:dyDescent="0.25">
      <c r="A6897" t="str">
        <f>"20190312151708133"</f>
        <v>20190312151708133</v>
      </c>
      <c r="B6897" t="str">
        <f>"1552375028124628"</f>
        <v>1552375028124628</v>
      </c>
      <c r="C6897" t="s">
        <v>40</v>
      </c>
      <c r="D6897">
        <v>4.3762249999999998</v>
      </c>
      <c r="E6897">
        <v>0.56352000000000002</v>
      </c>
      <c r="F6897" t="s">
        <v>58</v>
      </c>
      <c r="G6897">
        <v>-181.3826</v>
      </c>
      <c r="H6897" s="1">
        <v>-3.8254520000000004E-6</v>
      </c>
      <c r="I6897">
        <v>124.4165</v>
      </c>
      <c r="J6897">
        <v>-185.0959</v>
      </c>
      <c r="K6897">
        <v>1.107874</v>
      </c>
      <c r="L6897">
        <v>116.8605</v>
      </c>
      <c r="M6897">
        <v>0.1470786</v>
      </c>
      <c r="N6897">
        <v>0</v>
      </c>
      <c r="O6897">
        <v>0.98902389999999996</v>
      </c>
      <c r="P6897">
        <v>0.28206920000000002</v>
      </c>
      <c r="Q6897">
        <v>3.702341E-2</v>
      </c>
      <c r="R6897">
        <v>0.95867939999999996</v>
      </c>
      <c r="S6897">
        <v>1.335342</v>
      </c>
      <c r="T6897">
        <v>-0.3959529</v>
      </c>
      <c r="U6897">
        <v>2.7526700000000002</v>
      </c>
      <c r="V6897">
        <v>0.13823849999999999</v>
      </c>
      <c r="W6897">
        <v>5.0311120000000001E-2</v>
      </c>
      <c r="X6897">
        <v>0.9891202</v>
      </c>
      <c r="Y6897">
        <v>0.29566439999999999</v>
      </c>
      <c r="Z6897">
        <v>-0.12983249999999999</v>
      </c>
      <c r="AA6897">
        <v>0.94642809999999999</v>
      </c>
      <c r="AB6897">
        <v>28</v>
      </c>
      <c r="AC6897">
        <v>3.7132999999999998</v>
      </c>
      <c r="AD6897">
        <v>-1.1078778254520001</v>
      </c>
      <c r="AE6897">
        <v>7.5559999999999903</v>
      </c>
      <c r="AF6897">
        <v>2.5178725423144201</v>
      </c>
      <c r="AG6897">
        <v>-1.1078778254520001</v>
      </c>
      <c r="AH6897">
        <v>7.8835007573563898</v>
      </c>
      <c r="AI6897">
        <v>97.624806894590293</v>
      </c>
      <c r="AJ6897">
        <v>72.287293582951193</v>
      </c>
      <c r="AK6897">
        <v>8.3496502685266893</v>
      </c>
      <c r="AL6897">
        <v>87.1161674912736</v>
      </c>
      <c r="AM6897">
        <v>82.043930057725106</v>
      </c>
      <c r="AN6897">
        <v>0.99999993086296901</v>
      </c>
    </row>
    <row r="6898" spans="1:40" x14ac:dyDescent="0.25">
      <c r="A6898" t="str">
        <f>"20190312151708145"</f>
        <v>20190312151708145</v>
      </c>
      <c r="B6898" t="str">
        <f>"1552375028135364"</f>
        <v>1552375028135364</v>
      </c>
      <c r="C6898" t="s">
        <v>40</v>
      </c>
      <c r="D6898">
        <v>4.4263300000000001</v>
      </c>
      <c r="E6898">
        <v>0.56374659999999999</v>
      </c>
      <c r="F6898" t="s">
        <v>58</v>
      </c>
      <c r="G6898">
        <v>-181.33420000000001</v>
      </c>
      <c r="H6898" s="1">
        <v>-3.9185800000000004E-6</v>
      </c>
      <c r="I6898">
        <v>124.5741</v>
      </c>
      <c r="J6898">
        <v>-185.07239999999999</v>
      </c>
      <c r="K6898">
        <v>1.1078760000000001</v>
      </c>
      <c r="L6898">
        <v>117.0078</v>
      </c>
      <c r="M6898">
        <v>0.148530299999999</v>
      </c>
      <c r="N6898">
        <v>0</v>
      </c>
      <c r="O6898">
        <v>0.98880699999999999</v>
      </c>
      <c r="P6898">
        <v>0.28430309999999998</v>
      </c>
      <c r="Q6898">
        <v>3.7283219999999999E-2</v>
      </c>
      <c r="R6898">
        <v>0.95800920000000001</v>
      </c>
      <c r="S6898">
        <v>1.3411249999999999</v>
      </c>
      <c r="T6898">
        <v>-0.39497520000000003</v>
      </c>
      <c r="U6898">
        <v>2.7499850000000001</v>
      </c>
      <c r="V6898">
        <v>0.13909489999999999</v>
      </c>
      <c r="W6898">
        <v>5.0564480000000002E-2</v>
      </c>
      <c r="X6898">
        <v>0.98898730000000001</v>
      </c>
      <c r="Y6898">
        <v>0.2962533</v>
      </c>
      <c r="Z6898">
        <v>-0.129519</v>
      </c>
      <c r="AA6898">
        <v>0.94628690000000004</v>
      </c>
      <c r="AB6898">
        <v>27</v>
      </c>
      <c r="AC6898">
        <v>3.7381999999999702</v>
      </c>
      <c r="AD6898">
        <v>-1.1078799185799999</v>
      </c>
      <c r="AE6898">
        <v>7.5662999999999903</v>
      </c>
      <c r="AF6898">
        <v>2.52920394950673</v>
      </c>
      <c r="AG6898">
        <v>-1.1078799185799999</v>
      </c>
      <c r="AH6898">
        <v>7.9014805592510999</v>
      </c>
      <c r="AI6898">
        <v>97.606131770680705</v>
      </c>
      <c r="AJ6898">
        <v>72.250525651138801</v>
      </c>
      <c r="AK6898">
        <v>8.3700457322774806</v>
      </c>
      <c r="AL6898">
        <v>87.101632786303</v>
      </c>
      <c r="AM6898">
        <v>81.994216692261304</v>
      </c>
      <c r="AN6898">
        <v>1.00000001870248</v>
      </c>
    </row>
    <row r="6899" spans="1:40" x14ac:dyDescent="0.25">
      <c r="A6899" t="str">
        <f>"20190312151708156"</f>
        <v>20190312151708156</v>
      </c>
      <c r="B6899" t="str">
        <f>"1552375028145125"</f>
        <v>1552375028145125</v>
      </c>
      <c r="C6899" t="s">
        <v>40</v>
      </c>
      <c r="D6899">
        <v>4.374231</v>
      </c>
      <c r="E6899">
        <v>0.56388890000000003</v>
      </c>
      <c r="F6899" t="s">
        <v>58</v>
      </c>
      <c r="G6899">
        <v>-181.26769999999999</v>
      </c>
      <c r="H6899" s="1">
        <v>-3.9861699999999996E-6</v>
      </c>
      <c r="I6899">
        <v>124.7517</v>
      </c>
      <c r="J6899">
        <v>-185.04929999999999</v>
      </c>
      <c r="K6899">
        <v>1.1078809999999999</v>
      </c>
      <c r="L6899">
        <v>117.1515</v>
      </c>
      <c r="M6899">
        <v>0.1499471</v>
      </c>
      <c r="N6899">
        <v>0</v>
      </c>
      <c r="O6899">
        <v>0.98859319999999895</v>
      </c>
      <c r="P6899">
        <v>0.28617530000000002</v>
      </c>
      <c r="Q6899">
        <v>3.7528220000000001E-2</v>
      </c>
      <c r="R6899">
        <v>0.95744209999999996</v>
      </c>
      <c r="S6899">
        <v>1.3493189999999999</v>
      </c>
      <c r="T6899">
        <v>-0.39290510000000001</v>
      </c>
      <c r="U6899">
        <v>2.746353</v>
      </c>
      <c r="V6899">
        <v>0.1396135</v>
      </c>
      <c r="W6899">
        <v>5.0805450000000002E-2</v>
      </c>
      <c r="X6899">
        <v>0.9889019</v>
      </c>
      <c r="Y6899">
        <v>0.29769410000000002</v>
      </c>
      <c r="Z6899">
        <v>-0.1288521</v>
      </c>
      <c r="AA6899">
        <v>0.94592569999999998</v>
      </c>
      <c r="AB6899">
        <v>27</v>
      </c>
      <c r="AC6899">
        <v>3.7815999999999899</v>
      </c>
      <c r="AD6899">
        <v>-1.10788498617</v>
      </c>
      <c r="AE6899">
        <v>7.6002000000000001</v>
      </c>
      <c r="AF6899">
        <v>2.5555679292222599</v>
      </c>
      <c r="AG6899">
        <v>-1.10788498617</v>
      </c>
      <c r="AH6899">
        <v>7.9460125330445202</v>
      </c>
      <c r="AI6899">
        <v>97.5607198342977</v>
      </c>
      <c r="AJ6899">
        <v>72.171357690401805</v>
      </c>
      <c r="AK6899">
        <v>8.4200624557512</v>
      </c>
      <c r="AL6899">
        <v>87.087808532044306</v>
      </c>
      <c r="AM6899">
        <v>81.964072288409497</v>
      </c>
      <c r="AN6899">
        <v>1.00000004547778</v>
      </c>
    </row>
    <row r="6900" spans="1:40" x14ac:dyDescent="0.25">
      <c r="A6900" t="str">
        <f>"20190312151708169"</f>
        <v>20190312151708169</v>
      </c>
      <c r="B6900" t="str">
        <f>"1552375028164644"</f>
        <v>1552375028164644</v>
      </c>
      <c r="C6900" t="s">
        <v>40</v>
      </c>
      <c r="D6900">
        <v>4.3537229999999996</v>
      </c>
      <c r="E6900">
        <v>0.56411389999999995</v>
      </c>
      <c r="F6900" t="s">
        <v>58</v>
      </c>
      <c r="G6900">
        <v>-181.21459999999999</v>
      </c>
      <c r="H6900" s="1">
        <v>-4.0353179999999901E-6</v>
      </c>
      <c r="I6900">
        <v>124.91249999999999</v>
      </c>
      <c r="J6900">
        <v>-185.0249</v>
      </c>
      <c r="K6900">
        <v>1.1078840000000001</v>
      </c>
      <c r="L6900">
        <v>117.30240000000001</v>
      </c>
      <c r="M6900">
        <v>0.15143489999999901</v>
      </c>
      <c r="N6900">
        <v>0</v>
      </c>
      <c r="O6900">
        <v>0.98836639999999998</v>
      </c>
      <c r="P6900">
        <v>0.28844989999999998</v>
      </c>
      <c r="Q6900">
        <v>3.740301E-2</v>
      </c>
      <c r="R6900">
        <v>0.95676419999999995</v>
      </c>
      <c r="S6900">
        <v>1.355591</v>
      </c>
      <c r="T6900">
        <v>-0.39164090000000001</v>
      </c>
      <c r="U6900">
        <v>2.7435299999999998</v>
      </c>
      <c r="V6900">
        <v>0.14047409999999999</v>
      </c>
      <c r="W6900">
        <v>5.0673540000000003E-2</v>
      </c>
      <c r="X6900">
        <v>0.98878679999999997</v>
      </c>
      <c r="Y6900">
        <v>0.29840680000000003</v>
      </c>
      <c r="Z6900">
        <v>-0.12844179999999999</v>
      </c>
      <c r="AA6900">
        <v>0.94575690000000001</v>
      </c>
      <c r="AB6900">
        <v>27</v>
      </c>
      <c r="AC6900">
        <v>3.81030000000001</v>
      </c>
      <c r="AD6900">
        <v>-1.1078880353180001</v>
      </c>
      <c r="AE6900">
        <v>7.6100999999999797</v>
      </c>
      <c r="AF6900">
        <v>2.5702435323257</v>
      </c>
      <c r="AG6900">
        <v>-1.1078880353180001</v>
      </c>
      <c r="AH6900">
        <v>7.9644235454259098</v>
      </c>
      <c r="AI6900">
        <v>97.541072218783299</v>
      </c>
      <c r="AJ6900">
        <v>72.114301359498498</v>
      </c>
      <c r="AK6900">
        <v>8.4418961214408199</v>
      </c>
      <c r="AL6900">
        <v>87.095376202493497</v>
      </c>
      <c r="AM6900">
        <v>81.914261820469804</v>
      </c>
      <c r="AN6900">
        <v>1.0000000581405799</v>
      </c>
    </row>
    <row r="6901" spans="1:40" x14ac:dyDescent="0.25">
      <c r="A6901" t="str">
        <f>"20190312151708190"</f>
        <v>20190312151708190</v>
      </c>
      <c r="B6901" t="str">
        <f>"1552375028185140"</f>
        <v>1552375028185140</v>
      </c>
      <c r="C6901" t="s">
        <v>40</v>
      </c>
      <c r="D6901">
        <v>4.3049520000000001</v>
      </c>
      <c r="E6901">
        <v>0.56434649999999997</v>
      </c>
      <c r="F6901" t="s">
        <v>58</v>
      </c>
      <c r="G6901">
        <v>-181.17959999999999</v>
      </c>
      <c r="H6901" s="1">
        <v>-4.0700790000000003E-6</v>
      </c>
      <c r="I6901">
        <v>125.02760000000001</v>
      </c>
      <c r="J6901">
        <v>-184.9862</v>
      </c>
      <c r="K6901">
        <v>1.107891</v>
      </c>
      <c r="L6901">
        <v>117.5376</v>
      </c>
      <c r="M6901">
        <v>0.1537625</v>
      </c>
      <c r="N6901">
        <v>0</v>
      </c>
      <c r="O6901">
        <v>0.98800690000000002</v>
      </c>
      <c r="P6901">
        <v>0.29198210000000002</v>
      </c>
      <c r="Q6901">
        <v>3.6782219999999997E-2</v>
      </c>
      <c r="R6901">
        <v>0.95571629999999996</v>
      </c>
      <c r="S6901">
        <v>1.3637539999999999</v>
      </c>
      <c r="T6901">
        <v>-0.39291759999999998</v>
      </c>
      <c r="U6901">
        <v>2.7397770000000001</v>
      </c>
      <c r="V6901">
        <v>0.1417911</v>
      </c>
      <c r="W6901">
        <v>5.0043009999999999E-2</v>
      </c>
      <c r="X6901">
        <v>0.98863080000000003</v>
      </c>
      <c r="Y6901">
        <v>0.29891259999999997</v>
      </c>
      <c r="Z6901">
        <v>-0.1288484</v>
      </c>
      <c r="AA6901">
        <v>0.94554179999999999</v>
      </c>
      <c r="AB6901">
        <v>27</v>
      </c>
      <c r="AC6901">
        <v>3.8066</v>
      </c>
      <c r="AD6901">
        <v>-1.107895070079</v>
      </c>
      <c r="AE6901">
        <v>7.49</v>
      </c>
      <c r="AF6901">
        <v>2.5649269852207701</v>
      </c>
      <c r="AG6901">
        <v>-1.107895070079</v>
      </c>
      <c r="AH6901">
        <v>7.8497876042624899</v>
      </c>
      <c r="AI6901">
        <v>97.6409966041373</v>
      </c>
      <c r="AJ6901">
        <v>71.9051378702015</v>
      </c>
      <c r="AK6901">
        <v>8.3321934301750495</v>
      </c>
      <c r="AL6901">
        <v>87.131548461412393</v>
      </c>
      <c r="AM6901">
        <v>81.838200915961593</v>
      </c>
      <c r="AN6901">
        <v>0.99999993879885296</v>
      </c>
    </row>
    <row r="6902" spans="1:40" x14ac:dyDescent="0.25">
      <c r="A6902" t="str">
        <f>"20190312151708202"</f>
        <v>20190312151708202</v>
      </c>
      <c r="B6902" t="str">
        <f>"1552375028194900"</f>
        <v>1552375028194900</v>
      </c>
      <c r="C6902" t="s">
        <v>40</v>
      </c>
      <c r="D6902">
        <v>4.3048539999999997</v>
      </c>
      <c r="E6902">
        <v>0.56434019999999996</v>
      </c>
      <c r="F6902" t="s">
        <v>58</v>
      </c>
      <c r="G6902">
        <v>-181.1267</v>
      </c>
      <c r="H6902" s="1">
        <v>-4.1244179999999999E-6</v>
      </c>
      <c r="I6902">
        <v>125.2084</v>
      </c>
      <c r="J6902">
        <v>-184.95849999999999</v>
      </c>
      <c r="K6902">
        <v>1.1078870000000001</v>
      </c>
      <c r="L6902">
        <v>117.7034</v>
      </c>
      <c r="M6902">
        <v>0.1554161</v>
      </c>
      <c r="N6902">
        <v>0</v>
      </c>
      <c r="O6902">
        <v>0.98774819999999997</v>
      </c>
      <c r="P6902">
        <v>0.29438839999999999</v>
      </c>
      <c r="Q6902">
        <v>3.6407580000000002E-2</v>
      </c>
      <c r="R6902">
        <v>0.95499219999999896</v>
      </c>
      <c r="S6902">
        <v>1.3755489999999999</v>
      </c>
      <c r="T6902">
        <v>-0.39486120000000002</v>
      </c>
      <c r="U6902">
        <v>2.7339479999999998</v>
      </c>
      <c r="V6902">
        <v>0.14262320000000001</v>
      </c>
      <c r="W6902">
        <v>4.9659639999999998E-2</v>
      </c>
      <c r="X6902">
        <v>0.98853049999999998</v>
      </c>
      <c r="Y6902">
        <v>0.30134250000000001</v>
      </c>
      <c r="Z6902">
        <v>-0.12949869999999999</v>
      </c>
      <c r="AA6902">
        <v>0.94468129999999995</v>
      </c>
      <c r="AB6902">
        <v>27</v>
      </c>
      <c r="AC6902">
        <v>3.8317999999999799</v>
      </c>
      <c r="AD6902">
        <v>-1.1078911244180001</v>
      </c>
      <c r="AE6902">
        <v>7.5049999999999901</v>
      </c>
      <c r="AF6902">
        <v>2.5742193757891898</v>
      </c>
      <c r="AG6902">
        <v>-1.1078911244180001</v>
      </c>
      <c r="AH6902">
        <v>7.87327633409146</v>
      </c>
      <c r="AI6902">
        <v>97.617985435423094</v>
      </c>
      <c r="AJ6902">
        <v>71.894503590463003</v>
      </c>
      <c r="AK6902">
        <v>8.3571830404279908</v>
      </c>
      <c r="AL6902">
        <v>87.153541474220106</v>
      </c>
      <c r="AM6902">
        <v>81.790132826550405</v>
      </c>
      <c r="AN6902">
        <v>1.0000000032267</v>
      </c>
    </row>
    <row r="6903" spans="1:40" x14ac:dyDescent="0.25">
      <c r="A6903" t="str">
        <f>"20190312151708221"</f>
        <v>20190312151708221</v>
      </c>
      <c r="B6903" t="str">
        <f>"1552375028215395"</f>
        <v>1552375028215395</v>
      </c>
      <c r="C6903" t="s">
        <v>40</v>
      </c>
      <c r="D6903">
        <v>4.3178859999999997</v>
      </c>
      <c r="E6903">
        <v>0.56463129999999995</v>
      </c>
      <c r="F6903" t="s">
        <v>58</v>
      </c>
      <c r="G6903">
        <v>-181.07810000000001</v>
      </c>
      <c r="H6903" s="1">
        <v>-4.1728260000000004E-6</v>
      </c>
      <c r="I6903">
        <v>125.36879999999999</v>
      </c>
      <c r="J6903">
        <v>-184.91990000000001</v>
      </c>
      <c r="K6903">
        <v>1.107877</v>
      </c>
      <c r="L6903">
        <v>117.93259999999999</v>
      </c>
      <c r="M6903">
        <v>0.15772249999999999</v>
      </c>
      <c r="N6903">
        <v>0</v>
      </c>
      <c r="O6903">
        <v>0.9873826</v>
      </c>
      <c r="P6903">
        <v>0.29799499999999901</v>
      </c>
      <c r="Q6903">
        <v>3.5841440000000002E-2</v>
      </c>
      <c r="R6903">
        <v>0.95389429999999997</v>
      </c>
      <c r="S6903">
        <v>1.3821870000000001</v>
      </c>
      <c r="T6903">
        <v>-0.39462599999999998</v>
      </c>
      <c r="U6903">
        <v>2.730362</v>
      </c>
      <c r="V6903">
        <v>0.14404610000000001</v>
      </c>
      <c r="W6903">
        <v>4.9077639999999999E-2</v>
      </c>
      <c r="X6903">
        <v>0.98835329999999999</v>
      </c>
      <c r="Y6903">
        <v>0.30144939999999998</v>
      </c>
      <c r="Z6903">
        <v>-0.12943199999999999</v>
      </c>
      <c r="AA6903">
        <v>0.94465639999999995</v>
      </c>
      <c r="AB6903">
        <v>27</v>
      </c>
      <c r="AC6903">
        <v>3.8418000000000001</v>
      </c>
      <c r="AD6903">
        <v>-1.1078811728260001</v>
      </c>
      <c r="AE6903">
        <v>7.4361999999999897</v>
      </c>
      <c r="AF6903">
        <v>2.5756064506091199</v>
      </c>
      <c r="AG6903">
        <v>-1.1078811728260001</v>
      </c>
      <c r="AH6903">
        <v>7.81223308340115</v>
      </c>
      <c r="AI6903">
        <v>97.670595563910894</v>
      </c>
      <c r="AJ6903">
        <v>71.753186315870494</v>
      </c>
      <c r="AK6903">
        <v>8.3001286153233202</v>
      </c>
      <c r="AL6903">
        <v>87.186928516347393</v>
      </c>
      <c r="AM6903">
        <v>81.707893231005102</v>
      </c>
      <c r="AN6903">
        <v>1.0000000696470299</v>
      </c>
    </row>
    <row r="6904" spans="1:40" x14ac:dyDescent="0.25">
      <c r="A6904" t="str">
        <f>"20190312151708234"</f>
        <v>20190312151708234</v>
      </c>
      <c r="B6904" t="str">
        <f>"1552375028225156"</f>
        <v>1552375028225156</v>
      </c>
      <c r="C6904" t="s">
        <v>40</v>
      </c>
      <c r="D6904">
        <v>4.3057109999999996</v>
      </c>
      <c r="E6904">
        <v>0.56480600000000003</v>
      </c>
      <c r="F6904" t="s">
        <v>58</v>
      </c>
      <c r="G6904">
        <v>-181.01240000000001</v>
      </c>
      <c r="H6904" s="1">
        <v>-4.232264E-6</v>
      </c>
      <c r="I6904">
        <v>125.5624</v>
      </c>
      <c r="J6904">
        <v>-184.8931</v>
      </c>
      <c r="K6904">
        <v>1.1078629999999901</v>
      </c>
      <c r="L6904">
        <v>118.0898</v>
      </c>
      <c r="M6904">
        <v>0.15932279999999999</v>
      </c>
      <c r="N6904">
        <v>0</v>
      </c>
      <c r="O6904">
        <v>0.98712560000000005</v>
      </c>
      <c r="P6904">
        <v>0.30081580000000002</v>
      </c>
      <c r="Q6904">
        <v>3.6028730000000002E-2</v>
      </c>
      <c r="R6904">
        <v>0.95300149999999995</v>
      </c>
      <c r="S6904">
        <v>1.3950959999999999</v>
      </c>
      <c r="T6904">
        <v>-0.39554319999999998</v>
      </c>
      <c r="U6904">
        <v>2.7240600000000001</v>
      </c>
      <c r="V6904">
        <v>0.14537239999999901</v>
      </c>
      <c r="W6904">
        <v>4.9249569999999999E-2</v>
      </c>
      <c r="X6904">
        <v>0.98815050000000004</v>
      </c>
      <c r="Y6904">
        <v>0.3043188</v>
      </c>
      <c r="Z6904">
        <v>-0.1297488</v>
      </c>
      <c r="AA6904">
        <v>0.94369239999999999</v>
      </c>
      <c r="AB6904">
        <v>27</v>
      </c>
      <c r="AC6904">
        <v>3.8806999999999898</v>
      </c>
      <c r="AD6904">
        <v>-1.10786723226399</v>
      </c>
      <c r="AE6904">
        <v>7.4725999999999999</v>
      </c>
      <c r="AF6904">
        <v>2.59551395306829</v>
      </c>
      <c r="AG6904">
        <v>-1.10786723226399</v>
      </c>
      <c r="AH6904">
        <v>7.8594181249226196</v>
      </c>
      <c r="AI6904">
        <v>97.623751499346398</v>
      </c>
      <c r="AJ6904">
        <v>71.724580810331702</v>
      </c>
      <c r="AK6904">
        <v>8.3507194748272298</v>
      </c>
      <c r="AL6904">
        <v>87.177065622688403</v>
      </c>
      <c r="AM6904">
        <v>81.630927084233406</v>
      </c>
      <c r="AN6904">
        <v>1.0000000327385901</v>
      </c>
    </row>
    <row r="6905" spans="1:40" x14ac:dyDescent="0.25">
      <c r="A6905" t="str">
        <f>"20190312151708254"</f>
        <v>20190312151708254</v>
      </c>
      <c r="B6905" t="str">
        <f>"1552375028244676"</f>
        <v>1552375028244676</v>
      </c>
      <c r="C6905" t="s">
        <v>40</v>
      </c>
      <c r="D6905">
        <v>4.3560460000000001</v>
      </c>
      <c r="E6905">
        <v>0.57065940000000004</v>
      </c>
      <c r="F6905" t="s">
        <v>58</v>
      </c>
      <c r="G6905">
        <v>-180.96209999999999</v>
      </c>
      <c r="H6905" s="1">
        <v>-4.2750889999999999E-6</v>
      </c>
      <c r="I6905">
        <v>125.7003</v>
      </c>
      <c r="J6905">
        <v>-184.85220000000001</v>
      </c>
      <c r="K6905">
        <v>1.1078349999999999</v>
      </c>
      <c r="L6905">
        <v>118.3261</v>
      </c>
      <c r="M6905">
        <v>0.16177369999999999</v>
      </c>
      <c r="N6905">
        <v>0</v>
      </c>
      <c r="O6905">
        <v>0.98672689999999996</v>
      </c>
      <c r="P6905">
        <v>0.30514720000000001</v>
      </c>
      <c r="Q6905">
        <v>3.634163E-2</v>
      </c>
      <c r="R6905">
        <v>0.95161150000000005</v>
      </c>
      <c r="S6905">
        <v>1.4046940000000001</v>
      </c>
      <c r="T6905">
        <v>-0.3958815</v>
      </c>
      <c r="U6905">
        <v>2.7195130000000001</v>
      </c>
      <c r="V6905">
        <v>0.14742149999999901</v>
      </c>
      <c r="W6905">
        <v>4.9534370000000001E-2</v>
      </c>
      <c r="X6905">
        <v>0.98783259999999995</v>
      </c>
      <c r="Y6905">
        <v>0.30522189999999999</v>
      </c>
      <c r="Z6905">
        <v>-0.1298522</v>
      </c>
      <c r="AA6905">
        <v>0.94338639999999996</v>
      </c>
      <c r="AB6905">
        <v>27</v>
      </c>
      <c r="AC6905">
        <v>3.8901000000000101</v>
      </c>
      <c r="AD6905">
        <v>-1.107839275089</v>
      </c>
      <c r="AE6905">
        <v>7.3742000000000001</v>
      </c>
      <c r="AF6905">
        <v>2.5998746220619302</v>
      </c>
      <c r="AG6905">
        <v>-1.107839275089</v>
      </c>
      <c r="AH6905">
        <v>7.7692503555838703</v>
      </c>
      <c r="AI6905">
        <v>97.700965508605094</v>
      </c>
      <c r="AJ6905">
        <v>71.497878940221</v>
      </c>
      <c r="AK6905">
        <v>8.2672792983914292</v>
      </c>
      <c r="AL6905">
        <v>87.160727748709206</v>
      </c>
      <c r="AM6905">
        <v>81.511975355212499</v>
      </c>
      <c r="AN6905">
        <v>0.99999999904815295</v>
      </c>
    </row>
    <row r="6906" spans="1:40" x14ac:dyDescent="0.25">
      <c r="A6906" t="str">
        <f>"20190312151708266"</f>
        <v>20190312151708266</v>
      </c>
      <c r="B6906" t="str">
        <f>"1552375028254437"</f>
        <v>1552375028254437</v>
      </c>
      <c r="C6906" t="s">
        <v>40</v>
      </c>
      <c r="D6906">
        <v>4.3224499999999999</v>
      </c>
      <c r="E6906">
        <v>0.57041109999999995</v>
      </c>
      <c r="F6906" t="s">
        <v>58</v>
      </c>
      <c r="G6906">
        <v>-180.8682</v>
      </c>
      <c r="H6906" s="1">
        <v>-4.2832389999999999E-6</v>
      </c>
      <c r="I6906">
        <v>125.6814</v>
      </c>
      <c r="J6906">
        <v>-184.82550000000001</v>
      </c>
      <c r="K6906">
        <v>1.1078059999999901</v>
      </c>
      <c r="L6906">
        <v>118.47880000000001</v>
      </c>
      <c r="M6906">
        <v>0.16339679999999901</v>
      </c>
      <c r="N6906">
        <v>0</v>
      </c>
      <c r="O6906">
        <v>0.98645950000000004</v>
      </c>
      <c r="P6906">
        <v>0.30780459999999998</v>
      </c>
      <c r="Q6906">
        <v>3.6681999999999999E-2</v>
      </c>
      <c r="R6906">
        <v>0.95074219999999998</v>
      </c>
      <c r="S6906">
        <v>1.4620820000000001</v>
      </c>
      <c r="T6906">
        <v>-0.40655669999999999</v>
      </c>
      <c r="U6906">
        <v>2.6992340000000001</v>
      </c>
      <c r="V6906">
        <v>0.14856420000000001</v>
      </c>
      <c r="W6906">
        <v>4.9854889999999999E-2</v>
      </c>
      <c r="X6906">
        <v>0.98764529999999995</v>
      </c>
      <c r="Y6906">
        <v>0.321934</v>
      </c>
      <c r="Z6906">
        <v>-0.13310859999999999</v>
      </c>
      <c r="AA6906">
        <v>0.93735829999999998</v>
      </c>
      <c r="AB6906">
        <v>27</v>
      </c>
      <c r="AC6906">
        <v>3.9573</v>
      </c>
      <c r="AD6906">
        <v>-1.10781028323899</v>
      </c>
      <c r="AE6906">
        <v>7.2025999999999897</v>
      </c>
      <c r="AF6906">
        <v>2.6784354305814499</v>
      </c>
      <c r="AG6906">
        <v>-1.10781028323899</v>
      </c>
      <c r="AH6906">
        <v>7.6140976616545402</v>
      </c>
      <c r="AI6906">
        <v>97.815032631161003</v>
      </c>
      <c r="AJ6906">
        <v>70.619494865455195</v>
      </c>
      <c r="AK6906">
        <v>8.1471309784891304</v>
      </c>
      <c r="AL6906">
        <v>87.142340690359504</v>
      </c>
      <c r="AM6906">
        <v>81.445553991268199</v>
      </c>
      <c r="AN6906">
        <v>1.00000003509532</v>
      </c>
    </row>
    <row r="6907" spans="1:40" x14ac:dyDescent="0.25">
      <c r="A6907" t="str">
        <f>"20190312151708279"</f>
        <v>20190312151708279</v>
      </c>
      <c r="B6907" t="str">
        <f>"1552375028274932"</f>
        <v>1552375028274932</v>
      </c>
      <c r="C6907" t="s">
        <v>40</v>
      </c>
      <c r="D6907">
        <v>4.327223</v>
      </c>
      <c r="E6907">
        <v>0.57012220000000002</v>
      </c>
      <c r="F6907" t="s">
        <v>58</v>
      </c>
      <c r="G6907">
        <v>-180.81549999999999</v>
      </c>
      <c r="H6907" s="1">
        <v>-4.3319640000000001E-6</v>
      </c>
      <c r="I6907">
        <v>125.8407</v>
      </c>
      <c r="J6907">
        <v>-184.79910000000001</v>
      </c>
      <c r="K6907">
        <v>1.107772</v>
      </c>
      <c r="L6907">
        <v>118.6275</v>
      </c>
      <c r="M6907">
        <v>0.16500139999999999</v>
      </c>
      <c r="N6907">
        <v>0</v>
      </c>
      <c r="O6907">
        <v>0.98619230000000002</v>
      </c>
      <c r="P6907">
        <v>0.31064370000000002</v>
      </c>
      <c r="Q6907">
        <v>3.6410600000000001E-2</v>
      </c>
      <c r="R6907">
        <v>0.94982880000000003</v>
      </c>
      <c r="S6907">
        <v>1.4683379999999999</v>
      </c>
      <c r="T6907">
        <v>-0.40564699999999998</v>
      </c>
      <c r="U6907">
        <v>2.695694</v>
      </c>
      <c r="V6907">
        <v>0.14990970000000001</v>
      </c>
      <c r="W6907">
        <v>4.956199E-2</v>
      </c>
      <c r="X6907">
        <v>0.98745669999999997</v>
      </c>
      <c r="Y6907">
        <v>0.32260809999999901</v>
      </c>
      <c r="Z6907">
        <v>-0.13282929999999901</v>
      </c>
      <c r="AA6907">
        <v>0.93716619999999995</v>
      </c>
      <c r="AB6907">
        <v>27</v>
      </c>
      <c r="AC6907">
        <v>3.98360000000002</v>
      </c>
      <c r="AD6907">
        <v>-1.1077763319639999</v>
      </c>
      <c r="AE6907">
        <v>7.2131999999999996</v>
      </c>
      <c r="AF6907">
        <v>2.69006201198922</v>
      </c>
      <c r="AG6907">
        <v>-1.1077763319639999</v>
      </c>
      <c r="AH6907">
        <v>7.6337095808486799</v>
      </c>
      <c r="AI6907">
        <v>97.793472573063696</v>
      </c>
      <c r="AJ6907">
        <v>70.587924538157793</v>
      </c>
      <c r="AK6907">
        <v>8.1692792824549691</v>
      </c>
      <c r="AL6907">
        <v>87.159143357523007</v>
      </c>
      <c r="AM6907">
        <v>81.367616981516406</v>
      </c>
      <c r="AN6907">
        <v>1.00000002169086</v>
      </c>
    </row>
    <row r="6908" spans="1:40" x14ac:dyDescent="0.25">
      <c r="A6908" t="str">
        <f>"20190312151708293"</f>
        <v>20190312151708293</v>
      </c>
      <c r="B6908" t="str">
        <f>"1552375028284692"</f>
        <v>1552375028284692</v>
      </c>
      <c r="C6908" t="s">
        <v>40</v>
      </c>
      <c r="D6908">
        <v>4.3727989999999997</v>
      </c>
      <c r="E6908">
        <v>0.57012220000000002</v>
      </c>
      <c r="F6908" t="s">
        <v>58</v>
      </c>
      <c r="G6908">
        <v>-180.8168</v>
      </c>
      <c r="H6908" s="1">
        <v>-4.3465089999999901E-6</v>
      </c>
      <c r="I6908">
        <v>125.8974</v>
      </c>
      <c r="J6908">
        <v>-184.7688</v>
      </c>
      <c r="K6908">
        <v>1.107734</v>
      </c>
      <c r="L6908">
        <v>118.797</v>
      </c>
      <c r="M6908">
        <v>0.16686039999999999</v>
      </c>
      <c r="N6908">
        <v>0</v>
      </c>
      <c r="O6908">
        <v>0.98587950000000002</v>
      </c>
      <c r="P6908">
        <v>0.31323499999999999</v>
      </c>
      <c r="Q6908">
        <v>3.6372219999999997E-2</v>
      </c>
      <c r="R6908">
        <v>0.94897889999999996</v>
      </c>
      <c r="S6908">
        <v>1.474594</v>
      </c>
      <c r="T6908">
        <v>-0.41019149999999999</v>
      </c>
      <c r="U6908">
        <v>2.6919249999999999</v>
      </c>
      <c r="V6908">
        <v>0.1507482</v>
      </c>
      <c r="W6908">
        <v>4.9502459999999998E-2</v>
      </c>
      <c r="X6908">
        <v>0.98733199999999999</v>
      </c>
      <c r="Y6908">
        <v>0.3229571</v>
      </c>
      <c r="Z6908">
        <v>-0.1343097</v>
      </c>
      <c r="AA6908">
        <v>0.93683490000000003</v>
      </c>
      <c r="AB6908">
        <v>27</v>
      </c>
      <c r="AC6908">
        <v>3.9519999999999902</v>
      </c>
      <c r="AD6908">
        <v>-1.107738346509</v>
      </c>
      <c r="AE6908">
        <v>7.1003999999999898</v>
      </c>
      <c r="AF6908">
        <v>2.6622193202772699</v>
      </c>
      <c r="AG6908">
        <v>-1.107738346509</v>
      </c>
      <c r="AH6908">
        <v>7.5205820829919601</v>
      </c>
      <c r="AI6908">
        <v>97.905045263095303</v>
      </c>
      <c r="AJ6908">
        <v>70.506488748207403</v>
      </c>
      <c r="AK6908">
        <v>8.0544180932332896</v>
      </c>
      <c r="AL6908">
        <v>87.162558293477304</v>
      </c>
      <c r="AM6908">
        <v>81.318986693065995</v>
      </c>
      <c r="AN6908">
        <v>0.999999995786645</v>
      </c>
    </row>
    <row r="6909" spans="1:40" x14ac:dyDescent="0.25">
      <c r="A6909" t="str">
        <f>"20190312151708311"</f>
        <v>20190312151708311</v>
      </c>
      <c r="B6909" t="str">
        <f>"1552375028305189"</f>
        <v>1552375028305189</v>
      </c>
      <c r="C6909" t="s">
        <v>40</v>
      </c>
      <c r="D6909">
        <v>4.4992910000000004</v>
      </c>
      <c r="E6909">
        <v>0.57419909999999996</v>
      </c>
      <c r="F6909" t="s">
        <v>58</v>
      </c>
      <c r="G6909">
        <v>-180.76300000000001</v>
      </c>
      <c r="H6909" s="1">
        <v>-4.3964589999999997E-6</v>
      </c>
      <c r="I6909">
        <v>126.0609</v>
      </c>
      <c r="J6909">
        <v>-184.7296</v>
      </c>
      <c r="K6909">
        <v>1.107664</v>
      </c>
      <c r="L6909">
        <v>119.0124</v>
      </c>
      <c r="M6909">
        <v>0.16932720000000001</v>
      </c>
      <c r="N6909">
        <v>0</v>
      </c>
      <c r="O6909">
        <v>0.98545890000000003</v>
      </c>
      <c r="P6909">
        <v>0.3185443</v>
      </c>
      <c r="Q6909">
        <v>3.5906519999999997E-2</v>
      </c>
      <c r="R6909">
        <v>0.94722770000000001</v>
      </c>
      <c r="S6909">
        <v>1.482224</v>
      </c>
      <c r="T6909">
        <v>-0.40988150000000001</v>
      </c>
      <c r="U6909">
        <v>2.6877589999999998</v>
      </c>
      <c r="V6909">
        <v>0.15381049999999999</v>
      </c>
      <c r="W6909">
        <v>4.8988110000000001E-2</v>
      </c>
      <c r="X6909">
        <v>0.98688520000000002</v>
      </c>
      <c r="Y6909">
        <v>0.3232508</v>
      </c>
      <c r="Z6909">
        <v>-0.13421169999999999</v>
      </c>
      <c r="AA6909">
        <v>0.93674769999999896</v>
      </c>
      <c r="AB6909">
        <v>27</v>
      </c>
      <c r="AC6909">
        <v>3.9666000000000001</v>
      </c>
      <c r="AD6909">
        <v>-1.1076683964589999</v>
      </c>
      <c r="AE6909">
        <v>7.0484999999999998</v>
      </c>
      <c r="AF6909">
        <v>2.66569108089171</v>
      </c>
      <c r="AG6909">
        <v>-1.1076683964589999</v>
      </c>
      <c r="AH6909">
        <v>7.4781582167142</v>
      </c>
      <c r="AI6909">
        <v>97.942706065345305</v>
      </c>
      <c r="AJ6909">
        <v>70.380700185001501</v>
      </c>
      <c r="AK6909">
        <v>8.0159646038059407</v>
      </c>
      <c r="AL6909">
        <v>87.192064052451002</v>
      </c>
      <c r="AM6909">
        <v>81.141462580248401</v>
      </c>
      <c r="AN6909">
        <v>0.99999995140532905</v>
      </c>
    </row>
    <row r="6910" spans="1:40" x14ac:dyDescent="0.25">
      <c r="A6910" t="str">
        <f>"20190312151708333"</f>
        <v>20190312151708333</v>
      </c>
      <c r="B6910" t="str">
        <f>"1552375028324711"</f>
        <v>1552375028324711</v>
      </c>
      <c r="C6910" t="s">
        <v>40</v>
      </c>
      <c r="D6910">
        <v>4.7549330000000003</v>
      </c>
      <c r="E6910">
        <v>0.61458389999999996</v>
      </c>
      <c r="F6910" t="s">
        <v>58</v>
      </c>
      <c r="G6910">
        <v>-180.33789999999999</v>
      </c>
      <c r="H6910" s="1">
        <v>-4.6168079999999998E-6</v>
      </c>
      <c r="I6910">
        <v>126.6814</v>
      </c>
      <c r="J6910">
        <v>-184.68170000000001</v>
      </c>
      <c r="K6910">
        <v>1.1075619999999999</v>
      </c>
      <c r="L6910">
        <v>119.2713</v>
      </c>
      <c r="M6910">
        <v>0.1724203</v>
      </c>
      <c r="N6910">
        <v>0</v>
      </c>
      <c r="O6910">
        <v>0.98492230000000003</v>
      </c>
      <c r="P6910">
        <v>0.3249225</v>
      </c>
      <c r="Q6910">
        <v>3.5819360000000001E-2</v>
      </c>
      <c r="R6910">
        <v>0.94506210000000002</v>
      </c>
      <c r="S6910">
        <v>1.5277860000000001</v>
      </c>
      <c r="T6910">
        <v>-0.38534020000000002</v>
      </c>
      <c r="U6910">
        <v>2.6679379999999999</v>
      </c>
      <c r="V6910">
        <v>0.15737689999999999</v>
      </c>
      <c r="W6910">
        <v>4.883618E-2</v>
      </c>
      <c r="X6910">
        <v>0.98633029999999999</v>
      </c>
      <c r="Y6910">
        <v>0.33585540000000003</v>
      </c>
      <c r="Z6910">
        <v>-0.12624260000000001</v>
      </c>
      <c r="AA6910">
        <v>0.9334152</v>
      </c>
      <c r="AB6910">
        <v>27</v>
      </c>
      <c r="AC6910">
        <v>4.3438000000000097</v>
      </c>
      <c r="AD6910">
        <v>-1.1075666168080001</v>
      </c>
      <c r="AE6910">
        <v>7.4100999999999999</v>
      </c>
      <c r="AF6910">
        <v>2.9518723446474899</v>
      </c>
      <c r="AG6910">
        <v>-1.1075666168080001</v>
      </c>
      <c r="AH6910">
        <v>7.9165069654437099</v>
      </c>
      <c r="AI6910">
        <v>97.468282824084298</v>
      </c>
      <c r="AJ6910">
        <v>69.550741542196107</v>
      </c>
      <c r="AK6910">
        <v>8.5212285900379996</v>
      </c>
      <c r="AL6910">
        <v>87.200779458875104</v>
      </c>
      <c r="AM6910">
        <v>80.9344168182663</v>
      </c>
      <c r="AN6910">
        <v>0.99999996091434495</v>
      </c>
    </row>
    <row r="6911" spans="1:40" x14ac:dyDescent="0.25">
      <c r="A6911" t="str">
        <f>"20190312151708345"</f>
        <v>20190312151708345</v>
      </c>
      <c r="B6911" t="str">
        <f>"1552375028335445"</f>
        <v>1552375028335445</v>
      </c>
      <c r="C6911" t="s">
        <v>40</v>
      </c>
      <c r="D6911">
        <v>4.5214879999999997</v>
      </c>
      <c r="E6911">
        <v>0.61567340000000004</v>
      </c>
      <c r="F6911" t="s">
        <v>58</v>
      </c>
      <c r="G6911">
        <v>-179.10749999999999</v>
      </c>
      <c r="H6911">
        <v>7.9988149999999994E-2</v>
      </c>
      <c r="I6911">
        <v>126.95829999999999</v>
      </c>
      <c r="J6911">
        <v>-184.65520000000001</v>
      </c>
      <c r="K6911">
        <v>1.10749599999999</v>
      </c>
      <c r="L6911">
        <v>119.4113</v>
      </c>
      <c r="M6911">
        <v>0.17419389999999901</v>
      </c>
      <c r="N6911">
        <v>0</v>
      </c>
      <c r="O6911">
        <v>0.98461010000000004</v>
      </c>
      <c r="P6911">
        <v>0.3285264</v>
      </c>
      <c r="Q6911">
        <v>3.5598879999999999E-2</v>
      </c>
      <c r="R6911">
        <v>0.94382359999999998</v>
      </c>
      <c r="S6911">
        <v>1.8500369999999999</v>
      </c>
      <c r="T6911">
        <v>-0.34104449999999997</v>
      </c>
      <c r="U6911">
        <v>2.5512540000000001</v>
      </c>
      <c r="V6911">
        <v>0.1593706</v>
      </c>
      <c r="W6911">
        <v>4.8575180000000003E-2</v>
      </c>
      <c r="X6911">
        <v>0.98602310000000004</v>
      </c>
      <c r="Y6911">
        <v>0.43345060000000002</v>
      </c>
      <c r="Z6911">
        <v>-0.1102448</v>
      </c>
      <c r="AA6911">
        <v>0.894408599999999</v>
      </c>
      <c r="AB6911">
        <v>27</v>
      </c>
      <c r="AC6911">
        <v>5.5477000000000096</v>
      </c>
      <c r="AD6911">
        <v>-1.0275078499999999</v>
      </c>
      <c r="AE6911">
        <v>7.5469999999999899</v>
      </c>
      <c r="AF6911">
        <v>4.0987701208080303</v>
      </c>
      <c r="AG6911">
        <v>-1.0275078499999999</v>
      </c>
      <c r="AH6911">
        <v>8.2982067510648996</v>
      </c>
      <c r="AI6911">
        <v>96.334955581159505</v>
      </c>
      <c r="AJ6911">
        <v>63.7136475165536</v>
      </c>
      <c r="AK6911">
        <v>9.3121385389425697</v>
      </c>
      <c r="AL6911">
        <v>87.215751661362404</v>
      </c>
      <c r="AM6911">
        <v>80.818703107502202</v>
      </c>
      <c r="AN6911">
        <v>1.0000000449949999</v>
      </c>
    </row>
    <row r="6912" spans="1:40" x14ac:dyDescent="0.25">
      <c r="A6912" t="str">
        <f>"20190312151708355"</f>
        <v>20190312151708355</v>
      </c>
      <c r="B6912" t="str">
        <f>"1552375028345204"</f>
        <v>1552375028345204</v>
      </c>
      <c r="C6912" t="s">
        <v>40</v>
      </c>
      <c r="D6912">
        <v>4.7540899999999997</v>
      </c>
      <c r="E6912">
        <v>0.61750719999999903</v>
      </c>
      <c r="F6912" t="s">
        <v>58</v>
      </c>
      <c r="G6912">
        <v>-178.9683</v>
      </c>
      <c r="H6912">
        <v>7.9988110000000001E-2</v>
      </c>
      <c r="I6912">
        <v>127.14700000000001</v>
      </c>
      <c r="J6912">
        <v>-184.6285</v>
      </c>
      <c r="K6912">
        <v>1.107424</v>
      </c>
      <c r="L6912">
        <v>119.5514</v>
      </c>
      <c r="M6912">
        <v>0.1760002</v>
      </c>
      <c r="N6912">
        <v>0</v>
      </c>
      <c r="O6912">
        <v>0.98428890000000002</v>
      </c>
      <c r="P6912">
        <v>0.33223849999999999</v>
      </c>
      <c r="Q6912">
        <v>3.5132400000000001E-2</v>
      </c>
      <c r="R6912">
        <v>0.94254090000000001</v>
      </c>
      <c r="S6912">
        <v>1.8680570000000001</v>
      </c>
      <c r="T6912">
        <v>-0.3375204</v>
      </c>
      <c r="U6912">
        <v>2.541061</v>
      </c>
      <c r="V6912">
        <v>0.1614457</v>
      </c>
      <c r="W6912">
        <v>4.8065080000000003E-2</v>
      </c>
      <c r="X6912">
        <v>0.98571039999999999</v>
      </c>
      <c r="Y6912">
        <v>0.43770550000000003</v>
      </c>
      <c r="Z6912">
        <v>-0.109093</v>
      </c>
      <c r="AA6912">
        <v>0.89247549999999898</v>
      </c>
      <c r="AB6912">
        <v>27</v>
      </c>
      <c r="AC6912">
        <v>5.6601999999999997</v>
      </c>
      <c r="AD6912">
        <v>-1.02743589</v>
      </c>
      <c r="AE6912">
        <v>7.5956000000000001</v>
      </c>
      <c r="AF6912">
        <v>4.1856258643150097</v>
      </c>
      <c r="AG6912">
        <v>-1.02743589</v>
      </c>
      <c r="AH6912">
        <v>8.3747818308419593</v>
      </c>
      <c r="AI6912">
        <v>96.262548876648495</v>
      </c>
      <c r="AJ6912">
        <v>63.444610066056498</v>
      </c>
      <c r="AK6912">
        <v>9.4187079314672193</v>
      </c>
      <c r="AL6912">
        <v>87.245012235889504</v>
      </c>
      <c r="AM6912">
        <v>80.698333930277698</v>
      </c>
      <c r="AN6912">
        <v>0.99999997931602702</v>
      </c>
    </row>
    <row r="6913" spans="1:40" x14ac:dyDescent="0.25">
      <c r="A6913" t="str">
        <f>"20190312151708367"</f>
        <v>20190312151708367</v>
      </c>
      <c r="B6913" t="str">
        <f>"1552375028354964"</f>
        <v>1552375028354964</v>
      </c>
      <c r="C6913" t="s">
        <v>40</v>
      </c>
      <c r="D6913">
        <v>4.5315890000000003</v>
      </c>
      <c r="E6913">
        <v>0.61755579999999999</v>
      </c>
      <c r="F6913" t="s">
        <v>58</v>
      </c>
      <c r="G6913">
        <v>-178.93780000000001</v>
      </c>
      <c r="H6913">
        <v>7.9988110000000001E-2</v>
      </c>
      <c r="I6913">
        <v>127.157</v>
      </c>
      <c r="J6913">
        <v>-184.60149999999999</v>
      </c>
      <c r="K6913">
        <v>1.1073409999999999</v>
      </c>
      <c r="L6913">
        <v>119.6915</v>
      </c>
      <c r="M6913">
        <v>0.17788709999999999</v>
      </c>
      <c r="N6913">
        <v>0</v>
      </c>
      <c r="O6913">
        <v>0.98394950000000003</v>
      </c>
      <c r="P6913">
        <v>0.33560069999999997</v>
      </c>
      <c r="Q6913">
        <v>3.4785280000000002E-2</v>
      </c>
      <c r="R6913">
        <v>0.94136180000000003</v>
      </c>
      <c r="S6913">
        <v>1.8920589999999999</v>
      </c>
      <c r="T6913">
        <v>-0.34159980000000001</v>
      </c>
      <c r="U6913">
        <v>2.528702</v>
      </c>
      <c r="V6913">
        <v>0.16308010000000001</v>
      </c>
      <c r="W6913">
        <v>4.767453E-2</v>
      </c>
      <c r="X6913">
        <v>0.98546029999999996</v>
      </c>
      <c r="Y6913">
        <v>0.44342880000000001</v>
      </c>
      <c r="Z6913">
        <v>-0.11032119999999999</v>
      </c>
      <c r="AA6913">
        <v>0.88949429999999996</v>
      </c>
      <c r="AB6913">
        <v>27</v>
      </c>
      <c r="AC6913">
        <v>5.6636999999999702</v>
      </c>
      <c r="AD6913">
        <v>-1.02735289</v>
      </c>
      <c r="AE6913">
        <v>7.4654999999999996</v>
      </c>
      <c r="AF6913">
        <v>4.19478270425593</v>
      </c>
      <c r="AG6913">
        <v>-1.02735289</v>
      </c>
      <c r="AH6913">
        <v>8.2547886430824899</v>
      </c>
      <c r="AI6913">
        <v>96.331164714575806</v>
      </c>
      <c r="AJ6913">
        <v>63.061982415485602</v>
      </c>
      <c r="AK6913">
        <v>9.3162863544697796</v>
      </c>
      <c r="AL6913">
        <v>87.267414818745706</v>
      </c>
      <c r="AM6913">
        <v>80.603497012246393</v>
      </c>
      <c r="AN6913">
        <v>0.99999999135141004</v>
      </c>
    </row>
    <row r="6914" spans="1:40" x14ac:dyDescent="0.25">
      <c r="A6914" t="str">
        <f>"20190312151708379"</f>
        <v>20190312151708379</v>
      </c>
      <c r="B6914" t="str">
        <f>"1552375028374484"</f>
        <v>1552375028374484</v>
      </c>
      <c r="C6914" t="s">
        <v>40</v>
      </c>
      <c r="D6914">
        <v>4.4596220000000004</v>
      </c>
      <c r="E6914">
        <v>0.61682250000000005</v>
      </c>
      <c r="F6914" t="s">
        <v>58</v>
      </c>
      <c r="G6914">
        <v>-178.80260000000001</v>
      </c>
      <c r="H6914">
        <v>7.9988050000000005E-2</v>
      </c>
      <c r="I6914">
        <v>127.38160000000001</v>
      </c>
      <c r="J6914">
        <v>-184.57579999999999</v>
      </c>
      <c r="K6914">
        <v>1.107254</v>
      </c>
      <c r="L6914">
        <v>119.8228</v>
      </c>
      <c r="M6914">
        <v>0.17970849999999999</v>
      </c>
      <c r="N6914">
        <v>0</v>
      </c>
      <c r="O6914">
        <v>0.98361849999999995</v>
      </c>
      <c r="P6914">
        <v>0.33890399999999998</v>
      </c>
      <c r="Q6914">
        <v>3.432822E-2</v>
      </c>
      <c r="R6914">
        <v>0.94019450000000004</v>
      </c>
      <c r="S6914">
        <v>1.901367</v>
      </c>
      <c r="T6914">
        <v>-0.33685179999999998</v>
      </c>
      <c r="U6914">
        <v>2.5214690000000002</v>
      </c>
      <c r="V6914">
        <v>0.164719899999999</v>
      </c>
      <c r="W6914">
        <v>4.717441E-2</v>
      </c>
      <c r="X6914">
        <v>0.98521159999999997</v>
      </c>
      <c r="Y6914">
        <v>0.44518980000000002</v>
      </c>
      <c r="Z6914">
        <v>-0.1088414</v>
      </c>
      <c r="AA6914">
        <v>0.888796699999999</v>
      </c>
      <c r="AB6914">
        <v>27</v>
      </c>
      <c r="AC6914">
        <v>5.7731999999999699</v>
      </c>
      <c r="AD6914">
        <v>-1.0272659500000001</v>
      </c>
      <c r="AE6914">
        <v>7.5587999999999997</v>
      </c>
      <c r="AF6914">
        <v>4.2708572869278401</v>
      </c>
      <c r="AG6914">
        <v>-1.0272659500000001</v>
      </c>
      <c r="AH6914">
        <v>8.3756125875188996</v>
      </c>
      <c r="AI6914">
        <v>96.235651109574206</v>
      </c>
      <c r="AJ6914">
        <v>62.982246538993401</v>
      </c>
      <c r="AK6914">
        <v>9.4576098203266508</v>
      </c>
      <c r="AL6914">
        <v>87.296101841449001</v>
      </c>
      <c r="AM6914">
        <v>80.508371650473904</v>
      </c>
      <c r="AN6914">
        <v>0.99999998359470899</v>
      </c>
    </row>
    <row r="6915" spans="1:40" x14ac:dyDescent="0.25">
      <c r="A6915" t="str">
        <f>"20190312151708399"</f>
        <v>20190312151708399</v>
      </c>
      <c r="B6915" t="str">
        <f>"1552375028394980"</f>
        <v>1552375028394980</v>
      </c>
      <c r="C6915" t="s">
        <v>40</v>
      </c>
      <c r="D6915">
        <v>4.4760289999999996</v>
      </c>
      <c r="E6915">
        <v>0.61656840000000002</v>
      </c>
      <c r="F6915" t="s">
        <v>58</v>
      </c>
      <c r="G6915">
        <v>-178.72819999999999</v>
      </c>
      <c r="H6915">
        <v>7.9988009999999998E-2</v>
      </c>
      <c r="I6915">
        <v>127.5472</v>
      </c>
      <c r="J6915">
        <v>-184.52590000000001</v>
      </c>
      <c r="K6915">
        <v>1.1070960000000001</v>
      </c>
      <c r="L6915">
        <v>120.074</v>
      </c>
      <c r="M6915">
        <v>0.18334790000000001</v>
      </c>
      <c r="N6915">
        <v>0</v>
      </c>
      <c r="O6915">
        <v>0.98294649999999995</v>
      </c>
      <c r="P6915">
        <v>0.34620289999999998</v>
      </c>
      <c r="Q6915">
        <v>3.4316579999999999E-2</v>
      </c>
      <c r="R6915">
        <v>0.93753180000000003</v>
      </c>
      <c r="S6915">
        <v>1.904968</v>
      </c>
      <c r="T6915">
        <v>-0.33465040000000001</v>
      </c>
      <c r="U6915">
        <v>2.5163880000000001</v>
      </c>
      <c r="V6915">
        <v>0.1687514</v>
      </c>
      <c r="W6915">
        <v>4.706962E-2</v>
      </c>
      <c r="X6915">
        <v>0.98453409999999997</v>
      </c>
      <c r="Y6915">
        <v>0.44359300000000002</v>
      </c>
      <c r="Z6915">
        <v>-0.1082032</v>
      </c>
      <c r="AA6915">
        <v>0.88967260000000004</v>
      </c>
      <c r="AB6915">
        <v>27</v>
      </c>
      <c r="AC6915">
        <v>5.7977000000000096</v>
      </c>
      <c r="AD6915">
        <v>-1.02710798999999</v>
      </c>
      <c r="AE6915">
        <v>7.4732000000000003</v>
      </c>
      <c r="AF6915">
        <v>4.2786116536151697</v>
      </c>
      <c r="AG6915">
        <v>-1.02710798999999</v>
      </c>
      <c r="AH6915">
        <v>8.3115802585814595</v>
      </c>
      <c r="AI6915">
        <v>96.270066255335806</v>
      </c>
      <c r="AJ6915">
        <v>62.761624956772501</v>
      </c>
      <c r="AK6915">
        <v>9.40445824598177</v>
      </c>
      <c r="AL6915">
        <v>87.302112558181307</v>
      </c>
      <c r="AM6915">
        <v>80.273884242502604</v>
      </c>
      <c r="AN6915">
        <v>0.99999998909585697</v>
      </c>
    </row>
    <row r="6916" spans="1:40" x14ac:dyDescent="0.25">
      <c r="A6916" t="str">
        <f>"20190312151708410"</f>
        <v>20190312151708410</v>
      </c>
      <c r="B6916" t="str">
        <f>"1552375028404740"</f>
        <v>1552375028404740</v>
      </c>
      <c r="C6916" t="s">
        <v>40</v>
      </c>
      <c r="D6916">
        <v>4.4768059999999998</v>
      </c>
      <c r="E6916">
        <v>0.61621669999999995</v>
      </c>
      <c r="F6916" t="s">
        <v>58</v>
      </c>
      <c r="G6916">
        <v>-178.5583</v>
      </c>
      <c r="H6916">
        <v>7.9987959999999997E-2</v>
      </c>
      <c r="I6916">
        <v>127.8402</v>
      </c>
      <c r="J6916">
        <v>-184.49780000000001</v>
      </c>
      <c r="K6916">
        <v>1.107008</v>
      </c>
      <c r="L6916">
        <v>120.2128</v>
      </c>
      <c r="M6916">
        <v>0.18543190000000001</v>
      </c>
      <c r="N6916">
        <v>0</v>
      </c>
      <c r="O6916">
        <v>0.98255539999999997</v>
      </c>
      <c r="P6916">
        <v>0.35024480000000002</v>
      </c>
      <c r="Q6916">
        <v>3.422306E-2</v>
      </c>
      <c r="R6916">
        <v>0.9360328</v>
      </c>
      <c r="S6916">
        <v>1.922577</v>
      </c>
      <c r="T6916">
        <v>-0.33090419999999998</v>
      </c>
      <c r="U6916">
        <v>2.5020600000000002</v>
      </c>
      <c r="V6916">
        <v>0.17092109999999999</v>
      </c>
      <c r="W6916">
        <v>4.6923399999999997E-2</v>
      </c>
      <c r="X6916">
        <v>0.98416669999999995</v>
      </c>
      <c r="Y6916">
        <v>0.44816119999999998</v>
      </c>
      <c r="Z6916">
        <v>-0.10709150000000001</v>
      </c>
      <c r="AA6916">
        <v>0.88751499999999905</v>
      </c>
      <c r="AB6916">
        <v>27</v>
      </c>
      <c r="AC6916">
        <v>5.9394999999999998</v>
      </c>
      <c r="AD6916">
        <v>-1.02702004</v>
      </c>
      <c r="AE6916">
        <v>7.62739999999999</v>
      </c>
      <c r="AF6916">
        <v>4.37261538640551</v>
      </c>
      <c r="AG6916">
        <v>-1.02702004</v>
      </c>
      <c r="AH6916">
        <v>8.5006334536132098</v>
      </c>
      <c r="AI6916">
        <v>96.132139673103495</v>
      </c>
      <c r="AJ6916">
        <v>62.779298990395198</v>
      </c>
      <c r="AK6916">
        <v>9.6143280884667099</v>
      </c>
      <c r="AL6916">
        <v>87.310499537822494</v>
      </c>
      <c r="AM6916">
        <v>80.147661036952002</v>
      </c>
      <c r="AN6916">
        <v>0.99999996064082897</v>
      </c>
    </row>
    <row r="6917" spans="1:40" x14ac:dyDescent="0.25">
      <c r="A6917" t="str">
        <f>"20190312151708423"</f>
        <v>20190312151708423</v>
      </c>
      <c r="B6917" t="str">
        <f>"1552375028414500"</f>
        <v>1552375028414500</v>
      </c>
      <c r="C6917" t="s">
        <v>40</v>
      </c>
      <c r="D6917">
        <v>4.473795</v>
      </c>
      <c r="E6917">
        <v>0.61602840000000003</v>
      </c>
      <c r="F6917" t="s">
        <v>58</v>
      </c>
      <c r="G6917">
        <v>-178.46350000000001</v>
      </c>
      <c r="H6917">
        <v>7.9987989999999995E-2</v>
      </c>
      <c r="I6917">
        <v>128.00890000000001</v>
      </c>
      <c r="J6917">
        <v>-184.47069999999999</v>
      </c>
      <c r="K6917">
        <v>1.1069260000000001</v>
      </c>
      <c r="L6917">
        <v>120.3446</v>
      </c>
      <c r="M6917">
        <v>0.1874963</v>
      </c>
      <c r="N6917">
        <v>0</v>
      </c>
      <c r="O6917">
        <v>0.98216349999999997</v>
      </c>
      <c r="P6917">
        <v>0.35402689999999998</v>
      </c>
      <c r="Q6917">
        <v>3.4423860000000001E-2</v>
      </c>
      <c r="R6917">
        <v>0.93460149999999997</v>
      </c>
      <c r="S6917">
        <v>1.930847</v>
      </c>
      <c r="T6917">
        <v>-0.32861940000000001</v>
      </c>
      <c r="U6917">
        <v>2.4945219999999999</v>
      </c>
      <c r="V6917">
        <v>0.1728452</v>
      </c>
      <c r="W6917">
        <v>4.707629E-2</v>
      </c>
      <c r="X6917">
        <v>0.98382340000000001</v>
      </c>
      <c r="Y6917">
        <v>0.44946720000000001</v>
      </c>
      <c r="Z6917">
        <v>-0.1064158</v>
      </c>
      <c r="AA6917">
        <v>0.88693569999999999</v>
      </c>
      <c r="AB6917">
        <v>27</v>
      </c>
      <c r="AC6917">
        <v>6.0071999999999797</v>
      </c>
      <c r="AD6917">
        <v>-1.0269380100000001</v>
      </c>
      <c r="AE6917">
        <v>7.6643000000000097</v>
      </c>
      <c r="AF6917">
        <v>4.4143778165939098</v>
      </c>
      <c r="AG6917">
        <v>-1.0269380100000001</v>
      </c>
      <c r="AH6917">
        <v>8.5595959153804202</v>
      </c>
      <c r="AI6917">
        <v>96.086449101444003</v>
      </c>
      <c r="AJ6917">
        <v>62.718815222322903</v>
      </c>
      <c r="AK6917">
        <v>9.6854538055073292</v>
      </c>
      <c r="AL6917">
        <v>87.301730166224402</v>
      </c>
      <c r="AM6917">
        <v>80.035554066133997</v>
      </c>
      <c r="AN6917">
        <v>1.0000000613153801</v>
      </c>
    </row>
    <row r="6918" spans="1:40" x14ac:dyDescent="0.25">
      <c r="A6918" t="str">
        <f>"20190312151708434"</f>
        <v>20190312151708434</v>
      </c>
      <c r="B6918" t="str">
        <f>"1552375028425238"</f>
        <v>1552375028425238</v>
      </c>
      <c r="C6918" t="s">
        <v>40</v>
      </c>
      <c r="D6918">
        <v>4.4686879999999896</v>
      </c>
      <c r="E6918">
        <v>0.61587419999999904</v>
      </c>
      <c r="F6918" t="s">
        <v>58</v>
      </c>
      <c r="G6918">
        <v>-178.40369999999999</v>
      </c>
      <c r="H6918">
        <v>7.9988000000000004E-2</v>
      </c>
      <c r="I6918">
        <v>128.12459999999999</v>
      </c>
      <c r="J6918">
        <v>-184.4418</v>
      </c>
      <c r="K6918">
        <v>1.1068439999999999</v>
      </c>
      <c r="L6918">
        <v>120.4842</v>
      </c>
      <c r="M6918">
        <v>0.18970989999999999</v>
      </c>
      <c r="N6918">
        <v>0</v>
      </c>
      <c r="O6918">
        <v>0.98173829999999995</v>
      </c>
      <c r="P6918">
        <v>0.35797580000000001</v>
      </c>
      <c r="Q6918">
        <v>3.4296769999999997E-2</v>
      </c>
      <c r="R6918">
        <v>0.93310079999999995</v>
      </c>
      <c r="S6918">
        <v>1.9396359999999999</v>
      </c>
      <c r="T6918">
        <v>-0.32831549999999998</v>
      </c>
      <c r="U6918">
        <v>2.4872740000000002</v>
      </c>
      <c r="V6918">
        <v>0.17479610000000001</v>
      </c>
      <c r="W6918">
        <v>4.6899099999999999E-2</v>
      </c>
      <c r="X6918">
        <v>0.98348709999999995</v>
      </c>
      <c r="Y6918">
        <v>0.45066250000000002</v>
      </c>
      <c r="Z6918">
        <v>-0.1063542</v>
      </c>
      <c r="AA6918">
        <v>0.88633629999999997</v>
      </c>
      <c r="AB6918">
        <v>27</v>
      </c>
      <c r="AC6918">
        <v>6.0381000000000098</v>
      </c>
      <c r="AD6918">
        <v>-1.026856</v>
      </c>
      <c r="AE6918">
        <v>7.6403999999999801</v>
      </c>
      <c r="AF6918">
        <v>4.4295715548921697</v>
      </c>
      <c r="AG6918">
        <v>-1.026856</v>
      </c>
      <c r="AH6918">
        <v>8.5521371938139197</v>
      </c>
      <c r="AI6918">
        <v>96.0857472110944</v>
      </c>
      <c r="AJ6918">
        <v>62.618143888189202</v>
      </c>
      <c r="AK6918">
        <v>9.6857931005396392</v>
      </c>
      <c r="AL6918">
        <v>87.311893570654902</v>
      </c>
      <c r="AM6918">
        <v>79.922002676000105</v>
      </c>
      <c r="AN6918">
        <v>1.00000003901121</v>
      </c>
    </row>
    <row r="6919" spans="1:40" x14ac:dyDescent="0.25">
      <c r="A6919" t="str">
        <f>"20190312151708444"</f>
        <v>20190312151708444</v>
      </c>
      <c r="B6919" t="str">
        <f>"1552375028434996"</f>
        <v>1552375028434996</v>
      </c>
      <c r="C6919" t="s">
        <v>40</v>
      </c>
      <c r="D6919">
        <v>4.4745080000000002</v>
      </c>
      <c r="E6919">
        <v>0.61573459999999902</v>
      </c>
      <c r="F6919" t="s">
        <v>58</v>
      </c>
      <c r="G6919">
        <v>-178.35249999999999</v>
      </c>
      <c r="H6919">
        <v>7.9988000000000004E-2</v>
      </c>
      <c r="I6919">
        <v>128.2304</v>
      </c>
      <c r="J6919">
        <v>-184.41399999999999</v>
      </c>
      <c r="K6919">
        <v>1.1067689999999999</v>
      </c>
      <c r="L6919">
        <v>120.61579999999999</v>
      </c>
      <c r="M6919">
        <v>0.191889</v>
      </c>
      <c r="N6919">
        <v>0</v>
      </c>
      <c r="O6919">
        <v>0.98131460000000004</v>
      </c>
      <c r="P6919">
        <v>0.36197000000000001</v>
      </c>
      <c r="Q6919">
        <v>3.4575509999999997E-2</v>
      </c>
      <c r="R6919">
        <v>0.9315483</v>
      </c>
      <c r="S6919">
        <v>1.9490970000000001</v>
      </c>
      <c r="T6919">
        <v>-0.32868120000000001</v>
      </c>
      <c r="U6919">
        <v>2.4794160000000001</v>
      </c>
      <c r="V6919">
        <v>0.17683960000000001</v>
      </c>
      <c r="W6919">
        <v>4.7128679999999999E-2</v>
      </c>
      <c r="X6919">
        <v>0.9831107</v>
      </c>
      <c r="Y6919">
        <v>0.45212760000000002</v>
      </c>
      <c r="Z6919">
        <v>-0.10651099999999999</v>
      </c>
      <c r="AA6919">
        <v>0.885570999999999</v>
      </c>
      <c r="AB6919">
        <v>27</v>
      </c>
      <c r="AC6919">
        <v>6.0615000000000201</v>
      </c>
      <c r="AD6919">
        <v>-1.0267809999999999</v>
      </c>
      <c r="AE6919">
        <v>7.6146000000000003</v>
      </c>
      <c r="AF6919">
        <v>4.4381333245598897</v>
      </c>
      <c r="AG6919">
        <v>-1.0267809999999999</v>
      </c>
      <c r="AH6919">
        <v>8.5412538176617705</v>
      </c>
      <c r="AI6919">
        <v>96.088893891941495</v>
      </c>
      <c r="AJ6919">
        <v>62.5430947617971</v>
      </c>
      <c r="AK6919">
        <v>9.6800993489866496</v>
      </c>
      <c r="AL6919">
        <v>87.298724946176605</v>
      </c>
      <c r="AM6919">
        <v>79.802818955191398</v>
      </c>
      <c r="AN6919">
        <v>1.00000000253059</v>
      </c>
    </row>
    <row r="6920" spans="1:40" x14ac:dyDescent="0.25">
      <c r="A6920" t="str">
        <f>"20190312151708457"</f>
        <v>20190312151708457</v>
      </c>
      <c r="B6920" t="str">
        <f>"1552375028444757"</f>
        <v>1552375028444757</v>
      </c>
      <c r="C6920" t="s">
        <v>40</v>
      </c>
      <c r="D6920">
        <v>4.4549180000000002</v>
      </c>
      <c r="E6920">
        <v>0.61544919999999903</v>
      </c>
      <c r="F6920" t="s">
        <v>58</v>
      </c>
      <c r="G6920">
        <v>-178.2962</v>
      </c>
      <c r="H6920">
        <v>7.9987989999999995E-2</v>
      </c>
      <c r="I6920">
        <v>128.33459999999999</v>
      </c>
      <c r="J6920">
        <v>-184.38460000000001</v>
      </c>
      <c r="K6920">
        <v>1.1066910000000001</v>
      </c>
      <c r="L6920">
        <v>120.75360000000001</v>
      </c>
      <c r="M6920">
        <v>0.19420889999999999</v>
      </c>
      <c r="N6920">
        <v>0</v>
      </c>
      <c r="O6920">
        <v>0.98085800000000001</v>
      </c>
      <c r="P6920">
        <v>0.36421369999999997</v>
      </c>
      <c r="Q6920">
        <v>3.4644479999999998E-2</v>
      </c>
      <c r="R6920">
        <v>0.93067080000000002</v>
      </c>
      <c r="S6920">
        <v>1.958847</v>
      </c>
      <c r="T6920">
        <v>-0.32876529999999998</v>
      </c>
      <c r="U6920">
        <v>2.4714969999999998</v>
      </c>
      <c r="V6920">
        <v>0.1768943</v>
      </c>
      <c r="W6920">
        <v>4.716679E-2</v>
      </c>
      <c r="X6920">
        <v>0.98309899999999995</v>
      </c>
      <c r="Y6920">
        <v>0.45354450000000002</v>
      </c>
      <c r="Z6920">
        <v>-0.1065715</v>
      </c>
      <c r="AA6920">
        <v>0.88483889999999998</v>
      </c>
      <c r="AB6920">
        <v>27</v>
      </c>
      <c r="AC6920">
        <v>6.0884</v>
      </c>
      <c r="AD6920">
        <v>-1.0267030100000001</v>
      </c>
      <c r="AE6920">
        <v>7.58099999999998</v>
      </c>
      <c r="AF6920">
        <v>4.45038765618522</v>
      </c>
      <c r="AG6920">
        <v>-1.0267030100000001</v>
      </c>
      <c r="AH6920">
        <v>8.5241263652989296</v>
      </c>
      <c r="AI6920">
        <v>96.094423257804095</v>
      </c>
      <c r="AJ6920">
        <v>62.431248724153001</v>
      </c>
      <c r="AK6920">
        <v>9.6706152675335595</v>
      </c>
      <c r="AL6920">
        <v>87.296538889452606</v>
      </c>
      <c r="AM6920">
        <v>79.799612133592902</v>
      </c>
      <c r="AN6920">
        <v>0.99999997162619603</v>
      </c>
    </row>
    <row r="6921" spans="1:40" x14ac:dyDescent="0.25">
      <c r="A6921" t="str">
        <f>"20190312151708469"</f>
        <v>20190312151708469</v>
      </c>
      <c r="B6921" t="str">
        <f>"1552375028465252"</f>
        <v>1552375028465252</v>
      </c>
      <c r="C6921" t="s">
        <v>40</v>
      </c>
      <c r="D6921">
        <v>4.4010439999999997</v>
      </c>
      <c r="E6921">
        <v>0.61508549999999995</v>
      </c>
      <c r="F6921" t="s">
        <v>58</v>
      </c>
      <c r="G6921">
        <v>-178.23830000000001</v>
      </c>
      <c r="H6921">
        <v>7.9987959999999997E-2</v>
      </c>
      <c r="I6921">
        <v>128.47999999999999</v>
      </c>
      <c r="J6921">
        <v>-184.3545</v>
      </c>
      <c r="K6921">
        <v>1.106611</v>
      </c>
      <c r="L6921">
        <v>120.893</v>
      </c>
      <c r="M6921">
        <v>0.1966212</v>
      </c>
      <c r="N6921">
        <v>0</v>
      </c>
      <c r="O6921">
        <v>0.98037730000000001</v>
      </c>
      <c r="P6921">
        <v>0.36834169999999999</v>
      </c>
      <c r="Q6921">
        <v>3.4555910000000002E-2</v>
      </c>
      <c r="R6921">
        <v>0.92904799999999998</v>
      </c>
      <c r="S6921">
        <v>1.9628909999999999</v>
      </c>
      <c r="T6921">
        <v>-0.32789000000000001</v>
      </c>
      <c r="U6921">
        <v>2.467514</v>
      </c>
      <c r="V6921">
        <v>0.1788486</v>
      </c>
      <c r="W6921">
        <v>4.7029130000000002E-2</v>
      </c>
      <c r="X6921">
        <v>0.98275199999999996</v>
      </c>
      <c r="Y6921">
        <v>0.45295600000000003</v>
      </c>
      <c r="Z6921">
        <v>-0.1063143</v>
      </c>
      <c r="AA6921">
        <v>0.88517119999999905</v>
      </c>
      <c r="AB6921">
        <v>27</v>
      </c>
      <c r="AC6921">
        <v>6.1161999999999903</v>
      </c>
      <c r="AD6921">
        <v>-1.02662304</v>
      </c>
      <c r="AE6921">
        <v>7.5869999999999997</v>
      </c>
      <c r="AF6921">
        <v>4.4554251074599103</v>
      </c>
      <c r="AG6921">
        <v>-1.02662304</v>
      </c>
      <c r="AH6921">
        <v>8.5467143494183002</v>
      </c>
      <c r="AI6921">
        <v>96.079922929189195</v>
      </c>
      <c r="AJ6921">
        <v>62.466848015603901</v>
      </c>
      <c r="AK6921">
        <v>9.6928372484528893</v>
      </c>
      <c r="AL6921">
        <v>87.304435138958695</v>
      </c>
      <c r="AM6921">
        <v>79.685761881672704</v>
      </c>
      <c r="AN6921">
        <v>1.00000002714725</v>
      </c>
    </row>
    <row r="6922" spans="1:40" x14ac:dyDescent="0.25">
      <c r="A6922" t="str">
        <f>"20190312151708480"</f>
        <v>20190312151708480</v>
      </c>
      <c r="B6922" t="str">
        <f>"1552375028475012"</f>
        <v>1552375028475012</v>
      </c>
      <c r="C6922" t="s">
        <v>40</v>
      </c>
      <c r="D6922">
        <v>4.4898179999999996</v>
      </c>
      <c r="E6922">
        <v>0.61501119999999898</v>
      </c>
      <c r="F6922" t="s">
        <v>58</v>
      </c>
      <c r="G6922">
        <v>-178.1857</v>
      </c>
      <c r="H6922">
        <v>7.9987939999999993E-2</v>
      </c>
      <c r="I6922">
        <v>128.58949999999999</v>
      </c>
      <c r="J6922">
        <v>-184.32570000000001</v>
      </c>
      <c r="K6922">
        <v>1.106536</v>
      </c>
      <c r="L6922">
        <v>121.02419999999999</v>
      </c>
      <c r="M6922">
        <v>0.19895090000000001</v>
      </c>
      <c r="N6922">
        <v>0</v>
      </c>
      <c r="O6922">
        <v>0.97990699999999997</v>
      </c>
      <c r="P6922">
        <v>0.37242500000000001</v>
      </c>
      <c r="Q6922">
        <v>3.4295440000000003E-2</v>
      </c>
      <c r="R6922">
        <v>0.92742840000000004</v>
      </c>
      <c r="S6922">
        <v>1.971436</v>
      </c>
      <c r="T6922">
        <v>-0.32809270000000001</v>
      </c>
      <c r="U6922">
        <v>2.459686</v>
      </c>
      <c r="V6922">
        <v>0.18084069999999999</v>
      </c>
      <c r="W6922">
        <v>4.6720480000000002E-2</v>
      </c>
      <c r="X6922">
        <v>0.98240209999999994</v>
      </c>
      <c r="Y6922">
        <v>0.4540786</v>
      </c>
      <c r="Z6922">
        <v>-0.106429</v>
      </c>
      <c r="AA6922">
        <v>0.88458210000000004</v>
      </c>
      <c r="AB6922">
        <v>27</v>
      </c>
      <c r="AC6922">
        <v>6.1400000000000103</v>
      </c>
      <c r="AD6922">
        <v>-1.0265480600000001</v>
      </c>
      <c r="AE6922">
        <v>7.5652999999999899</v>
      </c>
      <c r="AF6922">
        <v>4.4624239703877402</v>
      </c>
      <c r="AG6922">
        <v>-1.0265480600000001</v>
      </c>
      <c r="AH6922">
        <v>8.5409083356702205</v>
      </c>
      <c r="AI6922">
        <v>96.080677568481804</v>
      </c>
      <c r="AJ6922">
        <v>62.413989625808497</v>
      </c>
      <c r="AK6922">
        <v>9.6909310083862401</v>
      </c>
      <c r="AL6922">
        <v>87.322138933123796</v>
      </c>
      <c r="AM6922">
        <v>79.569751127431104</v>
      </c>
      <c r="AN6922">
        <v>1.00000002405616</v>
      </c>
    </row>
    <row r="6923" spans="1:40" x14ac:dyDescent="0.25">
      <c r="A6923" t="str">
        <f>"20190312151708494"</f>
        <v>20190312151708494</v>
      </c>
      <c r="B6923" t="str">
        <f>"1552375028484772"</f>
        <v>1552375028484772</v>
      </c>
      <c r="C6923" t="s">
        <v>40</v>
      </c>
      <c r="D6923">
        <v>4.4694399999999996</v>
      </c>
      <c r="E6923">
        <v>0.61479349999999999</v>
      </c>
      <c r="F6923" t="s">
        <v>58</v>
      </c>
      <c r="G6923">
        <v>-178.137</v>
      </c>
      <c r="H6923">
        <v>7.9987929999999999E-2</v>
      </c>
      <c r="I6923">
        <v>128.67789999999999</v>
      </c>
      <c r="J6923">
        <v>-184.2876</v>
      </c>
      <c r="K6923">
        <v>1.106441</v>
      </c>
      <c r="L6923">
        <v>121.1957</v>
      </c>
      <c r="M6923">
        <v>0.20205010000000001</v>
      </c>
      <c r="N6923">
        <v>0</v>
      </c>
      <c r="O6923">
        <v>0.97927260000000005</v>
      </c>
      <c r="P6923">
        <v>0.37713560000000002</v>
      </c>
      <c r="Q6923">
        <v>3.4025699999999902E-2</v>
      </c>
      <c r="R6923">
        <v>0.92553280000000004</v>
      </c>
      <c r="S6923">
        <v>1.9818880000000001</v>
      </c>
      <c r="T6923">
        <v>-0.32874520000000002</v>
      </c>
      <c r="U6923">
        <v>2.45105</v>
      </c>
      <c r="V6923">
        <v>0.1827347</v>
      </c>
      <c r="W6923">
        <v>4.6394680000000001E-2</v>
      </c>
      <c r="X6923">
        <v>0.98206700000000002</v>
      </c>
      <c r="Y6923">
        <v>0.45505269999999998</v>
      </c>
      <c r="Z6923">
        <v>-0.1066685</v>
      </c>
      <c r="AA6923">
        <v>0.88405250000000002</v>
      </c>
      <c r="AB6923">
        <v>27</v>
      </c>
      <c r="AC6923">
        <v>6.1505999999999901</v>
      </c>
      <c r="AD6923">
        <v>-1.0264530700000001</v>
      </c>
      <c r="AE6923">
        <v>7.48219999999999</v>
      </c>
      <c r="AF6923">
        <v>4.4616794583302797</v>
      </c>
      <c r="AG6923">
        <v>-1.0264530700000001</v>
      </c>
      <c r="AH6923">
        <v>8.4755162904695602</v>
      </c>
      <c r="AI6923">
        <v>96.116820610044599</v>
      </c>
      <c r="AJ6923">
        <v>62.236793638283601</v>
      </c>
      <c r="AK6923">
        <v>9.6329936096632807</v>
      </c>
      <c r="AL6923">
        <v>87.340826137115002</v>
      </c>
      <c r="AM6923">
        <v>79.459431308632006</v>
      </c>
      <c r="AN6923">
        <v>1.00000001470269</v>
      </c>
    </row>
    <row r="6924" spans="1:40" x14ac:dyDescent="0.25">
      <c r="A6924" t="str">
        <f>"20190312151708512"</f>
        <v>20190312151708512</v>
      </c>
      <c r="B6924" t="str">
        <f>"1552375028505259"</f>
        <v>1552375028505259</v>
      </c>
      <c r="C6924" t="s">
        <v>40</v>
      </c>
      <c r="D6924">
        <v>4.3993520000000004</v>
      </c>
      <c r="E6924">
        <v>0.61422569999999999</v>
      </c>
      <c r="F6924" t="s">
        <v>58</v>
      </c>
      <c r="G6924">
        <v>-178.0744</v>
      </c>
      <c r="H6924">
        <v>7.9987899999999904E-2</v>
      </c>
      <c r="I6924">
        <v>128.80719999999999</v>
      </c>
      <c r="J6924">
        <v>-184.24029999999999</v>
      </c>
      <c r="K6924">
        <v>1.1063289999999999</v>
      </c>
      <c r="L6924">
        <v>121.4042</v>
      </c>
      <c r="M6924">
        <v>0.20594970000000001</v>
      </c>
      <c r="N6924">
        <v>0</v>
      </c>
      <c r="O6924">
        <v>0.97845979999999999</v>
      </c>
      <c r="P6924">
        <v>0.38453039999999999</v>
      </c>
      <c r="Q6924">
        <v>3.3348900000000001E-2</v>
      </c>
      <c r="R6924">
        <v>0.92250980000000005</v>
      </c>
      <c r="S6924">
        <v>1.9928889999999999</v>
      </c>
      <c r="T6924">
        <v>-0.32923809999999998</v>
      </c>
      <c r="U6924">
        <v>2.4414220000000002</v>
      </c>
      <c r="V6924">
        <v>0.18668409999999999</v>
      </c>
      <c r="W6924">
        <v>4.5631119999999997E-2</v>
      </c>
      <c r="X6924">
        <v>0.98135969999999995</v>
      </c>
      <c r="Y6924">
        <v>0.45559539999999998</v>
      </c>
      <c r="Z6924">
        <v>-0.10686569999999999</v>
      </c>
      <c r="AA6924">
        <v>0.88374909999999995</v>
      </c>
      <c r="AB6924">
        <v>27</v>
      </c>
      <c r="AC6924">
        <v>6.1658999999999899</v>
      </c>
      <c r="AD6924">
        <v>-1.0263411</v>
      </c>
      <c r="AE6924">
        <v>7.4029999999999898</v>
      </c>
      <c r="AF6924">
        <v>4.4582992183235302</v>
      </c>
      <c r="AG6924">
        <v>-1.0263411</v>
      </c>
      <c r="AH6924">
        <v>8.4187216779268201</v>
      </c>
      <c r="AI6924">
        <v>96.149162579184093</v>
      </c>
      <c r="AJ6924">
        <v>62.095665102056202</v>
      </c>
      <c r="AK6924">
        <v>9.5814760169844693</v>
      </c>
      <c r="AL6924">
        <v>87.3846212674231</v>
      </c>
      <c r="AM6924">
        <v>79.229312076105103</v>
      </c>
      <c r="AN6924">
        <v>1.0000000065446699</v>
      </c>
    </row>
    <row r="6925" spans="1:40" x14ac:dyDescent="0.25">
      <c r="A6925" t="str">
        <f>"20190312151708532"</f>
        <v>20190312151708532</v>
      </c>
      <c r="B6925" t="str">
        <f>"1552375028524779"</f>
        <v>1552375028524779</v>
      </c>
      <c r="C6925" t="s">
        <v>40</v>
      </c>
      <c r="D6925">
        <v>4.4379160000000004</v>
      </c>
      <c r="E6925">
        <v>0.61375329999999995</v>
      </c>
      <c r="F6925" t="s">
        <v>58</v>
      </c>
      <c r="G6925">
        <v>-178.0027</v>
      </c>
      <c r="H6925">
        <v>7.9987820000000001E-2</v>
      </c>
      <c r="I6925">
        <v>128.9402</v>
      </c>
      <c r="J6925">
        <v>-184.18350000000001</v>
      </c>
      <c r="K6925">
        <v>1.106204</v>
      </c>
      <c r="L6925">
        <v>121.649</v>
      </c>
      <c r="M6925">
        <v>0.21067159999999999</v>
      </c>
      <c r="N6925">
        <v>0</v>
      </c>
      <c r="O6925">
        <v>0.97745389999999999</v>
      </c>
      <c r="P6925">
        <v>0.39224490000000001</v>
      </c>
      <c r="Q6925">
        <v>3.2323070000000002E-2</v>
      </c>
      <c r="R6925">
        <v>0.91929269999999996</v>
      </c>
      <c r="S6925">
        <v>2.0086059999999999</v>
      </c>
      <c r="T6925">
        <v>-0.33049610000000001</v>
      </c>
      <c r="U6925">
        <v>2.4267120000000002</v>
      </c>
      <c r="V6925">
        <v>0.19016469999999999</v>
      </c>
      <c r="W6925">
        <v>4.4516939999999998E-2</v>
      </c>
      <c r="X6925">
        <v>0.98074240000000001</v>
      </c>
      <c r="Y6925">
        <v>0.45729520000000001</v>
      </c>
      <c r="Z6925">
        <v>-0.1073537</v>
      </c>
      <c r="AA6925">
        <v>0.88281149999999997</v>
      </c>
      <c r="AB6925">
        <v>27</v>
      </c>
      <c r="AC6925">
        <v>6.1807999999999996</v>
      </c>
      <c r="AD6925">
        <v>-1.02621618</v>
      </c>
      <c r="AE6925">
        <v>7.2911999999999999</v>
      </c>
      <c r="AF6925">
        <v>4.4545064037888</v>
      </c>
      <c r="AG6925">
        <v>-1.02621618</v>
      </c>
      <c r="AH6925">
        <v>8.3337197324865802</v>
      </c>
      <c r="AI6925">
        <v>96.198018354231095</v>
      </c>
      <c r="AJ6925">
        <v>61.874783949717497</v>
      </c>
      <c r="AK6925">
        <v>9.5050845093100307</v>
      </c>
      <c r="AL6925">
        <v>87.448524046336502</v>
      </c>
      <c r="AM6925">
        <v>79.026590588188199</v>
      </c>
      <c r="AN6925">
        <v>1.0000000131154001</v>
      </c>
    </row>
    <row r="6926" spans="1:40" x14ac:dyDescent="0.25">
      <c r="A6926" t="str">
        <f>"20190312151708545"</f>
        <v>20190312151708545</v>
      </c>
      <c r="B6926" t="str">
        <f>"1552375028534538"</f>
        <v>1552375028534538</v>
      </c>
      <c r="C6926" t="s">
        <v>40</v>
      </c>
      <c r="D6926">
        <v>4.3524949999999896</v>
      </c>
      <c r="E6926">
        <v>0.61354779999999998</v>
      </c>
      <c r="F6926" t="s">
        <v>58</v>
      </c>
      <c r="G6926">
        <v>-177.90209999999999</v>
      </c>
      <c r="H6926">
        <v>7.9987730000000007E-2</v>
      </c>
      <c r="I6926">
        <v>129.12450000000001</v>
      </c>
      <c r="J6926">
        <v>-184.15100000000001</v>
      </c>
      <c r="K6926">
        <v>1.106133</v>
      </c>
      <c r="L6926">
        <v>121.78530000000001</v>
      </c>
      <c r="M6926">
        <v>0.21339610000000001</v>
      </c>
      <c r="N6926">
        <v>0</v>
      </c>
      <c r="O6926">
        <v>0.97686260000000003</v>
      </c>
      <c r="P6926">
        <v>0.3963721</v>
      </c>
      <c r="Q6926">
        <v>3.2253629999999998E-2</v>
      </c>
      <c r="R6926">
        <v>0.91752319999999998</v>
      </c>
      <c r="S6926">
        <v>2.025604</v>
      </c>
      <c r="T6926">
        <v>-0.33093400000000001</v>
      </c>
      <c r="U6926">
        <v>2.4107210000000001</v>
      </c>
      <c r="V6926">
        <v>0.19184470000000001</v>
      </c>
      <c r="W6926">
        <v>4.4400700000000001E-2</v>
      </c>
      <c r="X6926">
        <v>0.98042039999999997</v>
      </c>
      <c r="Y6926">
        <v>0.46132859999999998</v>
      </c>
      <c r="Z6926">
        <v>-0.1076033</v>
      </c>
      <c r="AA6926">
        <v>0.88068009999999997</v>
      </c>
      <c r="AB6926">
        <v>27</v>
      </c>
      <c r="AC6926">
        <v>6.2488999999999901</v>
      </c>
      <c r="AD6926">
        <v>-1.02614527</v>
      </c>
      <c r="AE6926">
        <v>7.3391999999999999</v>
      </c>
      <c r="AF6926">
        <v>4.4877579359989799</v>
      </c>
      <c r="AG6926">
        <v>-1.02614527</v>
      </c>
      <c r="AH6926">
        <v>8.4084454475690595</v>
      </c>
      <c r="AI6926">
        <v>96.144954514327097</v>
      </c>
      <c r="AJ6926">
        <v>61.910254726716701</v>
      </c>
      <c r="AK6926">
        <v>9.5861827779366902</v>
      </c>
      <c r="AL6926">
        <v>87.455190630246406</v>
      </c>
      <c r="AM6926">
        <v>78.928484998814497</v>
      </c>
      <c r="AN6926">
        <v>0.99999998590736905</v>
      </c>
    </row>
    <row r="6927" spans="1:40" x14ac:dyDescent="0.25">
      <c r="A6927" t="str">
        <f>"20190312151708556"</f>
        <v>20190312151708556</v>
      </c>
      <c r="B6927" t="str">
        <f>"1552375028545275"</f>
        <v>1552375028545275</v>
      </c>
      <c r="C6927" t="s">
        <v>40</v>
      </c>
      <c r="D6927">
        <v>4.355639</v>
      </c>
      <c r="E6927">
        <v>0.61324849999999997</v>
      </c>
      <c r="F6927" t="s">
        <v>58</v>
      </c>
      <c r="G6927">
        <v>-177.8254</v>
      </c>
      <c r="H6927">
        <v>7.9987660000000002E-2</v>
      </c>
      <c r="I6927">
        <v>129.25139999999999</v>
      </c>
      <c r="J6927">
        <v>-184.11760000000001</v>
      </c>
      <c r="K6927">
        <v>1.1060589999999999</v>
      </c>
      <c r="L6927">
        <v>121.9246</v>
      </c>
      <c r="M6927">
        <v>0.2162076</v>
      </c>
      <c r="N6927">
        <v>0</v>
      </c>
      <c r="O6927">
        <v>0.97624409999999895</v>
      </c>
      <c r="P6927">
        <v>0.40073429999999999</v>
      </c>
      <c r="Q6927">
        <v>3.2508210000000003E-2</v>
      </c>
      <c r="R6927">
        <v>0.91561740000000003</v>
      </c>
      <c r="S6927">
        <v>2.0351560000000002</v>
      </c>
      <c r="T6927">
        <v>-0.33014569999999999</v>
      </c>
      <c r="U6927">
        <v>2.4020839999999999</v>
      </c>
      <c r="V6927">
        <v>0.1937007</v>
      </c>
      <c r="W6927">
        <v>4.4604579999999998E-2</v>
      </c>
      <c r="X6927">
        <v>0.98004619999999998</v>
      </c>
      <c r="Y6927">
        <v>0.46239360000000002</v>
      </c>
      <c r="Z6927">
        <v>-0.1073868</v>
      </c>
      <c r="AA6927">
        <v>0.88014780000000004</v>
      </c>
      <c r="AB6927">
        <v>27</v>
      </c>
      <c r="AC6927">
        <v>6.2922000000000002</v>
      </c>
      <c r="AD6927">
        <v>-1.0260713400000001</v>
      </c>
      <c r="AE6927">
        <v>7.3267999999999898</v>
      </c>
      <c r="AF6927">
        <v>4.5081872552453799</v>
      </c>
      <c r="AG6927">
        <v>-1.0260713400000001</v>
      </c>
      <c r="AH6927">
        <v>8.4189966089831891</v>
      </c>
      <c r="AI6927">
        <v>96.132424322118297</v>
      </c>
      <c r="AJ6927">
        <v>61.831931295567202</v>
      </c>
      <c r="AK6927">
        <v>9.6050027915246705</v>
      </c>
      <c r="AL6927">
        <v>87.443497725174296</v>
      </c>
      <c r="AM6927">
        <v>78.819897861605298</v>
      </c>
      <c r="AN6927">
        <v>1.00000004193595</v>
      </c>
    </row>
    <row r="6928" spans="1:40" x14ac:dyDescent="0.25">
      <c r="A6928" t="str">
        <f>"20190312151708567"</f>
        <v>20190312151708567</v>
      </c>
      <c r="B6928" t="str">
        <f>"1552375028555035"</f>
        <v>1552375028555035</v>
      </c>
      <c r="C6928" t="s">
        <v>40</v>
      </c>
      <c r="D6928">
        <v>4.3350309999999999</v>
      </c>
      <c r="E6928">
        <v>0.61306340000000004</v>
      </c>
      <c r="F6928" t="s">
        <v>58</v>
      </c>
      <c r="G6928">
        <v>-177.2413</v>
      </c>
      <c r="H6928" s="1">
        <v>-3.7145519999999999E-6</v>
      </c>
      <c r="I6928">
        <v>129.9736</v>
      </c>
      <c r="J6928">
        <v>-184.08539999999999</v>
      </c>
      <c r="K6928">
        <v>1.10599</v>
      </c>
      <c r="L6928">
        <v>122.05670000000001</v>
      </c>
      <c r="M6928">
        <v>0.21893650000000001</v>
      </c>
      <c r="N6928">
        <v>0</v>
      </c>
      <c r="O6928">
        <v>0.97563560000000005</v>
      </c>
      <c r="P6928">
        <v>0.40491149999999998</v>
      </c>
      <c r="Q6928">
        <v>3.2549979999999999E-2</v>
      </c>
      <c r="R6928">
        <v>0.91377629999999999</v>
      </c>
      <c r="S6928">
        <v>2.0446170000000001</v>
      </c>
      <c r="T6928">
        <v>-0.32887660000000002</v>
      </c>
      <c r="U6928">
        <v>2.3932950000000002</v>
      </c>
      <c r="V6928">
        <v>0.19544500000000001</v>
      </c>
      <c r="W6928">
        <v>4.4597919999999999E-2</v>
      </c>
      <c r="X6928">
        <v>0.97970009999999996</v>
      </c>
      <c r="Y6928">
        <v>0.4635512</v>
      </c>
      <c r="Z6928">
        <v>-0.1070199</v>
      </c>
      <c r="AA6928">
        <v>0.87958349999999996</v>
      </c>
      <c r="AB6928">
        <v>27</v>
      </c>
      <c r="AC6928">
        <v>6.8440999999999903</v>
      </c>
      <c r="AD6928">
        <v>-1.105993714552</v>
      </c>
      <c r="AE6928">
        <v>7.9168999999999903</v>
      </c>
      <c r="AF6928">
        <v>4.88993277087034</v>
      </c>
      <c r="AG6928">
        <v>-1.105993714552</v>
      </c>
      <c r="AH6928">
        <v>9.1214860852045092</v>
      </c>
      <c r="AI6928">
        <v>96.099710449497096</v>
      </c>
      <c r="AJ6928">
        <v>61.804708954044401</v>
      </c>
      <c r="AK6928">
        <v>10.4084664097473</v>
      </c>
      <c r="AL6928">
        <v>87.443879598680894</v>
      </c>
      <c r="AM6928">
        <v>78.717907001826603</v>
      </c>
      <c r="AN6928">
        <v>1.0000000042166599</v>
      </c>
    </row>
    <row r="6929" spans="1:40" x14ac:dyDescent="0.25">
      <c r="A6929" t="str">
        <f>"20190312151708578"</f>
        <v>20190312151708578</v>
      </c>
      <c r="B6929" t="str">
        <f>"1552375028574555"</f>
        <v>1552375028574555</v>
      </c>
      <c r="C6929" t="s">
        <v>40</v>
      </c>
      <c r="D6929">
        <v>4.2030209999999997</v>
      </c>
      <c r="E6929">
        <v>0.61301759999999905</v>
      </c>
      <c r="F6929" t="s">
        <v>58</v>
      </c>
      <c r="G6929">
        <v>-177.1601</v>
      </c>
      <c r="H6929" s="1">
        <v>-3.7056020000000002E-6</v>
      </c>
      <c r="I6929">
        <v>130.096</v>
      </c>
      <c r="J6929">
        <v>-184.05359999999999</v>
      </c>
      <c r="K6929">
        <v>1.105923</v>
      </c>
      <c r="L6929">
        <v>122.1854</v>
      </c>
      <c r="M6929">
        <v>0.22163749999999999</v>
      </c>
      <c r="N6929">
        <v>0</v>
      </c>
      <c r="O6929">
        <v>0.97502549999999999</v>
      </c>
      <c r="P6929">
        <v>0.40935899999999997</v>
      </c>
      <c r="Q6929">
        <v>3.2765610000000001E-2</v>
      </c>
      <c r="R6929">
        <v>0.91178490000000001</v>
      </c>
      <c r="S6929">
        <v>2.054138</v>
      </c>
      <c r="T6929">
        <v>-0.32805000000000001</v>
      </c>
      <c r="U6929">
        <v>2.3845519999999998</v>
      </c>
      <c r="V6929">
        <v>0.197517</v>
      </c>
      <c r="W6929">
        <v>4.4761780000000001E-2</v>
      </c>
      <c r="X6929">
        <v>0.97927699999999995</v>
      </c>
      <c r="Y6929">
        <v>0.46472780000000002</v>
      </c>
      <c r="Z6929">
        <v>-0.10679080000000001</v>
      </c>
      <c r="AA6929">
        <v>0.87899020000000005</v>
      </c>
      <c r="AB6929">
        <v>27</v>
      </c>
      <c r="AC6929">
        <v>6.89349999999998</v>
      </c>
      <c r="AD6929">
        <v>-1.1059267056019999</v>
      </c>
      <c r="AE6929">
        <v>7.9105999999999996</v>
      </c>
      <c r="AF6929">
        <v>4.9139656941358503</v>
      </c>
      <c r="AG6929">
        <v>-1.1059267056019999</v>
      </c>
      <c r="AH6929">
        <v>9.1402895893789609</v>
      </c>
      <c r="AI6929">
        <v>96.083048393079096</v>
      </c>
      <c r="AJ6929">
        <v>61.736815220743502</v>
      </c>
      <c r="AK6929">
        <v>10.4362362228447</v>
      </c>
      <c r="AL6929">
        <v>87.4344817483816</v>
      </c>
      <c r="AM6929">
        <v>78.596619926453798</v>
      </c>
      <c r="AN6929">
        <v>1.0000000124833801</v>
      </c>
    </row>
    <row r="6930" spans="1:40" x14ac:dyDescent="0.25">
      <c r="A6930" t="str">
        <f>"20190312151708589"</f>
        <v>20190312151708589</v>
      </c>
      <c r="B6930" t="str">
        <f>"1552375028585292"</f>
        <v>1552375028585292</v>
      </c>
      <c r="C6930" t="s">
        <v>40</v>
      </c>
      <c r="D6930">
        <v>4.5025740000000001</v>
      </c>
      <c r="E6930">
        <v>0.60085040000000001</v>
      </c>
      <c r="F6930" t="s">
        <v>58</v>
      </c>
      <c r="G6930">
        <v>-177.07579999999999</v>
      </c>
      <c r="H6930" s="1">
        <v>-3.6907789999999999E-6</v>
      </c>
      <c r="I6930">
        <v>130.20849999999999</v>
      </c>
      <c r="J6930">
        <v>-184.0198</v>
      </c>
      <c r="K6930">
        <v>1.105855</v>
      </c>
      <c r="L6930">
        <v>122.32080000000001</v>
      </c>
      <c r="M6930">
        <v>0.22451889999999999</v>
      </c>
      <c r="N6930">
        <v>0</v>
      </c>
      <c r="O6930">
        <v>0.97436590000000001</v>
      </c>
      <c r="P6930">
        <v>0.41366619999999998</v>
      </c>
      <c r="Q6930">
        <v>3.3059089999999999E-2</v>
      </c>
      <c r="R6930">
        <v>0.90982819999999998</v>
      </c>
      <c r="S6930">
        <v>2.065369</v>
      </c>
      <c r="T6930">
        <v>-0.32734069999999998</v>
      </c>
      <c r="U6930">
        <v>2.3747410000000002</v>
      </c>
      <c r="V6930">
        <v>0.19926659999999999</v>
      </c>
      <c r="W6930">
        <v>4.5006160000000003E-2</v>
      </c>
      <c r="X6930">
        <v>0.97891130000000004</v>
      </c>
      <c r="Y6930">
        <v>0.46629330000000002</v>
      </c>
      <c r="Z6930">
        <v>-0.1065923</v>
      </c>
      <c r="AA6930">
        <v>0.87818490000000005</v>
      </c>
      <c r="AB6930">
        <v>27</v>
      </c>
      <c r="AC6930">
        <v>6.9440000000000097</v>
      </c>
      <c r="AD6930">
        <v>-1.105858690779</v>
      </c>
      <c r="AE6930">
        <v>7.8876999999999802</v>
      </c>
      <c r="AF6930">
        <v>4.9408510491823696</v>
      </c>
      <c r="AG6930">
        <v>-1.105858690779</v>
      </c>
      <c r="AH6930">
        <v>9.1442400730868894</v>
      </c>
      <c r="AI6930">
        <v>96.073248029846894</v>
      </c>
      <c r="AJ6930">
        <v>61.616589334014499</v>
      </c>
      <c r="AK6930">
        <v>10.4523709773632</v>
      </c>
      <c r="AL6930">
        <v>87.420465733045006</v>
      </c>
      <c r="AM6930">
        <v>78.494107444472604</v>
      </c>
      <c r="AN6930">
        <v>1.00000003279059</v>
      </c>
    </row>
    <row r="6931" spans="1:40" x14ac:dyDescent="0.25">
      <c r="A6931" t="str">
        <f>"20190312151708601"</f>
        <v>20190312151708601</v>
      </c>
      <c r="B6931" t="str">
        <f>"1552375028595051"</f>
        <v>1552375028595051</v>
      </c>
      <c r="C6931" t="s">
        <v>40</v>
      </c>
      <c r="D6931">
        <v>4.3227339999999996</v>
      </c>
      <c r="E6931">
        <v>0.60219609999999901</v>
      </c>
      <c r="F6931" t="s">
        <v>58</v>
      </c>
      <c r="G6931">
        <v>-175.96559999999999</v>
      </c>
      <c r="H6931" s="1">
        <v>-3.6392989999999998E-6</v>
      </c>
      <c r="I6931">
        <v>132.0684</v>
      </c>
      <c r="J6931">
        <v>-183.9864</v>
      </c>
      <c r="K6931">
        <v>1.1057920000000001</v>
      </c>
      <c r="L6931">
        <v>122.452</v>
      </c>
      <c r="M6931">
        <v>0.22737260000000001</v>
      </c>
      <c r="N6931">
        <v>0</v>
      </c>
      <c r="O6931">
        <v>0.97370389999999996</v>
      </c>
      <c r="P6931">
        <v>0.41780830000000002</v>
      </c>
      <c r="Q6931">
        <v>3.2932610000000001E-2</v>
      </c>
      <c r="R6931">
        <v>0.90793809999999997</v>
      </c>
      <c r="S6931">
        <v>1.9864200000000001</v>
      </c>
      <c r="T6931">
        <v>-0.27273910000000001</v>
      </c>
      <c r="U6931">
        <v>2.4040680000000001</v>
      </c>
      <c r="V6931">
        <v>0.20086509999999999</v>
      </c>
      <c r="W6931">
        <v>4.4834190000000003E-2</v>
      </c>
      <c r="X6931">
        <v>0.97859240000000003</v>
      </c>
      <c r="Y6931">
        <v>0.44240269999999998</v>
      </c>
      <c r="Z6931">
        <v>-8.9483279999999998E-2</v>
      </c>
      <c r="AA6931">
        <v>0.8923411</v>
      </c>
      <c r="AB6931">
        <v>27</v>
      </c>
      <c r="AC6931">
        <v>8.0207999999999995</v>
      </c>
      <c r="AD6931">
        <v>-1.105795639299</v>
      </c>
      <c r="AE6931">
        <v>9.6163999999999792</v>
      </c>
      <c r="AF6931">
        <v>5.5804316577045299</v>
      </c>
      <c r="AG6931">
        <v>-1.105795639299</v>
      </c>
      <c r="AH6931">
        <v>11.1017974761264</v>
      </c>
      <c r="AI6931">
        <v>95.085617730563698</v>
      </c>
      <c r="AJ6931">
        <v>63.313144368384997</v>
      </c>
      <c r="AK6931">
        <v>12.4745303993028</v>
      </c>
      <c r="AL6931">
        <v>87.430328731782595</v>
      </c>
      <c r="AM6931">
        <v>78.400621996638904</v>
      </c>
      <c r="AN6931">
        <v>0.99999998916436295</v>
      </c>
    </row>
    <row r="6932" spans="1:40" x14ac:dyDescent="0.25">
      <c r="A6932" t="str">
        <f>"20190312151708611"</f>
        <v>20190312151708611</v>
      </c>
      <c r="B6932" t="str">
        <f>"1552375028604812"</f>
        <v>1552375028604812</v>
      </c>
      <c r="C6932" t="s">
        <v>40</v>
      </c>
      <c r="D6932">
        <v>4.261266</v>
      </c>
      <c r="E6932">
        <v>0.60226119999999905</v>
      </c>
      <c r="F6932" t="s">
        <v>58</v>
      </c>
      <c r="G6932">
        <v>-175.58449999999999</v>
      </c>
      <c r="H6932" s="1">
        <v>-3.527558E-6</v>
      </c>
      <c r="I6932">
        <v>132.459</v>
      </c>
      <c r="J6932">
        <v>-183.95429999999999</v>
      </c>
      <c r="K6932">
        <v>1.105728</v>
      </c>
      <c r="L6932">
        <v>122.5775</v>
      </c>
      <c r="M6932">
        <v>0.2301203</v>
      </c>
      <c r="N6932">
        <v>0</v>
      </c>
      <c r="O6932">
        <v>0.97305799999999998</v>
      </c>
      <c r="P6932">
        <v>0.42176459999999999</v>
      </c>
      <c r="Q6932">
        <v>3.2727829999999999E-2</v>
      </c>
      <c r="R6932">
        <v>0.90611450000000004</v>
      </c>
      <c r="S6932">
        <v>2.0068510000000002</v>
      </c>
      <c r="T6932">
        <v>-0.26412839999999999</v>
      </c>
      <c r="U6932">
        <v>2.390244</v>
      </c>
      <c r="V6932">
        <v>0.20237459999999999</v>
      </c>
      <c r="W6932">
        <v>4.4585529999999998E-2</v>
      </c>
      <c r="X6932">
        <v>0.97829270000000002</v>
      </c>
      <c r="Y6932">
        <v>0.447052</v>
      </c>
      <c r="Z6932">
        <v>-8.6662989999999995E-2</v>
      </c>
      <c r="AA6932">
        <v>0.89029999999999998</v>
      </c>
      <c r="AB6932">
        <v>27</v>
      </c>
      <c r="AC6932">
        <v>8.3697999999999908</v>
      </c>
      <c r="AD6932">
        <v>-1.105731527558</v>
      </c>
      <c r="AE6932">
        <v>9.8815000000000008</v>
      </c>
      <c r="AF6932">
        <v>5.8284684395644897</v>
      </c>
      <c r="AG6932">
        <v>-1.105731527558</v>
      </c>
      <c r="AH6932">
        <v>11.4589593709096</v>
      </c>
      <c r="AI6932">
        <v>94.915823523717805</v>
      </c>
      <c r="AJ6932">
        <v>63.0403567564178</v>
      </c>
      <c r="AK6932">
        <v>12.903543560828201</v>
      </c>
      <c r="AL6932">
        <v>87.444590132015307</v>
      </c>
      <c r="AM6932">
        <v>78.312359880791206</v>
      </c>
      <c r="AN6932">
        <v>0.99999997754191505</v>
      </c>
    </row>
    <row r="6933" spans="1:40" x14ac:dyDescent="0.25">
      <c r="A6933" t="str">
        <f>"20190312151708623"</f>
        <v>20190312151708623</v>
      </c>
      <c r="B6933" t="str">
        <f>"1552375028614573"</f>
        <v>1552375028614573</v>
      </c>
      <c r="C6933" t="s">
        <v>40</v>
      </c>
      <c r="D6933">
        <v>4.3272599999999999</v>
      </c>
      <c r="E6933">
        <v>0.60240519999999997</v>
      </c>
      <c r="F6933" t="s">
        <v>58</v>
      </c>
      <c r="G6933">
        <v>-175.91050000000001</v>
      </c>
      <c r="H6933" s="1">
        <v>-3.6015839999999902E-6</v>
      </c>
      <c r="I6933">
        <v>132.06819999999999</v>
      </c>
      <c r="J6933">
        <v>-183.92089999999999</v>
      </c>
      <c r="K6933">
        <v>1.105666</v>
      </c>
      <c r="L6933">
        <v>122.70480000000001</v>
      </c>
      <c r="M6933">
        <v>0.23298630000000001</v>
      </c>
      <c r="N6933">
        <v>0</v>
      </c>
      <c r="O6933">
        <v>0.97237580000000001</v>
      </c>
      <c r="P6933">
        <v>0.4257338</v>
      </c>
      <c r="Q6933">
        <v>3.2829289999999997E-2</v>
      </c>
      <c r="R6933">
        <v>0.90425270000000002</v>
      </c>
      <c r="S6933">
        <v>2.0183559999999998</v>
      </c>
      <c r="T6933">
        <v>-0.27745059999999999</v>
      </c>
      <c r="U6933">
        <v>2.3813930000000001</v>
      </c>
      <c r="V6933">
        <v>0.20379120000000001</v>
      </c>
      <c r="W6933">
        <v>4.4644120000000002E-2</v>
      </c>
      <c r="X6933">
        <v>0.97799590000000003</v>
      </c>
      <c r="Y6933">
        <v>0.44830189999999998</v>
      </c>
      <c r="Z6933">
        <v>-9.0998979999999993E-2</v>
      </c>
      <c r="AA6933">
        <v>0.88923819999999998</v>
      </c>
      <c r="AB6933">
        <v>27</v>
      </c>
      <c r="AC6933">
        <v>8.0103999999999704</v>
      </c>
      <c r="AD6933">
        <v>-1.105669601584</v>
      </c>
      <c r="AE6933">
        <v>9.3633999999999808</v>
      </c>
      <c r="AF6933">
        <v>5.5633514374017796</v>
      </c>
      <c r="AG6933">
        <v>-1.105669601584</v>
      </c>
      <c r="AH6933">
        <v>10.88453454938</v>
      </c>
      <c r="AI6933">
        <v>95.168418301555107</v>
      </c>
      <c r="AJ6933">
        <v>62.927315044144699</v>
      </c>
      <c r="AK6933">
        <v>12.273812644836701</v>
      </c>
      <c r="AL6933">
        <v>87.441229795486606</v>
      </c>
      <c r="AM6933">
        <v>78.229349834609096</v>
      </c>
      <c r="AN6933">
        <v>0.99999996553241099</v>
      </c>
    </row>
    <row r="6934" spans="1:40" x14ac:dyDescent="0.25">
      <c r="A6934" t="str">
        <f>"20190312151708634"</f>
        <v>20190312151708634</v>
      </c>
      <c r="B6934" t="str">
        <f>"1552375028625307"</f>
        <v>1552375028625307</v>
      </c>
      <c r="C6934" t="s">
        <v>40</v>
      </c>
      <c r="D6934">
        <v>4.3884829999999999</v>
      </c>
      <c r="E6934">
        <v>0.60278750000000003</v>
      </c>
      <c r="F6934" t="s">
        <v>58</v>
      </c>
      <c r="G6934">
        <v>-176.07570000000001</v>
      </c>
      <c r="H6934" s="1">
        <v>-3.6391750000000002E-6</v>
      </c>
      <c r="I6934">
        <v>131.87010000000001</v>
      </c>
      <c r="J6934">
        <v>-183.88800000000001</v>
      </c>
      <c r="K6934">
        <v>1.1056049999999999</v>
      </c>
      <c r="L6934">
        <v>122.82989999999999</v>
      </c>
      <c r="M6934">
        <v>0.235814</v>
      </c>
      <c r="N6934">
        <v>0</v>
      </c>
      <c r="O6934">
        <v>0.97169380000000005</v>
      </c>
      <c r="P6934">
        <v>0.42985230000000002</v>
      </c>
      <c r="Q6934">
        <v>3.3075729999999998E-2</v>
      </c>
      <c r="R6934">
        <v>0.90229320000000002</v>
      </c>
      <c r="S6934">
        <v>2.0304259999999998</v>
      </c>
      <c r="T6934">
        <v>-0.28616130000000001</v>
      </c>
      <c r="U6934">
        <v>2.3720859999999999</v>
      </c>
      <c r="V6934">
        <v>0.20541719999999999</v>
      </c>
      <c r="W6934">
        <v>4.4844189999999999E-2</v>
      </c>
      <c r="X6934">
        <v>0.97764649999999997</v>
      </c>
      <c r="Y6934">
        <v>0.44986700000000002</v>
      </c>
      <c r="Z6934">
        <v>-9.3831250000000005E-2</v>
      </c>
      <c r="AA6934">
        <v>0.88815279999999996</v>
      </c>
      <c r="AB6934">
        <v>27</v>
      </c>
      <c r="AC6934">
        <v>7.8122999999999898</v>
      </c>
      <c r="AD6934">
        <v>-1.105608639175</v>
      </c>
      <c r="AE6934">
        <v>9.0402000000000093</v>
      </c>
      <c r="AF6934">
        <v>5.4135577067824503</v>
      </c>
      <c r="AG6934">
        <v>-1.105608639175</v>
      </c>
      <c r="AH6934">
        <v>10.537406920525401</v>
      </c>
      <c r="AI6934">
        <v>95.331773344011793</v>
      </c>
      <c r="AJ6934">
        <v>62.808318677502399</v>
      </c>
      <c r="AK6934">
        <v>11.8981478439469</v>
      </c>
      <c r="AL6934">
        <v>87.429755104624405</v>
      </c>
      <c r="AM6934">
        <v>78.133966123428706</v>
      </c>
      <c r="AN6934">
        <v>0.99999995319742196</v>
      </c>
    </row>
    <row r="6935" spans="1:40" x14ac:dyDescent="0.25">
      <c r="A6935" t="str">
        <f>"20190312151708644"</f>
        <v>20190312151708644</v>
      </c>
      <c r="B6935" t="str">
        <f>"1552375028635068"</f>
        <v>1552375028635068</v>
      </c>
      <c r="C6935" t="s">
        <v>40</v>
      </c>
      <c r="D6935">
        <v>4.3044330000000004</v>
      </c>
      <c r="E6935">
        <v>0.60269879999999998</v>
      </c>
      <c r="F6935" t="s">
        <v>58</v>
      </c>
      <c r="G6935">
        <v>-176.19759999999999</v>
      </c>
      <c r="H6935" s="1">
        <v>-3.6630330000000002E-6</v>
      </c>
      <c r="I6935">
        <v>131.714</v>
      </c>
      <c r="J6935">
        <v>-183.85249999999999</v>
      </c>
      <c r="K6935">
        <v>1.105539</v>
      </c>
      <c r="L6935">
        <v>122.9619</v>
      </c>
      <c r="M6935">
        <v>0.23888010000000001</v>
      </c>
      <c r="N6935">
        <v>0</v>
      </c>
      <c r="O6935">
        <v>0.97094440000000004</v>
      </c>
      <c r="P6935">
        <v>0.43416739999999998</v>
      </c>
      <c r="Q6935">
        <v>3.2893350000000002E-2</v>
      </c>
      <c r="R6935">
        <v>0.90023149999999996</v>
      </c>
      <c r="S6935">
        <v>2.0443730000000002</v>
      </c>
      <c r="T6935">
        <v>-0.29390690000000003</v>
      </c>
      <c r="U6935">
        <v>2.3616790000000001</v>
      </c>
      <c r="V6935">
        <v>0.20701610000000001</v>
      </c>
      <c r="W6935">
        <v>4.4614109999999998E-2</v>
      </c>
      <c r="X6935">
        <v>0.97731979999999996</v>
      </c>
      <c r="Y6935">
        <v>0.45182850000000002</v>
      </c>
      <c r="Z6935">
        <v>-9.6338090000000001E-2</v>
      </c>
      <c r="AA6935">
        <v>0.8868878</v>
      </c>
      <c r="AB6935">
        <v>27</v>
      </c>
      <c r="AC6935">
        <v>7.6548999999999898</v>
      </c>
      <c r="AD6935">
        <v>-1.1055426630329901</v>
      </c>
      <c r="AE6935">
        <v>8.7520999999999898</v>
      </c>
      <c r="AF6935">
        <v>5.2944590485427598</v>
      </c>
      <c r="AG6935">
        <v>-1.1055426630329901</v>
      </c>
      <c r="AH6935">
        <v>10.2349282131952</v>
      </c>
      <c r="AI6935">
        <v>95.480199100723596</v>
      </c>
      <c r="AJ6935">
        <v>62.647780607694699</v>
      </c>
      <c r="AK6935">
        <v>11.5761512052038</v>
      </c>
      <c r="AL6935">
        <v>87.442951142164503</v>
      </c>
      <c r="AM6935">
        <v>78.040371303925298</v>
      </c>
      <c r="AN6935">
        <v>1.00000003797117</v>
      </c>
    </row>
    <row r="6936" spans="1:40" x14ac:dyDescent="0.25">
      <c r="A6936" t="str">
        <f>"20190312151708656"</f>
        <v>20190312151708656</v>
      </c>
      <c r="B6936" t="str">
        <f>"1552375028644828"</f>
        <v>1552375028644828</v>
      </c>
      <c r="C6936" t="s">
        <v>40</v>
      </c>
      <c r="D6936">
        <v>4.3171169999999996</v>
      </c>
      <c r="E6936">
        <v>0.60262899999999997</v>
      </c>
      <c r="F6936" t="s">
        <v>58</v>
      </c>
      <c r="G6936">
        <v>-176.20920000000001</v>
      </c>
      <c r="H6936" s="1">
        <v>-3.6688459999999999E-6</v>
      </c>
      <c r="I6936">
        <v>131.70840000000001</v>
      </c>
      <c r="J6936">
        <v>-183.8176</v>
      </c>
      <c r="K6936">
        <v>1.1054759999999999</v>
      </c>
      <c r="L6936">
        <v>123.09050000000001</v>
      </c>
      <c r="M6936">
        <v>0.2418931</v>
      </c>
      <c r="N6936">
        <v>0</v>
      </c>
      <c r="O6936">
        <v>0.97019809999999995</v>
      </c>
      <c r="P6936">
        <v>0.43849090000000002</v>
      </c>
      <c r="Q6936">
        <v>3.326979E-2</v>
      </c>
      <c r="R6936">
        <v>0.89811960000000002</v>
      </c>
      <c r="S6936">
        <v>2.055374</v>
      </c>
      <c r="T6936">
        <v>-0.29729410000000001</v>
      </c>
      <c r="U6936">
        <v>2.352036</v>
      </c>
      <c r="V6936">
        <v>0.2086964</v>
      </c>
      <c r="W6936">
        <v>4.4941849999999998E-2</v>
      </c>
      <c r="X6936">
        <v>0.97694729999999996</v>
      </c>
      <c r="Y6936">
        <v>0.45314339999999997</v>
      </c>
      <c r="Z6936">
        <v>-9.745682E-2</v>
      </c>
      <c r="AA6936">
        <v>0.8860943</v>
      </c>
      <c r="AB6936">
        <v>27</v>
      </c>
      <c r="AC6936">
        <v>7.6083999999999801</v>
      </c>
      <c r="AD6936">
        <v>-1.105479668846</v>
      </c>
      <c r="AE6936">
        <v>8.6179000000000006</v>
      </c>
      <c r="AF6936">
        <v>5.2490439357454699</v>
      </c>
      <c r="AG6936">
        <v>-1.105479668846</v>
      </c>
      <c r="AH6936">
        <v>10.1090458429567</v>
      </c>
      <c r="AI6936">
        <v>95.5433155638611</v>
      </c>
      <c r="AJ6936">
        <v>62.559752925928997</v>
      </c>
      <c r="AK6936">
        <v>11.4440969671101</v>
      </c>
      <c r="AL6936">
        <v>87.424154051766095</v>
      </c>
      <c r="AM6936">
        <v>77.9416644812177</v>
      </c>
      <c r="AN6936">
        <v>0.99999999211583601</v>
      </c>
    </row>
    <row r="6937" spans="1:40" x14ac:dyDescent="0.25">
      <c r="A6937" t="str">
        <f>"20190312151708666"</f>
        <v>20190312151708666</v>
      </c>
      <c r="B6937" t="str">
        <f>"1552375028654588"</f>
        <v>1552375028654588</v>
      </c>
      <c r="C6937" t="s">
        <v>40</v>
      </c>
      <c r="D6937">
        <v>4.3358220000000003</v>
      </c>
      <c r="E6937">
        <v>0.60254359999999996</v>
      </c>
      <c r="F6937" t="s">
        <v>58</v>
      </c>
      <c r="G6937">
        <v>-176.1353</v>
      </c>
      <c r="H6937" s="1">
        <v>-3.6533229999999998E-6</v>
      </c>
      <c r="I6937">
        <v>131.8004</v>
      </c>
      <c r="J6937">
        <v>-183.78389999999999</v>
      </c>
      <c r="K6937">
        <v>1.105418</v>
      </c>
      <c r="L6937">
        <v>123.2127</v>
      </c>
      <c r="M6937">
        <v>0.24480859999999999</v>
      </c>
      <c r="N6937">
        <v>0</v>
      </c>
      <c r="O6937">
        <v>0.96946639999999995</v>
      </c>
      <c r="P6937">
        <v>0.44284390000000001</v>
      </c>
      <c r="Q6937">
        <v>3.341508E-2</v>
      </c>
      <c r="R6937">
        <v>0.89597590000000005</v>
      </c>
      <c r="S6937">
        <v>2.066208</v>
      </c>
      <c r="T6937">
        <v>-0.29732360000000002</v>
      </c>
      <c r="U6937">
        <v>2.3425600000000002</v>
      </c>
      <c r="V6937">
        <v>0.21051020000000001</v>
      </c>
      <c r="W6937">
        <v>4.5038069999999999E-2</v>
      </c>
      <c r="X6937">
        <v>0.97655369999999997</v>
      </c>
      <c r="Y6937">
        <v>0.4545479</v>
      </c>
      <c r="Z6937">
        <v>-9.7482379999999993E-2</v>
      </c>
      <c r="AA6937">
        <v>0.88537189999999999</v>
      </c>
      <c r="AB6937">
        <v>27</v>
      </c>
      <c r="AC6937">
        <v>7.6485999999999796</v>
      </c>
      <c r="AD6937">
        <v>-1.1054216533229999</v>
      </c>
      <c r="AE6937">
        <v>8.5876999999999892</v>
      </c>
      <c r="AF6937">
        <v>5.2646150881455798</v>
      </c>
      <c r="AG6937">
        <v>-1.1054216533229999</v>
      </c>
      <c r="AH6937">
        <v>10.1055948095737</v>
      </c>
      <c r="AI6937">
        <v>95.541033187728402</v>
      </c>
      <c r="AJ6937">
        <v>62.4822691362208</v>
      </c>
      <c r="AK6937">
        <v>11.4481952950345</v>
      </c>
      <c r="AL6937">
        <v>87.418635614770096</v>
      </c>
      <c r="AM6937">
        <v>77.835215141814601</v>
      </c>
      <c r="AN6937">
        <v>1.00000005051852</v>
      </c>
    </row>
    <row r="6938" spans="1:40" x14ac:dyDescent="0.25">
      <c r="A6938" t="str">
        <f>"20190312151708678"</f>
        <v>20190312151708678</v>
      </c>
      <c r="B6938" t="str">
        <f>"1552375028675083"</f>
        <v>1552375028675083</v>
      </c>
      <c r="C6938" t="s">
        <v>40</v>
      </c>
      <c r="D6938">
        <v>4.3183610000000003</v>
      </c>
      <c r="E6938">
        <v>0.60261799999999999</v>
      </c>
      <c r="F6938" t="s">
        <v>58</v>
      </c>
      <c r="G6938">
        <v>-176.10130000000001</v>
      </c>
      <c r="H6938" s="1">
        <v>-3.645841E-6</v>
      </c>
      <c r="I6938">
        <v>131.8417</v>
      </c>
      <c r="J6938">
        <v>-183.74780000000001</v>
      </c>
      <c r="K6938">
        <v>1.105359</v>
      </c>
      <c r="L6938">
        <v>123.34220000000001</v>
      </c>
      <c r="M6938">
        <v>0.24793709999999999</v>
      </c>
      <c r="N6938">
        <v>0</v>
      </c>
      <c r="O6938">
        <v>0.9686709</v>
      </c>
      <c r="P6938">
        <v>0.4475133</v>
      </c>
      <c r="Q6938">
        <v>3.374133E-2</v>
      </c>
      <c r="R6938">
        <v>0.89364059999999901</v>
      </c>
      <c r="S6938">
        <v>2.077026</v>
      </c>
      <c r="T6938">
        <v>-0.29885479999999998</v>
      </c>
      <c r="U6938">
        <v>2.3328859999999998</v>
      </c>
      <c r="V6938">
        <v>0.21246760000000001</v>
      </c>
      <c r="W6938">
        <v>4.5311490000000003E-2</v>
      </c>
      <c r="X6938">
        <v>0.97611700000000001</v>
      </c>
      <c r="Y6938">
        <v>0.45575559999999998</v>
      </c>
      <c r="Z6938">
        <v>-9.7995750000000006E-2</v>
      </c>
      <c r="AA6938">
        <v>0.88469419999999899</v>
      </c>
      <c r="AB6938">
        <v>27</v>
      </c>
      <c r="AC6938">
        <v>7.6464999999999996</v>
      </c>
      <c r="AD6938">
        <v>-1.105362645841</v>
      </c>
      <c r="AE6938">
        <v>8.4994999999999905</v>
      </c>
      <c r="AF6938">
        <v>5.2510563125176599</v>
      </c>
      <c r="AG6938">
        <v>-1.105362645841</v>
      </c>
      <c r="AH6938">
        <v>10.036287072776901</v>
      </c>
      <c r="AI6938">
        <v>95.573654266247601</v>
      </c>
      <c r="AJ6938">
        <v>62.381117760961303</v>
      </c>
      <c r="AK6938">
        <v>11.380794224624299</v>
      </c>
      <c r="AL6938">
        <v>87.402953675414693</v>
      </c>
      <c r="AM6938">
        <v>77.720191905742993</v>
      </c>
      <c r="AN6938">
        <v>1.0000000049323901</v>
      </c>
    </row>
    <row r="6939" spans="1:40" x14ac:dyDescent="0.25">
      <c r="A6939" t="str">
        <f>"20190312151708689"</f>
        <v>20190312151708689</v>
      </c>
      <c r="B6939" t="str">
        <f>"1552375028684843"</f>
        <v>1552375028684843</v>
      </c>
      <c r="C6939" t="s">
        <v>40</v>
      </c>
      <c r="D6939">
        <v>4.3030299999999997</v>
      </c>
      <c r="E6939">
        <v>0.60255749999999997</v>
      </c>
      <c r="F6939" t="s">
        <v>58</v>
      </c>
      <c r="G6939">
        <v>-176.12090000000001</v>
      </c>
      <c r="H6939" s="1">
        <v>-3.6490000000000001E-6</v>
      </c>
      <c r="I6939">
        <v>131.81489999999999</v>
      </c>
      <c r="J6939">
        <v>-183.70949999999999</v>
      </c>
      <c r="K6939">
        <v>1.1052949999999999</v>
      </c>
      <c r="L6939">
        <v>123.47790000000001</v>
      </c>
      <c r="M6939">
        <v>0.25125829999999999</v>
      </c>
      <c r="N6939">
        <v>0</v>
      </c>
      <c r="O6939">
        <v>0.96781470000000003</v>
      </c>
      <c r="P6939">
        <v>0.45279799999999998</v>
      </c>
      <c r="Q6939">
        <v>3.4109439999999998E-2</v>
      </c>
      <c r="R6939">
        <v>0.89096049999999904</v>
      </c>
      <c r="S6939">
        <v>2.0900880000000002</v>
      </c>
      <c r="T6939">
        <v>-0.30291259999999998</v>
      </c>
      <c r="U6939">
        <v>2.3218380000000001</v>
      </c>
      <c r="V6939">
        <v>0.2149162</v>
      </c>
      <c r="W6939">
        <v>4.5617779999999997E-2</v>
      </c>
      <c r="X6939">
        <v>0.97556659999999995</v>
      </c>
      <c r="Y6939">
        <v>0.45745970000000002</v>
      </c>
      <c r="Z6939">
        <v>-9.9319710000000005E-2</v>
      </c>
      <c r="AA6939">
        <v>0.88366630000000002</v>
      </c>
      <c r="AB6939">
        <v>27</v>
      </c>
      <c r="AC6939">
        <v>7.58859999999998</v>
      </c>
      <c r="AD6939">
        <v>-1.1052986490000001</v>
      </c>
      <c r="AE6939">
        <v>8.3369999999999802</v>
      </c>
      <c r="AF6939">
        <v>5.2001666781060703</v>
      </c>
      <c r="AG6939">
        <v>-1.1052986490000001</v>
      </c>
      <c r="AH6939">
        <v>9.8814017074757103</v>
      </c>
      <c r="AI6939">
        <v>95.6530749249672</v>
      </c>
      <c r="AJ6939">
        <v>62.244052410602599</v>
      </c>
      <c r="AK6939">
        <v>11.2207628211307</v>
      </c>
      <c r="AL6939">
        <v>87.385386563625602</v>
      </c>
      <c r="AM6939">
        <v>77.576250144000298</v>
      </c>
      <c r="AN6939">
        <v>1.00000007295506</v>
      </c>
    </row>
    <row r="6940" spans="1:40" x14ac:dyDescent="0.25">
      <c r="A6940" t="str">
        <f>"20190312151708713"</f>
        <v>20190312151708713</v>
      </c>
      <c r="B6940" t="str">
        <f>"1552375028705339"</f>
        <v>1552375028705339</v>
      </c>
      <c r="C6940" t="s">
        <v>40</v>
      </c>
      <c r="D6940">
        <v>4.29915</v>
      </c>
      <c r="E6940">
        <v>0.60243329999999995</v>
      </c>
      <c r="F6940" t="s">
        <v>58</v>
      </c>
      <c r="G6940">
        <v>-176.0609</v>
      </c>
      <c r="H6940" s="1">
        <v>-3.6317700000000001E-6</v>
      </c>
      <c r="I6940">
        <v>131.87729999999999</v>
      </c>
      <c r="J6940">
        <v>-183.6335</v>
      </c>
      <c r="K6940">
        <v>1.105173</v>
      </c>
      <c r="L6940">
        <v>123.7411</v>
      </c>
      <c r="M6940">
        <v>0.25786110000000001</v>
      </c>
      <c r="N6940">
        <v>0</v>
      </c>
      <c r="O6940">
        <v>0.96607609999999999</v>
      </c>
      <c r="P6940">
        <v>0.4629663</v>
      </c>
      <c r="Q6940">
        <v>3.5298240000000002E-2</v>
      </c>
      <c r="R6940">
        <v>0.88567269999999898</v>
      </c>
      <c r="S6940">
        <v>2.1033629999999999</v>
      </c>
      <c r="T6940">
        <v>-0.30395670000000002</v>
      </c>
      <c r="U6940">
        <v>2.3098299999999998</v>
      </c>
      <c r="V6940">
        <v>0.2194615</v>
      </c>
      <c r="W6940">
        <v>4.668572E-2</v>
      </c>
      <c r="X6940">
        <v>0.97450349999999997</v>
      </c>
      <c r="Y6940">
        <v>0.45643679999999998</v>
      </c>
      <c r="Z6940">
        <v>-9.9631410000000004E-2</v>
      </c>
      <c r="AA6940">
        <v>0.8841601</v>
      </c>
      <c r="AB6940">
        <v>27</v>
      </c>
      <c r="AC6940">
        <v>7.5725999999999898</v>
      </c>
      <c r="AD6940">
        <v>-1.10517663177</v>
      </c>
      <c r="AE6940">
        <v>8.1361999999999792</v>
      </c>
      <c r="AF6940">
        <v>5.1671465892921198</v>
      </c>
      <c r="AG6940">
        <v>-1.10517663177</v>
      </c>
      <c r="AH6940">
        <v>9.7177951156653801</v>
      </c>
      <c r="AI6940">
        <v>95.734113197973201</v>
      </c>
      <c r="AJ6940">
        <v>61.999525318132001</v>
      </c>
      <c r="AK6940">
        <v>11.061480966520399</v>
      </c>
      <c r="AL6940">
        <v>87.324132616005699</v>
      </c>
      <c r="AM6940">
        <v>77.308524667702997</v>
      </c>
      <c r="AN6940">
        <v>0.99999998897320896</v>
      </c>
    </row>
    <row r="6941" spans="1:40" x14ac:dyDescent="0.25">
      <c r="A6941" t="str">
        <f>"20190312151708727"</f>
        <v>20190312151708727</v>
      </c>
      <c r="B6941" t="str">
        <f>"1552375028715099"</f>
        <v>1552375028715099</v>
      </c>
      <c r="C6941" t="s">
        <v>40</v>
      </c>
      <c r="D6941">
        <v>4.2715100000000001</v>
      </c>
      <c r="E6941">
        <v>0.60229829999999995</v>
      </c>
      <c r="F6941" t="s">
        <v>58</v>
      </c>
      <c r="G6941">
        <v>-175.87430000000001</v>
      </c>
      <c r="H6941" s="1">
        <v>-3.5788630000000002E-6</v>
      </c>
      <c r="I6941">
        <v>132.07329999999999</v>
      </c>
      <c r="J6941">
        <v>-183.58529999999999</v>
      </c>
      <c r="K6941">
        <v>1.105089</v>
      </c>
      <c r="L6941">
        <v>123.90349999999999</v>
      </c>
      <c r="M6941">
        <v>0.26206560000000001</v>
      </c>
      <c r="N6941">
        <v>0</v>
      </c>
      <c r="O6941">
        <v>0.96494389999999997</v>
      </c>
      <c r="P6941">
        <v>0.46888859999999899</v>
      </c>
      <c r="Q6941">
        <v>3.5611009999999998E-2</v>
      </c>
      <c r="R6941">
        <v>0.88253919999999997</v>
      </c>
      <c r="S6941">
        <v>2.1291500000000001</v>
      </c>
      <c r="T6941">
        <v>-0.30326340000000002</v>
      </c>
      <c r="U6941">
        <v>2.2863769999999999</v>
      </c>
      <c r="V6941">
        <v>0.22176290000000001</v>
      </c>
      <c r="W6941">
        <v>4.6929110000000003E-2</v>
      </c>
      <c r="X6941">
        <v>0.97397069999999997</v>
      </c>
      <c r="Y6941">
        <v>0.4624336</v>
      </c>
      <c r="Z6941">
        <v>-9.9479899999999996E-2</v>
      </c>
      <c r="AA6941">
        <v>0.88105560000000005</v>
      </c>
      <c r="AB6941">
        <v>27</v>
      </c>
      <c r="AC6941">
        <v>7.7109999999999799</v>
      </c>
      <c r="AD6941">
        <v>-1.1050925788629999</v>
      </c>
      <c r="AE6941">
        <v>8.1697999999999897</v>
      </c>
      <c r="AF6941">
        <v>5.2494057825507801</v>
      </c>
      <c r="AG6941">
        <v>-1.1050925788629999</v>
      </c>
      <c r="AH6941">
        <v>9.8102717936201493</v>
      </c>
      <c r="AI6941">
        <v>95.672088797590604</v>
      </c>
      <c r="AJ6941">
        <v>61.8490851974368</v>
      </c>
      <c r="AK6941">
        <v>11.1811861330734</v>
      </c>
      <c r="AL6941">
        <v>87.310172190856903</v>
      </c>
      <c r="AM6941">
        <v>77.173029612049902</v>
      </c>
      <c r="AN6941">
        <v>1.0000000248201399</v>
      </c>
    </row>
    <row r="6942" spans="1:40" x14ac:dyDescent="0.25">
      <c r="A6942" t="str">
        <f>"20190312151708745"</f>
        <v>20190312151708745</v>
      </c>
      <c r="B6942" t="str">
        <f>"1552375028734618"</f>
        <v>1552375028734618</v>
      </c>
      <c r="C6942" t="s">
        <v>40</v>
      </c>
      <c r="D6942">
        <v>4.3227640000000003</v>
      </c>
      <c r="E6942">
        <v>0.60182000000000002</v>
      </c>
      <c r="F6942" t="s">
        <v>58</v>
      </c>
      <c r="G6942">
        <v>-175.79640000000001</v>
      </c>
      <c r="H6942" s="1">
        <v>-3.5586550000000002E-6</v>
      </c>
      <c r="I6942">
        <v>132.16</v>
      </c>
      <c r="J6942">
        <v>-183.52279999999999</v>
      </c>
      <c r="K6942">
        <v>1.104981</v>
      </c>
      <c r="L6942">
        <v>124.1105</v>
      </c>
      <c r="M6942">
        <v>0.26753259999999901</v>
      </c>
      <c r="N6942">
        <v>0</v>
      </c>
      <c r="O6942">
        <v>0.96344229999999997</v>
      </c>
      <c r="P6942">
        <v>0.47789150000000002</v>
      </c>
      <c r="Q6942">
        <v>3.5968760000000002E-2</v>
      </c>
      <c r="R6942">
        <v>0.87768210000000002</v>
      </c>
      <c r="S6942">
        <v>2.1438290000000002</v>
      </c>
      <c r="T6942">
        <v>-0.30416989999999999</v>
      </c>
      <c r="U6942">
        <v>2.2725369999999998</v>
      </c>
      <c r="V6942">
        <v>0.2262248</v>
      </c>
      <c r="W6942">
        <v>4.7170120000000003E-2</v>
      </c>
      <c r="X6942">
        <v>0.97293229999999997</v>
      </c>
      <c r="Y6942">
        <v>0.46308189999999999</v>
      </c>
      <c r="Z6942">
        <v>-9.9772169999999993E-2</v>
      </c>
      <c r="AA6942">
        <v>0.88068189999999902</v>
      </c>
      <c r="AB6942">
        <v>26</v>
      </c>
      <c r="AC6942">
        <v>7.7263999999999804</v>
      </c>
      <c r="AD6942">
        <v>-1.104984558655</v>
      </c>
      <c r="AE6942">
        <v>8.0494999999999894</v>
      </c>
      <c r="AF6942">
        <v>5.2395910104931396</v>
      </c>
      <c r="AG6942">
        <v>-1.104984558655</v>
      </c>
      <c r="AH6942">
        <v>9.72789150471759</v>
      </c>
      <c r="AI6942">
        <v>95.710916078389502</v>
      </c>
      <c r="AJ6942">
        <v>61.692415859724697</v>
      </c>
      <c r="AK6942">
        <v>11.104331495396799</v>
      </c>
      <c r="AL6942">
        <v>87.296347878500299</v>
      </c>
      <c r="AM6942">
        <v>76.910259311342699</v>
      </c>
      <c r="AN6942">
        <v>0.999999970369571</v>
      </c>
    </row>
    <row r="6943" spans="1:40" x14ac:dyDescent="0.25">
      <c r="A6943" t="str">
        <f>"20190312151708757"</f>
        <v>20190312151708757</v>
      </c>
      <c r="B6943" t="str">
        <f>"1552375028745355"</f>
        <v>1552375028745355</v>
      </c>
      <c r="C6943" t="s">
        <v>40</v>
      </c>
      <c r="D6943">
        <v>4.3127370000000003</v>
      </c>
      <c r="E6943">
        <v>0.60151080000000001</v>
      </c>
      <c r="F6943" t="s">
        <v>58</v>
      </c>
      <c r="G6943">
        <v>-175.71879999999999</v>
      </c>
      <c r="H6943" s="1">
        <v>-3.534177E-6</v>
      </c>
      <c r="I6943">
        <v>132.23500000000001</v>
      </c>
      <c r="J6943">
        <v>-183.48269999999999</v>
      </c>
      <c r="K6943">
        <v>1.104905</v>
      </c>
      <c r="L6943">
        <v>124.2411</v>
      </c>
      <c r="M6943">
        <v>0.27104790000000001</v>
      </c>
      <c r="N6943">
        <v>0</v>
      </c>
      <c r="O6943">
        <v>0.96245910000000001</v>
      </c>
      <c r="P6943">
        <v>0.48318939999999999</v>
      </c>
      <c r="Q6943">
        <v>3.6086220000000002E-2</v>
      </c>
      <c r="R6943">
        <v>0.87477179999999999</v>
      </c>
      <c r="S6943">
        <v>2.1636660000000001</v>
      </c>
      <c r="T6943">
        <v>-0.30636059999999998</v>
      </c>
      <c r="U6943">
        <v>2.252548</v>
      </c>
      <c r="V6943">
        <v>0.22856779999999999</v>
      </c>
      <c r="W6943">
        <v>4.7219179999999999E-2</v>
      </c>
      <c r="X6943">
        <v>0.97238219999999997</v>
      </c>
      <c r="Y6943">
        <v>0.4677248</v>
      </c>
      <c r="Z6943">
        <v>-0.1005731</v>
      </c>
      <c r="AA6943">
        <v>0.87813359999999996</v>
      </c>
      <c r="AB6943">
        <v>26</v>
      </c>
      <c r="AC6943">
        <v>7.7638999999999996</v>
      </c>
      <c r="AD6943">
        <v>-1.104908534177</v>
      </c>
      <c r="AE6943">
        <v>7.9939000000000098</v>
      </c>
      <c r="AF6943">
        <v>5.2545936269044704</v>
      </c>
      <c r="AG6943">
        <v>-1.104908534177</v>
      </c>
      <c r="AH6943">
        <v>9.7037992610738506</v>
      </c>
      <c r="AI6943">
        <v>95.717758229715002</v>
      </c>
      <c r="AJ6943">
        <v>61.564517398017699</v>
      </c>
      <c r="AK6943">
        <v>11.0903244836217</v>
      </c>
      <c r="AL6943">
        <v>87.293533936780804</v>
      </c>
      <c r="AM6943">
        <v>76.772211116217406</v>
      </c>
      <c r="AN6943">
        <v>1.00000001651677</v>
      </c>
    </row>
    <row r="6944" spans="1:40" x14ac:dyDescent="0.25">
      <c r="A6944" t="str">
        <f>"20190312151708767"</f>
        <v>20190312151708767</v>
      </c>
      <c r="B6944" t="str">
        <f>"1552375028755116"</f>
        <v>1552375028755116</v>
      </c>
      <c r="C6944" t="s">
        <v>40</v>
      </c>
      <c r="D6944">
        <v>4.3414020000000004</v>
      </c>
      <c r="E6944">
        <v>0.60123070000000001</v>
      </c>
      <c r="F6944" t="s">
        <v>58</v>
      </c>
      <c r="G6944">
        <v>-175.64660000000001</v>
      </c>
      <c r="H6944" s="1">
        <v>-3.51401E-6</v>
      </c>
      <c r="I6944">
        <v>132.3116</v>
      </c>
      <c r="J6944">
        <v>-183.4435</v>
      </c>
      <c r="K6944">
        <v>1.1048309999999999</v>
      </c>
      <c r="L6944">
        <v>124.3664</v>
      </c>
      <c r="M6944">
        <v>0.27448689999999998</v>
      </c>
      <c r="N6944">
        <v>0</v>
      </c>
      <c r="O6944">
        <v>0.9614838</v>
      </c>
      <c r="P6944">
        <v>0.48812030000000001</v>
      </c>
      <c r="Q6944">
        <v>3.651016E-2</v>
      </c>
      <c r="R6944">
        <v>0.87201240000000002</v>
      </c>
      <c r="S6944">
        <v>2.1753999999999998</v>
      </c>
      <c r="T6944">
        <v>-0.306739599999999</v>
      </c>
      <c r="U6944">
        <v>2.2405089999999999</v>
      </c>
      <c r="V6944">
        <v>0.23060030000000001</v>
      </c>
      <c r="W6944">
        <v>4.7579259999999998E-2</v>
      </c>
      <c r="X6944">
        <v>0.97188459999999999</v>
      </c>
      <c r="Y6944">
        <v>0.4692827</v>
      </c>
      <c r="Z6944">
        <v>-0.10072689999999999</v>
      </c>
      <c r="AA6944">
        <v>0.87728430000000002</v>
      </c>
      <c r="AB6944">
        <v>26</v>
      </c>
      <c r="AC6944">
        <v>7.7968999999999902</v>
      </c>
      <c r="AD6944">
        <v>-1.10483451401</v>
      </c>
      <c r="AE6944">
        <v>7.9451999999999998</v>
      </c>
      <c r="AF6944">
        <v>5.26442937602563</v>
      </c>
      <c r="AG6944">
        <v>-1.10483451401</v>
      </c>
      <c r="AH6944">
        <v>9.6849327246117198</v>
      </c>
      <c r="AI6944">
        <v>95.723505162062295</v>
      </c>
      <c r="AJ6944">
        <v>61.472867219607799</v>
      </c>
      <c r="AK6944">
        <v>11.0784835532109</v>
      </c>
      <c r="AL6944">
        <v>87.272879558256193</v>
      </c>
      <c r="AM6944">
        <v>76.652187336107602</v>
      </c>
      <c r="AN6944">
        <v>0.99999998002969803</v>
      </c>
    </row>
    <row r="6945" spans="1:40" x14ac:dyDescent="0.25">
      <c r="A6945" t="str">
        <f>"20190312151708778"</f>
        <v>20190312151708778</v>
      </c>
      <c r="B6945" t="str">
        <f>"1552375028774636"</f>
        <v>1552375028774636</v>
      </c>
      <c r="C6945" t="s">
        <v>40</v>
      </c>
      <c r="D6945">
        <v>4.3649089999999999</v>
      </c>
      <c r="E6945">
        <v>0.60079510000000003</v>
      </c>
      <c r="F6945" t="s">
        <v>58</v>
      </c>
      <c r="G6945">
        <v>-175.5692</v>
      </c>
      <c r="H6945" s="1">
        <v>-3.4931270000000002E-6</v>
      </c>
      <c r="I6945">
        <v>132.39580000000001</v>
      </c>
      <c r="J6945">
        <v>-183.40479999999999</v>
      </c>
      <c r="K6945">
        <v>1.104759</v>
      </c>
      <c r="L6945">
        <v>124.4888</v>
      </c>
      <c r="M6945">
        <v>0.27789009999999997</v>
      </c>
      <c r="N6945">
        <v>0</v>
      </c>
      <c r="O6945">
        <v>0.96050550000000001</v>
      </c>
      <c r="P6945">
        <v>0.49330309999999999</v>
      </c>
      <c r="Q6945">
        <v>3.6651280000000001E-2</v>
      </c>
      <c r="R6945">
        <v>0.869085</v>
      </c>
      <c r="S6945">
        <v>2.1862949999999999</v>
      </c>
      <c r="T6945">
        <v>-0.30675580000000002</v>
      </c>
      <c r="U6945">
        <v>2.229355</v>
      </c>
      <c r="V6945">
        <v>0.23295730000000001</v>
      </c>
      <c r="W6945">
        <v>4.7651190000000003E-2</v>
      </c>
      <c r="X6945">
        <v>0.97131880000000004</v>
      </c>
      <c r="Y6945">
        <v>0.47053699999999998</v>
      </c>
      <c r="Z6945">
        <v>-0.1007528</v>
      </c>
      <c r="AA6945">
        <v>0.87660930000000004</v>
      </c>
      <c r="AB6945">
        <v>26</v>
      </c>
      <c r="AC6945">
        <v>7.8355999999999897</v>
      </c>
      <c r="AD6945">
        <v>-1.1047624931269999</v>
      </c>
      <c r="AE6945">
        <v>7.9070000000000098</v>
      </c>
      <c r="AF6945">
        <v>5.27743050003828</v>
      </c>
      <c r="AG6945">
        <v>-1.1047624931269999</v>
      </c>
      <c r="AH6945">
        <v>9.67784060509819</v>
      </c>
      <c r="AI6945">
        <v>95.723140788388307</v>
      </c>
      <c r="AJ6945">
        <v>61.395890507643301</v>
      </c>
      <c r="AK6945">
        <v>11.0784643171624</v>
      </c>
      <c r="AL6945">
        <v>87.268753580181993</v>
      </c>
      <c r="AM6945">
        <v>76.513147095004697</v>
      </c>
      <c r="AN6945">
        <v>0.99999997538257202</v>
      </c>
    </row>
    <row r="6946" spans="1:40" x14ac:dyDescent="0.25">
      <c r="A6946" t="str">
        <f>"20190312151708789"</f>
        <v>20190312151708789</v>
      </c>
      <c r="B6946" t="str">
        <f>"1552375028785371"</f>
        <v>1552375028785371</v>
      </c>
      <c r="C6946" t="s">
        <v>40</v>
      </c>
      <c r="D6946">
        <v>4.3802680000000001</v>
      </c>
      <c r="E6946">
        <v>0.60051730000000003</v>
      </c>
      <c r="F6946" t="s">
        <v>58</v>
      </c>
      <c r="G6946">
        <v>-175.57490000000001</v>
      </c>
      <c r="H6946" s="1">
        <v>-3.4962570000000002E-6</v>
      </c>
      <c r="I6946">
        <v>132.3939</v>
      </c>
      <c r="J6946">
        <v>-183.3639</v>
      </c>
      <c r="K6946">
        <v>1.1046860000000001</v>
      </c>
      <c r="L6946">
        <v>124.6165</v>
      </c>
      <c r="M6946">
        <v>0.28149350000000001</v>
      </c>
      <c r="N6946">
        <v>0</v>
      </c>
      <c r="O6946">
        <v>0.95945550000000002</v>
      </c>
      <c r="P6946">
        <v>0.49878529999999999</v>
      </c>
      <c r="Q6946">
        <v>3.6677599999999998E-2</v>
      </c>
      <c r="R6946">
        <v>0.86594919999999997</v>
      </c>
      <c r="S6946">
        <v>2.1968990000000002</v>
      </c>
      <c r="T6946">
        <v>-0.30997059999999999</v>
      </c>
      <c r="U6946">
        <v>2.2179869999999999</v>
      </c>
      <c r="V6946">
        <v>0.23545969999999999</v>
      </c>
      <c r="W6946">
        <v>4.7603550000000001E-2</v>
      </c>
      <c r="X6946">
        <v>0.97071759999999996</v>
      </c>
      <c r="Y6946">
        <v>0.4715123</v>
      </c>
      <c r="Z6946">
        <v>-0.10182289999999999</v>
      </c>
      <c r="AA6946">
        <v>0.87596130000000005</v>
      </c>
      <c r="AB6946">
        <v>26</v>
      </c>
      <c r="AC6946">
        <v>7.7889999999999802</v>
      </c>
      <c r="AD6946">
        <v>-1.104689496257</v>
      </c>
      <c r="AE6946">
        <v>7.7774000000000001</v>
      </c>
      <c r="AF6946">
        <v>5.2317606398599699</v>
      </c>
      <c r="AG6946">
        <v>-1.104689496257</v>
      </c>
      <c r="AH6946">
        <v>9.5593337020987796</v>
      </c>
      <c r="AI6946">
        <v>95.788432728830799</v>
      </c>
      <c r="AJ6946">
        <v>61.308401337600202</v>
      </c>
      <c r="AK6946">
        <v>10.953196752729699</v>
      </c>
      <c r="AL6946">
        <v>87.271486356715101</v>
      </c>
      <c r="AM6946">
        <v>76.365522829966196</v>
      </c>
      <c r="AN6946">
        <v>1.0000000136232201</v>
      </c>
    </row>
    <row r="6947" spans="1:40" x14ac:dyDescent="0.25">
      <c r="A6947" t="str">
        <f>"20190312151708801"</f>
        <v>20190312151708801</v>
      </c>
      <c r="B6947" t="str">
        <f>"1552375028795132"</f>
        <v>1552375028795132</v>
      </c>
      <c r="C6947" t="s">
        <v>40</v>
      </c>
      <c r="D6947">
        <v>4.3629449999999999</v>
      </c>
      <c r="E6947">
        <v>0.60051730000000003</v>
      </c>
      <c r="F6947" t="s">
        <v>58</v>
      </c>
      <c r="G6947">
        <v>-175.5497</v>
      </c>
      <c r="H6947" s="1">
        <v>-3.487905E-6</v>
      </c>
      <c r="I6947">
        <v>132.417</v>
      </c>
      <c r="J6947">
        <v>-183.3203</v>
      </c>
      <c r="K6947">
        <v>1.1046049999999901</v>
      </c>
      <c r="L6947">
        <v>124.7501</v>
      </c>
      <c r="M6947">
        <v>0.28534150000000003</v>
      </c>
      <c r="N6947">
        <v>0</v>
      </c>
      <c r="O6947">
        <v>0.95831809999999995</v>
      </c>
      <c r="P6947">
        <v>0.50456009999999996</v>
      </c>
      <c r="Q6947">
        <v>3.6929539999999997E-2</v>
      </c>
      <c r="R6947">
        <v>0.86258639999999998</v>
      </c>
      <c r="S6947">
        <v>2.2090610000000002</v>
      </c>
      <c r="T6947">
        <v>-0.31229639999999997</v>
      </c>
      <c r="U6947">
        <v>2.2052149999999999</v>
      </c>
      <c r="V6947">
        <v>0.23806659999999999</v>
      </c>
      <c r="W6947">
        <v>4.7776930000000002E-2</v>
      </c>
      <c r="X6947">
        <v>0.97007299999999996</v>
      </c>
      <c r="Y6947">
        <v>0.47286729999999999</v>
      </c>
      <c r="Z6947">
        <v>-0.10260229999999999</v>
      </c>
      <c r="AA6947">
        <v>0.87513949999999996</v>
      </c>
      <c r="AB6947">
        <v>26</v>
      </c>
      <c r="AC6947">
        <v>7.7706</v>
      </c>
      <c r="AD6947">
        <v>-1.10460848790499</v>
      </c>
      <c r="AE6947">
        <v>7.6668999999999903</v>
      </c>
      <c r="AF6947">
        <v>5.2062565638138301</v>
      </c>
      <c r="AG6947">
        <v>-1.10460848790499</v>
      </c>
      <c r="AH6947">
        <v>9.4686392107610597</v>
      </c>
      <c r="AI6947">
        <v>95.836836417740997</v>
      </c>
      <c r="AJ6947">
        <v>61.196152150040703</v>
      </c>
      <c r="AK6947">
        <v>10.8618780983478</v>
      </c>
      <c r="AL6947">
        <v>87.261541015235096</v>
      </c>
      <c r="AM6947">
        <v>76.211485486493999</v>
      </c>
      <c r="AN6947">
        <v>0.99999998320239203</v>
      </c>
    </row>
    <row r="6948" spans="1:40" x14ac:dyDescent="0.25">
      <c r="A6948" t="str">
        <f>"20190312151708812"</f>
        <v>20190312151708812</v>
      </c>
      <c r="B6948" t="str">
        <f>"1552375028804892"</f>
        <v>1552375028804892</v>
      </c>
      <c r="C6948" t="s">
        <v>40</v>
      </c>
      <c r="D6948">
        <v>4.352646</v>
      </c>
      <c r="E6948">
        <v>0.59301309999999996</v>
      </c>
      <c r="F6948" t="s">
        <v>58</v>
      </c>
      <c r="G6948">
        <v>-175.43170000000001</v>
      </c>
      <c r="H6948" s="1">
        <v>-3.446493E-6</v>
      </c>
      <c r="I6948">
        <v>132.52000000000001</v>
      </c>
      <c r="J6948">
        <v>-183.2783</v>
      </c>
      <c r="K6948">
        <v>1.1045240000000001</v>
      </c>
      <c r="L6948">
        <v>124.87779999999999</v>
      </c>
      <c r="M6948">
        <v>0.2890469</v>
      </c>
      <c r="N6948">
        <v>0</v>
      </c>
      <c r="O6948">
        <v>0.95720680000000002</v>
      </c>
      <c r="P6948">
        <v>0.50995619999999997</v>
      </c>
      <c r="Q6948">
        <v>3.6850590000000003E-2</v>
      </c>
      <c r="R6948">
        <v>0.85941080000000003</v>
      </c>
      <c r="S6948">
        <v>2.2238769999999999</v>
      </c>
      <c r="T6948">
        <v>-0.31140329999999999</v>
      </c>
      <c r="U6948">
        <v>2.1904300000000001</v>
      </c>
      <c r="V6948">
        <v>0.2404009</v>
      </c>
      <c r="W6948">
        <v>4.7624039999999999E-2</v>
      </c>
      <c r="X6948">
        <v>0.9695047</v>
      </c>
      <c r="Y6948">
        <v>0.47535090000000002</v>
      </c>
      <c r="Z6948">
        <v>-0.1023343</v>
      </c>
      <c r="AA6948">
        <v>0.8738245</v>
      </c>
      <c r="AB6948">
        <v>26</v>
      </c>
      <c r="AC6948">
        <v>7.8465999999999898</v>
      </c>
      <c r="AD6948">
        <v>-1.1045274464929999</v>
      </c>
      <c r="AE6948">
        <v>7.6422000000000097</v>
      </c>
      <c r="AF6948">
        <v>5.2490368998406796</v>
      </c>
      <c r="AG6948">
        <v>-1.1045274464929999</v>
      </c>
      <c r="AH6948">
        <v>9.4877142346429402</v>
      </c>
      <c r="AI6948">
        <v>95.816437405030698</v>
      </c>
      <c r="AJ6948">
        <v>61.046627539648597</v>
      </c>
      <c r="AK6948">
        <v>10.899040813493199</v>
      </c>
      <c r="AL6948">
        <v>87.270311003107096</v>
      </c>
      <c r="AM6948">
        <v>76.073677123244906</v>
      </c>
      <c r="AN6948">
        <v>1.00000000261441</v>
      </c>
    </row>
    <row r="6949" spans="1:40" x14ac:dyDescent="0.25">
      <c r="A6949" t="str">
        <f>"20190312151708823"</f>
        <v>20190312151708823</v>
      </c>
      <c r="B6949" t="str">
        <f>"1552375028814652"</f>
        <v>1552375028814652</v>
      </c>
      <c r="C6949" t="s">
        <v>40</v>
      </c>
      <c r="D6949">
        <v>4.2920099999999897</v>
      </c>
      <c r="E6949">
        <v>0.59392180000000006</v>
      </c>
      <c r="F6949" t="s">
        <v>58</v>
      </c>
      <c r="G6949">
        <v>-176.79490000000001</v>
      </c>
      <c r="H6949" s="1">
        <v>-3.9581799999999999E-6</v>
      </c>
      <c r="I6949">
        <v>131.41800000000001</v>
      </c>
      <c r="J6949">
        <v>-183.2379</v>
      </c>
      <c r="K6949">
        <v>1.104449</v>
      </c>
      <c r="L6949">
        <v>124.9975</v>
      </c>
      <c r="M6949">
        <v>0.2926261</v>
      </c>
      <c r="N6949">
        <v>0</v>
      </c>
      <c r="O6949">
        <v>0.95611849999999998</v>
      </c>
      <c r="P6949">
        <v>0.51555329999999999</v>
      </c>
      <c r="Q6949">
        <v>3.705924E-2</v>
      </c>
      <c r="R6949">
        <v>0.85605569999999898</v>
      </c>
      <c r="S6949">
        <v>2.1887819999999998</v>
      </c>
      <c r="T6949">
        <v>-0.37288979999999999</v>
      </c>
      <c r="U6949">
        <v>2.2079620000000002</v>
      </c>
      <c r="V6949">
        <v>0.24311489999999999</v>
      </c>
      <c r="W6949">
        <v>4.7753120000000003E-2</v>
      </c>
      <c r="X6949">
        <v>0.9688213</v>
      </c>
      <c r="Y6949">
        <v>0.45992820000000001</v>
      </c>
      <c r="Z6949">
        <v>-0.1224422</v>
      </c>
      <c r="AA6949">
        <v>0.87947369999999903</v>
      </c>
      <c r="AB6949">
        <v>26</v>
      </c>
      <c r="AC6949">
        <v>6.4429999999999801</v>
      </c>
      <c r="AD6949">
        <v>-1.10445295817999</v>
      </c>
      <c r="AE6949">
        <v>6.4204999999999997</v>
      </c>
      <c r="AF6949">
        <v>4.21969594256203</v>
      </c>
      <c r="AG6949">
        <v>-1.10445295817999</v>
      </c>
      <c r="AH6949">
        <v>7.9083825726618597</v>
      </c>
      <c r="AI6949">
        <v>97.024217342816002</v>
      </c>
      <c r="AJ6949">
        <v>61.916842790775</v>
      </c>
      <c r="AK6949">
        <v>9.0315095692851308</v>
      </c>
      <c r="AL6949">
        <v>87.262906731877393</v>
      </c>
      <c r="AM6949">
        <v>75.913139987951794</v>
      </c>
      <c r="AN6949">
        <v>0.999999963202716</v>
      </c>
    </row>
    <row r="6950" spans="1:40" x14ac:dyDescent="0.25">
      <c r="A6950" t="str">
        <f>"20190312151708836"</f>
        <v>20190312151708836</v>
      </c>
      <c r="B6950" t="str">
        <f>"1552375028825388"</f>
        <v>1552375028825388</v>
      </c>
      <c r="C6950" t="s">
        <v>40</v>
      </c>
      <c r="D6950">
        <v>4.5792080000000004</v>
      </c>
      <c r="E6950">
        <v>0.59392180000000006</v>
      </c>
      <c r="F6950" t="s">
        <v>58</v>
      </c>
      <c r="G6950">
        <v>-176.41909999999999</v>
      </c>
      <c r="H6950" s="1">
        <v>-3.8301769999999998E-6</v>
      </c>
      <c r="I6950">
        <v>131.75620000000001</v>
      </c>
      <c r="J6950">
        <v>-183.19120000000001</v>
      </c>
      <c r="K6950">
        <v>1.1043620000000001</v>
      </c>
      <c r="L6950">
        <v>125.1353</v>
      </c>
      <c r="M6950">
        <v>0.29677389999999998</v>
      </c>
      <c r="N6950">
        <v>0</v>
      </c>
      <c r="O6950">
        <v>0.95483899999999999</v>
      </c>
      <c r="P6950">
        <v>0.52147049999999995</v>
      </c>
      <c r="Q6950">
        <v>3.7334800000000001E-2</v>
      </c>
      <c r="R6950">
        <v>0.85245210000000005</v>
      </c>
      <c r="S6950">
        <v>2.2090450000000001</v>
      </c>
      <c r="T6950">
        <v>-0.3578037</v>
      </c>
      <c r="U6950">
        <v>2.189575</v>
      </c>
      <c r="V6950">
        <v>0.2456383</v>
      </c>
      <c r="W6950">
        <v>4.7944580000000001E-2</v>
      </c>
      <c r="X6950">
        <v>0.96817520000000001</v>
      </c>
      <c r="Y6950">
        <v>0.46423740000000002</v>
      </c>
      <c r="Z6950">
        <v>-0.1175577</v>
      </c>
      <c r="AA6950">
        <v>0.87787459999999995</v>
      </c>
      <c r="AB6950">
        <v>26</v>
      </c>
      <c r="AC6950">
        <v>6.7721000000000204</v>
      </c>
      <c r="AD6950">
        <v>-1.1043658301770001</v>
      </c>
      <c r="AE6950">
        <v>6.6208999999999998</v>
      </c>
      <c r="AF6950">
        <v>4.4414321043748002</v>
      </c>
      <c r="AG6950">
        <v>-1.1043658301770001</v>
      </c>
      <c r="AH6950">
        <v>8.2207634276112298</v>
      </c>
      <c r="AI6950">
        <v>96.740626418843306</v>
      </c>
      <c r="AJ6950">
        <v>61.618976440052599</v>
      </c>
      <c r="AK6950">
        <v>9.4088731715006197</v>
      </c>
      <c r="AL6950">
        <v>87.2519245065333</v>
      </c>
      <c r="AM6950">
        <v>75.763725560634697</v>
      </c>
      <c r="AN6950">
        <v>1.00000003753665</v>
      </c>
    </row>
    <row r="6951" spans="1:40" x14ac:dyDescent="0.25">
      <c r="A6951" t="str">
        <f>"20190312151708846"</f>
        <v>20190312151708846</v>
      </c>
      <c r="B6951" t="str">
        <f>"1552375028835148"</f>
        <v>1552375028835148</v>
      </c>
      <c r="C6951" t="s">
        <v>40</v>
      </c>
      <c r="D6951">
        <v>4.5805769999999999</v>
      </c>
      <c r="E6951">
        <v>0.62559799999999999</v>
      </c>
      <c r="F6951" t="s">
        <v>58</v>
      </c>
      <c r="G6951">
        <v>-176.2955</v>
      </c>
      <c r="H6951" s="1">
        <v>-3.7905579999999999E-6</v>
      </c>
      <c r="I6951">
        <v>131.8741</v>
      </c>
      <c r="J6951">
        <v>-183.1446</v>
      </c>
      <c r="K6951">
        <v>1.1042749999999999</v>
      </c>
      <c r="L6951">
        <v>125.2698</v>
      </c>
      <c r="M6951">
        <v>0.30092269999999999</v>
      </c>
      <c r="N6951">
        <v>0</v>
      </c>
      <c r="O6951">
        <v>0.95353940000000004</v>
      </c>
      <c r="P6951">
        <v>0.52730489999999997</v>
      </c>
      <c r="Q6951">
        <v>3.7429759999999999E-2</v>
      </c>
      <c r="R6951">
        <v>0.84885129999999998</v>
      </c>
      <c r="S6951">
        <v>2.2246250000000001</v>
      </c>
      <c r="T6951">
        <v>-0.35628019999999999</v>
      </c>
      <c r="U6951">
        <v>2.1739809999999999</v>
      </c>
      <c r="V6951">
        <v>0.24808279999999999</v>
      </c>
      <c r="W6951">
        <v>4.795601E-2</v>
      </c>
      <c r="X6951">
        <v>0.9675511</v>
      </c>
      <c r="Y6951">
        <v>0.4666553</v>
      </c>
      <c r="Z6951">
        <v>-0.11707679999999999</v>
      </c>
      <c r="AA6951">
        <v>0.87665609999999905</v>
      </c>
      <c r="AB6951">
        <v>26</v>
      </c>
      <c r="AC6951">
        <v>6.8490999999999902</v>
      </c>
      <c r="AD6951">
        <v>-1.1042787905579901</v>
      </c>
      <c r="AE6951">
        <v>6.6042999999999896</v>
      </c>
      <c r="AF6951">
        <v>4.4835803426623002</v>
      </c>
      <c r="AG6951">
        <v>-1.1042787905579901</v>
      </c>
      <c r="AH6951">
        <v>8.2482726377276308</v>
      </c>
      <c r="AI6951">
        <v>96.708608682067606</v>
      </c>
      <c r="AJ6951">
        <v>61.472465708252102</v>
      </c>
      <c r="AK6951">
        <v>9.4528263415060394</v>
      </c>
      <c r="AL6951">
        <v>87.2512687386469</v>
      </c>
      <c r="AM6951">
        <v>75.619006896459496</v>
      </c>
      <c r="AN6951">
        <v>0.99999999283108498</v>
      </c>
    </row>
    <row r="6952" spans="1:40" x14ac:dyDescent="0.25">
      <c r="A6952" t="str">
        <f>"20190312151708858"</f>
        <v>20190312151708858</v>
      </c>
      <c r="B6952" t="str">
        <f>"1552375028854667"</f>
        <v>1552375028854667</v>
      </c>
      <c r="C6952" t="s">
        <v>40</v>
      </c>
      <c r="D6952">
        <v>4.3510989999999996</v>
      </c>
      <c r="E6952">
        <v>0.64030050000000005</v>
      </c>
      <c r="F6952" t="s">
        <v>58</v>
      </c>
      <c r="G6952">
        <v>-173.78579999999999</v>
      </c>
      <c r="H6952" s="1">
        <v>-2.7847000000000002E-6</v>
      </c>
      <c r="I6952">
        <v>132.99760000000001</v>
      </c>
      <c r="J6952">
        <v>-183.1019</v>
      </c>
      <c r="K6952">
        <v>1.1041939999999999</v>
      </c>
      <c r="L6952">
        <v>125.3916</v>
      </c>
      <c r="M6952">
        <v>0.30473119999999998</v>
      </c>
      <c r="N6952">
        <v>0</v>
      </c>
      <c r="O6952">
        <v>0.95232890000000003</v>
      </c>
      <c r="P6952">
        <v>0.53295930000000002</v>
      </c>
      <c r="Q6952">
        <v>3.7777730000000002E-2</v>
      </c>
      <c r="R6952">
        <v>0.84529719999999997</v>
      </c>
      <c r="S6952">
        <v>2.4513850000000001</v>
      </c>
      <c r="T6952">
        <v>-0.28924699999999998</v>
      </c>
      <c r="U6952">
        <v>2.0241699999999998</v>
      </c>
      <c r="V6952">
        <v>0.25069419999999998</v>
      </c>
      <c r="W6952">
        <v>4.8220359999999997E-2</v>
      </c>
      <c r="X6952">
        <v>0.96686459999999996</v>
      </c>
      <c r="Y6952">
        <v>0.53684960000000004</v>
      </c>
      <c r="Z6952">
        <v>-9.4385150000000001E-2</v>
      </c>
      <c r="AA6952">
        <v>0.83838179999999995</v>
      </c>
      <c r="AB6952">
        <v>26</v>
      </c>
      <c r="AC6952">
        <v>9.3161000000000005</v>
      </c>
      <c r="AD6952">
        <v>-1.1041967847</v>
      </c>
      <c r="AE6952">
        <v>7.6059999999999999</v>
      </c>
      <c r="AF6952">
        <v>6.5000967957595996</v>
      </c>
      <c r="AG6952">
        <v>-1.1041967847</v>
      </c>
      <c r="AH6952">
        <v>9.9990842509185995</v>
      </c>
      <c r="AI6952">
        <v>95.289719484032304</v>
      </c>
      <c r="AJ6952">
        <v>56.973344892138002</v>
      </c>
      <c r="AK6952">
        <v>11.9771530319418</v>
      </c>
      <c r="AL6952">
        <v>87.236104992748096</v>
      </c>
      <c r="AM6952">
        <v>75.464123435131896</v>
      </c>
      <c r="AN6952">
        <v>0.99999996988266404</v>
      </c>
    </row>
    <row r="6953" spans="1:40" x14ac:dyDescent="0.25">
      <c r="A6953" t="str">
        <f>"20190312151708868"</f>
        <v>20190312151708868</v>
      </c>
      <c r="B6953" t="str">
        <f>"1552375028864427"</f>
        <v>1552375028864427</v>
      </c>
      <c r="C6953" t="s">
        <v>40</v>
      </c>
      <c r="D6953">
        <v>4.4014980000000001</v>
      </c>
      <c r="E6953">
        <v>0.64322139999999906</v>
      </c>
      <c r="F6953" t="s">
        <v>58</v>
      </c>
      <c r="G6953">
        <v>-174.31960000000001</v>
      </c>
      <c r="H6953" s="1">
        <v>-2.6621779999999999E-6</v>
      </c>
      <c r="I6953">
        <v>132.05099999999999</v>
      </c>
      <c r="J6953">
        <v>-183.06</v>
      </c>
      <c r="K6953">
        <v>1.104117</v>
      </c>
      <c r="L6953">
        <v>125.5093</v>
      </c>
      <c r="M6953">
        <v>0.30846649999999998</v>
      </c>
      <c r="N6953">
        <v>0</v>
      </c>
      <c r="O6953">
        <v>0.95112540000000001</v>
      </c>
      <c r="P6953">
        <v>0.53840459999999901</v>
      </c>
      <c r="Q6953">
        <v>3.8216779999999999E-2</v>
      </c>
      <c r="R6953">
        <v>0.8418194</v>
      </c>
      <c r="S6953">
        <v>2.565903</v>
      </c>
      <c r="T6953">
        <v>-0.32261060000000003</v>
      </c>
      <c r="U6953">
        <v>1.9456629999999999</v>
      </c>
      <c r="V6953">
        <v>0.25316309999999997</v>
      </c>
      <c r="W6953">
        <v>4.8578990000000002E-2</v>
      </c>
      <c r="X6953">
        <v>0.96620320000000004</v>
      </c>
      <c r="Y6953">
        <v>0.56710709999999998</v>
      </c>
      <c r="Z6953">
        <v>-0.10445160000000001</v>
      </c>
      <c r="AA6953">
        <v>0.816994199999999</v>
      </c>
      <c r="AB6953">
        <v>26</v>
      </c>
      <c r="AC6953">
        <v>8.7403999999999904</v>
      </c>
      <c r="AD6953">
        <v>-1.1041196621780001</v>
      </c>
      <c r="AE6953">
        <v>6.5417000000000103</v>
      </c>
      <c r="AF6953">
        <v>6.2322343778254696</v>
      </c>
      <c r="AG6953">
        <v>-1.1041196621780001</v>
      </c>
      <c r="AH6953">
        <v>8.8287274540425908</v>
      </c>
      <c r="AI6953">
        <v>95.833602988595104</v>
      </c>
      <c r="AJ6953">
        <v>54.781577699271999</v>
      </c>
      <c r="AK6953">
        <v>10.863068352280701</v>
      </c>
      <c r="AL6953">
        <v>87.2155331164263</v>
      </c>
      <c r="AM6953">
        <v>75.317509364142794</v>
      </c>
      <c r="AN6953">
        <v>1.00000004858063</v>
      </c>
    </row>
    <row r="6954" spans="1:40" x14ac:dyDescent="0.25">
      <c r="A6954" t="str">
        <f>"20190312151708879"</f>
        <v>20190312151708879</v>
      </c>
      <c r="B6954" t="str">
        <f>"1552375028875164"</f>
        <v>1552375028875164</v>
      </c>
      <c r="C6954" t="s">
        <v>40</v>
      </c>
      <c r="D6954">
        <v>4.2923910000000003</v>
      </c>
      <c r="E6954">
        <v>0.6447889</v>
      </c>
      <c r="F6954" t="s">
        <v>58</v>
      </c>
      <c r="G6954">
        <v>-174.71960000000001</v>
      </c>
      <c r="H6954" s="1">
        <v>-2.6909820000000001E-6</v>
      </c>
      <c r="I6954">
        <v>131.65940000000001</v>
      </c>
      <c r="J6954">
        <v>-183.01910000000001</v>
      </c>
      <c r="K6954">
        <v>1.1040430000000001</v>
      </c>
      <c r="L6954">
        <v>125.6225</v>
      </c>
      <c r="M6954">
        <v>0.31211630000000001</v>
      </c>
      <c r="N6954">
        <v>0</v>
      </c>
      <c r="O6954">
        <v>0.94993380000000005</v>
      </c>
      <c r="P6954">
        <v>0.5436069</v>
      </c>
      <c r="Q6954">
        <v>3.8619239999999999E-2</v>
      </c>
      <c r="R6954">
        <v>0.83845099999999995</v>
      </c>
      <c r="S6954">
        <v>2.5994419999999998</v>
      </c>
      <c r="T6954">
        <v>-0.34411930000000002</v>
      </c>
      <c r="U6954">
        <v>1.9167940000000001</v>
      </c>
      <c r="V6954">
        <v>0.2554573</v>
      </c>
      <c r="W6954">
        <v>4.8903799999999997E-2</v>
      </c>
      <c r="X6954">
        <v>0.96558270000000002</v>
      </c>
      <c r="Y6954">
        <v>0.57427629999999996</v>
      </c>
      <c r="Z6954">
        <v>-0.111177399999999</v>
      </c>
      <c r="AA6954">
        <v>0.8110773</v>
      </c>
      <c r="AB6954">
        <v>26</v>
      </c>
      <c r="AC6954">
        <v>8.2994999999999894</v>
      </c>
      <c r="AD6954">
        <v>-1.104045690982</v>
      </c>
      <c r="AE6954">
        <v>6.0369000000000002</v>
      </c>
      <c r="AF6954">
        <v>5.9317413724325698</v>
      </c>
      <c r="AG6954">
        <v>-1.104045690982</v>
      </c>
      <c r="AH6954">
        <v>8.2306833008119202</v>
      </c>
      <c r="AI6954">
        <v>96.210602232960497</v>
      </c>
      <c r="AJ6954">
        <v>54.220221008047098</v>
      </c>
      <c r="AK6954">
        <v>10.205323130379901</v>
      </c>
      <c r="AL6954">
        <v>87.196900542907997</v>
      </c>
      <c r="AM6954">
        <v>75.181179435373906</v>
      </c>
      <c r="AN6954">
        <v>0.99999998215850905</v>
      </c>
    </row>
    <row r="6955" spans="1:40" x14ac:dyDescent="0.25">
      <c r="A6955" t="str">
        <f>"20190312151708890"</f>
        <v>20190312151708890</v>
      </c>
      <c r="B6955" t="str">
        <f>"1552375028884923"</f>
        <v>1552375028884923</v>
      </c>
      <c r="C6955" t="s">
        <v>40</v>
      </c>
      <c r="D6955">
        <v>4.2914940000000001</v>
      </c>
      <c r="E6955">
        <v>0.64588849999999998</v>
      </c>
      <c r="F6955" t="s">
        <v>58</v>
      </c>
      <c r="G6955">
        <v>-174.7107</v>
      </c>
      <c r="H6955" s="1">
        <v>-2.6731849999999999E-6</v>
      </c>
      <c r="I6955">
        <v>131.62289999999999</v>
      </c>
      <c r="J6955">
        <v>-182.9716</v>
      </c>
      <c r="K6955">
        <v>1.103955</v>
      </c>
      <c r="L6955">
        <v>125.7526</v>
      </c>
      <c r="M6955">
        <v>0.31636120000000001</v>
      </c>
      <c r="N6955">
        <v>0</v>
      </c>
      <c r="O6955">
        <v>0.94852820000000004</v>
      </c>
      <c r="P6955">
        <v>0.5495371</v>
      </c>
      <c r="Q6955">
        <v>3.9090369999999999E-2</v>
      </c>
      <c r="R6955">
        <v>0.83455429999999997</v>
      </c>
      <c r="S6955">
        <v>2.6223450000000001</v>
      </c>
      <c r="T6955">
        <v>-0.34846510000000003</v>
      </c>
      <c r="U6955">
        <v>1.8938900000000001</v>
      </c>
      <c r="V6955">
        <v>0.2580095</v>
      </c>
      <c r="W6955">
        <v>4.9286719999999999E-2</v>
      </c>
      <c r="X6955">
        <v>0.96488439999999998</v>
      </c>
      <c r="Y6955">
        <v>0.57852859999999995</v>
      </c>
      <c r="Z6955">
        <v>-0.1124879</v>
      </c>
      <c r="AA6955">
        <v>0.80786819999999904</v>
      </c>
      <c r="AB6955">
        <v>26</v>
      </c>
      <c r="AC6955">
        <v>8.2608999999999906</v>
      </c>
      <c r="AD6955">
        <v>-1.103957673185</v>
      </c>
      <c r="AE6955">
        <v>5.8702999999999799</v>
      </c>
      <c r="AF6955">
        <v>5.9090689479347303</v>
      </c>
      <c r="AG6955">
        <v>-1.103957673185</v>
      </c>
      <c r="AH6955">
        <v>8.0864738567237904</v>
      </c>
      <c r="AI6955">
        <v>96.290095850162601</v>
      </c>
      <c r="AJ6955">
        <v>53.8430955286345</v>
      </c>
      <c r="AK6955">
        <v>10.076054674876801</v>
      </c>
      <c r="AL6955">
        <v>87.174934387268905</v>
      </c>
      <c r="AM6955">
        <v>75.029395204682302</v>
      </c>
      <c r="AN6955">
        <v>0.99999999411098395</v>
      </c>
    </row>
    <row r="6956" spans="1:40" x14ac:dyDescent="0.25">
      <c r="A6956" t="str">
        <f>"20190312151708914"</f>
        <v>20190312151708914</v>
      </c>
      <c r="B6956" t="str">
        <f>"1552375028904443"</f>
        <v>1552375028904443</v>
      </c>
      <c r="C6956" t="s">
        <v>40</v>
      </c>
      <c r="D6956">
        <v>4.2653569999999998</v>
      </c>
      <c r="E6956">
        <v>0.6467022</v>
      </c>
      <c r="F6956" t="s">
        <v>58</v>
      </c>
      <c r="G6956">
        <v>-174.6131</v>
      </c>
      <c r="H6956" s="1">
        <v>-2.6465629999999998E-6</v>
      </c>
      <c r="I6956">
        <v>131.66679999999999</v>
      </c>
      <c r="J6956">
        <v>-182.87639999999999</v>
      </c>
      <c r="K6956">
        <v>1.1037729999999999</v>
      </c>
      <c r="L6956">
        <v>126.00700000000001</v>
      </c>
      <c r="M6956">
        <v>0.32488339999999999</v>
      </c>
      <c r="N6956">
        <v>0</v>
      </c>
      <c r="O6956">
        <v>0.94564280000000001</v>
      </c>
      <c r="P6956">
        <v>0.56119459999999999</v>
      </c>
      <c r="Q6956">
        <v>3.9271E-2</v>
      </c>
      <c r="R6956">
        <v>0.82675180000000004</v>
      </c>
      <c r="S6956">
        <v>2.6434169999999999</v>
      </c>
      <c r="T6956">
        <v>-0.34913240000000001</v>
      </c>
      <c r="U6956">
        <v>1.8704069999999999</v>
      </c>
      <c r="V6956">
        <v>0.26289430000000003</v>
      </c>
      <c r="W6956">
        <v>4.9292910000000002E-2</v>
      </c>
      <c r="X6956">
        <v>0.96356459999999999</v>
      </c>
      <c r="Y6956">
        <v>0.57903139999999997</v>
      </c>
      <c r="Z6956">
        <v>-0.1125782</v>
      </c>
      <c r="AA6956">
        <v>0.80749539999999997</v>
      </c>
      <c r="AB6956">
        <v>26</v>
      </c>
      <c r="AC6956">
        <v>8.2632999999999797</v>
      </c>
      <c r="AD6956">
        <v>-1.103775646563</v>
      </c>
      <c r="AE6956">
        <v>5.65979999999999</v>
      </c>
      <c r="AF6956">
        <v>5.9042771799862797</v>
      </c>
      <c r="AG6956">
        <v>-1.103775646563</v>
      </c>
      <c r="AH6956">
        <v>7.9411594642550796</v>
      </c>
      <c r="AI6956">
        <v>96.364594028389803</v>
      </c>
      <c r="AJ6956">
        <v>53.369080677997196</v>
      </c>
      <c r="AK6956">
        <v>9.9569484950350304</v>
      </c>
      <c r="AL6956">
        <v>87.1745792298872</v>
      </c>
      <c r="AM6956">
        <v>74.739128018370295</v>
      </c>
      <c r="AN6956">
        <v>0.99999997116095796</v>
      </c>
    </row>
    <row r="6957" spans="1:40" x14ac:dyDescent="0.25">
      <c r="A6957" t="str">
        <f>"20190312151708927"</f>
        <v>20190312151708927</v>
      </c>
      <c r="B6957" t="str">
        <f>"1552375028915180"</f>
        <v>1552375028915180</v>
      </c>
      <c r="C6957" t="s">
        <v>40</v>
      </c>
      <c r="D6957">
        <v>4.3124469999999997</v>
      </c>
      <c r="E6957">
        <v>0.64660439999999997</v>
      </c>
      <c r="F6957" t="s">
        <v>58</v>
      </c>
      <c r="G6957">
        <v>-174.4718</v>
      </c>
      <c r="H6957" s="1">
        <v>-2.6171490000000002E-6</v>
      </c>
      <c r="I6957">
        <v>131.7544</v>
      </c>
      <c r="J6957">
        <v>-182.8168</v>
      </c>
      <c r="K6957">
        <v>1.1036629999999901</v>
      </c>
      <c r="L6957">
        <v>126.1618</v>
      </c>
      <c r="M6957">
        <v>0.33023200000000003</v>
      </c>
      <c r="N6957">
        <v>0</v>
      </c>
      <c r="O6957">
        <v>0.94378790000000001</v>
      </c>
      <c r="P6957">
        <v>0.56784029999999996</v>
      </c>
      <c r="Q6957">
        <v>3.9616350000000002E-2</v>
      </c>
      <c r="R6957">
        <v>0.8221849</v>
      </c>
      <c r="S6957">
        <v>2.6752319999999998</v>
      </c>
      <c r="T6957">
        <v>-0.35133950000000003</v>
      </c>
      <c r="U6957">
        <v>1.8294220000000001</v>
      </c>
      <c r="V6957">
        <v>0.26523029999999997</v>
      </c>
      <c r="W6957">
        <v>4.9541040000000001E-2</v>
      </c>
      <c r="X6957">
        <v>0.96291150000000003</v>
      </c>
      <c r="Y6957">
        <v>0.58724279999999995</v>
      </c>
      <c r="Z6957">
        <v>-0.11337560000000001</v>
      </c>
      <c r="AA6957">
        <v>0.80143109999999995</v>
      </c>
      <c r="AB6957">
        <v>26</v>
      </c>
      <c r="AC6957">
        <v>8.34499999999999</v>
      </c>
      <c r="AD6957">
        <v>-1.10366561714899</v>
      </c>
      <c r="AE6957">
        <v>5.5926</v>
      </c>
      <c r="AF6957">
        <v>5.9577798496614802</v>
      </c>
      <c r="AG6957">
        <v>-1.10366561714899</v>
      </c>
      <c r="AH6957">
        <v>7.9390371860100704</v>
      </c>
      <c r="AI6957">
        <v>96.344685166393504</v>
      </c>
      <c r="AJ6957">
        <v>53.113930716009698</v>
      </c>
      <c r="AK6957">
        <v>9.98706813696392</v>
      </c>
      <c r="AL6957">
        <v>87.160345095363496</v>
      </c>
      <c r="AM6957">
        <v>74.599984289099595</v>
      </c>
      <c r="AN6957">
        <v>0.99999999175731002</v>
      </c>
    </row>
    <row r="6958" spans="1:40" x14ac:dyDescent="0.25">
      <c r="A6958" t="str">
        <f>"20190312151708940"</f>
        <v>20190312151708940</v>
      </c>
      <c r="B6958" t="str">
        <f>"1552375028934700"</f>
        <v>1552375028934700</v>
      </c>
      <c r="C6958" t="s">
        <v>40</v>
      </c>
      <c r="D6958">
        <v>4.3425250000000002</v>
      </c>
      <c r="E6958">
        <v>0.64650479999999999</v>
      </c>
      <c r="F6958" t="s">
        <v>58</v>
      </c>
      <c r="G6958">
        <v>-174.39709999999999</v>
      </c>
      <c r="H6958" s="1">
        <v>-2.6094500000000001E-6</v>
      </c>
      <c r="I6958">
        <v>131.82140000000001</v>
      </c>
      <c r="J6958">
        <v>-182.76220000000001</v>
      </c>
      <c r="K6958">
        <v>1.1035699999999999</v>
      </c>
      <c r="L6958">
        <v>126.3015</v>
      </c>
      <c r="M6958">
        <v>0.33512360000000002</v>
      </c>
      <c r="N6958">
        <v>0</v>
      </c>
      <c r="O6958">
        <v>0.94206179999999995</v>
      </c>
      <c r="P6958">
        <v>0.57397010000000004</v>
      </c>
      <c r="Q6958">
        <v>3.9639889999999997E-2</v>
      </c>
      <c r="R6958">
        <v>0.81791619999999998</v>
      </c>
      <c r="S6958">
        <v>2.6898499999999999</v>
      </c>
      <c r="T6958">
        <v>-0.352589599999999</v>
      </c>
      <c r="U6958">
        <v>1.8080750000000001</v>
      </c>
      <c r="V6958">
        <v>0.26744590000000001</v>
      </c>
      <c r="W6958">
        <v>4.9477220000000002E-2</v>
      </c>
      <c r="X6958">
        <v>0.96230179999999998</v>
      </c>
      <c r="Y6958">
        <v>0.5894123</v>
      </c>
      <c r="Z6958">
        <v>-0.1138122</v>
      </c>
      <c r="AA6958">
        <v>0.79977489999999996</v>
      </c>
      <c r="AB6958">
        <v>26</v>
      </c>
      <c r="AC6958">
        <v>8.3651000000000106</v>
      </c>
      <c r="AD6958">
        <v>-1.10357260945</v>
      </c>
      <c r="AE6958">
        <v>5.5198999999999998</v>
      </c>
      <c r="AF6958">
        <v>5.95897912682421</v>
      </c>
      <c r="AG6958">
        <v>-1.10357260945</v>
      </c>
      <c r="AH6958">
        <v>7.9083886432936596</v>
      </c>
      <c r="AI6958">
        <v>96.359262455555395</v>
      </c>
      <c r="AJ6958">
        <v>53.001936993030903</v>
      </c>
      <c r="AK6958">
        <v>9.9634289113553205</v>
      </c>
      <c r="AL6958">
        <v>87.164006308901705</v>
      </c>
      <c r="AM6958">
        <v>74.468159352744095</v>
      </c>
      <c r="AN6958">
        <v>1.00000002950448</v>
      </c>
    </row>
    <row r="6959" spans="1:40" x14ac:dyDescent="0.25">
      <c r="A6959" t="str">
        <f>"20190312151708953"</f>
        <v>20190312151708953</v>
      </c>
      <c r="B6959" t="str">
        <f>"1552375028944459"</f>
        <v>1552375028944459</v>
      </c>
      <c r="C6959" t="s">
        <v>40</v>
      </c>
      <c r="D6959">
        <v>4.323315</v>
      </c>
      <c r="E6959">
        <v>0.64643479999999998</v>
      </c>
      <c r="F6959" t="s">
        <v>58</v>
      </c>
      <c r="G6959">
        <v>-174.45949999999999</v>
      </c>
      <c r="H6959" s="1">
        <v>-2.6267260000000001E-6</v>
      </c>
      <c r="I6959">
        <v>131.79399999999899</v>
      </c>
      <c r="J6959">
        <v>-182.70689999999999</v>
      </c>
      <c r="K6959">
        <v>1.10348</v>
      </c>
      <c r="L6959">
        <v>126.4414</v>
      </c>
      <c r="M6959">
        <v>0.3400667</v>
      </c>
      <c r="N6959">
        <v>0</v>
      </c>
      <c r="O6959">
        <v>0.94028849999999997</v>
      </c>
      <c r="P6959">
        <v>0.57987829999999996</v>
      </c>
      <c r="Q6959">
        <v>3.9703370000000002E-2</v>
      </c>
      <c r="R6959">
        <v>0.81373509999999905</v>
      </c>
      <c r="S6959">
        <v>2.7032470000000002</v>
      </c>
      <c r="T6959">
        <v>-0.35931170000000001</v>
      </c>
      <c r="U6959">
        <v>1.788284</v>
      </c>
      <c r="V6959">
        <v>0.26937450000000002</v>
      </c>
      <c r="W6959">
        <v>4.9459589999999998E-2</v>
      </c>
      <c r="X6959">
        <v>0.96176459999999997</v>
      </c>
      <c r="Y6959">
        <v>0.59086590000000005</v>
      </c>
      <c r="Z6959">
        <v>-0.1159761</v>
      </c>
      <c r="AA6959">
        <v>0.7983903</v>
      </c>
      <c r="AB6959">
        <v>26</v>
      </c>
      <c r="AC6959">
        <v>8.2473999999999901</v>
      </c>
      <c r="AD6959">
        <v>-1.1034826267260001</v>
      </c>
      <c r="AE6959">
        <v>5.3525999999999803</v>
      </c>
      <c r="AF6959">
        <v>5.8614915323384098</v>
      </c>
      <c r="AG6959">
        <v>-1.1034826267260001</v>
      </c>
      <c r="AH6959">
        <v>7.7409790142046004</v>
      </c>
      <c r="AI6959">
        <v>96.483647333149094</v>
      </c>
      <c r="AJ6959">
        <v>52.866890014616999</v>
      </c>
      <c r="AK6959">
        <v>9.7722828954915695</v>
      </c>
      <c r="AL6959">
        <v>87.165017613660893</v>
      </c>
      <c r="AM6959">
        <v>74.353311472763906</v>
      </c>
      <c r="AN6959">
        <v>1.00000000905318</v>
      </c>
    </row>
    <row r="6960" spans="1:40" x14ac:dyDescent="0.25">
      <c r="A6960" t="str">
        <f>"20190312151708967"</f>
        <v>20190312151708967</v>
      </c>
      <c r="B6960" t="str">
        <f>"1552375028964956"</f>
        <v>1552375028964956</v>
      </c>
      <c r="C6960" t="s">
        <v>40</v>
      </c>
      <c r="D6960">
        <v>4.3258460000000003</v>
      </c>
      <c r="E6960">
        <v>0.64590499999999995</v>
      </c>
      <c r="F6960" t="s">
        <v>58</v>
      </c>
      <c r="G6960">
        <v>-174.38409999999999</v>
      </c>
      <c r="H6960" s="1">
        <v>-2.6188600000000002E-6</v>
      </c>
      <c r="I6960">
        <v>131.8614</v>
      </c>
      <c r="J6960">
        <v>-182.63849999999999</v>
      </c>
      <c r="K6960">
        <v>1.1033710000000001</v>
      </c>
      <c r="L6960">
        <v>126.6097</v>
      </c>
      <c r="M6960">
        <v>0.34617680000000001</v>
      </c>
      <c r="N6960">
        <v>0</v>
      </c>
      <c r="O6960">
        <v>0.93805590000000005</v>
      </c>
      <c r="P6960">
        <v>0.58896549999999903</v>
      </c>
      <c r="Q6960">
        <v>4.0130720000000002E-2</v>
      </c>
      <c r="R6960">
        <v>0.80716129999999997</v>
      </c>
      <c r="S6960">
        <v>2.7160639999999998</v>
      </c>
      <c r="T6960">
        <v>-0.36011310000000002</v>
      </c>
      <c r="U6960">
        <v>1.7687839999999999</v>
      </c>
      <c r="V6960">
        <v>0.2739279</v>
      </c>
      <c r="W6960">
        <v>4.9743910000000002E-2</v>
      </c>
      <c r="X6960">
        <v>0.96046290000000001</v>
      </c>
      <c r="Y6960">
        <v>0.59135930000000003</v>
      </c>
      <c r="Z6960">
        <v>-0.116221699999999</v>
      </c>
      <c r="AA6960">
        <v>0.79798919999999995</v>
      </c>
      <c r="AB6960">
        <v>26</v>
      </c>
      <c r="AC6960">
        <v>8.2544000000000004</v>
      </c>
      <c r="AD6960">
        <v>-1.1033736188599901</v>
      </c>
      <c r="AE6960">
        <v>5.2516999999999996</v>
      </c>
      <c r="AF6960">
        <v>5.8512781711894899</v>
      </c>
      <c r="AG6960">
        <v>-1.1033736188599901</v>
      </c>
      <c r="AH6960">
        <v>7.6869258172216197</v>
      </c>
      <c r="AI6960">
        <v>96.515764594562498</v>
      </c>
      <c r="AJ6960">
        <v>52.721655288152803</v>
      </c>
      <c r="AK6960">
        <v>9.7233594039767492</v>
      </c>
      <c r="AL6960">
        <v>87.148707079771896</v>
      </c>
      <c r="AM6960">
        <v>74.081636221102798</v>
      </c>
      <c r="AN6960">
        <v>0.99999996662845303</v>
      </c>
    </row>
    <row r="6961" spans="1:40" x14ac:dyDescent="0.25">
      <c r="A6961" t="str">
        <f>"20190312151708979"</f>
        <v>20190312151708979</v>
      </c>
      <c r="B6961" t="str">
        <f>"1552375028974715"</f>
        <v>1552375028974715</v>
      </c>
      <c r="C6961" t="s">
        <v>40</v>
      </c>
      <c r="D6961">
        <v>4.3131250000000003</v>
      </c>
      <c r="E6961">
        <v>0.64561489999999999</v>
      </c>
      <c r="F6961" t="s">
        <v>58</v>
      </c>
      <c r="G6961">
        <v>-174.07820000000001</v>
      </c>
      <c r="H6961" s="1">
        <v>-2.559582E-6</v>
      </c>
      <c r="I6961">
        <v>132.06270000000001</v>
      </c>
      <c r="J6961">
        <v>-182.5874</v>
      </c>
      <c r="K6961">
        <v>1.103291</v>
      </c>
      <c r="L6961">
        <v>126.7336</v>
      </c>
      <c r="M6961">
        <v>0.35073989999999999</v>
      </c>
      <c r="N6961">
        <v>0</v>
      </c>
      <c r="O6961">
        <v>0.93635900000000005</v>
      </c>
      <c r="P6961">
        <v>0.59465040000000002</v>
      </c>
      <c r="Q6961">
        <v>4.0262220000000001E-2</v>
      </c>
      <c r="R6961">
        <v>0.80297559999999901</v>
      </c>
      <c r="S6961">
        <v>2.7323460000000002</v>
      </c>
      <c r="T6961">
        <v>-0.3521823</v>
      </c>
      <c r="U6961">
        <v>1.740524</v>
      </c>
      <c r="V6961">
        <v>0.27604869999999998</v>
      </c>
      <c r="W6961">
        <v>4.979393E-2</v>
      </c>
      <c r="X6961">
        <v>0.95985290000000001</v>
      </c>
      <c r="Y6961">
        <v>0.59570409999999996</v>
      </c>
      <c r="Z6961">
        <v>-0.11383840000000001</v>
      </c>
      <c r="AA6961">
        <v>0.79509589999999997</v>
      </c>
      <c r="AB6961">
        <v>26</v>
      </c>
      <c r="AC6961">
        <v>8.5091999999999892</v>
      </c>
      <c r="AD6961">
        <v>-1.1032935595819999</v>
      </c>
      <c r="AE6961">
        <v>5.3291000000000102</v>
      </c>
      <c r="AF6961">
        <v>6.0264180571185202</v>
      </c>
      <c r="AG6961">
        <v>-1.1032935595819999</v>
      </c>
      <c r="AH6961">
        <v>7.8801624466848601</v>
      </c>
      <c r="AI6961">
        <v>96.346039395680705</v>
      </c>
      <c r="AJ6961">
        <v>52.592755560381498</v>
      </c>
      <c r="AK6961">
        <v>9.9815796076533694</v>
      </c>
      <c r="AL6961">
        <v>87.145837555399297</v>
      </c>
      <c r="AM6961">
        <v>73.955040017856902</v>
      </c>
      <c r="AN6961">
        <v>0.99999995493747096</v>
      </c>
    </row>
    <row r="6962" spans="1:40" x14ac:dyDescent="0.25">
      <c r="A6962" t="str">
        <f>"20190312151708995"</f>
        <v>20190312151708995</v>
      </c>
      <c r="B6962" t="str">
        <f>"1552375028984476"</f>
        <v>1552375028984476</v>
      </c>
      <c r="C6962" t="s">
        <v>40</v>
      </c>
      <c r="D6962">
        <v>4.347931</v>
      </c>
      <c r="E6962">
        <v>0.64504779999999995</v>
      </c>
      <c r="F6962" t="s">
        <v>58</v>
      </c>
      <c r="G6962">
        <v>-173.8193</v>
      </c>
      <c r="H6962" s="1">
        <v>-2.5122709999999999E-6</v>
      </c>
      <c r="I6962">
        <v>132.2405</v>
      </c>
      <c r="J6962">
        <v>-182.5198</v>
      </c>
      <c r="K6962">
        <v>1.1031869999999999</v>
      </c>
      <c r="L6962">
        <v>126.89530000000001</v>
      </c>
      <c r="M6962">
        <v>0.35676669999999999</v>
      </c>
      <c r="N6962">
        <v>0</v>
      </c>
      <c r="O6962">
        <v>0.93407899999999999</v>
      </c>
      <c r="P6962">
        <v>0.60131369999999995</v>
      </c>
      <c r="Q6962">
        <v>4.065796E-2</v>
      </c>
      <c r="R6962">
        <v>0.79797790000000002</v>
      </c>
      <c r="S6962">
        <v>2.7424930000000001</v>
      </c>
      <c r="T6962">
        <v>-0.34509129999999999</v>
      </c>
      <c r="U6962">
        <v>1.722458</v>
      </c>
      <c r="V6962">
        <v>0.27788010000000002</v>
      </c>
      <c r="W6962">
        <v>5.010063E-2</v>
      </c>
      <c r="X6962">
        <v>0.95930839999999995</v>
      </c>
      <c r="Y6962">
        <v>0.59584959999999998</v>
      </c>
      <c r="Z6962">
        <v>-0.11158079999999999</v>
      </c>
      <c r="AA6962">
        <v>0.79530690000000004</v>
      </c>
      <c r="AB6962">
        <v>26</v>
      </c>
      <c r="AC6962">
        <v>8.7004999999999999</v>
      </c>
      <c r="AD6962">
        <v>-1.103189512271</v>
      </c>
      <c r="AE6962">
        <v>5.3451999999999904</v>
      </c>
      <c r="AF6962">
        <v>6.1488615635044201</v>
      </c>
      <c r="AG6962">
        <v>-1.103189512271</v>
      </c>
      <c r="AH6962">
        <v>8.0043283260988698</v>
      </c>
      <c r="AI6962">
        <v>96.237528946139804</v>
      </c>
      <c r="AJ6962">
        <v>52.468815923703197</v>
      </c>
      <c r="AK6962">
        <v>10.1535608324919</v>
      </c>
      <c r="AL6962">
        <v>87.128243150173802</v>
      </c>
      <c r="AM6962">
        <v>73.845435672713606</v>
      </c>
      <c r="AN6962">
        <v>1.00000001470648</v>
      </c>
    </row>
    <row r="6963" spans="1:40" x14ac:dyDescent="0.25">
      <c r="A6963" t="str">
        <f>"20190312151709011"</f>
        <v>20190312151709011</v>
      </c>
      <c r="B6963" t="str">
        <f>"1552375029004971"</f>
        <v>1552375029004971</v>
      </c>
      <c r="C6963" t="s">
        <v>40</v>
      </c>
      <c r="D6963">
        <v>4.4861779999999998</v>
      </c>
      <c r="E6963">
        <v>0.64388509999999999</v>
      </c>
      <c r="F6963" t="s">
        <v>58</v>
      </c>
      <c r="G6963">
        <v>-173.57839999999999</v>
      </c>
      <c r="H6963" s="1">
        <v>-2.4750020000000001E-6</v>
      </c>
      <c r="I6963">
        <v>132.4239</v>
      </c>
      <c r="J6963">
        <v>-182.43639999999999</v>
      </c>
      <c r="K6963">
        <v>1.1030610000000001</v>
      </c>
      <c r="L6963">
        <v>127.09</v>
      </c>
      <c r="M6963">
        <v>0.36418869999999998</v>
      </c>
      <c r="N6963">
        <v>0</v>
      </c>
      <c r="O6963">
        <v>0.93120990000000003</v>
      </c>
      <c r="P6963">
        <v>0.61041559999999995</v>
      </c>
      <c r="Q6963">
        <v>4.0934690000000003E-2</v>
      </c>
      <c r="R6963">
        <v>0.79102289999999997</v>
      </c>
      <c r="S6963">
        <v>2.7530670000000002</v>
      </c>
      <c r="T6963">
        <v>-0.33967389999999997</v>
      </c>
      <c r="U6963">
        <v>1.7022550000000001</v>
      </c>
      <c r="V6963">
        <v>0.28126190000000001</v>
      </c>
      <c r="W6963">
        <v>5.0243500000000003E-2</v>
      </c>
      <c r="X6963">
        <v>0.95831480000000002</v>
      </c>
      <c r="Y6963">
        <v>0.59523459999999995</v>
      </c>
      <c r="Z6963">
        <v>-0.109846</v>
      </c>
      <c r="AA6963">
        <v>0.79600859999999996</v>
      </c>
      <c r="AB6963">
        <v>26</v>
      </c>
      <c r="AC6963">
        <v>8.8580000000000005</v>
      </c>
      <c r="AD6963">
        <v>-1.1030634750020001</v>
      </c>
      <c r="AE6963">
        <v>5.3338999999999999</v>
      </c>
      <c r="AF6963">
        <v>6.2358211379471298</v>
      </c>
      <c r="AG6963">
        <v>-1.1030634750020001</v>
      </c>
      <c r="AH6963">
        <v>8.1016424410221308</v>
      </c>
      <c r="AI6963">
        <v>96.158037755806703</v>
      </c>
      <c r="AJ6963">
        <v>52.414579211859099</v>
      </c>
      <c r="AK6963">
        <v>10.282938516616801</v>
      </c>
      <c r="AL6963">
        <v>87.120046824516805</v>
      </c>
      <c r="AM6963">
        <v>73.643228438346398</v>
      </c>
      <c r="AN6963">
        <v>0.99999996079144904</v>
      </c>
    </row>
    <row r="6964" spans="1:40" x14ac:dyDescent="0.25">
      <c r="A6964" t="str">
        <f>"20190312151709025"</f>
        <v>20190312151709025</v>
      </c>
      <c r="B6964" t="str">
        <f>"1552375029014732"</f>
        <v>1552375029014732</v>
      </c>
      <c r="C6964" t="s">
        <v>40</v>
      </c>
      <c r="D6964">
        <v>4.2996589999999903</v>
      </c>
      <c r="E6964">
        <v>0.64336669999999996</v>
      </c>
      <c r="F6964" t="s">
        <v>58</v>
      </c>
      <c r="G6964">
        <v>-173.20070000000001</v>
      </c>
      <c r="H6964" s="1">
        <v>-2.3793959999999999E-6</v>
      </c>
      <c r="I6964">
        <v>132.68719999999999</v>
      </c>
      <c r="J6964">
        <v>-182.37950000000001</v>
      </c>
      <c r="K6964">
        <v>1.102976</v>
      </c>
      <c r="L6964">
        <v>127.2193</v>
      </c>
      <c r="M6964">
        <v>0.36923410000000001</v>
      </c>
      <c r="N6964">
        <v>0</v>
      </c>
      <c r="O6964">
        <v>0.92922059999999995</v>
      </c>
      <c r="P6964">
        <v>0.61594150000000003</v>
      </c>
      <c r="Q6964">
        <v>4.1115060000000002E-2</v>
      </c>
      <c r="R6964">
        <v>0.78671829999999998</v>
      </c>
      <c r="S6964">
        <v>2.7651669999999999</v>
      </c>
      <c r="T6964">
        <v>-0.33025739999999998</v>
      </c>
      <c r="U6964">
        <v>1.675827</v>
      </c>
      <c r="V6964">
        <v>0.28279470000000001</v>
      </c>
      <c r="W6964">
        <v>5.035017E-2</v>
      </c>
      <c r="X6964">
        <v>0.95785799999999999</v>
      </c>
      <c r="Y6964">
        <v>0.59826559999999995</v>
      </c>
      <c r="Z6964">
        <v>-0.1069895</v>
      </c>
      <c r="AA6964">
        <v>0.79412309999999997</v>
      </c>
      <c r="AB6964">
        <v>26</v>
      </c>
      <c r="AC6964">
        <v>9.1787999999999901</v>
      </c>
      <c r="AD6964">
        <v>-1.102978379396</v>
      </c>
      <c r="AE6964">
        <v>5.4678999999999798</v>
      </c>
      <c r="AF6964">
        <v>6.4422361126256504</v>
      </c>
      <c r="AG6964">
        <v>-1.102978379396</v>
      </c>
      <c r="AH6964">
        <v>8.3815942974768998</v>
      </c>
      <c r="AI6964">
        <v>95.956490692110606</v>
      </c>
      <c r="AJ6964">
        <v>52.453506837890501</v>
      </c>
      <c r="AK6964">
        <v>10.6287388905613</v>
      </c>
      <c r="AL6964">
        <v>87.113927350465801</v>
      </c>
      <c r="AM6964">
        <v>73.551472831970798</v>
      </c>
      <c r="AN6964">
        <v>0.99999996506555799</v>
      </c>
    </row>
    <row r="6965" spans="1:40" x14ac:dyDescent="0.25">
      <c r="A6965" t="str">
        <f>"20190312151709039"</f>
        <v>20190312151709039</v>
      </c>
      <c r="B6965" t="str">
        <f>"1552375029035228"</f>
        <v>1552375029035228</v>
      </c>
      <c r="C6965" t="s">
        <v>40</v>
      </c>
      <c r="D6965">
        <v>4.3140599999999996</v>
      </c>
      <c r="E6965">
        <v>0.64187069999999902</v>
      </c>
      <c r="F6965" t="s">
        <v>58</v>
      </c>
      <c r="G6965">
        <v>-173.00020000000001</v>
      </c>
      <c r="H6965" s="1">
        <v>-2.3277160000000002E-6</v>
      </c>
      <c r="I6965">
        <v>132.82859999999999</v>
      </c>
      <c r="J6965">
        <v>-182.3108</v>
      </c>
      <c r="K6965">
        <v>1.102868</v>
      </c>
      <c r="L6965">
        <v>127.3737</v>
      </c>
      <c r="M6965">
        <v>0.37532019999999999</v>
      </c>
      <c r="N6965">
        <v>0</v>
      </c>
      <c r="O6965">
        <v>0.92677869999999996</v>
      </c>
      <c r="P6965">
        <v>0.62244670000000002</v>
      </c>
      <c r="Q6965">
        <v>4.1515249999999997E-2</v>
      </c>
      <c r="R6965">
        <v>0.78156040000000004</v>
      </c>
      <c r="S6965">
        <v>2.7736510000000001</v>
      </c>
      <c r="T6965">
        <v>-0.32617220000000002</v>
      </c>
      <c r="U6965">
        <v>1.658798</v>
      </c>
      <c r="V6965">
        <v>0.2844875</v>
      </c>
      <c r="W6965">
        <v>5.0664010000000002E-2</v>
      </c>
      <c r="X6965">
        <v>0.95734010000000003</v>
      </c>
      <c r="Y6965">
        <v>0.59781039999999996</v>
      </c>
      <c r="Z6965">
        <v>-0.1056743</v>
      </c>
      <c r="AA6965">
        <v>0.79464190000000001</v>
      </c>
      <c r="AB6965">
        <v>26</v>
      </c>
      <c r="AC6965">
        <v>9.3105999999999902</v>
      </c>
      <c r="AD6965">
        <v>-1.1028703277159999</v>
      </c>
      <c r="AE6965">
        <v>5.4548999999999896</v>
      </c>
      <c r="AF6965">
        <v>6.51419757367717</v>
      </c>
      <c r="AG6965">
        <v>-1.1028703277159999</v>
      </c>
      <c r="AH6965">
        <v>8.4624690367325908</v>
      </c>
      <c r="AI6965">
        <v>95.896117515470195</v>
      </c>
      <c r="AJ6965">
        <v>52.411820863244898</v>
      </c>
      <c r="AK6965">
        <v>10.7361294322635</v>
      </c>
      <c r="AL6965">
        <v>87.095922832291805</v>
      </c>
      <c r="AM6965">
        <v>73.449919280981206</v>
      </c>
      <c r="AN6965">
        <v>1.0000000233167601</v>
      </c>
    </row>
    <row r="6966" spans="1:40" x14ac:dyDescent="0.25">
      <c r="A6966" t="str">
        <f>"20190312151709051"</f>
        <v>20190312151709051</v>
      </c>
      <c r="B6966" t="str">
        <f>"1552375029044988"</f>
        <v>1552375029044988</v>
      </c>
      <c r="C6966" t="s">
        <v>40</v>
      </c>
      <c r="D6966">
        <v>4.3324660000000002</v>
      </c>
      <c r="E6966">
        <v>0.64117489999999999</v>
      </c>
      <c r="F6966" t="s">
        <v>58</v>
      </c>
      <c r="G6966">
        <v>-172.69329999999999</v>
      </c>
      <c r="H6966" s="1">
        <v>-2.2555989999999998E-6</v>
      </c>
      <c r="I6966">
        <v>133.0609</v>
      </c>
      <c r="J6966">
        <v>-182.2484</v>
      </c>
      <c r="K6966">
        <v>1.1027739999999999</v>
      </c>
      <c r="L6966">
        <v>127.51179999999999</v>
      </c>
      <c r="M6966">
        <v>0.38083869999999997</v>
      </c>
      <c r="N6966">
        <v>0</v>
      </c>
      <c r="O6966">
        <v>0.92452429999999997</v>
      </c>
      <c r="P6966">
        <v>0.62819159999999996</v>
      </c>
      <c r="Q6966">
        <v>4.1999599999999998E-2</v>
      </c>
      <c r="R6966">
        <v>0.77692430000000001</v>
      </c>
      <c r="S6966">
        <v>2.778152</v>
      </c>
      <c r="T6966">
        <v>-0.31857960000000002</v>
      </c>
      <c r="U6966">
        <v>1.642822</v>
      </c>
      <c r="V6966">
        <v>0.28586889999999998</v>
      </c>
      <c r="W6966">
        <v>5.1071659999999998E-2</v>
      </c>
      <c r="X6966">
        <v>0.95690679999999995</v>
      </c>
      <c r="Y6966">
        <v>0.5972113</v>
      </c>
      <c r="Z6966">
        <v>-0.1033152</v>
      </c>
      <c r="AA6966">
        <v>0.79540219999999995</v>
      </c>
      <c r="AB6966">
        <v>26</v>
      </c>
      <c r="AC6966">
        <v>9.5551000000000101</v>
      </c>
      <c r="AD6966">
        <v>-1.1027762555989999</v>
      </c>
      <c r="AE6966">
        <v>5.5491000000000099</v>
      </c>
      <c r="AF6966">
        <v>6.6550500460934199</v>
      </c>
      <c r="AG6966">
        <v>-1.1027762555989999</v>
      </c>
      <c r="AH6966">
        <v>8.6836851533717301</v>
      </c>
      <c r="AI6966">
        <v>95.755800039557499</v>
      </c>
      <c r="AJ6966">
        <v>52.533969281916796</v>
      </c>
      <c r="AK6966">
        <v>10.996008113347701</v>
      </c>
      <c r="AL6966">
        <v>87.072535813678698</v>
      </c>
      <c r="AM6966">
        <v>73.366869666699799</v>
      </c>
      <c r="AN6966">
        <v>0.99999998316430205</v>
      </c>
    </row>
    <row r="6967" spans="1:40" x14ac:dyDescent="0.25">
      <c r="A6967" t="str">
        <f>"20190312151709064"</f>
        <v>20190312151709064</v>
      </c>
      <c r="B6967" t="str">
        <f>"1552375029054748"</f>
        <v>1552375029054748</v>
      </c>
      <c r="C6967" t="s">
        <v>40</v>
      </c>
      <c r="D6967">
        <v>4.2910550000000001</v>
      </c>
      <c r="E6967">
        <v>0.64073219999999997</v>
      </c>
      <c r="F6967" t="s">
        <v>58</v>
      </c>
      <c r="G6967">
        <v>-172.48920000000001</v>
      </c>
      <c r="H6967" s="1">
        <v>-2.2036069999999999E-6</v>
      </c>
      <c r="I6967">
        <v>133.2063</v>
      </c>
      <c r="J6967">
        <v>-182.18799999999999</v>
      </c>
      <c r="K6967">
        <v>1.102687</v>
      </c>
      <c r="L6967">
        <v>127.6422</v>
      </c>
      <c r="M6967">
        <v>0.38616349999999999</v>
      </c>
      <c r="N6967">
        <v>0</v>
      </c>
      <c r="O6967">
        <v>0.92231260000000004</v>
      </c>
      <c r="P6967">
        <v>0.6337969</v>
      </c>
      <c r="Q6967">
        <v>4.2482020000000002E-2</v>
      </c>
      <c r="R6967">
        <v>0.77233209999999997</v>
      </c>
      <c r="S6967">
        <v>2.7860719999999999</v>
      </c>
      <c r="T6967">
        <v>-0.3148205</v>
      </c>
      <c r="U6967">
        <v>1.6256710000000001</v>
      </c>
      <c r="V6967">
        <v>0.287305599999999</v>
      </c>
      <c r="W6967">
        <v>5.1479289999999997E-2</v>
      </c>
      <c r="X6967">
        <v>0.95645460000000004</v>
      </c>
      <c r="Y6967">
        <v>0.59734390000000004</v>
      </c>
      <c r="Z6967">
        <v>-0.1021258</v>
      </c>
      <c r="AA6967">
        <v>0.79545619999999995</v>
      </c>
      <c r="AB6967">
        <v>26</v>
      </c>
      <c r="AC6967">
        <v>9.6987999999999701</v>
      </c>
      <c r="AD6967">
        <v>-1.102689203607</v>
      </c>
      <c r="AE6967">
        <v>5.5640999999999901</v>
      </c>
      <c r="AF6967">
        <v>6.73194080087071</v>
      </c>
      <c r="AG6967">
        <v>-1.102689203607</v>
      </c>
      <c r="AH6967">
        <v>8.7926149562328995</v>
      </c>
      <c r="AI6967">
        <v>95.686560932895404</v>
      </c>
      <c r="AJ6967">
        <v>52.561038253313903</v>
      </c>
      <c r="AK6967">
        <v>11.128568110711701</v>
      </c>
      <c r="AL6967">
        <v>87.049149660553297</v>
      </c>
      <c r="AM6967">
        <v>73.280466289859604</v>
      </c>
      <c r="AN6967">
        <v>1.0000000134757101</v>
      </c>
    </row>
    <row r="6968" spans="1:40" x14ac:dyDescent="0.25">
      <c r="A6968" t="str">
        <f>"20190312151709077"</f>
        <v>20190312151709077</v>
      </c>
      <c r="B6968" t="str">
        <f>"1552375029065484"</f>
        <v>1552375029065484</v>
      </c>
      <c r="C6968" t="s">
        <v>40</v>
      </c>
      <c r="D6968">
        <v>4.3002339999999997</v>
      </c>
      <c r="E6968">
        <v>0.64012230000000003</v>
      </c>
      <c r="F6968" t="s">
        <v>58</v>
      </c>
      <c r="G6968">
        <v>-172.44220000000001</v>
      </c>
      <c r="H6968" s="1">
        <v>-2.1946309999999999E-6</v>
      </c>
      <c r="I6968">
        <v>133.2465</v>
      </c>
      <c r="J6968">
        <v>-182.1234</v>
      </c>
      <c r="K6968">
        <v>1.102592</v>
      </c>
      <c r="L6968">
        <v>127.7801</v>
      </c>
      <c r="M6968">
        <v>0.39184170000000001</v>
      </c>
      <c r="N6968">
        <v>0</v>
      </c>
      <c r="O6968">
        <v>0.91991420000000002</v>
      </c>
      <c r="P6968">
        <v>0.6395554</v>
      </c>
      <c r="Q6968">
        <v>4.3033750000000003E-2</v>
      </c>
      <c r="R6968">
        <v>0.76753959999999999</v>
      </c>
      <c r="S6968">
        <v>2.7955930000000002</v>
      </c>
      <c r="T6968">
        <v>-0.31630649999999999</v>
      </c>
      <c r="U6968">
        <v>1.607605</v>
      </c>
      <c r="V6968">
        <v>0.28859770000000001</v>
      </c>
      <c r="W6968">
        <v>5.195549E-2</v>
      </c>
      <c r="X6968">
        <v>0.95603970000000005</v>
      </c>
      <c r="Y6968">
        <v>0.59740319999999902</v>
      </c>
      <c r="Z6968">
        <v>-0.1025831</v>
      </c>
      <c r="AA6968">
        <v>0.79535279999999997</v>
      </c>
      <c r="AB6968">
        <v>26</v>
      </c>
      <c r="AC6968">
        <v>9.6811999999999898</v>
      </c>
      <c r="AD6968">
        <v>-1.1025941946310001</v>
      </c>
      <c r="AE6968">
        <v>5.4663999999999904</v>
      </c>
      <c r="AF6968">
        <v>6.6987627263090097</v>
      </c>
      <c r="AG6968">
        <v>-1.1025941946310001</v>
      </c>
      <c r="AH6968">
        <v>8.7371459003444691</v>
      </c>
      <c r="AI6968">
        <v>95.7190169817179</v>
      </c>
      <c r="AJ6968">
        <v>52.5226466640014</v>
      </c>
      <c r="AK6968">
        <v>11.0646669405512</v>
      </c>
      <c r="AL6968">
        <v>87.021828679367204</v>
      </c>
      <c r="AM6968">
        <v>73.202620081676898</v>
      </c>
      <c r="AN6968">
        <v>0.99999995668125896</v>
      </c>
    </row>
    <row r="6969" spans="1:40" x14ac:dyDescent="0.25">
      <c r="A6969" t="str">
        <f>"20190312151709091"</f>
        <v>20190312151709091</v>
      </c>
      <c r="B6969" t="str">
        <f>"1552375029085005"</f>
        <v>1552375029085005</v>
      </c>
      <c r="C6969" t="s">
        <v>40</v>
      </c>
      <c r="D6969">
        <v>4.2775780000000001</v>
      </c>
      <c r="E6969">
        <v>0.62347969999999997</v>
      </c>
      <c r="F6969" t="s">
        <v>58</v>
      </c>
      <c r="G6969">
        <v>-172.40549999999999</v>
      </c>
      <c r="H6969" s="1">
        <v>-2.1925129999999999E-6</v>
      </c>
      <c r="I6969">
        <v>133.28899999999999</v>
      </c>
      <c r="J6969">
        <v>-182.04920000000001</v>
      </c>
      <c r="K6969">
        <v>1.1024890000000001</v>
      </c>
      <c r="L6969">
        <v>127.9357</v>
      </c>
      <c r="M6969">
        <v>0.39834960000000003</v>
      </c>
      <c r="N6969">
        <v>0</v>
      </c>
      <c r="O6969">
        <v>0.9171144</v>
      </c>
      <c r="P6969">
        <v>0.6472601</v>
      </c>
      <c r="Q6969">
        <v>4.4106810000000003E-2</v>
      </c>
      <c r="R6969">
        <v>0.76099220000000001</v>
      </c>
      <c r="S6969">
        <v>2.8043209999999998</v>
      </c>
      <c r="T6969">
        <v>-0.3181776</v>
      </c>
      <c r="U6969">
        <v>1.5897059999999901</v>
      </c>
      <c r="V6969">
        <v>0.29151969999999999</v>
      </c>
      <c r="W6969">
        <v>5.2910230000000003E-2</v>
      </c>
      <c r="X6969">
        <v>0.95510039999999996</v>
      </c>
      <c r="Y6969">
        <v>0.59658429999999996</v>
      </c>
      <c r="Z6969">
        <v>-0.1031432</v>
      </c>
      <c r="AA6969">
        <v>0.79589489999999996</v>
      </c>
      <c r="AB6969">
        <v>26</v>
      </c>
      <c r="AC6969">
        <v>9.6437000000000204</v>
      </c>
      <c r="AD6969">
        <v>-1.1024911925130001</v>
      </c>
      <c r="AE6969">
        <v>5.3532999999999902</v>
      </c>
      <c r="AF6969">
        <v>6.64622344449762</v>
      </c>
      <c r="AG6969">
        <v>-1.1024911925130001</v>
      </c>
      <c r="AH6969">
        <v>8.6655330551014007</v>
      </c>
      <c r="AI6969">
        <v>95.764672300157997</v>
      </c>
      <c r="AJ6969">
        <v>52.512794684668698</v>
      </c>
      <c r="AK6969">
        <v>10.9763033865146</v>
      </c>
      <c r="AL6969">
        <v>86.967050887217496</v>
      </c>
      <c r="AM6969">
        <v>73.026545452252094</v>
      </c>
      <c r="AN6969">
        <v>1.00000000100345</v>
      </c>
    </row>
    <row r="6970" spans="1:40" x14ac:dyDescent="0.25">
      <c r="A6970" t="str">
        <f>"20190312151709105"</f>
        <v>20190312151709105</v>
      </c>
      <c r="B6970" t="str">
        <f>"1552375029094764"</f>
        <v>1552375029094764</v>
      </c>
      <c r="C6970" t="s">
        <v>40</v>
      </c>
      <c r="D6970">
        <v>4.3120289999999999</v>
      </c>
      <c r="E6970">
        <v>0.62314619999999998</v>
      </c>
      <c r="F6970" t="s">
        <v>58</v>
      </c>
      <c r="G6970">
        <v>-174.99289999999999</v>
      </c>
      <c r="H6970" s="1">
        <v>-3.0261920000000001E-6</v>
      </c>
      <c r="I6970">
        <v>132.2013</v>
      </c>
      <c r="J6970">
        <v>-181.97829999999999</v>
      </c>
      <c r="K6970">
        <v>1.1023909999999999</v>
      </c>
      <c r="L6970">
        <v>128.08070000000001</v>
      </c>
      <c r="M6970">
        <v>0.40453909999999998</v>
      </c>
      <c r="N6970">
        <v>0</v>
      </c>
      <c r="O6970">
        <v>0.91440069999999996</v>
      </c>
      <c r="P6970">
        <v>0.65352919999999903</v>
      </c>
      <c r="Q6970">
        <v>4.4712219999999997E-2</v>
      </c>
      <c r="R6970">
        <v>0.75557949999999996</v>
      </c>
      <c r="S6970">
        <v>2.7262879999999998</v>
      </c>
      <c r="T6970">
        <v>-0.42595859999999902</v>
      </c>
      <c r="U6970">
        <v>1.6480870000000001</v>
      </c>
      <c r="V6970">
        <v>0.29299940000000002</v>
      </c>
      <c r="W6970">
        <v>5.3435910000000003E-2</v>
      </c>
      <c r="X6970">
        <v>0.95461819999999997</v>
      </c>
      <c r="Y6970">
        <v>0.56466590000000005</v>
      </c>
      <c r="Z6970">
        <v>-0.1380122</v>
      </c>
      <c r="AA6970">
        <v>0.81369840000000004</v>
      </c>
      <c r="AB6970">
        <v>26</v>
      </c>
      <c r="AC6970">
        <v>6.9853999999999896</v>
      </c>
      <c r="AD6970">
        <v>-1.102394026192</v>
      </c>
      <c r="AE6970">
        <v>4.1205999999999898</v>
      </c>
      <c r="AF6970">
        <v>4.6353848106263102</v>
      </c>
      <c r="AG6970">
        <v>-1.102394026192</v>
      </c>
      <c r="AH6970">
        <v>6.4748404455358903</v>
      </c>
      <c r="AI6970">
        <v>97.881842113187901</v>
      </c>
      <c r="AJ6970">
        <v>54.400852157017603</v>
      </c>
      <c r="AK6970">
        <v>8.0390063892695292</v>
      </c>
      <c r="AL6970">
        <v>86.936888896145803</v>
      </c>
      <c r="AM6970">
        <v>72.937264913383103</v>
      </c>
      <c r="AN6970">
        <v>0.99999997632456294</v>
      </c>
    </row>
    <row r="6971" spans="1:40" x14ac:dyDescent="0.25">
      <c r="A6971" t="str">
        <f>"20190312151709125"</f>
        <v>20190312151709125</v>
      </c>
      <c r="B6971" t="str">
        <f>"1552375029115260"</f>
        <v>1552375029115260</v>
      </c>
      <c r="C6971" t="s">
        <v>40</v>
      </c>
      <c r="D6971">
        <v>4.2719769999999997</v>
      </c>
      <c r="E6971">
        <v>0.62269659999999905</v>
      </c>
      <c r="F6971" t="s">
        <v>58</v>
      </c>
      <c r="G6971">
        <v>-174.858</v>
      </c>
      <c r="H6971" s="1">
        <v>-2.9997139999999998E-6</v>
      </c>
      <c r="I6971">
        <v>132.31120000000001</v>
      </c>
      <c r="J6971">
        <v>-181.87440000000001</v>
      </c>
      <c r="K6971">
        <v>1.102257</v>
      </c>
      <c r="L6971">
        <v>128.28919999999999</v>
      </c>
      <c r="M6971">
        <v>0.41356890000000002</v>
      </c>
      <c r="N6971">
        <v>0</v>
      </c>
      <c r="O6971">
        <v>0.91035180000000004</v>
      </c>
      <c r="P6971">
        <v>0.66274390000000005</v>
      </c>
      <c r="Q6971">
        <v>4.5807979999999998E-2</v>
      </c>
      <c r="R6971">
        <v>0.74744390000000005</v>
      </c>
      <c r="S6971">
        <v>2.738388</v>
      </c>
      <c r="T6971">
        <v>-0.42396830000000002</v>
      </c>
      <c r="U6971">
        <v>1.6270290000000001</v>
      </c>
      <c r="V6971">
        <v>0.29532269999999999</v>
      </c>
      <c r="W6971">
        <v>5.4412490000000001E-2</v>
      </c>
      <c r="X6971">
        <v>0.95384679999999999</v>
      </c>
      <c r="Y6971">
        <v>0.56283369999999999</v>
      </c>
      <c r="Z6971">
        <v>-0.13716989999999901</v>
      </c>
      <c r="AA6971">
        <v>0.81510899999999997</v>
      </c>
      <c r="AB6971">
        <v>26</v>
      </c>
      <c r="AC6971">
        <v>7.0164</v>
      </c>
      <c r="AD6971">
        <v>-1.1022599997139999</v>
      </c>
      <c r="AE6971">
        <v>4.0220000000000198</v>
      </c>
      <c r="AF6971">
        <v>4.6383771521252104</v>
      </c>
      <c r="AG6971">
        <v>-1.1022599997139999</v>
      </c>
      <c r="AH6971">
        <v>6.4442163897203901</v>
      </c>
      <c r="AI6971">
        <v>97.903567139162902</v>
      </c>
      <c r="AJ6971">
        <v>54.254654824428499</v>
      </c>
      <c r="AK6971">
        <v>8.0160741382466991</v>
      </c>
      <c r="AL6971">
        <v>86.880853421424007</v>
      </c>
      <c r="AM6971">
        <v>72.796832128033401</v>
      </c>
      <c r="AN6971">
        <v>0.99999996703676397</v>
      </c>
    </row>
    <row r="6972" spans="1:40" x14ac:dyDescent="0.25">
      <c r="A6972" t="str">
        <f>"20190312151709139"</f>
        <v>20190312151709139</v>
      </c>
      <c r="B6972" t="str">
        <f>"1552375029134779"</f>
        <v>1552375029134779</v>
      </c>
      <c r="C6972" t="s">
        <v>40</v>
      </c>
      <c r="D6972">
        <v>4.2984309999999999</v>
      </c>
      <c r="E6972">
        <v>0.64788990000000002</v>
      </c>
      <c r="F6972" t="s">
        <v>58</v>
      </c>
      <c r="G6972">
        <v>-174.49440000000001</v>
      </c>
      <c r="H6972" s="1">
        <v>-2.9336160000000002E-6</v>
      </c>
      <c r="I6972">
        <v>132.56200000000001</v>
      </c>
      <c r="J6972">
        <v>-181.80359999999999</v>
      </c>
      <c r="K6972">
        <v>1.1021669999999999</v>
      </c>
      <c r="L6972">
        <v>128.4281</v>
      </c>
      <c r="M6972">
        <v>0.41968359999999899</v>
      </c>
      <c r="N6972">
        <v>0</v>
      </c>
      <c r="O6972">
        <v>0.90754860000000004</v>
      </c>
      <c r="P6972">
        <v>0.66885890000000003</v>
      </c>
      <c r="Q6972">
        <v>4.6337339999999998E-2</v>
      </c>
      <c r="R6972">
        <v>0.74194380000000004</v>
      </c>
      <c r="S6972">
        <v>2.7557070000000001</v>
      </c>
      <c r="T6972">
        <v>-0.4115876</v>
      </c>
      <c r="U6972">
        <v>1.5954740000000001</v>
      </c>
      <c r="V6972">
        <v>0.2967745</v>
      </c>
      <c r="W6972">
        <v>5.4866709999999999E-2</v>
      </c>
      <c r="X6972">
        <v>0.9533701</v>
      </c>
      <c r="Y6972">
        <v>0.56698700000000002</v>
      </c>
      <c r="Z6972">
        <v>-0.13329779999999999</v>
      </c>
      <c r="AA6972">
        <v>0.81286990000000003</v>
      </c>
      <c r="AB6972">
        <v>26</v>
      </c>
      <c r="AC6972">
        <v>7.3091999999999704</v>
      </c>
      <c r="AD6972">
        <v>-1.10216993361599</v>
      </c>
      <c r="AE6972">
        <v>4.1339000000000103</v>
      </c>
      <c r="AF6972">
        <v>4.8160963408830098</v>
      </c>
      <c r="AG6972">
        <v>-1.10216993361599</v>
      </c>
      <c r="AH6972">
        <v>6.7045181920196804</v>
      </c>
      <c r="AI6972">
        <v>97.604876833668399</v>
      </c>
      <c r="AJ6972">
        <v>54.308954673893403</v>
      </c>
      <c r="AK6972">
        <v>8.3282727329474895</v>
      </c>
      <c r="AL6972">
        <v>86.854789710949703</v>
      </c>
      <c r="AM6972">
        <v>72.709161331440498</v>
      </c>
      <c r="AN6972">
        <v>1.0000000036452401</v>
      </c>
    </row>
    <row r="6973" spans="1:40" x14ac:dyDescent="0.25">
      <c r="A6973" t="str">
        <f>"20190312151709150"</f>
        <v>20190312151709150</v>
      </c>
      <c r="B6973" t="str">
        <f>"1552375029144539"</f>
        <v>1552375029144539</v>
      </c>
      <c r="C6973" t="s">
        <v>40</v>
      </c>
      <c r="D6973">
        <v>4.2758089999999997</v>
      </c>
      <c r="E6973">
        <v>0.65516099999999999</v>
      </c>
      <c r="F6973" t="s">
        <v>58</v>
      </c>
      <c r="G6973">
        <v>-173.64830000000001</v>
      </c>
      <c r="H6973" s="1">
        <v>-2.515074E-6</v>
      </c>
      <c r="I6973">
        <v>132.4478</v>
      </c>
      <c r="J6973">
        <v>-181.73679999999999</v>
      </c>
      <c r="K6973">
        <v>1.1020890000000001</v>
      </c>
      <c r="L6973">
        <v>128.5573</v>
      </c>
      <c r="M6973">
        <v>0.42543069999999999</v>
      </c>
      <c r="N6973">
        <v>0</v>
      </c>
      <c r="O6973">
        <v>0.90486849999999996</v>
      </c>
      <c r="P6973">
        <v>0.67454720000000001</v>
      </c>
      <c r="Q6973">
        <v>4.7032369999999997E-2</v>
      </c>
      <c r="R6973">
        <v>0.73673199999999905</v>
      </c>
      <c r="S6973">
        <v>2.9174500000000001</v>
      </c>
      <c r="T6973">
        <v>-0.39428560000000001</v>
      </c>
      <c r="U6973">
        <v>1.4379879999999901</v>
      </c>
      <c r="V6973">
        <v>0.2981066</v>
      </c>
      <c r="W6973">
        <v>5.5493269999999997E-2</v>
      </c>
      <c r="X6973">
        <v>0.95291809999999999</v>
      </c>
      <c r="Y6973">
        <v>0.61594530000000003</v>
      </c>
      <c r="Z6973">
        <v>-0.1267529</v>
      </c>
      <c r="AA6973">
        <v>0.77752489999999996</v>
      </c>
      <c r="AB6973">
        <v>26</v>
      </c>
      <c r="AC6973">
        <v>8.0884999999999803</v>
      </c>
      <c r="AD6973">
        <v>-1.1020915150739901</v>
      </c>
      <c r="AE6973">
        <v>3.8904999999999998</v>
      </c>
      <c r="AF6973">
        <v>5.58038292141359</v>
      </c>
      <c r="AG6973">
        <v>-1.1020915150739901</v>
      </c>
      <c r="AH6973">
        <v>6.8588476905030804</v>
      </c>
      <c r="AI6973">
        <v>97.104706033811496</v>
      </c>
      <c r="AJ6973">
        <v>50.868075190160802</v>
      </c>
      <c r="AK6973">
        <v>8.9106156296140497</v>
      </c>
      <c r="AL6973">
        <v>86.818835602191996</v>
      </c>
      <c r="AM6973">
        <v>72.628465073072903</v>
      </c>
      <c r="AN6973">
        <v>0.99999997664323104</v>
      </c>
    </row>
    <row r="6974" spans="1:40" x14ac:dyDescent="0.25">
      <c r="A6974" t="str">
        <f>"20190312151709162"</f>
        <v>20190312151709162</v>
      </c>
      <c r="B6974" t="str">
        <f>"1552375029155275"</f>
        <v>1552375029155275</v>
      </c>
      <c r="C6974" t="s">
        <v>40</v>
      </c>
      <c r="D6974">
        <v>4.2900489999999998</v>
      </c>
      <c r="E6974">
        <v>0.65857919999999903</v>
      </c>
      <c r="F6974" t="s">
        <v>58</v>
      </c>
      <c r="G6974">
        <v>-173.4802</v>
      </c>
      <c r="H6974" s="1">
        <v>-2.4028600000000001E-6</v>
      </c>
      <c r="I6974">
        <v>132.38030000000001</v>
      </c>
      <c r="J6974">
        <v>-181.67930000000001</v>
      </c>
      <c r="K6974">
        <v>1.1020270000000001</v>
      </c>
      <c r="L6974">
        <v>128.66589999999999</v>
      </c>
      <c r="M6974">
        <v>0.43033890000000002</v>
      </c>
      <c r="N6974">
        <v>0</v>
      </c>
      <c r="O6974">
        <v>0.90254429999999997</v>
      </c>
      <c r="P6974">
        <v>0.67987050000000004</v>
      </c>
      <c r="Q6974">
        <v>4.7694319999999998E-2</v>
      </c>
      <c r="R6974">
        <v>0.73177959999999997</v>
      </c>
      <c r="S6974">
        <v>2.9720610000000001</v>
      </c>
      <c r="T6974">
        <v>-0.39671440000000002</v>
      </c>
      <c r="U6974">
        <v>1.37616</v>
      </c>
      <c r="V6974">
        <v>0.29987999999999998</v>
      </c>
      <c r="W6974">
        <v>5.608411E-2</v>
      </c>
      <c r="X6974">
        <v>0.95232689999999998</v>
      </c>
      <c r="Y6974">
        <v>0.63044540000000004</v>
      </c>
      <c r="Z6974">
        <v>-0.1271282</v>
      </c>
      <c r="AA6974">
        <v>0.76575260000000001</v>
      </c>
      <c r="AB6974">
        <v>26</v>
      </c>
      <c r="AC6974">
        <v>8.1991000000000103</v>
      </c>
      <c r="AD6974">
        <v>-1.10202940286</v>
      </c>
      <c r="AE6974">
        <v>3.7144000000000101</v>
      </c>
      <c r="AF6974">
        <v>5.71655728798157</v>
      </c>
      <c r="AG6974">
        <v>-1.10202940286</v>
      </c>
      <c r="AH6974">
        <v>6.7799398458957896</v>
      </c>
      <c r="AI6974">
        <v>97.083618316796404</v>
      </c>
      <c r="AJ6974">
        <v>49.863835677914899</v>
      </c>
      <c r="AK6974">
        <v>8.9365026909585108</v>
      </c>
      <c r="AL6974">
        <v>86.784930179010303</v>
      </c>
      <c r="AM6974">
        <v>72.521208909457499</v>
      </c>
      <c r="AN6974">
        <v>0.99999998312905003</v>
      </c>
    </row>
    <row r="6975" spans="1:40" x14ac:dyDescent="0.25">
      <c r="A6975" t="str">
        <f>"20190312151709171"</f>
        <v>20190312151709171</v>
      </c>
      <c r="B6975" t="str">
        <f>"1552375029165035"</f>
        <v>1552375029165035</v>
      </c>
      <c r="C6975" t="s">
        <v>40</v>
      </c>
      <c r="D6975">
        <v>4.2416720000000003</v>
      </c>
      <c r="E6975">
        <v>0.65996639999999995</v>
      </c>
      <c r="F6975" t="s">
        <v>58</v>
      </c>
      <c r="G6975">
        <v>-173.2629</v>
      </c>
      <c r="H6975" s="1">
        <v>-2.2927020000000001E-6</v>
      </c>
      <c r="I6975">
        <v>132.41139999999999</v>
      </c>
      <c r="J6975">
        <v>-181.6182</v>
      </c>
      <c r="K6975">
        <v>1.1019680000000001</v>
      </c>
      <c r="L6975">
        <v>128.78100000000001</v>
      </c>
      <c r="M6975">
        <v>0.43554730000000003</v>
      </c>
      <c r="N6975">
        <v>0</v>
      </c>
      <c r="O6975">
        <v>0.90004200000000001</v>
      </c>
      <c r="P6975">
        <v>0.6852123</v>
      </c>
      <c r="Q6975">
        <v>4.8233900000000003E-2</v>
      </c>
      <c r="R6975">
        <v>0.72674450000000002</v>
      </c>
      <c r="S6975">
        <v>3.0021360000000001</v>
      </c>
      <c r="T6975">
        <v>-0.39309359999999999</v>
      </c>
      <c r="U6975">
        <v>1.336014</v>
      </c>
      <c r="V6975">
        <v>0.30138799999999999</v>
      </c>
      <c r="W6975">
        <v>5.6556849999999999E-2</v>
      </c>
      <c r="X6975">
        <v>0.95182279999999997</v>
      </c>
      <c r="Y6975">
        <v>0.63756659999999998</v>
      </c>
      <c r="Z6975">
        <v>-0.1257702</v>
      </c>
      <c r="AA6975">
        <v>0.7600597</v>
      </c>
      <c r="AB6975">
        <v>26</v>
      </c>
      <c r="AC6975">
        <v>8.3552999999999997</v>
      </c>
      <c r="AD6975">
        <v>-1.1019702927020001</v>
      </c>
      <c r="AE6975">
        <v>3.6303999999999799</v>
      </c>
      <c r="AF6975">
        <v>5.8539164772394603</v>
      </c>
      <c r="AG6975">
        <v>-1.1019702927020001</v>
      </c>
      <c r="AH6975">
        <v>6.8077978180890897</v>
      </c>
      <c r="AI6975">
        <v>96.9971229948531</v>
      </c>
      <c r="AJ6975">
        <v>49.308289494796803</v>
      </c>
      <c r="AK6975">
        <v>9.0459265849592203</v>
      </c>
      <c r="AL6975">
        <v>86.757801240759207</v>
      </c>
      <c r="AM6975">
        <v>72.429975115777097</v>
      </c>
      <c r="AN6975">
        <v>1.0000000232128801</v>
      </c>
    </row>
    <row r="6976" spans="1:40" x14ac:dyDescent="0.25">
      <c r="A6976" t="str">
        <f>"20190312151709182"</f>
        <v>20190312151709182</v>
      </c>
      <c r="B6976" t="str">
        <f>"1552375029174795"</f>
        <v>1552375029174795</v>
      </c>
      <c r="C6976" t="s">
        <v>40</v>
      </c>
      <c r="D6976">
        <v>4.2769450000000004</v>
      </c>
      <c r="E6976">
        <v>0.66078819999999905</v>
      </c>
      <c r="F6976" t="s">
        <v>58</v>
      </c>
      <c r="G6976">
        <v>-173.0419</v>
      </c>
      <c r="H6976" s="1">
        <v>-2.201762E-6</v>
      </c>
      <c r="I6976">
        <v>132.4906</v>
      </c>
      <c r="J6976">
        <v>-181.5626</v>
      </c>
      <c r="K6976">
        <v>1.1019139999999901</v>
      </c>
      <c r="L6976">
        <v>128.8828</v>
      </c>
      <c r="M6976">
        <v>0.44024940000000001</v>
      </c>
      <c r="N6976">
        <v>0</v>
      </c>
      <c r="O6976">
        <v>0.89775110000000002</v>
      </c>
      <c r="P6976">
        <v>0.68999029999999995</v>
      </c>
      <c r="Q6976">
        <v>4.8708109999999999E-2</v>
      </c>
      <c r="R6976">
        <v>0.72217790000000004</v>
      </c>
      <c r="S6976">
        <v>3.0200650000000002</v>
      </c>
      <c r="T6976">
        <v>-0.38804889999999997</v>
      </c>
      <c r="U6976">
        <v>1.3063049999999901</v>
      </c>
      <c r="V6976">
        <v>0.30271819999999999</v>
      </c>
      <c r="W6976">
        <v>5.6974360000000002E-2</v>
      </c>
      <c r="X6976">
        <v>0.95137570000000005</v>
      </c>
      <c r="Y6976">
        <v>0.64171210000000001</v>
      </c>
      <c r="Z6976">
        <v>-0.1240986</v>
      </c>
      <c r="AA6976">
        <v>0.75683889999999998</v>
      </c>
      <c r="AB6976">
        <v>26</v>
      </c>
      <c r="AC6976">
        <v>8.5206999999999997</v>
      </c>
      <c r="AD6976">
        <v>-1.1019162017619999</v>
      </c>
      <c r="AE6976">
        <v>3.6077999999999899</v>
      </c>
      <c r="AF6976">
        <v>5.9770483430428296</v>
      </c>
      <c r="AG6976">
        <v>-1.1019162017619999</v>
      </c>
      <c r="AH6976">
        <v>6.8931635122006396</v>
      </c>
      <c r="AI6976">
        <v>96.886596255093593</v>
      </c>
      <c r="AJ6976">
        <v>49.0715064802001</v>
      </c>
      <c r="AK6976">
        <v>9.1899417526288403</v>
      </c>
      <c r="AL6976">
        <v>86.733841147280899</v>
      </c>
      <c r="AM6976">
        <v>72.349451952298097</v>
      </c>
      <c r="AN6976">
        <v>1.00000005442956</v>
      </c>
    </row>
    <row r="6977" spans="1:40" x14ac:dyDescent="0.25">
      <c r="A6977" t="str">
        <f>"20190312151709194"</f>
        <v>20190312151709194</v>
      </c>
      <c r="B6977" t="str">
        <f>"1552375029184556"</f>
        <v>1552375029184556</v>
      </c>
      <c r="C6977" t="s">
        <v>40</v>
      </c>
      <c r="D6977">
        <v>4.3280190000000003</v>
      </c>
      <c r="E6977">
        <v>0.6613715</v>
      </c>
      <c r="F6977" t="s">
        <v>58</v>
      </c>
      <c r="G6977">
        <v>-172.88099999999901</v>
      </c>
      <c r="H6977" s="1">
        <v>-2.1366539999999998E-6</v>
      </c>
      <c r="I6977">
        <v>132.5506</v>
      </c>
      <c r="J6977">
        <v>-181.49950000000001</v>
      </c>
      <c r="K6977">
        <v>1.101855</v>
      </c>
      <c r="L6977">
        <v>128.99809999999999</v>
      </c>
      <c r="M6977">
        <v>0.4455692</v>
      </c>
      <c r="N6977">
        <v>0</v>
      </c>
      <c r="O6977">
        <v>0.89512230000000004</v>
      </c>
      <c r="P6977">
        <v>0.69504270000000001</v>
      </c>
      <c r="Q6977">
        <v>4.9239140000000001E-2</v>
      </c>
      <c r="R6977">
        <v>0.71728040000000004</v>
      </c>
      <c r="S6977">
        <v>3.03363</v>
      </c>
      <c r="T6977">
        <v>-0.38504640000000001</v>
      </c>
      <c r="U6977">
        <v>1.281647</v>
      </c>
      <c r="V6977">
        <v>0.30378650000000001</v>
      </c>
      <c r="W6977">
        <v>5.7449939999999998E-2</v>
      </c>
      <c r="X6977">
        <v>0.95100649999999998</v>
      </c>
      <c r="Y6977">
        <v>0.64375059999999995</v>
      </c>
      <c r="Z6977">
        <v>-0.12304710000000001</v>
      </c>
      <c r="AA6977">
        <v>0.7552778</v>
      </c>
      <c r="AB6977">
        <v>26</v>
      </c>
      <c r="AC6977">
        <v>8.61850000000004</v>
      </c>
      <c r="AD6977">
        <v>-1.101857136654</v>
      </c>
      <c r="AE6977">
        <v>3.5525000000000002</v>
      </c>
      <c r="AF6977">
        <v>6.04791704590202</v>
      </c>
      <c r="AG6977">
        <v>-1.101857136654</v>
      </c>
      <c r="AH6977">
        <v>6.9241082567489798</v>
      </c>
      <c r="AI6977">
        <v>96.834394847689794</v>
      </c>
      <c r="AJ6977">
        <v>48.864155383184602</v>
      </c>
      <c r="AK6977">
        <v>9.2593015338570197</v>
      </c>
      <c r="AL6977">
        <v>86.706547695416106</v>
      </c>
      <c r="AM6977">
        <v>72.284603263994498</v>
      </c>
      <c r="AN6977">
        <v>1.00000004811525</v>
      </c>
    </row>
    <row r="6978" spans="1:40" x14ac:dyDescent="0.25">
      <c r="A6978" t="str">
        <f>"20190312151709204"</f>
        <v>20190312151709204</v>
      </c>
      <c r="B6978" t="str">
        <f>"1552375029195292"</f>
        <v>1552375029195292</v>
      </c>
      <c r="C6978" t="s">
        <v>40</v>
      </c>
      <c r="D6978">
        <v>4.2930330000000003</v>
      </c>
      <c r="E6978">
        <v>0.66173689999999996</v>
      </c>
      <c r="F6978" t="s">
        <v>58</v>
      </c>
      <c r="G6978">
        <v>-172.75559999999999</v>
      </c>
      <c r="H6978" s="1">
        <v>-2.0895160000000001E-6</v>
      </c>
      <c r="I6978">
        <v>132.60570000000001</v>
      </c>
      <c r="J6978">
        <v>-181.44</v>
      </c>
      <c r="K6978">
        <v>1.101801</v>
      </c>
      <c r="L6978">
        <v>129.10429999999999</v>
      </c>
      <c r="M6978">
        <v>0.45055479999999998</v>
      </c>
      <c r="N6978">
        <v>0</v>
      </c>
      <c r="O6978">
        <v>0.89262299999999895</v>
      </c>
      <c r="P6978">
        <v>0.69992759999999998</v>
      </c>
      <c r="Q6978">
        <v>4.9918980000000002E-2</v>
      </c>
      <c r="R6978">
        <v>0.71246719999999997</v>
      </c>
      <c r="S6978">
        <v>3.0463870000000002</v>
      </c>
      <c r="T6978">
        <v>-0.38388450000000002</v>
      </c>
      <c r="U6978">
        <v>1.2568820000000001</v>
      </c>
      <c r="V6978">
        <v>0.30502410000000002</v>
      </c>
      <c r="W6978">
        <v>5.8074510000000003E-2</v>
      </c>
      <c r="X6978">
        <v>0.95057230000000004</v>
      </c>
      <c r="Y6978">
        <v>0.64592329999999998</v>
      </c>
      <c r="Z6978">
        <v>-0.1226072</v>
      </c>
      <c r="AA6978">
        <v>0.75349239999999995</v>
      </c>
      <c r="AB6978">
        <v>26</v>
      </c>
      <c r="AC6978">
        <v>8.6844000000000001</v>
      </c>
      <c r="AD6978">
        <v>-1.101803089516</v>
      </c>
      <c r="AE6978">
        <v>3.5014000000000101</v>
      </c>
      <c r="AF6978">
        <v>6.0906862474979402</v>
      </c>
      <c r="AG6978">
        <v>-1.101803089516</v>
      </c>
      <c r="AH6978">
        <v>6.9428895963939503</v>
      </c>
      <c r="AI6978">
        <v>96.803055246452999</v>
      </c>
      <c r="AJ6978">
        <v>48.740972591564002</v>
      </c>
      <c r="AK6978">
        <v>9.3012980256114197</v>
      </c>
      <c r="AL6978">
        <v>86.670702542817494</v>
      </c>
      <c r="AM6978">
        <v>72.209359479302805</v>
      </c>
      <c r="AN6978">
        <v>1.0000000239099101</v>
      </c>
    </row>
    <row r="6979" spans="1:40" x14ac:dyDescent="0.25">
      <c r="A6979" t="str">
        <f>"20190312151709214"</f>
        <v>20190312151709214</v>
      </c>
      <c r="B6979" t="str">
        <f>"1552375029205052"</f>
        <v>1552375029205052</v>
      </c>
      <c r="C6979" t="s">
        <v>40</v>
      </c>
      <c r="D6979">
        <v>4.2689620000000001</v>
      </c>
      <c r="E6979">
        <v>0.66160299999999905</v>
      </c>
      <c r="F6979" t="s">
        <v>58</v>
      </c>
      <c r="G6979">
        <v>-172.7715</v>
      </c>
      <c r="H6979" s="1">
        <v>-2.0966329999999998E-6</v>
      </c>
      <c r="I6979">
        <v>132.60130000000001</v>
      </c>
      <c r="J6979">
        <v>-181.38069999999999</v>
      </c>
      <c r="K6979">
        <v>1.1017459999999999</v>
      </c>
      <c r="L6979">
        <v>129.20949999999999</v>
      </c>
      <c r="M6979">
        <v>0.45550109999999999</v>
      </c>
      <c r="N6979">
        <v>0</v>
      </c>
      <c r="O6979">
        <v>0.89010879999999903</v>
      </c>
      <c r="P6979">
        <v>0.704704199999999</v>
      </c>
      <c r="Q6979">
        <v>5.0637450000000001E-2</v>
      </c>
      <c r="R6979">
        <v>0.70769190000000004</v>
      </c>
      <c r="S6979">
        <v>3.0581209999999999</v>
      </c>
      <c r="T6979">
        <v>-0.38869890000000001</v>
      </c>
      <c r="U6979">
        <v>1.2336879999999999</v>
      </c>
      <c r="V6979">
        <v>0.30618970000000001</v>
      </c>
      <c r="W6979">
        <v>5.8739039999999999E-2</v>
      </c>
      <c r="X6979">
        <v>0.95015660000000002</v>
      </c>
      <c r="Y6979">
        <v>0.6474529</v>
      </c>
      <c r="Z6979">
        <v>-0.12403400000000001</v>
      </c>
      <c r="AA6979">
        <v>0.75194439999999996</v>
      </c>
      <c r="AB6979">
        <v>26</v>
      </c>
      <c r="AC6979">
        <v>8.60919999999998</v>
      </c>
      <c r="AD6979">
        <v>-1.101748096633</v>
      </c>
      <c r="AE6979">
        <v>3.3918000000000101</v>
      </c>
      <c r="AF6979">
        <v>6.0333120479368096</v>
      </c>
      <c r="AG6979">
        <v>-1.101748096633</v>
      </c>
      <c r="AH6979">
        <v>6.8443221916546602</v>
      </c>
      <c r="AI6979">
        <v>96.885359524762706</v>
      </c>
      <c r="AJ6979">
        <v>48.603625433175097</v>
      </c>
      <c r="AK6979">
        <v>9.1901822288456501</v>
      </c>
      <c r="AL6979">
        <v>86.632562540567804</v>
      </c>
      <c r="AM6979">
        <v>72.138369278503404</v>
      </c>
      <c r="AN6979">
        <v>0.99999998586488503</v>
      </c>
    </row>
    <row r="6980" spans="1:40" x14ac:dyDescent="0.25">
      <c r="A6980" t="str">
        <f>"20190312151709225"</f>
        <v>20190312151709225</v>
      </c>
      <c r="B6980" t="str">
        <f>"1552375029214812"</f>
        <v>1552375029214812</v>
      </c>
      <c r="C6980" t="s">
        <v>40</v>
      </c>
      <c r="D6980">
        <v>4.3426359999999997</v>
      </c>
      <c r="E6980">
        <v>0.66162469999999995</v>
      </c>
      <c r="F6980" t="s">
        <v>58</v>
      </c>
      <c r="G6980">
        <v>-172.71369999999999</v>
      </c>
      <c r="H6980" s="1">
        <v>-2.080791E-6</v>
      </c>
      <c r="I6980">
        <v>132.63980000000001</v>
      </c>
      <c r="J6980">
        <v>-181.31729999999999</v>
      </c>
      <c r="K6980">
        <v>1.1016919999999999</v>
      </c>
      <c r="L6980">
        <v>129.31960000000001</v>
      </c>
      <c r="M6980">
        <v>0.46074730000000003</v>
      </c>
      <c r="N6980">
        <v>0</v>
      </c>
      <c r="O6980">
        <v>0.88740429999999904</v>
      </c>
      <c r="P6980">
        <v>0.70970480000000002</v>
      </c>
      <c r="Q6980">
        <v>5.122724E-2</v>
      </c>
      <c r="R6980">
        <v>0.70263430000000004</v>
      </c>
      <c r="S6980">
        <v>3.0663299999999998</v>
      </c>
      <c r="T6980">
        <v>-0.38979340000000001</v>
      </c>
      <c r="U6980">
        <v>1.2136229999999999</v>
      </c>
      <c r="V6980">
        <v>0.30735859999999998</v>
      </c>
      <c r="W6980">
        <v>5.9275969999999997E-2</v>
      </c>
      <c r="X6980">
        <v>0.94974579999999997</v>
      </c>
      <c r="Y6980">
        <v>0.64788650000000003</v>
      </c>
      <c r="Z6980">
        <v>-0.12430339999999999</v>
      </c>
      <c r="AA6980">
        <v>0.75152629999999998</v>
      </c>
      <c r="AB6980">
        <v>26</v>
      </c>
      <c r="AC6980">
        <v>8.6036000000000001</v>
      </c>
      <c r="AD6980">
        <v>-1.1016940807910001</v>
      </c>
      <c r="AE6980">
        <v>3.3201999999999998</v>
      </c>
      <c r="AF6980">
        <v>6.0198743339067704</v>
      </c>
      <c r="AG6980">
        <v>-1.1016940807910001</v>
      </c>
      <c r="AH6980">
        <v>6.8139788734434497</v>
      </c>
      <c r="AI6980">
        <v>96.908755002562501</v>
      </c>
      <c r="AJ6980">
        <v>48.5407063735748</v>
      </c>
      <c r="AK6980">
        <v>9.1587621942822093</v>
      </c>
      <c r="AL6980">
        <v>86.601745124857601</v>
      </c>
      <c r="AM6980">
        <v>72.067280038465</v>
      </c>
      <c r="AN6980">
        <v>1.0000000171155199</v>
      </c>
    </row>
    <row r="6981" spans="1:40" x14ac:dyDescent="0.25">
      <c r="A6981" t="str">
        <f>"20190312151709236"</f>
        <v>20190312151709236</v>
      </c>
      <c r="B6981" t="str">
        <f>"1552375029224572"</f>
        <v>1552375029224572</v>
      </c>
      <c r="C6981" t="s">
        <v>40</v>
      </c>
      <c r="D6981">
        <v>4.3463339999999997</v>
      </c>
      <c r="E6981">
        <v>0.66133509999999995</v>
      </c>
      <c r="F6981" t="s">
        <v>58</v>
      </c>
      <c r="G6981">
        <v>-172.67750000000001</v>
      </c>
      <c r="H6981" s="1">
        <v>-2.0722919999999998E-6</v>
      </c>
      <c r="I6981">
        <v>132.66730000000001</v>
      </c>
      <c r="J6981">
        <v>-181.25450000000001</v>
      </c>
      <c r="K6981">
        <v>1.101639</v>
      </c>
      <c r="L6981">
        <v>129.42789999999999</v>
      </c>
      <c r="M6981">
        <v>0.46592529999999999</v>
      </c>
      <c r="N6981">
        <v>0</v>
      </c>
      <c r="O6981">
        <v>0.88469629999999999</v>
      </c>
      <c r="P6981">
        <v>0.71443749999999995</v>
      </c>
      <c r="Q6981">
        <v>5.1540259999999997E-2</v>
      </c>
      <c r="R6981">
        <v>0.69779840000000004</v>
      </c>
      <c r="S6981">
        <v>3.0755620000000001</v>
      </c>
      <c r="T6981">
        <v>-0.39217400000000002</v>
      </c>
      <c r="U6981">
        <v>1.1916960000000001</v>
      </c>
      <c r="V6981">
        <v>0.308253</v>
      </c>
      <c r="W6981">
        <v>5.954396E-2</v>
      </c>
      <c r="X6981">
        <v>0.94943909999999998</v>
      </c>
      <c r="Y6981">
        <v>0.64879169999999997</v>
      </c>
      <c r="Z6981">
        <v>-0.1249791</v>
      </c>
      <c r="AA6981">
        <v>0.75063279999999999</v>
      </c>
      <c r="AB6981">
        <v>26</v>
      </c>
      <c r="AC6981">
        <v>8.5769999999999893</v>
      </c>
      <c r="AD6981">
        <v>-1.101641072292</v>
      </c>
      <c r="AE6981">
        <v>3.23940000000001</v>
      </c>
      <c r="AF6981">
        <v>5.9928855227311999</v>
      </c>
      <c r="AG6981">
        <v>-1.101641072292</v>
      </c>
      <c r="AH6981">
        <v>6.76522798935666</v>
      </c>
      <c r="AI6981">
        <v>96.949600065471401</v>
      </c>
      <c r="AJ6981">
        <v>48.464307196425402</v>
      </c>
      <c r="AK6981">
        <v>9.1047569813090998</v>
      </c>
      <c r="AL6981">
        <v>86.586363200789506</v>
      </c>
      <c r="AM6981">
        <v>72.013017361930807</v>
      </c>
      <c r="AN6981">
        <v>0.99999999989514499</v>
      </c>
    </row>
    <row r="6982" spans="1:40" x14ac:dyDescent="0.25">
      <c r="A6982" t="str">
        <f>"20190312151709247"</f>
        <v>20190312151709247</v>
      </c>
      <c r="B6982" t="str">
        <f>"1552375029245068"</f>
        <v>1552375029245068</v>
      </c>
      <c r="C6982" t="s">
        <v>40</v>
      </c>
      <c r="D6982">
        <v>4.3489979999999999</v>
      </c>
      <c r="E6982">
        <v>0.66071029999999997</v>
      </c>
      <c r="F6982" t="s">
        <v>58</v>
      </c>
      <c r="G6982">
        <v>-172.58840000000001</v>
      </c>
      <c r="H6982" s="1">
        <v>-2.0466879999999999E-6</v>
      </c>
      <c r="I6982">
        <v>132.72409999999999</v>
      </c>
      <c r="J6982">
        <v>-181.18969999999999</v>
      </c>
      <c r="K6982">
        <v>1.1015889999999999</v>
      </c>
      <c r="L6982">
        <v>129.53739999999999</v>
      </c>
      <c r="M6982">
        <v>0.4712153</v>
      </c>
      <c r="N6982">
        <v>0</v>
      </c>
      <c r="O6982">
        <v>0.881889699999999</v>
      </c>
      <c r="P6982">
        <v>0.71927149999999995</v>
      </c>
      <c r="Q6982">
        <v>5.1812950000000003E-2</v>
      </c>
      <c r="R6982">
        <v>0.69279429999999997</v>
      </c>
      <c r="S6982">
        <v>3.0822910000000001</v>
      </c>
      <c r="T6982">
        <v>-0.39182669999999997</v>
      </c>
      <c r="U6982">
        <v>1.1723939999999999</v>
      </c>
      <c r="V6982">
        <v>0.30919059999999998</v>
      </c>
      <c r="W6982">
        <v>5.9771949999999997E-2</v>
      </c>
      <c r="X6982">
        <v>0.94911990000000002</v>
      </c>
      <c r="Y6982">
        <v>0.64892969999999905</v>
      </c>
      <c r="Z6982">
        <v>-0.12480189999999999</v>
      </c>
      <c r="AA6982">
        <v>0.75054290000000001</v>
      </c>
      <c r="AB6982">
        <v>26</v>
      </c>
      <c r="AC6982">
        <v>8.6012999999999806</v>
      </c>
      <c r="AD6982">
        <v>-1.1015910466879999</v>
      </c>
      <c r="AE6982">
        <v>3.1867000000000001</v>
      </c>
      <c r="AF6982">
        <v>5.9979580339674197</v>
      </c>
      <c r="AG6982">
        <v>-1.1015910466879999</v>
      </c>
      <c r="AH6982">
        <v>6.7665668601587097</v>
      </c>
      <c r="AI6982">
        <v>96.945964784782007</v>
      </c>
      <c r="AJ6982">
        <v>48.445873121755398</v>
      </c>
      <c r="AK6982">
        <v>9.1090850519893394</v>
      </c>
      <c r="AL6982">
        <v>86.573277195892103</v>
      </c>
      <c r="AM6982">
        <v>71.9561730955472</v>
      </c>
      <c r="AN6982">
        <v>1.00000004885558</v>
      </c>
    </row>
    <row r="6983" spans="1:40" x14ac:dyDescent="0.25">
      <c r="A6983" t="str">
        <f>"20190312151709258"</f>
        <v>20190312151709258</v>
      </c>
      <c r="B6983" t="str">
        <f>"1552375029254828"</f>
        <v>1552375029254828</v>
      </c>
      <c r="C6983" t="s">
        <v>40</v>
      </c>
      <c r="D6983">
        <v>4.3955580000000003</v>
      </c>
      <c r="E6983">
        <v>0.66048219999999902</v>
      </c>
      <c r="F6983" t="s">
        <v>58</v>
      </c>
      <c r="G6983">
        <v>-172.63550000000001</v>
      </c>
      <c r="H6983" s="1">
        <v>-2.078549E-6</v>
      </c>
      <c r="I6983">
        <v>132.7355</v>
      </c>
      <c r="J6983">
        <v>-181.12289999999999</v>
      </c>
      <c r="K6983">
        <v>1.101539</v>
      </c>
      <c r="L6983">
        <v>129.649</v>
      </c>
      <c r="M6983">
        <v>0.47664220000000002</v>
      </c>
      <c r="N6983">
        <v>0</v>
      </c>
      <c r="O6983">
        <v>0.87896819999999898</v>
      </c>
      <c r="P6983">
        <v>0.72393099999999999</v>
      </c>
      <c r="Q6983">
        <v>5.1969229999999998E-2</v>
      </c>
      <c r="R6983">
        <v>0.68791219999999997</v>
      </c>
      <c r="S6983">
        <v>3.0876619999999999</v>
      </c>
      <c r="T6983">
        <v>-0.397621</v>
      </c>
      <c r="U6983">
        <v>1.154358</v>
      </c>
      <c r="V6983">
        <v>0.3097627</v>
      </c>
      <c r="W6983">
        <v>5.989332E-2</v>
      </c>
      <c r="X6983">
        <v>0.94892560000000004</v>
      </c>
      <c r="Y6983">
        <v>0.64831090000000002</v>
      </c>
      <c r="Z6983">
        <v>-0.12654660000000001</v>
      </c>
      <c r="AA6983">
        <v>0.75078549999999999</v>
      </c>
      <c r="AB6983">
        <v>26</v>
      </c>
      <c r="AC6983">
        <v>8.4873999999999796</v>
      </c>
      <c r="AD6983">
        <v>-1.1015410785490001</v>
      </c>
      <c r="AE6983">
        <v>3.0865</v>
      </c>
      <c r="AF6983">
        <v>5.9018773825135398</v>
      </c>
      <c r="AG6983">
        <v>-1.1015410785490001</v>
      </c>
      <c r="AH6983">
        <v>6.6600749781970601</v>
      </c>
      <c r="AI6983">
        <v>97.056477512950707</v>
      </c>
      <c r="AJ6983">
        <v>48.453992228950199</v>
      </c>
      <c r="AK6983">
        <v>8.9667244912042694</v>
      </c>
      <c r="AL6983">
        <v>86.566310445833906</v>
      </c>
      <c r="AM6983">
        <v>71.921495743933804</v>
      </c>
      <c r="AN6983">
        <v>0.99999996721363504</v>
      </c>
    </row>
    <row r="6984" spans="1:40" x14ac:dyDescent="0.25">
      <c r="A6984" t="str">
        <f>"20190312151709269"</f>
        <v>20190312151709269</v>
      </c>
      <c r="B6984" t="str">
        <f>"1552375029264588"</f>
        <v>1552375029264588</v>
      </c>
      <c r="C6984" t="s">
        <v>40</v>
      </c>
      <c r="D6984">
        <v>4.5510809999999999</v>
      </c>
      <c r="E6984">
        <v>0.66042419999999902</v>
      </c>
      <c r="F6984" t="s">
        <v>58</v>
      </c>
      <c r="G6984">
        <v>-172.55260000000001</v>
      </c>
      <c r="H6984" s="1">
        <v>-2.0556840000000001E-6</v>
      </c>
      <c r="I6984">
        <v>132.79060000000001</v>
      </c>
      <c r="J6984">
        <v>-181.05600000000001</v>
      </c>
      <c r="K6984">
        <v>1.101488</v>
      </c>
      <c r="L6984">
        <v>129.75919999999999</v>
      </c>
      <c r="M6984">
        <v>0.48203669999999998</v>
      </c>
      <c r="N6984">
        <v>0</v>
      </c>
      <c r="O6984">
        <v>0.87602099999999905</v>
      </c>
      <c r="P6984">
        <v>0.7283345</v>
      </c>
      <c r="Q6984">
        <v>5.1977229999999999E-2</v>
      </c>
      <c r="R6984">
        <v>0.68324759999999995</v>
      </c>
      <c r="S6984">
        <v>3.0946349999999998</v>
      </c>
      <c r="T6984">
        <v>-0.3977559</v>
      </c>
      <c r="U6984">
        <v>1.1343840000000001</v>
      </c>
      <c r="V6984">
        <v>0.31003199999999997</v>
      </c>
      <c r="W6984">
        <v>5.9874770000000001E-2</v>
      </c>
      <c r="X6984">
        <v>0.94883890000000004</v>
      </c>
      <c r="Y6984">
        <v>0.64847749999999904</v>
      </c>
      <c r="Z6984">
        <v>-0.12650040000000001</v>
      </c>
      <c r="AA6984">
        <v>0.75064949999999997</v>
      </c>
      <c r="AB6984">
        <v>25</v>
      </c>
      <c r="AC6984">
        <v>8.5033999999999708</v>
      </c>
      <c r="AD6984">
        <v>-1.1014900556839999</v>
      </c>
      <c r="AE6984">
        <v>3.0314000000000099</v>
      </c>
      <c r="AF6984">
        <v>5.9007464431020997</v>
      </c>
      <c r="AG6984">
        <v>-1.1014900556839999</v>
      </c>
      <c r="AH6984">
        <v>6.6561971138583003</v>
      </c>
      <c r="AI6984">
        <v>97.059021854726893</v>
      </c>
      <c r="AJ6984">
        <v>48.442878132435801</v>
      </c>
      <c r="AK6984">
        <v>8.9630937151794008</v>
      </c>
      <c r="AL6984">
        <v>86.5673754560612</v>
      </c>
      <c r="AM6984">
        <v>71.905257062482605</v>
      </c>
      <c r="AN6984">
        <v>1.0000000436298799</v>
      </c>
    </row>
    <row r="6985" spans="1:40" x14ac:dyDescent="0.25">
      <c r="A6985" t="str">
        <f>"20190312151709281"</f>
        <v>20190312151709281</v>
      </c>
      <c r="B6985" t="str">
        <f>"1552375029274348"</f>
        <v>1552375029274348</v>
      </c>
      <c r="C6985" t="s">
        <v>40</v>
      </c>
      <c r="D6985">
        <v>4.3914739999999997</v>
      </c>
      <c r="E6985">
        <v>0.66011949999999997</v>
      </c>
      <c r="F6985" t="s">
        <v>58</v>
      </c>
      <c r="G6985">
        <v>-172.50200000000001</v>
      </c>
      <c r="H6985" s="1">
        <v>-2.0452369999999999E-6</v>
      </c>
      <c r="I6985">
        <v>132.8321</v>
      </c>
      <c r="J6985">
        <v>-180.98740000000001</v>
      </c>
      <c r="K6985">
        <v>1.1014429999999999</v>
      </c>
      <c r="L6985">
        <v>129.87010000000001</v>
      </c>
      <c r="M6985">
        <v>0.48751840000000002</v>
      </c>
      <c r="N6985">
        <v>0</v>
      </c>
      <c r="O6985">
        <v>0.87298199999999904</v>
      </c>
      <c r="P6985">
        <v>0.73269249999999997</v>
      </c>
      <c r="Q6985">
        <v>5.2415610000000001E-2</v>
      </c>
      <c r="R6985">
        <v>0.67853850000000004</v>
      </c>
      <c r="S6985">
        <v>3.1020970000000001</v>
      </c>
      <c r="T6985">
        <v>-0.39945599999999998</v>
      </c>
      <c r="U6985">
        <v>1.1143799999999999</v>
      </c>
      <c r="V6985">
        <v>0.31018950000000001</v>
      </c>
      <c r="W6985">
        <v>6.0290299999999998E-2</v>
      </c>
      <c r="X6985">
        <v>0.94876110000000002</v>
      </c>
      <c r="Y6985">
        <v>0.64853760000000005</v>
      </c>
      <c r="Z6985">
        <v>-0.12691250000000001</v>
      </c>
      <c r="AA6985">
        <v>0.75052799999999997</v>
      </c>
      <c r="AB6985">
        <v>25</v>
      </c>
      <c r="AC6985">
        <v>8.4853999999999896</v>
      </c>
      <c r="AD6985">
        <v>-1.1014450452369999</v>
      </c>
      <c r="AE6985">
        <v>2.9619999999999802</v>
      </c>
      <c r="AF6985">
        <v>5.8759999286557401</v>
      </c>
      <c r="AG6985">
        <v>-1.1014450452369999</v>
      </c>
      <c r="AH6985">
        <v>6.6238439078366502</v>
      </c>
      <c r="AI6985">
        <v>97.090793397858604</v>
      </c>
      <c r="AJ6985">
        <v>48.4238259111874</v>
      </c>
      <c r="AK6985">
        <v>8.92277224099238</v>
      </c>
      <c r="AL6985">
        <v>86.543524224349795</v>
      </c>
      <c r="AM6985">
        <v>71.895276628913294</v>
      </c>
      <c r="AN6985">
        <v>1.0000000355287699</v>
      </c>
    </row>
    <row r="6986" spans="1:40" x14ac:dyDescent="0.25">
      <c r="A6986" t="str">
        <f>"20190312151709291"</f>
        <v>20190312151709291</v>
      </c>
      <c r="B6986" t="str">
        <f>"1552375029285084"</f>
        <v>1552375029285084</v>
      </c>
      <c r="C6986" t="s">
        <v>40</v>
      </c>
      <c r="D6986">
        <v>4.4636040000000001</v>
      </c>
      <c r="E6986">
        <v>0.65991119999999903</v>
      </c>
      <c r="F6986" t="s">
        <v>58</v>
      </c>
      <c r="G6986">
        <v>-172.37889999999999</v>
      </c>
      <c r="H6986" s="1">
        <v>-2.007637E-6</v>
      </c>
      <c r="I6986">
        <v>132.9057</v>
      </c>
      <c r="J6986">
        <v>-180.91839999999999</v>
      </c>
      <c r="K6986">
        <v>1.101397</v>
      </c>
      <c r="L6986">
        <v>129.98089999999999</v>
      </c>
      <c r="M6986">
        <v>0.493008</v>
      </c>
      <c r="N6986">
        <v>0</v>
      </c>
      <c r="O6986">
        <v>0.86989340000000004</v>
      </c>
      <c r="P6986">
        <v>0.73706870000000002</v>
      </c>
      <c r="Q6986">
        <v>5.3078409999999999E-2</v>
      </c>
      <c r="R6986">
        <v>0.6737303</v>
      </c>
      <c r="S6986">
        <v>3.107971</v>
      </c>
      <c r="T6986">
        <v>-0.39766089999999998</v>
      </c>
      <c r="U6986">
        <v>1.095947</v>
      </c>
      <c r="V6986">
        <v>0.3103998</v>
      </c>
      <c r="W6986">
        <v>6.0929030000000002E-2</v>
      </c>
      <c r="X6986">
        <v>0.94865149999999998</v>
      </c>
      <c r="Y6986">
        <v>0.64825759999999999</v>
      </c>
      <c r="Z6986">
        <v>-0.1262363</v>
      </c>
      <c r="AA6986">
        <v>0.75088390000000005</v>
      </c>
      <c r="AB6986">
        <v>25</v>
      </c>
      <c r="AC6986">
        <v>8.5395000000000003</v>
      </c>
      <c r="AD6986">
        <v>-1.1013990076369999</v>
      </c>
      <c r="AE6986">
        <v>2.9247999999999998</v>
      </c>
      <c r="AF6986">
        <v>5.8993565205637504</v>
      </c>
      <c r="AG6986">
        <v>-1.1013990076369999</v>
      </c>
      <c r="AH6986">
        <v>6.6559804192625904</v>
      </c>
      <c r="AI6986">
        <v>97.0592959511483</v>
      </c>
      <c r="AJ6986">
        <v>48.4486522685728</v>
      </c>
      <c r="AK6986">
        <v>8.9620066097023603</v>
      </c>
      <c r="AL6986">
        <v>86.506860251655397</v>
      </c>
      <c r="AM6986">
        <v>71.881847515136599</v>
      </c>
      <c r="AN6986">
        <v>1.0000000254945101</v>
      </c>
    </row>
    <row r="6987" spans="1:40" x14ac:dyDescent="0.25">
      <c r="A6987" t="str">
        <f>"20190312151709303"</f>
        <v>20190312151709303</v>
      </c>
      <c r="B6987" t="str">
        <f>"1552375029294843"</f>
        <v>1552375029294843</v>
      </c>
      <c r="C6987" t="s">
        <v>40</v>
      </c>
      <c r="D6987">
        <v>4.4162559999999997</v>
      </c>
      <c r="E6987">
        <v>0.65953149999999905</v>
      </c>
      <c r="F6987" t="s">
        <v>58</v>
      </c>
      <c r="G6987">
        <v>-172.30629999999999</v>
      </c>
      <c r="H6987" s="1">
        <v>-1.9897889999999999E-6</v>
      </c>
      <c r="I6987">
        <v>132.9588</v>
      </c>
      <c r="J6987">
        <v>-180.84960000000001</v>
      </c>
      <c r="K6987">
        <v>1.1013569999999999</v>
      </c>
      <c r="L6987">
        <v>130.08869999999999</v>
      </c>
      <c r="M6987">
        <v>0.49842069999999999</v>
      </c>
      <c r="N6987">
        <v>0</v>
      </c>
      <c r="O6987">
        <v>0.86680309999999905</v>
      </c>
      <c r="P6987">
        <v>0.74121590000000004</v>
      </c>
      <c r="Q6987">
        <v>5.3334970000000002E-2</v>
      </c>
      <c r="R6987">
        <v>0.66914459999999998</v>
      </c>
      <c r="S6987">
        <v>3.114471</v>
      </c>
      <c r="T6987">
        <v>-0.3983121</v>
      </c>
      <c r="U6987">
        <v>1.076935</v>
      </c>
      <c r="V6987">
        <v>0.31036819999999998</v>
      </c>
      <c r="W6987">
        <v>6.1169389999999997E-2</v>
      </c>
      <c r="X6987">
        <v>0.9486464</v>
      </c>
      <c r="Y6987">
        <v>0.64810190000000001</v>
      </c>
      <c r="Z6987">
        <v>-0.12631129999999999</v>
      </c>
      <c r="AA6987">
        <v>0.75100559999999905</v>
      </c>
      <c r="AB6987">
        <v>25</v>
      </c>
      <c r="AC6987">
        <v>8.5433000000000092</v>
      </c>
      <c r="AD6987">
        <v>-1.1013589897889999</v>
      </c>
      <c r="AE6987">
        <v>2.8700999999999999</v>
      </c>
      <c r="AF6987">
        <v>5.8876031362176899</v>
      </c>
      <c r="AG6987">
        <v>-1.1013589897889999</v>
      </c>
      <c r="AH6987">
        <v>6.6474713907856398</v>
      </c>
      <c r="AI6987">
        <v>97.070187151549504</v>
      </c>
      <c r="AJ6987">
        <v>48.468988738349601</v>
      </c>
      <c r="AK6987">
        <v>8.9479460327665699</v>
      </c>
      <c r="AL6987">
        <v>86.493062999724202</v>
      </c>
      <c r="AM6987">
        <v>71.883480477419198</v>
      </c>
      <c r="AN6987">
        <v>1.00000005303858</v>
      </c>
    </row>
    <row r="6988" spans="1:40" x14ac:dyDescent="0.25">
      <c r="A6988" t="str">
        <f>"20190312151709317"</f>
        <v>20190312151709317</v>
      </c>
      <c r="B6988" t="str">
        <f>"1552375029304604"</f>
        <v>1552375029304604</v>
      </c>
      <c r="C6988" t="s">
        <v>40</v>
      </c>
      <c r="D6988">
        <v>4.4670500000000004</v>
      </c>
      <c r="E6988">
        <v>0.65917340000000002</v>
      </c>
      <c r="F6988" t="s">
        <v>58</v>
      </c>
      <c r="G6988">
        <v>-172.1995</v>
      </c>
      <c r="H6988" s="1">
        <v>-1.9592779999999998E-6</v>
      </c>
      <c r="I6988">
        <v>133.0275</v>
      </c>
      <c r="J6988">
        <v>-180.76730000000001</v>
      </c>
      <c r="K6988">
        <v>1.1013059999999999</v>
      </c>
      <c r="L6988">
        <v>130.21629999999999</v>
      </c>
      <c r="M6988">
        <v>0.50485179999999996</v>
      </c>
      <c r="N6988">
        <v>0</v>
      </c>
      <c r="O6988">
        <v>0.86307289999999903</v>
      </c>
      <c r="P6988">
        <v>0.7458901</v>
      </c>
      <c r="Q6988">
        <v>5.369993E-2</v>
      </c>
      <c r="R6988">
        <v>0.66390090000000002</v>
      </c>
      <c r="S6988">
        <v>3.1192470000000001</v>
      </c>
      <c r="T6988">
        <v>-0.3971519</v>
      </c>
      <c r="U6988">
        <v>1.0597529999999999</v>
      </c>
      <c r="V6988">
        <v>0.30999700000000002</v>
      </c>
      <c r="W6988">
        <v>6.1523960000000003E-2</v>
      </c>
      <c r="X6988">
        <v>0.94874480000000005</v>
      </c>
      <c r="Y6988">
        <v>0.64659319999999998</v>
      </c>
      <c r="Z6988">
        <v>-0.1257596</v>
      </c>
      <c r="AA6988">
        <v>0.75239730000000005</v>
      </c>
      <c r="AB6988">
        <v>25</v>
      </c>
      <c r="AC6988">
        <v>8.5678000000000001</v>
      </c>
      <c r="AD6988">
        <v>-1.101307959278</v>
      </c>
      <c r="AE6988">
        <v>2.8112000000000101</v>
      </c>
      <c r="AF6988">
        <v>5.8882500085322604</v>
      </c>
      <c r="AG6988">
        <v>-1.101307959278</v>
      </c>
      <c r="AH6988">
        <v>6.6532708112564096</v>
      </c>
      <c r="AI6988">
        <v>97.066104838587407</v>
      </c>
      <c r="AJ6988">
        <v>48.490662715530199</v>
      </c>
      <c r="AK6988">
        <v>8.9526744535957405</v>
      </c>
      <c r="AL6988">
        <v>86.472709171639806</v>
      </c>
      <c r="AM6988">
        <v>71.905489126187206</v>
      </c>
      <c r="AN6988">
        <v>1.00000001659506</v>
      </c>
    </row>
    <row r="6989" spans="1:40" x14ac:dyDescent="0.25">
      <c r="A6989" t="str">
        <f>"20190312151709329"</f>
        <v>20190312151709329</v>
      </c>
      <c r="B6989" t="str">
        <f>"1552375029325100"</f>
        <v>1552375029325100</v>
      </c>
      <c r="C6989" t="s">
        <v>40</v>
      </c>
      <c r="D6989">
        <v>4.4968190000000003</v>
      </c>
      <c r="E6989">
        <v>0.65851759999999904</v>
      </c>
      <c r="F6989" t="s">
        <v>58</v>
      </c>
      <c r="G6989">
        <v>-172.11879999999999</v>
      </c>
      <c r="H6989" s="1">
        <v>-1.9428299999999998E-6</v>
      </c>
      <c r="I6989">
        <v>133.0942</v>
      </c>
      <c r="J6989">
        <v>-180.6824</v>
      </c>
      <c r="K6989">
        <v>1.1012569999999999</v>
      </c>
      <c r="L6989">
        <v>130.34569999999999</v>
      </c>
      <c r="M6989">
        <v>0.51143190000000005</v>
      </c>
      <c r="N6989">
        <v>0</v>
      </c>
      <c r="O6989">
        <v>0.85918969999999995</v>
      </c>
      <c r="P6989">
        <v>0.75072269999999997</v>
      </c>
      <c r="Q6989">
        <v>5.3812720000000001E-2</v>
      </c>
      <c r="R6989">
        <v>0.65842219999999996</v>
      </c>
      <c r="S6989">
        <v>3.1251069999999999</v>
      </c>
      <c r="T6989">
        <v>-0.39795350000000002</v>
      </c>
      <c r="U6989">
        <v>1.0399020000000001</v>
      </c>
      <c r="V6989">
        <v>0.30969679999999999</v>
      </c>
      <c r="W6989">
        <v>6.1624869999999998E-2</v>
      </c>
      <c r="X6989">
        <v>0.94883629999999997</v>
      </c>
      <c r="Y6989">
        <v>0.6455052</v>
      </c>
      <c r="Z6989">
        <v>-0.1258186</v>
      </c>
      <c r="AA6989">
        <v>0.75332109999999997</v>
      </c>
      <c r="AB6989">
        <v>25</v>
      </c>
      <c r="AC6989">
        <v>8.5635999999999992</v>
      </c>
      <c r="AD6989">
        <v>-1.1012589428299999</v>
      </c>
      <c r="AE6989">
        <v>2.7484999999999999</v>
      </c>
      <c r="AF6989">
        <v>5.8648411454582403</v>
      </c>
      <c r="AG6989">
        <v>-1.1012589428299999</v>
      </c>
      <c r="AH6989">
        <v>6.6423694306763599</v>
      </c>
      <c r="AI6989">
        <v>97.084477714634801</v>
      </c>
      <c r="AJ6989">
        <v>48.557294616598902</v>
      </c>
      <c r="AK6989">
        <v>8.9291771498949899</v>
      </c>
      <c r="AL6989">
        <v>86.466916504569596</v>
      </c>
      <c r="AM6989">
        <v>71.923501189546002</v>
      </c>
      <c r="AN6989">
        <v>1.00000002836522</v>
      </c>
    </row>
    <row r="6990" spans="1:40" x14ac:dyDescent="0.25">
      <c r="A6990" t="str">
        <f>"20190312151709343"</f>
        <v>20190312151709343</v>
      </c>
      <c r="B6990" t="str">
        <f>"1552375029334860"</f>
        <v>1552375029334860</v>
      </c>
      <c r="C6990" t="s">
        <v>40</v>
      </c>
      <c r="D6990">
        <v>4.5406740000000001</v>
      </c>
      <c r="E6990">
        <v>0.65816430000000004</v>
      </c>
      <c r="F6990" t="s">
        <v>58</v>
      </c>
      <c r="G6990">
        <v>-172.09780000000001</v>
      </c>
      <c r="H6990" s="1">
        <v>-1.9536889999999999E-6</v>
      </c>
      <c r="I6990">
        <v>133.14580000000001</v>
      </c>
      <c r="J6990">
        <v>-180.5967</v>
      </c>
      <c r="K6990">
        <v>1.101216</v>
      </c>
      <c r="L6990">
        <v>130.47370000000001</v>
      </c>
      <c r="M6990">
        <v>0.51800389999999996</v>
      </c>
      <c r="N6990">
        <v>0</v>
      </c>
      <c r="O6990">
        <v>0.85524319999999898</v>
      </c>
      <c r="P6990">
        <v>0.75535189999999997</v>
      </c>
      <c r="Q6990">
        <v>5.3706940000000002E-2</v>
      </c>
      <c r="R6990">
        <v>0.65311490000000005</v>
      </c>
      <c r="S6990">
        <v>3.129623</v>
      </c>
      <c r="T6990">
        <v>-0.40147539999999998</v>
      </c>
      <c r="U6990">
        <v>1.020813</v>
      </c>
      <c r="V6990">
        <v>0.30912070000000003</v>
      </c>
      <c r="W6990">
        <v>6.151682E-2</v>
      </c>
      <c r="X6990">
        <v>0.94903110000000002</v>
      </c>
      <c r="Y6990">
        <v>0.64402099999999995</v>
      </c>
      <c r="Z6990">
        <v>-0.1267337</v>
      </c>
      <c r="AA6990">
        <v>0.75443729999999998</v>
      </c>
      <c r="AB6990">
        <v>25</v>
      </c>
      <c r="AC6990">
        <v>8.4988999999999901</v>
      </c>
      <c r="AD6990">
        <v>-1.1012179536890001</v>
      </c>
      <c r="AE6990">
        <v>2.6720999999999999</v>
      </c>
      <c r="AF6990">
        <v>5.79658460429782</v>
      </c>
      <c r="AG6990">
        <v>-1.1012179536890001</v>
      </c>
      <c r="AH6990">
        <v>6.5878780763560396</v>
      </c>
      <c r="AI6990">
        <v>97.152939749773907</v>
      </c>
      <c r="AJ6990">
        <v>48.655889783979298</v>
      </c>
      <c r="AK6990">
        <v>8.8438233590027195</v>
      </c>
      <c r="AL6990">
        <v>86.473118901940893</v>
      </c>
      <c r="AM6990">
        <v>71.958409403124193</v>
      </c>
      <c r="AN6990">
        <v>0.99999997753930603</v>
      </c>
    </row>
    <row r="6991" spans="1:40" x14ac:dyDescent="0.25">
      <c r="A6991" t="str">
        <f>"20190312151709355"</f>
        <v>20190312151709355</v>
      </c>
      <c r="B6991" t="str">
        <f>"1552375029344620"</f>
        <v>1552375029344620</v>
      </c>
      <c r="C6991" t="s">
        <v>40</v>
      </c>
      <c r="D6991">
        <v>4.5082879999999896</v>
      </c>
      <c r="E6991">
        <v>0.65783440000000004</v>
      </c>
      <c r="F6991" t="s">
        <v>58</v>
      </c>
      <c r="G6991">
        <v>-172.05520000000001</v>
      </c>
      <c r="H6991" s="1">
        <v>-1.9534070000000002E-6</v>
      </c>
      <c r="I6991">
        <v>133.19999999999999</v>
      </c>
      <c r="J6991">
        <v>-180.51480000000001</v>
      </c>
      <c r="K6991">
        <v>1.101172</v>
      </c>
      <c r="L6991">
        <v>130.59460000000001</v>
      </c>
      <c r="M6991">
        <v>0.52423090000000006</v>
      </c>
      <c r="N6991">
        <v>0</v>
      </c>
      <c r="O6991">
        <v>0.85144030000000004</v>
      </c>
      <c r="P6991">
        <v>0.7596465</v>
      </c>
      <c r="Q6991">
        <v>5.3955870000000003E-2</v>
      </c>
      <c r="R6991">
        <v>0.64809410000000001</v>
      </c>
      <c r="S6991">
        <v>3.1351779999999998</v>
      </c>
      <c r="T6991">
        <v>-0.4042075</v>
      </c>
      <c r="U6991">
        <v>1.0006710000000001</v>
      </c>
      <c r="V6991">
        <v>0.30848239999999999</v>
      </c>
      <c r="W6991">
        <v>6.1766210000000002E-2</v>
      </c>
      <c r="X6991">
        <v>0.94922260000000003</v>
      </c>
      <c r="Y6991">
        <v>0.64315559999999905</v>
      </c>
      <c r="Z6991">
        <v>-0.12739880000000001</v>
      </c>
      <c r="AA6991">
        <v>0.75506309999999999</v>
      </c>
      <c r="AB6991">
        <v>25</v>
      </c>
      <c r="AC6991">
        <v>8.4595999999999894</v>
      </c>
      <c r="AD6991">
        <v>-1.101173953407</v>
      </c>
      <c r="AE6991">
        <v>2.6053999999999702</v>
      </c>
      <c r="AF6991">
        <v>5.7487217983341399</v>
      </c>
      <c r="AG6991">
        <v>-1.101173953407</v>
      </c>
      <c r="AH6991">
        <v>6.5524902757342796</v>
      </c>
      <c r="AI6991">
        <v>97.199894181450603</v>
      </c>
      <c r="AJ6991">
        <v>48.738425917829503</v>
      </c>
      <c r="AK6991">
        <v>8.7860978371457108</v>
      </c>
      <c r="AL6991">
        <v>86.4588027626627</v>
      </c>
      <c r="AM6991">
        <v>71.996654308568594</v>
      </c>
      <c r="AN6991">
        <v>1.00000000007914</v>
      </c>
    </row>
    <row r="6992" spans="1:40" x14ac:dyDescent="0.25">
      <c r="A6992" t="str">
        <f>"20190312151709369"</f>
        <v>20190312151709369</v>
      </c>
      <c r="B6992" t="str">
        <f>"1552375029365116"</f>
        <v>1552375029365116</v>
      </c>
      <c r="C6992" t="s">
        <v>40</v>
      </c>
      <c r="D6992">
        <v>4.5006830000000004</v>
      </c>
      <c r="E6992">
        <v>0.65718869999999996</v>
      </c>
      <c r="F6992" t="s">
        <v>58</v>
      </c>
      <c r="G6992">
        <v>-171.97649999999999</v>
      </c>
      <c r="H6992" s="1">
        <v>-1.9367320000000001E-6</v>
      </c>
      <c r="I6992">
        <v>133.2637</v>
      </c>
      <c r="J6992">
        <v>-180.41739999999999</v>
      </c>
      <c r="K6992">
        <v>1.101129</v>
      </c>
      <c r="L6992">
        <v>130.7353</v>
      </c>
      <c r="M6992">
        <v>0.5315472</v>
      </c>
      <c r="N6992">
        <v>0</v>
      </c>
      <c r="O6992">
        <v>0.84689159999999997</v>
      </c>
      <c r="P6992">
        <v>0.76449659999999997</v>
      </c>
      <c r="Q6992">
        <v>5.4193440000000002E-2</v>
      </c>
      <c r="R6992">
        <v>0.64234579999999997</v>
      </c>
      <c r="S6992">
        <v>3.1404420000000002</v>
      </c>
      <c r="T6992">
        <v>-0.40502050000000001</v>
      </c>
      <c r="U6992">
        <v>0.98170469999999999</v>
      </c>
      <c r="V6992">
        <v>0.3074616</v>
      </c>
      <c r="W6992">
        <v>6.2013690000000003E-2</v>
      </c>
      <c r="X6992">
        <v>0.94953759999999998</v>
      </c>
      <c r="Y6992">
        <v>0.64110089999999997</v>
      </c>
      <c r="Z6992">
        <v>-0.12735460000000001</v>
      </c>
      <c r="AA6992">
        <v>0.75681599999999905</v>
      </c>
      <c r="AB6992">
        <v>25</v>
      </c>
      <c r="AC6992">
        <v>8.4408999999999992</v>
      </c>
      <c r="AD6992">
        <v>-1.1011309367319999</v>
      </c>
      <c r="AE6992">
        <v>2.5284</v>
      </c>
      <c r="AF6992">
        <v>5.7159739146427402</v>
      </c>
      <c r="AG6992">
        <v>-1.1011309367319999</v>
      </c>
      <c r="AH6992">
        <v>6.52686044477095</v>
      </c>
      <c r="AI6992">
        <v>97.233164523144495</v>
      </c>
      <c r="AJ6992">
        <v>48.7893688644522</v>
      </c>
      <c r="AK6992">
        <v>8.7455562657969406</v>
      </c>
      <c r="AL6992">
        <v>86.444595945040206</v>
      </c>
      <c r="AM6992">
        <v>72.057974429970599</v>
      </c>
      <c r="AN6992">
        <v>0.99999999351786795</v>
      </c>
    </row>
    <row r="6993" spans="1:40" x14ac:dyDescent="0.25">
      <c r="A6993" t="str">
        <f>"20190312151709381"</f>
        <v>20190312151709381</v>
      </c>
      <c r="B6993" t="str">
        <f>"1552375029374876"</f>
        <v>1552375029374876</v>
      </c>
      <c r="C6993" t="s">
        <v>40</v>
      </c>
      <c r="D6993">
        <v>4.5433029999999999</v>
      </c>
      <c r="E6993">
        <v>0.65686959999999905</v>
      </c>
      <c r="F6993" t="s">
        <v>58</v>
      </c>
      <c r="G6993">
        <v>-171.9033</v>
      </c>
      <c r="H6993" s="1">
        <v>-1.9287919999999998E-6</v>
      </c>
      <c r="I6993">
        <v>133.34</v>
      </c>
      <c r="J6993">
        <v>-180.34299999999999</v>
      </c>
      <c r="K6993">
        <v>1.1010960000000001</v>
      </c>
      <c r="L6993">
        <v>130.8407</v>
      </c>
      <c r="M6993">
        <v>0.53708140000000004</v>
      </c>
      <c r="N6993">
        <v>0</v>
      </c>
      <c r="O6993">
        <v>0.84339259999999905</v>
      </c>
      <c r="P6993">
        <v>0.7684183</v>
      </c>
      <c r="Q6993">
        <v>5.4161689999999998E-2</v>
      </c>
      <c r="R6993">
        <v>0.637652</v>
      </c>
      <c r="S6993">
        <v>3.1446529999999999</v>
      </c>
      <c r="T6993">
        <v>-0.40669480000000002</v>
      </c>
      <c r="U6993">
        <v>0.96203609999999995</v>
      </c>
      <c r="V6993">
        <v>0.30706509999999998</v>
      </c>
      <c r="W6993">
        <v>6.198037E-2</v>
      </c>
      <c r="X6993">
        <v>0.94966799999999996</v>
      </c>
      <c r="Y6993">
        <v>0.64065150000000004</v>
      </c>
      <c r="Z6993">
        <v>-0.12774379999999999</v>
      </c>
      <c r="AA6993">
        <v>0.75713090000000005</v>
      </c>
      <c r="AB6993">
        <v>25</v>
      </c>
      <c r="AC6993">
        <v>8.4396999999999807</v>
      </c>
      <c r="AD6993">
        <v>-1.10109792879199</v>
      </c>
      <c r="AE6993">
        <v>2.4992999999999999</v>
      </c>
      <c r="AF6993">
        <v>5.6873228619942804</v>
      </c>
      <c r="AG6993">
        <v>-1.10109792879199</v>
      </c>
      <c r="AH6993">
        <v>6.5391373188198703</v>
      </c>
      <c r="AI6993">
        <v>97.240868615438899</v>
      </c>
      <c r="AJ6993">
        <v>48.985342994617902</v>
      </c>
      <c r="AK6993">
        <v>8.7360388540651304</v>
      </c>
      <c r="AL6993">
        <v>86.446508479960698</v>
      </c>
      <c r="AM6993">
        <v>72.081935070793705</v>
      </c>
      <c r="AN6993">
        <v>0.99999992606367005</v>
      </c>
    </row>
    <row r="6994" spans="1:40" x14ac:dyDescent="0.25">
      <c r="A6994" t="str">
        <f>"20190312151709393"</f>
        <v>20190312151709393</v>
      </c>
      <c r="B6994" t="str">
        <f>"1552375029384636"</f>
        <v>1552375029384636</v>
      </c>
      <c r="C6994" t="s">
        <v>40</v>
      </c>
      <c r="D6994">
        <v>4.5296130000000003</v>
      </c>
      <c r="E6994">
        <v>0.65656219999999998</v>
      </c>
      <c r="F6994" t="s">
        <v>58</v>
      </c>
      <c r="G6994">
        <v>-171.86930000000001</v>
      </c>
      <c r="H6994" s="1">
        <v>-1.928382E-6</v>
      </c>
      <c r="I6994">
        <v>133.3828</v>
      </c>
      <c r="J6994">
        <v>-180.2647</v>
      </c>
      <c r="K6994">
        <v>1.1010599999999999</v>
      </c>
      <c r="L6994">
        <v>130.95099999999999</v>
      </c>
      <c r="M6994">
        <v>0.5428674</v>
      </c>
      <c r="N6994">
        <v>0</v>
      </c>
      <c r="O6994">
        <v>0.83967969999999903</v>
      </c>
      <c r="P6994">
        <v>0.772455</v>
      </c>
      <c r="Q6994">
        <v>5.4516340000000003E-2</v>
      </c>
      <c r="R6994">
        <v>0.63272519999999999</v>
      </c>
      <c r="S6994">
        <v>3.1490629999999999</v>
      </c>
      <c r="T6994">
        <v>-0.40919689999999997</v>
      </c>
      <c r="U6994">
        <v>0.94470209999999999</v>
      </c>
      <c r="V6994">
        <v>0.3066005</v>
      </c>
      <c r="W6994">
        <v>6.2335410000000001E-2</v>
      </c>
      <c r="X6994">
        <v>0.9497949</v>
      </c>
      <c r="Y6994">
        <v>0.63942860000000001</v>
      </c>
      <c r="Z6994">
        <v>-0.12829679999999999</v>
      </c>
      <c r="AA6994">
        <v>0.75807060000000004</v>
      </c>
      <c r="AB6994">
        <v>25</v>
      </c>
      <c r="AC6994">
        <v>8.3953999999999898</v>
      </c>
      <c r="AD6994">
        <v>-1.101061928382</v>
      </c>
      <c r="AE6994">
        <v>2.4318</v>
      </c>
      <c r="AF6994">
        <v>5.6404608581062297</v>
      </c>
      <c r="AG6994">
        <v>-1.101061928382</v>
      </c>
      <c r="AH6994">
        <v>6.4971868861526003</v>
      </c>
      <c r="AI6994">
        <v>97.2925861233972</v>
      </c>
      <c r="AJ6994">
        <v>49.037479961314901</v>
      </c>
      <c r="AK6994">
        <v>8.6741324347483992</v>
      </c>
      <c r="AL6994">
        <v>86.426126898296104</v>
      </c>
      <c r="AM6994">
        <v>72.109554205222494</v>
      </c>
      <c r="AN6994">
        <v>0.99999996100306299</v>
      </c>
    </row>
    <row r="6995" spans="1:40" x14ac:dyDescent="0.25">
      <c r="A6995" t="str">
        <f>"20190312151709403"</f>
        <v>20190312151709403</v>
      </c>
      <c r="B6995" t="str">
        <f>"1552375029394396"</f>
        <v>1552375029394396</v>
      </c>
      <c r="C6995" t="s">
        <v>40</v>
      </c>
      <c r="D6995">
        <v>4.5425430000000002</v>
      </c>
      <c r="E6995">
        <v>0.6562557</v>
      </c>
      <c r="F6995" t="s">
        <v>58</v>
      </c>
      <c r="G6995">
        <v>-171.7936</v>
      </c>
      <c r="H6995" s="1">
        <v>-1.910278E-6</v>
      </c>
      <c r="I6995">
        <v>133.43940000000001</v>
      </c>
      <c r="J6995">
        <v>-180.1951</v>
      </c>
      <c r="K6995">
        <v>1.1010340000000001</v>
      </c>
      <c r="L6995">
        <v>131.04650000000001</v>
      </c>
      <c r="M6995">
        <v>0.54794739999999997</v>
      </c>
      <c r="N6995">
        <v>0</v>
      </c>
      <c r="O6995">
        <v>0.83637329999999999</v>
      </c>
      <c r="P6995">
        <v>0.77599629999999997</v>
      </c>
      <c r="Q6995">
        <v>5.4369109999999998E-2</v>
      </c>
      <c r="R6995">
        <v>0.6283898</v>
      </c>
      <c r="S6995">
        <v>3.153778</v>
      </c>
      <c r="T6995">
        <v>-0.40992190000000001</v>
      </c>
      <c r="U6995">
        <v>0.92643739999999997</v>
      </c>
      <c r="V6995">
        <v>0.30617109999999997</v>
      </c>
      <c r="W6995">
        <v>6.2191209999999997E-2</v>
      </c>
      <c r="X6995">
        <v>0.94994290000000003</v>
      </c>
      <c r="Y6995">
        <v>0.63912530000000001</v>
      </c>
      <c r="Z6995">
        <v>-0.128355</v>
      </c>
      <c r="AA6995">
        <v>0.75831649999999995</v>
      </c>
      <c r="AB6995">
        <v>25</v>
      </c>
      <c r="AC6995">
        <v>8.4014999999999898</v>
      </c>
      <c r="AD6995">
        <v>-1.1010359102779901</v>
      </c>
      <c r="AE6995">
        <v>2.3928999999999898</v>
      </c>
      <c r="AF6995">
        <v>5.6268851754060902</v>
      </c>
      <c r="AG6995">
        <v>-1.1010359102779901</v>
      </c>
      <c r="AH6995">
        <v>6.5024111457749001</v>
      </c>
      <c r="AI6995">
        <v>97.296563106915201</v>
      </c>
      <c r="AJ6995">
        <v>49.128606400316102</v>
      </c>
      <c r="AK6995">
        <v>8.6692253149646703</v>
      </c>
      <c r="AL6995">
        <v>86.434405154975707</v>
      </c>
      <c r="AM6995">
        <v>72.135622792517594</v>
      </c>
      <c r="AN6995">
        <v>1.00000000116844</v>
      </c>
    </row>
    <row r="6996" spans="1:40" x14ac:dyDescent="0.25">
      <c r="A6996" t="str">
        <f>"20190312151709414"</f>
        <v>20190312151709414</v>
      </c>
      <c r="B6996" t="str">
        <f>"1552375029405132"</f>
        <v>1552375029405132</v>
      </c>
      <c r="C6996" t="s">
        <v>40</v>
      </c>
      <c r="D6996">
        <v>4.5590580000000003</v>
      </c>
      <c r="E6996">
        <v>0.65590419999999905</v>
      </c>
      <c r="F6996" t="s">
        <v>58</v>
      </c>
      <c r="G6996">
        <v>-171.7561</v>
      </c>
      <c r="H6996" s="1">
        <v>-1.906529E-6</v>
      </c>
      <c r="I6996">
        <v>133.47919999999999</v>
      </c>
      <c r="J6996">
        <v>-180.1224</v>
      </c>
      <c r="K6996">
        <v>1.1010059999999999</v>
      </c>
      <c r="L6996">
        <v>131.14599999999999</v>
      </c>
      <c r="M6996">
        <v>0.55322609999999905</v>
      </c>
      <c r="N6996">
        <v>0</v>
      </c>
      <c r="O6996">
        <v>0.83289089999999999</v>
      </c>
      <c r="P6996">
        <v>0.77954860000000004</v>
      </c>
      <c r="Q6996">
        <v>5.4789289999999997E-2</v>
      </c>
      <c r="R6996">
        <v>0.62394079999999996</v>
      </c>
      <c r="S6996">
        <v>3.1577449999999998</v>
      </c>
      <c r="T6996">
        <v>-0.41199209999999897</v>
      </c>
      <c r="U6996">
        <v>0.91026309999999999</v>
      </c>
      <c r="V6996">
        <v>0.30558590000000002</v>
      </c>
      <c r="W6996">
        <v>6.2617149999999996E-2</v>
      </c>
      <c r="X6996">
        <v>0.95010329999999998</v>
      </c>
      <c r="Y6996">
        <v>0.63805719999999899</v>
      </c>
      <c r="Z6996">
        <v>-0.1287778</v>
      </c>
      <c r="AA6996">
        <v>0.75914380000000004</v>
      </c>
      <c r="AB6996">
        <v>25</v>
      </c>
      <c r="AC6996">
        <v>8.3662999999999901</v>
      </c>
      <c r="AD6996">
        <v>-1.1010079065289999</v>
      </c>
      <c r="AE6996">
        <v>2.33319999999997</v>
      </c>
      <c r="AF6996">
        <v>5.5882936034736703</v>
      </c>
      <c r="AG6996">
        <v>-1.1010079065289999</v>
      </c>
      <c r="AH6996">
        <v>6.4685814057531701</v>
      </c>
      <c r="AI6996">
        <v>97.339295399084307</v>
      </c>
      <c r="AJ6996">
        <v>49.175828408388497</v>
      </c>
      <c r="AK6996">
        <v>8.6188043957221705</v>
      </c>
      <c r="AL6996">
        <v>86.409952802870507</v>
      </c>
      <c r="AM6996">
        <v>72.170423207977706</v>
      </c>
      <c r="AN6996">
        <v>0.99999996521191004</v>
      </c>
    </row>
    <row r="6997" spans="1:40" x14ac:dyDescent="0.25">
      <c r="A6997" t="str">
        <f>"20190312151709425"</f>
        <v>20190312151709425</v>
      </c>
      <c r="B6997" t="str">
        <f>"1552375029414892"</f>
        <v>1552375029414892</v>
      </c>
      <c r="C6997" t="s">
        <v>40</v>
      </c>
      <c r="D6997">
        <v>4.6716379999999997</v>
      </c>
      <c r="E6997">
        <v>0.65565879999999999</v>
      </c>
      <c r="F6997" t="s">
        <v>58</v>
      </c>
      <c r="G6997">
        <v>-171.66589999999999</v>
      </c>
      <c r="H6997" s="1">
        <v>-1.881167E-6</v>
      </c>
      <c r="I6997">
        <v>133.53799999999899</v>
      </c>
      <c r="J6997">
        <v>-180.0444</v>
      </c>
      <c r="K6997">
        <v>1.1009789999999999</v>
      </c>
      <c r="L6997">
        <v>131.25030000000001</v>
      </c>
      <c r="M6997">
        <v>0.5588225</v>
      </c>
      <c r="N6997">
        <v>0</v>
      </c>
      <c r="O6997">
        <v>0.829146099999999</v>
      </c>
      <c r="P6997">
        <v>0.78347559999999905</v>
      </c>
      <c r="Q6997">
        <v>5.5199280000000003E-2</v>
      </c>
      <c r="R6997">
        <v>0.61896619999999902</v>
      </c>
      <c r="S6997">
        <v>3.16153</v>
      </c>
      <c r="T6997">
        <v>-0.41161999999999999</v>
      </c>
      <c r="U6997">
        <v>0.89430239999999905</v>
      </c>
      <c r="V6997">
        <v>0.30522440000000001</v>
      </c>
      <c r="W6997">
        <v>6.3029269999999998E-2</v>
      </c>
      <c r="X6997">
        <v>0.95019229999999999</v>
      </c>
      <c r="Y6997">
        <v>0.63672629999999997</v>
      </c>
      <c r="Z6997">
        <v>-0.12841250000000001</v>
      </c>
      <c r="AA6997">
        <v>0.76032219999999995</v>
      </c>
      <c r="AB6997">
        <v>25</v>
      </c>
      <c r="AC6997">
        <v>8.3785000000000007</v>
      </c>
      <c r="AD6997">
        <v>-1.1009808811669901</v>
      </c>
      <c r="AE6997">
        <v>2.2876999999999699</v>
      </c>
      <c r="AF6997">
        <v>5.5795856702218298</v>
      </c>
      <c r="AG6997">
        <v>-1.1009808811669901</v>
      </c>
      <c r="AH6997">
        <v>6.4756426746192801</v>
      </c>
      <c r="AI6997">
        <v>97.339407632547093</v>
      </c>
      <c r="AJ6997">
        <v>49.250939606981298</v>
      </c>
      <c r="AK6997">
        <v>8.6184617653842608</v>
      </c>
      <c r="AL6997">
        <v>86.386293510525405</v>
      </c>
      <c r="AM6997">
        <v>72.191744584365793</v>
      </c>
      <c r="AN6997">
        <v>1.00000001510569</v>
      </c>
    </row>
    <row r="6998" spans="1:40" x14ac:dyDescent="0.25">
      <c r="A6998" t="str">
        <f>"20190312151709437"</f>
        <v>20190312151709437</v>
      </c>
      <c r="B6998" t="str">
        <f>"1552375029424652"</f>
        <v>1552375029424652</v>
      </c>
      <c r="C6998" t="s">
        <v>40</v>
      </c>
      <c r="D6998">
        <v>4.6042069999999997</v>
      </c>
      <c r="E6998">
        <v>0.65532309999999905</v>
      </c>
      <c r="F6998" t="s">
        <v>58</v>
      </c>
      <c r="G6998">
        <v>-171.5866</v>
      </c>
      <c r="H6998" s="1">
        <v>-1.858468E-6</v>
      </c>
      <c r="I6998">
        <v>133.5889</v>
      </c>
      <c r="J6998">
        <v>-179.96690000000001</v>
      </c>
      <c r="K6998">
        <v>1.100956</v>
      </c>
      <c r="L6998">
        <v>131.35310000000001</v>
      </c>
      <c r="M6998">
        <v>0.56434139999999999</v>
      </c>
      <c r="N6998">
        <v>0</v>
      </c>
      <c r="O6998">
        <v>0.82539940000000001</v>
      </c>
      <c r="P6998">
        <v>0.78745449999999995</v>
      </c>
      <c r="Q6998">
        <v>5.5462530000000003E-2</v>
      </c>
      <c r="R6998">
        <v>0.61387230000000004</v>
      </c>
      <c r="S6998">
        <v>3.166458</v>
      </c>
      <c r="T6998">
        <v>-0.41218589999999999</v>
      </c>
      <c r="U6998">
        <v>0.87553409999999998</v>
      </c>
      <c r="V6998">
        <v>0.30504189999999998</v>
      </c>
      <c r="W6998">
        <v>6.3291009999999995E-2</v>
      </c>
      <c r="X6998">
        <v>0.95023349999999995</v>
      </c>
      <c r="Y6998">
        <v>0.63609899999999997</v>
      </c>
      <c r="Z6998">
        <v>-0.12835160000000001</v>
      </c>
      <c r="AA6998">
        <v>0.76085729999999996</v>
      </c>
      <c r="AB6998">
        <v>25</v>
      </c>
      <c r="AC6998">
        <v>8.3803000000000001</v>
      </c>
      <c r="AD6998">
        <v>-1.100957858468</v>
      </c>
      <c r="AE6998">
        <v>2.2357999999999798</v>
      </c>
      <c r="AF6998">
        <v>5.5663168312551896</v>
      </c>
      <c r="AG6998">
        <v>-1.100957858468</v>
      </c>
      <c r="AH6998">
        <v>6.47128166440634</v>
      </c>
      <c r="AI6998">
        <v>97.349428489169199</v>
      </c>
      <c r="AJ6998">
        <v>49.299305461841499</v>
      </c>
      <c r="AK6998">
        <v>8.6065950091844705</v>
      </c>
      <c r="AL6998">
        <v>86.371266887754999</v>
      </c>
      <c r="AM6998">
        <v>72.202443439301007</v>
      </c>
      <c r="AN6998">
        <v>1.00000000861234</v>
      </c>
    </row>
    <row r="6999" spans="1:40" x14ac:dyDescent="0.25">
      <c r="A6999" t="str">
        <f>"20190312151709447"</f>
        <v>20190312151709447</v>
      </c>
      <c r="B6999" t="str">
        <f>"1552375029445148"</f>
        <v>1552375029445148</v>
      </c>
      <c r="C6999" t="s">
        <v>40</v>
      </c>
      <c r="D6999">
        <v>4.5881990000000004</v>
      </c>
      <c r="E6999">
        <v>0.6547288</v>
      </c>
      <c r="F6999" t="s">
        <v>58</v>
      </c>
      <c r="G6999">
        <v>-171.5223</v>
      </c>
      <c r="H6999" s="1">
        <v>-1.8424510000000001E-6</v>
      </c>
      <c r="I6999">
        <v>133.63550000000001</v>
      </c>
      <c r="J6999">
        <v>-179.892</v>
      </c>
      <c r="K6999">
        <v>1.1009340000000001</v>
      </c>
      <c r="L6999">
        <v>131.45079999999999</v>
      </c>
      <c r="M6999">
        <v>0.56962190000000001</v>
      </c>
      <c r="N6999">
        <v>0</v>
      </c>
      <c r="O6999">
        <v>0.82176389999999999</v>
      </c>
      <c r="P6999">
        <v>0.79125469999999998</v>
      </c>
      <c r="Q6999">
        <v>5.6172380000000001E-2</v>
      </c>
      <c r="R6999">
        <v>0.60890129999999998</v>
      </c>
      <c r="S6999">
        <v>3.1707610000000002</v>
      </c>
      <c r="T6999">
        <v>-0.41338599999999998</v>
      </c>
      <c r="U6999">
        <v>0.85699459999999905</v>
      </c>
      <c r="V6999">
        <v>0.3049114</v>
      </c>
      <c r="W6999">
        <v>6.3999120000000007E-2</v>
      </c>
      <c r="X6999">
        <v>0.95022799999999996</v>
      </c>
      <c r="Y6999">
        <v>0.63555119999999998</v>
      </c>
      <c r="Z6999">
        <v>-0.12850839999999999</v>
      </c>
      <c r="AA6999">
        <v>0.76128859999999998</v>
      </c>
      <c r="AB6999">
        <v>25</v>
      </c>
      <c r="AC6999">
        <v>8.3696999999999893</v>
      </c>
      <c r="AD6999">
        <v>-1.1009358424510001</v>
      </c>
      <c r="AE6999">
        <v>2.1847000000000198</v>
      </c>
      <c r="AF6999">
        <v>5.54431598359976</v>
      </c>
      <c r="AG6999">
        <v>-1.1009358424510001</v>
      </c>
      <c r="AH6999">
        <v>6.4590159665415499</v>
      </c>
      <c r="AI6999">
        <v>97.369470553789597</v>
      </c>
      <c r="AJ6999">
        <v>49.357736254655599</v>
      </c>
      <c r="AK6999">
        <v>8.5831455021589704</v>
      </c>
      <c r="AL6999">
        <v>86.330612904791096</v>
      </c>
      <c r="AM6999">
        <v>72.2094808093198</v>
      </c>
      <c r="AN6999">
        <v>1.0000000505973601</v>
      </c>
    </row>
    <row r="7000" spans="1:40" x14ac:dyDescent="0.25">
      <c r="A7000" t="str">
        <f>"20190312151709459"</f>
        <v>20190312151709459</v>
      </c>
      <c r="B7000" t="str">
        <f>"1552375029454908"</f>
        <v>1552375029454908</v>
      </c>
      <c r="C7000" t="s">
        <v>40</v>
      </c>
      <c r="D7000">
        <v>4.5837260000000004</v>
      </c>
      <c r="E7000">
        <v>0.6547288</v>
      </c>
      <c r="F7000" t="s">
        <v>58</v>
      </c>
      <c r="G7000">
        <v>-171.46599999999901</v>
      </c>
      <c r="H7000" s="1">
        <v>-1.831531E-6</v>
      </c>
      <c r="I7000">
        <v>133.6833</v>
      </c>
      <c r="J7000">
        <v>-179.81049999999999</v>
      </c>
      <c r="K7000">
        <v>1.100913</v>
      </c>
      <c r="L7000">
        <v>131.55549999999999</v>
      </c>
      <c r="M7000">
        <v>0.57530340000000002</v>
      </c>
      <c r="N7000">
        <v>0</v>
      </c>
      <c r="O7000">
        <v>0.81779619999999997</v>
      </c>
      <c r="P7000">
        <v>0.79542389999999996</v>
      </c>
      <c r="Q7000">
        <v>5.6292689999999999E-2</v>
      </c>
      <c r="R7000">
        <v>0.60343349999999996</v>
      </c>
      <c r="S7000">
        <v>3.1737820000000001</v>
      </c>
      <c r="T7000">
        <v>-0.41468729999999998</v>
      </c>
      <c r="U7000">
        <v>0.84089659999999999</v>
      </c>
      <c r="V7000">
        <v>0.30487389999999998</v>
      </c>
      <c r="W7000">
        <v>6.4115699999999998E-2</v>
      </c>
      <c r="X7000">
        <v>0.95023210000000002</v>
      </c>
      <c r="Y7000">
        <v>0.63398310000000002</v>
      </c>
      <c r="Z7000">
        <v>-0.1286361</v>
      </c>
      <c r="AA7000">
        <v>0.76257350000000002</v>
      </c>
      <c r="AB7000">
        <v>25</v>
      </c>
      <c r="AC7000">
        <v>8.3445</v>
      </c>
      <c r="AD7000">
        <v>-1.100914831531</v>
      </c>
      <c r="AE7000">
        <v>2.1278000000000001</v>
      </c>
      <c r="AF7000">
        <v>5.51056638520084</v>
      </c>
      <c r="AG7000">
        <v>-1.100914831531</v>
      </c>
      <c r="AH7000">
        <v>6.4363033870031501</v>
      </c>
      <c r="AI7000">
        <v>97.403056037312794</v>
      </c>
      <c r="AJ7000">
        <v>49.430871531373903</v>
      </c>
      <c r="AK7000">
        <v>8.5442586946755501</v>
      </c>
      <c r="AL7000">
        <v>86.323919359934393</v>
      </c>
      <c r="AM7000">
        <v>72.211602796102</v>
      </c>
      <c r="AN7000">
        <v>0.99999998087905495</v>
      </c>
    </row>
    <row r="7001" spans="1:40" x14ac:dyDescent="0.25">
      <c r="A7001" t="str">
        <f>"20190312151709469"</f>
        <v>20190312151709469</v>
      </c>
      <c r="B7001" t="str">
        <f>"1552375029464668"</f>
        <v>1552375029464668</v>
      </c>
      <c r="C7001" t="s">
        <v>40</v>
      </c>
      <c r="D7001">
        <v>4.6422720000000002</v>
      </c>
      <c r="E7001">
        <v>0.643598</v>
      </c>
      <c r="F7001" t="s">
        <v>58</v>
      </c>
      <c r="G7001">
        <v>-171.35730000000001</v>
      </c>
      <c r="H7001" s="1">
        <v>-1.791451E-6</v>
      </c>
      <c r="I7001">
        <v>133.7328</v>
      </c>
      <c r="J7001">
        <v>-179.7313</v>
      </c>
      <c r="K7001">
        <v>1.1008910000000001</v>
      </c>
      <c r="L7001">
        <v>131.65629999999999</v>
      </c>
      <c r="M7001">
        <v>0.58078339999999995</v>
      </c>
      <c r="N7001">
        <v>0</v>
      </c>
      <c r="O7001">
        <v>0.81391329999999995</v>
      </c>
      <c r="P7001">
        <v>0.79956629999999995</v>
      </c>
      <c r="Q7001">
        <v>5.6265849999999999E-2</v>
      </c>
      <c r="R7001">
        <v>0.59793649999999998</v>
      </c>
      <c r="S7001">
        <v>3.179611</v>
      </c>
      <c r="T7001">
        <v>-0.41409780000000002</v>
      </c>
      <c r="U7001">
        <v>0.81895450000000003</v>
      </c>
      <c r="V7001">
        <v>0.30504540000000002</v>
      </c>
      <c r="W7001">
        <v>6.4080949999999998E-2</v>
      </c>
      <c r="X7001">
        <v>0.95017949999999995</v>
      </c>
      <c r="Y7001">
        <v>0.63413960000000003</v>
      </c>
      <c r="Z7001">
        <v>-0.1282238</v>
      </c>
      <c r="AA7001">
        <v>0.76251269999999904</v>
      </c>
      <c r="AB7001">
        <v>25</v>
      </c>
      <c r="AC7001">
        <v>8.3739999999999899</v>
      </c>
      <c r="AD7001">
        <v>-1.1008927914510001</v>
      </c>
      <c r="AE7001">
        <v>2.07650000000001</v>
      </c>
      <c r="AF7001">
        <v>5.5204899014279798</v>
      </c>
      <c r="AG7001">
        <v>-1.1008927914510001</v>
      </c>
      <c r="AH7001">
        <v>6.4493356126316002</v>
      </c>
      <c r="AI7001">
        <v>97.388806621192003</v>
      </c>
      <c r="AJ7001">
        <v>49.437199383997502</v>
      </c>
      <c r="AK7001">
        <v>8.5604733242032403</v>
      </c>
      <c r="AL7001">
        <v>86.325914830846401</v>
      </c>
      <c r="AM7001">
        <v>72.201304473260194</v>
      </c>
      <c r="AN7001">
        <v>1.0000000732171499</v>
      </c>
    </row>
    <row r="7002" spans="1:40" x14ac:dyDescent="0.25">
      <c r="A7002" t="str">
        <f>"20190312151709481"</f>
        <v>20190312151709481</v>
      </c>
      <c r="B7002" t="str">
        <f>"1552375029474428"</f>
        <v>1552375029474428</v>
      </c>
      <c r="C7002" t="s">
        <v>40</v>
      </c>
      <c r="D7002">
        <v>4.6080009999999998</v>
      </c>
      <c r="E7002">
        <v>0.64375280000000001</v>
      </c>
      <c r="F7002" t="s">
        <v>58</v>
      </c>
      <c r="G7002">
        <v>-172.38079999999999</v>
      </c>
      <c r="H7002" s="1">
        <v>-2.3558759999999999E-6</v>
      </c>
      <c r="I7002">
        <v>133.68969999999999</v>
      </c>
      <c r="J7002">
        <v>-179.6542</v>
      </c>
      <c r="K7002">
        <v>1.100875</v>
      </c>
      <c r="L7002">
        <v>131.75239999999999</v>
      </c>
      <c r="M7002">
        <v>0.58605149999999995</v>
      </c>
      <c r="N7002">
        <v>0</v>
      </c>
      <c r="O7002">
        <v>0.81012819999999997</v>
      </c>
      <c r="P7002">
        <v>0.80346300000000004</v>
      </c>
      <c r="Q7002">
        <v>5.6515099999999999E-2</v>
      </c>
      <c r="R7002">
        <v>0.59266640000000004</v>
      </c>
      <c r="S7002">
        <v>3.1362920000000001</v>
      </c>
      <c r="T7002">
        <v>-0.46972799999999998</v>
      </c>
      <c r="U7002">
        <v>0.86761469999999896</v>
      </c>
      <c r="V7002">
        <v>0.30512250000000002</v>
      </c>
      <c r="W7002">
        <v>6.4326019999999998E-2</v>
      </c>
      <c r="X7002">
        <v>0.95013809999999999</v>
      </c>
      <c r="Y7002">
        <v>0.61274609999999996</v>
      </c>
      <c r="Z7002">
        <v>-0.14495569999999999</v>
      </c>
      <c r="AA7002">
        <v>0.77687200000000001</v>
      </c>
      <c r="AB7002">
        <v>25</v>
      </c>
      <c r="AC7002">
        <v>7.2733999999999996</v>
      </c>
      <c r="AD7002">
        <v>-1.1008773558759899</v>
      </c>
      <c r="AE7002">
        <v>1.93729999999999</v>
      </c>
      <c r="AF7002">
        <v>4.65795081791057</v>
      </c>
      <c r="AG7002">
        <v>-1.1008773558759899</v>
      </c>
      <c r="AH7002">
        <v>5.7105800775875899</v>
      </c>
      <c r="AI7002">
        <v>98.496361110485495</v>
      </c>
      <c r="AJ7002">
        <v>50.796894939595802</v>
      </c>
      <c r="AK7002">
        <v>7.4511181440972001</v>
      </c>
      <c r="AL7002">
        <v>86.311844028885801</v>
      </c>
      <c r="AM7002">
        <v>72.196363100925893</v>
      </c>
      <c r="AN7002">
        <v>0.99999999296344999</v>
      </c>
    </row>
    <row r="7003" spans="1:40" x14ac:dyDescent="0.25">
      <c r="A7003" t="str">
        <f>"20190312151709491"</f>
        <v>20190312151709491</v>
      </c>
      <c r="B7003" t="str">
        <f>"1552375029485164"</f>
        <v>1552375029485164</v>
      </c>
      <c r="C7003" t="s">
        <v>40</v>
      </c>
      <c r="D7003">
        <v>4.6081490000000001</v>
      </c>
      <c r="E7003">
        <v>0.64304069999999902</v>
      </c>
      <c r="F7003" t="s">
        <v>58</v>
      </c>
      <c r="G7003">
        <v>-172.4195</v>
      </c>
      <c r="H7003" s="1">
        <v>-2.3819999999999998E-6</v>
      </c>
      <c r="I7003">
        <v>133.69890000000001</v>
      </c>
      <c r="J7003">
        <v>-179.57390000000001</v>
      </c>
      <c r="K7003">
        <v>1.1008599999999999</v>
      </c>
      <c r="L7003">
        <v>131.8519</v>
      </c>
      <c r="M7003">
        <v>0.59150009999999997</v>
      </c>
      <c r="N7003">
        <v>0</v>
      </c>
      <c r="O7003">
        <v>0.80615839999999905</v>
      </c>
      <c r="P7003">
        <v>0.80748769999999903</v>
      </c>
      <c r="Q7003">
        <v>5.636886E-2</v>
      </c>
      <c r="R7003">
        <v>0.58718499999999996</v>
      </c>
      <c r="S7003">
        <v>3.1435849999999999</v>
      </c>
      <c r="T7003">
        <v>-0.47834660000000001</v>
      </c>
      <c r="U7003">
        <v>0.84577939999999996</v>
      </c>
      <c r="V7003">
        <v>0.30518990000000001</v>
      </c>
      <c r="W7003">
        <v>6.4176120000000003E-2</v>
      </c>
      <c r="X7003">
        <v>0.95012660000000004</v>
      </c>
      <c r="Y7003">
        <v>0.61254489999999995</v>
      </c>
      <c r="Z7003">
        <v>-0.1472106</v>
      </c>
      <c r="AA7003">
        <v>0.77660660000000004</v>
      </c>
      <c r="AB7003">
        <v>25</v>
      </c>
      <c r="AC7003">
        <v>7.1544000000000096</v>
      </c>
      <c r="AD7003">
        <v>-1.1008623820000001</v>
      </c>
      <c r="AE7003">
        <v>1.847</v>
      </c>
      <c r="AF7003">
        <v>4.5740990896485796</v>
      </c>
      <c r="AG7003">
        <v>-1.1008623820000001</v>
      </c>
      <c r="AH7003">
        <v>5.5972357690281003</v>
      </c>
      <c r="AI7003">
        <v>98.659288898676493</v>
      </c>
      <c r="AJ7003">
        <v>50.744072734527997</v>
      </c>
      <c r="AK7003">
        <v>7.3118621923634697</v>
      </c>
      <c r="AL7003">
        <v>86.320450485188005</v>
      </c>
      <c r="AM7003">
        <v>72.192476829849994</v>
      </c>
      <c r="AN7003">
        <v>1.00000000273391</v>
      </c>
    </row>
    <row r="7004" spans="1:40" x14ac:dyDescent="0.25">
      <c r="A7004" t="str">
        <f>"20190312151709503"</f>
        <v>20190312151709503</v>
      </c>
      <c r="B7004" t="str">
        <f>"1552375029494924"</f>
        <v>1552375029494924</v>
      </c>
      <c r="C7004" t="s">
        <v>40</v>
      </c>
      <c r="D7004">
        <v>4.7479990000000001</v>
      </c>
      <c r="E7004">
        <v>0.64342840000000001</v>
      </c>
      <c r="F7004" t="s">
        <v>58</v>
      </c>
      <c r="G7004">
        <v>-172.39680000000001</v>
      </c>
      <c r="H7004" s="1">
        <v>-2.3885289999999998E-6</v>
      </c>
      <c r="I7004">
        <v>133.74289999999999</v>
      </c>
      <c r="J7004">
        <v>-179.49350000000001</v>
      </c>
      <c r="K7004">
        <v>1.1008450000000001</v>
      </c>
      <c r="L7004">
        <v>131.94919999999999</v>
      </c>
      <c r="M7004">
        <v>0.59687800000000002</v>
      </c>
      <c r="N7004">
        <v>0</v>
      </c>
      <c r="O7004">
        <v>0.80218459999999903</v>
      </c>
      <c r="P7004">
        <v>0.81145</v>
      </c>
      <c r="Q7004">
        <v>5.6242889999999997E-2</v>
      </c>
      <c r="R7004">
        <v>0.58170929999999998</v>
      </c>
      <c r="S7004">
        <v>3.1461489999999999</v>
      </c>
      <c r="T7004">
        <v>-0.4825759</v>
      </c>
      <c r="U7004">
        <v>0.82890319999999995</v>
      </c>
      <c r="V7004">
        <v>0.30526959999999997</v>
      </c>
      <c r="W7004">
        <v>6.4047629999999994E-2</v>
      </c>
      <c r="X7004">
        <v>0.95010969999999995</v>
      </c>
      <c r="Y7004">
        <v>0.61115549999999996</v>
      </c>
      <c r="Z7004">
        <v>-0.14818429999999999</v>
      </c>
      <c r="AA7004">
        <v>0.77751550000000003</v>
      </c>
      <c r="AB7004">
        <v>25</v>
      </c>
      <c r="AC7004">
        <v>7.0966999999999896</v>
      </c>
      <c r="AD7004">
        <v>-1.100847388529</v>
      </c>
      <c r="AE7004">
        <v>1.7937000000000001</v>
      </c>
      <c r="AF7004">
        <v>4.5205460020307804</v>
      </c>
      <c r="AG7004">
        <v>-1.100847388529</v>
      </c>
      <c r="AH7004">
        <v>5.5498884287127597</v>
      </c>
      <c r="AI7004">
        <v>98.7431952123749</v>
      </c>
      <c r="AJ7004">
        <v>50.836179424900401</v>
      </c>
      <c r="AK7004">
        <v>7.2421310883238901</v>
      </c>
      <c r="AL7004">
        <v>86.327827714647796</v>
      </c>
      <c r="AM7004">
        <v>72.187823460066397</v>
      </c>
      <c r="AN7004">
        <v>1.0000000348134299</v>
      </c>
    </row>
    <row r="7005" spans="1:40" x14ac:dyDescent="0.25">
      <c r="A7005" t="str">
        <f>"20190312151709516"</f>
        <v>20190312151709516</v>
      </c>
      <c r="B7005" t="str">
        <f>"1552375029504684"</f>
        <v>1552375029504684</v>
      </c>
      <c r="C7005" t="s">
        <v>40</v>
      </c>
      <c r="D7005">
        <v>4.6405159999999999</v>
      </c>
      <c r="E7005">
        <v>0.64302029999999999</v>
      </c>
      <c r="F7005" t="s">
        <v>58</v>
      </c>
      <c r="G7005">
        <v>-172.36250000000001</v>
      </c>
      <c r="H7005" s="1">
        <v>-2.380902E-6</v>
      </c>
      <c r="I7005">
        <v>133.7697</v>
      </c>
      <c r="J7005">
        <v>-179.40430000000001</v>
      </c>
      <c r="K7005">
        <v>1.100832</v>
      </c>
      <c r="L7005">
        <v>132.05629999999999</v>
      </c>
      <c r="M7005">
        <v>0.60278920000000002</v>
      </c>
      <c r="N7005">
        <v>0</v>
      </c>
      <c r="O7005">
        <v>0.79775200000000002</v>
      </c>
      <c r="P7005">
        <v>0.81575410000000004</v>
      </c>
      <c r="Q7005">
        <v>5.6124180000000003E-2</v>
      </c>
      <c r="R7005">
        <v>0.57566949999999995</v>
      </c>
      <c r="S7005">
        <v>3.1536559999999998</v>
      </c>
      <c r="T7005">
        <v>-0.48685149999999999</v>
      </c>
      <c r="U7005">
        <v>0.80511469999999996</v>
      </c>
      <c r="V7005">
        <v>0.30530819999999997</v>
      </c>
      <c r="W7005">
        <v>6.3927730000000002E-2</v>
      </c>
      <c r="X7005">
        <v>0.95010530000000004</v>
      </c>
      <c r="Y7005">
        <v>0.61112509999999998</v>
      </c>
      <c r="Z7005">
        <v>-0.14906900000000001</v>
      </c>
      <c r="AA7005">
        <v>0.77737029999999996</v>
      </c>
      <c r="AB7005">
        <v>25</v>
      </c>
      <c r="AC7005">
        <v>7.0417999999999896</v>
      </c>
      <c r="AD7005">
        <v>-1.100834380902</v>
      </c>
      <c r="AE7005">
        <v>1.7134</v>
      </c>
      <c r="AF7005">
        <v>4.48192447558956</v>
      </c>
      <c r="AG7005">
        <v>-1.100834380902</v>
      </c>
      <c r="AH7005">
        <v>5.4856849908479797</v>
      </c>
      <c r="AI7005">
        <v>98.833191679557999</v>
      </c>
      <c r="AJ7005">
        <v>50.750426893190102</v>
      </c>
      <c r="AK7005">
        <v>7.1688369459682502</v>
      </c>
      <c r="AL7005">
        <v>86.334711334359994</v>
      </c>
      <c r="AM7005">
        <v>72.185636267014701</v>
      </c>
      <c r="AN7005">
        <v>0.99999996636914001</v>
      </c>
    </row>
    <row r="7006" spans="1:40" x14ac:dyDescent="0.25">
      <c r="A7006" t="str">
        <f>"20190312151709529"</f>
        <v>20190312151709529</v>
      </c>
      <c r="B7006" t="str">
        <f>"1552375029525180"</f>
        <v>1552375029525180</v>
      </c>
      <c r="C7006" t="s">
        <v>40</v>
      </c>
      <c r="D7006">
        <v>4.6546120000000002</v>
      </c>
      <c r="E7006">
        <v>0.64222999999999997</v>
      </c>
      <c r="F7006" t="s">
        <v>58</v>
      </c>
      <c r="G7006">
        <v>-172.3134</v>
      </c>
      <c r="H7006" s="1">
        <v>-2.3741159999999999E-6</v>
      </c>
      <c r="I7006">
        <v>133.8176</v>
      </c>
      <c r="J7006">
        <v>-179.30539999999999</v>
      </c>
      <c r="K7006">
        <v>1.1008209999999901</v>
      </c>
      <c r="L7006">
        <v>132.1729</v>
      </c>
      <c r="M7006">
        <v>0.60926429999999998</v>
      </c>
      <c r="N7006">
        <v>0</v>
      </c>
      <c r="O7006">
        <v>0.79281769999999996</v>
      </c>
      <c r="P7006">
        <v>0.82044819999999996</v>
      </c>
      <c r="Q7006">
        <v>5.6141990000000003E-2</v>
      </c>
      <c r="R7006">
        <v>0.56895790000000002</v>
      </c>
      <c r="S7006">
        <v>3.1577760000000001</v>
      </c>
      <c r="T7006">
        <v>-0.49023339999999999</v>
      </c>
      <c r="U7006">
        <v>0.78436280000000003</v>
      </c>
      <c r="V7006">
        <v>0.30536859999999999</v>
      </c>
      <c r="W7006">
        <v>6.394532E-2</v>
      </c>
      <c r="X7006">
        <v>0.9500847</v>
      </c>
      <c r="Y7006">
        <v>0.60964259999999904</v>
      </c>
      <c r="Z7006">
        <v>-0.14964439999999901</v>
      </c>
      <c r="AA7006">
        <v>0.77842309999999904</v>
      </c>
      <c r="AB7006">
        <v>25</v>
      </c>
      <c r="AC7006">
        <v>6.9919999999999902</v>
      </c>
      <c r="AD7006">
        <v>-1.1008233741159901</v>
      </c>
      <c r="AE7006">
        <v>1.6447000000000001</v>
      </c>
      <c r="AF7006">
        <v>4.4376323173262904</v>
      </c>
      <c r="AG7006">
        <v>-1.1008233741159901</v>
      </c>
      <c r="AH7006">
        <v>5.4368822121911</v>
      </c>
      <c r="AI7006">
        <v>98.914618164409205</v>
      </c>
      <c r="AJ7006">
        <v>50.778366430413001</v>
      </c>
      <c r="AK7006">
        <v>7.1038074913400404</v>
      </c>
      <c r="AL7006">
        <v>86.333701417383196</v>
      </c>
      <c r="AM7006">
        <v>72.181972942132504</v>
      </c>
      <c r="AN7006">
        <v>0.99999996149497505</v>
      </c>
    </row>
    <row r="7007" spans="1:40" x14ac:dyDescent="0.25">
      <c r="A7007" t="str">
        <f>"20190312151709549"</f>
        <v>20190312151709549</v>
      </c>
      <c r="B7007" t="str">
        <f>"1552375029544700"</f>
        <v>1552375029544700</v>
      </c>
      <c r="C7007" t="s">
        <v>40</v>
      </c>
      <c r="D7007">
        <v>4.6835579999999997</v>
      </c>
      <c r="E7007">
        <v>0.64075550000000003</v>
      </c>
      <c r="F7007" t="s">
        <v>58</v>
      </c>
      <c r="G7007">
        <v>-172.2619</v>
      </c>
      <c r="H7007" s="1">
        <v>-2.370031E-6</v>
      </c>
      <c r="I7007">
        <v>133.87469999999999</v>
      </c>
      <c r="J7007">
        <v>-179.1551</v>
      </c>
      <c r="K7007">
        <v>1.100816</v>
      </c>
      <c r="L7007">
        <v>132.34639999999999</v>
      </c>
      <c r="M7007">
        <v>0.61893580000000004</v>
      </c>
      <c r="N7007">
        <v>0</v>
      </c>
      <c r="O7007">
        <v>0.7852903</v>
      </c>
      <c r="P7007">
        <v>0.82737109999999903</v>
      </c>
      <c r="Q7007">
        <v>5.6279860000000001E-2</v>
      </c>
      <c r="R7007">
        <v>0.55882889999999996</v>
      </c>
      <c r="S7007">
        <v>3.1607509999999999</v>
      </c>
      <c r="T7007">
        <v>-0.49399500000000002</v>
      </c>
      <c r="U7007">
        <v>0.76368709999999995</v>
      </c>
      <c r="V7007">
        <v>0.30540109999999998</v>
      </c>
      <c r="W7007">
        <v>6.4086649999999995E-2</v>
      </c>
      <c r="X7007">
        <v>0.95006480000000004</v>
      </c>
      <c r="Y7007">
        <v>0.60485540000000004</v>
      </c>
      <c r="Z7007">
        <v>-0.149925799999999</v>
      </c>
      <c r="AA7007">
        <v>0.78209469999999903</v>
      </c>
      <c r="AB7007">
        <v>25</v>
      </c>
      <c r="AC7007">
        <v>6.8932000000000002</v>
      </c>
      <c r="AD7007">
        <v>-1.1008183700309999</v>
      </c>
      <c r="AE7007">
        <v>1.5283</v>
      </c>
      <c r="AF7007">
        <v>4.3617488881551196</v>
      </c>
      <c r="AG7007">
        <v>-1.1008183700309999</v>
      </c>
      <c r="AH7007">
        <v>5.3375126689826002</v>
      </c>
      <c r="AI7007">
        <v>99.073525408789905</v>
      </c>
      <c r="AJ7007">
        <v>50.7447338718897</v>
      </c>
      <c r="AK7007">
        <v>6.9803793549254802</v>
      </c>
      <c r="AL7007">
        <v>86.325587403650502</v>
      </c>
      <c r="AM7007">
        <v>72.179846887507594</v>
      </c>
      <c r="AN7007">
        <v>1.00000002739423</v>
      </c>
    </row>
    <row r="7008" spans="1:40" x14ac:dyDescent="0.25">
      <c r="A7008" t="str">
        <f>"20190312151709561"</f>
        <v>20190312151709561</v>
      </c>
      <c r="B7008" t="str">
        <f>"1552375029554460"</f>
        <v>1552375029554460</v>
      </c>
      <c r="C7008" t="s">
        <v>40</v>
      </c>
      <c r="D7008">
        <v>4.633985</v>
      </c>
      <c r="E7008">
        <v>0.6400477</v>
      </c>
      <c r="F7008" t="s">
        <v>58</v>
      </c>
      <c r="G7008">
        <v>-172.05260000000001</v>
      </c>
      <c r="H7008" s="1">
        <v>-2.304579E-6</v>
      </c>
      <c r="I7008">
        <v>133.99639999999999</v>
      </c>
      <c r="J7008">
        <v>-179.06389999999999</v>
      </c>
      <c r="K7008">
        <v>1.1008150000000001</v>
      </c>
      <c r="L7008">
        <v>132.4494</v>
      </c>
      <c r="M7008">
        <v>0.62470139999999996</v>
      </c>
      <c r="N7008">
        <v>0</v>
      </c>
      <c r="O7008">
        <v>0.78071140000000006</v>
      </c>
      <c r="P7008">
        <v>0.83144669999999898</v>
      </c>
      <c r="Q7008">
        <v>5.6511319999999997E-2</v>
      </c>
      <c r="R7008">
        <v>0.55272310000000002</v>
      </c>
      <c r="S7008">
        <v>3.1629939999999999</v>
      </c>
      <c r="T7008">
        <v>-0.4902376</v>
      </c>
      <c r="U7008">
        <v>0.73477169999999903</v>
      </c>
      <c r="V7008">
        <v>0.30539290000000002</v>
      </c>
      <c r="W7008">
        <v>6.4322199999999996E-2</v>
      </c>
      <c r="X7008">
        <v>0.95005150000000005</v>
      </c>
      <c r="Y7008">
        <v>0.60612250000000001</v>
      </c>
      <c r="Z7008">
        <v>-0.1487021</v>
      </c>
      <c r="AA7008">
        <v>0.78134709999999996</v>
      </c>
      <c r="AB7008">
        <v>25</v>
      </c>
      <c r="AC7008">
        <v>7.0112999999999701</v>
      </c>
      <c r="AD7008">
        <v>-1.100817304579</v>
      </c>
      <c r="AE7008">
        <v>1.5469999999999899</v>
      </c>
      <c r="AF7008">
        <v>4.4043928783704898</v>
      </c>
      <c r="AG7008">
        <v>-1.100817304579</v>
      </c>
      <c r="AH7008">
        <v>5.4600472882064697</v>
      </c>
      <c r="AI7008">
        <v>98.918265332728097</v>
      </c>
      <c r="AJ7008">
        <v>51.108326086473902</v>
      </c>
      <c r="AK7008">
        <v>7.1008866879110304</v>
      </c>
      <c r="AL7008">
        <v>86.312063418539495</v>
      </c>
      <c r="AM7008">
        <v>72.180061410396107</v>
      </c>
      <c r="AN7008">
        <v>1.00000001071775</v>
      </c>
    </row>
    <row r="7009" spans="1:40" x14ac:dyDescent="0.25">
      <c r="A7009" t="str">
        <f>"20190312151709572"</f>
        <v>20190312151709572</v>
      </c>
      <c r="B7009" t="str">
        <f>"1552375029565196"</f>
        <v>1552375029565196</v>
      </c>
      <c r="C7009" t="s">
        <v>40</v>
      </c>
      <c r="D7009">
        <v>4.6939599999999997</v>
      </c>
      <c r="E7009">
        <v>0.63965099999999997</v>
      </c>
      <c r="F7009" t="s">
        <v>58</v>
      </c>
      <c r="G7009">
        <v>-171.90639999999999</v>
      </c>
      <c r="H7009" s="1">
        <v>-2.2535180000000002E-6</v>
      </c>
      <c r="I7009">
        <v>134.0694</v>
      </c>
      <c r="J7009">
        <v>-178.98330000000001</v>
      </c>
      <c r="K7009">
        <v>1.10081299999999</v>
      </c>
      <c r="L7009">
        <v>132.53970000000001</v>
      </c>
      <c r="M7009">
        <v>0.62975689999999995</v>
      </c>
      <c r="N7009">
        <v>0</v>
      </c>
      <c r="O7009">
        <v>0.77663899999999997</v>
      </c>
      <c r="P7009">
        <v>0.83498130000000004</v>
      </c>
      <c r="Q7009">
        <v>5.6656489999999997E-2</v>
      </c>
      <c r="R7009">
        <v>0.54735389999999995</v>
      </c>
      <c r="S7009">
        <v>3.1650239999999998</v>
      </c>
      <c r="T7009">
        <v>-0.48677290000000001</v>
      </c>
      <c r="U7009">
        <v>0.71635439999999995</v>
      </c>
      <c r="V7009">
        <v>0.30534270000000002</v>
      </c>
      <c r="W7009">
        <v>6.4472580000000002E-2</v>
      </c>
      <c r="X7009">
        <v>0.95005740000000005</v>
      </c>
      <c r="Y7009">
        <v>0.60563210000000001</v>
      </c>
      <c r="Z7009">
        <v>-0.14738370000000001</v>
      </c>
      <c r="AA7009">
        <v>0.78197680000000003</v>
      </c>
      <c r="AB7009">
        <v>25</v>
      </c>
      <c r="AC7009">
        <v>7.0769000000000197</v>
      </c>
      <c r="AD7009">
        <v>-1.10081525351799</v>
      </c>
      <c r="AE7009">
        <v>1.5296999999999901</v>
      </c>
      <c r="AF7009">
        <v>4.4309711901937003</v>
      </c>
      <c r="AG7009">
        <v>-1.10081525351799</v>
      </c>
      <c r="AH7009">
        <v>5.5178727361277904</v>
      </c>
      <c r="AI7009">
        <v>98.841712544071896</v>
      </c>
      <c r="AJ7009">
        <v>51.234782008041599</v>
      </c>
      <c r="AK7009">
        <v>7.1618586583935704</v>
      </c>
      <c r="AL7009">
        <v>86.303429209572798</v>
      </c>
      <c r="AM7009">
        <v>72.182909040079707</v>
      </c>
      <c r="AN7009">
        <v>0.99999997065495205</v>
      </c>
    </row>
    <row r="7010" spans="1:40" x14ac:dyDescent="0.25">
      <c r="A7010" t="str">
        <f>"20190312151709582"</f>
        <v>20190312151709582</v>
      </c>
      <c r="B7010" t="str">
        <f>"1552375029574956"</f>
        <v>1552375029574956</v>
      </c>
      <c r="C7010" t="s">
        <v>40</v>
      </c>
      <c r="D7010">
        <v>4.7077600000000004</v>
      </c>
      <c r="E7010">
        <v>0.63917080000000004</v>
      </c>
      <c r="F7010" t="s">
        <v>58</v>
      </c>
      <c r="G7010">
        <v>-171.82599999999999</v>
      </c>
      <c r="H7010" s="1">
        <v>-2.2292519999999999E-6</v>
      </c>
      <c r="I7010">
        <v>134.11799999999999</v>
      </c>
      <c r="J7010">
        <v>-178.90440000000001</v>
      </c>
      <c r="K7010">
        <v>1.100814</v>
      </c>
      <c r="L7010">
        <v>132.62620000000001</v>
      </c>
      <c r="M7010">
        <v>0.63462640000000003</v>
      </c>
      <c r="N7010">
        <v>0</v>
      </c>
      <c r="O7010">
        <v>0.77266489999999999</v>
      </c>
      <c r="P7010">
        <v>0.83830919999999898</v>
      </c>
      <c r="Q7010">
        <v>5.7217360000000002E-2</v>
      </c>
      <c r="R7010">
        <v>0.54218449999999996</v>
      </c>
      <c r="S7010">
        <v>3.1680299999999999</v>
      </c>
      <c r="T7010">
        <v>-0.48725770000000002</v>
      </c>
      <c r="U7010">
        <v>0.69857789999999997</v>
      </c>
      <c r="V7010">
        <v>0.30522369999999999</v>
      </c>
      <c r="W7010">
        <v>6.5041680000000004E-2</v>
      </c>
      <c r="X7010">
        <v>0.95005689999999998</v>
      </c>
      <c r="Y7010">
        <v>0.60501249999999995</v>
      </c>
      <c r="Z7010">
        <v>-0.14718870000000001</v>
      </c>
      <c r="AA7010">
        <v>0.78249309999999905</v>
      </c>
      <c r="AB7010">
        <v>25</v>
      </c>
      <c r="AC7010">
        <v>7.07840000000001</v>
      </c>
      <c r="AD7010">
        <v>-1.1008162292520001</v>
      </c>
      <c r="AE7010">
        <v>1.49179999999998</v>
      </c>
      <c r="AF7010">
        <v>4.4206644153218502</v>
      </c>
      <c r="AG7010">
        <v>-1.1008162292520001</v>
      </c>
      <c r="AH7010">
        <v>5.5176993739667903</v>
      </c>
      <c r="AI7010">
        <v>98.849823859355794</v>
      </c>
      <c r="AJ7010">
        <v>51.299028207987497</v>
      </c>
      <c r="AK7010">
        <v>7.15535300491534</v>
      </c>
      <c r="AL7010">
        <v>86.270753780761297</v>
      </c>
      <c r="AM7010">
        <v>72.1894052141119</v>
      </c>
      <c r="AN7010">
        <v>1.00000002020826</v>
      </c>
    </row>
    <row r="7011" spans="1:40" x14ac:dyDescent="0.25">
      <c r="A7011" t="str">
        <f>"20190312151709592"</f>
        <v>20190312151709592</v>
      </c>
      <c r="B7011" t="str">
        <f>"1552375029584716"</f>
        <v>1552375029584716</v>
      </c>
      <c r="C7011" t="s">
        <v>40</v>
      </c>
      <c r="D7011">
        <v>4.6897440000000001</v>
      </c>
      <c r="E7011">
        <v>0.63917080000000004</v>
      </c>
      <c r="F7011" t="s">
        <v>58</v>
      </c>
      <c r="G7011">
        <v>-171.7303</v>
      </c>
      <c r="H7011" s="1">
        <v>-2.1978680000000001E-6</v>
      </c>
      <c r="I7011">
        <v>134.1703</v>
      </c>
      <c r="J7011">
        <v>-178.82210000000001</v>
      </c>
      <c r="K7011">
        <v>1.1008180000000001</v>
      </c>
      <c r="L7011">
        <v>132.71610000000001</v>
      </c>
      <c r="M7011">
        <v>0.63967249999999998</v>
      </c>
      <c r="N7011">
        <v>0</v>
      </c>
      <c r="O7011">
        <v>0.76849250000000002</v>
      </c>
      <c r="P7011">
        <v>0.84187979999999996</v>
      </c>
      <c r="Q7011">
        <v>5.7540300000000003E-2</v>
      </c>
      <c r="R7011">
        <v>0.53658890000000004</v>
      </c>
      <c r="S7011">
        <v>3.1704859999999999</v>
      </c>
      <c r="T7011">
        <v>-0.48649019999999998</v>
      </c>
      <c r="U7011">
        <v>0.68241879999999999</v>
      </c>
      <c r="V7011">
        <v>0.30532049999999999</v>
      </c>
      <c r="W7011">
        <v>6.5367610000000007E-2</v>
      </c>
      <c r="X7011">
        <v>0.95000340000000005</v>
      </c>
      <c r="Y7011">
        <v>0.6038502</v>
      </c>
      <c r="Z7011">
        <v>-0.1465668</v>
      </c>
      <c r="AA7011">
        <v>0.78350699999999995</v>
      </c>
      <c r="AB7011">
        <v>25</v>
      </c>
      <c r="AC7011">
        <v>7.0918000000000001</v>
      </c>
      <c r="AD7011">
        <v>-1.1008201978679999</v>
      </c>
      <c r="AE7011">
        <v>1.45419999999998</v>
      </c>
      <c r="AF7011">
        <v>4.4181636972283798</v>
      </c>
      <c r="AG7011">
        <v>-1.1008201978679999</v>
      </c>
      <c r="AH7011">
        <v>5.5268512732627304</v>
      </c>
      <c r="AI7011">
        <v>98.842982966371906</v>
      </c>
      <c r="AJ7011">
        <v>51.361167409570001</v>
      </c>
      <c r="AK7011">
        <v>7.16087009799136</v>
      </c>
      <c r="AL7011">
        <v>86.252039451562695</v>
      </c>
      <c r="AM7011">
        <v>72.1831738755304</v>
      </c>
      <c r="AN7011">
        <v>0.999999996084461</v>
      </c>
    </row>
    <row r="7012" spans="1:40" x14ac:dyDescent="0.25">
      <c r="A7012" t="str">
        <f>"20190312151709604"</f>
        <v>20190312151709604</v>
      </c>
      <c r="B7012" t="str">
        <f>"1552375029595452"</f>
        <v>1552375029595452</v>
      </c>
      <c r="C7012" t="s">
        <v>40</v>
      </c>
      <c r="D7012">
        <v>4.7165710000000001</v>
      </c>
      <c r="E7012">
        <v>0.62776269999999901</v>
      </c>
      <c r="F7012" t="s">
        <v>58</v>
      </c>
      <c r="G7012">
        <v>-171.6277</v>
      </c>
      <c r="H7012" s="1">
        <v>-2.1591269999999999E-6</v>
      </c>
      <c r="I7012">
        <v>134.215</v>
      </c>
      <c r="J7012">
        <v>-178.73439999999999</v>
      </c>
      <c r="K7012">
        <v>1.1008209999999901</v>
      </c>
      <c r="L7012">
        <v>132.80969999999999</v>
      </c>
      <c r="M7012">
        <v>0.64496290000000001</v>
      </c>
      <c r="N7012">
        <v>0</v>
      </c>
      <c r="O7012">
        <v>0.76405780000000001</v>
      </c>
      <c r="P7012">
        <v>0.84553060000000002</v>
      </c>
      <c r="Q7012">
        <v>5.7800700000000003E-2</v>
      </c>
      <c r="R7012">
        <v>0.53078930000000002</v>
      </c>
      <c r="S7012">
        <v>3.1750639999999999</v>
      </c>
      <c r="T7012">
        <v>-0.48581540000000001</v>
      </c>
      <c r="U7012">
        <v>0.66148379999999996</v>
      </c>
      <c r="V7012">
        <v>0.30528339999999998</v>
      </c>
      <c r="W7012">
        <v>6.5636459999999994E-2</v>
      </c>
      <c r="X7012">
        <v>0.94999679999999997</v>
      </c>
      <c r="Y7012">
        <v>0.60364119999999999</v>
      </c>
      <c r="Z7012">
        <v>-0.14595839999999999</v>
      </c>
      <c r="AA7012">
        <v>0.78378149999999902</v>
      </c>
      <c r="AB7012">
        <v>25</v>
      </c>
      <c r="AC7012">
        <v>7.1066999999999796</v>
      </c>
      <c r="AD7012">
        <v>-1.1008231591269999</v>
      </c>
      <c r="AE7012">
        <v>1.40530000000001</v>
      </c>
      <c r="AF7012">
        <v>4.42199497506373</v>
      </c>
      <c r="AG7012">
        <v>-1.1008231591269999</v>
      </c>
      <c r="AH7012">
        <v>5.5302643436159604</v>
      </c>
      <c r="AI7012">
        <v>98.836788987175595</v>
      </c>
      <c r="AJ7012">
        <v>51.35419682301</v>
      </c>
      <c r="AK7012">
        <v>7.1658687468742599</v>
      </c>
      <c r="AL7012">
        <v>86.236602379870206</v>
      </c>
      <c r="AM7012">
        <v>72.185086019012402</v>
      </c>
      <c r="AN7012">
        <v>1.0000000096035599</v>
      </c>
    </row>
    <row r="7013" spans="1:40" x14ac:dyDescent="0.25">
      <c r="A7013" t="str">
        <f>"20190312151709614"</f>
        <v>20190312151709614</v>
      </c>
      <c r="B7013" t="str">
        <f>"1552375029605213"</f>
        <v>1552375029605213</v>
      </c>
      <c r="C7013" t="s">
        <v>40</v>
      </c>
      <c r="D7013">
        <v>4.7881780000000003</v>
      </c>
      <c r="E7013">
        <v>0.62829169999999901</v>
      </c>
      <c r="F7013" t="s">
        <v>58</v>
      </c>
      <c r="G7013">
        <v>-171.7653</v>
      </c>
      <c r="H7013" s="1">
        <v>-2.3216750000000001E-6</v>
      </c>
      <c r="I7013">
        <v>134.4049</v>
      </c>
      <c r="J7013">
        <v>-178.6514</v>
      </c>
      <c r="K7013">
        <v>1.100827</v>
      </c>
      <c r="L7013">
        <v>132.89779999999999</v>
      </c>
      <c r="M7013">
        <v>0.64992869999999903</v>
      </c>
      <c r="N7013">
        <v>0</v>
      </c>
      <c r="O7013">
        <v>0.75983819999999902</v>
      </c>
      <c r="P7013">
        <v>0.84900489999999995</v>
      </c>
      <c r="Q7013">
        <v>5.8194919999999997E-2</v>
      </c>
      <c r="R7013">
        <v>0.52517049999999998</v>
      </c>
      <c r="S7013">
        <v>3.1318820000000001</v>
      </c>
      <c r="T7013">
        <v>-0.49470639999999999</v>
      </c>
      <c r="U7013">
        <v>0.71687319999999999</v>
      </c>
      <c r="V7013">
        <v>0.30537969999999998</v>
      </c>
      <c r="W7013">
        <v>6.6035170000000004E-2</v>
      </c>
      <c r="X7013">
        <v>0.94993819999999995</v>
      </c>
      <c r="Y7013">
        <v>0.58242209999999905</v>
      </c>
      <c r="Z7013">
        <v>-0.148117</v>
      </c>
      <c r="AA7013">
        <v>0.79927839999999994</v>
      </c>
      <c r="AB7013">
        <v>25</v>
      </c>
      <c r="AC7013">
        <v>6.8860999999999901</v>
      </c>
      <c r="AD7013">
        <v>-1.100829321675</v>
      </c>
      <c r="AE7013">
        <v>1.5071000000000001</v>
      </c>
      <c r="AF7013">
        <v>4.1520618906645401</v>
      </c>
      <c r="AG7013">
        <v>-1.100829321675</v>
      </c>
      <c r="AH7013">
        <v>5.4874692771272002</v>
      </c>
      <c r="AI7013">
        <v>99.088859602442099</v>
      </c>
      <c r="AJ7013">
        <v>52.887239603584597</v>
      </c>
      <c r="AK7013">
        <v>6.9687704946269502</v>
      </c>
      <c r="AL7013">
        <v>86.213708252401403</v>
      </c>
      <c r="AM7013">
        <v>72.178792052766596</v>
      </c>
      <c r="AN7013">
        <v>0.99999999433412901</v>
      </c>
    </row>
    <row r="7014" spans="1:40" x14ac:dyDescent="0.25">
      <c r="A7014" t="str">
        <f>"20190312151709625"</f>
        <v>20190312151709625</v>
      </c>
      <c r="B7014" t="str">
        <f>"1552375029614973"</f>
        <v>1552375029614973</v>
      </c>
      <c r="C7014" t="s">
        <v>40</v>
      </c>
      <c r="D7014">
        <v>4.7897179999999997</v>
      </c>
      <c r="E7014">
        <v>0.62836059999999905</v>
      </c>
      <c r="F7014" t="s">
        <v>58</v>
      </c>
      <c r="G7014">
        <v>-171.66849999999999</v>
      </c>
      <c r="H7014" s="1">
        <v>-2.2819449999999999E-6</v>
      </c>
      <c r="I7014">
        <v>134.43979999999999</v>
      </c>
      <c r="J7014">
        <v>-178.5615</v>
      </c>
      <c r="K7014">
        <v>1.1008370000000001</v>
      </c>
      <c r="L7014">
        <v>132.9913</v>
      </c>
      <c r="M7014">
        <v>0.65522239999999998</v>
      </c>
      <c r="N7014">
        <v>0</v>
      </c>
      <c r="O7014">
        <v>0.75527809999999995</v>
      </c>
      <c r="P7014">
        <v>0.85266730000000002</v>
      </c>
      <c r="Q7014">
        <v>5.8378760000000002E-2</v>
      </c>
      <c r="R7014">
        <v>0.51918229999999999</v>
      </c>
      <c r="S7014">
        <v>3.1387330000000002</v>
      </c>
      <c r="T7014">
        <v>-0.49481229999999998</v>
      </c>
      <c r="U7014">
        <v>0.69310000000000005</v>
      </c>
      <c r="V7014">
        <v>0.30542069999999999</v>
      </c>
      <c r="W7014">
        <v>6.6226919999999995E-2</v>
      </c>
      <c r="X7014">
        <v>0.94991170000000003</v>
      </c>
      <c r="Y7014">
        <v>0.58296700000000001</v>
      </c>
      <c r="Z7014">
        <v>-0.14769079999999901</v>
      </c>
      <c r="AA7014">
        <v>0.79895989999999995</v>
      </c>
      <c r="AB7014">
        <v>25</v>
      </c>
      <c r="AC7014">
        <v>6.8929999999999998</v>
      </c>
      <c r="AD7014">
        <v>-1.1008392819449999</v>
      </c>
      <c r="AE7014">
        <v>1.4484999999999899</v>
      </c>
      <c r="AF7014">
        <v>4.1560321468857504</v>
      </c>
      <c r="AG7014">
        <v>-1.1008392819449999</v>
      </c>
      <c r="AH7014">
        <v>5.4773443900024104</v>
      </c>
      <c r="AI7014">
        <v>99.096313350376704</v>
      </c>
      <c r="AJ7014">
        <v>52.809946715668303</v>
      </c>
      <c r="AK7014">
        <v>6.96317110929437</v>
      </c>
      <c r="AL7014">
        <v>86.202697794254107</v>
      </c>
      <c r="AM7014">
        <v>72.176085018989795</v>
      </c>
      <c r="AN7014">
        <v>1.00000002335903</v>
      </c>
    </row>
    <row r="7015" spans="1:40" x14ac:dyDescent="0.25">
      <c r="A7015" t="str">
        <f>"20190312151709637"</f>
        <v>20190312151709637</v>
      </c>
      <c r="B7015" t="str">
        <f>"1552375029624732"</f>
        <v>1552375029624732</v>
      </c>
      <c r="C7015" t="s">
        <v>40</v>
      </c>
      <c r="D7015">
        <v>4.7380469999999999</v>
      </c>
      <c r="E7015">
        <v>0.62784119999999999</v>
      </c>
      <c r="F7015" t="s">
        <v>58</v>
      </c>
      <c r="G7015">
        <v>-171.6456</v>
      </c>
      <c r="H7015" s="1">
        <v>-2.2809E-6</v>
      </c>
      <c r="I7015">
        <v>134.46690000000001</v>
      </c>
      <c r="J7015">
        <v>-178.47620000000001</v>
      </c>
      <c r="K7015">
        <v>1.1008500000000001</v>
      </c>
      <c r="L7015">
        <v>133.07929999999999</v>
      </c>
      <c r="M7015">
        <v>0.66020049999999997</v>
      </c>
      <c r="N7015">
        <v>0</v>
      </c>
      <c r="O7015">
        <v>0.7509304</v>
      </c>
      <c r="P7015">
        <v>0.85613569999999894</v>
      </c>
      <c r="Q7015">
        <v>5.8354610000000001E-2</v>
      </c>
      <c r="R7015">
        <v>0.51344579999999995</v>
      </c>
      <c r="S7015">
        <v>3.1441499999999998</v>
      </c>
      <c r="T7015">
        <v>-0.50046959999999996</v>
      </c>
      <c r="U7015">
        <v>0.67086789999999996</v>
      </c>
      <c r="V7015">
        <v>0.30551859999999997</v>
      </c>
      <c r="W7015">
        <v>6.6209320000000002E-2</v>
      </c>
      <c r="X7015">
        <v>0.94988139999999999</v>
      </c>
      <c r="Y7015">
        <v>0.58305909999999905</v>
      </c>
      <c r="Z7015">
        <v>-0.14891969999999999</v>
      </c>
      <c r="AA7015">
        <v>0.7986645</v>
      </c>
      <c r="AB7015">
        <v>25</v>
      </c>
      <c r="AC7015">
        <v>6.8305999999999996</v>
      </c>
      <c r="AD7015">
        <v>-1.1008522809000001</v>
      </c>
      <c r="AE7015">
        <v>1.3876000000000199</v>
      </c>
      <c r="AF7015">
        <v>4.1111625550506004</v>
      </c>
      <c r="AG7015">
        <v>-1.1008522809000001</v>
      </c>
      <c r="AH7015">
        <v>5.4170919929051298</v>
      </c>
      <c r="AI7015">
        <v>99.195194557940695</v>
      </c>
      <c r="AJ7015">
        <v>52.804255183553998</v>
      </c>
      <c r="AK7015">
        <v>6.8890071097372099</v>
      </c>
      <c r="AL7015">
        <v>86.203708259080599</v>
      </c>
      <c r="AM7015">
        <v>72.170200689182593</v>
      </c>
      <c r="AN7015">
        <v>0.99999998153339098</v>
      </c>
    </row>
    <row r="7016" spans="1:40" x14ac:dyDescent="0.25">
      <c r="A7016" t="str">
        <f>"20190312151709648"</f>
        <v>20190312151709648</v>
      </c>
      <c r="B7016" t="str">
        <f>"1552375029645228"</f>
        <v>1552375029645228</v>
      </c>
      <c r="C7016" t="s">
        <v>40</v>
      </c>
      <c r="D7016">
        <v>4.8127820000000003</v>
      </c>
      <c r="E7016">
        <v>0.62694280000000002</v>
      </c>
      <c r="F7016" t="s">
        <v>58</v>
      </c>
      <c r="G7016">
        <v>-171.56309999999999</v>
      </c>
      <c r="H7016" s="1">
        <v>-2.2553370000000002E-6</v>
      </c>
      <c r="I7016">
        <v>134.5154</v>
      </c>
      <c r="J7016">
        <v>-178.3878</v>
      </c>
      <c r="K7016">
        <v>1.100862</v>
      </c>
      <c r="L7016">
        <v>133.16890000000001</v>
      </c>
      <c r="M7016">
        <v>0.66528379999999998</v>
      </c>
      <c r="N7016">
        <v>0</v>
      </c>
      <c r="O7016">
        <v>0.74643059999999894</v>
      </c>
      <c r="P7016">
        <v>0.85968349999999905</v>
      </c>
      <c r="Q7016">
        <v>5.8380969999999997E-2</v>
      </c>
      <c r="R7016">
        <v>0.50748019999999905</v>
      </c>
      <c r="S7016">
        <v>3.146255</v>
      </c>
      <c r="T7016">
        <v>-0.50101830000000003</v>
      </c>
      <c r="U7016">
        <v>0.65362549999999997</v>
      </c>
      <c r="V7016">
        <v>0.30567220000000001</v>
      </c>
      <c r="W7016">
        <v>6.6241199999999903E-2</v>
      </c>
      <c r="X7016">
        <v>0.94982979999999995</v>
      </c>
      <c r="Y7016">
        <v>0.58189469999999899</v>
      </c>
      <c r="Z7016">
        <v>-0.14863100000000001</v>
      </c>
      <c r="AA7016">
        <v>0.79956700000000003</v>
      </c>
      <c r="AB7016">
        <v>25</v>
      </c>
      <c r="AC7016">
        <v>6.8247</v>
      </c>
      <c r="AD7016">
        <v>-1.1008642553370001</v>
      </c>
      <c r="AE7016">
        <v>1.34649999999999</v>
      </c>
      <c r="AF7016">
        <v>4.0962718657949404</v>
      </c>
      <c r="AG7016">
        <v>-1.1008642553370001</v>
      </c>
      <c r="AH7016">
        <v>5.4105870160135101</v>
      </c>
      <c r="AI7016">
        <v>99.214176016630702</v>
      </c>
      <c r="AJ7016">
        <v>52.871198864428301</v>
      </c>
      <c r="AK7016">
        <v>6.8750125210821196</v>
      </c>
      <c r="AL7016">
        <v>86.201877796028498</v>
      </c>
      <c r="AM7016">
        <v>72.160897074907496</v>
      </c>
      <c r="AN7016">
        <v>1.0000000196991501</v>
      </c>
    </row>
    <row r="7017" spans="1:40" x14ac:dyDescent="0.25">
      <c r="A7017" t="str">
        <f>"20190312151709659"</f>
        <v>20190312151709659</v>
      </c>
      <c r="B7017" t="str">
        <f>"1552375029654988"</f>
        <v>1552375029654988</v>
      </c>
      <c r="C7017" t="s">
        <v>40</v>
      </c>
      <c r="D7017">
        <v>4.8670879999999999</v>
      </c>
      <c r="E7017">
        <v>0.62657980000000002</v>
      </c>
      <c r="F7017" t="s">
        <v>58</v>
      </c>
      <c r="G7017">
        <v>-171.4033</v>
      </c>
      <c r="H7017" s="1">
        <v>-2.1952390000000002E-6</v>
      </c>
      <c r="I7017">
        <v>134.5855</v>
      </c>
      <c r="J7017">
        <v>-178.29349999999999</v>
      </c>
      <c r="K7017">
        <v>1.1008770000000001</v>
      </c>
      <c r="L7017">
        <v>133.26320000000001</v>
      </c>
      <c r="M7017">
        <v>0.6706356</v>
      </c>
      <c r="N7017">
        <v>0</v>
      </c>
      <c r="O7017">
        <v>0.7416258</v>
      </c>
      <c r="P7017">
        <v>0.86329560000000005</v>
      </c>
      <c r="Q7017">
        <v>5.8621069999999997E-2</v>
      </c>
      <c r="R7017">
        <v>0.50128279999999903</v>
      </c>
      <c r="S7017">
        <v>3.1466059999999998</v>
      </c>
      <c r="T7017">
        <v>-0.49595139999999999</v>
      </c>
      <c r="U7017">
        <v>0.63818359999999996</v>
      </c>
      <c r="V7017">
        <v>0.30566409999999899</v>
      </c>
      <c r="W7017">
        <v>6.6492889999999999E-2</v>
      </c>
      <c r="X7017">
        <v>0.94981479999999996</v>
      </c>
      <c r="Y7017">
        <v>0.58018139999999996</v>
      </c>
      <c r="Z7017">
        <v>-0.1466866</v>
      </c>
      <c r="AA7017">
        <v>0.80116949999999998</v>
      </c>
      <c r="AB7017">
        <v>25</v>
      </c>
      <c r="AC7017">
        <v>6.8901999999999903</v>
      </c>
      <c r="AD7017">
        <v>-1.100879195239</v>
      </c>
      <c r="AE7017">
        <v>1.32229999999998</v>
      </c>
      <c r="AF7017">
        <v>4.1221807057193498</v>
      </c>
      <c r="AG7017">
        <v>-1.100879195239</v>
      </c>
      <c r="AH7017">
        <v>5.4675183026954102</v>
      </c>
      <c r="AI7017">
        <v>99.133545858346494</v>
      </c>
      <c r="AJ7017">
        <v>52.985898630300703</v>
      </c>
      <c r="AK7017">
        <v>6.9352768627809196</v>
      </c>
      <c r="AL7017">
        <v>86.187425083681902</v>
      </c>
      <c r="AM7017">
        <v>72.161075968990602</v>
      </c>
      <c r="AN7017">
        <v>1.0000000003742</v>
      </c>
    </row>
    <row r="7018" spans="1:40" x14ac:dyDescent="0.25">
      <c r="A7018" t="str">
        <f>"20190312151709670"</f>
        <v>20190312151709670</v>
      </c>
      <c r="B7018" t="str">
        <f>"1552375029664748"</f>
        <v>1552375029664748</v>
      </c>
      <c r="C7018" t="s">
        <v>40</v>
      </c>
      <c r="D7018">
        <v>4.8893639999999996</v>
      </c>
      <c r="E7018">
        <v>0.62629279999999998</v>
      </c>
      <c r="F7018" t="s">
        <v>58</v>
      </c>
      <c r="G7018">
        <v>-171.3417</v>
      </c>
      <c r="H7018" s="1">
        <v>-2.178631E-6</v>
      </c>
      <c r="I7018">
        <v>134.62719999999999</v>
      </c>
      <c r="J7018">
        <v>-178.2047</v>
      </c>
      <c r="K7018">
        <v>1.1008929999999999</v>
      </c>
      <c r="L7018">
        <v>133.3511</v>
      </c>
      <c r="M7018">
        <v>0.67561930000000003</v>
      </c>
      <c r="N7018">
        <v>0</v>
      </c>
      <c r="O7018">
        <v>0.73708859999999998</v>
      </c>
      <c r="P7018">
        <v>0.86660119999999896</v>
      </c>
      <c r="Q7018">
        <v>5.8795359999999998E-2</v>
      </c>
      <c r="R7018">
        <v>0.49552550000000001</v>
      </c>
      <c r="S7018">
        <v>3.1500400000000002</v>
      </c>
      <c r="T7018">
        <v>-0.49883630000000001</v>
      </c>
      <c r="U7018">
        <v>0.61807250000000002</v>
      </c>
      <c r="V7018">
        <v>0.30557679999999998</v>
      </c>
      <c r="W7018">
        <v>6.6679859999999994E-2</v>
      </c>
      <c r="X7018">
        <v>0.94982979999999995</v>
      </c>
      <c r="Y7018">
        <v>0.57970699999999997</v>
      </c>
      <c r="Z7018">
        <v>-0.14707379999999901</v>
      </c>
      <c r="AA7018">
        <v>0.80144190000000004</v>
      </c>
      <c r="AB7018">
        <v>25</v>
      </c>
      <c r="AC7018">
        <v>6.8630000000000004</v>
      </c>
      <c r="AD7018">
        <v>-1.1008951786309999</v>
      </c>
      <c r="AE7018">
        <v>1.27609999999998</v>
      </c>
      <c r="AF7018">
        <v>4.0951305541692404</v>
      </c>
      <c r="AG7018">
        <v>-1.1008951786309999</v>
      </c>
      <c r="AH7018">
        <v>5.4426728652852203</v>
      </c>
      <c r="AI7018">
        <v>99.181289464676198</v>
      </c>
      <c r="AJ7018">
        <v>53.0417706018522</v>
      </c>
      <c r="AK7018">
        <v>6.8996197263715597</v>
      </c>
      <c r="AL7018">
        <v>86.176688726562006</v>
      </c>
      <c r="AM7018">
        <v>72.166111895030298</v>
      </c>
      <c r="AN7018">
        <v>1.0000000166979399</v>
      </c>
    </row>
    <row r="7019" spans="1:40" x14ac:dyDescent="0.25">
      <c r="A7019" t="str">
        <f>"20190312151709682"</f>
        <v>20190312151709682</v>
      </c>
      <c r="B7019" t="str">
        <f>"1552375029674509"</f>
        <v>1552375029674509</v>
      </c>
      <c r="C7019" t="s">
        <v>40</v>
      </c>
      <c r="D7019">
        <v>4.8654549999999999</v>
      </c>
      <c r="E7019">
        <v>0.6257083</v>
      </c>
      <c r="F7019" t="s">
        <v>58</v>
      </c>
      <c r="G7019">
        <v>-171.2946</v>
      </c>
      <c r="H7019" s="1">
        <v>-2.167861E-6</v>
      </c>
      <c r="I7019">
        <v>134.6635</v>
      </c>
      <c r="J7019">
        <v>-178.1156</v>
      </c>
      <c r="K7019">
        <v>1.100911</v>
      </c>
      <c r="L7019">
        <v>133.4376</v>
      </c>
      <c r="M7019">
        <v>0.6805426</v>
      </c>
      <c r="N7019">
        <v>0</v>
      </c>
      <c r="O7019">
        <v>0.73254540000000001</v>
      </c>
      <c r="P7019">
        <v>0.86996189999999995</v>
      </c>
      <c r="Q7019">
        <v>5.8940329999999999E-2</v>
      </c>
      <c r="R7019">
        <v>0.48958400000000002</v>
      </c>
      <c r="S7019">
        <v>3.1534270000000002</v>
      </c>
      <c r="T7019">
        <v>-0.50239129999999999</v>
      </c>
      <c r="U7019">
        <v>0.59892270000000003</v>
      </c>
      <c r="V7019">
        <v>0.30570649999999999</v>
      </c>
      <c r="W7019">
        <v>6.6831160000000001E-2</v>
      </c>
      <c r="X7019">
        <v>0.94977739999999999</v>
      </c>
      <c r="Y7019">
        <v>0.57899690000000004</v>
      </c>
      <c r="Z7019">
        <v>-0.1476162</v>
      </c>
      <c r="AA7019">
        <v>0.8018554</v>
      </c>
      <c r="AB7019">
        <v>25</v>
      </c>
      <c r="AC7019">
        <v>6.82099999999999</v>
      </c>
      <c r="AD7019">
        <v>-1.100913167861</v>
      </c>
      <c r="AE7019">
        <v>1.22589999999999</v>
      </c>
      <c r="AF7019">
        <v>4.0604470272817696</v>
      </c>
      <c r="AG7019">
        <v>-1.100913167861</v>
      </c>
      <c r="AH7019">
        <v>5.4042931724192096</v>
      </c>
      <c r="AI7019">
        <v>99.250208608178397</v>
      </c>
      <c r="AJ7019">
        <v>53.081096060178901</v>
      </c>
      <c r="AK7019">
        <v>6.8487681051403699</v>
      </c>
      <c r="AL7019">
        <v>86.168000387980499</v>
      </c>
      <c r="AM7019">
        <v>72.158100325514098</v>
      </c>
      <c r="AN7019">
        <v>0.99999998881997698</v>
      </c>
    </row>
    <row r="7020" spans="1:40" x14ac:dyDescent="0.25">
      <c r="A7020" t="str">
        <f>"20190312151709692"</f>
        <v>20190312151709692</v>
      </c>
      <c r="B7020" t="str">
        <f>"1552375029685244"</f>
        <v>1552375029685244</v>
      </c>
      <c r="C7020" t="s">
        <v>40</v>
      </c>
      <c r="D7020">
        <v>4.8796989999999996</v>
      </c>
      <c r="E7020">
        <v>0.6252259</v>
      </c>
      <c r="F7020" t="s">
        <v>58</v>
      </c>
      <c r="G7020">
        <v>-171.21010000000001</v>
      </c>
      <c r="H7020" s="1">
        <v>-2.140275E-6</v>
      </c>
      <c r="I7020">
        <v>134.71010000000001</v>
      </c>
      <c r="J7020">
        <v>-178.02879999999999</v>
      </c>
      <c r="K7020">
        <v>1.1009249999999999</v>
      </c>
      <c r="L7020">
        <v>133.5215</v>
      </c>
      <c r="M7020">
        <v>0.68530550000000001</v>
      </c>
      <c r="N7020">
        <v>0</v>
      </c>
      <c r="O7020">
        <v>0.72809159999999995</v>
      </c>
      <c r="P7020">
        <v>0.87309439999999905</v>
      </c>
      <c r="Q7020">
        <v>5.9374150000000001E-2</v>
      </c>
      <c r="R7020">
        <v>0.48392239999999997</v>
      </c>
      <c r="S7020">
        <v>3.1553040000000001</v>
      </c>
      <c r="T7020">
        <v>-0.50302899999999995</v>
      </c>
      <c r="U7020">
        <v>0.58145139999999995</v>
      </c>
      <c r="V7020">
        <v>0.30566850000000001</v>
      </c>
      <c r="W7020">
        <v>6.7275989999999994E-2</v>
      </c>
      <c r="X7020">
        <v>0.9497582</v>
      </c>
      <c r="Y7020">
        <v>0.57810159999999999</v>
      </c>
      <c r="Z7020">
        <v>-0.14734849999999999</v>
      </c>
      <c r="AA7020">
        <v>0.80255030000000005</v>
      </c>
      <c r="AB7020">
        <v>25</v>
      </c>
      <c r="AC7020">
        <v>6.8186999999999696</v>
      </c>
      <c r="AD7020">
        <v>-1.1009271402749901</v>
      </c>
      <c r="AE7020">
        <v>1.1886000000000001</v>
      </c>
      <c r="AF7020">
        <v>4.0481630530557204</v>
      </c>
      <c r="AG7020">
        <v>-1.1009271402749901</v>
      </c>
      <c r="AH7020">
        <v>5.4022883134134103</v>
      </c>
      <c r="AI7020">
        <v>99.262410687934306</v>
      </c>
      <c r="AJ7020">
        <v>53.154228025473898</v>
      </c>
      <c r="AK7020">
        <v>6.8399110881328404</v>
      </c>
      <c r="AL7020">
        <v>86.142455921520295</v>
      </c>
      <c r="AM7020">
        <v>72.159839738093893</v>
      </c>
      <c r="AN7020">
        <v>0.99999996459498397</v>
      </c>
    </row>
    <row r="7021" spans="1:40" x14ac:dyDescent="0.25">
      <c r="A7021" t="str">
        <f>"20190312151709704"</f>
        <v>20190312151709704</v>
      </c>
      <c r="B7021" t="str">
        <f>"1552375029695004"</f>
        <v>1552375029695004</v>
      </c>
      <c r="C7021" t="s">
        <v>40</v>
      </c>
      <c r="D7021">
        <v>4.8805569999999996</v>
      </c>
      <c r="E7021">
        <v>0.62474869999999905</v>
      </c>
      <c r="F7021" t="s">
        <v>58</v>
      </c>
      <c r="G7021">
        <v>-171.1317</v>
      </c>
      <c r="H7021" s="1">
        <v>-2.1149740000000002E-6</v>
      </c>
      <c r="I7021">
        <v>134.75380000000001</v>
      </c>
      <c r="J7021">
        <v>-177.93219999999999</v>
      </c>
      <c r="K7021">
        <v>1.100943</v>
      </c>
      <c r="L7021">
        <v>133.61259999999999</v>
      </c>
      <c r="M7021">
        <v>0.69050149999999999</v>
      </c>
      <c r="N7021">
        <v>0</v>
      </c>
      <c r="O7021">
        <v>0.72316579999999997</v>
      </c>
      <c r="P7021">
        <v>0.87648530000000002</v>
      </c>
      <c r="Q7021">
        <v>5.9747080000000001E-2</v>
      </c>
      <c r="R7021">
        <v>0.47770679999999999</v>
      </c>
      <c r="S7021">
        <v>3.1576390000000001</v>
      </c>
      <c r="T7021">
        <v>-0.50403429999999905</v>
      </c>
      <c r="U7021">
        <v>0.56414790000000004</v>
      </c>
      <c r="V7021">
        <v>0.30560310000000002</v>
      </c>
      <c r="W7021">
        <v>6.7661349999999995E-2</v>
      </c>
      <c r="X7021">
        <v>0.94975189999999998</v>
      </c>
      <c r="Y7021">
        <v>0.57666609999999996</v>
      </c>
      <c r="Z7021">
        <v>-0.1470669</v>
      </c>
      <c r="AA7021">
        <v>0.80363390000000001</v>
      </c>
      <c r="AB7021">
        <v>25</v>
      </c>
      <c r="AC7021">
        <v>6.8005000000000004</v>
      </c>
      <c r="AD7021">
        <v>-1.1009451149739999</v>
      </c>
      <c r="AE7021">
        <v>1.14120000000002</v>
      </c>
      <c r="AF7021">
        <v>4.02771130446268</v>
      </c>
      <c r="AG7021">
        <v>-1.1009451149739999</v>
      </c>
      <c r="AH7021">
        <v>5.3844366297390698</v>
      </c>
      <c r="AI7021">
        <v>99.298491142663707</v>
      </c>
      <c r="AJ7021">
        <v>53.202469440401899</v>
      </c>
      <c r="AK7021">
        <v>6.8137138418015102</v>
      </c>
      <c r="AL7021">
        <v>86.120326101186706</v>
      </c>
      <c r="AM7021">
        <v>72.163304053590906</v>
      </c>
      <c r="AN7021">
        <v>0.99999999228352099</v>
      </c>
    </row>
    <row r="7022" spans="1:40" x14ac:dyDescent="0.25">
      <c r="A7022" t="str">
        <f>"20190312151709716"</f>
        <v>20190312151709716</v>
      </c>
      <c r="B7022" t="str">
        <f>"1552375029704765"</f>
        <v>1552375029704765</v>
      </c>
      <c r="C7022" t="s">
        <v>40</v>
      </c>
      <c r="D7022">
        <v>4.8608200000000004</v>
      </c>
      <c r="E7022">
        <v>0.62408200000000003</v>
      </c>
      <c r="F7022" t="s">
        <v>58</v>
      </c>
      <c r="G7022">
        <v>-171.03440000000001</v>
      </c>
      <c r="H7022" s="1">
        <v>-2.0811619999999999E-6</v>
      </c>
      <c r="I7022">
        <v>134.80269999999999</v>
      </c>
      <c r="J7022">
        <v>-177.84</v>
      </c>
      <c r="K7022">
        <v>1.1009599999999999</v>
      </c>
      <c r="L7022">
        <v>133.69899999999899</v>
      </c>
      <c r="M7022">
        <v>0.69541889999999995</v>
      </c>
      <c r="N7022">
        <v>0</v>
      </c>
      <c r="O7022">
        <v>0.71843829999999997</v>
      </c>
      <c r="P7022">
        <v>0.87963630000000004</v>
      </c>
      <c r="Q7022">
        <v>6.0206820000000001E-2</v>
      </c>
      <c r="R7022">
        <v>0.47182109999999999</v>
      </c>
      <c r="S7022">
        <v>3.1599729999999999</v>
      </c>
      <c r="T7022">
        <v>-0.50435549999999996</v>
      </c>
      <c r="U7022">
        <v>0.54522709999999996</v>
      </c>
      <c r="V7022">
        <v>0.30547479999999999</v>
      </c>
      <c r="W7022">
        <v>6.8134719999999996E-2</v>
      </c>
      <c r="X7022">
        <v>0.94975929999999997</v>
      </c>
      <c r="Y7022">
        <v>0.57593269999999996</v>
      </c>
      <c r="Z7022">
        <v>-0.1466624</v>
      </c>
      <c r="AA7022">
        <v>0.80423359999999899</v>
      </c>
      <c r="AB7022">
        <v>25</v>
      </c>
      <c r="AC7022">
        <v>6.8055999999999903</v>
      </c>
      <c r="AD7022">
        <v>-1.100962081162</v>
      </c>
      <c r="AE7022">
        <v>1.1036999999999999</v>
      </c>
      <c r="AF7022">
        <v>4.0198567827282599</v>
      </c>
      <c r="AG7022">
        <v>-1.100962081162</v>
      </c>
      <c r="AH7022">
        <v>5.3889268572505999</v>
      </c>
      <c r="AI7022">
        <v>99.300131096285796</v>
      </c>
      <c r="AJ7022">
        <v>53.278992161143996</v>
      </c>
      <c r="AK7022">
        <v>6.8126278872840098</v>
      </c>
      <c r="AL7022">
        <v>86.093141138678703</v>
      </c>
      <c r="AM7022">
        <v>72.170448234619101</v>
      </c>
      <c r="AN7022">
        <v>0.99999996072050301</v>
      </c>
    </row>
    <row r="7023" spans="1:40" x14ac:dyDescent="0.25">
      <c r="A7023" t="str">
        <f>"20190312151709728"</f>
        <v>20190312151709728</v>
      </c>
      <c r="B7023" t="str">
        <f>"1552375029714524"</f>
        <v>1552375029714524</v>
      </c>
      <c r="C7023" t="s">
        <v>40</v>
      </c>
      <c r="D7023">
        <v>4.9362089999999998</v>
      </c>
      <c r="E7023">
        <v>0.62365170000000003</v>
      </c>
      <c r="F7023" t="s">
        <v>58</v>
      </c>
      <c r="G7023">
        <v>-170.8937</v>
      </c>
      <c r="H7023" s="1">
        <v>-2.026776E-6</v>
      </c>
      <c r="I7023">
        <v>134.86099999999999</v>
      </c>
      <c r="J7023">
        <v>-177.73779999999999</v>
      </c>
      <c r="K7023">
        <v>1.1009799999999901</v>
      </c>
      <c r="L7023">
        <v>133.79300000000001</v>
      </c>
      <c r="M7023">
        <v>0.70078379999999996</v>
      </c>
      <c r="N7023">
        <v>0</v>
      </c>
      <c r="O7023">
        <v>0.71320620000000001</v>
      </c>
      <c r="P7023">
        <v>0.88304989999999906</v>
      </c>
      <c r="Q7023">
        <v>6.0563119999999998E-2</v>
      </c>
      <c r="R7023">
        <v>0.46535480000000001</v>
      </c>
      <c r="S7023">
        <v>3.1611479999999998</v>
      </c>
      <c r="T7023">
        <v>-0.50103140000000002</v>
      </c>
      <c r="U7023">
        <v>0.52882390000000001</v>
      </c>
      <c r="V7023">
        <v>0.30531259999999999</v>
      </c>
      <c r="W7023">
        <v>6.8506259999999999E-2</v>
      </c>
      <c r="X7023">
        <v>0.94978479999999998</v>
      </c>
      <c r="Y7023">
        <v>0.57419310000000001</v>
      </c>
      <c r="Z7023">
        <v>-0.14511079999999901</v>
      </c>
      <c r="AA7023">
        <v>0.80575750000000002</v>
      </c>
      <c r="AB7023">
        <v>25</v>
      </c>
      <c r="AC7023">
        <v>6.8440999999999903</v>
      </c>
      <c r="AD7023">
        <v>-1.10098202677599</v>
      </c>
      <c r="AE7023">
        <v>1.0679999999999801</v>
      </c>
      <c r="AF7023">
        <v>4.0314658139311703</v>
      </c>
      <c r="AG7023">
        <v>-1.10098202677599</v>
      </c>
      <c r="AH7023">
        <v>5.4216378572895803</v>
      </c>
      <c r="AI7023">
        <v>99.255430309835006</v>
      </c>
      <c r="AJ7023">
        <v>53.365943901707901</v>
      </c>
      <c r="AK7023">
        <v>6.8453659571841001</v>
      </c>
      <c r="AL7023">
        <v>86.071803875086502</v>
      </c>
      <c r="AM7023">
        <v>72.179764501901104</v>
      </c>
      <c r="AN7023">
        <v>1.0000000288444899</v>
      </c>
    </row>
    <row r="7024" spans="1:40" x14ac:dyDescent="0.25">
      <c r="A7024" t="str">
        <f>"20190312151709741"</f>
        <v>20190312151709741</v>
      </c>
      <c r="B7024" t="str">
        <f>"1552375029735020"</f>
        <v>1552375029735020</v>
      </c>
      <c r="C7024" t="s">
        <v>40</v>
      </c>
      <c r="D7024">
        <v>4.8887169999999998</v>
      </c>
      <c r="E7024">
        <v>0.62318530000000005</v>
      </c>
      <c r="F7024" t="s">
        <v>58</v>
      </c>
      <c r="G7024">
        <v>-170.80969999999999</v>
      </c>
      <c r="H7024" s="1">
        <v>-1.9993960000000002E-6</v>
      </c>
      <c r="I7024">
        <v>134.9074</v>
      </c>
      <c r="J7024">
        <v>-177.6275</v>
      </c>
      <c r="K7024">
        <v>1.1010009999999999</v>
      </c>
      <c r="L7024">
        <v>133.893</v>
      </c>
      <c r="M7024">
        <v>0.70648929999999999</v>
      </c>
      <c r="N7024">
        <v>0</v>
      </c>
      <c r="O7024">
        <v>0.70755489999999999</v>
      </c>
      <c r="P7024">
        <v>0.88672079999999998</v>
      </c>
      <c r="Q7024">
        <v>6.0680959999999999E-2</v>
      </c>
      <c r="R7024">
        <v>0.45830559999999998</v>
      </c>
      <c r="S7024">
        <v>3.1636510000000002</v>
      </c>
      <c r="T7024">
        <v>-0.50275249999999905</v>
      </c>
      <c r="U7024">
        <v>0.50885009999999997</v>
      </c>
      <c r="V7024">
        <v>0.30524469999999998</v>
      </c>
      <c r="W7024">
        <v>6.863756E-2</v>
      </c>
      <c r="X7024">
        <v>0.94979709999999995</v>
      </c>
      <c r="Y7024">
        <v>0.57269389999999998</v>
      </c>
      <c r="Z7024">
        <v>-0.1449336</v>
      </c>
      <c r="AA7024">
        <v>0.80685560000000001</v>
      </c>
      <c r="AB7024">
        <v>25</v>
      </c>
      <c r="AC7024">
        <v>6.8178000000000001</v>
      </c>
      <c r="AD7024">
        <v>-1.101002999396</v>
      </c>
      <c r="AE7024">
        <v>1.01439999999999</v>
      </c>
      <c r="AF7024">
        <v>4.0055968864700198</v>
      </c>
      <c r="AG7024">
        <v>-1.101002999396</v>
      </c>
      <c r="AH7024">
        <v>5.3973983310012397</v>
      </c>
      <c r="AI7024">
        <v>99.302803193742605</v>
      </c>
      <c r="AJ7024">
        <v>53.4196058977859</v>
      </c>
      <c r="AK7024">
        <v>6.8109414007956603</v>
      </c>
      <c r="AL7024">
        <v>86.064263022473995</v>
      </c>
      <c r="AM7024">
        <v>72.1836931673311</v>
      </c>
      <c r="AN7024">
        <v>0.99999998634462595</v>
      </c>
    </row>
    <row r="7025" spans="1:40" x14ac:dyDescent="0.25">
      <c r="A7025" t="str">
        <f>"20190312151709754"</f>
        <v>20190312151709754</v>
      </c>
      <c r="B7025" t="str">
        <f>"1552375029744782"</f>
        <v>1552375029744782</v>
      </c>
      <c r="C7025" t="s">
        <v>40</v>
      </c>
      <c r="D7025">
        <v>4.9558619999999998</v>
      </c>
      <c r="E7025">
        <v>0.61243219999999898</v>
      </c>
      <c r="F7025" t="s">
        <v>58</v>
      </c>
      <c r="G7025">
        <v>-170.7122</v>
      </c>
      <c r="H7025" s="1">
        <v>-1.9658190000000002E-6</v>
      </c>
      <c r="I7025">
        <v>134.9571</v>
      </c>
      <c r="J7025">
        <v>-177.5204</v>
      </c>
      <c r="K7025">
        <v>1.1010200000000001</v>
      </c>
      <c r="L7025">
        <v>133.9889</v>
      </c>
      <c r="M7025">
        <v>0.71196169999999903</v>
      </c>
      <c r="N7025">
        <v>0</v>
      </c>
      <c r="O7025">
        <v>0.70204820000000001</v>
      </c>
      <c r="P7025">
        <v>0.89016169999999994</v>
      </c>
      <c r="Q7025">
        <v>6.08567E-2</v>
      </c>
      <c r="R7025">
        <v>0.45156259999999998</v>
      </c>
      <c r="S7025">
        <v>3.1659700000000002</v>
      </c>
      <c r="T7025">
        <v>-0.5040578</v>
      </c>
      <c r="U7025">
        <v>0.48718260000000002</v>
      </c>
      <c r="V7025">
        <v>0.30507109999999998</v>
      </c>
      <c r="W7025">
        <v>6.8828799999999996E-2</v>
      </c>
      <c r="X7025">
        <v>0.94983910000000005</v>
      </c>
      <c r="Y7025">
        <v>0.57184000000000001</v>
      </c>
      <c r="Z7025">
        <v>-0.1447059</v>
      </c>
      <c r="AA7025">
        <v>0.80750189999999999</v>
      </c>
      <c r="AB7025">
        <v>25</v>
      </c>
      <c r="AC7025">
        <v>6.8081999999999896</v>
      </c>
      <c r="AD7025">
        <v>-1.1010219658189999</v>
      </c>
      <c r="AE7025">
        <v>0.96819999999999595</v>
      </c>
      <c r="AF7025">
        <v>3.9886043169780199</v>
      </c>
      <c r="AG7025">
        <v>-1.1010219658189999</v>
      </c>
      <c r="AH7025">
        <v>5.3894040126006004</v>
      </c>
      <c r="AI7025">
        <v>99.325507883742404</v>
      </c>
      <c r="AJ7025">
        <v>53.495499698457301</v>
      </c>
      <c r="AK7025">
        <v>6.7946220923364899</v>
      </c>
      <c r="AL7025">
        <v>86.0532800460185</v>
      </c>
      <c r="AM7025">
        <v>72.193923246170399</v>
      </c>
      <c r="AN7025">
        <v>1.0000000478267199</v>
      </c>
    </row>
    <row r="7026" spans="1:40" x14ac:dyDescent="0.25">
      <c r="A7026" t="str">
        <f>"20190312151709767"</f>
        <v>20190312151709767</v>
      </c>
      <c r="B7026" t="str">
        <f>"1552375029754541"</f>
        <v>1552375029754541</v>
      </c>
      <c r="C7026" t="s">
        <v>40</v>
      </c>
      <c r="D7026">
        <v>4.9899129999999996</v>
      </c>
      <c r="E7026">
        <v>0.61323989999999995</v>
      </c>
      <c r="F7026" t="s">
        <v>58</v>
      </c>
      <c r="G7026">
        <v>-170.6816</v>
      </c>
      <c r="H7026" s="1">
        <v>-2.0419249999999999E-6</v>
      </c>
      <c r="I7026">
        <v>135.16839999999999</v>
      </c>
      <c r="J7026">
        <v>-177.40620000000001</v>
      </c>
      <c r="K7026">
        <v>1.1010390000000001</v>
      </c>
      <c r="L7026">
        <v>134.089</v>
      </c>
      <c r="M7026">
        <v>0.71769110000000003</v>
      </c>
      <c r="N7026">
        <v>0</v>
      </c>
      <c r="O7026">
        <v>0.69619019999999898</v>
      </c>
      <c r="P7026">
        <v>0.89369290000000001</v>
      </c>
      <c r="Q7026">
        <v>6.0737909999999999E-2</v>
      </c>
      <c r="R7026">
        <v>0.44454909999999997</v>
      </c>
      <c r="S7026">
        <v>3.1307369999999999</v>
      </c>
      <c r="T7026">
        <v>-0.50404059999999995</v>
      </c>
      <c r="U7026">
        <v>0.53993230000000003</v>
      </c>
      <c r="V7026">
        <v>0.30475570000000002</v>
      </c>
      <c r="W7026">
        <v>6.8729360000000003E-2</v>
      </c>
      <c r="X7026">
        <v>0.94994749999999994</v>
      </c>
      <c r="Y7026">
        <v>0.55042789999999997</v>
      </c>
      <c r="Z7026">
        <v>-0.14362179999999999</v>
      </c>
      <c r="AA7026">
        <v>0.82243659999999996</v>
      </c>
      <c r="AB7026">
        <v>25</v>
      </c>
      <c r="AC7026">
        <v>6.7245999999999997</v>
      </c>
      <c r="AD7026">
        <v>-1.1010410419250001</v>
      </c>
      <c r="AE7026">
        <v>1.0793999999999899</v>
      </c>
      <c r="AF7026">
        <v>3.8078716338707199</v>
      </c>
      <c r="AG7026">
        <v>-1.1010410419250001</v>
      </c>
      <c r="AH7026">
        <v>5.4362416788289503</v>
      </c>
      <c r="AI7026">
        <v>99.418966033233801</v>
      </c>
      <c r="AJ7026">
        <v>54.990282355265499</v>
      </c>
      <c r="AK7026">
        <v>6.7279195407404799</v>
      </c>
      <c r="AL7026">
        <v>86.058990901799902</v>
      </c>
      <c r="AM7026">
        <v>72.213073217073202</v>
      </c>
      <c r="AN7026">
        <v>1.00000000718237</v>
      </c>
    </row>
    <row r="7027" spans="1:40" x14ac:dyDescent="0.25">
      <c r="A7027" t="str">
        <f>"20190312151709777"</f>
        <v>20190312151709777</v>
      </c>
      <c r="B7027" t="str">
        <f>"1552375029775036"</f>
        <v>1552375029775036</v>
      </c>
      <c r="C7027" t="s">
        <v>40</v>
      </c>
      <c r="D7027">
        <v>5.0395699999999897</v>
      </c>
      <c r="E7027">
        <v>0.61567349999999998</v>
      </c>
      <c r="F7027" t="s">
        <v>58</v>
      </c>
      <c r="G7027">
        <v>-170.48689999999999</v>
      </c>
      <c r="H7027" s="1">
        <v>-1.9510570000000001E-6</v>
      </c>
      <c r="I7027">
        <v>135.2139</v>
      </c>
      <c r="J7027">
        <v>-177.31790000000001</v>
      </c>
      <c r="K7027">
        <v>1.1010420000000001</v>
      </c>
      <c r="L7027">
        <v>134.16540000000001</v>
      </c>
      <c r="M7027">
        <v>0.72206369999999997</v>
      </c>
      <c r="N7027">
        <v>0</v>
      </c>
      <c r="O7027">
        <v>0.69165390000000004</v>
      </c>
      <c r="P7027">
        <v>0.89613770000000004</v>
      </c>
      <c r="Q7027">
        <v>6.0833959999999999E-2</v>
      </c>
      <c r="R7027">
        <v>0.4395869</v>
      </c>
      <c r="S7027">
        <v>3.1371000000000002</v>
      </c>
      <c r="T7027">
        <v>-0.49919560000000002</v>
      </c>
      <c r="U7027">
        <v>0.50997919999999997</v>
      </c>
      <c r="V7027">
        <v>0.30403170000000002</v>
      </c>
      <c r="W7027">
        <v>6.8853040000000004E-2</v>
      </c>
      <c r="X7027">
        <v>0.95017050000000003</v>
      </c>
      <c r="Y7027">
        <v>0.55340290000000003</v>
      </c>
      <c r="Z7027">
        <v>-0.14192829999999901</v>
      </c>
      <c r="AA7027">
        <v>0.82073240000000003</v>
      </c>
      <c r="AB7027">
        <v>25</v>
      </c>
      <c r="AC7027">
        <v>6.8310000000000102</v>
      </c>
      <c r="AD7027">
        <v>-1.101043951057</v>
      </c>
      <c r="AE7027">
        <v>1.04849999999999</v>
      </c>
      <c r="AF7027">
        <v>3.8698530023353701</v>
      </c>
      <c r="AG7027">
        <v>-1.101043951057</v>
      </c>
      <c r="AH7027">
        <v>5.5182279326949102</v>
      </c>
      <c r="AI7027">
        <v>99.277966278334304</v>
      </c>
      <c r="AJ7027">
        <v>54.958579237671302</v>
      </c>
      <c r="AK7027">
        <v>6.8292678640552396</v>
      </c>
      <c r="AL7027">
        <v>86.0518876942959</v>
      </c>
      <c r="AM7027">
        <v>72.256578810009003</v>
      </c>
      <c r="AN7027">
        <v>0.99999999739619005</v>
      </c>
    </row>
    <row r="7028" spans="1:40" x14ac:dyDescent="0.25">
      <c r="A7028" t="str">
        <f>"20190312151709788"</f>
        <v>20190312151709788</v>
      </c>
      <c r="B7028" t="str">
        <f>"1552375029784797"</f>
        <v>1552375029784797</v>
      </c>
      <c r="C7028" t="s">
        <v>40</v>
      </c>
      <c r="D7028">
        <v>4.9743959999999996</v>
      </c>
      <c r="E7028">
        <v>0.61640499999999998</v>
      </c>
      <c r="F7028" t="s">
        <v>43</v>
      </c>
      <c r="G7028">
        <v>-169.85489999999999</v>
      </c>
      <c r="H7028" s="1">
        <v>-1.1899320000000001E-6</v>
      </c>
      <c r="I7028">
        <v>135.29419999999999</v>
      </c>
      <c r="J7028">
        <v>-177.22559999999999</v>
      </c>
      <c r="K7028">
        <v>1.101057</v>
      </c>
      <c r="L7028">
        <v>134.24430000000001</v>
      </c>
      <c r="M7028">
        <v>0.72657649999999996</v>
      </c>
      <c r="N7028">
        <v>0</v>
      </c>
      <c r="O7028">
        <v>0.68691190000000002</v>
      </c>
      <c r="P7028">
        <v>0.89861659999999899</v>
      </c>
      <c r="Q7028">
        <v>6.057738E-2</v>
      </c>
      <c r="R7028">
        <v>0.43453269999999999</v>
      </c>
      <c r="S7028">
        <v>3.1457820000000001</v>
      </c>
      <c r="T7028">
        <v>-0.46411239999999998</v>
      </c>
      <c r="U7028">
        <v>0.47579959999999999</v>
      </c>
      <c r="V7028">
        <v>0.30316569999999998</v>
      </c>
      <c r="W7028">
        <v>6.8628499999999995E-2</v>
      </c>
      <c r="X7028">
        <v>0.95046339999999996</v>
      </c>
      <c r="Y7028">
        <v>0.55888199999999999</v>
      </c>
      <c r="Z7028">
        <v>-0.13183929999999999</v>
      </c>
      <c r="AA7028">
        <v>0.81869979999999998</v>
      </c>
      <c r="AB7028">
        <v>25</v>
      </c>
      <c r="AC7028">
        <v>7.3706999999999896</v>
      </c>
      <c r="AD7028">
        <v>-1.101058189932</v>
      </c>
      <c r="AE7028">
        <v>1.0498999999999701</v>
      </c>
      <c r="AF7028">
        <v>4.2086523060777603</v>
      </c>
      <c r="AG7028">
        <v>-1.101058189932</v>
      </c>
      <c r="AH7028">
        <v>5.9472165414476503</v>
      </c>
      <c r="AI7028">
        <v>98.593789696052895</v>
      </c>
      <c r="AJ7028">
        <v>54.714195245366703</v>
      </c>
      <c r="AK7028">
        <v>7.3684779949415997</v>
      </c>
      <c r="AL7028">
        <v>86.064783378194704</v>
      </c>
      <c r="AM7028">
        <v>72.309074815051105</v>
      </c>
      <c r="AN7028">
        <v>0.99999999370414905</v>
      </c>
    </row>
    <row r="7029" spans="1:40" x14ac:dyDescent="0.25">
      <c r="A7029" t="str">
        <f>"20190312151709800"</f>
        <v>20190312151709800</v>
      </c>
      <c r="B7029" t="str">
        <f>"1552375029794556"</f>
        <v>1552375029794556</v>
      </c>
      <c r="C7029" t="s">
        <v>40</v>
      </c>
      <c r="D7029">
        <v>4.9845040000000003</v>
      </c>
      <c r="E7029">
        <v>0.6168034</v>
      </c>
      <c r="F7029" t="s">
        <v>43</v>
      </c>
      <c r="G7029">
        <v>-169.43559999999999</v>
      </c>
      <c r="H7029" s="1">
        <v>-1.3322290000000001E-6</v>
      </c>
      <c r="I7029">
        <v>135.3646</v>
      </c>
      <c r="J7029">
        <v>-177.13050000000001</v>
      </c>
      <c r="K7029">
        <v>1.1010690000000001</v>
      </c>
      <c r="L7029">
        <v>134.3244</v>
      </c>
      <c r="M7029">
        <v>0.73117200000000004</v>
      </c>
      <c r="N7029">
        <v>0</v>
      </c>
      <c r="O7029">
        <v>0.68201829999999997</v>
      </c>
      <c r="P7029">
        <v>0.90122590000000002</v>
      </c>
      <c r="Q7029">
        <v>6.0630320000000001E-2</v>
      </c>
      <c r="R7029">
        <v>0.4290873</v>
      </c>
      <c r="S7029">
        <v>3.1494599999999999</v>
      </c>
      <c r="T7029">
        <v>-0.44515009999999999</v>
      </c>
      <c r="U7029">
        <v>0.45294190000000001</v>
      </c>
      <c r="V7029">
        <v>0.30253140000000001</v>
      </c>
      <c r="W7029">
        <v>6.8707000000000004E-2</v>
      </c>
      <c r="X7029">
        <v>0.95065980000000005</v>
      </c>
      <c r="Y7029">
        <v>0.56026849999999995</v>
      </c>
      <c r="Z7029">
        <v>-0.12611240000000001</v>
      </c>
      <c r="AA7029">
        <v>0.81865429999999995</v>
      </c>
      <c r="AB7029">
        <v>25</v>
      </c>
      <c r="AC7029">
        <v>7.6949000000000103</v>
      </c>
      <c r="AD7029">
        <v>-1.1010703322290001</v>
      </c>
      <c r="AE7029">
        <v>1.04019999999999</v>
      </c>
      <c r="AF7029">
        <v>4.39956820258943</v>
      </c>
      <c r="AG7029">
        <v>-1.1010703322290001</v>
      </c>
      <c r="AH7029">
        <v>6.2115867498410697</v>
      </c>
      <c r="AI7029">
        <v>98.230882855267694</v>
      </c>
      <c r="AJ7029">
        <v>54.690664563034296</v>
      </c>
      <c r="AK7029">
        <v>7.6910575473436698</v>
      </c>
      <c r="AL7029">
        <v>86.060274954265395</v>
      </c>
      <c r="AM7029">
        <v>72.347208538541494</v>
      </c>
      <c r="AN7029">
        <v>0.99999997758549897</v>
      </c>
    </row>
    <row r="7030" spans="1:40" x14ac:dyDescent="0.25">
      <c r="A7030" t="str">
        <f>"20190312151709810"</f>
        <v>20190312151709810</v>
      </c>
      <c r="B7030" t="str">
        <f>"1552375029805292"</f>
        <v>1552375029805292</v>
      </c>
      <c r="C7030" t="s">
        <v>40</v>
      </c>
      <c r="D7030">
        <v>5.1121869999999996</v>
      </c>
      <c r="E7030">
        <v>0.61721569999999903</v>
      </c>
      <c r="F7030" t="s">
        <v>43</v>
      </c>
      <c r="G7030">
        <v>-169.11689999999999</v>
      </c>
      <c r="H7030" s="1">
        <v>-1.4397369999999999E-6</v>
      </c>
      <c r="I7030">
        <v>135.4205</v>
      </c>
      <c r="J7030">
        <v>-177.03569999999999</v>
      </c>
      <c r="K7030">
        <v>1.101084</v>
      </c>
      <c r="L7030">
        <v>134.4034</v>
      </c>
      <c r="M7030">
        <v>0.7356994</v>
      </c>
      <c r="N7030">
        <v>0</v>
      </c>
      <c r="O7030">
        <v>0.67713210000000001</v>
      </c>
      <c r="P7030">
        <v>0.90374019999999999</v>
      </c>
      <c r="Q7030">
        <v>6.063731E-2</v>
      </c>
      <c r="R7030">
        <v>0.4237649</v>
      </c>
      <c r="S7030">
        <v>3.1526339999999999</v>
      </c>
      <c r="T7030">
        <v>-0.43317559999999999</v>
      </c>
      <c r="U7030">
        <v>0.43121340000000002</v>
      </c>
      <c r="V7030">
        <v>0.30180129999999999</v>
      </c>
      <c r="W7030">
        <v>6.8741750000000004E-2</v>
      </c>
      <c r="X7030">
        <v>0.95088930000000005</v>
      </c>
      <c r="Y7030">
        <v>0.56103309999999995</v>
      </c>
      <c r="Z7030">
        <v>-0.12233090000000001</v>
      </c>
      <c r="AA7030">
        <v>0.81870449999999995</v>
      </c>
      <c r="AB7030">
        <v>24</v>
      </c>
      <c r="AC7030">
        <v>7.9188000000000001</v>
      </c>
      <c r="AD7030">
        <v>-1.101085439737</v>
      </c>
      <c r="AE7030">
        <v>1.0170999999999899</v>
      </c>
      <c r="AF7030">
        <v>4.5282161509791399</v>
      </c>
      <c r="AG7030">
        <v>-1.101085439737</v>
      </c>
      <c r="AH7030">
        <v>6.3937338369381704</v>
      </c>
      <c r="AI7030">
        <v>97.999797606520403</v>
      </c>
      <c r="AJ7030">
        <v>54.692836440507101</v>
      </c>
      <c r="AK7030">
        <v>7.9118242544433004</v>
      </c>
      <c r="AL7030">
        <v>86.058279125503205</v>
      </c>
      <c r="AM7030">
        <v>72.391161906706998</v>
      </c>
      <c r="AN7030">
        <v>0.99999995686461995</v>
      </c>
    </row>
    <row r="7031" spans="1:40" x14ac:dyDescent="0.25">
      <c r="A7031" t="str">
        <f>"20190312151709821"</f>
        <v>20190312151709821</v>
      </c>
      <c r="B7031" t="str">
        <f>"1552375029815052"</f>
        <v>1552375029815052</v>
      </c>
      <c r="C7031" t="s">
        <v>40</v>
      </c>
      <c r="D7031">
        <v>5.136736</v>
      </c>
      <c r="E7031">
        <v>0.61766569999999898</v>
      </c>
      <c r="F7031" t="s">
        <v>43</v>
      </c>
      <c r="G7031">
        <v>-168.86930000000001</v>
      </c>
      <c r="H7031" s="1">
        <v>-1.523226E-6</v>
      </c>
      <c r="I7031">
        <v>135.464</v>
      </c>
      <c r="J7031">
        <v>-176.94290000000001</v>
      </c>
      <c r="K7031">
        <v>1.101097</v>
      </c>
      <c r="L7031">
        <v>134.47929999999999</v>
      </c>
      <c r="M7031">
        <v>0.74006380000000005</v>
      </c>
      <c r="N7031">
        <v>0</v>
      </c>
      <c r="O7031">
        <v>0.67235940000000005</v>
      </c>
      <c r="P7031">
        <v>0.9059876</v>
      </c>
      <c r="Q7031">
        <v>6.0634630000000002E-2</v>
      </c>
      <c r="R7031">
        <v>0.41893940000000002</v>
      </c>
      <c r="S7031">
        <v>3.1558989999999998</v>
      </c>
      <c r="T7031">
        <v>-0.42551660000000002</v>
      </c>
      <c r="U7031">
        <v>0.40986630000000002</v>
      </c>
      <c r="V7031">
        <v>0.300718599999999</v>
      </c>
      <c r="W7031">
        <v>6.8775500000000003E-2</v>
      </c>
      <c r="X7031">
        <v>0.95122989999999996</v>
      </c>
      <c r="Y7031">
        <v>0.56165189999999998</v>
      </c>
      <c r="Z7031">
        <v>-0.1197612</v>
      </c>
      <c r="AA7031">
        <v>0.81866019999999995</v>
      </c>
      <c r="AB7031">
        <v>24</v>
      </c>
      <c r="AC7031">
        <v>8.0735999999999901</v>
      </c>
      <c r="AD7031">
        <v>-1.101098523226</v>
      </c>
      <c r="AE7031">
        <v>0.98470000000000302</v>
      </c>
      <c r="AF7031">
        <v>4.6155877931223799</v>
      </c>
      <c r="AG7031">
        <v>-1.101098523226</v>
      </c>
      <c r="AH7031">
        <v>6.5183766405132104</v>
      </c>
      <c r="AI7031">
        <v>97.849351138877907</v>
      </c>
      <c r="AJ7031">
        <v>54.698127277410499</v>
      </c>
      <c r="AK7031">
        <v>8.0625865986951801</v>
      </c>
      <c r="AL7031">
        <v>86.056341111033802</v>
      </c>
      <c r="AM7031">
        <v>72.456347337056599</v>
      </c>
      <c r="AN7031">
        <v>1.0000000342201001</v>
      </c>
    </row>
    <row r="7032" spans="1:40" x14ac:dyDescent="0.25">
      <c r="A7032" t="str">
        <f>"20190312151709834"</f>
        <v>20190312151709834</v>
      </c>
      <c r="B7032" t="str">
        <f>"1552375029824812"</f>
        <v>1552375029824812</v>
      </c>
      <c r="C7032" t="s">
        <v>40</v>
      </c>
      <c r="D7032">
        <v>5.0307079999999997</v>
      </c>
      <c r="E7032">
        <v>0.61752940000000001</v>
      </c>
      <c r="F7032" t="s">
        <v>43</v>
      </c>
      <c r="G7032">
        <v>-168.67769999999999</v>
      </c>
      <c r="H7032" s="1">
        <v>-1.5873699999999899E-6</v>
      </c>
      <c r="I7032">
        <v>135.49950000000001</v>
      </c>
      <c r="J7032">
        <v>-176.834</v>
      </c>
      <c r="K7032">
        <v>1.101113</v>
      </c>
      <c r="L7032">
        <v>134.5676</v>
      </c>
      <c r="M7032">
        <v>0.74513109999999905</v>
      </c>
      <c r="N7032">
        <v>0</v>
      </c>
      <c r="O7032">
        <v>0.66673930000000003</v>
      </c>
      <c r="P7032">
        <v>0.9087672</v>
      </c>
      <c r="Q7032">
        <v>6.0441160000000001E-2</v>
      </c>
      <c r="R7032">
        <v>0.41290339999999998</v>
      </c>
      <c r="S7032">
        <v>3.1591640000000001</v>
      </c>
      <c r="T7032">
        <v>-0.42086990000000002</v>
      </c>
      <c r="U7032">
        <v>0.38995360000000001</v>
      </c>
      <c r="V7032">
        <v>0.29984809999999901</v>
      </c>
      <c r="W7032">
        <v>6.8615179999999998E-2</v>
      </c>
      <c r="X7032">
        <v>0.95151620000000003</v>
      </c>
      <c r="Y7032">
        <v>0.56087399999999998</v>
      </c>
      <c r="Z7032">
        <v>-0.1178573</v>
      </c>
      <c r="AA7032">
        <v>0.81946939999999902</v>
      </c>
      <c r="AB7032">
        <v>24</v>
      </c>
      <c r="AC7032">
        <v>8.1563000000000105</v>
      </c>
      <c r="AD7032">
        <v>-1.1011145873699999</v>
      </c>
      <c r="AE7032">
        <v>0.93190000000001205</v>
      </c>
      <c r="AF7032">
        <v>4.6604590050029797</v>
      </c>
      <c r="AG7032">
        <v>-1.1011145873699999</v>
      </c>
      <c r="AH7032">
        <v>6.58124499464334</v>
      </c>
      <c r="AI7032">
        <v>97.775207266583706</v>
      </c>
      <c r="AJ7032">
        <v>54.696069700705202</v>
      </c>
      <c r="AK7032">
        <v>8.1391103415146304</v>
      </c>
      <c r="AL7032">
        <v>86.065548395634494</v>
      </c>
      <c r="AM7032">
        <v>72.508972123804995</v>
      </c>
      <c r="AN7032">
        <v>1.0000000024312401</v>
      </c>
    </row>
    <row r="7033" spans="1:40" x14ac:dyDescent="0.25">
      <c r="A7033" t="str">
        <f>"20190312151709844"</f>
        <v>20190312151709844</v>
      </c>
      <c r="B7033" t="str">
        <f>"1552375029834572"</f>
        <v>1552375029834572</v>
      </c>
      <c r="C7033" t="s">
        <v>40</v>
      </c>
      <c r="D7033">
        <v>5.080012</v>
      </c>
      <c r="E7033">
        <v>0.6174849</v>
      </c>
      <c r="F7033" t="s">
        <v>43</v>
      </c>
      <c r="G7033">
        <v>-168.46619999999999</v>
      </c>
      <c r="H7033" s="1">
        <v>-1.6557249999999999E-6</v>
      </c>
      <c r="I7033">
        <v>135.5479</v>
      </c>
      <c r="J7033">
        <v>-176.7424</v>
      </c>
      <c r="K7033">
        <v>1.101132</v>
      </c>
      <c r="L7033">
        <v>134.6404</v>
      </c>
      <c r="M7033">
        <v>0.74932699999999997</v>
      </c>
      <c r="N7033">
        <v>0</v>
      </c>
      <c r="O7033">
        <v>0.66202019999999995</v>
      </c>
      <c r="P7033">
        <v>0.91090890000000002</v>
      </c>
      <c r="Q7033">
        <v>6.0518540000000003E-2</v>
      </c>
      <c r="R7033">
        <v>0.40814519999999999</v>
      </c>
      <c r="S7033">
        <v>3.1605829999999999</v>
      </c>
      <c r="T7033">
        <v>-0.4158982</v>
      </c>
      <c r="U7033">
        <v>0.37026979999999998</v>
      </c>
      <c r="V7033">
        <v>0.29881010000000002</v>
      </c>
      <c r="W7033">
        <v>6.8727460000000004E-2</v>
      </c>
      <c r="X7033">
        <v>0.95183459999999998</v>
      </c>
      <c r="Y7033">
        <v>0.56099960000000004</v>
      </c>
      <c r="Z7033">
        <v>-0.11607720000000001</v>
      </c>
      <c r="AA7033">
        <v>0.81963739999999996</v>
      </c>
      <c r="AB7033">
        <v>24</v>
      </c>
      <c r="AC7033">
        <v>8.27620000000001</v>
      </c>
      <c r="AD7033">
        <v>-1.101133655725</v>
      </c>
      <c r="AE7033">
        <v>0.90749999999999797</v>
      </c>
      <c r="AF7033">
        <v>4.7170606791328398</v>
      </c>
      <c r="AG7033">
        <v>-1.101133655725</v>
      </c>
      <c r="AH7033">
        <v>6.6862219262317701</v>
      </c>
      <c r="AI7033">
        <v>97.664185734491099</v>
      </c>
      <c r="AJ7033">
        <v>54.797425490640101</v>
      </c>
      <c r="AK7033">
        <v>8.2564350918065106</v>
      </c>
      <c r="AL7033">
        <v>86.059100083009596</v>
      </c>
      <c r="AM7033">
        <v>72.5713258421668</v>
      </c>
      <c r="AN7033">
        <v>1.0000000226886101</v>
      </c>
    </row>
    <row r="7034" spans="1:40" x14ac:dyDescent="0.25">
      <c r="A7034" t="str">
        <f>"20190312151709855"</f>
        <v>20190312151709855</v>
      </c>
      <c r="B7034" t="str">
        <f>"1552375029845308"</f>
        <v>1552375029845308</v>
      </c>
      <c r="C7034" t="s">
        <v>40</v>
      </c>
      <c r="D7034">
        <v>5.0487960000000003</v>
      </c>
      <c r="E7034">
        <v>0.6172898</v>
      </c>
      <c r="F7034" t="s">
        <v>43</v>
      </c>
      <c r="G7034">
        <v>-168.25799999999899</v>
      </c>
      <c r="H7034" s="1">
        <v>-1.724285E-6</v>
      </c>
      <c r="I7034">
        <v>135.5907</v>
      </c>
      <c r="J7034">
        <v>-176.65369999999999</v>
      </c>
      <c r="K7034">
        <v>1.101145</v>
      </c>
      <c r="L7034">
        <v>134.71039999999999</v>
      </c>
      <c r="M7034">
        <v>0.75335439999999998</v>
      </c>
      <c r="N7034">
        <v>0</v>
      </c>
      <c r="O7034">
        <v>0.6574335</v>
      </c>
      <c r="P7034">
        <v>0.91282269999999999</v>
      </c>
      <c r="Q7034">
        <v>6.056131E-2</v>
      </c>
      <c r="R7034">
        <v>0.40384059999999999</v>
      </c>
      <c r="S7034">
        <v>3.1619869999999999</v>
      </c>
      <c r="T7034">
        <v>-0.4103755</v>
      </c>
      <c r="U7034">
        <v>0.35415649999999999</v>
      </c>
      <c r="V7034">
        <v>0.29748839999999999</v>
      </c>
      <c r="W7034">
        <v>6.8812129999999999E-2</v>
      </c>
      <c r="X7034">
        <v>0.95224240000000004</v>
      </c>
      <c r="Y7034">
        <v>0.56041649999999998</v>
      </c>
      <c r="Z7034">
        <v>-0.1141004</v>
      </c>
      <c r="AA7034">
        <v>0.82031359999999998</v>
      </c>
      <c r="AB7034">
        <v>24</v>
      </c>
      <c r="AC7034">
        <v>8.3956999999999997</v>
      </c>
      <c r="AD7034">
        <v>-1.1011467242849999</v>
      </c>
      <c r="AE7034">
        <v>0.88030000000000497</v>
      </c>
      <c r="AF7034">
        <v>4.7757566328865</v>
      </c>
      <c r="AG7034">
        <v>-1.1011467242849999</v>
      </c>
      <c r="AH7034">
        <v>6.7889855519591604</v>
      </c>
      <c r="AI7034">
        <v>97.556757706998496</v>
      </c>
      <c r="AJ7034">
        <v>54.875277362275597</v>
      </c>
      <c r="AK7034">
        <v>8.3732132631190801</v>
      </c>
      <c r="AL7034">
        <v>86.054237337877396</v>
      </c>
      <c r="AM7034">
        <v>72.650763682047796</v>
      </c>
      <c r="AN7034">
        <v>1.00000002286372</v>
      </c>
    </row>
    <row r="7035" spans="1:40" x14ac:dyDescent="0.25">
      <c r="A7035" t="str">
        <f>"20190312151709866"</f>
        <v>20190312151709866</v>
      </c>
      <c r="B7035" t="str">
        <f>"1552375029855068"</f>
        <v>1552375029855068</v>
      </c>
      <c r="C7035" t="s">
        <v>40</v>
      </c>
      <c r="D7035">
        <v>5.101388</v>
      </c>
      <c r="E7035">
        <v>0.61699209999999904</v>
      </c>
      <c r="F7035" t="s">
        <v>43</v>
      </c>
      <c r="G7035">
        <v>-168.10499999999999</v>
      </c>
      <c r="H7035" s="1">
        <v>-1.7721900000000001E-6</v>
      </c>
      <c r="I7035">
        <v>135.63149999999999</v>
      </c>
      <c r="J7035">
        <v>-176.54259999999999</v>
      </c>
      <c r="K7035">
        <v>1.1011610000000001</v>
      </c>
      <c r="L7035">
        <v>134.79640000000001</v>
      </c>
      <c r="M7035">
        <v>0.75831669999999995</v>
      </c>
      <c r="N7035">
        <v>0</v>
      </c>
      <c r="O7035">
        <v>0.651703699999999</v>
      </c>
      <c r="P7035">
        <v>0.91537610000000003</v>
      </c>
      <c r="Q7035">
        <v>6.0726339999999997E-2</v>
      </c>
      <c r="R7035">
        <v>0.39799400000000001</v>
      </c>
      <c r="S7035">
        <v>3.162811</v>
      </c>
      <c r="T7035">
        <v>-0.40739789999999998</v>
      </c>
      <c r="U7035">
        <v>0.34077449999999998</v>
      </c>
      <c r="V7035">
        <v>0.29635270000000002</v>
      </c>
      <c r="W7035">
        <v>6.9015729999999997E-2</v>
      </c>
      <c r="X7035">
        <v>0.95258169999999998</v>
      </c>
      <c r="Y7035">
        <v>0.55780580000000002</v>
      </c>
      <c r="Z7035">
        <v>-0.1126013</v>
      </c>
      <c r="AA7035">
        <v>0.82229779999999997</v>
      </c>
      <c r="AB7035">
        <v>24</v>
      </c>
      <c r="AC7035">
        <v>8.4375999999999998</v>
      </c>
      <c r="AD7035">
        <v>-1.1011627721899999</v>
      </c>
      <c r="AE7035">
        <v>0.83509999999998197</v>
      </c>
      <c r="AF7035">
        <v>4.7854097858459399</v>
      </c>
      <c r="AG7035">
        <v>-1.1011627721899999</v>
      </c>
      <c r="AH7035">
        <v>6.8282665862934797</v>
      </c>
      <c r="AI7035">
        <v>97.523095904070402</v>
      </c>
      <c r="AJ7035">
        <v>54.9763250071885</v>
      </c>
      <c r="AK7035">
        <v>8.4105844531054608</v>
      </c>
      <c r="AL7035">
        <v>86.042544005554902</v>
      </c>
      <c r="AM7035">
        <v>72.718833471272404</v>
      </c>
      <c r="AN7035">
        <v>0.99999999447980603</v>
      </c>
    </row>
    <row r="7036" spans="1:40" x14ac:dyDescent="0.25">
      <c r="A7036" t="str">
        <f>"20190312151709878"</f>
        <v>20190312151709878</v>
      </c>
      <c r="B7036" t="str">
        <f>"1552375029874589"</f>
        <v>1552375029874589</v>
      </c>
      <c r="C7036" t="s">
        <v>40</v>
      </c>
      <c r="D7036">
        <v>5.073817</v>
      </c>
      <c r="E7036">
        <v>0.61648459999999905</v>
      </c>
      <c r="F7036" t="s">
        <v>43</v>
      </c>
      <c r="G7036">
        <v>-167.9289</v>
      </c>
      <c r="H7036" s="1">
        <v>-1.827895E-6</v>
      </c>
      <c r="I7036">
        <v>135.67619999999999</v>
      </c>
      <c r="J7036">
        <v>-176.45099999999999</v>
      </c>
      <c r="K7036">
        <v>1.1011789999999999</v>
      </c>
      <c r="L7036">
        <v>134.8665</v>
      </c>
      <c r="M7036">
        <v>0.76236230000000005</v>
      </c>
      <c r="N7036">
        <v>0</v>
      </c>
      <c r="O7036">
        <v>0.6469665</v>
      </c>
      <c r="P7036">
        <v>0.91737619999999997</v>
      </c>
      <c r="Q7036">
        <v>6.070586E-2</v>
      </c>
      <c r="R7036">
        <v>0.39336500000000002</v>
      </c>
      <c r="S7036">
        <v>3.163681</v>
      </c>
      <c r="T7036">
        <v>-0.40443899999999999</v>
      </c>
      <c r="U7036">
        <v>0.32315060000000001</v>
      </c>
      <c r="V7036">
        <v>0.29522680000000001</v>
      </c>
      <c r="W7036">
        <v>6.9031919999999997E-2</v>
      </c>
      <c r="X7036">
        <v>0.9529301</v>
      </c>
      <c r="Y7036">
        <v>0.55737340000000002</v>
      </c>
      <c r="Z7036">
        <v>-0.111356</v>
      </c>
      <c r="AA7036">
        <v>0.82276050000000001</v>
      </c>
      <c r="AB7036">
        <v>24</v>
      </c>
      <c r="AC7036">
        <v>8.5220999999999894</v>
      </c>
      <c r="AD7036">
        <v>-1.1011808278949999</v>
      </c>
      <c r="AE7036">
        <v>0.80969999999999198</v>
      </c>
      <c r="AF7036">
        <v>4.8171024474772102</v>
      </c>
      <c r="AG7036">
        <v>-1.1011808278949999</v>
      </c>
      <c r="AH7036">
        <v>6.9073165444362798</v>
      </c>
      <c r="AI7036">
        <v>97.449952142704007</v>
      </c>
      <c r="AJ7036">
        <v>55.1084166433712</v>
      </c>
      <c r="AK7036">
        <v>8.4928262110005299</v>
      </c>
      <c r="AL7036">
        <v>86.041614280130204</v>
      </c>
      <c r="AM7036">
        <v>72.786522118010197</v>
      </c>
      <c r="AN7036">
        <v>1.0000000224515599</v>
      </c>
    </row>
    <row r="7037" spans="1:40" x14ac:dyDescent="0.25">
      <c r="A7037" t="str">
        <f>"20190312151709889"</f>
        <v>20190312151709889</v>
      </c>
      <c r="B7037" t="str">
        <f>"1552375029885324"</f>
        <v>1552375029885324</v>
      </c>
      <c r="C7037" t="s">
        <v>40</v>
      </c>
      <c r="D7037">
        <v>5.1218019999999997</v>
      </c>
      <c r="E7037">
        <v>0.61620739999999996</v>
      </c>
      <c r="F7037" t="s">
        <v>43</v>
      </c>
      <c r="G7037">
        <v>-167.76259999999999</v>
      </c>
      <c r="H7037" s="1">
        <v>-1.8798580000000001E-6</v>
      </c>
      <c r="I7037">
        <v>135.721</v>
      </c>
      <c r="J7037">
        <v>-176.3443</v>
      </c>
      <c r="K7037">
        <v>1.1011959999999901</v>
      </c>
      <c r="L7037">
        <v>134.94710000000001</v>
      </c>
      <c r="M7037">
        <v>0.7670129</v>
      </c>
      <c r="N7037">
        <v>0</v>
      </c>
      <c r="O7037">
        <v>0.64144619999999997</v>
      </c>
      <c r="P7037">
        <v>0.91976380000000002</v>
      </c>
      <c r="Q7037">
        <v>6.0956539999999997E-2</v>
      </c>
      <c r="R7037">
        <v>0.3877099</v>
      </c>
      <c r="S7037">
        <v>3.1633300000000002</v>
      </c>
      <c r="T7037">
        <v>-0.40092349999999999</v>
      </c>
      <c r="U7037">
        <v>0.31112669999999998</v>
      </c>
      <c r="V7037">
        <v>0.29420550000000001</v>
      </c>
      <c r="W7037">
        <v>6.9317329999999996E-2</v>
      </c>
      <c r="X7037">
        <v>0.95322510000000005</v>
      </c>
      <c r="Y7037">
        <v>0.55469269999999904</v>
      </c>
      <c r="Z7037">
        <v>-0.1097659</v>
      </c>
      <c r="AA7037">
        <v>0.8247833</v>
      </c>
      <c r="AB7037">
        <v>24</v>
      </c>
      <c r="AC7037">
        <v>8.5817000000000103</v>
      </c>
      <c r="AD7037">
        <v>-1.10119787985799</v>
      </c>
      <c r="AE7037">
        <v>0.77389999999999703</v>
      </c>
      <c r="AF7037">
        <v>4.83275852035624</v>
      </c>
      <c r="AG7037">
        <v>-1.10119787985799</v>
      </c>
      <c r="AH7037">
        <v>6.9657603779308399</v>
      </c>
      <c r="AI7037">
        <v>97.400605607083193</v>
      </c>
      <c r="AJ7037">
        <v>55.247564534727097</v>
      </c>
      <c r="AK7037">
        <v>8.5492695202239801</v>
      </c>
      <c r="AL7037">
        <v>86.025221857351696</v>
      </c>
      <c r="AM7037">
        <v>72.847566064348896</v>
      </c>
      <c r="AN7037">
        <v>0.99999992986929198</v>
      </c>
    </row>
    <row r="7038" spans="1:40" x14ac:dyDescent="0.25">
      <c r="A7038" t="str">
        <f>"20190312151709899"</f>
        <v>20190312151709899</v>
      </c>
      <c r="B7038" t="str">
        <f>"1552375029895084"</f>
        <v>1552375029895084</v>
      </c>
      <c r="C7038" t="s">
        <v>40</v>
      </c>
      <c r="D7038">
        <v>5.1090929999999997</v>
      </c>
      <c r="E7038">
        <v>0.61578719999999998</v>
      </c>
      <c r="F7038" t="s">
        <v>43</v>
      </c>
      <c r="G7038">
        <v>-167.61150000000001</v>
      </c>
      <c r="H7038" s="1">
        <v>-1.927901E-6</v>
      </c>
      <c r="I7038">
        <v>135.7585</v>
      </c>
      <c r="J7038">
        <v>-176.25309999999999</v>
      </c>
      <c r="K7038">
        <v>1.1012090000000001</v>
      </c>
      <c r="L7038">
        <v>135.01480000000001</v>
      </c>
      <c r="M7038">
        <v>0.77093710000000004</v>
      </c>
      <c r="N7038">
        <v>0</v>
      </c>
      <c r="O7038">
        <v>0.63672450000000003</v>
      </c>
      <c r="P7038">
        <v>0.9217883</v>
      </c>
      <c r="Q7038">
        <v>6.1198349999999999E-2</v>
      </c>
      <c r="R7038">
        <v>0.38283289999999998</v>
      </c>
      <c r="S7038">
        <v>3.164215</v>
      </c>
      <c r="T7038">
        <v>-0.39900289999999999</v>
      </c>
      <c r="U7038">
        <v>0.29402159999999999</v>
      </c>
      <c r="V7038">
        <v>0.29339330000000002</v>
      </c>
      <c r="W7038">
        <v>6.958657E-2</v>
      </c>
      <c r="X7038">
        <v>0.95345590000000002</v>
      </c>
      <c r="Y7038">
        <v>0.55416109999999996</v>
      </c>
      <c r="Z7038">
        <v>-0.108797</v>
      </c>
      <c r="AA7038">
        <v>0.82526889999999997</v>
      </c>
      <c r="AB7038">
        <v>24</v>
      </c>
      <c r="AC7038">
        <v>8.6415999999999809</v>
      </c>
      <c r="AD7038">
        <v>-1.1012109279009901</v>
      </c>
      <c r="AE7038">
        <v>0.74369999999998904</v>
      </c>
      <c r="AF7038">
        <v>4.8513580968083003</v>
      </c>
      <c r="AG7038">
        <v>-1.1012109279009901</v>
      </c>
      <c r="AH7038">
        <v>7.0232998370109199</v>
      </c>
      <c r="AI7038">
        <v>97.351047158971397</v>
      </c>
      <c r="AJ7038">
        <v>55.365147064149802</v>
      </c>
      <c r="AK7038">
        <v>8.6066881837181501</v>
      </c>
      <c r="AL7038">
        <v>86.009758625497099</v>
      </c>
      <c r="AM7038">
        <v>72.896049402239001</v>
      </c>
      <c r="AN7038">
        <v>1.00000003622703</v>
      </c>
    </row>
    <row r="7039" spans="1:40" x14ac:dyDescent="0.25">
      <c r="A7039" t="str">
        <f>"20190312151709912"</f>
        <v>20190312151709912</v>
      </c>
      <c r="B7039" t="str">
        <f>"1552375029904844"</f>
        <v>1552375029904844</v>
      </c>
      <c r="C7039" t="s">
        <v>40</v>
      </c>
      <c r="D7039">
        <v>4.9986079999999999</v>
      </c>
      <c r="E7039">
        <v>0.61578719999999998</v>
      </c>
      <c r="F7039" t="s">
        <v>43</v>
      </c>
      <c r="G7039">
        <v>-167.4699</v>
      </c>
      <c r="H7039" s="1">
        <v>-1.9729280000000001E-6</v>
      </c>
      <c r="I7039">
        <v>135.7937</v>
      </c>
      <c r="J7039">
        <v>-176.14019999999999</v>
      </c>
      <c r="K7039">
        <v>1.101229</v>
      </c>
      <c r="L7039">
        <v>135.09790000000001</v>
      </c>
      <c r="M7039">
        <v>0.77573389999999998</v>
      </c>
      <c r="N7039">
        <v>0</v>
      </c>
      <c r="O7039">
        <v>0.63087169999999904</v>
      </c>
      <c r="P7039">
        <v>0.92432110000000001</v>
      </c>
      <c r="Q7039">
        <v>6.1326150000000003E-2</v>
      </c>
      <c r="R7039">
        <v>0.3766563</v>
      </c>
      <c r="S7039">
        <v>3.1643219999999999</v>
      </c>
      <c r="T7039">
        <v>-0.39673459999999999</v>
      </c>
      <c r="U7039">
        <v>0.2806091</v>
      </c>
      <c r="V7039">
        <v>0.29255120000000001</v>
      </c>
      <c r="W7039">
        <v>6.9744959999999995E-2</v>
      </c>
      <c r="X7039">
        <v>0.95370299999999997</v>
      </c>
      <c r="Y7039">
        <v>0.55150779999999999</v>
      </c>
      <c r="Z7039">
        <v>-0.10750750000000001</v>
      </c>
      <c r="AA7039">
        <v>0.82721290000000003</v>
      </c>
      <c r="AB7039">
        <v>24</v>
      </c>
      <c r="AC7039">
        <v>8.6702999999999903</v>
      </c>
      <c r="AD7039">
        <v>-1.1012309729279901</v>
      </c>
      <c r="AE7039">
        <v>0.69579999999999098</v>
      </c>
      <c r="AF7039">
        <v>4.8528916248069303</v>
      </c>
      <c r="AG7039">
        <v>-1.1012309729279901</v>
      </c>
      <c r="AH7039">
        <v>7.0526134372661602</v>
      </c>
      <c r="AI7039">
        <v>97.329942405547698</v>
      </c>
      <c r="AJ7039">
        <v>55.468204105178103</v>
      </c>
      <c r="AK7039">
        <v>8.6314902000387193</v>
      </c>
      <c r="AL7039">
        <v>86.000661252053405</v>
      </c>
      <c r="AM7039">
        <v>72.946450902306907</v>
      </c>
      <c r="AN7039">
        <v>0.99999998813792002</v>
      </c>
    </row>
    <row r="7040" spans="1:40" x14ac:dyDescent="0.25">
      <c r="A7040" t="str">
        <f>"20190312151709925"</f>
        <v>20190312151709925</v>
      </c>
      <c r="B7040" t="str">
        <f>"1552375029914604"</f>
        <v>1552375029914604</v>
      </c>
      <c r="C7040" t="s">
        <v>40</v>
      </c>
      <c r="D7040">
        <v>5.0049720000000004</v>
      </c>
      <c r="E7040">
        <v>0.60706839999999995</v>
      </c>
      <c r="F7040" t="s">
        <v>43</v>
      </c>
      <c r="G7040">
        <v>-167.35310000000001</v>
      </c>
      <c r="H7040" s="1">
        <v>-2.0111039999999998E-6</v>
      </c>
      <c r="I7040">
        <v>135.81870000000001</v>
      </c>
      <c r="J7040">
        <v>-176.03579999999999</v>
      </c>
      <c r="K7040">
        <v>1.1012470000000001</v>
      </c>
      <c r="L7040">
        <v>135.1728</v>
      </c>
      <c r="M7040">
        <v>0.78009619999999902</v>
      </c>
      <c r="N7040">
        <v>0</v>
      </c>
      <c r="O7040">
        <v>0.62546959999999996</v>
      </c>
      <c r="P7040">
        <v>0.92655560000000003</v>
      </c>
      <c r="Q7040">
        <v>6.1354890000000002E-2</v>
      </c>
      <c r="R7040">
        <v>0.37112030000000001</v>
      </c>
      <c r="S7040">
        <v>3.1661220000000001</v>
      </c>
      <c r="T7040">
        <v>-0.39679029999999998</v>
      </c>
      <c r="U7040">
        <v>0.2597198</v>
      </c>
      <c r="V7040">
        <v>0.29162959999999999</v>
      </c>
      <c r="W7040">
        <v>6.9804909999999998E-2</v>
      </c>
      <c r="X7040">
        <v>0.95398090000000002</v>
      </c>
      <c r="Y7040">
        <v>0.55123529999999998</v>
      </c>
      <c r="Z7040">
        <v>-0.10699889999999999</v>
      </c>
      <c r="AA7040">
        <v>0.82746049999999904</v>
      </c>
      <c r="AB7040">
        <v>24</v>
      </c>
      <c r="AC7040">
        <v>8.6826999999999792</v>
      </c>
      <c r="AD7040">
        <v>-1.1012490111040001</v>
      </c>
      <c r="AE7040">
        <v>0.64590000000001102</v>
      </c>
      <c r="AF7040">
        <v>4.8498979131079301</v>
      </c>
      <c r="AG7040">
        <v>-1.1012490111040001</v>
      </c>
      <c r="AH7040">
        <v>7.0651571078964697</v>
      </c>
      <c r="AI7040">
        <v>97.322749487546204</v>
      </c>
      <c r="AJ7040">
        <v>55.532234034981798</v>
      </c>
      <c r="AK7040">
        <v>8.6400638950927995</v>
      </c>
      <c r="AL7040">
        <v>85.997218239238805</v>
      </c>
      <c r="AM7040">
        <v>73.001737351937095</v>
      </c>
      <c r="AN7040">
        <v>1.00000005331053</v>
      </c>
    </row>
    <row r="7041" spans="1:40" x14ac:dyDescent="0.25">
      <c r="A7041" t="str">
        <f>"20190312151709939"</f>
        <v>20190312151709939</v>
      </c>
      <c r="B7041" t="str">
        <f>"1552375029935101"</f>
        <v>1552375029935101</v>
      </c>
      <c r="C7041" t="s">
        <v>40</v>
      </c>
      <c r="D7041">
        <v>4.9655300000000002</v>
      </c>
      <c r="E7041">
        <v>0.60422469999999995</v>
      </c>
      <c r="F7041" t="s">
        <v>43</v>
      </c>
      <c r="G7041">
        <v>-164.78649999999999</v>
      </c>
      <c r="H7041" s="1">
        <v>-3.0371850000000001E-6</v>
      </c>
      <c r="I7041">
        <v>136.2774</v>
      </c>
      <c r="J7041">
        <v>-175.8991</v>
      </c>
      <c r="K7041">
        <v>1.10127</v>
      </c>
      <c r="L7041">
        <v>135.26990000000001</v>
      </c>
      <c r="M7041">
        <v>0.7857305</v>
      </c>
      <c r="N7041">
        <v>0</v>
      </c>
      <c r="O7041">
        <v>0.61837679999999995</v>
      </c>
      <c r="P7041">
        <v>0.9296008</v>
      </c>
      <c r="Q7041">
        <v>6.1510919999999997E-2</v>
      </c>
      <c r="R7041">
        <v>0.36339900000000003</v>
      </c>
      <c r="S7041">
        <v>3.134827</v>
      </c>
      <c r="T7041">
        <v>-0.30688389999999999</v>
      </c>
      <c r="U7041">
        <v>0.30780030000000003</v>
      </c>
      <c r="V7041">
        <v>0.29091699999999998</v>
      </c>
      <c r="W7041">
        <v>6.9988510000000004E-2</v>
      </c>
      <c r="X7041">
        <v>0.9541849</v>
      </c>
      <c r="Y7041">
        <v>0.53367779999999998</v>
      </c>
      <c r="Z7041">
        <v>-8.2191260000000002E-2</v>
      </c>
      <c r="AA7041">
        <v>0.8416844</v>
      </c>
      <c r="AB7041">
        <v>24</v>
      </c>
      <c r="AC7041">
        <v>11.1126</v>
      </c>
      <c r="AD7041">
        <v>-1.1012730371849999</v>
      </c>
      <c r="AE7041">
        <v>1.0074999999999901</v>
      </c>
      <c r="AF7041">
        <v>6.0222110036980903</v>
      </c>
      <c r="AG7041">
        <v>-1.1012730371849999</v>
      </c>
      <c r="AH7041">
        <v>9.2653813720299407</v>
      </c>
      <c r="AI7041">
        <v>95.691185428099004</v>
      </c>
      <c r="AJ7041">
        <v>56.977379614527699</v>
      </c>
      <c r="AK7041">
        <v>11.105274406544501</v>
      </c>
      <c r="AL7041">
        <v>85.986672559820306</v>
      </c>
      <c r="AM7041">
        <v>73.044304042965706</v>
      </c>
      <c r="AN7041">
        <v>0.99999995790451401</v>
      </c>
    </row>
    <row r="7042" spans="1:40" x14ac:dyDescent="0.25">
      <c r="A7042" t="str">
        <f>"20190312151709954"</f>
        <v>20190312151709954</v>
      </c>
      <c r="B7042" t="str">
        <f>"1552375029944860"</f>
        <v>1552375029944860</v>
      </c>
      <c r="C7042" t="s">
        <v>40</v>
      </c>
      <c r="D7042">
        <v>4.8974780000000004</v>
      </c>
      <c r="E7042">
        <v>0.60268669999999902</v>
      </c>
      <c r="F7042" t="s">
        <v>43</v>
      </c>
      <c r="G7042">
        <v>-164.3329</v>
      </c>
      <c r="H7042" s="1">
        <v>-3.2315240000000001E-6</v>
      </c>
      <c r="I7042">
        <v>136.39060000000001</v>
      </c>
      <c r="J7042">
        <v>-175.76779999999999</v>
      </c>
      <c r="K7042">
        <v>1.1012949999999999</v>
      </c>
      <c r="L7042">
        <v>135.36170000000001</v>
      </c>
      <c r="M7042">
        <v>0.79105439999999905</v>
      </c>
      <c r="N7042">
        <v>0</v>
      </c>
      <c r="O7042">
        <v>0.61155170000000003</v>
      </c>
      <c r="P7042">
        <v>0.93204629999999999</v>
      </c>
      <c r="Q7042">
        <v>6.2023399999999999E-2</v>
      </c>
      <c r="R7042">
        <v>0.35699170000000002</v>
      </c>
      <c r="S7042">
        <v>3.1284179999999999</v>
      </c>
      <c r="T7042">
        <v>-0.29787180000000002</v>
      </c>
      <c r="U7042">
        <v>0.30311579999999999</v>
      </c>
      <c r="V7042">
        <v>0.28920970000000001</v>
      </c>
      <c r="W7042">
        <v>7.055409E-2</v>
      </c>
      <c r="X7042">
        <v>0.95466220000000002</v>
      </c>
      <c r="Y7042">
        <v>0.52776269999999903</v>
      </c>
      <c r="Z7042">
        <v>-7.9179199999999894E-2</v>
      </c>
      <c r="AA7042">
        <v>0.84569329999999998</v>
      </c>
      <c r="AB7042">
        <v>24</v>
      </c>
      <c r="AC7042">
        <v>11.434900000000001</v>
      </c>
      <c r="AD7042">
        <v>-1.1012982315240001</v>
      </c>
      <c r="AE7042">
        <v>1.0288999999999899</v>
      </c>
      <c r="AF7042">
        <v>6.1235069797674804</v>
      </c>
      <c r="AG7042">
        <v>-1.1012982315240001</v>
      </c>
      <c r="AH7042">
        <v>9.5877835281304495</v>
      </c>
      <c r="AI7042">
        <v>95.5293083034246</v>
      </c>
      <c r="AJ7042">
        <v>57.434521876251701</v>
      </c>
      <c r="AK7042">
        <v>11.429601415111</v>
      </c>
      <c r="AL7042">
        <v>85.954187168188795</v>
      </c>
      <c r="AM7042">
        <v>73.146101979243497</v>
      </c>
      <c r="AN7042">
        <v>1.00000002314932</v>
      </c>
    </row>
    <row r="7043" spans="1:40" x14ac:dyDescent="0.25">
      <c r="A7043" t="str">
        <f>"20190312151709970"</f>
        <v>20190312151709970</v>
      </c>
      <c r="B7043" t="str">
        <f>"1552375029965357"</f>
        <v>1552375029965357</v>
      </c>
      <c r="C7043" t="s">
        <v>40</v>
      </c>
      <c r="D7043">
        <v>4.9637560000000001</v>
      </c>
      <c r="E7043">
        <v>0.60159339999999994</v>
      </c>
      <c r="F7043" t="s">
        <v>43</v>
      </c>
      <c r="G7043">
        <v>-164.20150000000001</v>
      </c>
      <c r="H7043" s="1">
        <v>-3.284045E-6</v>
      </c>
      <c r="I7043">
        <v>136.44470000000001</v>
      </c>
      <c r="J7043">
        <v>-175.61840000000001</v>
      </c>
      <c r="K7043">
        <v>1.1013200000000001</v>
      </c>
      <c r="L7043">
        <v>135.46360000000001</v>
      </c>
      <c r="M7043">
        <v>0.79699350000000002</v>
      </c>
      <c r="N7043">
        <v>0</v>
      </c>
      <c r="O7043">
        <v>0.60379139999999998</v>
      </c>
      <c r="P7043">
        <v>0.93523559999999994</v>
      </c>
      <c r="Q7043">
        <v>6.2150009999999999E-2</v>
      </c>
      <c r="R7043">
        <v>0.34852850000000002</v>
      </c>
      <c r="S7043">
        <v>3.1264189999999998</v>
      </c>
      <c r="T7043">
        <v>-0.29768679999999997</v>
      </c>
      <c r="U7043">
        <v>0.29275509999999999</v>
      </c>
      <c r="V7043">
        <v>0.28852650000000002</v>
      </c>
      <c r="W7043">
        <v>7.0708190000000004E-2</v>
      </c>
      <c r="X7043">
        <v>0.95485750000000003</v>
      </c>
      <c r="Y7043">
        <v>0.52224499999999996</v>
      </c>
      <c r="Z7043">
        <v>-7.8367530000000005E-2</v>
      </c>
      <c r="AA7043">
        <v>0.84918709999999997</v>
      </c>
      <c r="AB7043">
        <v>24</v>
      </c>
      <c r="AC7043">
        <v>11.416899999999901</v>
      </c>
      <c r="AD7043">
        <v>-1.101323284045</v>
      </c>
      <c r="AE7043">
        <v>0.98109999999999797</v>
      </c>
      <c r="AF7043">
        <v>6.0562782484766897</v>
      </c>
      <c r="AG7043">
        <v>-1.101323284045</v>
      </c>
      <c r="AH7043">
        <v>9.6040112961678403</v>
      </c>
      <c r="AI7043">
        <v>95.540236545352997</v>
      </c>
      <c r="AJ7043">
        <v>57.764517234415699</v>
      </c>
      <c r="AK7043">
        <v>11.4073858607426</v>
      </c>
      <c r="AL7043">
        <v>85.945335758774405</v>
      </c>
      <c r="AM7043">
        <v>73.186911540117904</v>
      </c>
      <c r="AN7043">
        <v>1.0000000173207799</v>
      </c>
    </row>
    <row r="7044" spans="1:40" x14ac:dyDescent="0.25">
      <c r="A7044" t="str">
        <f>"20190312151709984"</f>
        <v>20190312151709984</v>
      </c>
      <c r="B7044" t="str">
        <f>"1552375029975116"</f>
        <v>1552375029975116</v>
      </c>
      <c r="C7044" t="s">
        <v>40</v>
      </c>
      <c r="D7044">
        <v>4.9237440000000001</v>
      </c>
      <c r="E7044">
        <v>0.60096810000000001</v>
      </c>
      <c r="F7044" t="s">
        <v>43</v>
      </c>
      <c r="G7044">
        <v>-164.10749999999999</v>
      </c>
      <c r="H7044" s="1">
        <v>-3.3245629999999999E-6</v>
      </c>
      <c r="I7044">
        <v>136.46690000000001</v>
      </c>
      <c r="J7044">
        <v>-175.49379999999999</v>
      </c>
      <c r="K7044">
        <v>1.101345</v>
      </c>
      <c r="L7044">
        <v>135.54679999999999</v>
      </c>
      <c r="M7044">
        <v>0.80185620000000002</v>
      </c>
      <c r="N7044">
        <v>0</v>
      </c>
      <c r="O7044">
        <v>0.59731849999999997</v>
      </c>
      <c r="P7044">
        <v>0.93742879999999995</v>
      </c>
      <c r="Q7044">
        <v>6.2757489999999999E-2</v>
      </c>
      <c r="R7044">
        <v>0.34247450000000002</v>
      </c>
      <c r="S7044">
        <v>3.1260680000000001</v>
      </c>
      <c r="T7044">
        <v>-0.29909170000000002</v>
      </c>
      <c r="U7044">
        <v>0.2724762</v>
      </c>
      <c r="V7044">
        <v>0.28695300000000001</v>
      </c>
      <c r="W7044">
        <v>7.1364070000000002E-2</v>
      </c>
      <c r="X7044">
        <v>0.95528270000000004</v>
      </c>
      <c r="Y7044">
        <v>0.52079070000000005</v>
      </c>
      <c r="Z7044">
        <v>-7.8235849999999996E-2</v>
      </c>
      <c r="AA7044">
        <v>0.85009190000000001</v>
      </c>
      <c r="AB7044">
        <v>24</v>
      </c>
      <c r="AC7044">
        <v>11.3863</v>
      </c>
      <c r="AD7044">
        <v>-1.101348324563</v>
      </c>
      <c r="AE7044">
        <v>0.92010000000001901</v>
      </c>
      <c r="AF7044">
        <v>6.0083306619660801</v>
      </c>
      <c r="AG7044">
        <v>-1.101348324563</v>
      </c>
      <c r="AH7044">
        <v>9.5917593773160501</v>
      </c>
      <c r="AI7044">
        <v>95.557819181531897</v>
      </c>
      <c r="AJ7044">
        <v>57.936745432321899</v>
      </c>
      <c r="AK7044">
        <v>11.3716688936967</v>
      </c>
      <c r="AL7044">
        <v>85.907661134682101</v>
      </c>
      <c r="AM7044">
        <v>73.280498066494502</v>
      </c>
      <c r="AN7044">
        <v>0.99999994580762597</v>
      </c>
    </row>
    <row r="7045" spans="1:40" x14ac:dyDescent="0.25">
      <c r="A7045" t="str">
        <f>"20190312151710001"</f>
        <v>20190312151710001</v>
      </c>
      <c r="B7045" t="str">
        <f>"1552375029994636"</f>
        <v>1552375029994636</v>
      </c>
      <c r="C7045" t="s">
        <v>40</v>
      </c>
      <c r="D7045">
        <v>4.8950370000000003</v>
      </c>
      <c r="E7045">
        <v>0.59937750000000001</v>
      </c>
      <c r="F7045" t="s">
        <v>43</v>
      </c>
      <c r="G7045">
        <v>-163.9059</v>
      </c>
      <c r="H7045" s="1">
        <v>-3.4139890000000002E-6</v>
      </c>
      <c r="I7045">
        <v>136.5</v>
      </c>
      <c r="J7045">
        <v>-175.33529999999999</v>
      </c>
      <c r="K7045">
        <v>1.101369</v>
      </c>
      <c r="L7045">
        <v>135.65090000000001</v>
      </c>
      <c r="M7045">
        <v>0.80793749999999998</v>
      </c>
      <c r="N7045">
        <v>0</v>
      </c>
      <c r="O7045">
        <v>0.58906700000000001</v>
      </c>
      <c r="P7045">
        <v>0.94067009999999995</v>
      </c>
      <c r="Q7045">
        <v>6.3140680000000005E-2</v>
      </c>
      <c r="R7045">
        <v>0.33339659999999999</v>
      </c>
      <c r="S7045">
        <v>3.1262050000000001</v>
      </c>
      <c r="T7045">
        <v>-0.297124</v>
      </c>
      <c r="U7045">
        <v>0.25715640000000001</v>
      </c>
      <c r="V7045">
        <v>0.286383099999999</v>
      </c>
      <c r="W7045">
        <v>7.1771669999999996E-2</v>
      </c>
      <c r="X7045">
        <v>0.95542320000000003</v>
      </c>
      <c r="Y7045">
        <v>0.51630029999999905</v>
      </c>
      <c r="Z7045">
        <v>-7.6918189999999997E-2</v>
      </c>
      <c r="AA7045">
        <v>0.85294650000000005</v>
      </c>
      <c r="AB7045">
        <v>24</v>
      </c>
      <c r="AC7045">
        <v>11.4293999999999</v>
      </c>
      <c r="AD7045">
        <v>-1.101372413989</v>
      </c>
      <c r="AE7045">
        <v>0.84909999999999197</v>
      </c>
      <c r="AF7045">
        <v>5.9920436983288097</v>
      </c>
      <c r="AG7045">
        <v>-1.101372413989</v>
      </c>
      <c r="AH7045">
        <v>9.6464875645440493</v>
      </c>
      <c r="AI7045">
        <v>95.539547663493394</v>
      </c>
      <c r="AJ7045">
        <v>58.152968584586098</v>
      </c>
      <c r="AK7045">
        <v>11.4093089716196</v>
      </c>
      <c r="AL7045">
        <v>85.884247441586595</v>
      </c>
      <c r="AM7045">
        <v>73.314173260414904</v>
      </c>
      <c r="AN7045">
        <v>0.99999997183921896</v>
      </c>
    </row>
    <row r="7046" spans="1:40" x14ac:dyDescent="0.25">
      <c r="A7046" t="str">
        <f>"20190312151710014"</f>
        <v>20190312151710014</v>
      </c>
      <c r="B7046" t="str">
        <f>"1552375030005373"</f>
        <v>1552375030005373</v>
      </c>
      <c r="C7046" t="s">
        <v>40</v>
      </c>
      <c r="D7046">
        <v>4.8352629999999897</v>
      </c>
      <c r="E7046">
        <v>0.59937750000000001</v>
      </c>
      <c r="F7046" t="s">
        <v>43</v>
      </c>
      <c r="G7046">
        <v>-163.4151</v>
      </c>
      <c r="H7046" s="1">
        <v>-3.6346159999999999E-6</v>
      </c>
      <c r="I7046">
        <v>136.56399999999999</v>
      </c>
      <c r="J7046">
        <v>-175.21639999999999</v>
      </c>
      <c r="K7046">
        <v>1.1013900000000001</v>
      </c>
      <c r="L7046">
        <v>135.7277</v>
      </c>
      <c r="M7046">
        <v>0.81242139999999996</v>
      </c>
      <c r="N7046">
        <v>0</v>
      </c>
      <c r="O7046">
        <v>0.58286759999999904</v>
      </c>
      <c r="P7046">
        <v>0.94302680000000005</v>
      </c>
      <c r="Q7046">
        <v>6.3415810000000003E-2</v>
      </c>
      <c r="R7046">
        <v>0.3266174</v>
      </c>
      <c r="S7046">
        <v>3.1237789999999999</v>
      </c>
      <c r="T7046">
        <v>-0.28862459999999901</v>
      </c>
      <c r="U7046">
        <v>0.23930360000000001</v>
      </c>
      <c r="V7046">
        <v>0.285941099999999</v>
      </c>
      <c r="W7046">
        <v>7.2065110000000002E-2</v>
      </c>
      <c r="X7046">
        <v>0.95553350000000004</v>
      </c>
      <c r="Y7046">
        <v>0.51482829999999902</v>
      </c>
      <c r="Z7046">
        <v>-7.429492E-2</v>
      </c>
      <c r="AA7046">
        <v>0.85406800000000005</v>
      </c>
      <c r="AB7046">
        <v>24</v>
      </c>
      <c r="AC7046">
        <v>11.8012999999999</v>
      </c>
      <c r="AD7046">
        <v>-1.10139363461599</v>
      </c>
      <c r="AE7046">
        <v>0.83629999999999405</v>
      </c>
      <c r="AF7046">
        <v>6.1466310595350997</v>
      </c>
      <c r="AG7046">
        <v>-1.10139363461599</v>
      </c>
      <c r="AH7046">
        <v>9.98969715162524</v>
      </c>
      <c r="AI7046">
        <v>95.364430565171105</v>
      </c>
      <c r="AJ7046">
        <v>58.396137461576501</v>
      </c>
      <c r="AK7046">
        <v>11.7808399743653</v>
      </c>
      <c r="AL7046">
        <v>85.867390956566993</v>
      </c>
      <c r="AM7046">
        <v>73.340314171774196</v>
      </c>
      <c r="AN7046">
        <v>0.99999998118538502</v>
      </c>
    </row>
    <row r="7047" spans="1:40" x14ac:dyDescent="0.25">
      <c r="A7047" t="str">
        <f>"20190312151710028"</f>
        <v>20190312151710028</v>
      </c>
      <c r="B7047" t="str">
        <f>"1552375030024628"</f>
        <v>1552375030024628</v>
      </c>
      <c r="C7047" t="s">
        <v>40</v>
      </c>
      <c r="D7047">
        <v>4.774159</v>
      </c>
      <c r="E7047">
        <v>0.58700189999999997</v>
      </c>
      <c r="F7047" t="s">
        <v>43</v>
      </c>
      <c r="G7047">
        <v>-163.27090000000001</v>
      </c>
      <c r="H7047" s="1">
        <v>-3.7040410000000001E-6</v>
      </c>
      <c r="I7047">
        <v>136.55709999999999</v>
      </c>
      <c r="J7047">
        <v>-175.0778</v>
      </c>
      <c r="K7047">
        <v>1.1014109999999999</v>
      </c>
      <c r="L7047">
        <v>135.8151</v>
      </c>
      <c r="M7047">
        <v>0.81755169999999999</v>
      </c>
      <c r="N7047">
        <v>0</v>
      </c>
      <c r="O7047">
        <v>0.57564950000000004</v>
      </c>
      <c r="P7047">
        <v>0.94559090000000001</v>
      </c>
      <c r="Q7047">
        <v>6.4108750000000006E-2</v>
      </c>
      <c r="R7047">
        <v>0.31897959999999997</v>
      </c>
      <c r="S7047">
        <v>3.1254879999999998</v>
      </c>
      <c r="T7047">
        <v>-0.28817490000000001</v>
      </c>
      <c r="U7047">
        <v>0.2170105</v>
      </c>
      <c r="V7047">
        <v>0.28519070000000002</v>
      </c>
      <c r="W7047">
        <v>7.2784680000000004E-2</v>
      </c>
      <c r="X7047">
        <v>0.95570330000000003</v>
      </c>
      <c r="Y7047">
        <v>0.51339140000000005</v>
      </c>
      <c r="Z7047">
        <v>-7.3579149999999996E-2</v>
      </c>
      <c r="AA7047">
        <v>0.85499439999999904</v>
      </c>
      <c r="AB7047">
        <v>24</v>
      </c>
      <c r="AC7047">
        <v>11.806899999999899</v>
      </c>
      <c r="AD7047">
        <v>-1.1014147040410001</v>
      </c>
      <c r="AE7047">
        <v>0.74199999999999</v>
      </c>
      <c r="AF7047">
        <v>6.1375458155550904</v>
      </c>
      <c r="AG7047">
        <v>-1.1014147040410001</v>
      </c>
      <c r="AH7047">
        <v>9.9944454256279602</v>
      </c>
      <c r="AI7047">
        <v>95.364856594480798</v>
      </c>
      <c r="AJ7047">
        <v>58.446093767161599</v>
      </c>
      <c r="AK7047">
        <v>11.780132527020699</v>
      </c>
      <c r="AL7047">
        <v>85.826054451632402</v>
      </c>
      <c r="AM7047">
        <v>73.384410276960693</v>
      </c>
      <c r="AN7047">
        <v>1.0000000713200301</v>
      </c>
    </row>
    <row r="7048" spans="1:40" x14ac:dyDescent="0.25">
      <c r="A7048" t="str">
        <f>"20190312151710042"</f>
        <v>20190312151710042</v>
      </c>
      <c r="B7048" t="str">
        <f>"1552375030035365"</f>
        <v>1552375030035365</v>
      </c>
      <c r="C7048" t="s">
        <v>40</v>
      </c>
      <c r="D7048">
        <v>4.7252099999999997</v>
      </c>
      <c r="E7048">
        <v>0.58698609999999996</v>
      </c>
      <c r="F7048" t="s">
        <v>43</v>
      </c>
      <c r="G7048">
        <v>-162.89189999999999</v>
      </c>
      <c r="H7048" s="1">
        <v>-3.8145949999999999E-6</v>
      </c>
      <c r="I7048">
        <v>136.94370000000001</v>
      </c>
      <c r="J7048">
        <v>-174.95429999999999</v>
      </c>
      <c r="K7048">
        <v>1.101424</v>
      </c>
      <c r="L7048">
        <v>135.89150000000001</v>
      </c>
      <c r="M7048">
        <v>0.8220459</v>
      </c>
      <c r="N7048">
        <v>0</v>
      </c>
      <c r="O7048">
        <v>0.56921330000000003</v>
      </c>
      <c r="P7048">
        <v>0.94790509999999994</v>
      </c>
      <c r="Q7048">
        <v>6.4429029999999998E-2</v>
      </c>
      <c r="R7048">
        <v>0.31196929999999901</v>
      </c>
      <c r="S7048">
        <v>3.0948790000000002</v>
      </c>
      <c r="T7048">
        <v>-0.27972829999999999</v>
      </c>
      <c r="U7048">
        <v>0.28665159999999901</v>
      </c>
      <c r="V7048">
        <v>0.28475519999999999</v>
      </c>
      <c r="W7048">
        <v>7.3123279999999999E-2</v>
      </c>
      <c r="X7048">
        <v>0.95580719999999997</v>
      </c>
      <c r="Y7048">
        <v>0.4870409</v>
      </c>
      <c r="Z7048">
        <v>-7.0325860000000004E-2</v>
      </c>
      <c r="AA7048">
        <v>0.87054319999999896</v>
      </c>
      <c r="AB7048">
        <v>24</v>
      </c>
      <c r="AC7048">
        <v>12.062399999999901</v>
      </c>
      <c r="AD7048">
        <v>-1.1014278145950001</v>
      </c>
      <c r="AE7048">
        <v>1.05219999999999</v>
      </c>
      <c r="AF7048">
        <v>5.9525765238205803</v>
      </c>
      <c r="AG7048">
        <v>-1.1014278145950001</v>
      </c>
      <c r="AH7048">
        <v>10.4297148197415</v>
      </c>
      <c r="AI7048">
        <v>95.240399751570607</v>
      </c>
      <c r="AJ7048">
        <v>60.285195433559203</v>
      </c>
      <c r="AK7048">
        <v>12.0592396826599</v>
      </c>
      <c r="AL7048">
        <v>85.806601845586002</v>
      </c>
      <c r="AM7048">
        <v>73.410091717496201</v>
      </c>
      <c r="AN7048">
        <v>0.99999997078841796</v>
      </c>
    </row>
    <row r="7049" spans="1:40" x14ac:dyDescent="0.25">
      <c r="A7049" t="str">
        <f>"20190312151710062"</f>
        <v>20190312151710062</v>
      </c>
      <c r="B7049" t="str">
        <f>"1552375030054885"</f>
        <v>1552375030054885</v>
      </c>
      <c r="C7049" t="s">
        <v>40</v>
      </c>
      <c r="D7049">
        <v>4.7864300000000002</v>
      </c>
      <c r="E7049">
        <v>0.58660469999999998</v>
      </c>
      <c r="F7049" t="s">
        <v>43</v>
      </c>
      <c r="G7049">
        <v>-162.40809999999999</v>
      </c>
      <c r="H7049" s="1">
        <v>-4.0399439999999996E-6</v>
      </c>
      <c r="I7049">
        <v>136.96270000000001</v>
      </c>
      <c r="J7049">
        <v>-174.76140000000001</v>
      </c>
      <c r="K7049">
        <v>1.10145</v>
      </c>
      <c r="L7049">
        <v>136.0085</v>
      </c>
      <c r="M7049">
        <v>0.82893169999999905</v>
      </c>
      <c r="N7049">
        <v>0</v>
      </c>
      <c r="O7049">
        <v>0.55913840000000004</v>
      </c>
      <c r="P7049">
        <v>0.951326</v>
      </c>
      <c r="Q7049">
        <v>6.5053949999999999E-2</v>
      </c>
      <c r="R7049">
        <v>0.30124220000000002</v>
      </c>
      <c r="S7049">
        <v>3.0963289999999999</v>
      </c>
      <c r="T7049">
        <v>-0.2718236</v>
      </c>
      <c r="U7049">
        <v>0.26437379999999999</v>
      </c>
      <c r="V7049">
        <v>0.28387050000000003</v>
      </c>
      <c r="W7049">
        <v>7.3781449999999998E-2</v>
      </c>
      <c r="X7049">
        <v>0.95601979999999998</v>
      </c>
      <c r="Y7049">
        <v>0.4829156</v>
      </c>
      <c r="Z7049">
        <v>-6.7453460000000007E-2</v>
      </c>
      <c r="AA7049">
        <v>0.87306510000000004</v>
      </c>
      <c r="AB7049">
        <v>24</v>
      </c>
      <c r="AC7049">
        <v>12.353300000000001</v>
      </c>
      <c r="AD7049">
        <v>-1.101454039944</v>
      </c>
      <c r="AE7049">
        <v>0.95420000000001404</v>
      </c>
      <c r="AF7049">
        <v>6.0689987613429803</v>
      </c>
      <c r="AG7049">
        <v>-1.101454039944</v>
      </c>
      <c r="AH7049">
        <v>10.6903617175909</v>
      </c>
      <c r="AI7049">
        <v>95.120056705136406</v>
      </c>
      <c r="AJ7049">
        <v>60.416096630697901</v>
      </c>
      <c r="AK7049">
        <v>12.342195129725701</v>
      </c>
      <c r="AL7049">
        <v>85.768789507263705</v>
      </c>
      <c r="AM7049">
        <v>73.462291450453904</v>
      </c>
      <c r="AN7049">
        <v>1.0000000105631901</v>
      </c>
    </row>
    <row r="7050" spans="1:40" x14ac:dyDescent="0.25">
      <c r="A7050" t="str">
        <f>"20190312151710078"</f>
        <v>20190312151710078</v>
      </c>
      <c r="B7050" t="str">
        <f>"1552375030064645"</f>
        <v>1552375030064645</v>
      </c>
      <c r="C7050" t="s">
        <v>40</v>
      </c>
      <c r="D7050">
        <v>4.7871709999999998</v>
      </c>
      <c r="E7050">
        <v>0.58621880000000004</v>
      </c>
      <c r="F7050" t="s">
        <v>43</v>
      </c>
      <c r="G7050">
        <v>-162.2594</v>
      </c>
      <c r="H7050" s="1">
        <v>-4.1127060000000002E-6</v>
      </c>
      <c r="I7050">
        <v>136.9486</v>
      </c>
      <c r="J7050">
        <v>-174.61799999999999</v>
      </c>
      <c r="K7050">
        <v>1.101472</v>
      </c>
      <c r="L7050">
        <v>136.09350000000001</v>
      </c>
      <c r="M7050">
        <v>0.8339375</v>
      </c>
      <c r="N7050">
        <v>0</v>
      </c>
      <c r="O7050">
        <v>0.55164480000000005</v>
      </c>
      <c r="P7050">
        <v>0.95383810000000002</v>
      </c>
      <c r="Q7050">
        <v>6.5099420000000005E-2</v>
      </c>
      <c r="R7050">
        <v>0.29318129999999998</v>
      </c>
      <c r="S7050">
        <v>3.0984039999999999</v>
      </c>
      <c r="T7050">
        <v>-0.27297680000000002</v>
      </c>
      <c r="U7050">
        <v>0.23298650000000001</v>
      </c>
      <c r="V7050">
        <v>0.28333930000000002</v>
      </c>
      <c r="W7050">
        <v>7.3848979999999995E-2</v>
      </c>
      <c r="X7050">
        <v>0.95617209999999997</v>
      </c>
      <c r="Y7050">
        <v>0.4838615</v>
      </c>
      <c r="Z7050">
        <v>-6.7247470000000004E-2</v>
      </c>
      <c r="AA7050">
        <v>0.87255709999999997</v>
      </c>
      <c r="AB7050">
        <v>24</v>
      </c>
      <c r="AC7050">
        <v>12.3585999999999</v>
      </c>
      <c r="AD7050">
        <v>-1.101476112706</v>
      </c>
      <c r="AE7050">
        <v>0.85509999999999298</v>
      </c>
      <c r="AF7050">
        <v>6.0572919030058898</v>
      </c>
      <c r="AG7050">
        <v>-1.101476112706</v>
      </c>
      <c r="AH7050">
        <v>10.694736076715801</v>
      </c>
      <c r="AI7050">
        <v>95.120974796511206</v>
      </c>
      <c r="AJ7050">
        <v>60.473622281964097</v>
      </c>
      <c r="AK7050">
        <v>12.340235596441699</v>
      </c>
      <c r="AL7050">
        <v>85.764909515170899</v>
      </c>
      <c r="AM7050">
        <v>73.494038486419498</v>
      </c>
      <c r="AN7050">
        <v>0.99999995779496897</v>
      </c>
    </row>
    <row r="7051" spans="1:40" x14ac:dyDescent="0.25">
      <c r="A7051" t="str">
        <f>"20190312151710091"</f>
        <v>20190312151710091</v>
      </c>
      <c r="B7051" t="str">
        <f>"1552375030085141"</f>
        <v>1552375030085141</v>
      </c>
      <c r="C7051" t="s">
        <v>40</v>
      </c>
      <c r="D7051">
        <v>4.8388650000000002</v>
      </c>
      <c r="E7051">
        <v>0.5856616</v>
      </c>
      <c r="F7051" t="s">
        <v>43</v>
      </c>
      <c r="G7051">
        <v>-161.7638</v>
      </c>
      <c r="H7051" s="1">
        <v>-4.3440240000000001E-6</v>
      </c>
      <c r="I7051">
        <v>136.96539999999999</v>
      </c>
      <c r="J7051">
        <v>-174.4828</v>
      </c>
      <c r="K7051">
        <v>1.101491</v>
      </c>
      <c r="L7051">
        <v>136.1721</v>
      </c>
      <c r="M7051">
        <v>0.83857139999999997</v>
      </c>
      <c r="N7051">
        <v>0</v>
      </c>
      <c r="O7051">
        <v>0.54457469999999997</v>
      </c>
      <c r="P7051">
        <v>0.95610320000000004</v>
      </c>
      <c r="Q7051">
        <v>6.510726E-2</v>
      </c>
      <c r="R7051">
        <v>0.28570570000000001</v>
      </c>
      <c r="S7051">
        <v>3.0986940000000001</v>
      </c>
      <c r="T7051">
        <v>-0.2655265</v>
      </c>
      <c r="U7051">
        <v>0.21018980000000001</v>
      </c>
      <c r="V7051">
        <v>0.2827363</v>
      </c>
      <c r="W7051">
        <v>7.3880340000000003E-2</v>
      </c>
      <c r="X7051">
        <v>0.95634819999999998</v>
      </c>
      <c r="Y7051">
        <v>0.48309160000000001</v>
      </c>
      <c r="Z7051">
        <v>-6.4912899999999996E-2</v>
      </c>
      <c r="AA7051">
        <v>0.87316019999999905</v>
      </c>
      <c r="AB7051">
        <v>24</v>
      </c>
      <c r="AC7051">
        <v>12.7189999999999</v>
      </c>
      <c r="AD7051">
        <v>-1.1014953440240001</v>
      </c>
      <c r="AE7051">
        <v>0.79329999999998702</v>
      </c>
      <c r="AF7051">
        <v>6.2155116388610203</v>
      </c>
      <c r="AG7051">
        <v>-1.1014953440240001</v>
      </c>
      <c r="AH7051">
        <v>11.0168072402191</v>
      </c>
      <c r="AI7051">
        <v>94.976770200542305</v>
      </c>
      <c r="AJ7051">
        <v>60.568983364795102</v>
      </c>
      <c r="AK7051">
        <v>12.697083078166701</v>
      </c>
      <c r="AL7051">
        <v>85.763107975989101</v>
      </c>
      <c r="AM7051">
        <v>73.530129364217899</v>
      </c>
      <c r="AN7051">
        <v>0.99999999980972198</v>
      </c>
    </row>
    <row r="7052" spans="1:40" x14ac:dyDescent="0.25">
      <c r="A7052" t="str">
        <f>"20190312151710106"</f>
        <v>20190312151710106</v>
      </c>
      <c r="B7052" t="str">
        <f>"1552375030094901"</f>
        <v>1552375030094901</v>
      </c>
      <c r="C7052" t="s">
        <v>40</v>
      </c>
      <c r="D7052">
        <v>4.8349529999999996</v>
      </c>
      <c r="E7052">
        <v>0.58522830000000003</v>
      </c>
      <c r="F7052" t="s">
        <v>43</v>
      </c>
      <c r="G7052">
        <v>-161.86410000000001</v>
      </c>
      <c r="H7052" s="1">
        <v>-4.2998029999999998E-6</v>
      </c>
      <c r="I7052">
        <v>136.94730000000001</v>
      </c>
      <c r="J7052">
        <v>-174.35130000000001</v>
      </c>
      <c r="K7052">
        <v>1.101512</v>
      </c>
      <c r="L7052">
        <v>136.2467</v>
      </c>
      <c r="M7052">
        <v>0.842993199999999</v>
      </c>
      <c r="N7052">
        <v>0</v>
      </c>
      <c r="O7052">
        <v>0.53770469999999904</v>
      </c>
      <c r="P7052">
        <v>0.95821650000000003</v>
      </c>
      <c r="Q7052">
        <v>6.5133350000000007E-2</v>
      </c>
      <c r="R7052">
        <v>0.27853</v>
      </c>
      <c r="S7052">
        <v>3.0992739999999999</v>
      </c>
      <c r="T7052">
        <v>-0.27053709999999997</v>
      </c>
      <c r="U7052">
        <v>0.19039919999999999</v>
      </c>
      <c r="V7052">
        <v>0.28208709999999998</v>
      </c>
      <c r="W7052">
        <v>7.3931250000000004E-2</v>
      </c>
      <c r="X7052">
        <v>0.95653600000000005</v>
      </c>
      <c r="Y7052">
        <v>0.48140359999999999</v>
      </c>
      <c r="Z7052">
        <v>-6.5575049999999996E-2</v>
      </c>
      <c r="AA7052">
        <v>0.8740426</v>
      </c>
      <c r="AB7052">
        <v>24</v>
      </c>
      <c r="AC7052">
        <v>12.4872</v>
      </c>
      <c r="AD7052">
        <v>-1.1015162998029999</v>
      </c>
      <c r="AE7052">
        <v>0.70060000000000799</v>
      </c>
      <c r="AF7052">
        <v>6.0774065198545397</v>
      </c>
      <c r="AG7052">
        <v>-1.1015162998029999</v>
      </c>
      <c r="AH7052">
        <v>10.8206933139834</v>
      </c>
      <c r="AI7052">
        <v>95.072070232235902</v>
      </c>
      <c r="AJ7052">
        <v>60.6794000517692</v>
      </c>
      <c r="AK7052">
        <v>12.4593584089064</v>
      </c>
      <c r="AL7052">
        <v>85.760183221696096</v>
      </c>
      <c r="AM7052">
        <v>73.568956455420903</v>
      </c>
      <c r="AN7052">
        <v>1.00000004050448</v>
      </c>
    </row>
    <row r="7053" spans="1:40" x14ac:dyDescent="0.25">
      <c r="A7053" t="str">
        <f>"20190312151710118"</f>
        <v>20190312151710118</v>
      </c>
      <c r="B7053" t="str">
        <f>"1552375030115396"</f>
        <v>1552375030115396</v>
      </c>
      <c r="C7053" t="s">
        <v>40</v>
      </c>
      <c r="D7053">
        <v>4.7782369999999998</v>
      </c>
      <c r="E7053">
        <v>0.58398000000000005</v>
      </c>
      <c r="F7053" t="s">
        <v>43</v>
      </c>
      <c r="G7053">
        <v>-161.85990000000001</v>
      </c>
      <c r="H7053" s="1">
        <v>-4.3039899999999999E-6</v>
      </c>
      <c r="I7053">
        <v>136.9349</v>
      </c>
      <c r="J7053">
        <v>-174.23519999999999</v>
      </c>
      <c r="K7053">
        <v>1.101532</v>
      </c>
      <c r="L7053">
        <v>136.3117</v>
      </c>
      <c r="M7053">
        <v>0.84684009999999998</v>
      </c>
      <c r="N7053">
        <v>0</v>
      </c>
      <c r="O7053">
        <v>0.53162569999999998</v>
      </c>
      <c r="P7053">
        <v>0.95981879999999997</v>
      </c>
      <c r="Q7053">
        <v>6.4854579999999995E-2</v>
      </c>
      <c r="R7053">
        <v>0.27302340000000003</v>
      </c>
      <c r="S7053">
        <v>3.0997620000000001</v>
      </c>
      <c r="T7053">
        <v>-0.27334249999999999</v>
      </c>
      <c r="U7053">
        <v>0.17077639999999999</v>
      </c>
      <c r="V7053">
        <v>0.28069719999999998</v>
      </c>
      <c r="W7053">
        <v>7.3695849999999993E-2</v>
      </c>
      <c r="X7053">
        <v>0.95696289999999995</v>
      </c>
      <c r="Y7053">
        <v>0.4805759</v>
      </c>
      <c r="Z7053">
        <v>-6.5782129999999994E-2</v>
      </c>
      <c r="AA7053">
        <v>0.87448239999999999</v>
      </c>
      <c r="AB7053">
        <v>24</v>
      </c>
      <c r="AC7053">
        <v>12.3752999999999</v>
      </c>
      <c r="AD7053">
        <v>-1.1015363039899999</v>
      </c>
      <c r="AE7053">
        <v>0.62319999999999698</v>
      </c>
      <c r="AF7053">
        <v>6.00453760276491</v>
      </c>
      <c r="AG7053">
        <v>-1.1015363039899999</v>
      </c>
      <c r="AH7053">
        <v>10.727705233674801</v>
      </c>
      <c r="AI7053">
        <v>95.1200739219898</v>
      </c>
      <c r="AJ7053">
        <v>60.7632805016082</v>
      </c>
      <c r="AK7053">
        <v>12.343075533781599</v>
      </c>
      <c r="AL7053">
        <v>85.773707345108207</v>
      </c>
      <c r="AM7053">
        <v>73.652485445252694</v>
      </c>
      <c r="AN7053">
        <v>0.99999999418573604</v>
      </c>
    </row>
    <row r="7054" spans="1:40" x14ac:dyDescent="0.25">
      <c r="A7054" t="str">
        <f>"20190312151710131"</f>
        <v>20190312151710131</v>
      </c>
      <c r="B7054" t="str">
        <f>"1552375030125157"</f>
        <v>1552375030125157</v>
      </c>
      <c r="C7054" t="s">
        <v>40</v>
      </c>
      <c r="D7054">
        <v>4.8457549999999996</v>
      </c>
      <c r="E7054">
        <v>0.5835882</v>
      </c>
      <c r="F7054" t="s">
        <v>43</v>
      </c>
      <c r="G7054">
        <v>-162.23910000000001</v>
      </c>
      <c r="H7054" s="1">
        <v>-4.1234729999999999E-6</v>
      </c>
      <c r="I7054">
        <v>136.94200000000001</v>
      </c>
      <c r="J7054">
        <v>-174.11500000000001</v>
      </c>
      <c r="K7054">
        <v>1.1015520000000001</v>
      </c>
      <c r="L7054">
        <v>136.37780000000001</v>
      </c>
      <c r="M7054">
        <v>0.85075509999999999</v>
      </c>
      <c r="N7054">
        <v>0</v>
      </c>
      <c r="O7054">
        <v>0.52533799999999997</v>
      </c>
      <c r="P7054">
        <v>0.96163460000000001</v>
      </c>
      <c r="Q7054">
        <v>6.4509819999999995E-2</v>
      </c>
      <c r="R7054">
        <v>0.26664120000000002</v>
      </c>
      <c r="S7054">
        <v>3.0984799999999999</v>
      </c>
      <c r="T7054">
        <v>-0.28451799999999999</v>
      </c>
      <c r="U7054">
        <v>0.16281129999999999</v>
      </c>
      <c r="V7054">
        <v>0.279966099999999</v>
      </c>
      <c r="W7054">
        <v>7.3378199999999894E-2</v>
      </c>
      <c r="X7054">
        <v>0.95720139999999998</v>
      </c>
      <c r="Y7054">
        <v>0.47603390000000001</v>
      </c>
      <c r="Z7054">
        <v>-6.7800360000000004E-2</v>
      </c>
      <c r="AA7054">
        <v>0.87680949999999902</v>
      </c>
      <c r="AB7054">
        <v>24</v>
      </c>
      <c r="AC7054">
        <v>11.8759</v>
      </c>
      <c r="AD7054">
        <v>-1.101556123473</v>
      </c>
      <c r="AE7054">
        <v>0.56419999999999904</v>
      </c>
      <c r="AF7054">
        <v>5.7105240371558201</v>
      </c>
      <c r="AG7054">
        <v>-1.101556123473</v>
      </c>
      <c r="AH7054">
        <v>10.3125787745811</v>
      </c>
      <c r="AI7054">
        <v>95.338582853103802</v>
      </c>
      <c r="AJ7054">
        <v>61.024791040926601</v>
      </c>
      <c r="AK7054">
        <v>11.8394590946561</v>
      </c>
      <c r="AL7054">
        <v>85.791956568729205</v>
      </c>
      <c r="AM7054">
        <v>73.6966461660504</v>
      </c>
      <c r="AN7054">
        <v>0.99999994877320297</v>
      </c>
    </row>
    <row r="7055" spans="1:40" x14ac:dyDescent="0.25">
      <c r="A7055" t="str">
        <f>"20190312151710147"</f>
        <v>20190312151710147</v>
      </c>
      <c r="B7055" t="str">
        <f>"1552375030134917"</f>
        <v>1552375030134917</v>
      </c>
      <c r="C7055" t="s">
        <v>40</v>
      </c>
      <c r="D7055">
        <v>4.4370059999999896</v>
      </c>
      <c r="E7055">
        <v>0.5835882</v>
      </c>
      <c r="F7055" t="s">
        <v>43</v>
      </c>
      <c r="G7055">
        <v>-162.3278</v>
      </c>
      <c r="H7055" s="1">
        <v>-4.0834870000000002E-6</v>
      </c>
      <c r="I7055">
        <v>136.93109999999999</v>
      </c>
      <c r="J7055">
        <v>-173.95910000000001</v>
      </c>
      <c r="K7055">
        <v>1.1015820000000001</v>
      </c>
      <c r="L7055">
        <v>136.4616</v>
      </c>
      <c r="M7055">
        <v>0.85573650000000001</v>
      </c>
      <c r="N7055">
        <v>0</v>
      </c>
      <c r="O7055">
        <v>0.51718409999999904</v>
      </c>
      <c r="P7055">
        <v>0.96387659999999997</v>
      </c>
      <c r="Q7055">
        <v>6.4263399999999998E-2</v>
      </c>
      <c r="R7055">
        <v>0.2584805</v>
      </c>
      <c r="S7055">
        <v>3.0987849999999999</v>
      </c>
      <c r="T7055">
        <v>-0.28959190000000001</v>
      </c>
      <c r="U7055">
        <v>0.1454773</v>
      </c>
      <c r="V7055">
        <v>0.27893000000000001</v>
      </c>
      <c r="W7055">
        <v>7.3169890000000001E-2</v>
      </c>
      <c r="X7055">
        <v>0.95751980000000003</v>
      </c>
      <c r="Y7055">
        <v>0.47243940000000001</v>
      </c>
      <c r="Z7055">
        <v>-6.8202180000000001E-2</v>
      </c>
      <c r="AA7055">
        <v>0.87872030000000001</v>
      </c>
      <c r="AB7055">
        <v>24</v>
      </c>
      <c r="AC7055">
        <v>11.6313</v>
      </c>
      <c r="AD7055">
        <v>-1.1015860834869999</v>
      </c>
      <c r="AE7055">
        <v>0.46949999999998199</v>
      </c>
      <c r="AF7055">
        <v>5.5645849455492797</v>
      </c>
      <c r="AG7055">
        <v>-1.1015860834869999</v>
      </c>
      <c r="AH7055">
        <v>10.1068391009876</v>
      </c>
      <c r="AI7055">
        <v>95.454018788301696</v>
      </c>
      <c r="AJ7055">
        <v>61.163866440082799</v>
      </c>
      <c r="AK7055">
        <v>11.589922093302301</v>
      </c>
      <c r="AL7055">
        <v>85.803924123517803</v>
      </c>
      <c r="AM7055">
        <v>73.758911360219301</v>
      </c>
      <c r="AN7055">
        <v>0.99999997254732498</v>
      </c>
    </row>
    <row r="7056" spans="1:40" x14ac:dyDescent="0.25">
      <c r="A7056" t="str">
        <f>"20190312151710162"</f>
        <v>20190312151710162</v>
      </c>
      <c r="B7056" t="str">
        <f>"1552375030155413"</f>
        <v>1552375030155413</v>
      </c>
      <c r="C7056" t="s">
        <v>40</v>
      </c>
      <c r="D7056">
        <v>4.9287599999999996</v>
      </c>
      <c r="E7056">
        <v>0.56918899999999994</v>
      </c>
      <c r="F7056" t="s">
        <v>43</v>
      </c>
      <c r="G7056">
        <v>-162.20650000000001</v>
      </c>
      <c r="H7056" s="1">
        <v>-4.1439259999999997E-6</v>
      </c>
      <c r="I7056">
        <v>136.9135</v>
      </c>
      <c r="J7056">
        <v>-173.81209999999999</v>
      </c>
      <c r="K7056">
        <v>1.1016079999999999</v>
      </c>
      <c r="L7056">
        <v>136.53890000000001</v>
      </c>
      <c r="M7056">
        <v>0.86033159999999897</v>
      </c>
      <c r="N7056">
        <v>0</v>
      </c>
      <c r="O7056">
        <v>0.50950390000000001</v>
      </c>
      <c r="P7056">
        <v>0.96593019999999996</v>
      </c>
      <c r="Q7056">
        <v>6.4596849999999997E-2</v>
      </c>
      <c r="R7056">
        <v>0.2506121</v>
      </c>
      <c r="S7056">
        <v>3.0998380000000001</v>
      </c>
      <c r="T7056">
        <v>-0.29055330000000001</v>
      </c>
      <c r="U7056">
        <v>0.11920169999999999</v>
      </c>
      <c r="V7056">
        <v>0.27815699999999999</v>
      </c>
      <c r="W7056">
        <v>7.3535600000000007E-2</v>
      </c>
      <c r="X7056">
        <v>0.95771660000000003</v>
      </c>
      <c r="Y7056">
        <v>0.47201709999999902</v>
      </c>
      <c r="Z7056">
        <v>-6.7799780000000004E-2</v>
      </c>
      <c r="AA7056">
        <v>0.87897839999999905</v>
      </c>
      <c r="AB7056">
        <v>24</v>
      </c>
      <c r="AC7056">
        <v>11.6055999999999</v>
      </c>
      <c r="AD7056">
        <v>-1.1016121439259901</v>
      </c>
      <c r="AE7056">
        <v>0.374599999999986</v>
      </c>
      <c r="AF7056">
        <v>5.5415986141328597</v>
      </c>
      <c r="AG7056">
        <v>-1.1016121439259901</v>
      </c>
      <c r="AH7056">
        <v>10.0859427785261</v>
      </c>
      <c r="AI7056">
        <v>95.467990580083097</v>
      </c>
      <c r="AJ7056">
        <v>61.213941031493597</v>
      </c>
      <c r="AK7056">
        <v>11.5606706659911</v>
      </c>
      <c r="AL7056">
        <v>85.782913760291095</v>
      </c>
      <c r="AM7056">
        <v>73.804711168485397</v>
      </c>
      <c r="AN7056">
        <v>0.999999943515958</v>
      </c>
    </row>
    <row r="7057" spans="1:40" x14ac:dyDescent="0.25">
      <c r="A7057" t="str">
        <f>"20190312151710175"</f>
        <v>20190312151710175</v>
      </c>
      <c r="B7057" t="str">
        <f>"1552375030165173"</f>
        <v>1552375030165173</v>
      </c>
      <c r="C7057" t="s">
        <v>40</v>
      </c>
      <c r="D7057">
        <v>4.8888610000000003</v>
      </c>
      <c r="E7057">
        <v>0.57038529999999998</v>
      </c>
      <c r="F7057" t="s">
        <v>43</v>
      </c>
      <c r="G7057">
        <v>-154.98929999999999</v>
      </c>
      <c r="H7057" s="1">
        <v>-2.4508809999999998E-6</v>
      </c>
      <c r="I7057">
        <v>137.81790000000001</v>
      </c>
      <c r="J7057">
        <v>-173.6797</v>
      </c>
      <c r="K7057">
        <v>1.10164</v>
      </c>
      <c r="L7057">
        <v>136.60740000000001</v>
      </c>
      <c r="M7057">
        <v>0.86439299999999997</v>
      </c>
      <c r="N7057">
        <v>0</v>
      </c>
      <c r="O7057">
        <v>0.50258270000000005</v>
      </c>
      <c r="P7057">
        <v>0.96741410000000005</v>
      </c>
      <c r="Q7057">
        <v>6.4513559999999998E-2</v>
      </c>
      <c r="R7057">
        <v>0.24484259999999999</v>
      </c>
      <c r="S7057">
        <v>3.0637970000000001</v>
      </c>
      <c r="T7057">
        <v>-0.17930869999999999</v>
      </c>
      <c r="U7057">
        <v>0.20819090000000001</v>
      </c>
      <c r="V7057">
        <v>0.27618039999999999</v>
      </c>
      <c r="W7057">
        <v>7.3514179999999998E-2</v>
      </c>
      <c r="X7057">
        <v>0.95829019999999998</v>
      </c>
      <c r="Y7057">
        <v>0.44134440000000003</v>
      </c>
      <c r="Z7057">
        <v>-4.1056219999999997E-2</v>
      </c>
      <c r="AA7057">
        <v>0.89639809999999998</v>
      </c>
      <c r="AB7057">
        <v>24</v>
      </c>
      <c r="AC7057">
        <v>18.6904</v>
      </c>
      <c r="AD7057">
        <v>-1.1016424508810001</v>
      </c>
      <c r="AE7057">
        <v>1.2104999999999899</v>
      </c>
      <c r="AF7057">
        <v>8.3193249192972605</v>
      </c>
      <c r="AG7057">
        <v>-1.1016424508810001</v>
      </c>
      <c r="AH7057">
        <v>16.708396127541398</v>
      </c>
      <c r="AI7057">
        <v>93.377785813992304</v>
      </c>
      <c r="AJ7057">
        <v>63.530697170970001</v>
      </c>
      <c r="AK7057">
        <v>18.697467324674399</v>
      </c>
      <c r="AL7057">
        <v>85.784144722333707</v>
      </c>
      <c r="AM7057">
        <v>73.922954264783698</v>
      </c>
      <c r="AN7057">
        <v>1.00000002771063</v>
      </c>
    </row>
    <row r="7058" spans="1:40" x14ac:dyDescent="0.25">
      <c r="A7058" t="str">
        <f>"20190312151710188"</f>
        <v>20190312151710188</v>
      </c>
      <c r="B7058" t="str">
        <f>"1552375030184693"</f>
        <v>1552375030184693</v>
      </c>
      <c r="C7058" t="s">
        <v>40</v>
      </c>
      <c r="D7058">
        <v>4.9488250000000003</v>
      </c>
      <c r="E7058">
        <v>0.56815839999999995</v>
      </c>
      <c r="F7058" t="s">
        <v>43</v>
      </c>
      <c r="G7058">
        <v>-163.08269999999999</v>
      </c>
      <c r="H7058" s="1">
        <v>-3.675368E-6</v>
      </c>
      <c r="I7058">
        <v>137.22030000000001</v>
      </c>
      <c r="J7058">
        <v>-173.5514</v>
      </c>
      <c r="K7058">
        <v>1.1016699999999999</v>
      </c>
      <c r="L7058">
        <v>136.67230000000001</v>
      </c>
      <c r="M7058">
        <v>0.86825359999999996</v>
      </c>
      <c r="N7058">
        <v>0</v>
      </c>
      <c r="O7058">
        <v>0.49588379999999999</v>
      </c>
      <c r="P7058">
        <v>0.96905830000000004</v>
      </c>
      <c r="Q7058">
        <v>6.4320210000000003E-2</v>
      </c>
      <c r="R7058">
        <v>0.2383045</v>
      </c>
      <c r="S7058">
        <v>3.0773320000000002</v>
      </c>
      <c r="T7058">
        <v>-0.31991059999999999</v>
      </c>
      <c r="U7058">
        <v>0.17797850000000001</v>
      </c>
      <c r="V7058">
        <v>0.27523750000000002</v>
      </c>
      <c r="W7058">
        <v>7.3357259999999994E-2</v>
      </c>
      <c r="X7058">
        <v>0.95857349999999997</v>
      </c>
      <c r="Y7058">
        <v>0.44017240000000002</v>
      </c>
      <c r="Z7058">
        <v>-7.2179129999999994E-2</v>
      </c>
      <c r="AA7058">
        <v>0.89500749999999996</v>
      </c>
      <c r="AB7058">
        <v>24</v>
      </c>
      <c r="AC7058">
        <v>10.4687</v>
      </c>
      <c r="AD7058">
        <v>-1.1016736753679901</v>
      </c>
      <c r="AE7058">
        <v>0.54800000000000104</v>
      </c>
      <c r="AF7058">
        <v>4.6644944491015004</v>
      </c>
      <c r="AG7058">
        <v>-1.1016736753679901</v>
      </c>
      <c r="AH7058">
        <v>9.2600612146633008</v>
      </c>
      <c r="AI7058">
        <v>96.065022141442</v>
      </c>
      <c r="AJ7058">
        <v>63.264609423147803</v>
      </c>
      <c r="AK7058">
        <v>10.426884820118</v>
      </c>
      <c r="AL7058">
        <v>85.793160061575094</v>
      </c>
      <c r="AM7058">
        <v>73.979513063161903</v>
      </c>
      <c r="AN7058">
        <v>1.0000000619516001</v>
      </c>
    </row>
    <row r="7059" spans="1:40" x14ac:dyDescent="0.25">
      <c r="A7059" t="str">
        <f>"20190312151710201"</f>
        <v>20190312151710201</v>
      </c>
      <c r="B7059" t="str">
        <f>"1552375030195429"</f>
        <v>1552375030195429</v>
      </c>
      <c r="C7059" t="s">
        <v>40</v>
      </c>
      <c r="D7059">
        <v>4.9281410000000001</v>
      </c>
      <c r="E7059">
        <v>0.56778660000000003</v>
      </c>
      <c r="F7059" t="s">
        <v>43</v>
      </c>
      <c r="G7059">
        <v>-162.91030000000001</v>
      </c>
      <c r="H7059" s="1">
        <v>-3.7467230000000001E-6</v>
      </c>
      <c r="I7059">
        <v>137.27719999999999</v>
      </c>
      <c r="J7059">
        <v>-173.4308</v>
      </c>
      <c r="K7059">
        <v>1.101699</v>
      </c>
      <c r="L7059">
        <v>136.732</v>
      </c>
      <c r="M7059">
        <v>0.87181070000000005</v>
      </c>
      <c r="N7059">
        <v>0</v>
      </c>
      <c r="O7059">
        <v>0.48960330000000002</v>
      </c>
      <c r="P7059">
        <v>0.97049660000000004</v>
      </c>
      <c r="Q7059">
        <v>6.4436259999999995E-2</v>
      </c>
      <c r="R7059">
        <v>0.23234569999999999</v>
      </c>
      <c r="S7059">
        <v>3.073944</v>
      </c>
      <c r="T7059">
        <v>-0.3182468</v>
      </c>
      <c r="U7059">
        <v>0.17475889999999999</v>
      </c>
      <c r="V7059">
        <v>0.27419969999999999</v>
      </c>
      <c r="W7059">
        <v>7.351278E-2</v>
      </c>
      <c r="X7059">
        <v>0.95885889999999996</v>
      </c>
      <c r="Y7059">
        <v>0.43466949999999999</v>
      </c>
      <c r="Z7059">
        <v>-7.1036370000000001E-2</v>
      </c>
      <c r="AA7059">
        <v>0.89778409999999997</v>
      </c>
      <c r="AB7059">
        <v>24</v>
      </c>
      <c r="AC7059">
        <v>10.520499999999901</v>
      </c>
      <c r="AD7059">
        <v>-1.1017027467230001</v>
      </c>
      <c r="AE7059">
        <v>0.54519999999999402</v>
      </c>
      <c r="AF7059">
        <v>4.6255206082600102</v>
      </c>
      <c r="AG7059">
        <v>-1.1017027467230001</v>
      </c>
      <c r="AH7059">
        <v>9.3377982042773802</v>
      </c>
      <c r="AI7059">
        <v>96.035065813675999</v>
      </c>
      <c r="AJ7059">
        <v>63.648277062437401</v>
      </c>
      <c r="AK7059">
        <v>10.4787244044006</v>
      </c>
      <c r="AL7059">
        <v>85.784225025221104</v>
      </c>
      <c r="AM7059">
        <v>74.041345534491597</v>
      </c>
      <c r="AN7059">
        <v>0.99999999720631405</v>
      </c>
    </row>
    <row r="7060" spans="1:40" x14ac:dyDescent="0.25">
      <c r="A7060" t="str">
        <f>"20190312151710213"</f>
        <v>20190312151710213</v>
      </c>
      <c r="B7060" t="str">
        <f>"1552375030205189"</f>
        <v>1552375030205189</v>
      </c>
      <c r="C7060" t="s">
        <v>40</v>
      </c>
      <c r="D7060">
        <v>4.9109669999999896</v>
      </c>
      <c r="E7060">
        <v>0.56729130000000005</v>
      </c>
      <c r="F7060" t="s">
        <v>43</v>
      </c>
      <c r="G7060">
        <v>-162.83840000000001</v>
      </c>
      <c r="H7060" s="1">
        <v>-3.780082E-6</v>
      </c>
      <c r="I7060">
        <v>137.2809</v>
      </c>
      <c r="J7060">
        <v>-173.31280000000001</v>
      </c>
      <c r="K7060">
        <v>1.1017269999999999</v>
      </c>
      <c r="L7060">
        <v>136.78989999999999</v>
      </c>
      <c r="M7060">
        <v>0.87523819999999997</v>
      </c>
      <c r="N7060">
        <v>0</v>
      </c>
      <c r="O7060">
        <v>0.48344959999999998</v>
      </c>
      <c r="P7060">
        <v>0.97189440000000005</v>
      </c>
      <c r="Q7060">
        <v>6.4396040000000002E-2</v>
      </c>
      <c r="R7060">
        <v>0.22643859999999999</v>
      </c>
      <c r="S7060">
        <v>3.0743260000000001</v>
      </c>
      <c r="T7060">
        <v>-0.31975559999999997</v>
      </c>
      <c r="U7060">
        <v>0.15930179999999999</v>
      </c>
      <c r="V7060">
        <v>0.27327109999999999</v>
      </c>
      <c r="W7060">
        <v>7.3508489999999996E-2</v>
      </c>
      <c r="X7060">
        <v>0.95912430000000004</v>
      </c>
      <c r="Y7060">
        <v>0.43283579999999999</v>
      </c>
      <c r="Z7060">
        <v>-7.0729260000000002E-2</v>
      </c>
      <c r="AA7060">
        <v>0.89869379999999999</v>
      </c>
      <c r="AB7060">
        <v>24</v>
      </c>
      <c r="AC7060">
        <v>10.474399999999999</v>
      </c>
      <c r="AD7060">
        <v>-1.101730780082</v>
      </c>
      <c r="AE7060">
        <v>0.49100000000001298</v>
      </c>
      <c r="AF7060">
        <v>4.5840417947878001</v>
      </c>
      <c r="AG7060">
        <v>-1.101730780082</v>
      </c>
      <c r="AH7060">
        <v>9.3033698624542698</v>
      </c>
      <c r="AI7060">
        <v>96.063658075247503</v>
      </c>
      <c r="AJ7060">
        <v>63.769186999771698</v>
      </c>
      <c r="AK7060">
        <v>10.4297622545177</v>
      </c>
      <c r="AL7060">
        <v>85.784471534518005</v>
      </c>
      <c r="AM7060">
        <v>74.096830892600707</v>
      </c>
      <c r="AN7060">
        <v>1.00000000752389</v>
      </c>
    </row>
    <row r="7061" spans="1:40" x14ac:dyDescent="0.25">
      <c r="A7061" t="str">
        <f>"20190312151710228"</f>
        <v>20190312151710228</v>
      </c>
      <c r="B7061" t="str">
        <f>"1552375030225216"</f>
        <v>1552375030225216</v>
      </c>
      <c r="C7061" t="s">
        <v>40</v>
      </c>
      <c r="D7061">
        <v>4.9124619999999997</v>
      </c>
      <c r="E7061">
        <v>0.56617530000000005</v>
      </c>
      <c r="F7061" t="s">
        <v>43</v>
      </c>
      <c r="G7061">
        <v>-162.67930000000001</v>
      </c>
      <c r="H7061" s="1">
        <v>-3.8536809999999997E-6</v>
      </c>
      <c r="I7061">
        <v>137.29</v>
      </c>
      <c r="J7061">
        <v>-173.1618</v>
      </c>
      <c r="K7061">
        <v>1.1017680000000001</v>
      </c>
      <c r="L7061">
        <v>136.86189999999999</v>
      </c>
      <c r="M7061">
        <v>0.87952469999999905</v>
      </c>
      <c r="N7061">
        <v>0</v>
      </c>
      <c r="O7061">
        <v>0.475607</v>
      </c>
      <c r="P7061">
        <v>0.97361489999999995</v>
      </c>
      <c r="Q7061">
        <v>6.4427470000000001E-2</v>
      </c>
      <c r="R7061">
        <v>0.218914</v>
      </c>
      <c r="S7061">
        <v>3.074173</v>
      </c>
      <c r="T7061">
        <v>-0.3185115</v>
      </c>
      <c r="U7061">
        <v>0.14459229999999901</v>
      </c>
      <c r="V7061">
        <v>0.2721075</v>
      </c>
      <c r="W7061">
        <v>7.3587429999999995E-2</v>
      </c>
      <c r="X7061">
        <v>0.95944910000000005</v>
      </c>
      <c r="Y7061">
        <v>0.42916709999999902</v>
      </c>
      <c r="Z7061">
        <v>-6.9573220000000005E-2</v>
      </c>
      <c r="AA7061">
        <v>0.90054159999999905</v>
      </c>
      <c r="AB7061">
        <v>24</v>
      </c>
      <c r="AC7061">
        <v>10.4824999999999</v>
      </c>
      <c r="AD7061">
        <v>-1.1017718536809999</v>
      </c>
      <c r="AE7061">
        <v>0.42809999999999998</v>
      </c>
      <c r="AF7061">
        <v>4.5592822602243697</v>
      </c>
      <c r="AG7061">
        <v>-1.1017718536809999</v>
      </c>
      <c r="AH7061">
        <v>9.3215234746631808</v>
      </c>
      <c r="AI7061">
        <v>96.060759171692894</v>
      </c>
      <c r="AJ7061">
        <v>63.936122425155297</v>
      </c>
      <c r="AK7061">
        <v>10.435121265929601</v>
      </c>
      <c r="AL7061">
        <v>85.779936665052304</v>
      </c>
      <c r="AM7061">
        <v>74.166236033007095</v>
      </c>
      <c r="AN7061">
        <v>1.00000008845052</v>
      </c>
    </row>
    <row r="7062" spans="1:40" x14ac:dyDescent="0.25">
      <c r="A7062" t="str">
        <f>"20190312151710245"</f>
        <v>20190312151710245</v>
      </c>
      <c r="B7062" t="str">
        <f>"1552375030234977"</f>
        <v>1552375030234977</v>
      </c>
      <c r="C7062" t="s">
        <v>40</v>
      </c>
      <c r="D7062">
        <v>4.9472370000000003</v>
      </c>
      <c r="E7062">
        <v>0.56570509999999996</v>
      </c>
      <c r="F7062" t="s">
        <v>43</v>
      </c>
      <c r="G7062">
        <v>-162.45439999999999</v>
      </c>
      <c r="H7062" s="1">
        <v>-3.9556090000000003E-6</v>
      </c>
      <c r="I7062">
        <v>137.31469999999999</v>
      </c>
      <c r="J7062">
        <v>-173.00280000000001</v>
      </c>
      <c r="K7062">
        <v>1.101812</v>
      </c>
      <c r="L7062">
        <v>136.93610000000001</v>
      </c>
      <c r="M7062">
        <v>0.88392850000000001</v>
      </c>
      <c r="N7062">
        <v>0</v>
      </c>
      <c r="O7062">
        <v>0.46737190000000001</v>
      </c>
      <c r="P7062">
        <v>0.97513720000000004</v>
      </c>
      <c r="Q7062">
        <v>6.3748109999999997E-2</v>
      </c>
      <c r="R7062">
        <v>0.21223520000000001</v>
      </c>
      <c r="S7062">
        <v>3.0729829999999998</v>
      </c>
      <c r="T7062">
        <v>-0.3162045</v>
      </c>
      <c r="U7062">
        <v>0.12995909999999999</v>
      </c>
      <c r="V7062">
        <v>0.26971830000000002</v>
      </c>
      <c r="W7062">
        <v>7.2988230000000001E-2</v>
      </c>
      <c r="X7062">
        <v>0.9601691</v>
      </c>
      <c r="Y7062">
        <v>0.42512670000000002</v>
      </c>
      <c r="Z7062">
        <v>-6.8158239999999995E-2</v>
      </c>
      <c r="AA7062">
        <v>0.90256400000000003</v>
      </c>
      <c r="AB7062">
        <v>24</v>
      </c>
      <c r="AC7062">
        <v>10.548400000000001</v>
      </c>
      <c r="AD7062">
        <v>-1.1018159556089999</v>
      </c>
      <c r="AE7062">
        <v>0.37859999999997701</v>
      </c>
      <c r="AF7062">
        <v>4.5463686054517201</v>
      </c>
      <c r="AG7062">
        <v>-1.1018159556089999</v>
      </c>
      <c r="AH7062">
        <v>9.3996666057773908</v>
      </c>
      <c r="AI7062">
        <v>96.023764204576594</v>
      </c>
      <c r="AJ7062">
        <v>64.188181514727106</v>
      </c>
      <c r="AK7062">
        <v>10.499390372609099</v>
      </c>
      <c r="AL7062">
        <v>85.814360377112195</v>
      </c>
      <c r="AM7062">
        <v>74.309571315288295</v>
      </c>
      <c r="AN7062">
        <v>0.99999997183411604</v>
      </c>
    </row>
    <row r="7063" spans="1:40" x14ac:dyDescent="0.25">
      <c r="A7063" t="str">
        <f>"20190312151710259"</f>
        <v>20190312151710259</v>
      </c>
      <c r="B7063" t="str">
        <f>"1552375030254496"</f>
        <v>1552375030254496</v>
      </c>
      <c r="C7063" t="s">
        <v>40</v>
      </c>
      <c r="D7063">
        <v>4.9737369999999999</v>
      </c>
      <c r="E7063">
        <v>0.56464380000000003</v>
      </c>
      <c r="F7063" t="s">
        <v>43</v>
      </c>
      <c r="G7063">
        <v>-162.4753</v>
      </c>
      <c r="H7063" s="1">
        <v>-3.944174E-6</v>
      </c>
      <c r="I7063">
        <v>137.3235</v>
      </c>
      <c r="J7063">
        <v>-172.86410000000001</v>
      </c>
      <c r="K7063">
        <v>1.1018600000000001</v>
      </c>
      <c r="L7063">
        <v>136.99950000000001</v>
      </c>
      <c r="M7063">
        <v>0.88768150000000001</v>
      </c>
      <c r="N7063">
        <v>0</v>
      </c>
      <c r="O7063">
        <v>0.46020420000000001</v>
      </c>
      <c r="P7063">
        <v>0.97655760000000003</v>
      </c>
      <c r="Q7063">
        <v>6.3171430000000001E-2</v>
      </c>
      <c r="R7063">
        <v>0.20577780000000001</v>
      </c>
      <c r="S7063">
        <v>3.0729060000000001</v>
      </c>
      <c r="T7063">
        <v>-0.32161299999999998</v>
      </c>
      <c r="U7063">
        <v>0.1130676</v>
      </c>
      <c r="V7063">
        <v>0.2682988</v>
      </c>
      <c r="W7063">
        <v>7.2466059999999999E-2</v>
      </c>
      <c r="X7063">
        <v>0.96060630000000002</v>
      </c>
      <c r="Y7063">
        <v>0.42265649999999999</v>
      </c>
      <c r="Z7063">
        <v>-6.8542339999999993E-2</v>
      </c>
      <c r="AA7063">
        <v>0.90369429999999995</v>
      </c>
      <c r="AB7063">
        <v>24</v>
      </c>
      <c r="AC7063">
        <v>10.3888</v>
      </c>
      <c r="AD7063">
        <v>-1.1018639441739999</v>
      </c>
      <c r="AE7063">
        <v>0.32399999999998302</v>
      </c>
      <c r="AF7063">
        <v>4.4439429799890204</v>
      </c>
      <c r="AG7063">
        <v>-1.1018639441739999</v>
      </c>
      <c r="AH7063">
        <v>9.2679896785078899</v>
      </c>
      <c r="AI7063">
        <v>96.118883472894396</v>
      </c>
      <c r="AJ7063">
        <v>64.382574002508207</v>
      </c>
      <c r="AK7063">
        <v>10.337232029987099</v>
      </c>
      <c r="AL7063">
        <v>85.844358152367803</v>
      </c>
      <c r="AM7063">
        <v>74.394870746467504</v>
      </c>
      <c r="AN7063">
        <v>1.00000001976652</v>
      </c>
    </row>
    <row r="7064" spans="1:40" x14ac:dyDescent="0.25">
      <c r="A7064" t="str">
        <f>"20190312151710272"</f>
        <v>20190312151710272</v>
      </c>
      <c r="B7064" t="str">
        <f>"1552375030265232"</f>
        <v>1552375030265232</v>
      </c>
      <c r="C7064" t="s">
        <v>40</v>
      </c>
      <c r="D7064">
        <v>5.172542</v>
      </c>
      <c r="E7064">
        <v>0.56464380000000003</v>
      </c>
      <c r="F7064" t="s">
        <v>43</v>
      </c>
      <c r="G7064">
        <v>-162.62790000000001</v>
      </c>
      <c r="H7064" s="1">
        <v>-3.8698410000000003E-6</v>
      </c>
      <c r="I7064">
        <v>137.3357</v>
      </c>
      <c r="J7064">
        <v>-172.7321</v>
      </c>
      <c r="K7064">
        <v>1.101904</v>
      </c>
      <c r="L7064">
        <v>137.05879999999999</v>
      </c>
      <c r="M7064">
        <v>0.89117939999999995</v>
      </c>
      <c r="N7064">
        <v>0</v>
      </c>
      <c r="O7064">
        <v>0.45339380000000001</v>
      </c>
      <c r="P7064">
        <v>0.97778949999999998</v>
      </c>
      <c r="Q7064">
        <v>6.3075000000000006E-2</v>
      </c>
      <c r="R7064">
        <v>0.19987389999999999</v>
      </c>
      <c r="S7064">
        <v>3.0721440000000002</v>
      </c>
      <c r="T7064">
        <v>-0.33069870000000001</v>
      </c>
      <c r="U7064">
        <v>0.10090639999999999</v>
      </c>
      <c r="V7064">
        <v>0.26673809999999998</v>
      </c>
      <c r="W7064">
        <v>7.2426569999999996E-2</v>
      </c>
      <c r="X7064">
        <v>0.9610438</v>
      </c>
      <c r="Y7064">
        <v>0.41907759999999999</v>
      </c>
      <c r="Z7064">
        <v>-6.9650149999999994E-2</v>
      </c>
      <c r="AA7064">
        <v>0.90527500000000005</v>
      </c>
      <c r="AB7064">
        <v>24</v>
      </c>
      <c r="AC7064">
        <v>10.104199999999899</v>
      </c>
      <c r="AD7064">
        <v>-1.1019078698410001</v>
      </c>
      <c r="AE7064">
        <v>0.27690000000001103</v>
      </c>
      <c r="AF7064">
        <v>4.2840089105499999</v>
      </c>
      <c r="AG7064">
        <v>-1.1019078698410001</v>
      </c>
      <c r="AH7064">
        <v>9.0240240259531195</v>
      </c>
      <c r="AI7064">
        <v>96.294791955625996</v>
      </c>
      <c r="AJ7064">
        <v>64.604729137905196</v>
      </c>
      <c r="AK7064">
        <v>10.049872781297699</v>
      </c>
      <c r="AL7064">
        <v>85.846626657219502</v>
      </c>
      <c r="AM7064">
        <v>74.487983784506</v>
      </c>
      <c r="AN7064">
        <v>1.000000003776</v>
      </c>
    </row>
    <row r="7065" spans="1:40" x14ac:dyDescent="0.25">
      <c r="A7065" t="str">
        <f>"20190312151710285"</f>
        <v>20190312151710285</v>
      </c>
      <c r="B7065" t="str">
        <f>"1552375030274992"</f>
        <v>1552375030274992</v>
      </c>
      <c r="C7065" t="s">
        <v>40</v>
      </c>
      <c r="D7065">
        <v>5.0166500000000003</v>
      </c>
      <c r="E7065">
        <v>0.55680200000000002</v>
      </c>
      <c r="F7065" t="s">
        <v>43</v>
      </c>
      <c r="G7065">
        <v>-162.50620000000001</v>
      </c>
      <c r="H7065" s="1">
        <v>-3.927779E-6</v>
      </c>
      <c r="I7065">
        <v>137.33349999999999</v>
      </c>
      <c r="J7065">
        <v>-172.60140000000001</v>
      </c>
      <c r="K7065">
        <v>1.101958</v>
      </c>
      <c r="L7065">
        <v>137.11580000000001</v>
      </c>
      <c r="M7065">
        <v>0.89455620000000002</v>
      </c>
      <c r="N7065">
        <v>0</v>
      </c>
      <c r="O7065">
        <v>0.4466948</v>
      </c>
      <c r="P7065">
        <v>0.97863199999999995</v>
      </c>
      <c r="Q7065">
        <v>6.2784060000000003E-2</v>
      </c>
      <c r="R7065">
        <v>0.19579930000000001</v>
      </c>
      <c r="S7065">
        <v>3.0726170000000002</v>
      </c>
      <c r="T7065">
        <v>-0.33109569999999999</v>
      </c>
      <c r="U7065">
        <v>8.255005E-2</v>
      </c>
      <c r="V7065">
        <v>0.26352059999999999</v>
      </c>
      <c r="W7065">
        <v>7.2233000000000006E-2</v>
      </c>
      <c r="X7065">
        <v>0.96194559999999996</v>
      </c>
      <c r="Y7065">
        <v>0.41771629999999899</v>
      </c>
      <c r="Z7065">
        <v>-6.9020410000000004E-2</v>
      </c>
      <c r="AA7065">
        <v>0.90595219999999999</v>
      </c>
      <c r="AB7065">
        <v>24</v>
      </c>
      <c r="AC7065">
        <v>10.0952</v>
      </c>
      <c r="AD7065">
        <v>-1.101961927779</v>
      </c>
      <c r="AE7065">
        <v>0.21769999999997899</v>
      </c>
      <c r="AF7065">
        <v>4.2644428256575297</v>
      </c>
      <c r="AG7065">
        <v>-1.101961927779</v>
      </c>
      <c r="AH7065">
        <v>9.0215880701670894</v>
      </c>
      <c r="AI7065">
        <v>96.301717694434103</v>
      </c>
      <c r="AJ7065">
        <v>64.700219677608999</v>
      </c>
      <c r="AK7065">
        <v>10.039364721502899</v>
      </c>
      <c r="AL7065">
        <v>85.857746615355495</v>
      </c>
      <c r="AM7065">
        <v>74.679938173533102</v>
      </c>
      <c r="AN7065">
        <v>1.0000000251363499</v>
      </c>
    </row>
    <row r="7066" spans="1:40" x14ac:dyDescent="0.25">
      <c r="A7066" t="str">
        <f>"20190312151710299"</f>
        <v>20190312151710299</v>
      </c>
      <c r="B7066" t="str">
        <f>"1552375030294513"</f>
        <v>1552375030294513</v>
      </c>
      <c r="C7066" t="s">
        <v>40</v>
      </c>
      <c r="D7066">
        <v>5.0275540000000003</v>
      </c>
      <c r="E7066">
        <v>0.55552780000000002</v>
      </c>
      <c r="F7066" t="s">
        <v>43</v>
      </c>
      <c r="G7066">
        <v>-163.80709999999999</v>
      </c>
      <c r="H7066" s="1">
        <v>-3.2852509999999998E-6</v>
      </c>
      <c r="I7066">
        <v>137.48910000000001</v>
      </c>
      <c r="J7066">
        <v>-172.46979999999999</v>
      </c>
      <c r="K7066">
        <v>1.1020080000000001</v>
      </c>
      <c r="L7066">
        <v>137.17240000000001</v>
      </c>
      <c r="M7066">
        <v>0.8978874</v>
      </c>
      <c r="N7066">
        <v>0</v>
      </c>
      <c r="O7066">
        <v>0.43996089999999999</v>
      </c>
      <c r="P7066">
        <v>0.9797747</v>
      </c>
      <c r="Q7066">
        <v>6.2867389999999995E-2</v>
      </c>
      <c r="R7066">
        <v>0.1899719</v>
      </c>
      <c r="S7066">
        <v>3.064117</v>
      </c>
      <c r="T7066">
        <v>-0.3839438</v>
      </c>
      <c r="U7066">
        <v>0.13005069999999999</v>
      </c>
      <c r="V7066">
        <v>0.26200639999999997</v>
      </c>
      <c r="W7066">
        <v>7.2371870000000005E-2</v>
      </c>
      <c r="X7066">
        <v>0.96234869999999995</v>
      </c>
      <c r="Y7066">
        <v>0.39523269999999999</v>
      </c>
      <c r="Z7066">
        <v>-7.7943180000000001E-2</v>
      </c>
      <c r="AA7066">
        <v>0.91526819999999998</v>
      </c>
      <c r="AB7066">
        <v>24</v>
      </c>
      <c r="AC7066">
        <v>8.6626999999999992</v>
      </c>
      <c r="AD7066">
        <v>-1.102011285251</v>
      </c>
      <c r="AE7066">
        <v>0.31669999999999698</v>
      </c>
      <c r="AF7066">
        <v>3.4711983761765501</v>
      </c>
      <c r="AG7066">
        <v>-1.102011285251</v>
      </c>
      <c r="AH7066">
        <v>7.7924471172378897</v>
      </c>
      <c r="AI7066">
        <v>97.360877331553496</v>
      </c>
      <c r="AJ7066">
        <v>65.989094258021396</v>
      </c>
      <c r="AK7066">
        <v>8.6015044680881498</v>
      </c>
      <c r="AL7066">
        <v>85.849769095000298</v>
      </c>
      <c r="AM7066">
        <v>74.769950785995405</v>
      </c>
      <c r="AN7066">
        <v>1.0000000307999699</v>
      </c>
    </row>
    <row r="7067" spans="1:40" x14ac:dyDescent="0.25">
      <c r="A7067" t="str">
        <f>"20190312151710313"</f>
        <v>20190312151710313</v>
      </c>
      <c r="B7067" t="str">
        <f>"1552375030305249"</f>
        <v>1552375030305249</v>
      </c>
      <c r="C7067" t="s">
        <v>40</v>
      </c>
      <c r="D7067">
        <v>5.047282</v>
      </c>
      <c r="E7067">
        <v>0.55563709999999999</v>
      </c>
      <c r="F7067" t="s">
        <v>43</v>
      </c>
      <c r="G7067">
        <v>-163.3057</v>
      </c>
      <c r="H7067" s="1">
        <v>-3.5133790000000002E-6</v>
      </c>
      <c r="I7067">
        <v>137.53899999999999</v>
      </c>
      <c r="J7067">
        <v>-172.3297</v>
      </c>
      <c r="K7067">
        <v>1.1020589999999999</v>
      </c>
      <c r="L7067">
        <v>137.23169999999999</v>
      </c>
      <c r="M7067">
        <v>0.90135739999999998</v>
      </c>
      <c r="N7067">
        <v>0</v>
      </c>
      <c r="O7067">
        <v>0.43280780000000002</v>
      </c>
      <c r="P7067">
        <v>0.98094740000000002</v>
      </c>
      <c r="Q7067">
        <v>6.2993240000000006E-2</v>
      </c>
      <c r="R7067">
        <v>0.18377689999999999</v>
      </c>
      <c r="S7067">
        <v>3.0618129999999999</v>
      </c>
      <c r="T7067">
        <v>-0.3681915</v>
      </c>
      <c r="U7067">
        <v>0.1224823</v>
      </c>
      <c r="V7067">
        <v>0.26042340000000003</v>
      </c>
      <c r="W7067">
        <v>7.2557369999999996E-2</v>
      </c>
      <c r="X7067">
        <v>0.96276430000000002</v>
      </c>
      <c r="Y7067">
        <v>0.3907429</v>
      </c>
      <c r="Z7067">
        <v>-7.3786580000000004E-2</v>
      </c>
      <c r="AA7067">
        <v>0.91753770000000001</v>
      </c>
      <c r="AB7067">
        <v>24</v>
      </c>
      <c r="AC7067">
        <v>9.0239999999999991</v>
      </c>
      <c r="AD7067">
        <v>-1.1020625133790001</v>
      </c>
      <c r="AE7067">
        <v>0.30729999999999702</v>
      </c>
      <c r="AF7067">
        <v>3.5758214037249001</v>
      </c>
      <c r="AG7067">
        <v>-1.1020625133790001</v>
      </c>
      <c r="AH7067">
        <v>8.14645009511929</v>
      </c>
      <c r="AI7067">
        <v>97.061444176703006</v>
      </c>
      <c r="AJ7067">
        <v>66.301298351040103</v>
      </c>
      <c r="AK7067">
        <v>8.9646912744946992</v>
      </c>
      <c r="AL7067">
        <v>85.839112618548</v>
      </c>
      <c r="AM7067">
        <v>74.863967724308097</v>
      </c>
      <c r="AN7067">
        <v>1.00000000828168</v>
      </c>
    </row>
    <row r="7068" spans="1:40" x14ac:dyDescent="0.25">
      <c r="A7068" t="str">
        <f>"20190312151710324"</f>
        <v>20190312151710324</v>
      </c>
      <c r="B7068" t="str">
        <f>"1552375030315008"</f>
        <v>1552375030315008</v>
      </c>
      <c r="C7068" t="s">
        <v>40</v>
      </c>
      <c r="D7068">
        <v>5.0123989999999896</v>
      </c>
      <c r="E7068">
        <v>0.5550948</v>
      </c>
      <c r="F7068" t="s">
        <v>43</v>
      </c>
      <c r="G7068">
        <v>-163.0607</v>
      </c>
      <c r="H7068" s="1">
        <v>-3.6285530000000001E-6</v>
      </c>
      <c r="I7068">
        <v>137.5427</v>
      </c>
      <c r="J7068">
        <v>-172.2088</v>
      </c>
      <c r="K7068">
        <v>1.1021099999999999</v>
      </c>
      <c r="L7068">
        <v>137.28129999999999</v>
      </c>
      <c r="M7068">
        <v>0.90427449999999998</v>
      </c>
      <c r="N7068">
        <v>0</v>
      </c>
      <c r="O7068">
        <v>0.42668</v>
      </c>
      <c r="P7068">
        <v>0.98189280000000001</v>
      </c>
      <c r="Q7068">
        <v>6.306138E-2</v>
      </c>
      <c r="R7068">
        <v>0.17863289999999901</v>
      </c>
      <c r="S7068">
        <v>3.0623930000000001</v>
      </c>
      <c r="T7068">
        <v>-0.36410999999999999</v>
      </c>
      <c r="U7068">
        <v>0.1027527</v>
      </c>
      <c r="V7068">
        <v>0.25892399999999999</v>
      </c>
      <c r="W7068">
        <v>7.2679099999999996E-2</v>
      </c>
      <c r="X7068">
        <v>0.9631594</v>
      </c>
      <c r="Y7068">
        <v>0.39058330000000002</v>
      </c>
      <c r="Z7068">
        <v>-7.2313829999999996E-2</v>
      </c>
      <c r="AA7068">
        <v>0.91772290000000001</v>
      </c>
      <c r="AB7068">
        <v>24</v>
      </c>
      <c r="AC7068">
        <v>9.1480999999999995</v>
      </c>
      <c r="AD7068">
        <v>-1.102113628553</v>
      </c>
      <c r="AE7068">
        <v>0.26140000000000801</v>
      </c>
      <c r="AF7068">
        <v>3.61493422403889</v>
      </c>
      <c r="AG7068">
        <v>-1.102113628553</v>
      </c>
      <c r="AH7068">
        <v>8.2650376518831301</v>
      </c>
      <c r="AI7068">
        <v>96.965415055471297</v>
      </c>
      <c r="AJ7068">
        <v>66.376556039784404</v>
      </c>
      <c r="AK7068">
        <v>9.0880829266361598</v>
      </c>
      <c r="AL7068">
        <v>85.8321193369719</v>
      </c>
      <c r="AM7068">
        <v>74.953043244940602</v>
      </c>
      <c r="AN7068">
        <v>0.99999995958058396</v>
      </c>
    </row>
    <row r="7069" spans="1:40" x14ac:dyDescent="0.25">
      <c r="A7069" t="str">
        <f>"20190312151710340"</f>
        <v>20190312151710340</v>
      </c>
      <c r="B7069" t="str">
        <f>"1552375030334530"</f>
        <v>1552375030334530</v>
      </c>
      <c r="C7069" t="s">
        <v>40</v>
      </c>
      <c r="D7069">
        <v>4.9345169999999996</v>
      </c>
      <c r="E7069">
        <v>0.55411569999999899</v>
      </c>
      <c r="F7069" t="s">
        <v>43</v>
      </c>
      <c r="G7069">
        <v>-162.93620000000001</v>
      </c>
      <c r="H7069" s="1">
        <v>-3.6848260000000001E-6</v>
      </c>
      <c r="I7069">
        <v>137.5574</v>
      </c>
      <c r="J7069">
        <v>-172.06309999999999</v>
      </c>
      <c r="K7069">
        <v>1.102169</v>
      </c>
      <c r="L7069">
        <v>137.34010000000001</v>
      </c>
      <c r="M7069">
        <v>0.90771650000000004</v>
      </c>
      <c r="N7069">
        <v>0</v>
      </c>
      <c r="O7069">
        <v>0.41930840000000003</v>
      </c>
      <c r="P7069">
        <v>0.98298379999999996</v>
      </c>
      <c r="Q7069">
        <v>6.3121209999999997E-2</v>
      </c>
      <c r="R7069">
        <v>0.17250660000000001</v>
      </c>
      <c r="S7069">
        <v>3.062103</v>
      </c>
      <c r="T7069">
        <v>-0.36394880000000002</v>
      </c>
      <c r="U7069">
        <v>9.1171260000000004E-2</v>
      </c>
      <c r="V7069">
        <v>0.25708039999999999</v>
      </c>
      <c r="W7069">
        <v>7.2803709999999994E-2</v>
      </c>
      <c r="X7069">
        <v>0.96364369999999999</v>
      </c>
      <c r="Y7069">
        <v>0.38664599999999999</v>
      </c>
      <c r="Z7069">
        <v>-7.1268929999999994E-2</v>
      </c>
      <c r="AA7069">
        <v>0.91947029999999996</v>
      </c>
      <c r="AB7069">
        <v>24</v>
      </c>
      <c r="AC7069">
        <v>9.1268999999999707</v>
      </c>
      <c r="AD7069">
        <v>-1.1021726848260001</v>
      </c>
      <c r="AE7069">
        <v>0.217299999999994</v>
      </c>
      <c r="AF7069">
        <v>3.5780094983068498</v>
      </c>
      <c r="AG7069">
        <v>-1.1021726848260001</v>
      </c>
      <c r="AH7069">
        <v>8.2563856592334393</v>
      </c>
      <c r="AI7069">
        <v>96.983162641104997</v>
      </c>
      <c r="AJ7069">
        <v>66.569891109420695</v>
      </c>
      <c r="AK7069">
        <v>9.0655855161785492</v>
      </c>
      <c r="AL7069">
        <v>85.824960690181598</v>
      </c>
      <c r="AM7069">
        <v>75.062546458533006</v>
      </c>
      <c r="AN7069">
        <v>0.99999994640180501</v>
      </c>
    </row>
    <row r="7070" spans="1:40" x14ac:dyDescent="0.25">
      <c r="A7070" t="str">
        <f>"20190312151710356"</f>
        <v>20190312151710356</v>
      </c>
      <c r="B7070" t="str">
        <f>"1552375030345265"</f>
        <v>1552375030345265</v>
      </c>
      <c r="C7070" t="s">
        <v>40</v>
      </c>
      <c r="D7070">
        <v>4.9689110000000003</v>
      </c>
      <c r="E7070">
        <v>0.55367739999999999</v>
      </c>
      <c r="F7070" t="s">
        <v>43</v>
      </c>
      <c r="G7070">
        <v>-162.66820000000001</v>
      </c>
      <c r="H7070" s="1">
        <v>-3.8065260000000002E-6</v>
      </c>
      <c r="I7070">
        <v>137.58539999999999</v>
      </c>
      <c r="J7070">
        <v>-171.904</v>
      </c>
      <c r="K7070">
        <v>1.102247</v>
      </c>
      <c r="L7070">
        <v>137.40309999999999</v>
      </c>
      <c r="M7070">
        <v>0.91137860000000004</v>
      </c>
      <c r="N7070">
        <v>0</v>
      </c>
      <c r="O7070">
        <v>0.4112886</v>
      </c>
      <c r="P7070">
        <v>0.98380230000000002</v>
      </c>
      <c r="Q7070">
        <v>6.3565140000000006E-2</v>
      </c>
      <c r="R7070">
        <v>0.16760910000000001</v>
      </c>
      <c r="S7070">
        <v>3.0609739999999999</v>
      </c>
      <c r="T7070">
        <v>-0.3590989</v>
      </c>
      <c r="U7070">
        <v>7.991028E-2</v>
      </c>
      <c r="V7070">
        <v>0.253362799999999</v>
      </c>
      <c r="W7070">
        <v>7.3358220000000002E-2</v>
      </c>
      <c r="X7070">
        <v>0.96458580000000005</v>
      </c>
      <c r="Y7070">
        <v>0.38211659999999997</v>
      </c>
      <c r="Z7070">
        <v>-6.9235790000000005E-2</v>
      </c>
      <c r="AA7070">
        <v>0.92151689999999997</v>
      </c>
      <c r="AB7070">
        <v>24</v>
      </c>
      <c r="AC7070">
        <v>9.23580000000001</v>
      </c>
      <c r="AD7070">
        <v>-1.1022508065259999</v>
      </c>
      <c r="AE7070">
        <v>0.18229999999999699</v>
      </c>
      <c r="AF7070">
        <v>3.5818563452853902</v>
      </c>
      <c r="AG7070">
        <v>-1.1022508065259999</v>
      </c>
      <c r="AH7070">
        <v>8.3740404440528202</v>
      </c>
      <c r="AI7070">
        <v>96.900440847695293</v>
      </c>
      <c r="AJ7070">
        <v>66.8419891880487</v>
      </c>
      <c r="AK7070">
        <v>9.1743776397846695</v>
      </c>
      <c r="AL7070">
        <v>85.793104442329707</v>
      </c>
      <c r="AM7070">
        <v>75.282859264283402</v>
      </c>
      <c r="AN7070">
        <v>0.99999995121352303</v>
      </c>
    </row>
    <row r="7071" spans="1:40" x14ac:dyDescent="0.25">
      <c r="A7071" t="str">
        <f>"20190312151710377"</f>
        <v>20190312151710377</v>
      </c>
      <c r="B7071" t="str">
        <f>"1552375030364784"</f>
        <v>1552375030364784</v>
      </c>
      <c r="C7071" t="s">
        <v>40</v>
      </c>
      <c r="D7071">
        <v>4.9357819999999997</v>
      </c>
      <c r="E7071">
        <v>0.55293859999999995</v>
      </c>
      <c r="F7071" t="s">
        <v>43</v>
      </c>
      <c r="G7071">
        <v>-162.35059999999999</v>
      </c>
      <c r="H7071" s="1">
        <v>-3.9511839999999999E-6</v>
      </c>
      <c r="I7071">
        <v>137.61619999999999</v>
      </c>
      <c r="J7071">
        <v>-171.6996</v>
      </c>
      <c r="K7071">
        <v>1.1023320000000001</v>
      </c>
      <c r="L7071">
        <v>137.48140000000001</v>
      </c>
      <c r="M7071">
        <v>0.91592739999999995</v>
      </c>
      <c r="N7071">
        <v>0</v>
      </c>
      <c r="O7071">
        <v>0.40105730000000001</v>
      </c>
      <c r="P7071">
        <v>0.98503890000000005</v>
      </c>
      <c r="Q7071">
        <v>6.4200389999999996E-2</v>
      </c>
      <c r="R7071">
        <v>0.1599274</v>
      </c>
      <c r="S7071">
        <v>3.060562</v>
      </c>
      <c r="T7071">
        <v>-0.3531224</v>
      </c>
      <c r="U7071">
        <v>6.8283079999999996E-2</v>
      </c>
      <c r="V7071">
        <v>0.25006430000000002</v>
      </c>
      <c r="W7071">
        <v>7.4097189999999993E-2</v>
      </c>
      <c r="X7071">
        <v>0.96538979999999996</v>
      </c>
      <c r="Y7071">
        <v>0.3755501</v>
      </c>
      <c r="Z7071">
        <v>-6.6645880000000005E-2</v>
      </c>
      <c r="AA7071">
        <v>0.92440279999999997</v>
      </c>
      <c r="AB7071">
        <v>24</v>
      </c>
      <c r="AC7071">
        <v>9.3490000000000109</v>
      </c>
      <c r="AD7071">
        <v>-1.1023359511840001</v>
      </c>
      <c r="AE7071">
        <v>0.13479999999998399</v>
      </c>
      <c r="AF7071">
        <v>3.5767192763817999</v>
      </c>
      <c r="AG7071">
        <v>-1.1023359511840001</v>
      </c>
      <c r="AH7071">
        <v>8.4999123398742409</v>
      </c>
      <c r="AI7071">
        <v>96.816563720759206</v>
      </c>
      <c r="AJ7071">
        <v>67.178892970823796</v>
      </c>
      <c r="AK7071">
        <v>9.2874417961492597</v>
      </c>
      <c r="AL7071">
        <v>85.750649267560405</v>
      </c>
      <c r="AM7071">
        <v>75.477888364445107</v>
      </c>
      <c r="AN7071">
        <v>1.0000000068222099</v>
      </c>
    </row>
    <row r="7072" spans="1:40" x14ac:dyDescent="0.25">
      <c r="A7072" t="str">
        <f>"20190312151710396"</f>
        <v>20190312151710396</v>
      </c>
      <c r="B7072" t="str">
        <f>"1552375030385280"</f>
        <v>1552375030385280</v>
      </c>
      <c r="C7072" t="s">
        <v>40</v>
      </c>
      <c r="D7072">
        <v>4.9351349999999998</v>
      </c>
      <c r="E7072">
        <v>0.55189940000000004</v>
      </c>
      <c r="F7072" t="s">
        <v>43</v>
      </c>
      <c r="G7072">
        <v>-162.07939999999999</v>
      </c>
      <c r="H7072" s="1">
        <v>-4.0748670000000003E-6</v>
      </c>
      <c r="I7072">
        <v>137.64160000000001</v>
      </c>
      <c r="J7072">
        <v>-171.48580000000001</v>
      </c>
      <c r="K7072">
        <v>1.102414</v>
      </c>
      <c r="L7072">
        <v>137.56059999999999</v>
      </c>
      <c r="M7072">
        <v>0.92051090000000002</v>
      </c>
      <c r="N7072">
        <v>0</v>
      </c>
      <c r="O7072">
        <v>0.39042290000000002</v>
      </c>
      <c r="P7072">
        <v>0.98618229999999996</v>
      </c>
      <c r="Q7072">
        <v>6.409869E-2</v>
      </c>
      <c r="R7072">
        <v>0.15276129999999999</v>
      </c>
      <c r="S7072">
        <v>3.0601500000000001</v>
      </c>
      <c r="T7072">
        <v>-0.35065030000000003</v>
      </c>
      <c r="U7072">
        <v>5.0949099999999997E-2</v>
      </c>
      <c r="V7072">
        <v>0.2458822</v>
      </c>
      <c r="W7072">
        <v>7.4118130000000004E-2</v>
      </c>
      <c r="X7072">
        <v>0.96646180000000004</v>
      </c>
      <c r="Y7072">
        <v>0.3702259</v>
      </c>
      <c r="Z7072">
        <v>-6.4773460000000005E-2</v>
      </c>
      <c r="AA7072">
        <v>0.92668070000000002</v>
      </c>
      <c r="AB7072">
        <v>23</v>
      </c>
      <c r="AC7072">
        <v>9.4064000000000192</v>
      </c>
      <c r="AD7072">
        <v>-1.1024180748670001</v>
      </c>
      <c r="AE7072">
        <v>8.1000000000017197E-2</v>
      </c>
      <c r="AF7072">
        <v>3.5495740664647002</v>
      </c>
      <c r="AG7072">
        <v>-1.1024180748670001</v>
      </c>
      <c r="AH7072">
        <v>8.5735622059783001</v>
      </c>
      <c r="AI7072">
        <v>96.775210190982307</v>
      </c>
      <c r="AJ7072">
        <v>67.509764376423306</v>
      </c>
      <c r="AK7072">
        <v>9.3445583397446708</v>
      </c>
      <c r="AL7072">
        <v>85.7494460807698</v>
      </c>
      <c r="AM7072">
        <v>75.725934107998299</v>
      </c>
      <c r="AN7072">
        <v>0.99999998216538799</v>
      </c>
    </row>
    <row r="7073" spans="1:40" x14ac:dyDescent="0.25">
      <c r="A7073" t="str">
        <f>"20190312151710410"</f>
        <v>20190312151710410</v>
      </c>
      <c r="B7073" t="str">
        <f>"1552375030404801"</f>
        <v>1552375030404801</v>
      </c>
      <c r="C7073" t="s">
        <v>40</v>
      </c>
      <c r="D7073">
        <v>4.9103960000000004</v>
      </c>
      <c r="E7073">
        <v>0.55095169999999904</v>
      </c>
      <c r="F7073" t="s">
        <v>43</v>
      </c>
      <c r="G7073">
        <v>-161.85820000000001</v>
      </c>
      <c r="H7073" s="1">
        <v>-4.173026E-6</v>
      </c>
      <c r="I7073">
        <v>137.67789999999999</v>
      </c>
      <c r="J7073">
        <v>-171.34829999999999</v>
      </c>
      <c r="K7073">
        <v>1.1024659999999999</v>
      </c>
      <c r="L7073">
        <v>137.61019999999999</v>
      </c>
      <c r="M7073">
        <v>0.92336980000000002</v>
      </c>
      <c r="N7073">
        <v>0</v>
      </c>
      <c r="O7073">
        <v>0.38361329999999999</v>
      </c>
      <c r="P7073">
        <v>0.98692630000000003</v>
      </c>
      <c r="Q7073">
        <v>6.3845819999999998E-2</v>
      </c>
      <c r="R7073">
        <v>0.14798839999999999</v>
      </c>
      <c r="S7073">
        <v>3.059021</v>
      </c>
      <c r="T7073">
        <v>-0.35027419999999998</v>
      </c>
      <c r="U7073">
        <v>3.7246700000000001E-2</v>
      </c>
      <c r="V7073">
        <v>0.24340870000000001</v>
      </c>
      <c r="W7073">
        <v>7.3936950000000001E-2</v>
      </c>
      <c r="X7073">
        <v>0.96710160000000001</v>
      </c>
      <c r="Y7073">
        <v>0.3675831</v>
      </c>
      <c r="Z7073">
        <v>-6.3862820000000001E-2</v>
      </c>
      <c r="AA7073">
        <v>0.92779540000000005</v>
      </c>
      <c r="AB7073">
        <v>23</v>
      </c>
      <c r="AC7073">
        <v>9.4900999999999804</v>
      </c>
      <c r="AD7073">
        <v>-1.102470173026</v>
      </c>
      <c r="AE7073">
        <v>6.7700000000001995E-2</v>
      </c>
      <c r="AF7073">
        <v>3.5307787387448499</v>
      </c>
      <c r="AG7073">
        <v>-1.102470173026</v>
      </c>
      <c r="AH7073">
        <v>8.6728102668593205</v>
      </c>
      <c r="AI7073">
        <v>96.714821849669903</v>
      </c>
      <c r="AJ7073">
        <v>67.8483214463173</v>
      </c>
      <c r="AK7073">
        <v>9.4286519136791291</v>
      </c>
      <c r="AL7073">
        <v>85.7598555090932</v>
      </c>
      <c r="AM7073">
        <v>75.872720222655204</v>
      </c>
      <c r="AN7073">
        <v>0.999999986266776</v>
      </c>
    </row>
    <row r="7074" spans="1:40" x14ac:dyDescent="0.25">
      <c r="A7074" t="str">
        <f>"20190312151710424"</f>
        <v>20190312151710424</v>
      </c>
      <c r="B7074" t="str">
        <f>"1552375030415067"</f>
        <v>1552375030415067</v>
      </c>
      <c r="C7074" t="s">
        <v>40</v>
      </c>
      <c r="D7074">
        <v>4.873329</v>
      </c>
      <c r="E7074">
        <v>0.55056899999999998</v>
      </c>
      <c r="F7074" t="s">
        <v>43</v>
      </c>
      <c r="G7074">
        <v>-161.67089999999999</v>
      </c>
      <c r="H7074" s="1">
        <v>-4.2568590000000002E-6</v>
      </c>
      <c r="I7074">
        <v>137.70439999999999</v>
      </c>
      <c r="J7074">
        <v>-171.20760000000001</v>
      </c>
      <c r="K7074">
        <v>1.1025199999999999</v>
      </c>
      <c r="L7074">
        <v>137.65960000000001</v>
      </c>
      <c r="M7074">
        <v>0.92621759999999997</v>
      </c>
      <c r="N7074">
        <v>0</v>
      </c>
      <c r="O7074">
        <v>0.37668620000000003</v>
      </c>
      <c r="P7074">
        <v>0.98760990000000004</v>
      </c>
      <c r="Q7074">
        <v>6.3906180000000007E-2</v>
      </c>
      <c r="R7074">
        <v>0.14332719999999999</v>
      </c>
      <c r="S7074">
        <v>3.0578159999999999</v>
      </c>
      <c r="T7074">
        <v>-0.34834959999999998</v>
      </c>
      <c r="U7074">
        <v>2.9754639999999999E-2</v>
      </c>
      <c r="V7074">
        <v>0.2407173</v>
      </c>
      <c r="W7074">
        <v>7.4073420000000001E-2</v>
      </c>
      <c r="X7074">
        <v>0.96776459999999997</v>
      </c>
      <c r="Y7074">
        <v>0.36301169999999999</v>
      </c>
      <c r="Z7074">
        <v>-6.2548149999999997E-2</v>
      </c>
      <c r="AA7074">
        <v>0.92968289999999998</v>
      </c>
      <c r="AB7074">
        <v>23</v>
      </c>
      <c r="AC7074">
        <v>9.5367000000000193</v>
      </c>
      <c r="AD7074">
        <v>-1.1025242568589999</v>
      </c>
      <c r="AE7074">
        <v>4.47999999999808E-2</v>
      </c>
      <c r="AF7074">
        <v>3.5044177189850099</v>
      </c>
      <c r="AG7074">
        <v>-1.1025242568589999</v>
      </c>
      <c r="AH7074">
        <v>8.7342128844308409</v>
      </c>
      <c r="AI7074">
        <v>96.681879814002997</v>
      </c>
      <c r="AJ7074">
        <v>68.137922432030294</v>
      </c>
      <c r="AK7074">
        <v>9.4753880129869295</v>
      </c>
      <c r="AL7074">
        <v>85.7520149357767</v>
      </c>
      <c r="AM7074">
        <v>76.031971738097596</v>
      </c>
      <c r="AN7074">
        <v>1.0000000055414699</v>
      </c>
    </row>
    <row r="7075" spans="1:40" x14ac:dyDescent="0.25">
      <c r="A7075" t="str">
        <f>"20190312151710438"</f>
        <v>20190312151710438</v>
      </c>
      <c r="B7075" t="str">
        <f>"1552375030434587"</f>
        <v>1552375030434587</v>
      </c>
      <c r="C7075" t="s">
        <v>40</v>
      </c>
      <c r="D7075">
        <v>4.9055460000000002</v>
      </c>
      <c r="E7075">
        <v>0.55003190000000002</v>
      </c>
      <c r="F7075" t="s">
        <v>43</v>
      </c>
      <c r="G7075">
        <v>-161.47919999999999</v>
      </c>
      <c r="H7075" s="1">
        <v>-4.3451189999999996E-6</v>
      </c>
      <c r="I7075">
        <v>137.7176</v>
      </c>
      <c r="J7075">
        <v>-171.06880000000001</v>
      </c>
      <c r="K7075">
        <v>1.102576</v>
      </c>
      <c r="L7075">
        <v>137.70740000000001</v>
      </c>
      <c r="M7075">
        <v>0.92895720000000004</v>
      </c>
      <c r="N7075">
        <v>0</v>
      </c>
      <c r="O7075">
        <v>0.36987880000000001</v>
      </c>
      <c r="P7075">
        <v>0.98832019999999998</v>
      </c>
      <c r="Q7075">
        <v>6.388866E-2</v>
      </c>
      <c r="R7075">
        <v>0.138352799999999</v>
      </c>
      <c r="S7075">
        <v>3.0574189999999999</v>
      </c>
      <c r="T7075">
        <v>-0.34649849999999999</v>
      </c>
      <c r="U7075">
        <v>1.8218990000000001E-2</v>
      </c>
      <c r="V7075">
        <v>0.2384752</v>
      </c>
      <c r="W7075">
        <v>7.4122880000000002E-2</v>
      </c>
      <c r="X7075">
        <v>0.9683157</v>
      </c>
      <c r="Y7075">
        <v>0.35979719999999998</v>
      </c>
      <c r="Z7075">
        <v>-6.1329769999999999E-2</v>
      </c>
      <c r="AA7075">
        <v>0.93101270000000003</v>
      </c>
      <c r="AB7075">
        <v>23</v>
      </c>
      <c r="AC7075">
        <v>9.5896000000000097</v>
      </c>
      <c r="AD7075">
        <v>-1.1025803451189999</v>
      </c>
      <c r="AE7075">
        <v>1.0199999999997499E-2</v>
      </c>
      <c r="AF7075">
        <v>3.4917583424618299</v>
      </c>
      <c r="AG7075">
        <v>-1.1025803451189999</v>
      </c>
      <c r="AH7075">
        <v>8.79682702377184</v>
      </c>
      <c r="AI7075">
        <v>96.644809318599201</v>
      </c>
      <c r="AJ7075">
        <v>68.3501969604268</v>
      </c>
      <c r="AK7075">
        <v>9.5284954439699998</v>
      </c>
      <c r="AL7075">
        <v>85.749173074816696</v>
      </c>
      <c r="AM7075">
        <v>76.164622819876399</v>
      </c>
      <c r="AN7075">
        <v>0.99999995861051105</v>
      </c>
    </row>
    <row r="7076" spans="1:40" x14ac:dyDescent="0.25">
      <c r="A7076" t="str">
        <f>"20190312151710452"</f>
        <v>20190312151710452</v>
      </c>
      <c r="B7076" t="str">
        <f>"1552375030445323"</f>
        <v>1552375030445323</v>
      </c>
      <c r="C7076" t="s">
        <v>40</v>
      </c>
      <c r="D7076">
        <v>4.9142619999999999</v>
      </c>
      <c r="E7076">
        <v>0.54968609999999996</v>
      </c>
      <c r="F7076" t="s">
        <v>43</v>
      </c>
      <c r="G7076">
        <v>-161.3244</v>
      </c>
      <c r="H7076" s="1">
        <v>-4.416093E-6</v>
      </c>
      <c r="I7076">
        <v>137.72989999999999</v>
      </c>
      <c r="J7076">
        <v>-170.9263</v>
      </c>
      <c r="K7076">
        <v>1.1026389999999999</v>
      </c>
      <c r="L7076">
        <v>137.75550000000001</v>
      </c>
      <c r="M7076">
        <v>0.93169579999999996</v>
      </c>
      <c r="N7076">
        <v>0</v>
      </c>
      <c r="O7076">
        <v>0.36292560000000001</v>
      </c>
      <c r="P7076">
        <v>0.98858820000000003</v>
      </c>
      <c r="Q7076">
        <v>6.3828350000000006E-2</v>
      </c>
      <c r="R7076">
        <v>0.13645090000000001</v>
      </c>
      <c r="S7076">
        <v>3.0568390000000001</v>
      </c>
      <c r="T7076">
        <v>-0.34588229999999998</v>
      </c>
      <c r="U7076">
        <v>7.064819E-3</v>
      </c>
      <c r="V7076">
        <v>0.23308180000000001</v>
      </c>
      <c r="W7076">
        <v>7.4200859999999993E-2</v>
      </c>
      <c r="X7076">
        <v>0.96962210000000004</v>
      </c>
      <c r="Y7076">
        <v>0.3563057</v>
      </c>
      <c r="Z7076">
        <v>-6.0303950000000002E-2</v>
      </c>
      <c r="AA7076">
        <v>0.93242139999999996</v>
      </c>
      <c r="AB7076">
        <v>23</v>
      </c>
      <c r="AC7076">
        <v>9.6019000000000005</v>
      </c>
      <c r="AD7076">
        <v>-1.1026434160930001</v>
      </c>
      <c r="AE7076">
        <v>-2.5600000000025599E-2</v>
      </c>
      <c r="AF7076">
        <v>3.4633547205825002</v>
      </c>
      <c r="AG7076">
        <v>-1.1026434160930001</v>
      </c>
      <c r="AH7076">
        <v>8.8214474962242093</v>
      </c>
      <c r="AI7076">
        <v>96.636519450432303</v>
      </c>
      <c r="AJ7076">
        <v>68.564721805048706</v>
      </c>
      <c r="AK7076">
        <v>9.5408901236873493</v>
      </c>
      <c r="AL7076">
        <v>85.744692796517796</v>
      </c>
      <c r="AM7076">
        <v>76.483456223764406</v>
      </c>
      <c r="AN7076">
        <v>0.99999995496219296</v>
      </c>
    </row>
    <row r="7077" spans="1:40" x14ac:dyDescent="0.25">
      <c r="A7077" t="str">
        <f>"20190312151710465"</f>
        <v>20190312151710465</v>
      </c>
      <c r="B7077" t="str">
        <f>"1552375030455083"</f>
        <v>1552375030455083</v>
      </c>
      <c r="C7077" t="s">
        <v>40</v>
      </c>
      <c r="D7077">
        <v>4.9059850000000003</v>
      </c>
      <c r="E7077">
        <v>0.54932209999999904</v>
      </c>
      <c r="F7077" t="s">
        <v>43</v>
      </c>
      <c r="G7077">
        <v>-161.18960000000001</v>
      </c>
      <c r="H7077" s="1">
        <v>-4.4727709999999996E-6</v>
      </c>
      <c r="I7077">
        <v>137.7697</v>
      </c>
      <c r="J7077">
        <v>-170.79409999999999</v>
      </c>
      <c r="K7077">
        <v>1.1027020000000001</v>
      </c>
      <c r="L7077">
        <v>137.7987</v>
      </c>
      <c r="M7077">
        <v>0.93415610000000004</v>
      </c>
      <c r="N7077">
        <v>0</v>
      </c>
      <c r="O7077">
        <v>0.35654619999999998</v>
      </c>
      <c r="P7077">
        <v>0.98912480000000003</v>
      </c>
      <c r="Q7077">
        <v>6.3449400000000003E-2</v>
      </c>
      <c r="R7077">
        <v>0.13268829999999901</v>
      </c>
      <c r="S7077">
        <v>3.0563660000000001</v>
      </c>
      <c r="T7077">
        <v>-0.34612300000000001</v>
      </c>
      <c r="U7077">
        <v>4.4403079999999996E-3</v>
      </c>
      <c r="V7077">
        <v>0.2301271</v>
      </c>
      <c r="W7077">
        <v>7.3906050000000001E-2</v>
      </c>
      <c r="X7077">
        <v>0.97035009999999999</v>
      </c>
      <c r="Y7077">
        <v>0.35078579999999998</v>
      </c>
      <c r="Z7077">
        <v>-5.9364180000000003E-2</v>
      </c>
      <c r="AA7077">
        <v>0.93457219999999996</v>
      </c>
      <c r="AB7077">
        <v>23</v>
      </c>
      <c r="AC7077">
        <v>9.6044999999999696</v>
      </c>
      <c r="AD7077">
        <v>-1.1027064727709901</v>
      </c>
      <c r="AE7077">
        <v>-2.89999999999963E-2</v>
      </c>
      <c r="AF7077">
        <v>3.4070208421433601</v>
      </c>
      <c r="AG7077">
        <v>-1.1027064727709901</v>
      </c>
      <c r="AH7077">
        <v>8.8461743404699398</v>
      </c>
      <c r="AI7077">
        <v>96.635071632963701</v>
      </c>
      <c r="AJ7077">
        <v>68.936279167345106</v>
      </c>
      <c r="AK7077">
        <v>9.5435084243625603</v>
      </c>
      <c r="AL7077">
        <v>85.761630658076399</v>
      </c>
      <c r="AM7077">
        <v>76.658286528607803</v>
      </c>
      <c r="AN7077">
        <v>0.99999995147551002</v>
      </c>
    </row>
    <row r="7078" spans="1:40" x14ac:dyDescent="0.25">
      <c r="A7078" t="str">
        <f>"20190312151710479"</f>
        <v>20190312151710479</v>
      </c>
      <c r="B7078" t="str">
        <f>"1552375030474603"</f>
        <v>1552375030474603</v>
      </c>
      <c r="C7078" t="s">
        <v>40</v>
      </c>
      <c r="D7078">
        <v>4.9545899999999996</v>
      </c>
      <c r="E7078">
        <v>0.54869609999999902</v>
      </c>
      <c r="F7078" t="s">
        <v>43</v>
      </c>
      <c r="G7078">
        <v>-161.08949999999999</v>
      </c>
      <c r="H7078" s="1">
        <v>-4.5174320000000002E-6</v>
      </c>
      <c r="I7078">
        <v>137.78479999999999</v>
      </c>
      <c r="J7078">
        <v>-170.65649999999999</v>
      </c>
      <c r="K7078">
        <v>1.102773</v>
      </c>
      <c r="L7078">
        <v>137.84289999999999</v>
      </c>
      <c r="M7078">
        <v>0.93665209999999999</v>
      </c>
      <c r="N7078">
        <v>0</v>
      </c>
      <c r="O7078">
        <v>0.34993760000000002</v>
      </c>
      <c r="P7078">
        <v>0.98964030000000003</v>
      </c>
      <c r="Q7078">
        <v>6.2992259999999994E-2</v>
      </c>
      <c r="R7078">
        <v>0.1290116</v>
      </c>
      <c r="S7078">
        <v>3.0558320000000001</v>
      </c>
      <c r="T7078">
        <v>-0.34722360000000002</v>
      </c>
      <c r="U7078">
        <v>-4.379272E-3</v>
      </c>
      <c r="V7078">
        <v>0.22686190000000001</v>
      </c>
      <c r="W7078">
        <v>7.3542720000000006E-2</v>
      </c>
      <c r="X7078">
        <v>0.97114630000000002</v>
      </c>
      <c r="Y7078">
        <v>0.3469082</v>
      </c>
      <c r="Z7078">
        <v>-5.8638219999999998E-2</v>
      </c>
      <c r="AA7078">
        <v>0.93606420000000001</v>
      </c>
      <c r="AB7078">
        <v>23</v>
      </c>
      <c r="AC7078">
        <v>9.5670000000000002</v>
      </c>
      <c r="AD7078">
        <v>-1.102777517432</v>
      </c>
      <c r="AE7078">
        <v>-5.8099999999996002E-2</v>
      </c>
      <c r="AF7078">
        <v>3.3580415350506398</v>
      </c>
      <c r="AG7078">
        <v>-1.102777517432</v>
      </c>
      <c r="AH7078">
        <v>8.8243874616077207</v>
      </c>
      <c r="AI7078">
        <v>96.661863033437001</v>
      </c>
      <c r="AJ7078">
        <v>69.166126294729594</v>
      </c>
      <c r="AK7078">
        <v>9.5059126482762402</v>
      </c>
      <c r="AL7078">
        <v>85.782504922868995</v>
      </c>
      <c r="AM7078">
        <v>76.851369727563707</v>
      </c>
      <c r="AN7078">
        <v>0.999999994670149</v>
      </c>
    </row>
    <row r="7079" spans="1:40" x14ac:dyDescent="0.25">
      <c r="A7079" t="str">
        <f>"20190312151710494"</f>
        <v>20190312151710494</v>
      </c>
      <c r="B7079" t="str">
        <f>"1552375030485339"</f>
        <v>1552375030485339</v>
      </c>
      <c r="C7079" t="s">
        <v>40</v>
      </c>
      <c r="D7079">
        <v>4.7524600000000001</v>
      </c>
      <c r="E7079">
        <v>0.54848379999999997</v>
      </c>
      <c r="F7079" t="s">
        <v>43</v>
      </c>
      <c r="G7079">
        <v>-160.97810000000001</v>
      </c>
      <c r="H7079" s="1">
        <v>-4.565887E-6</v>
      </c>
      <c r="I7079">
        <v>137.8083</v>
      </c>
      <c r="J7079">
        <v>-170.5009</v>
      </c>
      <c r="K7079">
        <v>1.1028629999999999</v>
      </c>
      <c r="L7079">
        <v>137.89179999999999</v>
      </c>
      <c r="M7079">
        <v>0.93939070000000002</v>
      </c>
      <c r="N7079">
        <v>0</v>
      </c>
      <c r="O7079">
        <v>0.34251920000000002</v>
      </c>
      <c r="P7079">
        <v>0.99024800000000002</v>
      </c>
      <c r="Q7079">
        <v>6.2920829999999997E-2</v>
      </c>
      <c r="R7079">
        <v>0.1242989</v>
      </c>
      <c r="S7079">
        <v>3.0549620000000002</v>
      </c>
      <c r="T7079">
        <v>-0.34808929999999999</v>
      </c>
      <c r="U7079">
        <v>-1.0925290000000001E-2</v>
      </c>
      <c r="V7079">
        <v>0.22378439999999999</v>
      </c>
      <c r="W7079">
        <v>7.3564599999999994E-2</v>
      </c>
      <c r="X7079">
        <v>0.97185840000000001</v>
      </c>
      <c r="Y7079">
        <v>0.341557</v>
      </c>
      <c r="Z7079">
        <v>-5.7699109999999998E-2</v>
      </c>
      <c r="AA7079">
        <v>0.93808829999999999</v>
      </c>
      <c r="AB7079">
        <v>23</v>
      </c>
      <c r="AC7079">
        <v>9.5227999999999895</v>
      </c>
      <c r="AD7079">
        <v>-1.102867565887</v>
      </c>
      <c r="AE7079">
        <v>-8.3499999999986502E-2</v>
      </c>
      <c r="AF7079">
        <v>3.2963483282867698</v>
      </c>
      <c r="AG7079">
        <v>-1.102867565887</v>
      </c>
      <c r="AH7079">
        <v>8.8000127277585403</v>
      </c>
      <c r="AI7079">
        <v>96.693733013620005</v>
      </c>
      <c r="AJ7079">
        <v>69.464829216772102</v>
      </c>
      <c r="AK7079">
        <v>9.4616305771255291</v>
      </c>
      <c r="AL7079">
        <v>85.781247819374997</v>
      </c>
      <c r="AM7079">
        <v>77.032847949219203</v>
      </c>
      <c r="AN7079">
        <v>0.99999997885353897</v>
      </c>
    </row>
    <row r="7080" spans="1:40" x14ac:dyDescent="0.25">
      <c r="A7080" t="str">
        <f>"20190312151710508"</f>
        <v>20190312151710508</v>
      </c>
      <c r="B7080" t="str">
        <f>"1552375030504859"</f>
        <v>1552375030504859</v>
      </c>
      <c r="C7080" t="s">
        <v>40</v>
      </c>
      <c r="D7080">
        <v>4.8331689999999998</v>
      </c>
      <c r="E7080">
        <v>0.54814219999999902</v>
      </c>
      <c r="F7080" t="s">
        <v>43</v>
      </c>
      <c r="G7080">
        <v>-160.69579999999999</v>
      </c>
      <c r="H7080" s="1">
        <v>-4.6980609999999999E-6</v>
      </c>
      <c r="I7080">
        <v>137.81549999999999</v>
      </c>
      <c r="J7080">
        <v>-170.35560000000001</v>
      </c>
      <c r="K7080">
        <v>1.102946</v>
      </c>
      <c r="L7080">
        <v>137.93610000000001</v>
      </c>
      <c r="M7080">
        <v>0.94185980000000002</v>
      </c>
      <c r="N7080">
        <v>0</v>
      </c>
      <c r="O7080">
        <v>0.33567049999999998</v>
      </c>
      <c r="P7080">
        <v>0.99038749999999998</v>
      </c>
      <c r="Q7080">
        <v>6.2663150000000001E-2</v>
      </c>
      <c r="R7080">
        <v>0.1233112</v>
      </c>
      <c r="S7080">
        <v>3.0543369999999999</v>
      </c>
      <c r="T7080">
        <v>-0.34354790000000002</v>
      </c>
      <c r="U7080">
        <v>-2.377319E-2</v>
      </c>
      <c r="V7080">
        <v>0.21765209999999999</v>
      </c>
      <c r="W7080">
        <v>7.346424E-2</v>
      </c>
      <c r="X7080">
        <v>0.9732577</v>
      </c>
      <c r="Y7080">
        <v>0.338837</v>
      </c>
      <c r="Z7080">
        <v>-5.6084710000000003E-2</v>
      </c>
      <c r="AA7080">
        <v>0.93917200000000001</v>
      </c>
      <c r="AB7080">
        <v>23</v>
      </c>
      <c r="AC7080">
        <v>9.6598000000000095</v>
      </c>
      <c r="AD7080">
        <v>-1.102950698061</v>
      </c>
      <c r="AE7080">
        <v>-0.12060000000002399</v>
      </c>
      <c r="AF7080">
        <v>3.3132881059374899</v>
      </c>
      <c r="AG7080">
        <v>-1.102950698061</v>
      </c>
      <c r="AH7080">
        <v>8.9421562983729199</v>
      </c>
      <c r="AI7080">
        <v>96.597445186435294</v>
      </c>
      <c r="AJ7080">
        <v>69.669097194102207</v>
      </c>
      <c r="AK7080">
        <v>9.5998196639223696</v>
      </c>
      <c r="AL7080">
        <v>85.787013676161706</v>
      </c>
      <c r="AM7080">
        <v>77.394212196305205</v>
      </c>
      <c r="AN7080">
        <v>0.99999999090123803</v>
      </c>
    </row>
    <row r="7081" spans="1:40" x14ac:dyDescent="0.25">
      <c r="A7081" t="str">
        <f>"20190312151710522"</f>
        <v>20190312151710522</v>
      </c>
      <c r="B7081" t="str">
        <f>"1552375030515595"</f>
        <v>1552375030515595</v>
      </c>
      <c r="C7081" t="s">
        <v>40</v>
      </c>
      <c r="D7081">
        <v>4.8805589999999999</v>
      </c>
      <c r="E7081">
        <v>0.52782700000000005</v>
      </c>
      <c r="F7081" t="s">
        <v>43</v>
      </c>
      <c r="G7081">
        <v>-160.59620000000001</v>
      </c>
      <c r="H7081" s="1">
        <v>-4.7373639999999996E-6</v>
      </c>
      <c r="I7081">
        <v>137.8595</v>
      </c>
      <c r="J7081">
        <v>-170.22020000000001</v>
      </c>
      <c r="K7081">
        <v>1.103032</v>
      </c>
      <c r="L7081">
        <v>137.97640000000001</v>
      </c>
      <c r="M7081">
        <v>0.94408990000000004</v>
      </c>
      <c r="N7081">
        <v>0</v>
      </c>
      <c r="O7081">
        <v>0.32934740000000001</v>
      </c>
      <c r="P7081">
        <v>0.99079700000000004</v>
      </c>
      <c r="Q7081">
        <v>6.2696080000000001E-2</v>
      </c>
      <c r="R7081">
        <v>0.11996130000000001</v>
      </c>
      <c r="S7081">
        <v>3.0539399999999999</v>
      </c>
      <c r="T7081">
        <v>-0.34513690000000002</v>
      </c>
      <c r="U7081">
        <v>-2.3971559999999999E-2</v>
      </c>
      <c r="V7081">
        <v>0.214397</v>
      </c>
      <c r="W7081">
        <v>7.3589810000000005E-2</v>
      </c>
      <c r="X7081">
        <v>0.97397049999999996</v>
      </c>
      <c r="Y7081">
        <v>0.33262890000000001</v>
      </c>
      <c r="Z7081">
        <v>-5.531991E-2</v>
      </c>
      <c r="AA7081">
        <v>0.94143379999999999</v>
      </c>
      <c r="AB7081">
        <v>23</v>
      </c>
      <c r="AC7081">
        <v>9.6239999999999899</v>
      </c>
      <c r="AD7081">
        <v>-1.103036737364</v>
      </c>
      <c r="AE7081">
        <v>-0.11690000000001501</v>
      </c>
      <c r="AF7081">
        <v>3.2378452055185698</v>
      </c>
      <c r="AG7081">
        <v>-1.103036737364</v>
      </c>
      <c r="AH7081">
        <v>8.9311328971333204</v>
      </c>
      <c r="AI7081">
        <v>96.622952002134397</v>
      </c>
      <c r="AJ7081">
        <v>70.072664266071996</v>
      </c>
      <c r="AK7081">
        <v>9.5637579666745705</v>
      </c>
      <c r="AL7081">
        <v>85.779799701469699</v>
      </c>
      <c r="AM7081">
        <v>77.585652480742894</v>
      </c>
      <c r="AN7081">
        <v>1.0000000343075399</v>
      </c>
    </row>
    <row r="7082" spans="1:40" x14ac:dyDescent="0.25">
      <c r="A7082" t="str">
        <f>"20190312151710536"</f>
        <v>20190312151710536</v>
      </c>
      <c r="B7082" t="str">
        <f>"1552375030525355"</f>
        <v>1552375030525355</v>
      </c>
      <c r="C7082" t="s">
        <v>40</v>
      </c>
      <c r="D7082">
        <v>4.8719469999999996</v>
      </c>
      <c r="E7082">
        <v>0.5253099</v>
      </c>
      <c r="F7082" t="s">
        <v>43</v>
      </c>
      <c r="G7082">
        <v>-158.554</v>
      </c>
      <c r="H7082" s="1">
        <v>-8.0603519999999904E-7</v>
      </c>
      <c r="I7082">
        <v>138.46950000000001</v>
      </c>
      <c r="J7082">
        <v>-170.0771</v>
      </c>
      <c r="K7082">
        <v>1.1031260000000001</v>
      </c>
      <c r="L7082">
        <v>138.01820000000001</v>
      </c>
      <c r="M7082">
        <v>0.94637899999999997</v>
      </c>
      <c r="N7082">
        <v>0</v>
      </c>
      <c r="O7082">
        <v>0.32271159999999999</v>
      </c>
      <c r="P7082">
        <v>0.99129089999999997</v>
      </c>
      <c r="Q7082">
        <v>6.2517959999999997E-2</v>
      </c>
      <c r="R7082">
        <v>0.1159048</v>
      </c>
      <c r="S7082">
        <v>3.0304869999999999</v>
      </c>
      <c r="T7082">
        <v>-0.28653030000000002</v>
      </c>
      <c r="U7082">
        <v>0.12808230000000001</v>
      </c>
      <c r="V7082">
        <v>0.21152550000000001</v>
      </c>
      <c r="W7082">
        <v>7.3497560000000003E-2</v>
      </c>
      <c r="X7082">
        <v>0.9746051</v>
      </c>
      <c r="Y7082">
        <v>0.27985870000000002</v>
      </c>
      <c r="Z7082">
        <v>-4.3158290000000002E-2</v>
      </c>
      <c r="AA7082">
        <v>0.9590706</v>
      </c>
      <c r="AB7082">
        <v>23</v>
      </c>
      <c r="AC7082">
        <v>11.523099999999999</v>
      </c>
      <c r="AD7082">
        <v>-1.1031268060352</v>
      </c>
      <c r="AE7082">
        <v>0.45130000000000298</v>
      </c>
      <c r="AF7082">
        <v>3.2620563619027898</v>
      </c>
      <c r="AG7082">
        <v>-1.1031268060352</v>
      </c>
      <c r="AH7082">
        <v>10.951881970078</v>
      </c>
      <c r="AI7082">
        <v>95.513892046041803</v>
      </c>
      <c r="AJ7082">
        <v>73.4136530205936</v>
      </c>
      <c r="AK7082">
        <v>11.4804886283182</v>
      </c>
      <c r="AL7082">
        <v>85.785099506316897</v>
      </c>
      <c r="AM7082">
        <v>77.754604307256798</v>
      </c>
      <c r="AN7082">
        <v>1.0000000147110999</v>
      </c>
    </row>
    <row r="7083" spans="1:40" x14ac:dyDescent="0.25">
      <c r="A7083" t="str">
        <f>"20190312151710551"</f>
        <v>20190312151710551</v>
      </c>
      <c r="B7083" t="str">
        <f>"1552375030544875"</f>
        <v>1552375030544875</v>
      </c>
      <c r="C7083" t="s">
        <v>40</v>
      </c>
      <c r="D7083">
        <v>4.8835030000000001</v>
      </c>
      <c r="E7083">
        <v>0.52291840000000001</v>
      </c>
      <c r="F7083" t="s">
        <v>43</v>
      </c>
      <c r="G7083">
        <v>-158.52879999999999</v>
      </c>
      <c r="H7083" s="1">
        <v>-8.0508659999999896E-7</v>
      </c>
      <c r="I7083">
        <v>138.53579999999999</v>
      </c>
      <c r="J7083">
        <v>-169.91990000000001</v>
      </c>
      <c r="K7083">
        <v>1.1032379999999999</v>
      </c>
      <c r="L7083">
        <v>138.06299999999999</v>
      </c>
      <c r="M7083">
        <v>0.94880249999999999</v>
      </c>
      <c r="N7083">
        <v>0</v>
      </c>
      <c r="O7083">
        <v>0.31551639999999997</v>
      </c>
      <c r="P7083">
        <v>0.99183370000000004</v>
      </c>
      <c r="Q7083">
        <v>6.2147099999999997E-2</v>
      </c>
      <c r="R7083">
        <v>0.1113724</v>
      </c>
      <c r="S7083">
        <v>3.0287320000000002</v>
      </c>
      <c r="T7083">
        <v>-0.2893114</v>
      </c>
      <c r="U7083">
        <v>0.135757399999999</v>
      </c>
      <c r="V7083">
        <v>0.2085574</v>
      </c>
      <c r="W7083">
        <v>7.321888E-2</v>
      </c>
      <c r="X7083">
        <v>0.97526550000000001</v>
      </c>
      <c r="Y7083">
        <v>0.27013110000000001</v>
      </c>
      <c r="Z7083">
        <v>-4.24772E-2</v>
      </c>
      <c r="AA7083">
        <v>0.96188609999999997</v>
      </c>
      <c r="AB7083">
        <v>23</v>
      </c>
      <c r="AC7083">
        <v>11.3911</v>
      </c>
      <c r="AD7083">
        <v>-1.1032388050866</v>
      </c>
      <c r="AE7083">
        <v>0.47280000000000599</v>
      </c>
      <c r="AF7083">
        <v>3.1166519172890901</v>
      </c>
      <c r="AG7083">
        <v>-1.1032388050866</v>
      </c>
      <c r="AH7083">
        <v>10.8566421091957</v>
      </c>
      <c r="AI7083">
        <v>95.5785987297037</v>
      </c>
      <c r="AJ7083">
        <v>73.982641630342698</v>
      </c>
      <c r="AK7083">
        <v>11.3488912639849</v>
      </c>
      <c r="AL7083">
        <v>85.801109746218401</v>
      </c>
      <c r="AM7083">
        <v>77.929289319656107</v>
      </c>
      <c r="AN7083">
        <v>0.99999999448673205</v>
      </c>
    </row>
    <row r="7084" spans="1:40" x14ac:dyDescent="0.25">
      <c r="A7084" t="str">
        <f>"20190312151710566"</f>
        <v>20190312151710566</v>
      </c>
      <c r="B7084" t="str">
        <f>"1552375030554635"</f>
        <v>1552375030554635</v>
      </c>
      <c r="C7084" t="s">
        <v>40</v>
      </c>
      <c r="D7084">
        <v>4.8772830000000003</v>
      </c>
      <c r="E7084">
        <v>0.52234099999999895</v>
      </c>
      <c r="F7084" t="s">
        <v>43</v>
      </c>
      <c r="G7084">
        <v>-158.82060000000001</v>
      </c>
      <c r="H7084" s="1">
        <v>-6.7213019999999996E-7</v>
      </c>
      <c r="I7084">
        <v>138.5796</v>
      </c>
      <c r="J7084">
        <v>-169.77199999999999</v>
      </c>
      <c r="K7084">
        <v>1.103342</v>
      </c>
      <c r="L7084">
        <v>138.10380000000001</v>
      </c>
      <c r="M7084">
        <v>0.95098930000000004</v>
      </c>
      <c r="N7084">
        <v>0</v>
      </c>
      <c r="O7084">
        <v>0.30886380000000002</v>
      </c>
      <c r="P7084">
        <v>0.99201110000000003</v>
      </c>
      <c r="Q7084">
        <v>6.129851E-2</v>
      </c>
      <c r="R7084">
        <v>0.1102569</v>
      </c>
      <c r="S7084">
        <v>3.0277560000000001</v>
      </c>
      <c r="T7084">
        <v>-0.30094979999999999</v>
      </c>
      <c r="U7084">
        <v>0.14093020000000001</v>
      </c>
      <c r="V7084">
        <v>0.20279730000000001</v>
      </c>
      <c r="W7084">
        <v>7.2515040000000003E-2</v>
      </c>
      <c r="X7084">
        <v>0.97653199999999996</v>
      </c>
      <c r="Y7084">
        <v>0.26158530000000002</v>
      </c>
      <c r="Z7084">
        <v>-4.3133940000000003E-2</v>
      </c>
      <c r="AA7084">
        <v>0.96421610000000002</v>
      </c>
      <c r="AB7084">
        <v>23</v>
      </c>
      <c r="AC7084">
        <v>10.9514</v>
      </c>
      <c r="AD7084">
        <v>-1.1033426721302</v>
      </c>
      <c r="AE7084">
        <v>0.47579999999999201</v>
      </c>
      <c r="AF7084">
        <v>2.9009461569743502</v>
      </c>
      <c r="AG7084">
        <v>-1.1033426721302</v>
      </c>
      <c r="AH7084">
        <v>10.456855912753699</v>
      </c>
      <c r="AI7084">
        <v>95.8055297286854</v>
      </c>
      <c r="AJ7084">
        <v>74.494895090855394</v>
      </c>
      <c r="AK7084">
        <v>10.907735293721601</v>
      </c>
      <c r="AL7084">
        <v>85.841544159590697</v>
      </c>
      <c r="AM7084">
        <v>78.268090534234602</v>
      </c>
      <c r="AN7084">
        <v>0.99999996146874504</v>
      </c>
    </row>
    <row r="7085" spans="1:40" x14ac:dyDescent="0.25">
      <c r="A7085" t="str">
        <f>"20190312151710587"</f>
        <v>20190312151710587</v>
      </c>
      <c r="B7085" t="str">
        <f>"1552375030575131"</f>
        <v>1552375030575131</v>
      </c>
      <c r="C7085" t="s">
        <v>40</v>
      </c>
      <c r="D7085">
        <v>4.8483879999999999</v>
      </c>
      <c r="E7085">
        <v>0.52151040000000004</v>
      </c>
      <c r="F7085" t="s">
        <v>43</v>
      </c>
      <c r="G7085">
        <v>-158.9836</v>
      </c>
      <c r="H7085" s="1">
        <v>-5.9935969999999996E-7</v>
      </c>
      <c r="I7085">
        <v>138.6112</v>
      </c>
      <c r="J7085">
        <v>-169.5573</v>
      </c>
      <c r="K7085">
        <v>1.1035200000000001</v>
      </c>
      <c r="L7085">
        <v>138.16149999999999</v>
      </c>
      <c r="M7085">
        <v>0.95402140000000002</v>
      </c>
      <c r="N7085">
        <v>0</v>
      </c>
      <c r="O7085">
        <v>0.29936940000000001</v>
      </c>
      <c r="P7085">
        <v>0.99246409999999996</v>
      </c>
      <c r="Q7085">
        <v>6.0869220000000002E-2</v>
      </c>
      <c r="R7085">
        <v>0.1063496</v>
      </c>
      <c r="S7085">
        <v>3.0274510000000001</v>
      </c>
      <c r="T7085">
        <v>-0.30961919999999998</v>
      </c>
      <c r="U7085">
        <v>0.14239499999999999</v>
      </c>
      <c r="V7085">
        <v>0.1968694</v>
      </c>
      <c r="W7085">
        <v>7.22468E-2</v>
      </c>
      <c r="X7085">
        <v>0.97776419999999997</v>
      </c>
      <c r="Y7085">
        <v>0.25142439999999999</v>
      </c>
      <c r="Z7085">
        <v>-4.2927369999999999E-2</v>
      </c>
      <c r="AA7085">
        <v>0.96692449999999996</v>
      </c>
      <c r="AB7085">
        <v>23</v>
      </c>
      <c r="AC7085">
        <v>10.573700000000001</v>
      </c>
      <c r="AD7085">
        <v>-1.1035205993596999</v>
      </c>
      <c r="AE7085">
        <v>0.44970000000000698</v>
      </c>
      <c r="AF7085">
        <v>2.7072869248855902</v>
      </c>
      <c r="AG7085">
        <v>-1.1035205993596999</v>
      </c>
      <c r="AH7085">
        <v>10.113337497284901</v>
      </c>
      <c r="AI7085">
        <v>96.016990484724801</v>
      </c>
      <c r="AJ7085">
        <v>75.013605032891206</v>
      </c>
      <c r="AK7085">
        <v>10.5274287240929</v>
      </c>
      <c r="AL7085">
        <v>85.856953740560698</v>
      </c>
      <c r="AM7085">
        <v>78.615905235891802</v>
      </c>
      <c r="AN7085">
        <v>0.99999999578412002</v>
      </c>
    </row>
    <row r="7086" spans="1:40" x14ac:dyDescent="0.25">
      <c r="A7086" t="str">
        <f>"20190312151710602"</f>
        <v>20190312151710602</v>
      </c>
      <c r="B7086" t="str">
        <f>"1552375030594652"</f>
        <v>1552375030594652</v>
      </c>
      <c r="C7086" t="s">
        <v>40</v>
      </c>
      <c r="D7086">
        <v>4.8998200000000001</v>
      </c>
      <c r="E7086">
        <v>0.52118310000000001</v>
      </c>
      <c r="F7086" t="s">
        <v>43</v>
      </c>
      <c r="G7086">
        <v>-158.95410000000001</v>
      </c>
      <c r="H7086" s="1">
        <v>-6.0369950000000003E-7</v>
      </c>
      <c r="I7086">
        <v>138.64250000000001</v>
      </c>
      <c r="J7086">
        <v>-169.4041</v>
      </c>
      <c r="K7086">
        <v>1.103658</v>
      </c>
      <c r="L7086">
        <v>138.20140000000001</v>
      </c>
      <c r="M7086">
        <v>0.95607439999999999</v>
      </c>
      <c r="N7086">
        <v>0</v>
      </c>
      <c r="O7086">
        <v>0.29274820000000001</v>
      </c>
      <c r="P7086">
        <v>0.9929171</v>
      </c>
      <c r="Q7086">
        <v>6.0813409999999998E-2</v>
      </c>
      <c r="R7086">
        <v>0.102067</v>
      </c>
      <c r="S7086">
        <v>3.027374</v>
      </c>
      <c r="T7086">
        <v>-0.31507220000000002</v>
      </c>
      <c r="U7086">
        <v>0.13734440000000001</v>
      </c>
      <c r="V7086">
        <v>0.19428090000000001</v>
      </c>
      <c r="W7086">
        <v>7.2274859999999996E-2</v>
      </c>
      <c r="X7086">
        <v>0.97827980000000003</v>
      </c>
      <c r="Y7086">
        <v>0.24628420000000001</v>
      </c>
      <c r="Z7086">
        <v>-4.2757129999999997E-2</v>
      </c>
      <c r="AA7086">
        <v>0.96825410000000001</v>
      </c>
      <c r="AB7086">
        <v>23</v>
      </c>
      <c r="AC7086">
        <v>10.4499999999999</v>
      </c>
      <c r="AD7086">
        <v>-1.1036586036995</v>
      </c>
      <c r="AE7086">
        <v>0.44110000000000499</v>
      </c>
      <c r="AF7086">
        <v>2.6087382176906799</v>
      </c>
      <c r="AG7086">
        <v>-1.1036586036995</v>
      </c>
      <c r="AH7086">
        <v>10.009771259143299</v>
      </c>
      <c r="AI7086">
        <v>96.090087265015399</v>
      </c>
      <c r="AJ7086">
        <v>75.3925596231866</v>
      </c>
      <c r="AK7086">
        <v>10.4028408649912</v>
      </c>
      <c r="AL7086">
        <v>85.855342012559703</v>
      </c>
      <c r="AM7086">
        <v>78.767525297733101</v>
      </c>
      <c r="AN7086">
        <v>1.0000000452904301</v>
      </c>
    </row>
    <row r="7087" spans="1:40" x14ac:dyDescent="0.25">
      <c r="A7087" t="str">
        <f>"20190312151710621"</f>
        <v>20190312151710621</v>
      </c>
      <c r="B7087" t="str">
        <f>"1552375030615147"</f>
        <v>1552375030615147</v>
      </c>
      <c r="C7087" t="s">
        <v>40</v>
      </c>
      <c r="D7087">
        <v>4.9231420000000004</v>
      </c>
      <c r="E7087">
        <v>0.52083279999999998</v>
      </c>
      <c r="F7087" t="s">
        <v>43</v>
      </c>
      <c r="G7087">
        <v>-158.93899999999999</v>
      </c>
      <c r="H7087" s="1">
        <v>-6.1060269999999998E-7</v>
      </c>
      <c r="I7087">
        <v>138.64019999999999</v>
      </c>
      <c r="J7087">
        <v>-169.2159</v>
      </c>
      <c r="K7087">
        <v>1.103839</v>
      </c>
      <c r="L7087">
        <v>138.2491</v>
      </c>
      <c r="M7087">
        <v>0.95847789999999999</v>
      </c>
      <c r="N7087">
        <v>0</v>
      </c>
      <c r="O7087">
        <v>0.28478239999999999</v>
      </c>
      <c r="P7087">
        <v>0.99316749999999998</v>
      </c>
      <c r="Q7087">
        <v>6.130124E-2</v>
      </c>
      <c r="R7087">
        <v>9.9299330000000005E-2</v>
      </c>
      <c r="S7087">
        <v>3.0278930000000002</v>
      </c>
      <c r="T7087">
        <v>-0.31932349999999998</v>
      </c>
      <c r="U7087">
        <v>0.1269836</v>
      </c>
      <c r="V7087">
        <v>0.1888253</v>
      </c>
      <c r="W7087">
        <v>7.2907390000000002E-2</v>
      </c>
      <c r="X7087">
        <v>0.97930050000000002</v>
      </c>
      <c r="Y7087">
        <v>0.24152609999999999</v>
      </c>
      <c r="Z7087">
        <v>-4.2273699999999997E-2</v>
      </c>
      <c r="AA7087">
        <v>0.96947309999999998</v>
      </c>
      <c r="AB7087">
        <v>23</v>
      </c>
      <c r="AC7087">
        <v>10.276899999999999</v>
      </c>
      <c r="AD7087">
        <v>-1.1038396106027</v>
      </c>
      <c r="AE7087">
        <v>0.39109999999999401</v>
      </c>
      <c r="AF7087">
        <v>2.5230333459137801</v>
      </c>
      <c r="AG7087">
        <v>-1.1038396106027</v>
      </c>
      <c r="AH7087">
        <v>9.8491870137487201</v>
      </c>
      <c r="AI7087">
        <v>96.196251763000703</v>
      </c>
      <c r="AJ7087">
        <v>75.631702181215601</v>
      </c>
      <c r="AK7087">
        <v>10.226956731223799</v>
      </c>
      <c r="AL7087">
        <v>85.8190045560344</v>
      </c>
      <c r="AM7087">
        <v>79.086362453276806</v>
      </c>
      <c r="AN7087">
        <v>0.99999997536847496</v>
      </c>
    </row>
    <row r="7088" spans="1:40" x14ac:dyDescent="0.25">
      <c r="A7088" t="str">
        <f>"20190312151710635"</f>
        <v>20190312151710635</v>
      </c>
      <c r="B7088" t="str">
        <f>"1552375030624907"</f>
        <v>1552375030624907</v>
      </c>
      <c r="C7088" t="s">
        <v>40</v>
      </c>
      <c r="D7088">
        <v>4.9164430000000001</v>
      </c>
      <c r="E7088">
        <v>0.52068669999999995</v>
      </c>
      <c r="F7088" t="s">
        <v>43</v>
      </c>
      <c r="G7088">
        <v>-158.74799999999999</v>
      </c>
      <c r="H7088" s="1">
        <v>-6.8714439999999997E-7</v>
      </c>
      <c r="I7088">
        <v>138.6705</v>
      </c>
      <c r="J7088">
        <v>-169.0686</v>
      </c>
      <c r="K7088">
        <v>1.103988</v>
      </c>
      <c r="L7088">
        <v>138.28550000000001</v>
      </c>
      <c r="M7088">
        <v>0.96027300000000004</v>
      </c>
      <c r="N7088">
        <v>0</v>
      </c>
      <c r="O7088">
        <v>0.27867120000000001</v>
      </c>
      <c r="P7088">
        <v>0.99353380000000002</v>
      </c>
      <c r="Q7088">
        <v>6.1440099999999997E-2</v>
      </c>
      <c r="R7088">
        <v>9.5477880000000001E-2</v>
      </c>
      <c r="S7088">
        <v>3.0281370000000001</v>
      </c>
      <c r="T7088">
        <v>-0.31931789999999999</v>
      </c>
      <c r="U7088">
        <v>0.1219177</v>
      </c>
      <c r="V7088">
        <v>0.1863242</v>
      </c>
      <c r="W7088">
        <v>7.3127579999999998E-2</v>
      </c>
      <c r="X7088">
        <v>0.97976300000000005</v>
      </c>
      <c r="Y7088">
        <v>0.23702529999999999</v>
      </c>
      <c r="Z7088">
        <v>-4.1416099999999997E-2</v>
      </c>
      <c r="AA7088">
        <v>0.97062029999999999</v>
      </c>
      <c r="AB7088">
        <v>23</v>
      </c>
      <c r="AC7088">
        <v>10.320600000000001</v>
      </c>
      <c r="AD7088">
        <v>-1.10398868714439</v>
      </c>
      <c r="AE7088">
        <v>0.38499999999999002</v>
      </c>
      <c r="AF7088">
        <v>2.4783037974653999</v>
      </c>
      <c r="AG7088">
        <v>-1.10398868714439</v>
      </c>
      <c r="AH7088">
        <v>9.9057856729886797</v>
      </c>
      <c r="AI7088">
        <v>96.170651511912894</v>
      </c>
      <c r="AJ7088">
        <v>75.9536457166095</v>
      </c>
      <c r="AK7088">
        <v>10.270607116089201</v>
      </c>
      <c r="AL7088">
        <v>85.806354696940403</v>
      </c>
      <c r="AM7088">
        <v>79.232481588902004</v>
      </c>
      <c r="AN7088">
        <v>0.99999994331564601</v>
      </c>
    </row>
    <row r="7089" spans="1:40" x14ac:dyDescent="0.25">
      <c r="A7089" t="str">
        <f>"20190312151710648"</f>
        <v>20190312151710648</v>
      </c>
      <c r="B7089" t="str">
        <f>"1552375030645404"</f>
        <v>1552375030645404</v>
      </c>
      <c r="C7089" t="s">
        <v>40</v>
      </c>
      <c r="D7089">
        <v>4.8993010000000004</v>
      </c>
      <c r="E7089">
        <v>0.52034780000000003</v>
      </c>
      <c r="F7089" t="s">
        <v>43</v>
      </c>
      <c r="G7089">
        <v>-158.59450000000001</v>
      </c>
      <c r="H7089" s="1">
        <v>-7.5269540000000005E-7</v>
      </c>
      <c r="I7089">
        <v>138.6722</v>
      </c>
      <c r="J7089">
        <v>-168.9281</v>
      </c>
      <c r="K7089">
        <v>1.104133</v>
      </c>
      <c r="L7089">
        <v>138.3194</v>
      </c>
      <c r="M7089">
        <v>0.96190520000000002</v>
      </c>
      <c r="N7089">
        <v>0</v>
      </c>
      <c r="O7089">
        <v>0.2729857</v>
      </c>
      <c r="P7089">
        <v>0.99387689999999995</v>
      </c>
      <c r="Q7089">
        <v>6.088474E-2</v>
      </c>
      <c r="R7089">
        <v>9.2205060000000005E-2</v>
      </c>
      <c r="S7089">
        <v>3.0285190000000002</v>
      </c>
      <c r="T7089">
        <v>-0.3192123</v>
      </c>
      <c r="U7089">
        <v>0.1118164</v>
      </c>
      <c r="V7089">
        <v>0.1837268</v>
      </c>
      <c r="W7089">
        <v>7.2652469999999997E-2</v>
      </c>
      <c r="X7089">
        <v>0.98028879999999996</v>
      </c>
      <c r="Y7089">
        <v>0.23456360000000001</v>
      </c>
      <c r="Z7089">
        <v>-4.0696259999999998E-2</v>
      </c>
      <c r="AA7089">
        <v>0.97124860000000002</v>
      </c>
      <c r="AB7089">
        <v>23</v>
      </c>
      <c r="AC7089">
        <v>10.333599999999899</v>
      </c>
      <c r="AD7089">
        <v>-1.1041337526954</v>
      </c>
      <c r="AE7089">
        <v>0.352800000000002</v>
      </c>
      <c r="AF7089">
        <v>2.4538521644421198</v>
      </c>
      <c r="AG7089">
        <v>-1.1041337526954</v>
      </c>
      <c r="AH7089">
        <v>9.9241737433041699</v>
      </c>
      <c r="AI7089">
        <v>96.164302145199898</v>
      </c>
      <c r="AJ7089">
        <v>76.111601980151804</v>
      </c>
      <c r="AK7089">
        <v>10.2824961111622</v>
      </c>
      <c r="AL7089">
        <v>85.833649440693506</v>
      </c>
      <c r="AM7089">
        <v>79.384712186572102</v>
      </c>
      <c r="AN7089">
        <v>1.00000002492039</v>
      </c>
    </row>
    <row r="7090" spans="1:40" x14ac:dyDescent="0.25">
      <c r="A7090" t="str">
        <f>"20190312151710661"</f>
        <v>20190312151710661</v>
      </c>
      <c r="B7090" t="str">
        <f>"1552375030655163"</f>
        <v>1552375030655163</v>
      </c>
      <c r="C7090" t="s">
        <v>40</v>
      </c>
      <c r="D7090">
        <v>4.8822020000000004</v>
      </c>
      <c r="E7090">
        <v>0.52015080000000002</v>
      </c>
      <c r="F7090" t="s">
        <v>43</v>
      </c>
      <c r="G7090">
        <v>-158.58199999999999</v>
      </c>
      <c r="H7090" s="1">
        <v>-7.5719200000000002E-7</v>
      </c>
      <c r="I7090">
        <v>138.6772</v>
      </c>
      <c r="J7090">
        <v>-168.79249999999999</v>
      </c>
      <c r="K7090">
        <v>1.1042749999999999</v>
      </c>
      <c r="L7090">
        <v>138.35130000000001</v>
      </c>
      <c r="M7090">
        <v>0.96341359999999998</v>
      </c>
      <c r="N7090">
        <v>0</v>
      </c>
      <c r="O7090">
        <v>0.26761560000000001</v>
      </c>
      <c r="P7090">
        <v>0.99414619999999998</v>
      </c>
      <c r="Q7090">
        <v>6.0472249999999998E-2</v>
      </c>
      <c r="R7090">
        <v>8.953767E-2</v>
      </c>
      <c r="S7090">
        <v>3.0285799999999998</v>
      </c>
      <c r="T7090">
        <v>-0.32320929999999998</v>
      </c>
      <c r="U7090">
        <v>0.10476679999999999</v>
      </c>
      <c r="V7090">
        <v>0.18086060000000001</v>
      </c>
      <c r="W7090">
        <v>7.2321940000000001E-2</v>
      </c>
      <c r="X7090">
        <v>0.980846</v>
      </c>
      <c r="Y7090">
        <v>0.23137830000000001</v>
      </c>
      <c r="Z7090">
        <v>-4.0483360000000003E-2</v>
      </c>
      <c r="AA7090">
        <v>0.97202120000000003</v>
      </c>
      <c r="AB7090">
        <v>23</v>
      </c>
      <c r="AC7090">
        <v>10.2104999999999</v>
      </c>
      <c r="AD7090">
        <v>-1.1042757571920001</v>
      </c>
      <c r="AE7090">
        <v>0.32589999999998998</v>
      </c>
      <c r="AF7090">
        <v>2.39083768282164</v>
      </c>
      <c r="AG7090">
        <v>-1.1042757571920001</v>
      </c>
      <c r="AH7090">
        <v>9.81058896973747</v>
      </c>
      <c r="AI7090">
        <v>96.241009662303398</v>
      </c>
      <c r="AJ7090">
        <v>76.304002856416901</v>
      </c>
      <c r="AK7090">
        <v>10.157912467956001</v>
      </c>
      <c r="AL7090">
        <v>85.852637044119902</v>
      </c>
      <c r="AM7090">
        <v>79.552443443792498</v>
      </c>
      <c r="AN7090">
        <v>0.99999994767685996</v>
      </c>
    </row>
    <row r="7091" spans="1:40" x14ac:dyDescent="0.25">
      <c r="A7091" t="str">
        <f>"20190312151710676"</f>
        <v>20190312151710676</v>
      </c>
      <c r="B7091" t="str">
        <f>"1552375030664924"</f>
        <v>1552375030664924</v>
      </c>
      <c r="C7091" t="s">
        <v>40</v>
      </c>
      <c r="D7091">
        <v>4.9252399999999996</v>
      </c>
      <c r="E7091">
        <v>0.5200205</v>
      </c>
      <c r="F7091" t="s">
        <v>43</v>
      </c>
      <c r="G7091">
        <v>-158.53700000000001</v>
      </c>
      <c r="H7091" s="1">
        <v>-7.7529110000000002E-7</v>
      </c>
      <c r="I7091">
        <v>138.68379999999999</v>
      </c>
      <c r="J7091">
        <v>-168.6456</v>
      </c>
      <c r="K7091">
        <v>1.104433</v>
      </c>
      <c r="L7091">
        <v>138.3853</v>
      </c>
      <c r="M7091">
        <v>0.96498320000000004</v>
      </c>
      <c r="N7091">
        <v>0</v>
      </c>
      <c r="O7091">
        <v>0.2619011</v>
      </c>
      <c r="P7091">
        <v>0.99443219999999999</v>
      </c>
      <c r="Q7091">
        <v>6.0121529999999999E-2</v>
      </c>
      <c r="R7091">
        <v>8.6545880000000006E-2</v>
      </c>
      <c r="S7091">
        <v>3.0286710000000001</v>
      </c>
      <c r="T7091">
        <v>-0.32611610000000002</v>
      </c>
      <c r="U7091">
        <v>9.8220829999999995E-2</v>
      </c>
      <c r="V7091">
        <v>0.17796809999999999</v>
      </c>
      <c r="W7091">
        <v>7.2054660000000006E-2</v>
      </c>
      <c r="X7091">
        <v>0.98139460000000001</v>
      </c>
      <c r="Y7091">
        <v>0.22771559999999999</v>
      </c>
      <c r="Z7091">
        <v>-4.0056099999999997E-2</v>
      </c>
      <c r="AA7091">
        <v>0.97290339999999997</v>
      </c>
      <c r="AB7091">
        <v>23</v>
      </c>
      <c r="AC7091">
        <v>10.1085999999999</v>
      </c>
      <c r="AD7091">
        <v>-1.1044337752911</v>
      </c>
      <c r="AE7091">
        <v>0.29849999999999</v>
      </c>
      <c r="AF7091">
        <v>2.3318487664088901</v>
      </c>
      <c r="AG7091">
        <v>-1.1044337752911</v>
      </c>
      <c r="AH7091">
        <v>9.7179621973938293</v>
      </c>
      <c r="AI7091">
        <v>96.306267209687206</v>
      </c>
      <c r="AJ7091">
        <v>76.5068431823438</v>
      </c>
      <c r="AK7091">
        <v>10.0546547381489</v>
      </c>
      <c r="AL7091">
        <v>85.867991086677605</v>
      </c>
      <c r="AM7091">
        <v>79.721563602537799</v>
      </c>
      <c r="AN7091">
        <v>0.99999993977724</v>
      </c>
    </row>
    <row r="7092" spans="1:40" x14ac:dyDescent="0.25">
      <c r="A7092" t="str">
        <f>"20190312151710689"</f>
        <v>20190312151710689</v>
      </c>
      <c r="B7092" t="str">
        <f>"1552375030685420"</f>
        <v>1552375030685420</v>
      </c>
      <c r="C7092" t="s">
        <v>40</v>
      </c>
      <c r="D7092">
        <v>4.9328580000000004</v>
      </c>
      <c r="E7092">
        <v>0.51955109999999904</v>
      </c>
      <c r="F7092" t="s">
        <v>43</v>
      </c>
      <c r="G7092">
        <v>-158.47620000000001</v>
      </c>
      <c r="H7092" s="1">
        <v>-8.0070260000000002E-7</v>
      </c>
      <c r="I7092">
        <v>138.68770000000001</v>
      </c>
      <c r="J7092">
        <v>-168.50890000000001</v>
      </c>
      <c r="K7092">
        <v>1.104595</v>
      </c>
      <c r="L7092">
        <v>138.4162</v>
      </c>
      <c r="M7092">
        <v>0.96637189999999995</v>
      </c>
      <c r="N7092">
        <v>0</v>
      </c>
      <c r="O7092">
        <v>0.2567314</v>
      </c>
      <c r="P7092">
        <v>0.99439999999999995</v>
      </c>
      <c r="Q7092">
        <v>6.0131700000000003E-2</v>
      </c>
      <c r="R7092">
        <v>8.6906739999999996E-2</v>
      </c>
      <c r="S7092">
        <v>3.0288240000000002</v>
      </c>
      <c r="T7092">
        <v>-0.32894119999999999</v>
      </c>
      <c r="U7092">
        <v>9.0072630000000001E-2</v>
      </c>
      <c r="V7092">
        <v>0.17232320000000001</v>
      </c>
      <c r="W7092">
        <v>7.2190219999999999E-2</v>
      </c>
      <c r="X7092">
        <v>0.98239169999999998</v>
      </c>
      <c r="Y7092">
        <v>0.22511680000000001</v>
      </c>
      <c r="Z7092">
        <v>-3.971885E-2</v>
      </c>
      <c r="AA7092">
        <v>0.97352190000000005</v>
      </c>
      <c r="AB7092">
        <v>23</v>
      </c>
      <c r="AC7092">
        <v>10.0327</v>
      </c>
      <c r="AD7092">
        <v>-1.1045958007026</v>
      </c>
      <c r="AE7092">
        <v>0.27150000000000302</v>
      </c>
      <c r="AF7092">
        <v>2.2858979295108801</v>
      </c>
      <c r="AG7092">
        <v>-1.1045958007026</v>
      </c>
      <c r="AH7092">
        <v>9.6491876104412597</v>
      </c>
      <c r="AI7092">
        <v>96.3561122070697</v>
      </c>
      <c r="AJ7092">
        <v>76.6722975689527</v>
      </c>
      <c r="AK7092">
        <v>9.9775890258401194</v>
      </c>
      <c r="AL7092">
        <v>85.860204383144605</v>
      </c>
      <c r="AM7092">
        <v>80.050856938633103</v>
      </c>
      <c r="AN7092">
        <v>1.0000000826753801</v>
      </c>
    </row>
    <row r="7093" spans="1:40" x14ac:dyDescent="0.25">
      <c r="A7093" t="str">
        <f>"20190312151710704"</f>
        <v>20190312151710704</v>
      </c>
      <c r="B7093" t="str">
        <f>"1552375030695179"</f>
        <v>1552375030695179</v>
      </c>
      <c r="C7093" t="s">
        <v>40</v>
      </c>
      <c r="D7093">
        <v>4.9548030000000001</v>
      </c>
      <c r="E7093">
        <v>0.51942010000000005</v>
      </c>
      <c r="F7093" t="s">
        <v>41</v>
      </c>
      <c r="G7093">
        <v>-167.72479999999999</v>
      </c>
      <c r="H7093">
        <v>1.018149</v>
      </c>
      <c r="I7093">
        <v>138.44059999999999</v>
      </c>
      <c r="J7093">
        <v>-168.3655</v>
      </c>
      <c r="K7093">
        <v>1.104762</v>
      </c>
      <c r="L7093">
        <v>138.4478</v>
      </c>
      <c r="M7093">
        <v>0.96775549999999999</v>
      </c>
      <c r="N7093">
        <v>0</v>
      </c>
      <c r="O7093">
        <v>0.25146760000000001</v>
      </c>
      <c r="P7093">
        <v>0.99460139999999997</v>
      </c>
      <c r="Q7093">
        <v>6.0730600000000003E-2</v>
      </c>
      <c r="R7093">
        <v>8.4142300000000003E-2</v>
      </c>
      <c r="S7093">
        <v>3.0287630000000001</v>
      </c>
      <c r="T7093">
        <v>-0.3336095</v>
      </c>
      <c r="U7093">
        <v>9.4955440000000002E-2</v>
      </c>
      <c r="V7093">
        <v>0.1696732</v>
      </c>
      <c r="W7093">
        <v>7.2863629999999999E-2</v>
      </c>
      <c r="X7093">
        <v>0.98280310000000004</v>
      </c>
      <c r="Y7093">
        <v>0.2182347</v>
      </c>
      <c r="Z7093">
        <v>-3.9337740000000003E-2</v>
      </c>
      <c r="AA7093">
        <v>0.9751031</v>
      </c>
      <c r="AB7093">
        <v>23</v>
      </c>
      <c r="AC7093">
        <v>0.64070000000000904</v>
      </c>
      <c r="AD7093">
        <v>-8.6612999999999996E-2</v>
      </c>
      <c r="AE7093">
        <v>-7.2000000000116398E-3</v>
      </c>
      <c r="AF7093">
        <v>0.16508452891949399</v>
      </c>
      <c r="AG7093">
        <v>-8.6612999999999996E-2</v>
      </c>
      <c r="AH7093">
        <v>0.60720115599357005</v>
      </c>
      <c r="AI7093">
        <v>97.837311733173607</v>
      </c>
      <c r="AJ7093">
        <v>74.790191444107407</v>
      </c>
      <c r="AK7093">
        <v>0.63517553266597004</v>
      </c>
      <c r="AL7093">
        <v>85.821518685734304</v>
      </c>
      <c r="AM7093">
        <v>80.204889554524499</v>
      </c>
      <c r="AN7093">
        <v>1.0000000183723099</v>
      </c>
    </row>
    <row r="7094" spans="1:40" x14ac:dyDescent="0.25">
      <c r="A7094" t="str">
        <f>"20190312151710721"</f>
        <v>20190312151710721</v>
      </c>
      <c r="B7094" t="str">
        <f>"1552375030714699"</f>
        <v>1552375030714699</v>
      </c>
      <c r="C7094" t="s">
        <v>40</v>
      </c>
      <c r="D7094">
        <v>4.9370419999999999</v>
      </c>
      <c r="E7094">
        <v>0.51900360000000001</v>
      </c>
      <c r="F7094" t="s">
        <v>41</v>
      </c>
      <c r="G7094">
        <v>-167.5291</v>
      </c>
      <c r="H7094">
        <v>1.012337</v>
      </c>
      <c r="I7094">
        <v>138.47210000000001</v>
      </c>
      <c r="J7094">
        <v>-168.1883</v>
      </c>
      <c r="K7094">
        <v>1.1049800000000001</v>
      </c>
      <c r="L7094">
        <v>138.4862</v>
      </c>
      <c r="M7094">
        <v>0.96937629999999997</v>
      </c>
      <c r="N7094">
        <v>0</v>
      </c>
      <c r="O7094">
        <v>0.245148</v>
      </c>
      <c r="P7094">
        <v>0.99467559999999999</v>
      </c>
      <c r="Q7094">
        <v>6.1310110000000001E-2</v>
      </c>
      <c r="R7094">
        <v>8.2834329999999998E-2</v>
      </c>
      <c r="S7094">
        <v>3.0292819999999998</v>
      </c>
      <c r="T7094">
        <v>-0.33471970000000001</v>
      </c>
      <c r="U7094">
        <v>8.7951660000000001E-2</v>
      </c>
      <c r="V7094">
        <v>0.1645073</v>
      </c>
      <c r="W7094">
        <v>7.3563169999999997E-2</v>
      </c>
      <c r="X7094">
        <v>0.98362890000000003</v>
      </c>
      <c r="Y7094">
        <v>0.21416979999999999</v>
      </c>
      <c r="Z7094">
        <v>-3.8562819999999998E-2</v>
      </c>
      <c r="AA7094">
        <v>0.97603490000000004</v>
      </c>
      <c r="AB7094">
        <v>23</v>
      </c>
      <c r="AC7094">
        <v>0.65919999999999801</v>
      </c>
      <c r="AD7094">
        <v>-9.2642999999999795E-2</v>
      </c>
      <c r="AE7094">
        <v>-1.4099999999984901E-2</v>
      </c>
      <c r="AF7094">
        <v>0.17189479799591301</v>
      </c>
      <c r="AG7094">
        <v>-9.2642999999999795E-2</v>
      </c>
      <c r="AH7094">
        <v>0.62331809002845595</v>
      </c>
      <c r="AI7094">
        <v>98.153859882118994</v>
      </c>
      <c r="AJ7094">
        <v>74.582538599253596</v>
      </c>
      <c r="AK7094">
        <v>0.65318909083341103</v>
      </c>
      <c r="AL7094">
        <v>85.781330074136804</v>
      </c>
      <c r="AM7094">
        <v>80.505424200940894</v>
      </c>
      <c r="AN7094">
        <v>1.0000000023244699</v>
      </c>
    </row>
    <row r="7095" spans="1:40" x14ac:dyDescent="0.25">
      <c r="A7095" t="str">
        <f>"20190312151710737"</f>
        <v>20190312151710737</v>
      </c>
      <c r="B7095" t="str">
        <f>"1552375030725435"</f>
        <v>1552375030725435</v>
      </c>
      <c r="C7095" t="s">
        <v>40</v>
      </c>
      <c r="D7095">
        <v>4.9419760000000004</v>
      </c>
      <c r="E7095">
        <v>0.51885749999999997</v>
      </c>
      <c r="F7095" t="s">
        <v>41</v>
      </c>
      <c r="G7095">
        <v>-167.3287</v>
      </c>
      <c r="H7095">
        <v>1.0090570000000001</v>
      </c>
      <c r="I7095">
        <v>138.5111</v>
      </c>
      <c r="J7095">
        <v>-168.029</v>
      </c>
      <c r="K7095">
        <v>1.1051740000000001</v>
      </c>
      <c r="L7095">
        <v>138.5198</v>
      </c>
      <c r="M7095">
        <v>0.97074959999999999</v>
      </c>
      <c r="N7095">
        <v>0</v>
      </c>
      <c r="O7095">
        <v>0.23965529999999999</v>
      </c>
      <c r="P7095">
        <v>0.99491459999999998</v>
      </c>
      <c r="Q7095">
        <v>6.1383310000000003E-2</v>
      </c>
      <c r="R7095">
        <v>7.9857559999999994E-2</v>
      </c>
      <c r="S7095">
        <v>3.0295559999999999</v>
      </c>
      <c r="T7095">
        <v>-0.33794239999999998</v>
      </c>
      <c r="U7095">
        <v>8.8104249999999995E-2</v>
      </c>
      <c r="V7095">
        <v>0.16184270000000001</v>
      </c>
      <c r="W7095">
        <v>7.3712509999999995E-2</v>
      </c>
      <c r="X7095">
        <v>0.98405969999999998</v>
      </c>
      <c r="Y7095">
        <v>0.20860609999999999</v>
      </c>
      <c r="Z7095">
        <v>-3.8023460000000002E-2</v>
      </c>
      <c r="AA7095">
        <v>0.97726029999999997</v>
      </c>
      <c r="AB7095">
        <v>23</v>
      </c>
      <c r="AC7095">
        <v>0.70030000000002701</v>
      </c>
      <c r="AD7095">
        <v>-9.6116999999999994E-2</v>
      </c>
      <c r="AE7095">
        <v>-8.7000000000045895E-3</v>
      </c>
      <c r="AF7095">
        <v>0.17303556735546699</v>
      </c>
      <c r="AG7095">
        <v>-9.6116999999999994E-2</v>
      </c>
      <c r="AH7095">
        <v>0.66527192097398202</v>
      </c>
      <c r="AI7095">
        <v>97.959804882676494</v>
      </c>
      <c r="AJ7095">
        <v>75.420550998623</v>
      </c>
      <c r="AK7095">
        <v>0.69409402395888797</v>
      </c>
      <c r="AL7095">
        <v>85.772750402606405</v>
      </c>
      <c r="AM7095">
        <v>80.660496758905694</v>
      </c>
      <c r="AN7095">
        <v>1.00000004341893</v>
      </c>
    </row>
    <row r="7096" spans="1:40" x14ac:dyDescent="0.25">
      <c r="A7096" t="str">
        <f>"20190312151710751"</f>
        <v>20190312151710751</v>
      </c>
      <c r="B7096" t="str">
        <f>"1552375030744955"</f>
        <v>1552375030744955</v>
      </c>
      <c r="C7096" t="s">
        <v>40</v>
      </c>
      <c r="D7096">
        <v>4.9577780000000002</v>
      </c>
      <c r="E7096">
        <v>0.51875839999999995</v>
      </c>
      <c r="F7096" t="s">
        <v>41</v>
      </c>
      <c r="G7096">
        <v>-167.1266</v>
      </c>
      <c r="H7096">
        <v>1.0039800000000001</v>
      </c>
      <c r="I7096">
        <v>138.54390000000001</v>
      </c>
      <c r="J7096">
        <v>-167.8767</v>
      </c>
      <c r="K7096">
        <v>1.1053630000000001</v>
      </c>
      <c r="L7096">
        <v>138.5514</v>
      </c>
      <c r="M7096">
        <v>0.97198980000000001</v>
      </c>
      <c r="N7096">
        <v>0</v>
      </c>
      <c r="O7096">
        <v>0.2345766</v>
      </c>
      <c r="P7096">
        <v>0.9951255</v>
      </c>
      <c r="Q7096">
        <v>6.1815490000000001E-2</v>
      </c>
      <c r="R7096">
        <v>7.6836959999999996E-2</v>
      </c>
      <c r="S7096">
        <v>3.029785</v>
      </c>
      <c r="T7096">
        <v>-0.33971299999999999</v>
      </c>
      <c r="U7096">
        <v>8.0795290000000006E-2</v>
      </c>
      <c r="V7096">
        <v>0.15964729999999999</v>
      </c>
      <c r="W7096">
        <v>7.4210380000000006E-2</v>
      </c>
      <c r="X7096">
        <v>0.98438079999999994</v>
      </c>
      <c r="Y7096">
        <v>0.20587130000000001</v>
      </c>
      <c r="Z7096">
        <v>-3.7514810000000003E-2</v>
      </c>
      <c r="AA7096">
        <v>0.9778597</v>
      </c>
      <c r="AB7096">
        <v>23</v>
      </c>
      <c r="AC7096">
        <v>0.75010000000000299</v>
      </c>
      <c r="AD7096">
        <v>-0.101383</v>
      </c>
      <c r="AE7096">
        <v>-7.4999999999931797E-3</v>
      </c>
      <c r="AF7096">
        <v>0.17997753461499899</v>
      </c>
      <c r="AG7096">
        <v>-0.101383</v>
      </c>
      <c r="AH7096">
        <v>0.71435786464682005</v>
      </c>
      <c r="AI7096">
        <v>97.835896398032901</v>
      </c>
      <c r="AJ7096">
        <v>75.859022035474894</v>
      </c>
      <c r="AK7096">
        <v>0.74362462602973101</v>
      </c>
      <c r="AL7096">
        <v>85.744146025351498</v>
      </c>
      <c r="AM7096">
        <v>80.787953691681096</v>
      </c>
      <c r="AN7096">
        <v>1.00000000015283</v>
      </c>
    </row>
    <row r="7097" spans="1:40" x14ac:dyDescent="0.25">
      <c r="A7097" t="str">
        <f>"20190312151710768"</f>
        <v>20190312151710768</v>
      </c>
      <c r="B7097" t="str">
        <f>"1552375030754715"</f>
        <v>1552375030754715</v>
      </c>
      <c r="C7097" t="s">
        <v>40</v>
      </c>
      <c r="D7097">
        <v>4.9485049999999999</v>
      </c>
      <c r="E7097">
        <v>0.51863379999999903</v>
      </c>
      <c r="F7097" t="s">
        <v>41</v>
      </c>
      <c r="G7097">
        <v>-167.12540000000001</v>
      </c>
      <c r="H7097">
        <v>1.0206740000000001</v>
      </c>
      <c r="I7097">
        <v>138.5694</v>
      </c>
      <c r="J7097">
        <v>-167.7176</v>
      </c>
      <c r="K7097">
        <v>1.105564</v>
      </c>
      <c r="L7097">
        <v>138.58349999999999</v>
      </c>
      <c r="M7097">
        <v>0.97320499999999999</v>
      </c>
      <c r="N7097">
        <v>0</v>
      </c>
      <c r="O7097">
        <v>0.2294852</v>
      </c>
      <c r="P7097">
        <v>0.99508620000000003</v>
      </c>
      <c r="Q7097">
        <v>6.2271430000000003E-2</v>
      </c>
      <c r="R7097">
        <v>7.6980060000000003E-2</v>
      </c>
      <c r="S7097">
        <v>3.0302889999999998</v>
      </c>
      <c r="T7097">
        <v>-0.34156629999999999</v>
      </c>
      <c r="U7097">
        <v>7.2967530000000003E-2</v>
      </c>
      <c r="V7097">
        <v>0.15430820000000001</v>
      </c>
      <c r="W7097">
        <v>7.4773859999999998E-2</v>
      </c>
      <c r="X7097">
        <v>0.98518930000000005</v>
      </c>
      <c r="Y7097">
        <v>0.20329700000000001</v>
      </c>
      <c r="Z7097">
        <v>-3.7011410000000002E-2</v>
      </c>
      <c r="AA7097">
        <v>0.97841730000000005</v>
      </c>
      <c r="AB7097">
        <v>23</v>
      </c>
      <c r="AC7097">
        <v>0.59219999999999096</v>
      </c>
      <c r="AD7097">
        <v>-8.4889999999999896E-2</v>
      </c>
      <c r="AE7097">
        <v>-1.4099999999984901E-2</v>
      </c>
      <c r="AF7097">
        <v>0.14662768675964299</v>
      </c>
      <c r="AG7097">
        <v>-8.4889999999999896E-2</v>
      </c>
      <c r="AH7097">
        <v>0.56162218236739403</v>
      </c>
      <c r="AI7097">
        <v>98.320478261872594</v>
      </c>
      <c r="AJ7097">
        <v>75.367898221786803</v>
      </c>
      <c r="AK7097">
        <v>0.58662208137062</v>
      </c>
      <c r="AL7097">
        <v>85.711771278916103</v>
      </c>
      <c r="AM7097">
        <v>81.098202103018195</v>
      </c>
      <c r="AN7097">
        <v>1.00000005378051</v>
      </c>
    </row>
    <row r="7098" spans="1:40" x14ac:dyDescent="0.25">
      <c r="A7098" t="str">
        <f>"20190312151710788"</f>
        <v>20190312151710788</v>
      </c>
      <c r="B7098" t="str">
        <f>"1552375030784972"</f>
        <v>1552375030784972</v>
      </c>
      <c r="C7098" t="s">
        <v>40</v>
      </c>
      <c r="D7098">
        <v>4.9796860000000001</v>
      </c>
      <c r="E7098">
        <v>0.51838669999999998</v>
      </c>
      <c r="F7098" t="s">
        <v>41</v>
      </c>
      <c r="G7098">
        <v>-166.9246</v>
      </c>
      <c r="H7098">
        <v>1.0159020000000001</v>
      </c>
      <c r="I7098">
        <v>138.60290000000001</v>
      </c>
      <c r="J7098">
        <v>-167.50229999999999</v>
      </c>
      <c r="K7098">
        <v>1.105844</v>
      </c>
      <c r="L7098">
        <v>138.62610000000001</v>
      </c>
      <c r="M7098">
        <v>0.97473810000000005</v>
      </c>
      <c r="N7098">
        <v>0</v>
      </c>
      <c r="O7098">
        <v>0.22288720000000001</v>
      </c>
      <c r="P7098">
        <v>0.9951084</v>
      </c>
      <c r="Q7098">
        <v>6.3392030000000002E-2</v>
      </c>
      <c r="R7098">
        <v>7.576927E-2</v>
      </c>
      <c r="S7098">
        <v>3.0304570000000002</v>
      </c>
      <c r="T7098">
        <v>-0.34243269999999998</v>
      </c>
      <c r="U7098">
        <v>7.4722289999999997E-2</v>
      </c>
      <c r="V7098">
        <v>0.14877119999999999</v>
      </c>
      <c r="W7098">
        <v>7.6013919999999999E-2</v>
      </c>
      <c r="X7098">
        <v>0.98594579999999998</v>
      </c>
      <c r="Y7098">
        <v>0.1961695</v>
      </c>
      <c r="Z7098">
        <v>-3.5973419999999999E-2</v>
      </c>
      <c r="AA7098">
        <v>0.9799099</v>
      </c>
      <c r="AB7098">
        <v>23</v>
      </c>
      <c r="AC7098">
        <v>0.577699999999992</v>
      </c>
      <c r="AD7098">
        <v>-8.9941999999999897E-2</v>
      </c>
      <c r="AE7098">
        <v>-2.3200000000002701E-2</v>
      </c>
      <c r="AF7098">
        <v>0.14781437398582301</v>
      </c>
      <c r="AG7098">
        <v>-8.9941999999999897E-2</v>
      </c>
      <c r="AH7098">
        <v>0.54480843394022105</v>
      </c>
      <c r="AI7098">
        <v>99.052793522457705</v>
      </c>
      <c r="AJ7098">
        <v>74.820255525918796</v>
      </c>
      <c r="AK7098">
        <v>0.57162477396734401</v>
      </c>
      <c r="AL7098">
        <v>85.640518273350906</v>
      </c>
      <c r="AM7098">
        <v>81.419265323470299</v>
      </c>
      <c r="AN7098">
        <v>1.0000000532604201</v>
      </c>
    </row>
    <row r="7099" spans="1:40" x14ac:dyDescent="0.25">
      <c r="A7099" t="str">
        <f>"20190312151710810"</f>
        <v>20190312151710810</v>
      </c>
      <c r="B7099" t="str">
        <f>"1552375030804492"</f>
        <v>1552375030804492</v>
      </c>
      <c r="C7099" t="s">
        <v>40</v>
      </c>
      <c r="D7099">
        <v>4.9472139999999998</v>
      </c>
      <c r="E7099">
        <v>0.51822109999999899</v>
      </c>
      <c r="F7099" t="s">
        <v>41</v>
      </c>
      <c r="G7099">
        <v>-166.72190000000001</v>
      </c>
      <c r="H7099">
        <v>1.0176769999999999</v>
      </c>
      <c r="I7099">
        <v>138.64490000000001</v>
      </c>
      <c r="J7099">
        <v>-167.2817</v>
      </c>
      <c r="K7099">
        <v>1.106142</v>
      </c>
      <c r="L7099">
        <v>138.6686</v>
      </c>
      <c r="M7099">
        <v>0.97617220000000005</v>
      </c>
      <c r="N7099">
        <v>0</v>
      </c>
      <c r="O7099">
        <v>0.21652350000000001</v>
      </c>
      <c r="P7099">
        <v>0.99509190000000003</v>
      </c>
      <c r="Q7099">
        <v>6.5209089999999997E-2</v>
      </c>
      <c r="R7099">
        <v>7.4431739999999996E-2</v>
      </c>
      <c r="S7099">
        <v>3.0310060000000001</v>
      </c>
      <c r="T7099">
        <v>-0.34248079999999997</v>
      </c>
      <c r="U7099">
        <v>7.3013309999999998E-2</v>
      </c>
      <c r="V7099">
        <v>0.14359620000000001</v>
      </c>
      <c r="W7099">
        <v>7.7940809999999999E-2</v>
      </c>
      <c r="X7099">
        <v>0.98656239999999995</v>
      </c>
      <c r="Y7099">
        <v>0.1904044</v>
      </c>
      <c r="Z7099">
        <v>-3.494572E-2</v>
      </c>
      <c r="AA7099">
        <v>0.98108359999999994</v>
      </c>
      <c r="AB7099">
        <v>23</v>
      </c>
      <c r="AC7099">
        <v>0.55979999999999497</v>
      </c>
      <c r="AD7099">
        <v>-8.8465000000000002E-2</v>
      </c>
      <c r="AE7099">
        <v>-2.3699999999990898E-2</v>
      </c>
      <c r="AF7099">
        <v>0.140848787968091</v>
      </c>
      <c r="AG7099">
        <v>-8.8465000000000002E-2</v>
      </c>
      <c r="AH7099">
        <v>0.52821742809727101</v>
      </c>
      <c r="AI7099">
        <v>99.192155933266903</v>
      </c>
      <c r="AJ7099">
        <v>75.069513774973998</v>
      </c>
      <c r="AK7099">
        <v>0.55378523693104698</v>
      </c>
      <c r="AL7099">
        <v>85.529786818451399</v>
      </c>
      <c r="AM7099">
        <v>81.718635246595099</v>
      </c>
      <c r="AN7099">
        <v>1.0000000038058201</v>
      </c>
    </row>
    <row r="7100" spans="1:40" x14ac:dyDescent="0.25">
      <c r="A7100" t="str">
        <f>"20190312151710826"</f>
        <v>20190312151710826</v>
      </c>
      <c r="B7100" t="str">
        <f>"1552375030815227"</f>
        <v>1552375030815227</v>
      </c>
      <c r="C7100" t="s">
        <v>40</v>
      </c>
      <c r="D7100">
        <v>4.9732399999999997</v>
      </c>
      <c r="E7100">
        <v>0.51822109999999899</v>
      </c>
      <c r="F7100" t="s">
        <v>41</v>
      </c>
      <c r="G7100">
        <v>-166.5188</v>
      </c>
      <c r="H7100">
        <v>1.020734</v>
      </c>
      <c r="I7100">
        <v>138.68629999999999</v>
      </c>
      <c r="J7100">
        <v>-167.11689999999999</v>
      </c>
      <c r="K7100">
        <v>1.1063670000000001</v>
      </c>
      <c r="L7100">
        <v>138.69970000000001</v>
      </c>
      <c r="M7100">
        <v>0.97715249999999998</v>
      </c>
      <c r="N7100">
        <v>0</v>
      </c>
      <c r="O7100">
        <v>0.21205850000000001</v>
      </c>
      <c r="P7100">
        <v>0.99515379999999998</v>
      </c>
      <c r="Q7100">
        <v>6.6239709999999993E-2</v>
      </c>
      <c r="R7100">
        <v>7.2672390000000003E-2</v>
      </c>
      <c r="S7100">
        <v>3.0317539999999998</v>
      </c>
      <c r="T7100">
        <v>-0.33929310000000001</v>
      </c>
      <c r="U7100">
        <v>7.0632929999999997E-2</v>
      </c>
      <c r="V7100">
        <v>0.14078009999999999</v>
      </c>
      <c r="W7100">
        <v>7.9038419999999998E-2</v>
      </c>
      <c r="X7100">
        <v>0.98688089999999995</v>
      </c>
      <c r="Y7100">
        <v>0.1867907</v>
      </c>
      <c r="Z7100">
        <v>-3.3924719999999998E-2</v>
      </c>
      <c r="AA7100">
        <v>0.98181379999999996</v>
      </c>
      <c r="AB7100">
        <v>23</v>
      </c>
      <c r="AC7100">
        <v>0.59809999999998797</v>
      </c>
      <c r="AD7100">
        <v>-8.5633000000000001E-2</v>
      </c>
      <c r="AE7100">
        <v>-1.34000000000185E-2</v>
      </c>
      <c r="AF7100">
        <v>0.13713067529237399</v>
      </c>
      <c r="AG7100">
        <v>-8.5633000000000001E-2</v>
      </c>
      <c r="AH7100">
        <v>0.56997460907354103</v>
      </c>
      <c r="AI7100">
        <v>98.310527897241201</v>
      </c>
      <c r="AJ7100">
        <v>76.472261584135893</v>
      </c>
      <c r="AK7100">
        <v>0.59246003053681096</v>
      </c>
      <c r="AL7100">
        <v>85.466703805668004</v>
      </c>
      <c r="AM7100">
        <v>81.881441422792506</v>
      </c>
      <c r="AN7100">
        <v>1.00000000958845</v>
      </c>
    </row>
    <row r="7101" spans="1:40" x14ac:dyDescent="0.25">
      <c r="A7101" t="str">
        <f>"20190312151710843"</f>
        <v>20190312151710843</v>
      </c>
      <c r="B7101" t="str">
        <f>"1552375030834748"</f>
        <v>1552375030834748</v>
      </c>
      <c r="C7101" t="s">
        <v>40</v>
      </c>
      <c r="D7101">
        <v>5.0060279999999997</v>
      </c>
      <c r="E7101">
        <v>0.51609430000000001</v>
      </c>
      <c r="F7101" t="s">
        <v>41</v>
      </c>
      <c r="G7101">
        <v>-166.31649999999999</v>
      </c>
      <c r="H7101">
        <v>1.0176130000000001</v>
      </c>
      <c r="I7101">
        <v>138.71709999999999</v>
      </c>
      <c r="J7101">
        <v>-166.94450000000001</v>
      </c>
      <c r="K7101">
        <v>1.1066100000000001</v>
      </c>
      <c r="L7101">
        <v>138.73169999999999</v>
      </c>
      <c r="M7101">
        <v>0.97810509999999995</v>
      </c>
      <c r="N7101">
        <v>0</v>
      </c>
      <c r="O7101">
        <v>0.2076231</v>
      </c>
      <c r="P7101">
        <v>0.99498520000000001</v>
      </c>
      <c r="Q7101">
        <v>6.7351170000000002E-2</v>
      </c>
      <c r="R7101">
        <v>7.3949609999999999E-2</v>
      </c>
      <c r="S7101">
        <v>3.0321959999999999</v>
      </c>
      <c r="T7101">
        <v>-0.33626470000000003</v>
      </c>
      <c r="U7101">
        <v>6.5643309999999996E-2</v>
      </c>
      <c r="V7101">
        <v>0.13497719999999999</v>
      </c>
      <c r="W7101">
        <v>8.0249059999999997E-2</v>
      </c>
      <c r="X7101">
        <v>0.98759370000000002</v>
      </c>
      <c r="Y7101">
        <v>0.18404029999999999</v>
      </c>
      <c r="Z7101">
        <v>-3.2987130000000003E-2</v>
      </c>
      <c r="AA7101">
        <v>0.98236500000000004</v>
      </c>
      <c r="AB7101">
        <v>23</v>
      </c>
      <c r="AC7101">
        <v>0.62800000000001399</v>
      </c>
      <c r="AD7101">
        <v>-8.8997000000000201E-2</v>
      </c>
      <c r="AE7101">
        <v>-1.4600000000001501E-2</v>
      </c>
      <c r="AF7101">
        <v>0.141835371949561</v>
      </c>
      <c r="AG7101">
        <v>-8.8997000000000201E-2</v>
      </c>
      <c r="AH7101">
        <v>0.59925240840132799</v>
      </c>
      <c r="AI7101">
        <v>98.223475593398803</v>
      </c>
      <c r="AJ7101">
        <v>76.683873275568402</v>
      </c>
      <c r="AK7101">
        <v>0.62220670819259305</v>
      </c>
      <c r="AL7101">
        <v>85.397118316088495</v>
      </c>
      <c r="AM7101">
        <v>82.217444091386895</v>
      </c>
      <c r="AN7101">
        <v>1.0000000362152</v>
      </c>
    </row>
    <row r="7102" spans="1:40" x14ac:dyDescent="0.25">
      <c r="A7102" t="str">
        <f>"20190312151710860"</f>
        <v>20190312151710860</v>
      </c>
      <c r="B7102" t="str">
        <f>"1552375030855243"</f>
        <v>1552375030855243</v>
      </c>
      <c r="C7102" t="s">
        <v>40</v>
      </c>
      <c r="D7102">
        <v>4.9330040000000004</v>
      </c>
      <c r="E7102">
        <v>0.51596399999999998</v>
      </c>
      <c r="F7102" t="s">
        <v>41</v>
      </c>
      <c r="G7102">
        <v>-166.1232</v>
      </c>
      <c r="H7102">
        <v>1.0005470000000001</v>
      </c>
      <c r="I7102">
        <v>138.75470000000001</v>
      </c>
      <c r="J7102">
        <v>-166.7841</v>
      </c>
      <c r="K7102">
        <v>1.10683</v>
      </c>
      <c r="L7102">
        <v>138.761</v>
      </c>
      <c r="M7102">
        <v>0.97892840000000003</v>
      </c>
      <c r="N7102">
        <v>0</v>
      </c>
      <c r="O7102">
        <v>0.20370830000000001</v>
      </c>
      <c r="P7102">
        <v>0.99500670000000002</v>
      </c>
      <c r="Q7102">
        <v>6.7842559999999996E-2</v>
      </c>
      <c r="R7102">
        <v>7.3206399999999894E-2</v>
      </c>
      <c r="S7102">
        <v>3.035263</v>
      </c>
      <c r="T7102">
        <v>-0.39178879999999999</v>
      </c>
      <c r="U7102">
        <v>8.575439E-2</v>
      </c>
      <c r="V7102">
        <v>0.1317151</v>
      </c>
      <c r="W7102">
        <v>8.0805150000000006E-2</v>
      </c>
      <c r="X7102">
        <v>0.98798869999999905</v>
      </c>
      <c r="Y7102">
        <v>0.17289879999999999</v>
      </c>
      <c r="Z7102">
        <v>-3.713582E-2</v>
      </c>
      <c r="AA7102">
        <v>0.98423930000000004</v>
      </c>
      <c r="AB7102">
        <v>23</v>
      </c>
      <c r="AC7102">
        <v>0.66089999999999705</v>
      </c>
      <c r="AD7102">
        <v>-0.106283</v>
      </c>
      <c r="AE7102">
        <v>-6.2999999999817603E-3</v>
      </c>
      <c r="AF7102">
        <v>0.137262776989035</v>
      </c>
      <c r="AG7102">
        <v>-0.106283</v>
      </c>
      <c r="AH7102">
        <v>0.629477827935223</v>
      </c>
      <c r="AI7102">
        <v>99.3675241434687</v>
      </c>
      <c r="AJ7102">
        <v>77.698747494667799</v>
      </c>
      <c r="AK7102">
        <v>0.65297739769289698</v>
      </c>
      <c r="AL7102">
        <v>85.365152754224297</v>
      </c>
      <c r="AM7102">
        <v>82.406309708555696</v>
      </c>
      <c r="AN7102">
        <v>1.00000000558111</v>
      </c>
    </row>
    <row r="7103" spans="1:40" x14ac:dyDescent="0.25">
      <c r="A7103" t="str">
        <f>"20190312151710877"</f>
        <v>20190312151710877</v>
      </c>
      <c r="B7103" t="str">
        <f>"1552375030865003"</f>
        <v>1552375030865003</v>
      </c>
      <c r="C7103" t="s">
        <v>40</v>
      </c>
      <c r="D7103">
        <v>5.0019809999999998</v>
      </c>
      <c r="E7103">
        <v>0.51560410000000001</v>
      </c>
      <c r="F7103" t="s">
        <v>41</v>
      </c>
      <c r="G7103">
        <v>-165.92230000000001</v>
      </c>
      <c r="H7103">
        <v>0.99594309999999997</v>
      </c>
      <c r="I7103">
        <v>138.78479999999999</v>
      </c>
      <c r="J7103">
        <v>-166.6054</v>
      </c>
      <c r="K7103">
        <v>1.1070759999999999</v>
      </c>
      <c r="L7103">
        <v>138.79320000000001</v>
      </c>
      <c r="M7103">
        <v>0.97977780000000003</v>
      </c>
      <c r="N7103">
        <v>0</v>
      </c>
      <c r="O7103">
        <v>0.19958600000000001</v>
      </c>
      <c r="P7103">
        <v>0.9946661</v>
      </c>
      <c r="Q7103">
        <v>7.0281679999999999E-2</v>
      </c>
      <c r="R7103">
        <v>7.5499999999999998E-2</v>
      </c>
      <c r="S7103">
        <v>3.0354770000000002</v>
      </c>
      <c r="T7103">
        <v>-0.39049899999999999</v>
      </c>
      <c r="U7103">
        <v>8.4487919999999994E-2</v>
      </c>
      <c r="V7103">
        <v>0.12520880000000001</v>
      </c>
      <c r="W7103">
        <v>8.3338129999999996E-2</v>
      </c>
      <c r="X7103">
        <v>0.98862399999999995</v>
      </c>
      <c r="Y7103">
        <v>0.1692497</v>
      </c>
      <c r="Z7103">
        <v>-3.6259769999999997E-2</v>
      </c>
      <c r="AA7103">
        <v>0.98490599999999995</v>
      </c>
      <c r="AB7103">
        <v>23</v>
      </c>
      <c r="AC7103">
        <v>0.68309999999999504</v>
      </c>
      <c r="AD7103">
        <v>-0.11113289999999899</v>
      </c>
      <c r="AE7103">
        <v>-8.4000000000230505E-3</v>
      </c>
      <c r="AF7103">
        <v>0.140854322689449</v>
      </c>
      <c r="AG7103">
        <v>-0.11113289999999899</v>
      </c>
      <c r="AH7103">
        <v>0.65046308193813296</v>
      </c>
      <c r="AI7103">
        <v>99.479889101973598</v>
      </c>
      <c r="AJ7103">
        <v>77.781553184236103</v>
      </c>
      <c r="AK7103">
        <v>0.67475379409616298</v>
      </c>
      <c r="AL7103">
        <v>85.219532127265495</v>
      </c>
      <c r="AM7103">
        <v>82.781943531811393</v>
      </c>
      <c r="AN7103">
        <v>0.99999995044266698</v>
      </c>
    </row>
    <row r="7104" spans="1:40" x14ac:dyDescent="0.25">
      <c r="A7104" t="str">
        <f>"20190312151710900"</f>
        <v>20190312151710900</v>
      </c>
      <c r="B7104" t="str">
        <f>"1552375030895259"</f>
        <v>1552375030895259</v>
      </c>
      <c r="C7104" t="s">
        <v>40</v>
      </c>
      <c r="D7104">
        <v>4.9752830000000001</v>
      </c>
      <c r="E7104">
        <v>0.51545299999999905</v>
      </c>
      <c r="F7104" t="s">
        <v>41</v>
      </c>
      <c r="G7104">
        <v>-165.72149999999999</v>
      </c>
      <c r="H7104">
        <v>0.99473889999999998</v>
      </c>
      <c r="I7104">
        <v>138.82050000000001</v>
      </c>
      <c r="J7104">
        <v>-166.37520000000001</v>
      </c>
      <c r="K7104">
        <v>1.1073710000000001</v>
      </c>
      <c r="L7104">
        <v>138.8338</v>
      </c>
      <c r="M7104">
        <v>0.98077000000000003</v>
      </c>
      <c r="N7104">
        <v>0</v>
      </c>
      <c r="O7104">
        <v>0.1946553</v>
      </c>
      <c r="P7104">
        <v>0.9943014</v>
      </c>
      <c r="Q7104">
        <v>7.3694229999999999E-2</v>
      </c>
      <c r="R7104">
        <v>7.7033149999999995E-2</v>
      </c>
      <c r="S7104">
        <v>3.0361630000000002</v>
      </c>
      <c r="T7104">
        <v>-0.3857411</v>
      </c>
      <c r="U7104">
        <v>9.4635010000000006E-2</v>
      </c>
      <c r="V7104">
        <v>0.11862250000000001</v>
      </c>
      <c r="W7104">
        <v>8.6839189999999997E-2</v>
      </c>
      <c r="X7104">
        <v>0.98913479999999998</v>
      </c>
      <c r="Y7104">
        <v>0.16118389999999999</v>
      </c>
      <c r="Z7104">
        <v>-3.468599E-2</v>
      </c>
      <c r="AA7104">
        <v>0.98631469999999999</v>
      </c>
      <c r="AB7104">
        <v>23</v>
      </c>
      <c r="AC7104">
        <v>0.65370000000001405</v>
      </c>
      <c r="AD7104">
        <v>-0.112632099999999</v>
      </c>
      <c r="AE7104">
        <v>-1.3299999999986699E-2</v>
      </c>
      <c r="AF7104">
        <v>0.13626089472525801</v>
      </c>
      <c r="AG7104">
        <v>-0.112632099999999</v>
      </c>
      <c r="AH7104">
        <v>0.62019984409492801</v>
      </c>
      <c r="AI7104">
        <v>100.058259988201</v>
      </c>
      <c r="AJ7104">
        <v>77.608714295031504</v>
      </c>
      <c r="AK7104">
        <v>0.64490376646218395</v>
      </c>
      <c r="AL7104">
        <v>85.018206152094706</v>
      </c>
      <c r="AM7104">
        <v>83.161433735228101</v>
      </c>
      <c r="AN7104">
        <v>0.99999999749857205</v>
      </c>
    </row>
    <row r="7105" spans="1:40" x14ac:dyDescent="0.25">
      <c r="A7105" t="str">
        <f>"20190312151710916"</f>
        <v>20190312151710916</v>
      </c>
      <c r="B7105" t="str">
        <f>"1552375030905019"</f>
        <v>1552375030905019</v>
      </c>
      <c r="C7105" t="s">
        <v>40</v>
      </c>
      <c r="D7105">
        <v>4.9942529999999996</v>
      </c>
      <c r="E7105">
        <v>0.5153875</v>
      </c>
      <c r="F7105" t="s">
        <v>41</v>
      </c>
      <c r="G7105">
        <v>-165.51900000000001</v>
      </c>
      <c r="H7105">
        <v>1.0001850000000001</v>
      </c>
      <c r="I7105">
        <v>138.86250000000001</v>
      </c>
      <c r="J7105">
        <v>-166.20230000000001</v>
      </c>
      <c r="K7105">
        <v>1.1075680000000001</v>
      </c>
      <c r="L7105">
        <v>138.8639</v>
      </c>
      <c r="M7105">
        <v>0.98145260000000001</v>
      </c>
      <c r="N7105">
        <v>0</v>
      </c>
      <c r="O7105">
        <v>0.1911861</v>
      </c>
      <c r="P7105">
        <v>0.99423709999999998</v>
      </c>
      <c r="Q7105">
        <v>7.4990689999999999E-2</v>
      </c>
      <c r="R7105">
        <v>7.660894E-2</v>
      </c>
      <c r="S7105">
        <v>3.0374910000000002</v>
      </c>
      <c r="T7105">
        <v>-0.38026569999999998</v>
      </c>
      <c r="U7105">
        <v>0.10174560000000001</v>
      </c>
      <c r="V7105">
        <v>0.115492899999999</v>
      </c>
      <c r="W7105">
        <v>8.8179660000000007E-2</v>
      </c>
      <c r="X7105">
        <v>0.9893866</v>
      </c>
      <c r="Y7105">
        <v>0.1555523</v>
      </c>
      <c r="Z7105">
        <v>-3.3403389999999998E-2</v>
      </c>
      <c r="AA7105">
        <v>0.98726270000000005</v>
      </c>
      <c r="AB7105">
        <v>23</v>
      </c>
      <c r="AC7105">
        <v>0.68330000000000202</v>
      </c>
      <c r="AD7105">
        <v>-0.10738299999999899</v>
      </c>
      <c r="AE7105">
        <v>-1.39999999998963E-3</v>
      </c>
      <c r="AF7105">
        <v>0.128842569963005</v>
      </c>
      <c r="AG7105">
        <v>-0.10738299999999899</v>
      </c>
      <c r="AH7105">
        <v>0.65426698715737297</v>
      </c>
      <c r="AI7105">
        <v>99.148056192503802</v>
      </c>
      <c r="AJ7105">
        <v>78.859487491986201</v>
      </c>
      <c r="AK7105">
        <v>0.67542342793810395</v>
      </c>
      <c r="AL7105">
        <v>84.941107379807505</v>
      </c>
      <c r="AM7105">
        <v>83.341892013117999</v>
      </c>
      <c r="AN7105">
        <v>1.00000005332384</v>
      </c>
    </row>
    <row r="7106" spans="1:40" x14ac:dyDescent="0.25">
      <c r="A7106" t="str">
        <f>"20190312151710932"</f>
        <v>20190312151710932</v>
      </c>
      <c r="B7106" t="str">
        <f>"1552375030924540"</f>
        <v>1552375030924540</v>
      </c>
      <c r="C7106" t="s">
        <v>40</v>
      </c>
      <c r="D7106">
        <v>5.0262989999999999</v>
      </c>
      <c r="E7106">
        <v>0.51560890000000004</v>
      </c>
      <c r="F7106" t="s">
        <v>41</v>
      </c>
      <c r="G7106">
        <v>-165.31829999999999</v>
      </c>
      <c r="H7106">
        <v>0.99765380000000004</v>
      </c>
      <c r="I7106">
        <v>138.89340000000001</v>
      </c>
      <c r="J7106">
        <v>-166.04159999999999</v>
      </c>
      <c r="K7106">
        <v>1.107742</v>
      </c>
      <c r="L7106">
        <v>138.89160000000001</v>
      </c>
      <c r="M7106">
        <v>0.98204159999999996</v>
      </c>
      <c r="N7106">
        <v>0</v>
      </c>
      <c r="O7106">
        <v>0.18814</v>
      </c>
      <c r="P7106">
        <v>0.99384269999999997</v>
      </c>
      <c r="Q7106">
        <v>7.6303650000000001E-2</v>
      </c>
      <c r="R7106">
        <v>8.034115E-2</v>
      </c>
      <c r="S7106">
        <v>3.038071</v>
      </c>
      <c r="T7106">
        <v>-0.37773370000000001</v>
      </c>
      <c r="U7106">
        <v>0.1014709</v>
      </c>
      <c r="V7106">
        <v>0.108652399999999</v>
      </c>
      <c r="W7106">
        <v>8.955987E-2</v>
      </c>
      <c r="X7106">
        <v>0.99003719999999995</v>
      </c>
      <c r="Y7106">
        <v>0.15266459999999901</v>
      </c>
      <c r="Z7106">
        <v>-3.2626349999999998E-2</v>
      </c>
      <c r="AA7106">
        <v>0.98773929999999999</v>
      </c>
      <c r="AB7106">
        <v>23</v>
      </c>
      <c r="AC7106">
        <v>0.72329999999999395</v>
      </c>
      <c r="AD7106">
        <v>-0.110088199999999</v>
      </c>
      <c r="AE7106">
        <v>1.8000000000029099E-3</v>
      </c>
      <c r="AF7106">
        <v>0.13128595524405401</v>
      </c>
      <c r="AG7106">
        <v>-0.110088199999999</v>
      </c>
      <c r="AH7106">
        <v>0.69462815909224196</v>
      </c>
      <c r="AI7106">
        <v>98.851464187715393</v>
      </c>
      <c r="AJ7106">
        <v>79.297244296579805</v>
      </c>
      <c r="AK7106">
        <v>0.71544649920693704</v>
      </c>
      <c r="AL7106">
        <v>84.861712678918806</v>
      </c>
      <c r="AM7106">
        <v>83.7370937737426</v>
      </c>
      <c r="AN7106">
        <v>0.999999985862008</v>
      </c>
    </row>
    <row r="7107" spans="1:40" x14ac:dyDescent="0.25">
      <c r="A7107" t="str">
        <f>"20190312151710957"</f>
        <v>20190312151710957</v>
      </c>
      <c r="B7107" t="str">
        <f>"1552375030945035"</f>
        <v>1552375030945035</v>
      </c>
      <c r="C7107" t="s">
        <v>40</v>
      </c>
      <c r="D7107">
        <v>5.0070059999999996</v>
      </c>
      <c r="E7107">
        <v>0.51552609999999999</v>
      </c>
      <c r="F7107" t="s">
        <v>41</v>
      </c>
      <c r="G7107">
        <v>-165.3135</v>
      </c>
      <c r="H7107">
        <v>1.0176620000000001</v>
      </c>
      <c r="I7107">
        <v>138.91820000000001</v>
      </c>
      <c r="J7107">
        <v>-165.80459999999999</v>
      </c>
      <c r="K7107">
        <v>1.1079859999999999</v>
      </c>
      <c r="L7107">
        <v>138.93170000000001</v>
      </c>
      <c r="M7107">
        <v>0.98282040000000004</v>
      </c>
      <c r="N7107">
        <v>0</v>
      </c>
      <c r="O7107">
        <v>0.1840311</v>
      </c>
      <c r="P7107">
        <v>0.99352910000000005</v>
      </c>
      <c r="Q7107">
        <v>7.8172820000000004E-2</v>
      </c>
      <c r="R7107">
        <v>8.2394880000000004E-2</v>
      </c>
      <c r="S7107">
        <v>3.0384669999999998</v>
      </c>
      <c r="T7107">
        <v>-0.3758435</v>
      </c>
      <c r="U7107">
        <v>0.1112976</v>
      </c>
      <c r="V7107">
        <v>0.1023888</v>
      </c>
      <c r="W7107">
        <v>9.1490710000000003E-2</v>
      </c>
      <c r="X7107">
        <v>0.99052810000000002</v>
      </c>
      <c r="Y7107">
        <v>0.14545469999999999</v>
      </c>
      <c r="Z7107">
        <v>-3.1513930000000002E-2</v>
      </c>
      <c r="AA7107">
        <v>0.98886289999999999</v>
      </c>
      <c r="AB7107">
        <v>23</v>
      </c>
      <c r="AC7107">
        <v>0.49109999999998799</v>
      </c>
      <c r="AD7107">
        <v>-9.0324000000000002E-2</v>
      </c>
      <c r="AE7107">
        <v>-1.3499999999993399E-2</v>
      </c>
      <c r="AF7107">
        <v>0.100266753685052</v>
      </c>
      <c r="AG7107">
        <v>-9.0324000000000002E-2</v>
      </c>
      <c r="AH7107">
        <v>0.46452418875534202</v>
      </c>
      <c r="AI7107">
        <v>100.761665267539</v>
      </c>
      <c r="AJ7107">
        <v>77.819671707302305</v>
      </c>
      <c r="AK7107">
        <v>0.483729851062913</v>
      </c>
      <c r="AL7107">
        <v>84.750627477475305</v>
      </c>
      <c r="AM7107">
        <v>84.098415909200597</v>
      </c>
      <c r="AN7107">
        <v>0.99999996663567603</v>
      </c>
    </row>
    <row r="7108" spans="1:40" x14ac:dyDescent="0.25">
      <c r="A7108" t="str">
        <f>"20190312151710978"</f>
        <v>20190312151710978</v>
      </c>
      <c r="B7108" t="str">
        <f>"1552375030975292"</f>
        <v>1552375030975292</v>
      </c>
      <c r="C7108" t="s">
        <v>40</v>
      </c>
      <c r="D7108">
        <v>5.011279</v>
      </c>
      <c r="E7108">
        <v>0.51536910000000002</v>
      </c>
      <c r="F7108" t="s">
        <v>41</v>
      </c>
      <c r="G7108">
        <v>-164.91730000000001</v>
      </c>
      <c r="H7108">
        <v>0.9987665</v>
      </c>
      <c r="I7108">
        <v>138.96619999999999</v>
      </c>
      <c r="J7108">
        <v>-165.58670000000001</v>
      </c>
      <c r="K7108">
        <v>1.1082299999999901</v>
      </c>
      <c r="L7108">
        <v>138.9682</v>
      </c>
      <c r="M7108">
        <v>0.98345490000000002</v>
      </c>
      <c r="N7108">
        <v>0</v>
      </c>
      <c r="O7108">
        <v>0.18061269999999999</v>
      </c>
      <c r="P7108">
        <v>0.99325399999999997</v>
      </c>
      <c r="Q7108">
        <v>8.006974E-2</v>
      </c>
      <c r="R7108">
        <v>8.3876899999999893E-2</v>
      </c>
      <c r="S7108">
        <v>3.0391539999999999</v>
      </c>
      <c r="T7108">
        <v>-0.37409189999999998</v>
      </c>
      <c r="U7108">
        <v>0.1183472</v>
      </c>
      <c r="V7108">
        <v>9.7391069999999996E-2</v>
      </c>
      <c r="W7108">
        <v>9.343738E-2</v>
      </c>
      <c r="X7108">
        <v>0.99085040000000002</v>
      </c>
      <c r="Y7108">
        <v>0.1398229</v>
      </c>
      <c r="Z7108">
        <v>-3.060044E-2</v>
      </c>
      <c r="AA7108">
        <v>0.98970360000000002</v>
      </c>
      <c r="AB7108">
        <v>23</v>
      </c>
      <c r="AC7108">
        <v>0.669399999999996</v>
      </c>
      <c r="AD7108">
        <v>-0.10946349999999901</v>
      </c>
      <c r="AE7108">
        <v>-2.0000000000095402E-3</v>
      </c>
      <c r="AF7108">
        <v>0.119680785463915</v>
      </c>
      <c r="AG7108">
        <v>-0.10946349999999901</v>
      </c>
      <c r="AH7108">
        <v>0.64089032913029498</v>
      </c>
      <c r="AI7108">
        <v>99.530880687037794</v>
      </c>
      <c r="AJ7108">
        <v>79.422336477156193</v>
      </c>
      <c r="AK7108">
        <v>0.661094669630793</v>
      </c>
      <c r="AL7108">
        <v>84.638612000709102</v>
      </c>
      <c r="AM7108">
        <v>84.386406919182704</v>
      </c>
      <c r="AN7108">
        <v>1.00000003983858</v>
      </c>
    </row>
    <row r="7109" spans="1:40" x14ac:dyDescent="0.25">
      <c r="A7109" t="str">
        <f>"20190312151711002"</f>
        <v>20190312151711002</v>
      </c>
      <c r="B7109" t="str">
        <f>"1552375030994812"</f>
        <v>1552375030994812</v>
      </c>
      <c r="C7109" t="s">
        <v>40</v>
      </c>
      <c r="D7109">
        <v>4.9735100000000001</v>
      </c>
      <c r="E7109">
        <v>0.51535310000000001</v>
      </c>
      <c r="F7109" t="s">
        <v>41</v>
      </c>
      <c r="G7109">
        <v>-164.71629999999999</v>
      </c>
      <c r="H7109">
        <v>1.0017940000000001</v>
      </c>
      <c r="I7109">
        <v>139.00380000000001</v>
      </c>
      <c r="J7109">
        <v>-165.345</v>
      </c>
      <c r="K7109">
        <v>1.1084879999999999</v>
      </c>
      <c r="L7109">
        <v>139.00810000000001</v>
      </c>
      <c r="M7109">
        <v>0.98408289999999998</v>
      </c>
      <c r="N7109">
        <v>0</v>
      </c>
      <c r="O7109">
        <v>0.1771626</v>
      </c>
      <c r="P7109">
        <v>0.99303940000000002</v>
      </c>
      <c r="Q7109">
        <v>8.148213E-2</v>
      </c>
      <c r="R7109">
        <v>8.5051860000000007E-2</v>
      </c>
      <c r="S7109">
        <v>3.0398710000000002</v>
      </c>
      <c r="T7109">
        <v>-0.3717567</v>
      </c>
      <c r="U7109">
        <v>0.1240387</v>
      </c>
      <c r="V7109">
        <v>9.266742E-2</v>
      </c>
      <c r="W7109">
        <v>9.4895709999999994E-2</v>
      </c>
      <c r="X7109">
        <v>0.99116470000000001</v>
      </c>
      <c r="Y7109">
        <v>0.13460329999999901</v>
      </c>
      <c r="Z7109">
        <v>-2.9669569999999999E-2</v>
      </c>
      <c r="AA7109">
        <v>0.99045530000000004</v>
      </c>
      <c r="AB7109">
        <v>23</v>
      </c>
      <c r="AC7109">
        <v>0.62870000000000903</v>
      </c>
      <c r="AD7109">
        <v>-0.106693999999999</v>
      </c>
      <c r="AE7109">
        <v>-4.3000000000006297E-3</v>
      </c>
      <c r="AF7109">
        <v>0.112388278837855</v>
      </c>
      <c r="AG7109">
        <v>-0.106693999999999</v>
      </c>
      <c r="AH7109">
        <v>0.60069200432534797</v>
      </c>
      <c r="AI7109">
        <v>99.903392972250799</v>
      </c>
      <c r="AJ7109">
        <v>79.402596424310005</v>
      </c>
      <c r="AK7109">
        <v>0.62035926600361102</v>
      </c>
      <c r="AL7109">
        <v>84.554682433792905</v>
      </c>
      <c r="AM7109">
        <v>84.658745743030494</v>
      </c>
      <c r="AN7109">
        <v>0.99999995451597401</v>
      </c>
    </row>
    <row r="7110" spans="1:40" x14ac:dyDescent="0.25">
      <c r="A7110" t="str">
        <f>"20190312151711023"</f>
        <v>20190312151711023</v>
      </c>
      <c r="B7110" t="str">
        <f>"1552375031015307"</f>
        <v>1552375031015307</v>
      </c>
      <c r="C7110" t="s">
        <v>40</v>
      </c>
      <c r="D7110">
        <v>4.9726739999999996</v>
      </c>
      <c r="E7110">
        <v>0.51532820000000001</v>
      </c>
      <c r="F7110" t="s">
        <v>41</v>
      </c>
      <c r="G7110">
        <v>-164.5146</v>
      </c>
      <c r="H7110">
        <v>1.0074209999999999</v>
      </c>
      <c r="I7110">
        <v>139.0428</v>
      </c>
      <c r="J7110">
        <v>-165.1421</v>
      </c>
      <c r="K7110">
        <v>1.1086910000000001</v>
      </c>
      <c r="L7110">
        <v>139.04140000000001</v>
      </c>
      <c r="M7110">
        <v>0.98455380000000003</v>
      </c>
      <c r="N7110">
        <v>0</v>
      </c>
      <c r="O7110">
        <v>0.1745285</v>
      </c>
      <c r="P7110">
        <v>0.99281649999999999</v>
      </c>
      <c r="Q7110">
        <v>8.2192989999999994E-2</v>
      </c>
      <c r="R7110">
        <v>8.6945439999999999E-2</v>
      </c>
      <c r="S7110">
        <v>3.0404969999999998</v>
      </c>
      <c r="T7110">
        <v>-0.36998829999999999</v>
      </c>
      <c r="U7110">
        <v>0.12738039999999901</v>
      </c>
      <c r="V7110">
        <v>8.8066430000000001E-2</v>
      </c>
      <c r="W7110">
        <v>9.5644270000000003E-2</v>
      </c>
      <c r="X7110">
        <v>0.99151219999999995</v>
      </c>
      <c r="Y7110">
        <v>0.13094159999999999</v>
      </c>
      <c r="Z7110">
        <v>-2.8985529999999999E-2</v>
      </c>
      <c r="AA7110">
        <v>0.99096629999999997</v>
      </c>
      <c r="AB7110">
        <v>23</v>
      </c>
      <c r="AC7110">
        <v>0.62749999999999695</v>
      </c>
      <c r="AD7110">
        <v>-0.10127</v>
      </c>
      <c r="AE7110">
        <v>1.39999999998963E-3</v>
      </c>
      <c r="AF7110">
        <v>0.105403447622559</v>
      </c>
      <c r="AG7110">
        <v>-0.10127</v>
      </c>
      <c r="AH7110">
        <v>0.60242135098210603</v>
      </c>
      <c r="AI7110">
        <v>99.402258547399995</v>
      </c>
      <c r="AJ7110">
        <v>80.075626814887201</v>
      </c>
      <c r="AK7110">
        <v>0.61990078544056304</v>
      </c>
      <c r="AL7110">
        <v>84.511597281941903</v>
      </c>
      <c r="AM7110">
        <v>84.924290124098903</v>
      </c>
      <c r="AN7110">
        <v>0.99999998261280798</v>
      </c>
    </row>
    <row r="7111" spans="1:40" x14ac:dyDescent="0.25">
      <c r="A7111" t="str">
        <f>"20190312151711045"</f>
        <v>20190312151711045</v>
      </c>
      <c r="B7111" t="str">
        <f>"1552375031034828"</f>
        <v>1552375031034828</v>
      </c>
      <c r="C7111" t="s">
        <v>40</v>
      </c>
      <c r="D7111">
        <v>4.9802419999999996</v>
      </c>
      <c r="E7111">
        <v>0.5193065</v>
      </c>
      <c r="F7111" t="s">
        <v>41</v>
      </c>
      <c r="G7111">
        <v>-164.31460000000001</v>
      </c>
      <c r="H7111">
        <v>1.008311</v>
      </c>
      <c r="I7111">
        <v>139.07749999999999</v>
      </c>
      <c r="J7111">
        <v>-164.9151</v>
      </c>
      <c r="K7111">
        <v>1.108903</v>
      </c>
      <c r="L7111">
        <v>139.07820000000001</v>
      </c>
      <c r="M7111">
        <v>0.98501919999999998</v>
      </c>
      <c r="N7111">
        <v>0</v>
      </c>
      <c r="O7111">
        <v>0.1718847</v>
      </c>
      <c r="P7111">
        <v>0.99258020000000002</v>
      </c>
      <c r="Q7111">
        <v>8.3688570000000004E-2</v>
      </c>
      <c r="R7111">
        <v>8.820807E-2</v>
      </c>
      <c r="S7111">
        <v>3.0405880000000001</v>
      </c>
      <c r="T7111">
        <v>-0.3688825</v>
      </c>
      <c r="U7111">
        <v>0.1328888</v>
      </c>
      <c r="V7111">
        <v>8.4074389999999999E-2</v>
      </c>
      <c r="W7111">
        <v>9.7170629999999994E-2</v>
      </c>
      <c r="X7111">
        <v>0.99171030000000004</v>
      </c>
      <c r="Y7111">
        <v>0.12655339999999901</v>
      </c>
      <c r="Z7111">
        <v>-2.8316500000000001E-2</v>
      </c>
      <c r="AA7111">
        <v>0.99155559999999998</v>
      </c>
      <c r="AB7111">
        <v>23</v>
      </c>
      <c r="AC7111">
        <v>0.60049999999998205</v>
      </c>
      <c r="AD7111">
        <v>-0.100592</v>
      </c>
      <c r="AE7111">
        <v>-7.0000000002323705E-4</v>
      </c>
      <c r="AF7111">
        <v>0.101079910514845</v>
      </c>
      <c r="AG7111">
        <v>-0.100592</v>
      </c>
      <c r="AH7111">
        <v>0.575297421292153</v>
      </c>
      <c r="AI7111">
        <v>99.771300589787899</v>
      </c>
      <c r="AJ7111">
        <v>80.0348290197621</v>
      </c>
      <c r="AK7111">
        <v>0.59270820959312698</v>
      </c>
      <c r="AL7111">
        <v>84.423733981601799</v>
      </c>
      <c r="AM7111">
        <v>85.154213110721699</v>
      </c>
      <c r="AN7111">
        <v>0.99999997675727903</v>
      </c>
    </row>
    <row r="7112" spans="1:40" x14ac:dyDescent="0.25">
      <c r="A7112" t="str">
        <f>"20190312151711068"</f>
        <v>20190312151711068</v>
      </c>
      <c r="B7112" t="str">
        <f>"1552375031065085"</f>
        <v>1552375031065085</v>
      </c>
      <c r="C7112" t="s">
        <v>40</v>
      </c>
      <c r="D7112">
        <v>4.9621760000000004</v>
      </c>
      <c r="E7112">
        <v>0.52011260000000004</v>
      </c>
      <c r="F7112" t="s">
        <v>41</v>
      </c>
      <c r="G7112">
        <v>-164.11930000000001</v>
      </c>
      <c r="H7112">
        <v>0.99803129999999995</v>
      </c>
      <c r="I7112">
        <v>139.1053</v>
      </c>
      <c r="J7112">
        <v>-164.6891</v>
      </c>
      <c r="K7112">
        <v>1.1091</v>
      </c>
      <c r="L7112">
        <v>139.1147</v>
      </c>
      <c r="M7112">
        <v>0.98542079999999999</v>
      </c>
      <c r="N7112">
        <v>0</v>
      </c>
      <c r="O7112">
        <v>0.16956979999999999</v>
      </c>
      <c r="P7112">
        <v>0.99238740000000003</v>
      </c>
      <c r="Q7112">
        <v>8.4323999999999996E-2</v>
      </c>
      <c r="R7112">
        <v>8.9760160000000005E-2</v>
      </c>
      <c r="S7112">
        <v>3.0489959999999998</v>
      </c>
      <c r="T7112">
        <v>-0.42477429999999999</v>
      </c>
      <c r="U7112">
        <v>0.10409549999999999</v>
      </c>
      <c r="V7112">
        <v>8.0135490000000004E-2</v>
      </c>
      <c r="W7112">
        <v>9.7834550000000006E-2</v>
      </c>
      <c r="X7112">
        <v>0.99197109999999999</v>
      </c>
      <c r="Y7112">
        <v>0.132958299999999</v>
      </c>
      <c r="Z7112">
        <v>-3.2617199999999999E-2</v>
      </c>
      <c r="AA7112">
        <v>0.99058480000000004</v>
      </c>
      <c r="AB7112">
        <v>23</v>
      </c>
      <c r="AC7112">
        <v>0.56979999999998598</v>
      </c>
      <c r="AD7112">
        <v>-0.11106869999999899</v>
      </c>
      <c r="AE7112">
        <v>-9.3999999999994002E-3</v>
      </c>
      <c r="AF7112">
        <v>0.102018735506804</v>
      </c>
      <c r="AG7112">
        <v>-0.11106869999999899</v>
      </c>
      <c r="AH7112">
        <v>0.53946075154058903</v>
      </c>
      <c r="AI7112">
        <v>101.436732906242</v>
      </c>
      <c r="AJ7112">
        <v>79.2911228449166</v>
      </c>
      <c r="AK7112">
        <v>0.56014460719249504</v>
      </c>
      <c r="AL7112">
        <v>84.385512064821</v>
      </c>
      <c r="AM7112">
        <v>85.381441751857395</v>
      </c>
      <c r="AN7112">
        <v>0.99999997958322595</v>
      </c>
    </row>
    <row r="7113" spans="1:40" x14ac:dyDescent="0.25">
      <c r="A7113" t="str">
        <f>"20190312151711090"</f>
        <v>20190312151711090</v>
      </c>
      <c r="B7113" t="str">
        <f>"1552375031084604"</f>
        <v>1552375031084604</v>
      </c>
      <c r="C7113" t="s">
        <v>40</v>
      </c>
      <c r="D7113">
        <v>4.9480050000000002</v>
      </c>
      <c r="E7113">
        <v>0.52049160000000005</v>
      </c>
      <c r="F7113" t="s">
        <v>41</v>
      </c>
      <c r="G7113">
        <v>-163.9186</v>
      </c>
      <c r="H7113">
        <v>1.001916</v>
      </c>
      <c r="I7113">
        <v>139.1404</v>
      </c>
      <c r="J7113">
        <v>-164.4683</v>
      </c>
      <c r="K7113">
        <v>1.1092789999999999</v>
      </c>
      <c r="L7113">
        <v>139.15020000000001</v>
      </c>
      <c r="M7113">
        <v>0.9857591</v>
      </c>
      <c r="N7113">
        <v>0</v>
      </c>
      <c r="O7113">
        <v>0.16759379999999999</v>
      </c>
      <c r="P7113">
        <v>0.99224349999999994</v>
      </c>
      <c r="Q7113">
        <v>8.4085399999999894E-2</v>
      </c>
      <c r="R7113">
        <v>9.1557700000000006E-2</v>
      </c>
      <c r="S7113">
        <v>3.0498810000000001</v>
      </c>
      <c r="T7113">
        <v>-0.42422530000000003</v>
      </c>
      <c r="U7113">
        <v>0.1018372</v>
      </c>
      <c r="V7113">
        <v>7.6304910000000004E-2</v>
      </c>
      <c r="W7113">
        <v>9.7620059999999995E-2</v>
      </c>
      <c r="X7113">
        <v>0.99229429999999996</v>
      </c>
      <c r="Y7113">
        <v>0.13175329999999999</v>
      </c>
      <c r="Z7113">
        <v>-3.2213369999999998E-2</v>
      </c>
      <c r="AA7113">
        <v>0.99075899999999995</v>
      </c>
      <c r="AB7113">
        <v>23</v>
      </c>
      <c r="AC7113">
        <v>0.54970000000000097</v>
      </c>
      <c r="AD7113">
        <v>-0.107363</v>
      </c>
      <c r="AE7113">
        <v>-9.8000000000126805E-3</v>
      </c>
      <c r="AF7113">
        <v>9.8057115111732998E-2</v>
      </c>
      <c r="AG7113">
        <v>-0.107363</v>
      </c>
      <c r="AH7113">
        <v>0.52043445542594402</v>
      </c>
      <c r="AI7113">
        <v>101.46014064165399</v>
      </c>
      <c r="AJ7113">
        <v>79.329765694623006</v>
      </c>
      <c r="AK7113">
        <v>0.54036472311535599</v>
      </c>
      <c r="AL7113">
        <v>84.397860922868404</v>
      </c>
      <c r="AM7113">
        <v>85.602753826984696</v>
      </c>
      <c r="AN7113">
        <v>1.00000004660849</v>
      </c>
    </row>
    <row r="7114" spans="1:40" x14ac:dyDescent="0.25">
      <c r="A7114" t="str">
        <f>"20190312151711111"</f>
        <v>20190312151711111</v>
      </c>
      <c r="B7114" t="str">
        <f>"1552375031105100"</f>
        <v>1552375031105100</v>
      </c>
      <c r="C7114" t="s">
        <v>40</v>
      </c>
      <c r="D7114">
        <v>4.9559839999999999</v>
      </c>
      <c r="E7114">
        <v>0.52077429999999902</v>
      </c>
      <c r="F7114" t="s">
        <v>41</v>
      </c>
      <c r="G7114">
        <v>-163.71809999999999</v>
      </c>
      <c r="H7114">
        <v>1.0061549999999999</v>
      </c>
      <c r="I7114">
        <v>139.17570000000001</v>
      </c>
      <c r="J7114">
        <v>-164.2484</v>
      </c>
      <c r="K7114">
        <v>1.1094360000000001</v>
      </c>
      <c r="L7114">
        <v>139.18530000000001</v>
      </c>
      <c r="M7114">
        <v>0.98604970000000003</v>
      </c>
      <c r="N7114">
        <v>0</v>
      </c>
      <c r="O7114">
        <v>0.16587769999999999</v>
      </c>
      <c r="P7114">
        <v>0.99203350000000001</v>
      </c>
      <c r="Q7114">
        <v>8.3486920000000006E-2</v>
      </c>
      <c r="R7114">
        <v>9.4338400000000003E-2</v>
      </c>
      <c r="S7114">
        <v>3.0493769999999998</v>
      </c>
      <c r="T7114">
        <v>-0.41917789999999999</v>
      </c>
      <c r="U7114">
        <v>0.1041565</v>
      </c>
      <c r="V7114">
        <v>7.1758150000000007E-2</v>
      </c>
      <c r="W7114">
        <v>9.7045339999999994E-2</v>
      </c>
      <c r="X7114">
        <v>0.99268979999999996</v>
      </c>
      <c r="Y7114">
        <v>0.129374499999999</v>
      </c>
      <c r="Z7114">
        <v>-3.1443529999999997E-2</v>
      </c>
      <c r="AA7114">
        <v>0.99109720000000001</v>
      </c>
      <c r="AB7114">
        <v>23</v>
      </c>
      <c r="AC7114">
        <v>0.53030000000001098</v>
      </c>
      <c r="AD7114">
        <v>-0.103281</v>
      </c>
      <c r="AE7114">
        <v>-9.6000000000060395E-3</v>
      </c>
      <c r="AF7114">
        <v>9.3880466268308996E-2</v>
      </c>
      <c r="AG7114">
        <v>-0.103281</v>
      </c>
      <c r="AH7114">
        <v>0.50231230057283505</v>
      </c>
      <c r="AI7114">
        <v>101.426212972169</v>
      </c>
      <c r="AJ7114">
        <v>79.413745923447294</v>
      </c>
      <c r="AK7114">
        <v>0.52134264568950195</v>
      </c>
      <c r="AL7114">
        <v>84.430946981126894</v>
      </c>
      <c r="AM7114">
        <v>85.865475525565898</v>
      </c>
      <c r="AN7114">
        <v>1.00000003456558</v>
      </c>
    </row>
    <row r="7115" spans="1:40" x14ac:dyDescent="0.25">
      <c r="A7115" t="str">
        <f>"20190312151711129"</f>
        <v>20190312151711129</v>
      </c>
      <c r="B7115" t="str">
        <f>"1552375031124620"</f>
        <v>1552375031124620</v>
      </c>
      <c r="C7115" t="s">
        <v>40</v>
      </c>
      <c r="D7115">
        <v>4.9538070000000003</v>
      </c>
      <c r="E7115">
        <v>0.52114939999999998</v>
      </c>
      <c r="F7115" t="s">
        <v>41</v>
      </c>
      <c r="G7115">
        <v>-163.51779999999999</v>
      </c>
      <c r="H7115">
        <v>1.010653</v>
      </c>
      <c r="I7115">
        <v>139.2116</v>
      </c>
      <c r="J7115">
        <v>-164.0761</v>
      </c>
      <c r="K7115">
        <v>1.109551</v>
      </c>
      <c r="L7115">
        <v>139.21279999999999</v>
      </c>
      <c r="M7115">
        <v>0.98624619999999996</v>
      </c>
      <c r="N7115">
        <v>0</v>
      </c>
      <c r="O7115">
        <v>0.1647063</v>
      </c>
      <c r="P7115">
        <v>0.99175259999999998</v>
      </c>
      <c r="Q7115">
        <v>8.3104159999999996E-2</v>
      </c>
      <c r="R7115">
        <v>9.7574869999999994E-2</v>
      </c>
      <c r="S7115">
        <v>3.0483549999999999</v>
      </c>
      <c r="T7115">
        <v>-0.41216439999999999</v>
      </c>
      <c r="U7115">
        <v>0.109664899999999</v>
      </c>
      <c r="V7115">
        <v>6.7311319999999994E-2</v>
      </c>
      <c r="W7115">
        <v>9.6680849999999999E-2</v>
      </c>
      <c r="X7115">
        <v>0.99303669999999999</v>
      </c>
      <c r="Y7115">
        <v>0.1265223</v>
      </c>
      <c r="Z7115">
        <v>-3.058307E-2</v>
      </c>
      <c r="AA7115">
        <v>0.99149219999999905</v>
      </c>
      <c r="AB7115">
        <v>22</v>
      </c>
      <c r="AC7115">
        <v>0.55830000000000202</v>
      </c>
      <c r="AD7115">
        <v>-9.8897999999999903E-2</v>
      </c>
      <c r="AE7115">
        <v>-1.1999999999829901E-3</v>
      </c>
      <c r="AF7115">
        <v>9.03139325454166E-2</v>
      </c>
      <c r="AG7115">
        <v>-9.8897999999999903E-2</v>
      </c>
      <c r="AH7115">
        <v>0.53372817276356199</v>
      </c>
      <c r="AI7115">
        <v>100.35371328882999</v>
      </c>
      <c r="AJ7115">
        <v>80.395766062612495</v>
      </c>
      <c r="AK7115">
        <v>0.55027555208036305</v>
      </c>
      <c r="AL7115">
        <v>84.4519288806883</v>
      </c>
      <c r="AM7115">
        <v>86.122233737616696</v>
      </c>
      <c r="AN7115">
        <v>0.99999994405187498</v>
      </c>
    </row>
    <row r="7116" spans="1:40" x14ac:dyDescent="0.25">
      <c r="A7116" t="str">
        <f>"20190312151711156"</f>
        <v>20190312151711156</v>
      </c>
      <c r="B7116" t="str">
        <f>"1552375031145115"</f>
        <v>1552375031145115</v>
      </c>
      <c r="C7116" t="s">
        <v>40</v>
      </c>
      <c r="D7116">
        <v>4.9668340000000004</v>
      </c>
      <c r="E7116">
        <v>0.52143569999999995</v>
      </c>
      <c r="F7116" t="s">
        <v>41</v>
      </c>
      <c r="G7116">
        <v>-163.32069999999999</v>
      </c>
      <c r="H7116">
        <v>1.007131</v>
      </c>
      <c r="I7116">
        <v>139.2413</v>
      </c>
      <c r="J7116">
        <v>-163.80520000000001</v>
      </c>
      <c r="K7116">
        <v>1.1097060000000001</v>
      </c>
      <c r="L7116">
        <v>139.256</v>
      </c>
      <c r="M7116">
        <v>0.98651460000000002</v>
      </c>
      <c r="N7116">
        <v>0</v>
      </c>
      <c r="O7116">
        <v>0.16309309999999999</v>
      </c>
      <c r="P7116">
        <v>0.99094179999999998</v>
      </c>
      <c r="Q7116">
        <v>8.3665009999999998E-2</v>
      </c>
      <c r="R7116">
        <v>0.1050473</v>
      </c>
      <c r="S7116">
        <v>3.048187</v>
      </c>
      <c r="T7116">
        <v>-0.41331770000000001</v>
      </c>
      <c r="U7116">
        <v>0.11576839999999999</v>
      </c>
      <c r="V7116">
        <v>5.8145910000000002E-2</v>
      </c>
      <c r="W7116">
        <v>9.7266989999999998E-2</v>
      </c>
      <c r="X7116">
        <v>0.99355830000000001</v>
      </c>
      <c r="Y7116">
        <v>0.1229474</v>
      </c>
      <c r="Z7116">
        <v>-3.021122E-2</v>
      </c>
      <c r="AA7116">
        <v>0.99195330000000004</v>
      </c>
      <c r="AB7116">
        <v>22</v>
      </c>
      <c r="AC7116">
        <v>0.48450000000002502</v>
      </c>
      <c r="AD7116">
        <v>-0.102574999999999</v>
      </c>
      <c r="AE7116">
        <v>-1.47000000000048E-2</v>
      </c>
      <c r="AF7116">
        <v>8.9520405239075507E-2</v>
      </c>
      <c r="AG7116">
        <v>-0.102574999999999</v>
      </c>
      <c r="AH7116">
        <v>0.45522826647938303</v>
      </c>
      <c r="AI7116">
        <v>102.467090863526</v>
      </c>
      <c r="AJ7116">
        <v>78.874772659949997</v>
      </c>
      <c r="AK7116">
        <v>0.47515082677081799</v>
      </c>
      <c r="AL7116">
        <v>84.418186560087094</v>
      </c>
      <c r="AM7116">
        <v>86.650705213637906</v>
      </c>
      <c r="AN7116">
        <v>0.99999995484613802</v>
      </c>
    </row>
    <row r="7117" spans="1:40" x14ac:dyDescent="0.25">
      <c r="A7117" t="str">
        <f>"20190312151711180"</f>
        <v>20190312151711180</v>
      </c>
      <c r="B7117" t="str">
        <f>"1552375031175372"</f>
        <v>1552375031175372</v>
      </c>
      <c r="C7117" t="s">
        <v>40</v>
      </c>
      <c r="D7117">
        <v>4.9939619999999998</v>
      </c>
      <c r="E7117">
        <v>0.52201189999999997</v>
      </c>
      <c r="F7117" t="s">
        <v>41</v>
      </c>
      <c r="G7117">
        <v>-162.93039999999999</v>
      </c>
      <c r="H7117">
        <v>0.99240949999999994</v>
      </c>
      <c r="I7117">
        <v>139.29490000000001</v>
      </c>
      <c r="J7117">
        <v>-163.57990000000001</v>
      </c>
      <c r="K7117">
        <v>1.1097969999999999</v>
      </c>
      <c r="L7117">
        <v>139.29169999999999</v>
      </c>
      <c r="M7117">
        <v>0.98670519999999995</v>
      </c>
      <c r="N7117">
        <v>0</v>
      </c>
      <c r="O7117">
        <v>0.1619371</v>
      </c>
      <c r="P7117">
        <v>0.99072910000000003</v>
      </c>
      <c r="Q7117">
        <v>8.3341910000000005E-2</v>
      </c>
      <c r="R7117">
        <v>0.107285199999999</v>
      </c>
      <c r="S7117">
        <v>3.0475159999999999</v>
      </c>
      <c r="T7117">
        <v>-0.4086571</v>
      </c>
      <c r="U7117">
        <v>0.135849</v>
      </c>
      <c r="V7117">
        <v>5.4715739999999999E-2</v>
      </c>
      <c r="W7117">
        <v>9.6948999999999994E-2</v>
      </c>
      <c r="X7117">
        <v>0.99378420000000001</v>
      </c>
      <c r="Y7117">
        <v>0.1153836</v>
      </c>
      <c r="Z7117">
        <v>-2.9216160000000001E-2</v>
      </c>
      <c r="AA7117">
        <v>0.99289130000000003</v>
      </c>
      <c r="AB7117">
        <v>22</v>
      </c>
      <c r="AC7117">
        <v>0.64950000000001695</v>
      </c>
      <c r="AD7117">
        <v>-0.11738749999999901</v>
      </c>
      <c r="AE7117">
        <v>3.2000000000209599E-3</v>
      </c>
      <c r="AF7117">
        <v>9.8803001537954099E-2</v>
      </c>
      <c r="AG7117">
        <v>-0.11738749999999901</v>
      </c>
      <c r="AH7117">
        <v>0.62115427757629105</v>
      </c>
      <c r="AI7117">
        <v>100.571854527802</v>
      </c>
      <c r="AJ7117">
        <v>80.962046333615504</v>
      </c>
      <c r="AK7117">
        <v>0.63982379982342197</v>
      </c>
      <c r="AL7117">
        <v>84.436492694774202</v>
      </c>
      <c r="AM7117">
        <v>86.848592530187801</v>
      </c>
      <c r="AN7117">
        <v>0.99999997848719302</v>
      </c>
    </row>
    <row r="7118" spans="1:40" x14ac:dyDescent="0.25">
      <c r="A7118" t="str">
        <f>"20190312151711201"</f>
        <v>20190312151711201</v>
      </c>
      <c r="B7118" t="str">
        <f>"1552375031194893"</f>
        <v>1552375031194893</v>
      </c>
      <c r="C7118" t="s">
        <v>40</v>
      </c>
      <c r="D7118">
        <v>5.6164459999999998</v>
      </c>
      <c r="E7118">
        <v>0.52229539999999997</v>
      </c>
      <c r="F7118" t="s">
        <v>41</v>
      </c>
      <c r="G7118">
        <v>-162.7311</v>
      </c>
      <c r="H7118">
        <v>0.99705900000000003</v>
      </c>
      <c r="I7118">
        <v>139.33029999999999</v>
      </c>
      <c r="J7118">
        <v>-163.35820000000001</v>
      </c>
      <c r="K7118">
        <v>1.1098509999999999</v>
      </c>
      <c r="L7118">
        <v>139.32679999999999</v>
      </c>
      <c r="M7118">
        <v>0.9868749</v>
      </c>
      <c r="N7118">
        <v>0</v>
      </c>
      <c r="O7118">
        <v>0.16090109999999999</v>
      </c>
      <c r="P7118">
        <v>0.99047280000000004</v>
      </c>
      <c r="Q7118">
        <v>8.3333859999999996E-2</v>
      </c>
      <c r="R7118">
        <v>0.10963299999999999</v>
      </c>
      <c r="S7118">
        <v>3.0470579999999998</v>
      </c>
      <c r="T7118">
        <v>-0.40471119999999999</v>
      </c>
      <c r="U7118">
        <v>0.1388855</v>
      </c>
      <c r="V7118">
        <v>5.1299690000000002E-2</v>
      </c>
      <c r="W7118">
        <v>9.6940929999999995E-2</v>
      </c>
      <c r="X7118">
        <v>0.99396719999999905</v>
      </c>
      <c r="Y7118">
        <v>0.1134194</v>
      </c>
      <c r="Z7118">
        <v>-2.8674640000000001E-2</v>
      </c>
      <c r="AA7118">
        <v>0.9931333</v>
      </c>
      <c r="AB7118">
        <v>22</v>
      </c>
      <c r="AC7118">
        <v>0.62710000000001198</v>
      </c>
      <c r="AD7118">
        <v>-0.112791999999999</v>
      </c>
      <c r="AE7118">
        <v>3.5000000000024998E-3</v>
      </c>
      <c r="AF7118">
        <v>9.4402334752603206E-2</v>
      </c>
      <c r="AG7118">
        <v>-0.112791999999999</v>
      </c>
      <c r="AH7118">
        <v>0.60007855067520999</v>
      </c>
      <c r="AI7118">
        <v>100.518800507156</v>
      </c>
      <c r="AJ7118">
        <v>81.059693699242203</v>
      </c>
      <c r="AK7118">
        <v>0.61784148699419905</v>
      </c>
      <c r="AL7118">
        <v>84.436957371013193</v>
      </c>
      <c r="AM7118">
        <v>87.045526125163093</v>
      </c>
      <c r="AN7118">
        <v>0.99999999838959996</v>
      </c>
    </row>
    <row r="7119" spans="1:40" x14ac:dyDescent="0.25">
      <c r="A7119" t="str">
        <f>"20190312151711223"</f>
        <v>20190312151711223</v>
      </c>
      <c r="B7119" t="str">
        <f>"1552375031215387"</f>
        <v>1552375031215387</v>
      </c>
      <c r="C7119" t="s">
        <v>40</v>
      </c>
      <c r="D7119">
        <v>4.9960570000000004</v>
      </c>
      <c r="E7119">
        <v>0.52595999999999998</v>
      </c>
      <c r="F7119" t="s">
        <v>41</v>
      </c>
      <c r="G7119">
        <v>-162.53280000000001</v>
      </c>
      <c r="H7119">
        <v>1.000394</v>
      </c>
      <c r="I7119">
        <v>139.3655</v>
      </c>
      <c r="J7119">
        <v>-163.14709999999999</v>
      </c>
      <c r="K7119">
        <v>1.109893</v>
      </c>
      <c r="L7119">
        <v>139.36000000000001</v>
      </c>
      <c r="M7119">
        <v>0.9870255</v>
      </c>
      <c r="N7119">
        <v>0</v>
      </c>
      <c r="O7119">
        <v>0.1599757</v>
      </c>
      <c r="P7119">
        <v>0.99031040000000004</v>
      </c>
      <c r="Q7119">
        <v>8.2990739999999993E-2</v>
      </c>
      <c r="R7119">
        <v>0.111348</v>
      </c>
      <c r="S7119">
        <v>3.046951</v>
      </c>
      <c r="T7119">
        <v>-0.40406320000000001</v>
      </c>
      <c r="U7119">
        <v>0.14382929999999999</v>
      </c>
      <c r="V7119">
        <v>4.8641120000000003E-2</v>
      </c>
      <c r="W7119">
        <v>9.6594959999999994E-2</v>
      </c>
      <c r="X7119">
        <v>0.99413450000000003</v>
      </c>
      <c r="Y7119">
        <v>0.1109155</v>
      </c>
      <c r="Z7119">
        <v>-2.834246E-2</v>
      </c>
      <c r="AA7119">
        <v>0.99342560000000002</v>
      </c>
      <c r="AB7119">
        <v>22</v>
      </c>
      <c r="AC7119">
        <v>0.61429999999998497</v>
      </c>
      <c r="AD7119">
        <v>-0.109499</v>
      </c>
      <c r="AE7119">
        <v>5.4999999999836204E-3</v>
      </c>
      <c r="AF7119">
        <v>8.9994023354163094E-2</v>
      </c>
      <c r="AG7119">
        <v>-0.109499</v>
      </c>
      <c r="AH7119">
        <v>0.58856774049788396</v>
      </c>
      <c r="AI7119">
        <v>100.420586153673</v>
      </c>
      <c r="AJ7119">
        <v>81.306610697293394</v>
      </c>
      <c r="AK7119">
        <v>0.60539321138847801</v>
      </c>
      <c r="AL7119">
        <v>84.456873325782993</v>
      </c>
      <c r="AM7119">
        <v>87.198859769679501</v>
      </c>
      <c r="AN7119">
        <v>0.999999974471252</v>
      </c>
    </row>
    <row r="7120" spans="1:40" x14ac:dyDescent="0.25">
      <c r="A7120" t="str">
        <f>"20190312151711245"</f>
        <v>20190312151711245</v>
      </c>
      <c r="B7120" t="str">
        <f>"1552375031234907"</f>
        <v>1552375031234907</v>
      </c>
      <c r="C7120" t="s">
        <v>40</v>
      </c>
      <c r="D7120">
        <v>5.0032019999999999</v>
      </c>
      <c r="E7120">
        <v>0.52671820000000003</v>
      </c>
      <c r="F7120" t="s">
        <v>41</v>
      </c>
      <c r="G7120">
        <v>-162.3211</v>
      </c>
      <c r="H7120">
        <v>1.028089</v>
      </c>
      <c r="I7120">
        <v>139.3929</v>
      </c>
      <c r="J7120">
        <v>-162.923</v>
      </c>
      <c r="K7120">
        <v>1.1099060000000001</v>
      </c>
      <c r="L7120">
        <v>139.39510000000001</v>
      </c>
      <c r="M7120">
        <v>0.98717940000000004</v>
      </c>
      <c r="N7120">
        <v>0</v>
      </c>
      <c r="O7120">
        <v>0.15902339999999901</v>
      </c>
      <c r="P7120">
        <v>0.99008439999999998</v>
      </c>
      <c r="Q7120">
        <v>8.3072069999999998E-2</v>
      </c>
      <c r="R7120">
        <v>0.11327909999999999</v>
      </c>
      <c r="S7120">
        <v>3.0409549999999999</v>
      </c>
      <c r="T7120">
        <v>-0.30120609999999998</v>
      </c>
      <c r="U7120">
        <v>0.1212158</v>
      </c>
      <c r="V7120">
        <v>4.5737399999999998E-2</v>
      </c>
      <c r="W7120">
        <v>9.667183E-2</v>
      </c>
      <c r="X7120">
        <v>0.99426490000000001</v>
      </c>
      <c r="Y7120">
        <v>0.1182421</v>
      </c>
      <c r="Z7120">
        <v>-2.1484619999999999E-2</v>
      </c>
      <c r="AA7120">
        <v>0.99275239999999998</v>
      </c>
      <c r="AB7120">
        <v>22</v>
      </c>
      <c r="AC7120">
        <v>0.60189999999999999</v>
      </c>
      <c r="AD7120">
        <v>-8.1817000000000001E-2</v>
      </c>
      <c r="AE7120">
        <v>-2.2000000000161799E-3</v>
      </c>
      <c r="AF7120">
        <v>9.6121165526495495E-2</v>
      </c>
      <c r="AG7120">
        <v>-8.1817000000000001E-2</v>
      </c>
      <c r="AH7120">
        <v>0.58311512672006205</v>
      </c>
      <c r="AI7120">
        <v>97.882035325692897</v>
      </c>
      <c r="AJ7120">
        <v>80.639494719894898</v>
      </c>
      <c r="AK7120">
        <v>0.59662094411856403</v>
      </c>
      <c r="AL7120">
        <v>84.452448554185906</v>
      </c>
      <c r="AM7120">
        <v>87.366180921388803</v>
      </c>
      <c r="AN7120">
        <v>1.00000002192315</v>
      </c>
    </row>
    <row r="7121" spans="1:40" x14ac:dyDescent="0.25">
      <c r="A7121" t="str">
        <f>"20190312151711269"</f>
        <v>20190312151711269</v>
      </c>
      <c r="B7121" t="str">
        <f>"1552375031265164"</f>
        <v>1552375031265164</v>
      </c>
      <c r="C7121" t="s">
        <v>40</v>
      </c>
      <c r="D7121">
        <v>5.0547269999999997</v>
      </c>
      <c r="E7121">
        <v>0.52723529999999996</v>
      </c>
      <c r="F7121" t="s">
        <v>41</v>
      </c>
      <c r="G7121">
        <v>-162.12389999999999</v>
      </c>
      <c r="H7121">
        <v>1.029709</v>
      </c>
      <c r="I7121">
        <v>139.42670000000001</v>
      </c>
      <c r="J7121">
        <v>-162.70079999999999</v>
      </c>
      <c r="K7121">
        <v>1.10991</v>
      </c>
      <c r="L7121">
        <v>139.4298</v>
      </c>
      <c r="M7121">
        <v>0.98733110000000002</v>
      </c>
      <c r="N7121">
        <v>0</v>
      </c>
      <c r="O7121">
        <v>0.15807959999999999</v>
      </c>
      <c r="P7121">
        <v>0.98986430000000003</v>
      </c>
      <c r="Q7121">
        <v>8.3475439999999998E-2</v>
      </c>
      <c r="R7121">
        <v>0.1148937</v>
      </c>
      <c r="S7121">
        <v>3.0418400000000001</v>
      </c>
      <c r="T7121">
        <v>-0.30530859999999999</v>
      </c>
      <c r="U7121">
        <v>0.1207275</v>
      </c>
      <c r="V7121">
        <v>4.3159469999999998E-2</v>
      </c>
      <c r="W7121">
        <v>9.7069069999999993E-2</v>
      </c>
      <c r="X7121">
        <v>0.99434140000000004</v>
      </c>
      <c r="Y7121">
        <v>0.1174361</v>
      </c>
      <c r="Z7121">
        <v>-2.1635870000000001E-2</v>
      </c>
      <c r="AA7121">
        <v>0.99284470000000002</v>
      </c>
      <c r="AB7121">
        <v>22</v>
      </c>
      <c r="AC7121">
        <v>0.57689999999999397</v>
      </c>
      <c r="AD7121">
        <v>-8.0200999999999897E-2</v>
      </c>
      <c r="AE7121">
        <v>-3.0999999999892199E-3</v>
      </c>
      <c r="AF7121">
        <v>9.2478460517162894E-2</v>
      </c>
      <c r="AG7121">
        <v>-8.0200999999999897E-2</v>
      </c>
      <c r="AH7121">
        <v>0.55836377050590602</v>
      </c>
      <c r="AI7121">
        <v>98.065417190306704</v>
      </c>
      <c r="AJ7121">
        <v>80.595811459059604</v>
      </c>
      <c r="AK7121">
        <v>0.57162449761552003</v>
      </c>
      <c r="AL7121">
        <v>84.429580608940498</v>
      </c>
      <c r="AM7121">
        <v>87.514632020811703</v>
      </c>
      <c r="AN7121">
        <v>0.99999998197765205</v>
      </c>
    </row>
    <row r="7122" spans="1:40" x14ac:dyDescent="0.25">
      <c r="A7122" t="str">
        <f>"20190312151711291"</f>
        <v>20190312151711291</v>
      </c>
      <c r="B7122" t="str">
        <f>"1552375031284684"</f>
        <v>1552375031284684</v>
      </c>
      <c r="C7122" t="s">
        <v>40</v>
      </c>
      <c r="D7122">
        <v>5.0237069999999999</v>
      </c>
      <c r="E7122">
        <v>0.52758729999999998</v>
      </c>
      <c r="F7122" t="s">
        <v>41</v>
      </c>
      <c r="G7122">
        <v>-161.92590000000001</v>
      </c>
      <c r="H7122">
        <v>1.0333349999999999</v>
      </c>
      <c r="I7122">
        <v>139.4606</v>
      </c>
      <c r="J7122">
        <v>-162.4804</v>
      </c>
      <c r="K7122">
        <v>1.1098969999999999</v>
      </c>
      <c r="L7122">
        <v>139.4639</v>
      </c>
      <c r="M7122">
        <v>0.98748400000000003</v>
      </c>
      <c r="N7122">
        <v>0</v>
      </c>
      <c r="O7122">
        <v>0.15712329999999999</v>
      </c>
      <c r="P7122">
        <v>0.98970119999999895</v>
      </c>
      <c r="Q7122">
        <v>8.3837629999999996E-2</v>
      </c>
      <c r="R7122">
        <v>0.1160312</v>
      </c>
      <c r="S7122">
        <v>3.0419770000000002</v>
      </c>
      <c r="T7122">
        <v>-0.300647</v>
      </c>
      <c r="U7122">
        <v>0.12142940000000001</v>
      </c>
      <c r="V7122">
        <v>4.1051280000000002E-2</v>
      </c>
      <c r="W7122">
        <v>9.7424540000000004E-2</v>
      </c>
      <c r="X7122">
        <v>0.9943959</v>
      </c>
      <c r="Y7122">
        <v>0.1162991</v>
      </c>
      <c r="Z7122">
        <v>-2.1156769999999998E-2</v>
      </c>
      <c r="AA7122">
        <v>0.99298889999999995</v>
      </c>
      <c r="AB7122">
        <v>22</v>
      </c>
      <c r="AC7122">
        <v>0.55449999999999</v>
      </c>
      <c r="AD7122">
        <v>-7.6561999999999797E-2</v>
      </c>
      <c r="AE7122">
        <v>-3.2999999999958601E-3</v>
      </c>
      <c r="AF7122">
        <v>8.8701073047924794E-2</v>
      </c>
      <c r="AG7122">
        <v>-7.6561999999999797E-2</v>
      </c>
      <c r="AH7122">
        <v>0.53685817237357303</v>
      </c>
      <c r="AI7122">
        <v>98.009147971694404</v>
      </c>
      <c r="AJ7122">
        <v>80.618202452133104</v>
      </c>
      <c r="AK7122">
        <v>0.549496421688209</v>
      </c>
      <c r="AL7122">
        <v>84.409116658335705</v>
      </c>
      <c r="AM7122">
        <v>87.636021750683298</v>
      </c>
      <c r="AN7122">
        <v>0.99999997726032896</v>
      </c>
    </row>
    <row r="7123" spans="1:40" x14ac:dyDescent="0.25">
      <c r="A7123" t="str">
        <f>"20190312151711312"</f>
        <v>20190312151711312</v>
      </c>
      <c r="B7123" t="str">
        <f>"1552375031305180"</f>
        <v>1552375031305180</v>
      </c>
      <c r="C7123" t="s">
        <v>40</v>
      </c>
      <c r="D7123">
        <v>5.0267949999999999</v>
      </c>
      <c r="E7123">
        <v>0.52794229999999998</v>
      </c>
      <c r="F7123" t="s">
        <v>41</v>
      </c>
      <c r="G7123">
        <v>-161.7286</v>
      </c>
      <c r="H7123">
        <v>1.0359989999999999</v>
      </c>
      <c r="I7123">
        <v>139.494</v>
      </c>
      <c r="J7123">
        <v>-162.26759999999999</v>
      </c>
      <c r="K7123">
        <v>1.109874</v>
      </c>
      <c r="L7123">
        <v>139.4966</v>
      </c>
      <c r="M7123">
        <v>0.98763460000000003</v>
      </c>
      <c r="N7123">
        <v>0</v>
      </c>
      <c r="O7123">
        <v>0.1561739</v>
      </c>
      <c r="P7123">
        <v>0.98973560000000005</v>
      </c>
      <c r="Q7123">
        <v>8.358546E-2</v>
      </c>
      <c r="R7123">
        <v>0.11591890000000001</v>
      </c>
      <c r="S7123">
        <v>3.0421909999999999</v>
      </c>
      <c r="T7123">
        <v>-0.2990736</v>
      </c>
      <c r="U7123">
        <v>0.1224976</v>
      </c>
      <c r="V7123">
        <v>4.0215920000000002E-2</v>
      </c>
      <c r="W7123">
        <v>9.7164940000000005E-2</v>
      </c>
      <c r="X7123">
        <v>0.99445550000000005</v>
      </c>
      <c r="Y7123">
        <v>0.11502370000000001</v>
      </c>
      <c r="Z7123">
        <v>-2.0890289999999999E-2</v>
      </c>
      <c r="AA7123">
        <v>0.99314309999999995</v>
      </c>
      <c r="AB7123">
        <v>22</v>
      </c>
      <c r="AC7123">
        <v>0.53899999999998705</v>
      </c>
      <c r="AD7123">
        <v>-7.3875000000000093E-2</v>
      </c>
      <c r="AE7123">
        <v>-2.6000000000010398E-3</v>
      </c>
      <c r="AF7123">
        <v>8.5154114497222294E-2</v>
      </c>
      <c r="AG7123">
        <v>-7.3875000000000093E-2</v>
      </c>
      <c r="AH7123">
        <v>0.52217002481740105</v>
      </c>
      <c r="AI7123">
        <v>97.948951298028803</v>
      </c>
      <c r="AJ7123">
        <v>80.737886892529403</v>
      </c>
      <c r="AK7123">
        <v>0.534200593090846</v>
      </c>
      <c r="AL7123">
        <v>84.424061918697205</v>
      </c>
      <c r="AM7123">
        <v>87.684212501259793</v>
      </c>
      <c r="AN7123">
        <v>1.00000004363344</v>
      </c>
    </row>
    <row r="7124" spans="1:40" x14ac:dyDescent="0.25">
      <c r="A7124" t="str">
        <f>"20190312151711335"</f>
        <v>20190312151711335</v>
      </c>
      <c r="B7124" t="str">
        <f>"1552375031324700"</f>
        <v>1552375031324700</v>
      </c>
      <c r="C7124" t="s">
        <v>40</v>
      </c>
      <c r="D7124">
        <v>5.0260160000000003</v>
      </c>
      <c r="E7124">
        <v>0.52823419999999999</v>
      </c>
      <c r="F7124" t="s">
        <v>41</v>
      </c>
      <c r="G7124">
        <v>-161.53190000000001</v>
      </c>
      <c r="H7124">
        <v>1.0371509999999999</v>
      </c>
      <c r="I7124">
        <v>139.5256</v>
      </c>
      <c r="J7124">
        <v>-162.04390000000001</v>
      </c>
      <c r="K7124">
        <v>1.109856</v>
      </c>
      <c r="L7124">
        <v>139.5308</v>
      </c>
      <c r="M7124">
        <v>0.98779709999999998</v>
      </c>
      <c r="N7124">
        <v>0</v>
      </c>
      <c r="O7124">
        <v>0.155142899999999</v>
      </c>
      <c r="P7124">
        <v>0.98984260000000002</v>
      </c>
      <c r="Q7124">
        <v>8.2862389999999994E-2</v>
      </c>
      <c r="R7124">
        <v>0.11552270000000001</v>
      </c>
      <c r="S7124">
        <v>3.0424500000000001</v>
      </c>
      <c r="T7124">
        <v>-0.30075550000000001</v>
      </c>
      <c r="U7124">
        <v>0.11999509999999999</v>
      </c>
      <c r="V7124">
        <v>3.9590640000000003E-2</v>
      </c>
      <c r="W7124">
        <v>9.6435000000000007E-2</v>
      </c>
      <c r="X7124">
        <v>0.99455159999999998</v>
      </c>
      <c r="Y7124">
        <v>0.11479739999999999</v>
      </c>
      <c r="Z7124">
        <v>-2.0894320000000001E-2</v>
      </c>
      <c r="AA7124">
        <v>0.99316910000000003</v>
      </c>
      <c r="AB7124">
        <v>22</v>
      </c>
      <c r="AC7124">
        <v>0.51200000000000001</v>
      </c>
      <c r="AD7124">
        <v>-7.2705000000000006E-2</v>
      </c>
      <c r="AE7124">
        <v>-5.2000000000020901E-3</v>
      </c>
      <c r="AF7124">
        <v>8.29060510217626E-2</v>
      </c>
      <c r="AG7124">
        <v>-7.2705000000000006E-2</v>
      </c>
      <c r="AH7124">
        <v>0.49501206664639102</v>
      </c>
      <c r="AI7124">
        <v>98.242395772916694</v>
      </c>
      <c r="AJ7124">
        <v>80.492181675963906</v>
      </c>
      <c r="AK7124">
        <v>0.50714532083669395</v>
      </c>
      <c r="AL7124">
        <v>84.466081524242099</v>
      </c>
      <c r="AM7124">
        <v>87.720400297002698</v>
      </c>
      <c r="AN7124">
        <v>1.0000000065315799</v>
      </c>
    </row>
    <row r="7125" spans="1:40" x14ac:dyDescent="0.25">
      <c r="A7125" t="str">
        <f>"20190312151711357"</f>
        <v>20190312151711357</v>
      </c>
      <c r="B7125" t="str">
        <f>"1552375031354956"</f>
        <v>1552375031354956</v>
      </c>
      <c r="C7125" t="s">
        <v>40</v>
      </c>
      <c r="D7125">
        <v>5.041995</v>
      </c>
      <c r="E7125">
        <v>0.52871899999999905</v>
      </c>
      <c r="F7125" t="s">
        <v>41</v>
      </c>
      <c r="G7125">
        <v>-161.14519999999999</v>
      </c>
      <c r="H7125">
        <v>1.0199510000000001</v>
      </c>
      <c r="I7125">
        <v>139.5652</v>
      </c>
      <c r="J7125">
        <v>-161.8263</v>
      </c>
      <c r="K7125">
        <v>1.1098300000000001</v>
      </c>
      <c r="L7125">
        <v>139.56379999999999</v>
      </c>
      <c r="M7125">
        <v>0.98795889999999997</v>
      </c>
      <c r="N7125">
        <v>0</v>
      </c>
      <c r="O7125">
        <v>0.1541102</v>
      </c>
      <c r="P7125">
        <v>0.99001079999999997</v>
      </c>
      <c r="Q7125">
        <v>8.2048010000000005E-2</v>
      </c>
      <c r="R7125">
        <v>0.11466079999999999</v>
      </c>
      <c r="S7125">
        <v>3.0426639999999998</v>
      </c>
      <c r="T7125">
        <v>-0.30444260000000001</v>
      </c>
      <c r="U7125">
        <v>0.1166382</v>
      </c>
      <c r="V7125">
        <v>3.9432700000000001E-2</v>
      </c>
      <c r="W7125">
        <v>9.5613409999999996E-2</v>
      </c>
      <c r="X7125">
        <v>0.9946372</v>
      </c>
      <c r="Y7125">
        <v>0.11482870000000001</v>
      </c>
      <c r="Z7125">
        <v>-2.104812E-2</v>
      </c>
      <c r="AA7125">
        <v>0.99316230000000005</v>
      </c>
      <c r="AB7125">
        <v>22</v>
      </c>
      <c r="AC7125">
        <v>0.68110000000001403</v>
      </c>
      <c r="AD7125">
        <v>-8.9878999999999806E-2</v>
      </c>
      <c r="AE7125">
        <v>1.40000000001805E-3</v>
      </c>
      <c r="AF7125">
        <v>0.101817979212437</v>
      </c>
      <c r="AG7125">
        <v>-8.9878999999999806E-2</v>
      </c>
      <c r="AH7125">
        <v>0.66165567163753303</v>
      </c>
      <c r="AI7125">
        <v>97.646758526845204</v>
      </c>
      <c r="AJ7125">
        <v>81.251739946411007</v>
      </c>
      <c r="AK7125">
        <v>0.67545048918630601</v>
      </c>
      <c r="AL7125">
        <v>84.513373725546302</v>
      </c>
      <c r="AM7125">
        <v>87.729680027878899</v>
      </c>
      <c r="AN7125">
        <v>1.00000001081247</v>
      </c>
    </row>
    <row r="7126" spans="1:40" x14ac:dyDescent="0.25">
      <c r="A7126" t="str">
        <f>"20190312151711381"</f>
        <v>20190312151711381</v>
      </c>
      <c r="B7126" t="str">
        <f>"1552375031374476"</f>
        <v>1552375031374476</v>
      </c>
      <c r="C7126" t="s">
        <v>40</v>
      </c>
      <c r="D7126">
        <v>4.9883569999999997</v>
      </c>
      <c r="E7126">
        <v>0.5289201</v>
      </c>
      <c r="F7126" t="s">
        <v>41</v>
      </c>
      <c r="G7126">
        <v>-160.94880000000001</v>
      </c>
      <c r="H7126">
        <v>1.021657</v>
      </c>
      <c r="I7126">
        <v>139.59540000000001</v>
      </c>
      <c r="J7126">
        <v>-161.6002</v>
      </c>
      <c r="K7126">
        <v>1.1097999999999999</v>
      </c>
      <c r="L7126">
        <v>139.5977</v>
      </c>
      <c r="M7126">
        <v>0.98813030000000002</v>
      </c>
      <c r="N7126">
        <v>0</v>
      </c>
      <c r="O7126">
        <v>0.1530079</v>
      </c>
      <c r="P7126">
        <v>0.99029420000000001</v>
      </c>
      <c r="Q7126">
        <v>8.0906030000000004E-2</v>
      </c>
      <c r="R7126">
        <v>0.1130123</v>
      </c>
      <c r="S7126">
        <v>3.042862</v>
      </c>
      <c r="T7126">
        <v>-0.30578270000000002</v>
      </c>
      <c r="U7126">
        <v>0.1101227</v>
      </c>
      <c r="V7126">
        <v>3.9999560000000003E-2</v>
      </c>
      <c r="W7126">
        <v>9.4464229999999996E-2</v>
      </c>
      <c r="X7126">
        <v>0.99472430000000001</v>
      </c>
      <c r="Y7126">
        <v>0.1158353</v>
      </c>
      <c r="Z7126">
        <v>-2.1081510000000001E-2</v>
      </c>
      <c r="AA7126">
        <v>0.9930447</v>
      </c>
      <c r="AB7126">
        <v>22</v>
      </c>
      <c r="AC7126">
        <v>0.65139999999999498</v>
      </c>
      <c r="AD7126">
        <v>-8.8142999999999805E-2</v>
      </c>
      <c r="AE7126">
        <v>-2.29999999999108E-3</v>
      </c>
      <c r="AF7126">
        <v>0.10011847163461</v>
      </c>
      <c r="AG7126">
        <v>-8.8142999999999805E-2</v>
      </c>
      <c r="AH7126">
        <v>0.63180830017787903</v>
      </c>
      <c r="AI7126">
        <v>97.845373171134</v>
      </c>
      <c r="AJ7126">
        <v>80.995588457259799</v>
      </c>
      <c r="AK7126">
        <v>0.64573572379504496</v>
      </c>
      <c r="AL7126">
        <v>84.579515920615705</v>
      </c>
      <c r="AM7126">
        <v>87.697279639817694</v>
      </c>
      <c r="AN7126">
        <v>0.99999994428008598</v>
      </c>
    </row>
    <row r="7127" spans="1:40" x14ac:dyDescent="0.25">
      <c r="A7127" t="str">
        <f>"20190312151711402"</f>
        <v>20190312151711402</v>
      </c>
      <c r="B7127" t="str">
        <f>"1552375031394972"</f>
        <v>1552375031394972</v>
      </c>
      <c r="C7127" t="s">
        <v>40</v>
      </c>
      <c r="D7127">
        <v>5.1422559999999997</v>
      </c>
      <c r="E7127">
        <v>0.52915080000000003</v>
      </c>
      <c r="F7127" t="s">
        <v>41</v>
      </c>
      <c r="G7127">
        <v>-160.7527</v>
      </c>
      <c r="H7127">
        <v>1.0235970000000001</v>
      </c>
      <c r="I7127">
        <v>139.62639999999999</v>
      </c>
      <c r="J7127">
        <v>-161.3854</v>
      </c>
      <c r="K7127">
        <v>1.1097629999999901</v>
      </c>
      <c r="L7127">
        <v>139.62970000000001</v>
      </c>
      <c r="M7127">
        <v>0.98829679999999998</v>
      </c>
      <c r="N7127">
        <v>0</v>
      </c>
      <c r="O7127">
        <v>0.15192929999999999</v>
      </c>
      <c r="P7127">
        <v>0.99059019999999998</v>
      </c>
      <c r="Q7127">
        <v>7.9228870000000007E-2</v>
      </c>
      <c r="R7127">
        <v>0.11159769999999899</v>
      </c>
      <c r="S7127">
        <v>3.0429379999999999</v>
      </c>
      <c r="T7127">
        <v>-0.30956630000000002</v>
      </c>
      <c r="U7127">
        <v>0.1030426</v>
      </c>
      <c r="V7127">
        <v>4.0359609999999997E-2</v>
      </c>
      <c r="W7127">
        <v>9.2780779999999993E-2</v>
      </c>
      <c r="X7127">
        <v>0.99486819999999998</v>
      </c>
      <c r="Y7127">
        <v>0.1170257</v>
      </c>
      <c r="Z7127">
        <v>-2.129412E-2</v>
      </c>
      <c r="AA7127">
        <v>0.99290060000000002</v>
      </c>
      <c r="AB7127">
        <v>22</v>
      </c>
      <c r="AC7127">
        <v>0.63269999999999904</v>
      </c>
      <c r="AD7127">
        <v>-8.6165999999999895E-2</v>
      </c>
      <c r="AE7127">
        <v>-3.30000000002428E-3</v>
      </c>
      <c r="AF7127">
        <v>9.7586440711025998E-2</v>
      </c>
      <c r="AG7127">
        <v>-8.6165999999999895E-2</v>
      </c>
      <c r="AH7127">
        <v>0.61347455189122901</v>
      </c>
      <c r="AI7127">
        <v>97.897202442924495</v>
      </c>
      <c r="AJ7127">
        <v>80.961590555165998</v>
      </c>
      <c r="AK7127">
        <v>0.62713532732958899</v>
      </c>
      <c r="AL7127">
        <v>84.676396086092893</v>
      </c>
      <c r="AM7127">
        <v>87.676910362070203</v>
      </c>
      <c r="AN7127">
        <v>0.99999995331399905</v>
      </c>
    </row>
    <row r="7128" spans="1:40" x14ac:dyDescent="0.25">
      <c r="A7128" t="str">
        <f>"20190312151711424"</f>
        <v>20190312151711424</v>
      </c>
      <c r="B7128" t="str">
        <f>"1552375031414491"</f>
        <v>1552375031414491</v>
      </c>
      <c r="C7128" t="s">
        <v>40</v>
      </c>
      <c r="D7128">
        <v>5.3526400000000001</v>
      </c>
      <c r="E7128">
        <v>0.52935759999999998</v>
      </c>
      <c r="F7128" t="s">
        <v>41</v>
      </c>
      <c r="G7128">
        <v>-160.55709999999999</v>
      </c>
      <c r="H7128">
        <v>1.0244960000000001</v>
      </c>
      <c r="I7128">
        <v>139.6558</v>
      </c>
      <c r="J7128">
        <v>-161.1703</v>
      </c>
      <c r="K7128">
        <v>1.1097349999999999</v>
      </c>
      <c r="L7128">
        <v>139.66149999999999</v>
      </c>
      <c r="M7128">
        <v>0.98846869999999998</v>
      </c>
      <c r="N7128">
        <v>0</v>
      </c>
      <c r="O7128">
        <v>0.15080679999999999</v>
      </c>
      <c r="P7128">
        <v>0.99091390000000001</v>
      </c>
      <c r="Q7128">
        <v>7.7673000000000006E-2</v>
      </c>
      <c r="R7128">
        <v>0.1098041</v>
      </c>
      <c r="S7128">
        <v>3.0427249999999999</v>
      </c>
      <c r="T7128">
        <v>-0.31324479999999999</v>
      </c>
      <c r="U7128">
        <v>9.6069340000000003E-2</v>
      </c>
      <c r="V7128">
        <v>4.1055010000000003E-2</v>
      </c>
      <c r="W7128">
        <v>9.1218640000000004E-2</v>
      </c>
      <c r="X7128">
        <v>0.99498430000000004</v>
      </c>
      <c r="Y7128">
        <v>0.118135199999999</v>
      </c>
      <c r="Z7128">
        <v>-2.1491659999999999E-2</v>
      </c>
      <c r="AA7128">
        <v>0.99276489999999995</v>
      </c>
      <c r="AB7128">
        <v>22</v>
      </c>
      <c r="AC7128">
        <v>0.61320000000000596</v>
      </c>
      <c r="AD7128">
        <v>-8.5239000000000203E-2</v>
      </c>
      <c r="AE7128">
        <v>-5.6999999999902597E-3</v>
      </c>
      <c r="AF7128">
        <v>9.6258342765168994E-2</v>
      </c>
      <c r="AG7128">
        <v>-8.5239000000000203E-2</v>
      </c>
      <c r="AH7128">
        <v>0.59385203545588205</v>
      </c>
      <c r="AI7128">
        <v>98.064360851091607</v>
      </c>
      <c r="AJ7128">
        <v>80.792920707032707</v>
      </c>
      <c r="AK7128">
        <v>0.60761138541669202</v>
      </c>
      <c r="AL7128">
        <v>84.766281866299707</v>
      </c>
      <c r="AM7128">
        <v>87.637203717178096</v>
      </c>
      <c r="AN7128">
        <v>1.00000005568801</v>
      </c>
    </row>
    <row r="7129" spans="1:40" x14ac:dyDescent="0.25">
      <c r="A7129" t="str">
        <f>"20190312151711447"</f>
        <v>20190312151711447</v>
      </c>
      <c r="B7129" t="str">
        <f>"1552375031435336"</f>
        <v>1552375031435336</v>
      </c>
      <c r="C7129" t="s">
        <v>40</v>
      </c>
      <c r="D7129">
        <v>5.0970129999999996</v>
      </c>
      <c r="E7129">
        <v>0.52953499999999998</v>
      </c>
      <c r="F7129" t="s">
        <v>41</v>
      </c>
      <c r="G7129">
        <v>-160.36179999999999</v>
      </c>
      <c r="H7129">
        <v>1.0252019999999999</v>
      </c>
      <c r="I7129">
        <v>139.6848</v>
      </c>
      <c r="J7129">
        <v>-160.95500000000001</v>
      </c>
      <c r="K7129">
        <v>1.109704</v>
      </c>
      <c r="L7129">
        <v>139.69299999999899</v>
      </c>
      <c r="M7129">
        <v>0.98864799999999997</v>
      </c>
      <c r="N7129">
        <v>0</v>
      </c>
      <c r="O7129">
        <v>0.14962700000000001</v>
      </c>
      <c r="P7129">
        <v>0.99114270000000004</v>
      </c>
      <c r="Q7129">
        <v>7.6868489999999998E-2</v>
      </c>
      <c r="R7129">
        <v>0.10829229999999999</v>
      </c>
      <c r="S7129">
        <v>3.042694</v>
      </c>
      <c r="T7129">
        <v>-0.31818000000000002</v>
      </c>
      <c r="U7129">
        <v>8.8012699999999999E-2</v>
      </c>
      <c r="V7129">
        <v>4.1403490000000001E-2</v>
      </c>
      <c r="W7129">
        <v>9.0406139999999996E-2</v>
      </c>
      <c r="X7129">
        <v>0.99504389999999998</v>
      </c>
      <c r="Y7129">
        <v>0.11952989999999999</v>
      </c>
      <c r="Z7129">
        <v>-2.1781200000000001E-2</v>
      </c>
      <c r="AA7129">
        <v>0.99259160000000002</v>
      </c>
      <c r="AB7129">
        <v>22</v>
      </c>
      <c r="AC7129">
        <v>0.59320000000002404</v>
      </c>
      <c r="AD7129">
        <v>-8.4501999999999994E-2</v>
      </c>
      <c r="AE7129">
        <v>-8.1999999999879895E-3</v>
      </c>
      <c r="AF7129">
        <v>9.4948348889600104E-2</v>
      </c>
      <c r="AG7129">
        <v>-8.4501999999999994E-2</v>
      </c>
      <c r="AH7129">
        <v>0.57365517819899703</v>
      </c>
      <c r="AI7129">
        <v>98.268755344665905</v>
      </c>
      <c r="AJ7129">
        <v>80.601910270931299</v>
      </c>
      <c r="AK7129">
        <v>0.58756790282943805</v>
      </c>
      <c r="AL7129">
        <v>84.813027243014702</v>
      </c>
      <c r="AM7129">
        <v>87.617313589895303</v>
      </c>
      <c r="AN7129">
        <v>0.99999994103054302</v>
      </c>
    </row>
    <row r="7130" spans="1:40" x14ac:dyDescent="0.25">
      <c r="A7130" t="str">
        <f>"20190312151711469"</f>
        <v>20190312151711469</v>
      </c>
      <c r="B7130" t="str">
        <f>"1552375031464619"</f>
        <v>1552375031464619</v>
      </c>
      <c r="C7130" t="s">
        <v>40</v>
      </c>
      <c r="D7130">
        <v>5.0893769999999998</v>
      </c>
      <c r="E7130">
        <v>0.52977089999999905</v>
      </c>
      <c r="F7130" t="s">
        <v>41</v>
      </c>
      <c r="G7130">
        <v>-160.16640000000001</v>
      </c>
      <c r="H7130">
        <v>1.0266839999999999</v>
      </c>
      <c r="I7130">
        <v>139.714</v>
      </c>
      <c r="J7130">
        <v>-160.7364</v>
      </c>
      <c r="K7130">
        <v>1.109658</v>
      </c>
      <c r="L7130">
        <v>139.72460000000001</v>
      </c>
      <c r="M7130">
        <v>0.98884030000000001</v>
      </c>
      <c r="N7130">
        <v>0</v>
      </c>
      <c r="O7130">
        <v>0.14835129999999999</v>
      </c>
      <c r="P7130">
        <v>0.9913033</v>
      </c>
      <c r="Q7130">
        <v>7.6785080000000006E-2</v>
      </c>
      <c r="R7130">
        <v>0.10687389999999999</v>
      </c>
      <c r="S7130">
        <v>3.0427399999999998</v>
      </c>
      <c r="T7130">
        <v>-0.32030140000000001</v>
      </c>
      <c r="U7130">
        <v>8.1481929999999994E-2</v>
      </c>
      <c r="V7130">
        <v>4.1556660000000002E-2</v>
      </c>
      <c r="W7130">
        <v>9.031401E-2</v>
      </c>
      <c r="X7130">
        <v>0.99504599999999999</v>
      </c>
      <c r="Y7130">
        <v>0.120361</v>
      </c>
      <c r="Z7130">
        <v>-2.1837550000000001E-2</v>
      </c>
      <c r="AA7130">
        <v>0.99248999999999998</v>
      </c>
      <c r="AB7130">
        <v>22</v>
      </c>
      <c r="AC7130">
        <v>0.56999999999999296</v>
      </c>
      <c r="AD7130">
        <v>-8.2974000000000103E-2</v>
      </c>
      <c r="AE7130">
        <v>-1.06000000000108E-2</v>
      </c>
      <c r="AF7130">
        <v>9.3079143538502801E-2</v>
      </c>
      <c r="AG7130">
        <v>-8.2974000000000103E-2</v>
      </c>
      <c r="AH7130">
        <v>0.55045866084182105</v>
      </c>
      <c r="AI7130">
        <v>98.453773532926704</v>
      </c>
      <c r="AJ7130">
        <v>80.402425601209103</v>
      </c>
      <c r="AK7130">
        <v>0.56440512837290202</v>
      </c>
      <c r="AL7130">
        <v>84.818328200620897</v>
      </c>
      <c r="AM7130">
        <v>87.608514225407205</v>
      </c>
      <c r="AN7130">
        <v>1.0000000592543099</v>
      </c>
    </row>
    <row r="7131" spans="1:40" x14ac:dyDescent="0.25">
      <c r="A7131" t="str">
        <f>"20190312151711491"</f>
        <v>20190312151711491</v>
      </c>
      <c r="B7131" t="str">
        <f>"1552375031485112"</f>
        <v>1552375031485112</v>
      </c>
      <c r="C7131" t="s">
        <v>40</v>
      </c>
      <c r="D7131">
        <v>5.0200959999999997</v>
      </c>
      <c r="E7131">
        <v>0.52975329999999998</v>
      </c>
      <c r="F7131" t="s">
        <v>41</v>
      </c>
      <c r="G7131">
        <v>-159.9708</v>
      </c>
      <c r="H7131">
        <v>1.029061</v>
      </c>
      <c r="I7131">
        <v>139.74350000000001</v>
      </c>
      <c r="J7131">
        <v>-160.52109999999999</v>
      </c>
      <c r="K7131">
        <v>1.10959599999999</v>
      </c>
      <c r="L7131">
        <v>139.75530000000001</v>
      </c>
      <c r="M7131">
        <v>0.98904250000000005</v>
      </c>
      <c r="N7131">
        <v>0</v>
      </c>
      <c r="O7131">
        <v>0.1469974</v>
      </c>
      <c r="P7131">
        <v>0.99144299999999996</v>
      </c>
      <c r="Q7131">
        <v>7.7256160000000004E-2</v>
      </c>
      <c r="R7131">
        <v>0.1052249</v>
      </c>
      <c r="S7131">
        <v>3.0430299999999999</v>
      </c>
      <c r="T7131">
        <v>-0.320366599999999</v>
      </c>
      <c r="U7131">
        <v>7.5134279999999998E-2</v>
      </c>
      <c r="V7131">
        <v>4.1861040000000002E-2</v>
      </c>
      <c r="W7131">
        <v>9.0775120000000001E-2</v>
      </c>
      <c r="X7131">
        <v>0.99499119999999996</v>
      </c>
      <c r="Y7131">
        <v>0.12107660000000001</v>
      </c>
      <c r="Z7131">
        <v>-2.1737820000000001E-2</v>
      </c>
      <c r="AA7131">
        <v>0.99240510000000004</v>
      </c>
      <c r="AB7131">
        <v>22</v>
      </c>
      <c r="AC7131">
        <v>0.55029999999999202</v>
      </c>
      <c r="AD7131">
        <v>-8.0534999999999801E-2</v>
      </c>
      <c r="AE7131">
        <v>-1.17999999999938E-2</v>
      </c>
      <c r="AF7131">
        <v>9.0631791504605999E-2</v>
      </c>
      <c r="AG7131">
        <v>-8.0534999999999801E-2</v>
      </c>
      <c r="AH7131">
        <v>0.53121408185246599</v>
      </c>
      <c r="AI7131">
        <v>98.499723088336395</v>
      </c>
      <c r="AJ7131">
        <v>80.317847158284707</v>
      </c>
      <c r="AK7131">
        <v>0.54487467239237097</v>
      </c>
      <c r="AL7131">
        <v>84.791799154879996</v>
      </c>
      <c r="AM7131">
        <v>87.590885929354101</v>
      </c>
      <c r="AN7131">
        <v>0.999999978579167</v>
      </c>
    </row>
    <row r="7132" spans="1:40" x14ac:dyDescent="0.25">
      <c r="A7132" t="str">
        <f>"20190312151711514"</f>
        <v>20190312151711514</v>
      </c>
      <c r="B7132" t="str">
        <f>"1552375031504632"</f>
        <v>1552375031504632</v>
      </c>
      <c r="C7132" t="s">
        <v>40</v>
      </c>
      <c r="D7132">
        <v>4.5103589999999896</v>
      </c>
      <c r="E7132">
        <v>0.52893089999999998</v>
      </c>
      <c r="F7132" t="s">
        <v>41</v>
      </c>
      <c r="G7132">
        <v>-159.77539999999999</v>
      </c>
      <c r="H7132">
        <v>1.031393</v>
      </c>
      <c r="I7132">
        <v>139.77260000000001</v>
      </c>
      <c r="J7132">
        <v>-160.30439999999999</v>
      </c>
      <c r="K7132">
        <v>1.1095159999999999</v>
      </c>
      <c r="L7132">
        <v>139.78579999999999</v>
      </c>
      <c r="M7132">
        <v>0.98926190000000003</v>
      </c>
      <c r="N7132">
        <v>0</v>
      </c>
      <c r="O7132">
        <v>0.14551320000000001</v>
      </c>
      <c r="P7132">
        <v>0.99153599999999997</v>
      </c>
      <c r="Q7132">
        <v>7.7742839999999994E-2</v>
      </c>
      <c r="R7132">
        <v>0.1039836</v>
      </c>
      <c r="S7132">
        <v>3.0432589999999999</v>
      </c>
      <c r="T7132">
        <v>-0.31913469999999999</v>
      </c>
      <c r="U7132">
        <v>7.0617680000000002E-2</v>
      </c>
      <c r="V7132">
        <v>4.1627160000000003E-2</v>
      </c>
      <c r="W7132">
        <v>9.1251879999999994E-2</v>
      </c>
      <c r="X7132">
        <v>0.99495739999999999</v>
      </c>
      <c r="Y7132">
        <v>0.1210806</v>
      </c>
      <c r="Z7132">
        <v>-2.1500269999999998E-2</v>
      </c>
      <c r="AA7132">
        <v>0.99240980000000001</v>
      </c>
      <c r="AB7132">
        <v>22</v>
      </c>
      <c r="AC7132">
        <v>0.52899999999999603</v>
      </c>
      <c r="AD7132">
        <v>-7.8122999999999901E-2</v>
      </c>
      <c r="AE7132">
        <v>-1.31999999999834E-2</v>
      </c>
      <c r="AF7132">
        <v>8.8122436602982496E-2</v>
      </c>
      <c r="AG7132">
        <v>-7.8122999999999901E-2</v>
      </c>
      <c r="AH7132">
        <v>0.51032446132715903</v>
      </c>
      <c r="AI7132">
        <v>98.578524601385297</v>
      </c>
      <c r="AJ7132">
        <v>80.202824081713004</v>
      </c>
      <c r="AK7132">
        <v>0.52373640582902203</v>
      </c>
      <c r="AL7132">
        <v>84.764368964930995</v>
      </c>
      <c r="AM7132">
        <v>87.604248770690702</v>
      </c>
      <c r="AN7132">
        <v>0.99999997693397902</v>
      </c>
    </row>
    <row r="7133" spans="1:40" x14ac:dyDescent="0.25">
      <c r="A7133" t="str">
        <f>"20190312151711535"</f>
        <v>20190312151711535</v>
      </c>
      <c r="B7133" t="str">
        <f>"1552375031525128"</f>
        <v>1552375031525128</v>
      </c>
      <c r="C7133" t="s">
        <v>40</v>
      </c>
      <c r="D7133">
        <v>5.0685500000000001</v>
      </c>
      <c r="E7133">
        <v>0.52718039999999999</v>
      </c>
      <c r="F7133" t="s">
        <v>41</v>
      </c>
      <c r="G7133">
        <v>-159.3922</v>
      </c>
      <c r="H7133">
        <v>1.0147790000000001</v>
      </c>
      <c r="I7133">
        <v>139.80779999999999</v>
      </c>
      <c r="J7133">
        <v>-160.08519999999999</v>
      </c>
      <c r="K7133">
        <v>1.1094280000000001</v>
      </c>
      <c r="L7133">
        <v>139.81610000000001</v>
      </c>
      <c r="M7133">
        <v>0.98950300000000002</v>
      </c>
      <c r="N7133">
        <v>0</v>
      </c>
      <c r="O7133">
        <v>0.14386589999999999</v>
      </c>
      <c r="P7133">
        <v>0.99150850000000001</v>
      </c>
      <c r="Q7133">
        <v>7.8864840000000005E-2</v>
      </c>
      <c r="R7133">
        <v>0.1033993</v>
      </c>
      <c r="S7133">
        <v>3.0426329999999999</v>
      </c>
      <c r="T7133">
        <v>-0.31601069999999998</v>
      </c>
      <c r="U7133">
        <v>7.3928830000000001E-2</v>
      </c>
      <c r="V7133">
        <v>4.0566159999999997E-2</v>
      </c>
      <c r="W7133">
        <v>9.2365820000000001E-2</v>
      </c>
      <c r="X7133">
        <v>0.99489839999999996</v>
      </c>
      <c r="Y7133">
        <v>0.1183945</v>
      </c>
      <c r="Z7133">
        <v>-2.0986520000000002E-2</v>
      </c>
      <c r="AA7133">
        <v>0.99274490000000004</v>
      </c>
      <c r="AB7133">
        <v>22</v>
      </c>
      <c r="AC7133">
        <v>0.69299999999998296</v>
      </c>
      <c r="AD7133">
        <v>-9.46489999999999E-2</v>
      </c>
      <c r="AE7133">
        <v>-8.3000000000197308E-3</v>
      </c>
      <c r="AF7133">
        <v>0.105945999078236</v>
      </c>
      <c r="AG7133">
        <v>-9.46489999999999E-2</v>
      </c>
      <c r="AH7133">
        <v>0.67206066728298997</v>
      </c>
      <c r="AI7133">
        <v>97.919928624359898</v>
      </c>
      <c r="AJ7133">
        <v>81.041418322625205</v>
      </c>
      <c r="AK7133">
        <v>0.68691231495041905</v>
      </c>
      <c r="AL7133">
        <v>84.700274020042002</v>
      </c>
      <c r="AM7133">
        <v>87.665105317462107</v>
      </c>
      <c r="AN7133">
        <v>0.99999994218198696</v>
      </c>
    </row>
    <row r="7134" spans="1:40" x14ac:dyDescent="0.25">
      <c r="A7134" t="str">
        <f>"20190312151711558"</f>
        <v>20190312151711558</v>
      </c>
      <c r="B7134" t="str">
        <f>"1552375031555384"</f>
        <v>1552375031555384</v>
      </c>
      <c r="C7134" t="s">
        <v>40</v>
      </c>
      <c r="D7134">
        <v>5.114115</v>
      </c>
      <c r="E7134">
        <v>0.52469069999999995</v>
      </c>
      <c r="F7134" t="s">
        <v>41</v>
      </c>
      <c r="G7134">
        <v>-159.1968</v>
      </c>
      <c r="H7134">
        <v>1.0199940000000001</v>
      </c>
      <c r="I7134">
        <v>139.84139999999999</v>
      </c>
      <c r="J7134">
        <v>-159.8699</v>
      </c>
      <c r="K7134">
        <v>1.1093440000000001</v>
      </c>
      <c r="L7134">
        <v>139.84530000000001</v>
      </c>
      <c r="M7134">
        <v>0.98975360000000001</v>
      </c>
      <c r="N7134">
        <v>0</v>
      </c>
      <c r="O7134">
        <v>0.1421309</v>
      </c>
      <c r="P7134">
        <v>0.99156250000000001</v>
      </c>
      <c r="Q7134">
        <v>7.9296340000000007E-2</v>
      </c>
      <c r="R7134">
        <v>0.102548</v>
      </c>
      <c r="S7134">
        <v>3.0409700000000002</v>
      </c>
      <c r="T7134">
        <v>-0.30614570000000002</v>
      </c>
      <c r="U7134">
        <v>8.6990360000000003E-2</v>
      </c>
      <c r="V7134">
        <v>3.9689589999999997E-2</v>
      </c>
      <c r="W7134">
        <v>9.2791219999999994E-2</v>
      </c>
      <c r="X7134">
        <v>0.99489419999999995</v>
      </c>
      <c r="Y7134">
        <v>0.1125008</v>
      </c>
      <c r="Z7134">
        <v>-1.9874989999999999E-2</v>
      </c>
      <c r="AA7134">
        <v>0.99345280000000002</v>
      </c>
      <c r="AB7134">
        <v>22</v>
      </c>
      <c r="AC7134">
        <v>0.67310000000000503</v>
      </c>
      <c r="AD7134">
        <v>-8.9349999999999999E-2</v>
      </c>
      <c r="AE7134">
        <v>-3.9000000000157702E-3</v>
      </c>
      <c r="AF7134">
        <v>9.7814113863989E-2</v>
      </c>
      <c r="AG7134">
        <v>-8.9349999999999999E-2</v>
      </c>
      <c r="AH7134">
        <v>0.65418398495401398</v>
      </c>
      <c r="AI7134">
        <v>97.692991731113807</v>
      </c>
      <c r="AJ7134">
        <v>81.496088151045896</v>
      </c>
      <c r="AK7134">
        <v>0.66746363911550399</v>
      </c>
      <c r="AL7134">
        <v>84.675795424286306</v>
      </c>
      <c r="AM7134">
        <v>87.715494987432507</v>
      </c>
      <c r="AN7134">
        <v>0.99999997162854704</v>
      </c>
    </row>
    <row r="7135" spans="1:40" x14ac:dyDescent="0.25">
      <c r="A7135" t="str">
        <f>"20190312151711581"</f>
        <v>20190312151711581</v>
      </c>
      <c r="B7135" t="str">
        <f>"1552375031574904"</f>
        <v>1552375031574904</v>
      </c>
      <c r="C7135" t="s">
        <v>40</v>
      </c>
      <c r="D7135">
        <v>5.1440659999999996</v>
      </c>
      <c r="E7135">
        <v>0.52319179999999998</v>
      </c>
      <c r="F7135" t="s">
        <v>41</v>
      </c>
      <c r="G7135">
        <v>-159.0018</v>
      </c>
      <c r="H7135">
        <v>1.0249079999999999</v>
      </c>
      <c r="I7135">
        <v>139.87520000000001</v>
      </c>
      <c r="J7135">
        <v>-159.64500000000001</v>
      </c>
      <c r="K7135">
        <v>1.109254</v>
      </c>
      <c r="L7135">
        <v>139.87540000000001</v>
      </c>
      <c r="M7135">
        <v>0.99003030000000003</v>
      </c>
      <c r="N7135">
        <v>0</v>
      </c>
      <c r="O7135">
        <v>0.1401905</v>
      </c>
      <c r="P7135">
        <v>0.99169309999999999</v>
      </c>
      <c r="Q7135">
        <v>7.8593730000000001E-2</v>
      </c>
      <c r="R7135">
        <v>0.1018235</v>
      </c>
      <c r="S7135">
        <v>3.0383</v>
      </c>
      <c r="T7135">
        <v>-0.29544330000000002</v>
      </c>
      <c r="U7135">
        <v>0.1051178</v>
      </c>
      <c r="V7135">
        <v>3.8487399999999998E-2</v>
      </c>
      <c r="W7135">
        <v>9.2086150000000005E-2</v>
      </c>
      <c r="X7135">
        <v>0.99500699999999997</v>
      </c>
      <c r="Y7135">
        <v>0.1047351</v>
      </c>
      <c r="Z7135">
        <v>-1.8633920000000002E-2</v>
      </c>
      <c r="AA7135">
        <v>0.99432560000000003</v>
      </c>
      <c r="AB7135">
        <v>22</v>
      </c>
      <c r="AC7135">
        <v>0.64320000000000699</v>
      </c>
      <c r="AD7135">
        <v>-8.4346000000000199E-2</v>
      </c>
      <c r="AE7135">
        <v>-2.0000000000663901E-4</v>
      </c>
      <c r="AF7135">
        <v>8.8849087431969606E-2</v>
      </c>
      <c r="AG7135">
        <v>-8.4346000000000199E-2</v>
      </c>
      <c r="AH7135">
        <v>0.62605303615239405</v>
      </c>
      <c r="AI7135">
        <v>97.5978327962289</v>
      </c>
      <c r="AJ7135">
        <v>81.922557227473007</v>
      </c>
      <c r="AK7135">
        <v>0.63792696457284503</v>
      </c>
      <c r="AL7135">
        <v>84.716367005505305</v>
      </c>
      <c r="AM7135">
        <v>87.784873078108802</v>
      </c>
      <c r="AN7135">
        <v>1.0000000345147899</v>
      </c>
    </row>
    <row r="7136" spans="1:40" x14ac:dyDescent="0.25">
      <c r="A7136" t="str">
        <f>"20190312151711603"</f>
        <v>20190312151711603</v>
      </c>
      <c r="B7136" t="str">
        <f>"1552375031595400"</f>
        <v>1552375031595400</v>
      </c>
      <c r="C7136" t="s">
        <v>40</v>
      </c>
      <c r="D7136">
        <v>5.106795</v>
      </c>
      <c r="E7136">
        <v>0.52185689999999996</v>
      </c>
      <c r="F7136" t="s">
        <v>41</v>
      </c>
      <c r="G7136">
        <v>-158.8074</v>
      </c>
      <c r="H7136">
        <v>1.0282340000000001</v>
      </c>
      <c r="I7136">
        <v>139.90729999999999</v>
      </c>
      <c r="J7136">
        <v>-159.43559999999999</v>
      </c>
      <c r="K7136">
        <v>1.109183</v>
      </c>
      <c r="L7136">
        <v>139.90280000000001</v>
      </c>
      <c r="M7136">
        <v>0.99030039999999997</v>
      </c>
      <c r="N7136">
        <v>0</v>
      </c>
      <c r="O7136">
        <v>0.13827029999999901</v>
      </c>
      <c r="P7136">
        <v>0.9918247</v>
      </c>
      <c r="Q7136">
        <v>7.7684790000000004E-2</v>
      </c>
      <c r="R7136">
        <v>0.1012386</v>
      </c>
      <c r="S7136">
        <v>3.0365139999999999</v>
      </c>
      <c r="T7136">
        <v>-0.2937284</v>
      </c>
      <c r="U7136">
        <v>0.115799</v>
      </c>
      <c r="V7136">
        <v>3.7163960000000003E-2</v>
      </c>
      <c r="W7136">
        <v>9.1176859999999998E-2</v>
      </c>
      <c r="X7136">
        <v>0.99514100000000005</v>
      </c>
      <c r="Y7136">
        <v>9.9338109999999993E-2</v>
      </c>
      <c r="Z7136">
        <v>-1.8091099999999999E-2</v>
      </c>
      <c r="AA7136">
        <v>0.99488929999999998</v>
      </c>
      <c r="AB7136">
        <v>22</v>
      </c>
      <c r="AC7136">
        <v>0.62819999999999199</v>
      </c>
      <c r="AD7136">
        <v>-8.0948999999999896E-2</v>
      </c>
      <c r="AE7136">
        <v>4.4999999999788499E-3</v>
      </c>
      <c r="AF7136">
        <v>8.1066726165894595E-2</v>
      </c>
      <c r="AG7136">
        <v>-8.0948999999999896E-2</v>
      </c>
      <c r="AH7136">
        <v>0.61261530752573101</v>
      </c>
      <c r="AI7136">
        <v>97.462956297666693</v>
      </c>
      <c r="AJ7136">
        <v>82.461907101487796</v>
      </c>
      <c r="AK7136">
        <v>0.62323516404893498</v>
      </c>
      <c r="AL7136">
        <v>84.768685381684307</v>
      </c>
      <c r="AM7136">
        <v>87.861258886815193</v>
      </c>
      <c r="AN7136">
        <v>0.99999999480167001</v>
      </c>
    </row>
    <row r="7137" spans="1:40" x14ac:dyDescent="0.25">
      <c r="A7137" t="str">
        <f>"20190312151711625"</f>
        <v>20190312151711625</v>
      </c>
      <c r="B7137" t="str">
        <f>"1552375031614920"</f>
        <v>1552375031614920</v>
      </c>
      <c r="C7137" t="s">
        <v>40</v>
      </c>
      <c r="D7137">
        <v>5.0897610000000002</v>
      </c>
      <c r="E7137">
        <v>0.52061840000000004</v>
      </c>
      <c r="F7137" t="s">
        <v>41</v>
      </c>
      <c r="G7137">
        <v>-158.6138</v>
      </c>
      <c r="H7137">
        <v>1.0296879999999999</v>
      </c>
      <c r="I7137">
        <v>139.9367</v>
      </c>
      <c r="J7137">
        <v>-159.2157</v>
      </c>
      <c r="K7137">
        <v>1.1091169999999999</v>
      </c>
      <c r="L7137">
        <v>139.93100000000001</v>
      </c>
      <c r="M7137">
        <v>0.99059390000000003</v>
      </c>
      <c r="N7137">
        <v>0</v>
      </c>
      <c r="O7137">
        <v>0.1361513</v>
      </c>
      <c r="P7137">
        <v>0.99194769999999999</v>
      </c>
      <c r="Q7137">
        <v>7.7119649999999998E-2</v>
      </c>
      <c r="R7137">
        <v>0.1004603</v>
      </c>
      <c r="S7137">
        <v>3.0349119999999998</v>
      </c>
      <c r="T7137">
        <v>-0.2935874</v>
      </c>
      <c r="U7137">
        <v>0.12557979999999999</v>
      </c>
      <c r="V7137">
        <v>3.5831580000000002E-2</v>
      </c>
      <c r="W7137">
        <v>9.0612230000000002E-2</v>
      </c>
      <c r="X7137">
        <v>0.9952415</v>
      </c>
      <c r="Y7137">
        <v>9.4021450000000006E-2</v>
      </c>
      <c r="Z7137">
        <v>-1.7630949999999999E-2</v>
      </c>
      <c r="AA7137">
        <v>0.99541400000000002</v>
      </c>
      <c r="AB7137">
        <v>22</v>
      </c>
      <c r="AC7137">
        <v>0.60189999999999999</v>
      </c>
      <c r="AD7137">
        <v>-7.9428999999999902E-2</v>
      </c>
      <c r="AE7137">
        <v>5.6999999999902597E-3</v>
      </c>
      <c r="AF7137">
        <v>7.5004162037935695E-2</v>
      </c>
      <c r="AG7137">
        <v>-7.9428999999999902E-2</v>
      </c>
      <c r="AH7137">
        <v>0.58685145205242595</v>
      </c>
      <c r="AI7137">
        <v>97.646557788981497</v>
      </c>
      <c r="AJ7137">
        <v>82.716641661783299</v>
      </c>
      <c r="AK7137">
        <v>0.59693317644444399</v>
      </c>
      <c r="AL7137">
        <v>84.801171115048106</v>
      </c>
      <c r="AM7137">
        <v>87.938076378079003</v>
      </c>
      <c r="AN7137">
        <v>1.00000006083655</v>
      </c>
    </row>
    <row r="7138" spans="1:40" x14ac:dyDescent="0.25">
      <c r="A7138" t="str">
        <f>"20190312151711648"</f>
        <v>20190312151711648</v>
      </c>
      <c r="B7138" t="str">
        <f>"1552375031645176"</f>
        <v>1552375031645176</v>
      </c>
      <c r="C7138" t="s">
        <v>40</v>
      </c>
      <c r="D7138">
        <v>5.1174720000000002</v>
      </c>
      <c r="E7138">
        <v>0.51920429999999995</v>
      </c>
      <c r="F7138" t="s">
        <v>41</v>
      </c>
      <c r="G7138">
        <v>-158.41990000000001</v>
      </c>
      <c r="H7138">
        <v>1.032187</v>
      </c>
      <c r="I7138">
        <v>139.96610000000001</v>
      </c>
      <c r="J7138">
        <v>-159.00479999999999</v>
      </c>
      <c r="K7138">
        <v>1.1090610000000001</v>
      </c>
      <c r="L7138">
        <v>139.95750000000001</v>
      </c>
      <c r="M7138">
        <v>0.99088129999999996</v>
      </c>
      <c r="N7138">
        <v>0</v>
      </c>
      <c r="O7138">
        <v>0.13404430000000001</v>
      </c>
      <c r="P7138">
        <v>0.99211780000000005</v>
      </c>
      <c r="Q7138">
        <v>7.6990470000000005E-2</v>
      </c>
      <c r="R7138">
        <v>9.8868789999999998E-2</v>
      </c>
      <c r="S7138">
        <v>3.0335540000000001</v>
      </c>
      <c r="T7138">
        <v>-0.29322409999999999</v>
      </c>
      <c r="U7138">
        <v>0.13423160000000001</v>
      </c>
      <c r="V7138">
        <v>3.5321690000000003E-2</v>
      </c>
      <c r="W7138">
        <v>9.0481179999999994E-2</v>
      </c>
      <c r="X7138">
        <v>0.99527160000000003</v>
      </c>
      <c r="Y7138">
        <v>8.9085520000000001E-2</v>
      </c>
      <c r="Z7138">
        <v>-1.717608E-2</v>
      </c>
      <c r="AA7138">
        <v>0.99587590000000004</v>
      </c>
      <c r="AB7138">
        <v>22</v>
      </c>
      <c r="AC7138">
        <v>0.58489999999997599</v>
      </c>
      <c r="AD7138">
        <v>-7.6873999999999804E-2</v>
      </c>
      <c r="AE7138">
        <v>8.6000000000012698E-3</v>
      </c>
      <c r="AF7138">
        <v>6.8700953411739096E-2</v>
      </c>
      <c r="AG7138">
        <v>-7.6873999999999804E-2</v>
      </c>
      <c r="AH7138">
        <v>0.57091348513353701</v>
      </c>
      <c r="AI7138">
        <v>97.6145198557019</v>
      </c>
      <c r="AJ7138">
        <v>83.138297890246506</v>
      </c>
      <c r="AK7138">
        <v>0.58014794697818495</v>
      </c>
      <c r="AL7138">
        <v>84.808710441958098</v>
      </c>
      <c r="AM7138">
        <v>87.967454563301402</v>
      </c>
      <c r="AN7138">
        <v>1.0000000117426</v>
      </c>
    </row>
    <row r="7139" spans="1:40" x14ac:dyDescent="0.25">
      <c r="A7139" t="str">
        <f>"20190312151711670"</f>
        <v>20190312151711670</v>
      </c>
      <c r="B7139" t="str">
        <f>"1552375031664700"</f>
        <v>1552375031664700</v>
      </c>
      <c r="C7139" t="s">
        <v>40</v>
      </c>
      <c r="D7139">
        <v>5.0876960000000002</v>
      </c>
      <c r="E7139">
        <v>0.51840909999999996</v>
      </c>
      <c r="F7139" t="s">
        <v>41</v>
      </c>
      <c r="G7139">
        <v>-158.2259</v>
      </c>
      <c r="H7139">
        <v>1.0348250000000001</v>
      </c>
      <c r="I7139">
        <v>139.99369999999999</v>
      </c>
      <c r="J7139">
        <v>-158.7876</v>
      </c>
      <c r="K7139">
        <v>1.1090150000000001</v>
      </c>
      <c r="L7139">
        <v>139.98429999999999</v>
      </c>
      <c r="M7139">
        <v>0.99117860000000002</v>
      </c>
      <c r="N7139">
        <v>0</v>
      </c>
      <c r="O7139">
        <v>0.13182720000000001</v>
      </c>
      <c r="P7139">
        <v>0.99231530000000001</v>
      </c>
      <c r="Q7139">
        <v>7.6030840000000002E-2</v>
      </c>
      <c r="R7139">
        <v>9.7618300000000005E-2</v>
      </c>
      <c r="S7139">
        <v>3.0321959999999999</v>
      </c>
      <c r="T7139">
        <v>-0.28897260000000002</v>
      </c>
      <c r="U7139">
        <v>0.14106749999999901</v>
      </c>
      <c r="V7139">
        <v>3.4361839999999998E-2</v>
      </c>
      <c r="W7139">
        <v>8.9523770000000003E-2</v>
      </c>
      <c r="X7139">
        <v>0.99539180000000005</v>
      </c>
      <c r="Y7139">
        <v>8.4655079999999994E-2</v>
      </c>
      <c r="Z7139">
        <v>-1.6514870000000001E-2</v>
      </c>
      <c r="AA7139">
        <v>0.99627350000000003</v>
      </c>
      <c r="AB7139">
        <v>22</v>
      </c>
      <c r="AC7139">
        <v>0.56170000000000098</v>
      </c>
      <c r="AD7139">
        <v>-7.4189999999999701E-2</v>
      </c>
      <c r="AE7139">
        <v>9.3999999999994002E-3</v>
      </c>
      <c r="AF7139">
        <v>6.3626615240751597E-2</v>
      </c>
      <c r="AG7139">
        <v>-7.4189999999999701E-2</v>
      </c>
      <c r="AH7139">
        <v>0.54847062307266403</v>
      </c>
      <c r="AI7139">
        <v>97.652765910945206</v>
      </c>
      <c r="AJ7139">
        <v>83.382847424867904</v>
      </c>
      <c r="AK7139">
        <v>0.55711087463871201</v>
      </c>
      <c r="AL7139">
        <v>84.8637896695991</v>
      </c>
      <c r="AM7139">
        <v>88.022882142832302</v>
      </c>
      <c r="AN7139">
        <v>1.0000000384752099</v>
      </c>
    </row>
    <row r="7140" spans="1:40" x14ac:dyDescent="0.25">
      <c r="A7140" t="str">
        <f>"20190312151711693"</f>
        <v>20190312151711693</v>
      </c>
      <c r="B7140" t="str">
        <f>"1552375031685194"</f>
        <v>1552375031685194</v>
      </c>
      <c r="C7140" t="s">
        <v>40</v>
      </c>
      <c r="D7140">
        <v>5.0953980000000003</v>
      </c>
      <c r="E7140">
        <v>0.51766159999999894</v>
      </c>
      <c r="F7140" t="s">
        <v>41</v>
      </c>
      <c r="G7140">
        <v>-158.03219999999999</v>
      </c>
      <c r="H7140">
        <v>1.0370549999999901</v>
      </c>
      <c r="I7140">
        <v>140.02019999999999</v>
      </c>
      <c r="J7140">
        <v>-158.57149999999999</v>
      </c>
      <c r="K7140">
        <v>1.1089910000000001</v>
      </c>
      <c r="L7140">
        <v>140.0104</v>
      </c>
      <c r="M7140">
        <v>0.99147300000000005</v>
      </c>
      <c r="N7140">
        <v>0</v>
      </c>
      <c r="O7140">
        <v>0.12959480000000001</v>
      </c>
      <c r="P7140">
        <v>0.99253170000000002</v>
      </c>
      <c r="Q7140">
        <v>7.5612289999999999E-2</v>
      </c>
      <c r="R7140">
        <v>9.5729670000000003E-2</v>
      </c>
      <c r="S7140">
        <v>3.031158</v>
      </c>
      <c r="T7140">
        <v>-0.28871140000000001</v>
      </c>
      <c r="U7140">
        <v>0.14419560000000001</v>
      </c>
      <c r="V7140">
        <v>3.4019319999999999E-2</v>
      </c>
      <c r="W7140">
        <v>8.9104409999999995E-2</v>
      </c>
      <c r="X7140">
        <v>0.99544109999999997</v>
      </c>
      <c r="Y7140">
        <v>8.1395099999999998E-2</v>
      </c>
      <c r="Z7140">
        <v>-1.6139859999999999E-2</v>
      </c>
      <c r="AA7140">
        <v>0.99655119999999997</v>
      </c>
      <c r="AB7140">
        <v>22</v>
      </c>
      <c r="AC7140">
        <v>0.539299999999997</v>
      </c>
      <c r="AD7140">
        <v>-7.1936000000000194E-2</v>
      </c>
      <c r="AE7140">
        <v>9.7999999999842605E-3</v>
      </c>
      <c r="AF7140">
        <v>5.9127977042030003E-2</v>
      </c>
      <c r="AG7140">
        <v>-7.1936000000000194E-2</v>
      </c>
      <c r="AH7140">
        <v>0.52665411145296703</v>
      </c>
      <c r="AI7140">
        <v>97.729960156672803</v>
      </c>
      <c r="AJ7140">
        <v>83.5941710691814</v>
      </c>
      <c r="AK7140">
        <v>0.534822829426154</v>
      </c>
      <c r="AL7140">
        <v>84.887913168187197</v>
      </c>
      <c r="AM7140">
        <v>88.042671580848094</v>
      </c>
      <c r="AN7140">
        <v>0.99999994679195803</v>
      </c>
    </row>
    <row r="7141" spans="1:40" x14ac:dyDescent="0.25">
      <c r="A7141" t="str">
        <f>"20190312151711715"</f>
        <v>20190312151711715</v>
      </c>
      <c r="B7141" t="str">
        <f>"1552375031704712"</f>
        <v>1552375031704712</v>
      </c>
      <c r="C7141" t="s">
        <v>40</v>
      </c>
      <c r="D7141">
        <v>5.0817809999999897</v>
      </c>
      <c r="E7141">
        <v>0.51700310000000005</v>
      </c>
      <c r="F7141" t="s">
        <v>41</v>
      </c>
      <c r="G7141">
        <v>-157.83840000000001</v>
      </c>
      <c r="H7141">
        <v>1.0394950000000001</v>
      </c>
      <c r="I7141">
        <v>140.0455</v>
      </c>
      <c r="J7141">
        <v>-158.3569</v>
      </c>
      <c r="K7141">
        <v>1.1089910000000001</v>
      </c>
      <c r="L7141">
        <v>140.03579999999999</v>
      </c>
      <c r="M7141">
        <v>0.99176149999999996</v>
      </c>
      <c r="N7141">
        <v>0</v>
      </c>
      <c r="O7141">
        <v>0.12736810000000001</v>
      </c>
      <c r="P7141">
        <v>0.99281249999999999</v>
      </c>
      <c r="Q7141">
        <v>7.4387770000000006E-2</v>
      </c>
      <c r="R7141">
        <v>9.3755179999999994E-2</v>
      </c>
      <c r="S7141">
        <v>3.0304410000000002</v>
      </c>
      <c r="T7141">
        <v>-0.28727950000000002</v>
      </c>
      <c r="U7141">
        <v>0.14520259999999999</v>
      </c>
      <c r="V7141">
        <v>3.3770550000000003E-2</v>
      </c>
      <c r="W7141">
        <v>8.7881829999999994E-2</v>
      </c>
      <c r="X7141">
        <v>0.99555830000000001</v>
      </c>
      <c r="Y7141">
        <v>7.8845419999999999E-2</v>
      </c>
      <c r="Z7141">
        <v>-1.5734370000000001E-2</v>
      </c>
      <c r="AA7141">
        <v>0.9967627</v>
      </c>
      <c r="AB7141">
        <v>22</v>
      </c>
      <c r="AC7141">
        <v>0.51849999999998797</v>
      </c>
      <c r="AD7141">
        <v>-6.9496000000000002E-2</v>
      </c>
      <c r="AE7141">
        <v>9.7000000000093695E-3</v>
      </c>
      <c r="AF7141">
        <v>5.5430093572550403E-2</v>
      </c>
      <c r="AG7141">
        <v>-6.9496000000000002E-2</v>
      </c>
      <c r="AH7141">
        <v>0.50641738256956703</v>
      </c>
      <c r="AI7141">
        <v>97.768108381221495</v>
      </c>
      <c r="AJ7141">
        <v>83.753536206919094</v>
      </c>
      <c r="AK7141">
        <v>0.51416024219893997</v>
      </c>
      <c r="AL7141">
        <v>84.958238004586207</v>
      </c>
      <c r="AM7141">
        <v>88.057202310822305</v>
      </c>
      <c r="AN7141">
        <v>0.99999999739516998</v>
      </c>
    </row>
    <row r="7142" spans="1:40" x14ac:dyDescent="0.25">
      <c r="A7142" t="str">
        <f>"20190312151711736"</f>
        <v>20190312151711736</v>
      </c>
      <c r="B7142" t="str">
        <f>"1552375031725208"</f>
        <v>1552375031725208</v>
      </c>
      <c r="C7142" t="s">
        <v>40</v>
      </c>
      <c r="D7142">
        <v>5.1258790000000003</v>
      </c>
      <c r="E7142">
        <v>0.51638620000000002</v>
      </c>
      <c r="F7142" t="s">
        <v>41</v>
      </c>
      <c r="G7142">
        <v>-157.4598</v>
      </c>
      <c r="H7142">
        <v>1.0237560000000001</v>
      </c>
      <c r="I7142">
        <v>140.07859999999999</v>
      </c>
      <c r="J7142">
        <v>-158.14240000000001</v>
      </c>
      <c r="K7142">
        <v>1.1090089999999999</v>
      </c>
      <c r="L7142">
        <v>140.0607</v>
      </c>
      <c r="M7142">
        <v>0.99204440000000005</v>
      </c>
      <c r="N7142">
        <v>0</v>
      </c>
      <c r="O7142">
        <v>0.1251457</v>
      </c>
      <c r="P7142">
        <v>0.99299000000000004</v>
      </c>
      <c r="Q7142">
        <v>7.4342939999999996E-2</v>
      </c>
      <c r="R7142">
        <v>9.1892360000000006E-2</v>
      </c>
      <c r="S7142">
        <v>3.0296020000000001</v>
      </c>
      <c r="T7142">
        <v>-0.28782150000000001</v>
      </c>
      <c r="U7142">
        <v>0.14497380000000001</v>
      </c>
      <c r="V7142">
        <v>3.3404160000000002E-2</v>
      </c>
      <c r="W7142">
        <v>8.7837680000000001E-2</v>
      </c>
      <c r="X7142">
        <v>0.99557450000000003</v>
      </c>
      <c r="Y7142">
        <v>7.6689289999999993E-2</v>
      </c>
      <c r="Z7142">
        <v>-1.5457220000000001E-2</v>
      </c>
      <c r="AA7142">
        <v>0.99693520000000002</v>
      </c>
      <c r="AB7142">
        <v>22</v>
      </c>
      <c r="AC7142">
        <v>0.68260000000000698</v>
      </c>
      <c r="AD7142">
        <v>-8.5252999999999995E-2</v>
      </c>
      <c r="AE7142">
        <v>1.78999999999973E-2</v>
      </c>
      <c r="AF7142">
        <v>6.6634476563068396E-2</v>
      </c>
      <c r="AG7142">
        <v>-8.5252999999999995E-2</v>
      </c>
      <c r="AH7142">
        <v>0.66904396123323095</v>
      </c>
      <c r="AI7142">
        <v>97.226414186343305</v>
      </c>
      <c r="AJ7142">
        <v>84.312294358751799</v>
      </c>
      <c r="AK7142">
        <v>0.67773744882401699</v>
      </c>
      <c r="AL7142">
        <v>84.960777146109393</v>
      </c>
      <c r="AM7142">
        <v>88.078295844061103</v>
      </c>
      <c r="AN7142">
        <v>0.99999994049166696</v>
      </c>
    </row>
    <row r="7143" spans="1:40" x14ac:dyDescent="0.25">
      <c r="A7143" t="str">
        <f>"20190312151711759"</f>
        <v>20190312151711759</v>
      </c>
      <c r="B7143" t="str">
        <f>"1552375031754488"</f>
        <v>1552375031754488</v>
      </c>
      <c r="C7143" t="s">
        <v>40</v>
      </c>
      <c r="D7143">
        <v>5.1269539999999996</v>
      </c>
      <c r="E7143">
        <v>0.51520259999999996</v>
      </c>
      <c r="F7143" t="s">
        <v>41</v>
      </c>
      <c r="G7143">
        <v>-157.2664</v>
      </c>
      <c r="H7143">
        <v>1.026608</v>
      </c>
      <c r="I7143">
        <v>140.10230000000001</v>
      </c>
      <c r="J7143">
        <v>-157.9265</v>
      </c>
      <c r="K7143">
        <v>1.109035</v>
      </c>
      <c r="L7143">
        <v>140.08519999999999</v>
      </c>
      <c r="M7143">
        <v>0.99232240000000005</v>
      </c>
      <c r="N7143">
        <v>0</v>
      </c>
      <c r="O7143">
        <v>0.122922699999999</v>
      </c>
      <c r="P7143">
        <v>0.99306329999999998</v>
      </c>
      <c r="Q7143">
        <v>7.5433849999999997E-2</v>
      </c>
      <c r="R7143">
        <v>9.0194200000000002E-2</v>
      </c>
      <c r="S7143">
        <v>3.0291899999999998</v>
      </c>
      <c r="T7143">
        <v>-0.284937</v>
      </c>
      <c r="U7143">
        <v>0.14425660000000001</v>
      </c>
      <c r="V7143">
        <v>3.2864490000000003E-2</v>
      </c>
      <c r="W7143">
        <v>8.8929149999999998E-2</v>
      </c>
      <c r="X7143">
        <v>0.99549560000000004</v>
      </c>
      <c r="Y7143">
        <v>7.4720330000000001E-2</v>
      </c>
      <c r="Z7143">
        <v>-1.500581E-2</v>
      </c>
      <c r="AA7143">
        <v>0.99709159999999997</v>
      </c>
      <c r="AB7143">
        <v>22</v>
      </c>
      <c r="AC7143">
        <v>0.66009999999999902</v>
      </c>
      <c r="AD7143">
        <v>-8.2427E-2</v>
      </c>
      <c r="AE7143">
        <v>1.71000000000276E-2</v>
      </c>
      <c r="AF7143">
        <v>6.3193840886273098E-2</v>
      </c>
      <c r="AG7143">
        <v>-8.2427E-2</v>
      </c>
      <c r="AH7143">
        <v>0.64711179182780099</v>
      </c>
      <c r="AI7143">
        <v>97.225056340065393</v>
      </c>
      <c r="AJ7143">
        <v>84.422453658288106</v>
      </c>
      <c r="AK7143">
        <v>0.65539403642201899</v>
      </c>
      <c r="AL7143">
        <v>84.897995014927105</v>
      </c>
      <c r="AM7143">
        <v>88.109169999979301</v>
      </c>
      <c r="AN7143">
        <v>0.999999979021021</v>
      </c>
    </row>
    <row r="7144" spans="1:40" x14ac:dyDescent="0.25">
      <c r="A7144" t="str">
        <f>"20190312151711782"</f>
        <v>20190312151711782</v>
      </c>
      <c r="B7144" t="str">
        <f>"1552375031774985"</f>
        <v>1552375031774985</v>
      </c>
      <c r="C7144" t="s">
        <v>40</v>
      </c>
      <c r="D7144">
        <v>5.0954389999999998</v>
      </c>
      <c r="E7144">
        <v>0.51442650000000001</v>
      </c>
      <c r="F7144" t="s">
        <v>41</v>
      </c>
      <c r="G7144">
        <v>-157.07299999999901</v>
      </c>
      <c r="H7144">
        <v>1.030397</v>
      </c>
      <c r="I7144">
        <v>140.12690000000001</v>
      </c>
      <c r="J7144">
        <v>-157.71170000000001</v>
      </c>
      <c r="K7144">
        <v>1.1090610000000001</v>
      </c>
      <c r="L7144">
        <v>140.10919999999999</v>
      </c>
      <c r="M7144">
        <v>0.99259149999999996</v>
      </c>
      <c r="N7144">
        <v>0</v>
      </c>
      <c r="O7144">
        <v>0.1207305</v>
      </c>
      <c r="P7144">
        <v>0.9930331</v>
      </c>
      <c r="Q7144">
        <v>7.7681379999999994E-2</v>
      </c>
      <c r="R7144">
        <v>8.8606610000000002E-2</v>
      </c>
      <c r="S7144">
        <v>3.0286559999999998</v>
      </c>
      <c r="T7144">
        <v>-0.279014599999999</v>
      </c>
      <c r="U7144">
        <v>0.148345899999999</v>
      </c>
      <c r="V7144">
        <v>3.223819E-2</v>
      </c>
      <c r="W7144">
        <v>9.1175900000000004E-2</v>
      </c>
      <c r="X7144">
        <v>0.99531289999999994</v>
      </c>
      <c r="Y7144">
        <v>7.1225079999999996E-2</v>
      </c>
      <c r="Z7144">
        <v>-1.433656E-2</v>
      </c>
      <c r="AA7144">
        <v>0.99735720000000005</v>
      </c>
      <c r="AB7144">
        <v>22</v>
      </c>
      <c r="AC7144">
        <v>0.63870000000002802</v>
      </c>
      <c r="AD7144">
        <v>-7.8663999999999998E-2</v>
      </c>
      <c r="AE7144">
        <v>1.77000000000191E-2</v>
      </c>
      <c r="AF7144">
        <v>5.8658141578639897E-2</v>
      </c>
      <c r="AG7144">
        <v>-7.8663999999999998E-2</v>
      </c>
      <c r="AH7144">
        <v>0.62666574416466203</v>
      </c>
      <c r="AI7144">
        <v>97.123973685986897</v>
      </c>
      <c r="AJ7144">
        <v>84.652492635404798</v>
      </c>
      <c r="AK7144">
        <v>0.63430178730546605</v>
      </c>
      <c r="AL7144">
        <v>84.768740943399493</v>
      </c>
      <c r="AM7144">
        <v>88.144837980464402</v>
      </c>
      <c r="AN7144">
        <v>1.0000000572708401</v>
      </c>
    </row>
    <row r="7145" spans="1:40" x14ac:dyDescent="0.25">
      <c r="A7145" t="str">
        <f>"20190312151711805"</f>
        <v>20190312151711805</v>
      </c>
      <c r="B7145" t="str">
        <f>"1552375031794504"</f>
        <v>1552375031794504</v>
      </c>
      <c r="C7145" t="s">
        <v>40</v>
      </c>
      <c r="D7145">
        <v>5.0770339999999896</v>
      </c>
      <c r="E7145">
        <v>0.51397990000000005</v>
      </c>
      <c r="F7145" t="s">
        <v>41</v>
      </c>
      <c r="G7145">
        <v>-156.87950000000001</v>
      </c>
      <c r="H7145">
        <v>1.0344390000000001</v>
      </c>
      <c r="I7145">
        <v>140.15039999999999</v>
      </c>
      <c r="J7145">
        <v>-157.49719999999999</v>
      </c>
      <c r="K7145">
        <v>1.1090949999999999</v>
      </c>
      <c r="L7145">
        <v>140.1326</v>
      </c>
      <c r="M7145">
        <v>0.99285319999999999</v>
      </c>
      <c r="N7145">
        <v>0</v>
      </c>
      <c r="O7145">
        <v>0.1185599</v>
      </c>
      <c r="P7145">
        <v>0.99279870000000003</v>
      </c>
      <c r="Q7145">
        <v>8.1245590000000006E-2</v>
      </c>
      <c r="R7145">
        <v>8.8033829999999993E-2</v>
      </c>
      <c r="S7145">
        <v>3.0288849999999998</v>
      </c>
      <c r="T7145">
        <v>-0.27156279999999999</v>
      </c>
      <c r="U7145">
        <v>0.15029909999999999</v>
      </c>
      <c r="V7145">
        <v>3.060775E-2</v>
      </c>
      <c r="W7145">
        <v>9.4741439999999996E-2</v>
      </c>
      <c r="X7145">
        <v>0.99503129999999995</v>
      </c>
      <c r="Y7145">
        <v>6.8468260000000003E-2</v>
      </c>
      <c r="Z7145">
        <v>-1.36378E-2</v>
      </c>
      <c r="AA7145">
        <v>0.99756009999999995</v>
      </c>
      <c r="AB7145">
        <v>22</v>
      </c>
      <c r="AC7145">
        <v>0.61769999999998404</v>
      </c>
      <c r="AD7145">
        <v>-7.4656000000000194E-2</v>
      </c>
      <c r="AE7145">
        <v>1.7799999999994001E-2</v>
      </c>
      <c r="AF7145">
        <v>5.4767484080433297E-2</v>
      </c>
      <c r="AG7145">
        <v>-7.4656000000000194E-2</v>
      </c>
      <c r="AH7145">
        <v>0.60659953340494899</v>
      </c>
      <c r="AI7145">
        <v>96.988136457184495</v>
      </c>
      <c r="AJ7145">
        <v>84.840977312414594</v>
      </c>
      <c r="AK7145">
        <v>0.61362528433532004</v>
      </c>
      <c r="AL7145">
        <v>84.563561877154797</v>
      </c>
      <c r="AM7145">
        <v>88.238103579551293</v>
      </c>
      <c r="AN7145">
        <v>1.0000000313965101</v>
      </c>
    </row>
    <row r="7146" spans="1:40" x14ac:dyDescent="0.25">
      <c r="A7146" t="str">
        <f>"20190312151711826"</f>
        <v>20190312151711826</v>
      </c>
      <c r="B7146" t="str">
        <f>"1552375031815001"</f>
        <v>1552375031815001</v>
      </c>
      <c r="C7146" t="s">
        <v>40</v>
      </c>
      <c r="D7146">
        <v>5.1208210000000003</v>
      </c>
      <c r="E7146">
        <v>0.47739480000000001</v>
      </c>
      <c r="F7146" t="s">
        <v>41</v>
      </c>
      <c r="G7146">
        <v>-156.68549999999999</v>
      </c>
      <c r="H7146">
        <v>1.039927</v>
      </c>
      <c r="I7146">
        <v>140.17349999999999</v>
      </c>
      <c r="J7146">
        <v>-157.2835</v>
      </c>
      <c r="K7146">
        <v>1.1091329999999999</v>
      </c>
      <c r="L7146">
        <v>140.15549999999999</v>
      </c>
      <c r="M7146">
        <v>0.99310739999999997</v>
      </c>
      <c r="N7146">
        <v>0</v>
      </c>
      <c r="O7146">
        <v>0.1164104</v>
      </c>
      <c r="P7146">
        <v>0.99243689999999996</v>
      </c>
      <c r="Q7146">
        <v>8.6673199999999895E-2</v>
      </c>
      <c r="R7146">
        <v>8.6931480000000005E-2</v>
      </c>
      <c r="S7146">
        <v>3.0292819999999998</v>
      </c>
      <c r="T7146">
        <v>-0.25814809999999999</v>
      </c>
      <c r="U7146">
        <v>0.1532898</v>
      </c>
      <c r="V7146">
        <v>2.9517450000000001E-2</v>
      </c>
      <c r="W7146">
        <v>0.1001653</v>
      </c>
      <c r="X7146">
        <v>0.99453290000000005</v>
      </c>
      <c r="Y7146">
        <v>6.5423120000000001E-2</v>
      </c>
      <c r="Z7146">
        <v>-1.265351E-2</v>
      </c>
      <c r="AA7146">
        <v>0.99777740000000004</v>
      </c>
      <c r="AB7146">
        <v>21</v>
      </c>
      <c r="AC7146">
        <v>0.59800000000001297</v>
      </c>
      <c r="AD7146">
        <v>-6.9205999999999795E-2</v>
      </c>
      <c r="AE7146">
        <v>1.8000000000000599E-2</v>
      </c>
      <c r="AF7146">
        <v>5.1059079639438801E-2</v>
      </c>
      <c r="AG7146">
        <v>-6.9205999999999795E-2</v>
      </c>
      <c r="AH7146">
        <v>0.58815892481779697</v>
      </c>
      <c r="AI7146">
        <v>96.685960250129398</v>
      </c>
      <c r="AJ7146">
        <v>85.038494438754</v>
      </c>
      <c r="AK7146">
        <v>0.59441351001845</v>
      </c>
      <c r="AL7146">
        <v>84.251310900304702</v>
      </c>
      <c r="AM7146">
        <v>88.299976825855097</v>
      </c>
      <c r="AN7146">
        <v>1.0000000281804999</v>
      </c>
    </row>
    <row r="7147" spans="1:40" x14ac:dyDescent="0.25">
      <c r="A7147" t="str">
        <f>"20190312151711849"</f>
        <v>20190312151711849</v>
      </c>
      <c r="B7147" t="str">
        <f>"1552375031845256"</f>
        <v>1552375031845256</v>
      </c>
      <c r="C7147" t="s">
        <v>40</v>
      </c>
      <c r="D7147">
        <v>5.2054589999999896</v>
      </c>
      <c r="E7147">
        <v>0.47700920000000002</v>
      </c>
      <c r="F7147" t="s">
        <v>46</v>
      </c>
      <c r="G7147">
        <v>0</v>
      </c>
      <c r="H7147">
        <v>0</v>
      </c>
      <c r="I7147">
        <v>0</v>
      </c>
      <c r="J7147">
        <v>-157.0719</v>
      </c>
      <c r="K7147">
        <v>1.1091719999999901</v>
      </c>
      <c r="L7147">
        <v>140.17779999999999</v>
      </c>
      <c r="M7147">
        <v>0.99335359999999995</v>
      </c>
      <c r="N7147">
        <v>0</v>
      </c>
      <c r="O7147">
        <v>0.114291</v>
      </c>
      <c r="P7147">
        <v>0.99197570000000002</v>
      </c>
      <c r="Q7147">
        <v>9.2623059999999993E-2</v>
      </c>
      <c r="R7147">
        <v>8.6054149999999996E-2</v>
      </c>
      <c r="S7147">
        <v>2.9639739999999999</v>
      </c>
      <c r="T7147">
        <v>0.23274329999999999</v>
      </c>
      <c r="U7147">
        <v>0.44044489999999997</v>
      </c>
      <c r="V7147">
        <v>2.8227249999999999E-2</v>
      </c>
      <c r="W7147">
        <v>0.1061101</v>
      </c>
      <c r="X7147">
        <v>0.99395359999999999</v>
      </c>
      <c r="Y7147">
        <v>-3.3204110000000002E-2</v>
      </c>
      <c r="Z7147">
        <v>7.584955E-3</v>
      </c>
      <c r="AA7147">
        <v>0.99941979999999997</v>
      </c>
      <c r="AB7147">
        <v>21</v>
      </c>
      <c r="AC7147">
        <v>2.9639739999999999</v>
      </c>
      <c r="AD7147">
        <v>0.23274329999999999</v>
      </c>
      <c r="AE7147">
        <v>0.44044489999999997</v>
      </c>
      <c r="AF7147">
        <v>-9.8178875341832006E-2</v>
      </c>
      <c r="AG7147">
        <v>0.23274329999999999</v>
      </c>
      <c r="AH7147">
        <v>2.9769326763124102</v>
      </c>
      <c r="AI7147">
        <v>85.531999923694102</v>
      </c>
      <c r="AJ7147">
        <v>91.888923151745502</v>
      </c>
      <c r="AK7147">
        <v>2.9876306154802399</v>
      </c>
      <c r="AL7147">
        <v>83.908871732391901</v>
      </c>
      <c r="AM7147">
        <v>88.373296583240901</v>
      </c>
      <c r="AN7147">
        <v>0.99999994495876399</v>
      </c>
    </row>
    <row r="7148" spans="1:40" x14ac:dyDescent="0.25">
      <c r="A7148" t="str">
        <f>"20190312151711870"</f>
        <v>20190312151711870</v>
      </c>
      <c r="B7148" t="str">
        <f>"1552375031864776"</f>
        <v>1552375031864776</v>
      </c>
      <c r="C7148" t="s">
        <v>40</v>
      </c>
      <c r="D7148">
        <v>5.1613100000000003</v>
      </c>
      <c r="E7148">
        <v>0.47797339999999999</v>
      </c>
      <c r="F7148" t="s">
        <v>46</v>
      </c>
      <c r="G7148">
        <v>0</v>
      </c>
      <c r="H7148">
        <v>0</v>
      </c>
      <c r="I7148">
        <v>0</v>
      </c>
      <c r="J7148">
        <v>-156.86000000000001</v>
      </c>
      <c r="K7148">
        <v>1.1092089999999999</v>
      </c>
      <c r="L7148">
        <v>140.1996</v>
      </c>
      <c r="M7148">
        <v>0.99359529999999996</v>
      </c>
      <c r="N7148">
        <v>0</v>
      </c>
      <c r="O7148">
        <v>0.11217009999999999</v>
      </c>
      <c r="P7148">
        <v>0.9913942</v>
      </c>
      <c r="Q7148">
        <v>9.9588040000000003E-2</v>
      </c>
      <c r="R7148">
        <v>8.4969349999999999E-2</v>
      </c>
      <c r="S7148">
        <v>2.965652</v>
      </c>
      <c r="T7148">
        <v>0.21777730000000001</v>
      </c>
      <c r="U7148">
        <v>0.4411774</v>
      </c>
      <c r="V7148">
        <v>2.7134200000000001E-2</v>
      </c>
      <c r="W7148">
        <v>0.1130679</v>
      </c>
      <c r="X7148">
        <v>0.99321669999999995</v>
      </c>
      <c r="Y7148">
        <v>-3.5455189999999998E-2</v>
      </c>
      <c r="Z7148">
        <v>6.8590480000000004E-3</v>
      </c>
      <c r="AA7148">
        <v>0.99934769999999995</v>
      </c>
      <c r="AB7148">
        <v>21</v>
      </c>
      <c r="AC7148">
        <v>2.965652</v>
      </c>
      <c r="AD7148">
        <v>0.21777730000000001</v>
      </c>
      <c r="AE7148">
        <v>0.4411774</v>
      </c>
      <c r="AF7148">
        <v>-0.105149418888718</v>
      </c>
      <c r="AG7148">
        <v>0.21777730000000001</v>
      </c>
      <c r="AH7148">
        <v>2.9806986364504402</v>
      </c>
      <c r="AI7148">
        <v>85.823840511627196</v>
      </c>
      <c r="AJ7148">
        <v>92.020372203490297</v>
      </c>
      <c r="AK7148">
        <v>2.9904928881415902</v>
      </c>
      <c r="AL7148">
        <v>83.507803097751093</v>
      </c>
      <c r="AM7148">
        <v>88.435096255213793</v>
      </c>
      <c r="AN7148">
        <v>1.00000001398946</v>
      </c>
    </row>
    <row r="7149" spans="1:40" x14ac:dyDescent="0.25">
      <c r="A7149" t="str">
        <f>"20190312151711894"</f>
        <v>20190312151711894</v>
      </c>
      <c r="B7149" t="str">
        <f>"1552375031885273"</f>
        <v>1552375031885273</v>
      </c>
      <c r="C7149" t="s">
        <v>40</v>
      </c>
      <c r="D7149">
        <v>5.0989630000000004</v>
      </c>
      <c r="E7149">
        <v>0.47860819999999998</v>
      </c>
      <c r="F7149" t="s">
        <v>46</v>
      </c>
      <c r="G7149">
        <v>0</v>
      </c>
      <c r="H7149">
        <v>0</v>
      </c>
      <c r="I7149">
        <v>0</v>
      </c>
      <c r="J7149">
        <v>-156.64529999999999</v>
      </c>
      <c r="K7149">
        <v>1.109232</v>
      </c>
      <c r="L7149">
        <v>140.22120000000001</v>
      </c>
      <c r="M7149">
        <v>0.99383580000000005</v>
      </c>
      <c r="N7149">
        <v>0</v>
      </c>
      <c r="O7149">
        <v>0.1100199</v>
      </c>
      <c r="P7149">
        <v>0.9909</v>
      </c>
      <c r="Q7149">
        <v>0.1057473</v>
      </c>
      <c r="R7149">
        <v>8.3276149999999993E-2</v>
      </c>
      <c r="S7149">
        <v>2.9640049999999998</v>
      </c>
      <c r="T7149">
        <v>0.25052089999999999</v>
      </c>
      <c r="U7149">
        <v>0.43037409999999998</v>
      </c>
      <c r="V7149">
        <v>2.6627080000000001E-2</v>
      </c>
      <c r="W7149">
        <v>0.11921809999999999</v>
      </c>
      <c r="X7149">
        <v>0.99251100000000003</v>
      </c>
      <c r="Y7149">
        <v>-3.4195280000000002E-2</v>
      </c>
      <c r="Z7149">
        <v>7.7677659999999997E-3</v>
      </c>
      <c r="AA7149">
        <v>0.99938499999999997</v>
      </c>
      <c r="AB7149">
        <v>21</v>
      </c>
      <c r="AC7149">
        <v>2.9640049999999998</v>
      </c>
      <c r="AD7149">
        <v>0.25052089999999999</v>
      </c>
      <c r="AE7149">
        <v>0.43037409999999998</v>
      </c>
      <c r="AF7149">
        <v>-0.100925005126431</v>
      </c>
      <c r="AG7149">
        <v>0.25052089999999999</v>
      </c>
      <c r="AH7149">
        <v>2.9725654417117999</v>
      </c>
      <c r="AI7149">
        <v>85.185390129652703</v>
      </c>
      <c r="AJ7149">
        <v>91.944568265011995</v>
      </c>
      <c r="AK7149">
        <v>2.9848101921656398</v>
      </c>
      <c r="AL7149">
        <v>83.153021074478801</v>
      </c>
      <c r="AM7149">
        <v>88.463237741787594</v>
      </c>
      <c r="AN7149">
        <v>1.0000000209389599</v>
      </c>
    </row>
    <row r="7150" spans="1:40" x14ac:dyDescent="0.25">
      <c r="A7150" t="str">
        <f>"20190312151711916"</f>
        <v>20190312151711916</v>
      </c>
      <c r="B7150" t="str">
        <f>"1552375031904792"</f>
        <v>1552375031904792</v>
      </c>
      <c r="C7150" t="s">
        <v>40</v>
      </c>
      <c r="D7150">
        <v>5.1899040000000003</v>
      </c>
      <c r="E7150">
        <v>0.47855039999999999</v>
      </c>
      <c r="F7150" t="s">
        <v>46</v>
      </c>
      <c r="G7150">
        <v>0</v>
      </c>
      <c r="H7150">
        <v>0</v>
      </c>
      <c r="I7150">
        <v>0</v>
      </c>
      <c r="J7150">
        <v>-156.43029999999999</v>
      </c>
      <c r="K7150">
        <v>1.109251</v>
      </c>
      <c r="L7150">
        <v>140.2424</v>
      </c>
      <c r="M7150">
        <v>0.99407239999999997</v>
      </c>
      <c r="N7150">
        <v>0</v>
      </c>
      <c r="O7150">
        <v>0.1078619</v>
      </c>
      <c r="P7150">
        <v>0.99042509999999995</v>
      </c>
      <c r="Q7150">
        <v>0.11125939999999999</v>
      </c>
      <c r="R7150">
        <v>8.1729209999999997E-2</v>
      </c>
      <c r="S7150">
        <v>2.9611209999999999</v>
      </c>
      <c r="T7150">
        <v>0.29169119999999998</v>
      </c>
      <c r="U7150">
        <v>0.4201355</v>
      </c>
      <c r="V7150">
        <v>2.5970699999999999E-2</v>
      </c>
      <c r="W7150">
        <v>0.1247219</v>
      </c>
      <c r="X7150">
        <v>0.99185179999999995</v>
      </c>
      <c r="Y7150">
        <v>-3.3206449999999998E-2</v>
      </c>
      <c r="Z7150">
        <v>8.889114E-3</v>
      </c>
      <c r="AA7150">
        <v>0.99940899999999999</v>
      </c>
      <c r="AB7150">
        <v>21</v>
      </c>
      <c r="AC7150">
        <v>2.9611209999999999</v>
      </c>
      <c r="AD7150">
        <v>0.29169119999999998</v>
      </c>
      <c r="AE7150">
        <v>0.4201355</v>
      </c>
      <c r="AF7150">
        <v>-9.7336224133333302E-2</v>
      </c>
      <c r="AG7150">
        <v>0.29169119999999998</v>
      </c>
      <c r="AH7150">
        <v>2.960997655685</v>
      </c>
      <c r="AI7150">
        <v>84.376899001002599</v>
      </c>
      <c r="AJ7150">
        <v>91.882793548209406</v>
      </c>
      <c r="AK7150">
        <v>2.9769221040628602</v>
      </c>
      <c r="AL7150">
        <v>82.835303935527904</v>
      </c>
      <c r="AM7150">
        <v>88.500106993506506</v>
      </c>
      <c r="AN7150">
        <v>1.00000001138067</v>
      </c>
    </row>
    <row r="7151" spans="1:40" x14ac:dyDescent="0.25">
      <c r="A7151" t="str">
        <f>"20190312151711938"</f>
        <v>20190312151711938</v>
      </c>
      <c r="B7151" t="str">
        <f>"1552375031934685"</f>
        <v>1552375031934685</v>
      </c>
      <c r="C7151" t="s">
        <v>40</v>
      </c>
      <c r="D7151">
        <v>6.5971229999999998</v>
      </c>
      <c r="E7151">
        <v>0.47894389999999998</v>
      </c>
      <c r="F7151" t="s">
        <v>46</v>
      </c>
      <c r="G7151">
        <v>0</v>
      </c>
      <c r="H7151">
        <v>0</v>
      </c>
      <c r="I7151">
        <v>0</v>
      </c>
      <c r="J7151">
        <v>-156.21610000000001</v>
      </c>
      <c r="K7151">
        <v>1.1092709999999999</v>
      </c>
      <c r="L7151">
        <v>140.26300000000001</v>
      </c>
      <c r="M7151">
        <v>0.99430350000000001</v>
      </c>
      <c r="N7151">
        <v>0</v>
      </c>
      <c r="O7151">
        <v>0.105709999999999</v>
      </c>
      <c r="P7151">
        <v>0.98985290000000004</v>
      </c>
      <c r="Q7151">
        <v>0.117175</v>
      </c>
      <c r="R7151">
        <v>8.0383109999999994E-2</v>
      </c>
      <c r="S7151">
        <v>2.9600979999999999</v>
      </c>
      <c r="T7151">
        <v>0.30785669999999998</v>
      </c>
      <c r="U7151">
        <v>0.41609190000000001</v>
      </c>
      <c r="V7151">
        <v>2.5114930000000001E-2</v>
      </c>
      <c r="W7151">
        <v>0.13062879999999999</v>
      </c>
      <c r="X7151">
        <v>0.99111320000000003</v>
      </c>
      <c r="Y7151">
        <v>-3.4103630000000003E-2</v>
      </c>
      <c r="Z7151">
        <v>9.116819E-3</v>
      </c>
      <c r="AA7151">
        <v>0.99937670000000001</v>
      </c>
      <c r="AB7151">
        <v>21</v>
      </c>
      <c r="AC7151">
        <v>2.9600979999999999</v>
      </c>
      <c r="AD7151">
        <v>0.30785669999999998</v>
      </c>
      <c r="AE7151">
        <v>0.41609190000000001</v>
      </c>
      <c r="AF7151">
        <v>-9.9760895399623503E-2</v>
      </c>
      <c r="AG7151">
        <v>0.30785669999999998</v>
      </c>
      <c r="AH7151">
        <v>2.9561432032069401</v>
      </c>
      <c r="AI7151">
        <v>84.057931162591899</v>
      </c>
      <c r="AJ7151">
        <v>91.932825812845294</v>
      </c>
      <c r="AK7151">
        <v>2.9738040658140901</v>
      </c>
      <c r="AL7151">
        <v>82.494070306381701</v>
      </c>
      <c r="AM7151">
        <v>88.548428564632204</v>
      </c>
      <c r="AN7151">
        <v>1.0000000091562899</v>
      </c>
    </row>
    <row r="7152" spans="1:40" x14ac:dyDescent="0.25">
      <c r="A7152" t="str">
        <f>"20190312151711961"</f>
        <v>20190312151711961</v>
      </c>
      <c r="B7152" t="str">
        <f>"1552375031955180"</f>
        <v>1552375031955180</v>
      </c>
      <c r="C7152" t="s">
        <v>40</v>
      </c>
      <c r="D7152">
        <v>5.1430949999999998</v>
      </c>
      <c r="E7152">
        <v>0.47890729999999998</v>
      </c>
      <c r="F7152" t="s">
        <v>46</v>
      </c>
      <c r="G7152">
        <v>0</v>
      </c>
      <c r="H7152">
        <v>0</v>
      </c>
      <c r="I7152">
        <v>0</v>
      </c>
      <c r="J7152">
        <v>-156.00290000000001</v>
      </c>
      <c r="K7152">
        <v>1.1092959999999901</v>
      </c>
      <c r="L7152">
        <v>140.28309999999999</v>
      </c>
      <c r="M7152">
        <v>0.99452929999999995</v>
      </c>
      <c r="N7152">
        <v>0</v>
      </c>
      <c r="O7152">
        <v>0.103565</v>
      </c>
      <c r="P7152">
        <v>0.9891219</v>
      </c>
      <c r="Q7152">
        <v>0.12420920000000001</v>
      </c>
      <c r="R7152">
        <v>7.8806760000000003E-2</v>
      </c>
      <c r="S7152">
        <v>2.9580989999999998</v>
      </c>
      <c r="T7152">
        <v>0.3331807</v>
      </c>
      <c r="U7152">
        <v>0.40893550000000001</v>
      </c>
      <c r="V7152">
        <v>2.448556E-2</v>
      </c>
      <c r="W7152">
        <v>0.13765060000000001</v>
      </c>
      <c r="X7152">
        <v>0.99017820000000001</v>
      </c>
      <c r="Y7152">
        <v>-3.4033170000000001E-2</v>
      </c>
      <c r="Z7152">
        <v>9.6368960000000007E-3</v>
      </c>
      <c r="AA7152">
        <v>0.99937430000000005</v>
      </c>
      <c r="AB7152">
        <v>21</v>
      </c>
      <c r="AC7152">
        <v>2.9580989999999998</v>
      </c>
      <c r="AD7152">
        <v>0.3331807</v>
      </c>
      <c r="AE7152">
        <v>0.40893550000000001</v>
      </c>
      <c r="AF7152">
        <v>-9.9118273168361207E-2</v>
      </c>
      <c r="AG7152">
        <v>0.3331807</v>
      </c>
      <c r="AH7152">
        <v>2.9478488178965301</v>
      </c>
      <c r="AI7152">
        <v>83.5551204804256</v>
      </c>
      <c r="AJ7152">
        <v>91.925783965658098</v>
      </c>
      <c r="AK7152">
        <v>2.9682733135785102</v>
      </c>
      <c r="AL7152">
        <v>82.088081076906505</v>
      </c>
      <c r="AM7152">
        <v>88.583453572072798</v>
      </c>
      <c r="AN7152">
        <v>1.00000004904205</v>
      </c>
    </row>
    <row r="7153" spans="1:40" x14ac:dyDescent="0.25">
      <c r="A7153" t="str">
        <f>"20190312151711984"</f>
        <v>20190312151711984</v>
      </c>
      <c r="B7153" t="str">
        <f>"1552375031974700"</f>
        <v>1552375031974700</v>
      </c>
      <c r="C7153" t="s">
        <v>40</v>
      </c>
      <c r="D7153">
        <v>5.2642239999999996</v>
      </c>
      <c r="E7153">
        <v>0.47882530000000001</v>
      </c>
      <c r="F7153" t="s">
        <v>46</v>
      </c>
      <c r="G7153">
        <v>0</v>
      </c>
      <c r="H7153">
        <v>0</v>
      </c>
      <c r="I7153">
        <v>0</v>
      </c>
      <c r="J7153">
        <v>-155.78819999999999</v>
      </c>
      <c r="K7153">
        <v>1.109327</v>
      </c>
      <c r="L7153">
        <v>140.30279999999999</v>
      </c>
      <c r="M7153">
        <v>0.99475219999999998</v>
      </c>
      <c r="N7153">
        <v>0</v>
      </c>
      <c r="O7153">
        <v>0.10140159999999999</v>
      </c>
      <c r="P7153">
        <v>0.98825469999999904</v>
      </c>
      <c r="Q7153">
        <v>0.132077</v>
      </c>
      <c r="R7153">
        <v>7.6867290000000005E-2</v>
      </c>
      <c r="S7153">
        <v>2.957443</v>
      </c>
      <c r="T7153">
        <v>0.34480870000000002</v>
      </c>
      <c r="U7153">
        <v>0.40472409999999998</v>
      </c>
      <c r="V7153">
        <v>2.4192519999999999E-2</v>
      </c>
      <c r="W7153">
        <v>0.14550289999999999</v>
      </c>
      <c r="X7153">
        <v>0.989062</v>
      </c>
      <c r="Y7153">
        <v>-3.4851390000000003E-2</v>
      </c>
      <c r="Z7153">
        <v>9.6786690000000009E-3</v>
      </c>
      <c r="AA7153">
        <v>0.9993457</v>
      </c>
      <c r="AB7153">
        <v>21</v>
      </c>
      <c r="AC7153">
        <v>2.957443</v>
      </c>
      <c r="AD7153">
        <v>0.34480870000000002</v>
      </c>
      <c r="AE7153">
        <v>0.40472409999999998</v>
      </c>
      <c r="AF7153">
        <v>-0.10136769205794</v>
      </c>
      <c r="AG7153">
        <v>0.34480870000000002</v>
      </c>
      <c r="AH7153">
        <v>2.9439574088631502</v>
      </c>
      <c r="AI7153">
        <v>83.323633580146605</v>
      </c>
      <c r="AJ7153">
        <v>91.972055458665906</v>
      </c>
      <c r="AK7153">
        <v>2.9658141671030398</v>
      </c>
      <c r="AL7153">
        <v>81.633597957858896</v>
      </c>
      <c r="AM7153">
        <v>88.598820950533295</v>
      </c>
      <c r="AN7153">
        <v>1.0000000058881799</v>
      </c>
    </row>
    <row r="7154" spans="1:40" x14ac:dyDescent="0.25">
      <c r="A7154" t="str">
        <f>"20190312151712007"</f>
        <v>20190312151712007</v>
      </c>
      <c r="B7154" t="str">
        <f>"1552375032004956"</f>
        <v>1552375032004956</v>
      </c>
      <c r="C7154" t="s">
        <v>40</v>
      </c>
      <c r="D7154">
        <v>5.1988260000000004</v>
      </c>
      <c r="E7154">
        <v>0.4788056</v>
      </c>
      <c r="F7154" t="s">
        <v>46</v>
      </c>
      <c r="G7154">
        <v>0</v>
      </c>
      <c r="H7154">
        <v>0</v>
      </c>
      <c r="I7154">
        <v>0</v>
      </c>
      <c r="J7154">
        <v>-155.56190000000001</v>
      </c>
      <c r="K7154">
        <v>1.1093489999999999</v>
      </c>
      <c r="L7154">
        <v>140.32320000000001</v>
      </c>
      <c r="M7154">
        <v>0.99498220000000004</v>
      </c>
      <c r="N7154">
        <v>0</v>
      </c>
      <c r="O7154">
        <v>9.911992E-2</v>
      </c>
      <c r="P7154">
        <v>0.98743289999999995</v>
      </c>
      <c r="Q7154">
        <v>0.13946789999999901</v>
      </c>
      <c r="R7154">
        <v>7.4332789999999996E-2</v>
      </c>
      <c r="S7154">
        <v>2.955902</v>
      </c>
      <c r="T7154">
        <v>0.3641702</v>
      </c>
      <c r="U7154">
        <v>0.39968870000000001</v>
      </c>
      <c r="V7154">
        <v>2.4381670000000001E-2</v>
      </c>
      <c r="W7154">
        <v>0.15287619999999999</v>
      </c>
      <c r="X7154">
        <v>0.9879445</v>
      </c>
      <c r="Y7154">
        <v>-3.5571150000000003E-2</v>
      </c>
      <c r="Z7154">
        <v>9.9040810000000003E-3</v>
      </c>
      <c r="AA7154">
        <v>0.99931809999999999</v>
      </c>
      <c r="AB7154">
        <v>21</v>
      </c>
      <c r="AC7154">
        <v>2.955902</v>
      </c>
      <c r="AD7154">
        <v>0.3641702</v>
      </c>
      <c r="AE7154">
        <v>0.39968870000000001</v>
      </c>
      <c r="AF7154">
        <v>-0.10316629979452301</v>
      </c>
      <c r="AG7154">
        <v>0.3641702</v>
      </c>
      <c r="AH7154">
        <v>2.9371822057712902</v>
      </c>
      <c r="AI7154">
        <v>82.936492695558698</v>
      </c>
      <c r="AJ7154">
        <v>92.0116438572812</v>
      </c>
      <c r="AK7154">
        <v>2.9614696570927199</v>
      </c>
      <c r="AL7154">
        <v>81.206356173369997</v>
      </c>
      <c r="AM7154">
        <v>88.586273541929401</v>
      </c>
      <c r="AN7154">
        <v>0.999999966719338</v>
      </c>
    </row>
    <row r="7155" spans="1:40" x14ac:dyDescent="0.25">
      <c r="A7155" t="str">
        <f>"20190312151712051"</f>
        <v>20190312151712051</v>
      </c>
      <c r="B7155" t="str">
        <f>"1552375032044973"</f>
        <v>1552375032044973</v>
      </c>
      <c r="C7155" t="s">
        <v>40</v>
      </c>
      <c r="D7155">
        <v>5.1547799999999997</v>
      </c>
      <c r="E7155">
        <v>0.47819159999999999</v>
      </c>
      <c r="F7155" t="s">
        <v>46</v>
      </c>
      <c r="G7155">
        <v>0</v>
      </c>
      <c r="H7155">
        <v>0</v>
      </c>
      <c r="I7155">
        <v>0</v>
      </c>
      <c r="J7155">
        <v>-155.14410000000001</v>
      </c>
      <c r="K7155">
        <v>1.1094079999999999</v>
      </c>
      <c r="L7155">
        <v>140.35929999999999</v>
      </c>
      <c r="M7155">
        <v>0.99539319999999998</v>
      </c>
      <c r="N7155">
        <v>0</v>
      </c>
      <c r="O7155">
        <v>9.4905059999999999E-2</v>
      </c>
      <c r="P7155">
        <v>0.98586240000000003</v>
      </c>
      <c r="Q7155">
        <v>0.15224649999999901</v>
      </c>
      <c r="R7155">
        <v>6.9977029999999996E-2</v>
      </c>
      <c r="S7155">
        <v>2.9548800000000002</v>
      </c>
      <c r="T7155">
        <v>0.38061990000000001</v>
      </c>
      <c r="U7155">
        <v>0.39250180000000001</v>
      </c>
      <c r="V7155">
        <v>2.4412409999999999E-2</v>
      </c>
      <c r="W7155">
        <v>0.16562399999999999</v>
      </c>
      <c r="X7155">
        <v>0.98588679999999995</v>
      </c>
      <c r="Y7155">
        <v>-3.7456580000000003E-2</v>
      </c>
      <c r="Z7155">
        <v>9.6982709999999996E-3</v>
      </c>
      <c r="AA7155">
        <v>0.99925120000000001</v>
      </c>
      <c r="AB7155">
        <v>21</v>
      </c>
      <c r="AC7155">
        <v>2.9548800000000002</v>
      </c>
      <c r="AD7155">
        <v>0.38061990000000001</v>
      </c>
      <c r="AE7155">
        <v>0.39250180000000001</v>
      </c>
      <c r="AF7155">
        <v>-0.10850171651473201</v>
      </c>
      <c r="AG7155">
        <v>0.38061990000000001</v>
      </c>
      <c r="AH7155">
        <v>2.9310054654617401</v>
      </c>
      <c r="AI7155">
        <v>82.605993596404304</v>
      </c>
      <c r="AJ7155">
        <v>92.120041431580503</v>
      </c>
      <c r="AK7155">
        <v>2.9576066623757198</v>
      </c>
      <c r="AL7155">
        <v>80.466514470788894</v>
      </c>
      <c r="AM7155">
        <v>88.581538682886404</v>
      </c>
      <c r="AN7155">
        <v>1.0000000287761199</v>
      </c>
    </row>
    <row r="7156" spans="1:40" x14ac:dyDescent="0.25">
      <c r="A7156" t="str">
        <f>"20190312151712076"</f>
        <v>20190312151712076</v>
      </c>
      <c r="B7156" t="str">
        <f>"1552375032065469"</f>
        <v>1552375032065469</v>
      </c>
      <c r="C7156" t="s">
        <v>40</v>
      </c>
      <c r="D7156">
        <v>5.1537119999999996</v>
      </c>
      <c r="E7156">
        <v>0.47761880000000001</v>
      </c>
      <c r="F7156" t="s">
        <v>46</v>
      </c>
      <c r="G7156">
        <v>0</v>
      </c>
      <c r="H7156">
        <v>0</v>
      </c>
      <c r="I7156">
        <v>0</v>
      </c>
      <c r="J7156">
        <v>-154.91980000000001</v>
      </c>
      <c r="K7156">
        <v>1.1094409999999999</v>
      </c>
      <c r="L7156">
        <v>140.37799999999999</v>
      </c>
      <c r="M7156">
        <v>0.99560630000000006</v>
      </c>
      <c r="N7156">
        <v>0</v>
      </c>
      <c r="O7156">
        <v>9.2641929999999997E-2</v>
      </c>
      <c r="P7156">
        <v>0.98522279999999995</v>
      </c>
      <c r="Q7156">
        <v>0.1574652</v>
      </c>
      <c r="R7156">
        <v>6.7385849999999997E-2</v>
      </c>
      <c r="S7156">
        <v>2.9518430000000002</v>
      </c>
      <c r="T7156">
        <v>0.41368270000000001</v>
      </c>
      <c r="U7156">
        <v>0.38464359999999997</v>
      </c>
      <c r="V7156">
        <v>2.4701600000000001E-2</v>
      </c>
      <c r="W7156">
        <v>0.17082829999999999</v>
      </c>
      <c r="X7156">
        <v>0.98499110000000001</v>
      </c>
      <c r="Y7156">
        <v>-3.7312520000000002E-2</v>
      </c>
      <c r="Z7156">
        <v>1.0243489999999999E-2</v>
      </c>
      <c r="AA7156">
        <v>0.99925109999999995</v>
      </c>
      <c r="AB7156">
        <v>21</v>
      </c>
      <c r="AC7156">
        <v>2.9518430000000002</v>
      </c>
      <c r="AD7156">
        <v>0.41368270000000001</v>
      </c>
      <c r="AE7156">
        <v>0.38464359999999997</v>
      </c>
      <c r="AF7156">
        <v>-0.107424692065879</v>
      </c>
      <c r="AG7156">
        <v>0.41368270000000001</v>
      </c>
      <c r="AH7156">
        <v>2.9184219492874299</v>
      </c>
      <c r="AI7156">
        <v>81.937530948413098</v>
      </c>
      <c r="AJ7156">
        <v>92.108058399283806</v>
      </c>
      <c r="AK7156">
        <v>2.94955252789764</v>
      </c>
      <c r="AL7156">
        <v>80.164018073442094</v>
      </c>
      <c r="AM7156">
        <v>88.563437940807304</v>
      </c>
      <c r="AN7156">
        <v>0.99999997210132896</v>
      </c>
    </row>
    <row r="7157" spans="1:40" x14ac:dyDescent="0.25">
      <c r="A7157" t="str">
        <f>"20190312151712095"</f>
        <v>20190312151712095</v>
      </c>
      <c r="B7157" t="str">
        <f>"1552375032084989"</f>
        <v>1552375032084989</v>
      </c>
      <c r="C7157" t="s">
        <v>40</v>
      </c>
      <c r="D7157">
        <v>5.1336529999999998</v>
      </c>
      <c r="E7157">
        <v>0.47718120000000003</v>
      </c>
      <c r="F7157" t="s">
        <v>46</v>
      </c>
      <c r="G7157">
        <v>0</v>
      </c>
      <c r="H7157">
        <v>0</v>
      </c>
      <c r="I7157">
        <v>0</v>
      </c>
      <c r="J7157">
        <v>-154.7354</v>
      </c>
      <c r="K7157">
        <v>1.109467</v>
      </c>
      <c r="L7157">
        <v>140.3929</v>
      </c>
      <c r="M7157">
        <v>0.99577769999999999</v>
      </c>
      <c r="N7157">
        <v>0</v>
      </c>
      <c r="O7157">
        <v>9.0781399999999998E-2</v>
      </c>
      <c r="P7157">
        <v>0.98456779999999999</v>
      </c>
      <c r="Q7157">
        <v>0.1624109</v>
      </c>
      <c r="R7157">
        <v>6.5185350000000003E-2</v>
      </c>
      <c r="S7157">
        <v>2.9513090000000002</v>
      </c>
      <c r="T7157">
        <v>0.42275089999999999</v>
      </c>
      <c r="U7157">
        <v>0.38179020000000002</v>
      </c>
      <c r="V7157">
        <v>2.5002460000000001E-2</v>
      </c>
      <c r="W7157">
        <v>0.17575929999999901</v>
      </c>
      <c r="X7157">
        <v>0.98411559999999998</v>
      </c>
      <c r="Y7157">
        <v>-3.8248629999999999E-2</v>
      </c>
      <c r="Z7157">
        <v>1.0139550000000001E-2</v>
      </c>
      <c r="AA7157">
        <v>0.99921680000000002</v>
      </c>
      <c r="AB7157">
        <v>21</v>
      </c>
      <c r="AC7157">
        <v>2.9513090000000002</v>
      </c>
      <c r="AD7157">
        <v>0.42275089999999999</v>
      </c>
      <c r="AE7157">
        <v>0.38179020000000002</v>
      </c>
      <c r="AF7157">
        <v>-0.11004387691980499</v>
      </c>
      <c r="AG7157">
        <v>0.42275089999999999</v>
      </c>
      <c r="AH7157">
        <v>2.9149576639914501</v>
      </c>
      <c r="AI7157">
        <v>81.753826597770001</v>
      </c>
      <c r="AJ7157">
        <v>92.161972053761303</v>
      </c>
      <c r="AK7157">
        <v>2.9475084666817901</v>
      </c>
      <c r="AL7157">
        <v>79.877152145785999</v>
      </c>
      <c r="AM7157">
        <v>88.544655386823806</v>
      </c>
      <c r="AN7157">
        <v>0.99999998435295001</v>
      </c>
    </row>
    <row r="7158" spans="1:40" x14ac:dyDescent="0.25">
      <c r="A7158" t="str">
        <f>"20190312151712119"</f>
        <v>20190312151712119</v>
      </c>
      <c r="B7158" t="str">
        <f>"1552375032115245"</f>
        <v>1552375032115245</v>
      </c>
      <c r="C7158" t="s">
        <v>40</v>
      </c>
      <c r="D7158">
        <v>5.1957719999999998</v>
      </c>
      <c r="E7158">
        <v>0.47656209999999999</v>
      </c>
      <c r="F7158" t="s">
        <v>46</v>
      </c>
      <c r="G7158">
        <v>0</v>
      </c>
      <c r="H7158">
        <v>0</v>
      </c>
      <c r="I7158">
        <v>0</v>
      </c>
      <c r="J7158">
        <v>-154.5111</v>
      </c>
      <c r="K7158">
        <v>1.109491</v>
      </c>
      <c r="L7158">
        <v>140.41059999999999</v>
      </c>
      <c r="M7158">
        <v>0.99598160000000002</v>
      </c>
      <c r="N7158">
        <v>0</v>
      </c>
      <c r="O7158">
        <v>8.8518340000000001E-2</v>
      </c>
      <c r="P7158">
        <v>0.98391280000000003</v>
      </c>
      <c r="Q7158">
        <v>0.16739849999999901</v>
      </c>
      <c r="R7158">
        <v>6.2399070000000001E-2</v>
      </c>
      <c r="S7158">
        <v>2.9506230000000002</v>
      </c>
      <c r="T7158">
        <v>0.4323285</v>
      </c>
      <c r="U7158">
        <v>0.37892150000000002</v>
      </c>
      <c r="V7158">
        <v>2.5491719999999999E-2</v>
      </c>
      <c r="W7158">
        <v>0.18073139999999999</v>
      </c>
      <c r="X7158">
        <v>0.98320209999999997</v>
      </c>
      <c r="Y7158">
        <v>-3.9580160000000003E-2</v>
      </c>
      <c r="Z7158">
        <v>9.9467930000000006E-3</v>
      </c>
      <c r="AA7158">
        <v>0.99916689999999997</v>
      </c>
      <c r="AB7158">
        <v>21</v>
      </c>
      <c r="AC7158">
        <v>2.9506230000000002</v>
      </c>
      <c r="AD7158">
        <v>0.4323285</v>
      </c>
      <c r="AE7158">
        <v>0.37892150000000002</v>
      </c>
      <c r="AF7158">
        <v>-0.113821430193498</v>
      </c>
      <c r="AG7158">
        <v>0.4323285</v>
      </c>
      <c r="AH7158">
        <v>2.9111001461454999</v>
      </c>
      <c r="AI7158">
        <v>81.559081636538295</v>
      </c>
      <c r="AJ7158">
        <v>92.2390735684302</v>
      </c>
      <c r="AK7158">
        <v>2.94522788774856</v>
      </c>
      <c r="AL7158">
        <v>79.587635514756698</v>
      </c>
      <c r="AM7158">
        <v>88.514811120533395</v>
      </c>
      <c r="AN7158">
        <v>1.0000000180894599</v>
      </c>
    </row>
    <row r="7159" spans="1:40" x14ac:dyDescent="0.25">
      <c r="A7159" t="str">
        <f>"20190312151712139"</f>
        <v>20190312151712139</v>
      </c>
      <c r="B7159" t="str">
        <f>"1552375032135272"</f>
        <v>1552375032135272</v>
      </c>
      <c r="C7159" t="s">
        <v>40</v>
      </c>
      <c r="D7159">
        <v>5.1482650000000003</v>
      </c>
      <c r="E7159">
        <v>0.47606939999999998</v>
      </c>
      <c r="F7159" t="s">
        <v>46</v>
      </c>
      <c r="G7159">
        <v>0</v>
      </c>
      <c r="H7159">
        <v>0</v>
      </c>
      <c r="I7159">
        <v>0</v>
      </c>
      <c r="J7159">
        <v>-154.3177</v>
      </c>
      <c r="K7159">
        <v>1.109515</v>
      </c>
      <c r="L7159">
        <v>140.4255</v>
      </c>
      <c r="M7159">
        <v>0.99615299999999996</v>
      </c>
      <c r="N7159">
        <v>0</v>
      </c>
      <c r="O7159">
        <v>8.656693E-2</v>
      </c>
      <c r="P7159">
        <v>0.98327430000000005</v>
      </c>
      <c r="Q7159">
        <v>0.17203889999999999</v>
      </c>
      <c r="R7159">
        <v>5.9786909999999999E-2</v>
      </c>
      <c r="S7159">
        <v>2.9506380000000001</v>
      </c>
      <c r="T7159">
        <v>0.43826769999999998</v>
      </c>
      <c r="U7159">
        <v>0.3759613</v>
      </c>
      <c r="V7159">
        <v>2.612016E-2</v>
      </c>
      <c r="W7159">
        <v>0.18535650000000001</v>
      </c>
      <c r="X7159">
        <v>0.98232410000000003</v>
      </c>
      <c r="Y7159">
        <v>-4.0533819999999998E-2</v>
      </c>
      <c r="Z7159">
        <v>9.7270169999999993E-3</v>
      </c>
      <c r="AA7159">
        <v>0.99913079999999999</v>
      </c>
      <c r="AB7159">
        <v>21</v>
      </c>
      <c r="AC7159">
        <v>2.9506380000000001</v>
      </c>
      <c r="AD7159">
        <v>0.43826769999999998</v>
      </c>
      <c r="AE7159">
        <v>0.3759613</v>
      </c>
      <c r="AF7159">
        <v>-0.116567698355636</v>
      </c>
      <c r="AG7159">
        <v>0.43826769999999998</v>
      </c>
      <c r="AH7159">
        <v>2.9089557689134899</v>
      </c>
      <c r="AI7159">
        <v>81.438938524613604</v>
      </c>
      <c r="AJ7159">
        <v>92.294729185020302</v>
      </c>
      <c r="AK7159">
        <v>2.9440941341367299</v>
      </c>
      <c r="AL7159">
        <v>79.318081805807395</v>
      </c>
      <c r="AM7159">
        <v>88.476854668905901</v>
      </c>
      <c r="AN7159">
        <v>0.99999996614574205</v>
      </c>
    </row>
    <row r="7160" spans="1:40" x14ac:dyDescent="0.25">
      <c r="A7160" t="str">
        <f>"20190312151712161"</f>
        <v>20190312151712161</v>
      </c>
      <c r="B7160" t="str">
        <f>"1552375032154792"</f>
        <v>1552375032154792</v>
      </c>
      <c r="C7160" t="s">
        <v>40</v>
      </c>
      <c r="D7160">
        <v>5.2139340000000001</v>
      </c>
      <c r="E7160">
        <v>0.47595929999999997</v>
      </c>
      <c r="F7160" t="s">
        <v>46</v>
      </c>
      <c r="G7160">
        <v>0</v>
      </c>
      <c r="H7160">
        <v>0</v>
      </c>
      <c r="I7160">
        <v>0</v>
      </c>
      <c r="J7160">
        <v>-154.11109999999999</v>
      </c>
      <c r="K7160">
        <v>1.1095440000000001</v>
      </c>
      <c r="L7160">
        <v>140.4409</v>
      </c>
      <c r="M7160">
        <v>0.996332</v>
      </c>
      <c r="N7160">
        <v>0</v>
      </c>
      <c r="O7160">
        <v>8.4482390000000004E-2</v>
      </c>
      <c r="P7160">
        <v>0.98251500000000003</v>
      </c>
      <c r="Q7160">
        <v>0.17750360000000001</v>
      </c>
      <c r="R7160">
        <v>5.6187279999999999E-2</v>
      </c>
      <c r="S7160">
        <v>2.9510800000000001</v>
      </c>
      <c r="T7160">
        <v>0.44184790000000002</v>
      </c>
      <c r="U7160">
        <v>0.3724365</v>
      </c>
      <c r="V7160">
        <v>2.759692E-2</v>
      </c>
      <c r="W7160">
        <v>0.19080069999999999</v>
      </c>
      <c r="X7160">
        <v>0.98124080000000002</v>
      </c>
      <c r="Y7160">
        <v>-4.1407050000000001E-2</v>
      </c>
      <c r="Z7160">
        <v>9.4327820000000007E-3</v>
      </c>
      <c r="AA7160">
        <v>0.99909780000000004</v>
      </c>
      <c r="AB7160">
        <v>21</v>
      </c>
      <c r="AC7160">
        <v>2.9510800000000001</v>
      </c>
      <c r="AD7160">
        <v>0.44184790000000002</v>
      </c>
      <c r="AE7160">
        <v>0.3724365</v>
      </c>
      <c r="AF7160">
        <v>-0.119138497776225</v>
      </c>
      <c r="AG7160">
        <v>0.44184790000000002</v>
      </c>
      <c r="AH7160">
        <v>2.90783127303526</v>
      </c>
      <c r="AI7160">
        <v>81.367074579370097</v>
      </c>
      <c r="AJ7160">
        <v>92.346187481085707</v>
      </c>
      <c r="AK7160">
        <v>2.9436212835262401</v>
      </c>
      <c r="AL7160">
        <v>79.000484211690406</v>
      </c>
      <c r="AM7160">
        <v>88.389008751795799</v>
      </c>
      <c r="AN7160">
        <v>1.0000000023493001</v>
      </c>
    </row>
    <row r="7161" spans="1:40" x14ac:dyDescent="0.25">
      <c r="A7161" t="str">
        <f>"20190312151712196"</f>
        <v>20190312151712196</v>
      </c>
      <c r="B7161" t="str">
        <f>"1552375032185048"</f>
        <v>1552375032185048</v>
      </c>
      <c r="C7161" t="s">
        <v>40</v>
      </c>
      <c r="D7161">
        <v>5.1894519999999904</v>
      </c>
      <c r="E7161">
        <v>0.50657339999999995</v>
      </c>
      <c r="F7161" t="s">
        <v>46</v>
      </c>
      <c r="G7161">
        <v>0</v>
      </c>
      <c r="H7161">
        <v>0</v>
      </c>
      <c r="I7161">
        <v>0</v>
      </c>
      <c r="J7161">
        <v>-153.78989999999999</v>
      </c>
      <c r="K7161">
        <v>1.109558</v>
      </c>
      <c r="L7161">
        <v>140.4641</v>
      </c>
      <c r="M7161">
        <v>0.99660150000000003</v>
      </c>
      <c r="N7161">
        <v>0</v>
      </c>
      <c r="O7161">
        <v>8.1241659999999993E-2</v>
      </c>
      <c r="P7161">
        <v>0.98219699999999999</v>
      </c>
      <c r="Q7161">
        <v>0.18078959999999999</v>
      </c>
      <c r="R7161">
        <v>5.1033259999999997E-2</v>
      </c>
      <c r="S7161">
        <v>2.9506679999999998</v>
      </c>
      <c r="T7161">
        <v>0.45375589999999999</v>
      </c>
      <c r="U7161">
        <v>0.36299130000000002</v>
      </c>
      <c r="V7161">
        <v>2.9515619999999999E-2</v>
      </c>
      <c r="W7161">
        <v>0.1940683</v>
      </c>
      <c r="X7161">
        <v>0.98054390000000002</v>
      </c>
      <c r="Y7161">
        <v>-4.1512109999999998E-2</v>
      </c>
      <c r="Z7161">
        <v>9.1886060000000002E-3</v>
      </c>
      <c r="AA7161">
        <v>0.99909570000000003</v>
      </c>
      <c r="AB7161">
        <v>21</v>
      </c>
      <c r="AC7161">
        <v>2.9506679999999998</v>
      </c>
      <c r="AD7161">
        <v>0.45375589999999999</v>
      </c>
      <c r="AE7161">
        <v>0.36299130000000002</v>
      </c>
      <c r="AF7161">
        <v>-0.119273228915883</v>
      </c>
      <c r="AG7161">
        <v>0.45375589999999999</v>
      </c>
      <c r="AH7161">
        <v>2.9027822204420199</v>
      </c>
      <c r="AI7161">
        <v>81.122932063624006</v>
      </c>
      <c r="AJ7161">
        <v>92.352918706302106</v>
      </c>
      <c r="AK7161">
        <v>2.94045322003856</v>
      </c>
      <c r="AL7161">
        <v>78.809698677432905</v>
      </c>
      <c r="AM7161">
        <v>88.275844696006104</v>
      </c>
      <c r="AN7161">
        <v>1.00000000835804</v>
      </c>
    </row>
    <row r="7162" spans="1:40" x14ac:dyDescent="0.25">
      <c r="A7162" t="str">
        <f>"20190312151712218"</f>
        <v>20190312151712218</v>
      </c>
      <c r="B7162" t="str">
        <f>"1552375032215305"</f>
        <v>1552375032215305</v>
      </c>
      <c r="C7162" t="s">
        <v>40</v>
      </c>
      <c r="D7162">
        <v>5.2133339999999997</v>
      </c>
      <c r="E7162">
        <v>0.51069179999999903</v>
      </c>
      <c r="F7162" t="s">
        <v>43</v>
      </c>
      <c r="G7162">
        <v>-99.485330000000005</v>
      </c>
      <c r="H7162" s="1">
        <v>-1.01095E-6</v>
      </c>
      <c r="I7162">
        <v>142.6525</v>
      </c>
      <c r="J7162">
        <v>-153.58000000000001</v>
      </c>
      <c r="K7162">
        <v>1.109558</v>
      </c>
      <c r="L7162">
        <v>140.4787</v>
      </c>
      <c r="M7162">
        <v>0.99677199999999999</v>
      </c>
      <c r="N7162">
        <v>0</v>
      </c>
      <c r="O7162">
        <v>7.9122659999999997E-2</v>
      </c>
      <c r="P7162">
        <v>0.98209789999999997</v>
      </c>
      <c r="Q7162">
        <v>0.18231</v>
      </c>
      <c r="R7162">
        <v>4.7401850000000002E-2</v>
      </c>
      <c r="S7162">
        <v>3.0594939999999999</v>
      </c>
      <c r="T7162">
        <v>-6.2511919999999999E-2</v>
      </c>
      <c r="U7162">
        <v>0.123291</v>
      </c>
      <c r="V7162">
        <v>3.1040310000000002E-2</v>
      </c>
      <c r="W7162">
        <v>0.19557749999999999</v>
      </c>
      <c r="X7162">
        <v>0.98019690000000004</v>
      </c>
      <c r="Y7162">
        <v>3.8902359999999997E-2</v>
      </c>
      <c r="Z7162">
        <v>-2.0112820000000001E-3</v>
      </c>
      <c r="AA7162">
        <v>0.99924100000000005</v>
      </c>
      <c r="AB7162">
        <v>21</v>
      </c>
      <c r="AC7162">
        <v>54.094670000000001</v>
      </c>
      <c r="AD7162">
        <v>-1.10955901095</v>
      </c>
      <c r="AE7162">
        <v>2.1738</v>
      </c>
      <c r="AF7162">
        <v>2.11263952005983</v>
      </c>
      <c r="AG7162">
        <v>-1.10955901095</v>
      </c>
      <c r="AH7162">
        <v>54.074345037210598</v>
      </c>
      <c r="AI7162">
        <v>91.174599256101502</v>
      </c>
      <c r="AJ7162">
        <v>87.762639629897606</v>
      </c>
      <c r="AK7162">
        <v>54.126972556608003</v>
      </c>
      <c r="AL7162">
        <v>78.721538623987797</v>
      </c>
      <c r="AM7162">
        <v>88.186196453145897</v>
      </c>
      <c r="AN7162">
        <v>1.00000001106037</v>
      </c>
    </row>
    <row r="7163" spans="1:40" x14ac:dyDescent="0.25">
      <c r="A7163" t="str">
        <f>"20190312151712240"</f>
        <v>20190312151712240</v>
      </c>
      <c r="B7163" t="str">
        <f>"1552375032235332"</f>
        <v>1552375032235332</v>
      </c>
      <c r="C7163" t="s">
        <v>40</v>
      </c>
      <c r="D7163">
        <v>5.2152659999999997</v>
      </c>
      <c r="E7163">
        <v>0.52705089999999999</v>
      </c>
      <c r="F7163" t="s">
        <v>43</v>
      </c>
      <c r="G7163">
        <v>-125.9294</v>
      </c>
      <c r="H7163" s="1">
        <v>-2.152671E-6</v>
      </c>
      <c r="I7163">
        <v>141.21010000000001</v>
      </c>
      <c r="J7163">
        <v>-153.37430000000001</v>
      </c>
      <c r="K7163">
        <v>1.1095630000000001</v>
      </c>
      <c r="L7163">
        <v>140.49260000000001</v>
      </c>
      <c r="M7163">
        <v>0.99693449999999995</v>
      </c>
      <c r="N7163">
        <v>0</v>
      </c>
      <c r="O7163">
        <v>7.7047099999999993E-2</v>
      </c>
      <c r="P7163">
        <v>0.98201609999999995</v>
      </c>
      <c r="Q7163">
        <v>0.18361340000000001</v>
      </c>
      <c r="R7163">
        <v>4.3936599999999999E-2</v>
      </c>
      <c r="S7163">
        <v>3.0736539999999999</v>
      </c>
      <c r="T7163">
        <v>-0.1233389</v>
      </c>
      <c r="U7163">
        <v>8.1298830000000002E-2</v>
      </c>
      <c r="V7163">
        <v>3.2444929999999997E-2</v>
      </c>
      <c r="W7163">
        <v>0.1968713</v>
      </c>
      <c r="X7163">
        <v>0.9798924</v>
      </c>
      <c r="Y7163">
        <v>5.0562450000000002E-2</v>
      </c>
      <c r="Z7163">
        <v>-4.1010389999999999E-3</v>
      </c>
      <c r="AA7163">
        <v>0.9987125</v>
      </c>
      <c r="AB7163">
        <v>21</v>
      </c>
      <c r="AC7163">
        <v>27.444900000000001</v>
      </c>
      <c r="AD7163">
        <v>-1.10956515267099</v>
      </c>
      <c r="AE7163">
        <v>0.71750000000000103</v>
      </c>
      <c r="AF7163">
        <v>1.3970971605764599</v>
      </c>
      <c r="AG7163">
        <v>-1.10956515267099</v>
      </c>
      <c r="AH7163">
        <v>27.373878273392901</v>
      </c>
      <c r="AI7163">
        <v>92.318126607299106</v>
      </c>
      <c r="AJ7163">
        <v>87.078295786269507</v>
      </c>
      <c r="AK7163">
        <v>27.431956310672501</v>
      </c>
      <c r="AL7163">
        <v>78.645940055785999</v>
      </c>
      <c r="AM7163">
        <v>88.103589062087707</v>
      </c>
      <c r="AN7163">
        <v>1.0000000489120699</v>
      </c>
    </row>
    <row r="7164" spans="1:40" x14ac:dyDescent="0.25">
      <c r="A7164" t="str">
        <f>"20190312151712262"</f>
        <v>20190312151712262</v>
      </c>
      <c r="B7164" t="str">
        <f>"1552375032254853"</f>
        <v>1552375032254853</v>
      </c>
      <c r="C7164" t="s">
        <v>40</v>
      </c>
      <c r="D7164">
        <v>5.1948670000000003</v>
      </c>
      <c r="E7164">
        <v>0.5267425</v>
      </c>
      <c r="F7164" t="s">
        <v>41</v>
      </c>
      <c r="G7164">
        <v>-152.5437</v>
      </c>
      <c r="H7164">
        <v>0.99432920000000002</v>
      </c>
      <c r="I7164">
        <v>140.4795</v>
      </c>
      <c r="J7164">
        <v>-153.17009999999999</v>
      </c>
      <c r="K7164">
        <v>1.1095729999999999</v>
      </c>
      <c r="L7164">
        <v>140.5059</v>
      </c>
      <c r="M7164">
        <v>0.99709139999999996</v>
      </c>
      <c r="N7164">
        <v>0</v>
      </c>
      <c r="O7164">
        <v>7.4988630000000001E-2</v>
      </c>
      <c r="P7164">
        <v>0.98196470000000002</v>
      </c>
      <c r="Q7164">
        <v>0.18448880000000001</v>
      </c>
      <c r="R7164">
        <v>4.1345189999999997E-2</v>
      </c>
      <c r="S7164">
        <v>3.1385040000000002</v>
      </c>
      <c r="T7164">
        <v>-0.43534869999999998</v>
      </c>
      <c r="U7164">
        <v>-4.8583979999999999E-2</v>
      </c>
      <c r="V7164">
        <v>3.2997609999999997E-2</v>
      </c>
      <c r="W7164">
        <v>0.19775619999999999</v>
      </c>
      <c r="X7164">
        <v>0.97969569999999995</v>
      </c>
      <c r="Y7164">
        <v>8.8853280000000007E-2</v>
      </c>
      <c r="Z7164">
        <v>-1.6479580000000001E-2</v>
      </c>
      <c r="AA7164">
        <v>0.99590840000000003</v>
      </c>
      <c r="AB7164">
        <v>21</v>
      </c>
      <c r="AC7164">
        <v>0.62639999999998897</v>
      </c>
      <c r="AD7164">
        <v>-0.11524379999999999</v>
      </c>
      <c r="AE7164">
        <v>-2.6399999999995299E-2</v>
      </c>
      <c r="AF7164">
        <v>7.0907087951278897E-2</v>
      </c>
      <c r="AG7164">
        <v>-0.11524379999999999</v>
      </c>
      <c r="AH7164">
        <v>0.60230546686112596</v>
      </c>
      <c r="AI7164">
        <v>100.759377373346</v>
      </c>
      <c r="AJ7164">
        <v>83.285694988559598</v>
      </c>
      <c r="AK7164">
        <v>0.61731744181658199</v>
      </c>
      <c r="AL7164">
        <v>78.594221828645999</v>
      </c>
      <c r="AM7164">
        <v>88.070922084818307</v>
      </c>
      <c r="AN7164">
        <v>1.0000000107513201</v>
      </c>
    </row>
    <row r="7165" spans="1:40" x14ac:dyDescent="0.25">
      <c r="A7165" t="str">
        <f>"20190312151712285"</f>
        <v>20190312151712285</v>
      </c>
      <c r="B7165" t="str">
        <f>"1552375032275349"</f>
        <v>1552375032275349</v>
      </c>
      <c r="C7165" t="s">
        <v>40</v>
      </c>
      <c r="D7165">
        <v>5.1768260000000001</v>
      </c>
      <c r="E7165">
        <v>0.52546949999999903</v>
      </c>
      <c r="F7165" t="s">
        <v>41</v>
      </c>
      <c r="G7165">
        <v>-152.35669999999999</v>
      </c>
      <c r="H7165">
        <v>0.99554900000000002</v>
      </c>
      <c r="I7165">
        <v>140.49160000000001</v>
      </c>
      <c r="J7165">
        <v>-152.95769999999999</v>
      </c>
      <c r="K7165">
        <v>1.1096189999999999</v>
      </c>
      <c r="L7165">
        <v>140.51929999999999</v>
      </c>
      <c r="M7165">
        <v>0.99724820000000003</v>
      </c>
      <c r="N7165">
        <v>0</v>
      </c>
      <c r="O7165">
        <v>7.2856359999999995E-2</v>
      </c>
      <c r="P7165">
        <v>0.98192939999999995</v>
      </c>
      <c r="Q7165">
        <v>0.18515670000000001</v>
      </c>
      <c r="R7165">
        <v>3.9140719999999997E-2</v>
      </c>
      <c r="S7165">
        <v>3.1401370000000002</v>
      </c>
      <c r="T7165">
        <v>-0.44018259999999998</v>
      </c>
      <c r="U7165">
        <v>-5.5007929999999997E-2</v>
      </c>
      <c r="V7165">
        <v>3.3092000000000003E-2</v>
      </c>
      <c r="W7165">
        <v>0.19851199999999999</v>
      </c>
      <c r="X7165">
        <v>0.97953959999999995</v>
      </c>
      <c r="Y7165">
        <v>8.8741340000000002E-2</v>
      </c>
      <c r="Z7165">
        <v>-1.634741E-2</v>
      </c>
      <c r="AA7165">
        <v>0.99592049999999999</v>
      </c>
      <c r="AB7165">
        <v>21</v>
      </c>
      <c r="AC7165">
        <v>0.60099999999999898</v>
      </c>
      <c r="AD7165">
        <v>-0.11407</v>
      </c>
      <c r="AE7165">
        <v>-2.76999999999816E-2</v>
      </c>
      <c r="AF7165">
        <v>6.8938956217604E-2</v>
      </c>
      <c r="AG7165">
        <v>-0.11407</v>
      </c>
      <c r="AH7165">
        <v>0.57665472662975303</v>
      </c>
      <c r="AI7165">
        <v>101.112276891826</v>
      </c>
      <c r="AJ7165">
        <v>83.1826564310403</v>
      </c>
      <c r="AK7165">
        <v>0.59185743074562103</v>
      </c>
      <c r="AL7165">
        <v>78.550041231365</v>
      </c>
      <c r="AM7165">
        <v>88.0651000615416</v>
      </c>
      <c r="AN7165">
        <v>0.999999961288079</v>
      </c>
    </row>
    <row r="7166" spans="1:40" x14ac:dyDescent="0.25">
      <c r="A7166" t="str">
        <f>"20190312151712307"</f>
        <v>20190312151712307</v>
      </c>
      <c r="B7166" t="str">
        <f>"1552375032294869"</f>
        <v>1552375032294869</v>
      </c>
      <c r="C7166" t="s">
        <v>40</v>
      </c>
      <c r="D7166">
        <v>5.1575610000000003</v>
      </c>
      <c r="E7166">
        <v>0.52541309999999997</v>
      </c>
      <c r="F7166" t="s">
        <v>41</v>
      </c>
      <c r="G7166">
        <v>-152.1711</v>
      </c>
      <c r="H7166">
        <v>0.99544160000000004</v>
      </c>
      <c r="I7166">
        <v>140.5061</v>
      </c>
      <c r="J7166">
        <v>-152.75280000000001</v>
      </c>
      <c r="K7166">
        <v>1.109691</v>
      </c>
      <c r="L7166">
        <v>140.5318</v>
      </c>
      <c r="M7166">
        <v>0.99739339999999999</v>
      </c>
      <c r="N7166">
        <v>0</v>
      </c>
      <c r="O7166">
        <v>7.0799799999999996E-2</v>
      </c>
      <c r="P7166">
        <v>0.98195080000000001</v>
      </c>
      <c r="Q7166">
        <v>0.18540400000000001</v>
      </c>
      <c r="R7166">
        <v>3.7394459999999997E-2</v>
      </c>
      <c r="S7166">
        <v>3.1432950000000002</v>
      </c>
      <c r="T7166">
        <v>-0.45621499999999998</v>
      </c>
      <c r="U7166">
        <v>-5.212402E-2</v>
      </c>
      <c r="V7166">
        <v>3.2805029999999999E-2</v>
      </c>
      <c r="W7166">
        <v>0.19896800000000001</v>
      </c>
      <c r="X7166">
        <v>0.97945680000000002</v>
      </c>
      <c r="Y7166">
        <v>8.5696729999999999E-2</v>
      </c>
      <c r="Z7166">
        <v>-1.640374E-2</v>
      </c>
      <c r="AA7166">
        <v>0.99618620000000002</v>
      </c>
      <c r="AB7166">
        <v>21</v>
      </c>
      <c r="AC7166">
        <v>0.58170000000001199</v>
      </c>
      <c r="AD7166">
        <v>-0.1142494</v>
      </c>
      <c r="AE7166">
        <v>-2.57000000000005E-2</v>
      </c>
      <c r="AF7166">
        <v>6.4346381668698299E-2</v>
      </c>
      <c r="AG7166">
        <v>-0.1142494</v>
      </c>
      <c r="AH7166">
        <v>0.55697653525892099</v>
      </c>
      <c r="AI7166">
        <v>101.517420240362</v>
      </c>
      <c r="AJ7166">
        <v>83.409948437585399</v>
      </c>
      <c r="AK7166">
        <v>0.57220297365816397</v>
      </c>
      <c r="AL7166">
        <v>78.523383362511794</v>
      </c>
      <c r="AM7166">
        <v>88.081704669861907</v>
      </c>
      <c r="AN7166">
        <v>1.0000000290417601</v>
      </c>
    </row>
    <row r="7167" spans="1:40" x14ac:dyDescent="0.25">
      <c r="A7167" t="str">
        <f>"20190312151712330"</f>
        <v>20190312151712330</v>
      </c>
      <c r="B7167" t="str">
        <f>"1552375032325124"</f>
        <v>1552375032325124</v>
      </c>
      <c r="C7167" t="s">
        <v>40</v>
      </c>
      <c r="D7167">
        <v>5.1715470000000003</v>
      </c>
      <c r="E7167">
        <v>0.52547369999999904</v>
      </c>
      <c r="F7167" t="s">
        <v>41</v>
      </c>
      <c r="G7167">
        <v>-151.98500000000001</v>
      </c>
      <c r="H7167">
        <v>0.99787599999999999</v>
      </c>
      <c r="I7167">
        <v>140.51779999999999</v>
      </c>
      <c r="J7167">
        <v>-152.5428</v>
      </c>
      <c r="K7167">
        <v>1.1097870000000001</v>
      </c>
      <c r="L7167">
        <v>140.54429999999999</v>
      </c>
      <c r="M7167">
        <v>0.99753639999999999</v>
      </c>
      <c r="N7167">
        <v>0</v>
      </c>
      <c r="O7167">
        <v>6.8687109999999996E-2</v>
      </c>
      <c r="P7167">
        <v>0.98218629999999996</v>
      </c>
      <c r="Q7167">
        <v>0.18443190000000001</v>
      </c>
      <c r="R7167">
        <v>3.5986810000000001E-2</v>
      </c>
      <c r="S7167">
        <v>3.1437840000000001</v>
      </c>
      <c r="T7167">
        <v>-0.45779920000000002</v>
      </c>
      <c r="U7167">
        <v>-5.7220460000000001E-2</v>
      </c>
      <c r="V7167">
        <v>3.21363E-2</v>
      </c>
      <c r="W7167">
        <v>0.1983259</v>
      </c>
      <c r="X7167">
        <v>0.97960910000000001</v>
      </c>
      <c r="Y7167">
        <v>8.5215449999999998E-2</v>
      </c>
      <c r="Z7167">
        <v>-1.611711E-2</v>
      </c>
      <c r="AA7167">
        <v>0.99623220000000001</v>
      </c>
      <c r="AB7167">
        <v>21</v>
      </c>
      <c r="AC7167">
        <v>0.55779999999998597</v>
      </c>
      <c r="AD7167">
        <v>-0.111911</v>
      </c>
      <c r="AE7167">
        <v>-2.6499999999998601E-2</v>
      </c>
      <c r="AF7167">
        <v>6.2254724131254602E-2</v>
      </c>
      <c r="AG7167">
        <v>-0.111911</v>
      </c>
      <c r="AH7167">
        <v>0.53324601973484098</v>
      </c>
      <c r="AI7167">
        <v>101.774789327319</v>
      </c>
      <c r="AJ7167">
        <v>83.3410498298948</v>
      </c>
      <c r="AK7167">
        <v>0.54840773167480805</v>
      </c>
      <c r="AL7167">
        <v>78.560920110936806</v>
      </c>
      <c r="AM7167">
        <v>88.121072712278306</v>
      </c>
      <c r="AN7167">
        <v>0.99999994659565306</v>
      </c>
    </row>
    <row r="7168" spans="1:40" x14ac:dyDescent="0.25">
      <c r="A7168" t="str">
        <f>"20190312151712351"</f>
        <v>20190312151712351</v>
      </c>
      <c r="B7168" t="str">
        <f>"1552375032344645"</f>
        <v>1552375032344645</v>
      </c>
      <c r="C7168" t="s">
        <v>40</v>
      </c>
      <c r="D7168">
        <v>5.1662049999999997</v>
      </c>
      <c r="E7168">
        <v>0.52557119999999902</v>
      </c>
      <c r="F7168" t="s">
        <v>41</v>
      </c>
      <c r="G7168">
        <v>-151.79990000000001</v>
      </c>
      <c r="H7168">
        <v>1.000095</v>
      </c>
      <c r="I7168">
        <v>140.52930000000001</v>
      </c>
      <c r="J7168">
        <v>-152.34309999999999</v>
      </c>
      <c r="K7168">
        <v>1.109888</v>
      </c>
      <c r="L7168">
        <v>140.5556</v>
      </c>
      <c r="M7168">
        <v>0.99766710000000003</v>
      </c>
      <c r="N7168">
        <v>0</v>
      </c>
      <c r="O7168">
        <v>6.667613E-2</v>
      </c>
      <c r="P7168">
        <v>0.98228839999999995</v>
      </c>
      <c r="Q7168">
        <v>0.18415029999999999</v>
      </c>
      <c r="R7168">
        <v>3.4618320000000001E-2</v>
      </c>
      <c r="S7168">
        <v>3.1438449999999998</v>
      </c>
      <c r="T7168">
        <v>-0.46411419999999998</v>
      </c>
      <c r="U7168">
        <v>-6.2332150000000003E-2</v>
      </c>
      <c r="V7168">
        <v>3.1523660000000002E-2</v>
      </c>
      <c r="W7168">
        <v>0.19843810000000001</v>
      </c>
      <c r="X7168">
        <v>0.97960630000000004</v>
      </c>
      <c r="Y7168">
        <v>8.4807949999999993E-2</v>
      </c>
      <c r="Z7168">
        <v>-1.6011930000000001E-2</v>
      </c>
      <c r="AA7168">
        <v>0.99626859999999995</v>
      </c>
      <c r="AB7168">
        <v>21</v>
      </c>
      <c r="AC7168">
        <v>0.54319999999998403</v>
      </c>
      <c r="AD7168">
        <v>-0.109792999999999</v>
      </c>
      <c r="AE7168">
        <v>-2.6299999999992E-2</v>
      </c>
      <c r="AF7168">
        <v>6.0017624312436402E-2</v>
      </c>
      <c r="AG7168">
        <v>-0.109792999999999</v>
      </c>
      <c r="AH7168">
        <v>0.51908048644512195</v>
      </c>
      <c r="AI7168">
        <v>101.86606725116999</v>
      </c>
      <c r="AJ7168">
        <v>83.404578777120307</v>
      </c>
      <c r="AK7168">
        <v>0.53394865809852199</v>
      </c>
      <c r="AL7168">
        <v>78.554361340373106</v>
      </c>
      <c r="AM7168">
        <v>88.156861995945306</v>
      </c>
      <c r="AN7168">
        <v>0.99999996183554696</v>
      </c>
    </row>
    <row r="7169" spans="1:40" x14ac:dyDescent="0.25">
      <c r="A7169" t="str">
        <f>"20190312151712373"</f>
        <v>20190312151712373</v>
      </c>
      <c r="B7169" t="str">
        <f>"1552375032365141"</f>
        <v>1552375032365141</v>
      </c>
      <c r="C7169" t="s">
        <v>40</v>
      </c>
      <c r="D7169">
        <v>5.1495350000000002</v>
      </c>
      <c r="E7169">
        <v>0.52559440000000002</v>
      </c>
      <c r="F7169" t="s">
        <v>41</v>
      </c>
      <c r="G7169">
        <v>-151.61600000000001</v>
      </c>
      <c r="H7169">
        <v>1.00173</v>
      </c>
      <c r="I7169">
        <v>140.53989999999999</v>
      </c>
      <c r="J7169">
        <v>-152.13919999999999</v>
      </c>
      <c r="K7169">
        <v>1.109993</v>
      </c>
      <c r="L7169">
        <v>140.5668</v>
      </c>
      <c r="M7169">
        <v>0.99779499999999999</v>
      </c>
      <c r="N7169">
        <v>0</v>
      </c>
      <c r="O7169">
        <v>6.4627770000000001E-2</v>
      </c>
      <c r="P7169">
        <v>0.98218629999999996</v>
      </c>
      <c r="Q7169">
        <v>0.18507940000000001</v>
      </c>
      <c r="R7169">
        <v>3.2493729999999998E-2</v>
      </c>
      <c r="S7169">
        <v>3.1441650000000001</v>
      </c>
      <c r="T7169">
        <v>-0.46765879999999999</v>
      </c>
      <c r="U7169">
        <v>-6.7779539999999999E-2</v>
      </c>
      <c r="V7169">
        <v>3.1621879999999998E-2</v>
      </c>
      <c r="W7169">
        <v>0.19981889999999999</v>
      </c>
      <c r="X7169">
        <v>0.97932240000000004</v>
      </c>
      <c r="Y7169">
        <v>8.4487720000000002E-2</v>
      </c>
      <c r="Z7169">
        <v>-1.5804889999999999E-2</v>
      </c>
      <c r="AA7169">
        <v>0.99629909999999999</v>
      </c>
      <c r="AB7169">
        <v>21</v>
      </c>
      <c r="AC7169">
        <v>0.52319999999997402</v>
      </c>
      <c r="AD7169">
        <v>-0.108263</v>
      </c>
      <c r="AE7169">
        <v>-2.6900000000011901E-2</v>
      </c>
      <c r="AF7169">
        <v>5.8176440820974298E-2</v>
      </c>
      <c r="AG7169">
        <v>-0.108263</v>
      </c>
      <c r="AH7169">
        <v>0.499055162183006</v>
      </c>
      <c r="AI7169">
        <v>102.15998864360201</v>
      </c>
      <c r="AJ7169">
        <v>83.350860203189697</v>
      </c>
      <c r="AK7169">
        <v>0.51396637082313401</v>
      </c>
      <c r="AL7169">
        <v>78.473630410576803</v>
      </c>
      <c r="AM7169">
        <v>88.150587602413196</v>
      </c>
      <c r="AN7169">
        <v>0.99999994961685001</v>
      </c>
    </row>
    <row r="7170" spans="1:40" x14ac:dyDescent="0.25">
      <c r="A7170" t="str">
        <f>"20190312151712397"</f>
        <v>20190312151712397</v>
      </c>
      <c r="B7170" t="str">
        <f>"1552375032385637"</f>
        <v>1552375032385637</v>
      </c>
      <c r="C7170" t="s">
        <v>40</v>
      </c>
      <c r="D7170">
        <v>5.1559609999999996</v>
      </c>
      <c r="E7170">
        <v>0.52544449999999998</v>
      </c>
      <c r="F7170" t="s">
        <v>41</v>
      </c>
      <c r="G7170">
        <v>-151.26320000000001</v>
      </c>
      <c r="H7170">
        <v>0.98024679999999997</v>
      </c>
      <c r="I7170">
        <v>140.54589999999999</v>
      </c>
      <c r="J7170">
        <v>-151.93010000000001</v>
      </c>
      <c r="K7170">
        <v>1.110077</v>
      </c>
      <c r="L7170">
        <v>140.5778</v>
      </c>
      <c r="M7170">
        <v>0.99792029999999998</v>
      </c>
      <c r="N7170">
        <v>0</v>
      </c>
      <c r="O7170">
        <v>6.2536610000000006E-2</v>
      </c>
      <c r="P7170">
        <v>0.98216060000000005</v>
      </c>
      <c r="Q7170">
        <v>0.18555579999999999</v>
      </c>
      <c r="R7170">
        <v>3.0484239999999999E-2</v>
      </c>
      <c r="S7170">
        <v>3.1446529999999999</v>
      </c>
      <c r="T7170">
        <v>-0.46576980000000001</v>
      </c>
      <c r="U7170">
        <v>-7.455444E-2</v>
      </c>
      <c r="V7170">
        <v>3.1569020000000003E-2</v>
      </c>
      <c r="W7170">
        <v>0.2007949</v>
      </c>
      <c r="X7170">
        <v>0.97912449999999995</v>
      </c>
      <c r="Y7170">
        <v>8.4577879999999994E-2</v>
      </c>
      <c r="Z7170">
        <v>-1.543814E-2</v>
      </c>
      <c r="AA7170">
        <v>0.99629719999999999</v>
      </c>
      <c r="AB7170">
        <v>20</v>
      </c>
      <c r="AC7170">
        <v>0.66689999999999805</v>
      </c>
      <c r="AD7170">
        <v>-0.12983019999999901</v>
      </c>
      <c r="AE7170">
        <v>-3.1900000000007298E-2</v>
      </c>
      <c r="AF7170">
        <v>7.0868574471779494E-2</v>
      </c>
      <c r="AG7170">
        <v>-0.12983019999999901</v>
      </c>
      <c r="AH7170">
        <v>0.63942095531041798</v>
      </c>
      <c r="AI7170">
        <v>101.40948721792</v>
      </c>
      <c r="AJ7170">
        <v>83.675581601267496</v>
      </c>
      <c r="AK7170">
        <v>0.65630586906547606</v>
      </c>
      <c r="AL7170">
        <v>78.416553429184802</v>
      </c>
      <c r="AM7170">
        <v>88.153304070029506</v>
      </c>
      <c r="AN7170">
        <v>0.99999999069501</v>
      </c>
    </row>
    <row r="7171" spans="1:40" x14ac:dyDescent="0.25">
      <c r="A7171" t="str">
        <f>"20190312151712421"</f>
        <v>20190312151712421</v>
      </c>
      <c r="B7171" t="str">
        <f>"1552375032414917"</f>
        <v>1552375032414917</v>
      </c>
      <c r="C7171" t="s">
        <v>40</v>
      </c>
      <c r="D7171">
        <v>5.171017</v>
      </c>
      <c r="E7171">
        <v>0.52541949999999904</v>
      </c>
      <c r="F7171" t="s">
        <v>41</v>
      </c>
      <c r="G7171">
        <v>-151.08160000000001</v>
      </c>
      <c r="H7171">
        <v>0.98470440000000004</v>
      </c>
      <c r="I7171">
        <v>140.5564</v>
      </c>
      <c r="J7171">
        <v>-151.7225</v>
      </c>
      <c r="K7171">
        <v>1.110163</v>
      </c>
      <c r="L7171">
        <v>140.5882</v>
      </c>
      <c r="M7171">
        <v>0.99803980000000003</v>
      </c>
      <c r="N7171">
        <v>0</v>
      </c>
      <c r="O7171">
        <v>6.0459430000000002E-2</v>
      </c>
      <c r="P7171">
        <v>0.98249050000000004</v>
      </c>
      <c r="Q7171">
        <v>0.18414340000000001</v>
      </c>
      <c r="R7171">
        <v>2.8348999999999999E-2</v>
      </c>
      <c r="S7171">
        <v>3.14473</v>
      </c>
      <c r="T7171">
        <v>-0.46462740000000002</v>
      </c>
      <c r="U7171">
        <v>-7.9071039999999995E-2</v>
      </c>
      <c r="V7171">
        <v>3.1669860000000001E-2</v>
      </c>
      <c r="W7171">
        <v>0.19990540000000001</v>
      </c>
      <c r="X7171">
        <v>0.97930320000000004</v>
      </c>
      <c r="Y7171">
        <v>8.3971279999999995E-2</v>
      </c>
      <c r="Z7171">
        <v>-1.505075E-2</v>
      </c>
      <c r="AA7171">
        <v>0.99635450000000003</v>
      </c>
      <c r="AB7171">
        <v>20</v>
      </c>
      <c r="AC7171">
        <v>0.64089999999998704</v>
      </c>
      <c r="AD7171">
        <v>-0.125458599999999</v>
      </c>
      <c r="AE7171">
        <v>-3.1800000000003999E-2</v>
      </c>
      <c r="AF7171">
        <v>6.7899821853696599E-2</v>
      </c>
      <c r="AG7171">
        <v>-0.125458599999999</v>
      </c>
      <c r="AH7171">
        <v>0.61432169096442402</v>
      </c>
      <c r="AI7171">
        <v>101.474388973156</v>
      </c>
      <c r="AJ7171">
        <v>83.692805913765397</v>
      </c>
      <c r="AK7171">
        <v>0.63066741323070796</v>
      </c>
      <c r="AL7171">
        <v>78.468572315062204</v>
      </c>
      <c r="AM7171">
        <v>88.147747146170801</v>
      </c>
      <c r="AN7171">
        <v>0.99999995325590796</v>
      </c>
    </row>
    <row r="7172" spans="1:40" x14ac:dyDescent="0.25">
      <c r="A7172" t="str">
        <f>"20190312151712442"</f>
        <v>20190312151712442</v>
      </c>
      <c r="B7172" t="str">
        <f>"1552375032434802"</f>
        <v>1552375032434802</v>
      </c>
      <c r="C7172" t="s">
        <v>40</v>
      </c>
      <c r="D7172">
        <v>5.2541989999999998</v>
      </c>
      <c r="E7172">
        <v>0.52541490000000002</v>
      </c>
      <c r="F7172" t="s">
        <v>41</v>
      </c>
      <c r="G7172">
        <v>-150.90219999999999</v>
      </c>
      <c r="H7172">
        <v>0.98738409999999999</v>
      </c>
      <c r="I7172">
        <v>140.56569999999999</v>
      </c>
      <c r="J7172">
        <v>-151.52930000000001</v>
      </c>
      <c r="K7172">
        <v>1.1102399999999999</v>
      </c>
      <c r="L7172">
        <v>140.5975</v>
      </c>
      <c r="M7172">
        <v>0.99814740000000002</v>
      </c>
      <c r="N7172">
        <v>0</v>
      </c>
      <c r="O7172">
        <v>5.851953E-2</v>
      </c>
      <c r="P7172">
        <v>0.98291580000000001</v>
      </c>
      <c r="Q7172">
        <v>0.18214959999999999</v>
      </c>
      <c r="R7172">
        <v>2.642357E-2</v>
      </c>
      <c r="S7172">
        <v>3.1441499999999998</v>
      </c>
      <c r="T7172">
        <v>-0.47060489999999999</v>
      </c>
      <c r="U7172">
        <v>-8.5876460000000002E-2</v>
      </c>
      <c r="V7172">
        <v>3.169715E-2</v>
      </c>
      <c r="W7172">
        <v>0.19840260000000001</v>
      </c>
      <c r="X7172">
        <v>0.97960789999999998</v>
      </c>
      <c r="Y7172">
        <v>8.4173419999999999E-2</v>
      </c>
      <c r="Z7172">
        <v>-1.4971399999999999E-2</v>
      </c>
      <c r="AA7172">
        <v>0.99633870000000002</v>
      </c>
      <c r="AB7172">
        <v>20</v>
      </c>
      <c r="AC7172">
        <v>0.62710000000001198</v>
      </c>
      <c r="AD7172">
        <v>-0.122855899999999</v>
      </c>
      <c r="AE7172">
        <v>-3.1800000000003999E-2</v>
      </c>
      <c r="AF7172">
        <v>6.5924405910700604E-2</v>
      </c>
      <c r="AG7172">
        <v>-0.122855899999999</v>
      </c>
      <c r="AH7172">
        <v>0.60115015922044901</v>
      </c>
      <c r="AI7172">
        <v>101.483376198047</v>
      </c>
      <c r="AJ7172">
        <v>83.741735215780906</v>
      </c>
      <c r="AK7172">
        <v>0.61710705180726999</v>
      </c>
      <c r="AL7172">
        <v>78.556436690469894</v>
      </c>
      <c r="AM7172">
        <v>88.146728392236795</v>
      </c>
      <c r="AN7172">
        <v>0.99999996937364499</v>
      </c>
    </row>
    <row r="7173" spans="1:40" x14ac:dyDescent="0.25">
      <c r="A7173" t="str">
        <f>"20190312151712463"</f>
        <v>20190312151712463</v>
      </c>
      <c r="B7173" t="str">
        <f>"1552375032455297"</f>
        <v>1552375032455297</v>
      </c>
      <c r="C7173" t="s">
        <v>40</v>
      </c>
      <c r="D7173">
        <v>5.1735949999999997</v>
      </c>
      <c r="E7173">
        <v>0.52528560000000002</v>
      </c>
      <c r="F7173" t="s">
        <v>41</v>
      </c>
      <c r="G7173">
        <v>-150.7251</v>
      </c>
      <c r="H7173">
        <v>0.98807389999999995</v>
      </c>
      <c r="I7173">
        <v>140.57399999999899</v>
      </c>
      <c r="J7173">
        <v>-151.3442</v>
      </c>
      <c r="K7173">
        <v>1.110312</v>
      </c>
      <c r="L7173">
        <v>140.6061</v>
      </c>
      <c r="M7173">
        <v>0.99824710000000005</v>
      </c>
      <c r="N7173">
        <v>0</v>
      </c>
      <c r="O7173">
        <v>5.6652859999999999E-2</v>
      </c>
      <c r="P7173">
        <v>0.98327790000000004</v>
      </c>
      <c r="Q7173">
        <v>0.18045140000000001</v>
      </c>
      <c r="R7173">
        <v>2.4537119999999999E-2</v>
      </c>
      <c r="S7173">
        <v>3.1430820000000002</v>
      </c>
      <c r="T7173">
        <v>-0.477385</v>
      </c>
      <c r="U7173">
        <v>-9.1400149999999999E-2</v>
      </c>
      <c r="V7173">
        <v>3.1751849999999998E-2</v>
      </c>
      <c r="W7173">
        <v>0.19717470000000001</v>
      </c>
      <c r="X7173">
        <v>0.979854</v>
      </c>
      <c r="Y7173">
        <v>8.4045529999999993E-2</v>
      </c>
      <c r="Z7173">
        <v>-1.489829E-2</v>
      </c>
      <c r="AA7173">
        <v>0.99635050000000003</v>
      </c>
      <c r="AB7173">
        <v>20</v>
      </c>
      <c r="AC7173">
        <v>0.61910000000000298</v>
      </c>
      <c r="AD7173">
        <v>-0.1222381</v>
      </c>
      <c r="AE7173">
        <v>-3.2100000000013999E-2</v>
      </c>
      <c r="AF7173">
        <v>6.4615126187539396E-2</v>
      </c>
      <c r="AG7173">
        <v>-0.1222381</v>
      </c>
      <c r="AH7173">
        <v>0.59322212969812704</v>
      </c>
      <c r="AI7173">
        <v>101.576675695047</v>
      </c>
      <c r="AJ7173">
        <v>83.783717374174003</v>
      </c>
      <c r="AK7173">
        <v>0.60912212469046201</v>
      </c>
      <c r="AL7173">
        <v>78.6282078486757</v>
      </c>
      <c r="AM7173">
        <v>88.143998368113301</v>
      </c>
      <c r="AN7173">
        <v>0.99999995180725498</v>
      </c>
    </row>
    <row r="7174" spans="1:40" x14ac:dyDescent="0.25">
      <c r="A7174" t="str">
        <f>"20190312151712486"</f>
        <v>20190312151712486</v>
      </c>
      <c r="B7174" t="str">
        <f>"1552375032474816"</f>
        <v>1552375032474816</v>
      </c>
      <c r="C7174" t="s">
        <v>40</v>
      </c>
      <c r="D7174">
        <v>5.1870279999999998</v>
      </c>
      <c r="E7174">
        <v>0.52506299999999995</v>
      </c>
      <c r="F7174" t="s">
        <v>41</v>
      </c>
      <c r="G7174">
        <v>-150.55000000000001</v>
      </c>
      <c r="H7174">
        <v>0.98754929999999996</v>
      </c>
      <c r="I7174">
        <v>140.58189999999999</v>
      </c>
      <c r="J7174">
        <v>-151.14240000000001</v>
      </c>
      <c r="K7174">
        <v>1.1103889999999901</v>
      </c>
      <c r="L7174">
        <v>140.61500000000001</v>
      </c>
      <c r="M7174">
        <v>0.99835149999999995</v>
      </c>
      <c r="N7174">
        <v>0</v>
      </c>
      <c r="O7174">
        <v>5.4614129999999997E-2</v>
      </c>
      <c r="P7174">
        <v>0.98361849999999995</v>
      </c>
      <c r="Q7174">
        <v>0.17885799999999999</v>
      </c>
      <c r="R7174">
        <v>2.2468309999999998E-2</v>
      </c>
      <c r="S7174">
        <v>3.1425320000000001</v>
      </c>
      <c r="T7174">
        <v>-0.48572549999999998</v>
      </c>
      <c r="U7174">
        <v>-9.535217E-2</v>
      </c>
      <c r="V7174">
        <v>3.1814830000000002E-2</v>
      </c>
      <c r="W7174">
        <v>0.19610549999999999</v>
      </c>
      <c r="X7174">
        <v>0.98006649999999995</v>
      </c>
      <c r="Y7174">
        <v>8.3244899999999997E-2</v>
      </c>
      <c r="Z7174">
        <v>-1.4783549999999999E-2</v>
      </c>
      <c r="AA7174">
        <v>0.99641939999999996</v>
      </c>
      <c r="AB7174">
        <v>20</v>
      </c>
      <c r="AC7174">
        <v>0.59239999999999704</v>
      </c>
      <c r="AD7174">
        <v>-0.122839699999999</v>
      </c>
      <c r="AE7174">
        <v>-3.3100000000018698E-2</v>
      </c>
      <c r="AF7174">
        <v>6.2720575388775804E-2</v>
      </c>
      <c r="AG7174">
        <v>-0.122839699999999</v>
      </c>
      <c r="AH7174">
        <v>0.56546925057090003</v>
      </c>
      <c r="AI7174">
        <v>102.183755030208</v>
      </c>
      <c r="AJ7174">
        <v>83.670752312803899</v>
      </c>
      <c r="AK7174">
        <v>0.58204719380339298</v>
      </c>
      <c r="AL7174">
        <v>78.6906883395188</v>
      </c>
      <c r="AM7174">
        <v>88.140722495939499</v>
      </c>
      <c r="AN7174">
        <v>0.99999994748021304</v>
      </c>
    </row>
    <row r="7175" spans="1:40" x14ac:dyDescent="0.25">
      <c r="A7175" t="str">
        <f>"20190312151712508"</f>
        <v>20190312151712508</v>
      </c>
      <c r="B7175" t="str">
        <f>"1552375032505073"</f>
        <v>1552375032505073</v>
      </c>
      <c r="C7175" t="s">
        <v>40</v>
      </c>
      <c r="D7175">
        <v>5.1590150000000001</v>
      </c>
      <c r="E7175">
        <v>0.52486460000000001</v>
      </c>
      <c r="F7175" t="s">
        <v>41</v>
      </c>
      <c r="G7175">
        <v>-150.3751</v>
      </c>
      <c r="H7175">
        <v>0.98985860000000003</v>
      </c>
      <c r="I7175">
        <v>140.5908</v>
      </c>
      <c r="J7175">
        <v>-150.9539</v>
      </c>
      <c r="K7175">
        <v>1.1104700000000001</v>
      </c>
      <c r="L7175">
        <v>140.62299999999999</v>
      </c>
      <c r="M7175">
        <v>0.99844480000000002</v>
      </c>
      <c r="N7175">
        <v>0</v>
      </c>
      <c r="O7175">
        <v>5.2710409999999999E-2</v>
      </c>
      <c r="P7175">
        <v>0.98389550000000003</v>
      </c>
      <c r="Q7175">
        <v>0.1774432</v>
      </c>
      <c r="R7175">
        <v>2.1533690000000001E-2</v>
      </c>
      <c r="S7175">
        <v>3.141953</v>
      </c>
      <c r="T7175">
        <v>-0.49354480000000001</v>
      </c>
      <c r="U7175">
        <v>-9.8617549999999998E-2</v>
      </c>
      <c r="V7175">
        <v>3.0874929999999998E-2</v>
      </c>
      <c r="W7175">
        <v>0.19519590000000001</v>
      </c>
      <c r="X7175">
        <v>0.98027819999999999</v>
      </c>
      <c r="Y7175">
        <v>8.236636E-2</v>
      </c>
      <c r="Z7175">
        <v>-1.465576E-2</v>
      </c>
      <c r="AA7175">
        <v>0.9964944</v>
      </c>
      <c r="AB7175">
        <v>20</v>
      </c>
      <c r="AC7175">
        <v>0.57880000000000098</v>
      </c>
      <c r="AD7175">
        <v>-0.12061139999999999</v>
      </c>
      <c r="AE7175">
        <v>-3.2199999999988897E-2</v>
      </c>
      <c r="AF7175">
        <v>6.00687210937196E-2</v>
      </c>
      <c r="AG7175">
        <v>-0.12061139999999999</v>
      </c>
      <c r="AH7175">
        <v>0.55238534197611799</v>
      </c>
      <c r="AI7175">
        <v>102.24701991679601</v>
      </c>
      <c r="AJ7175">
        <v>83.793801060507903</v>
      </c>
      <c r="AK7175">
        <v>0.56858150435436094</v>
      </c>
      <c r="AL7175">
        <v>78.743832536272805</v>
      </c>
      <c r="AM7175">
        <v>88.196003361966504</v>
      </c>
      <c r="AN7175">
        <v>1.00000002503727</v>
      </c>
    </row>
    <row r="7176" spans="1:40" x14ac:dyDescent="0.25">
      <c r="A7176" t="str">
        <f>"20190312151712531"</f>
        <v>20190312151712531</v>
      </c>
      <c r="B7176" t="str">
        <f>"1552375032524863"</f>
        <v>1552375032524863</v>
      </c>
      <c r="C7176" t="s">
        <v>40</v>
      </c>
      <c r="D7176">
        <v>5.1818569999999999</v>
      </c>
      <c r="E7176">
        <v>0.52466610000000002</v>
      </c>
      <c r="F7176" t="s">
        <v>41</v>
      </c>
      <c r="G7176">
        <v>-150.20240000000001</v>
      </c>
      <c r="H7176">
        <v>0.99088810000000005</v>
      </c>
      <c r="I7176">
        <v>140.59899999999999</v>
      </c>
      <c r="J7176">
        <v>-150.75479999999999</v>
      </c>
      <c r="K7176">
        <v>1.11054599999999</v>
      </c>
      <c r="L7176">
        <v>140.631</v>
      </c>
      <c r="M7176">
        <v>0.99853910000000001</v>
      </c>
      <c r="N7176">
        <v>0</v>
      </c>
      <c r="O7176">
        <v>5.0701070000000001E-2</v>
      </c>
      <c r="P7176">
        <v>0.98391629999999997</v>
      </c>
      <c r="Q7176">
        <v>0.17739779999999999</v>
      </c>
      <c r="R7176">
        <v>2.0955290000000001E-2</v>
      </c>
      <c r="S7176">
        <v>3.1414339999999998</v>
      </c>
      <c r="T7176">
        <v>-0.4998416</v>
      </c>
      <c r="U7176">
        <v>-9.996033E-2</v>
      </c>
      <c r="V7176">
        <v>2.9464669999999998E-2</v>
      </c>
      <c r="W7176">
        <v>0.19567709999999999</v>
      </c>
      <c r="X7176">
        <v>0.98022560000000003</v>
      </c>
      <c r="Y7176">
        <v>8.0794409999999997E-2</v>
      </c>
      <c r="Z7176">
        <v>-1.440112E-2</v>
      </c>
      <c r="AA7176">
        <v>0.99662669999999998</v>
      </c>
      <c r="AB7176">
        <v>19</v>
      </c>
      <c r="AC7176">
        <v>0.55239999999997702</v>
      </c>
      <c r="AD7176">
        <v>-0.119657899999999</v>
      </c>
      <c r="AE7176">
        <v>-3.2000000000010603E-2</v>
      </c>
      <c r="AF7176">
        <v>5.7291744653276799E-2</v>
      </c>
      <c r="AG7176">
        <v>-0.119657899999999</v>
      </c>
      <c r="AH7176">
        <v>0.52549197308594997</v>
      </c>
      <c r="AI7176">
        <v>102.754805400105</v>
      </c>
      <c r="AJ7176">
        <v>83.777904770678106</v>
      </c>
      <c r="AK7176">
        <v>0.54197986200189296</v>
      </c>
      <c r="AL7176">
        <v>78.715718952468606</v>
      </c>
      <c r="AM7176">
        <v>88.278260581605707</v>
      </c>
      <c r="AN7176">
        <v>0.99999996056898799</v>
      </c>
    </row>
    <row r="7177" spans="1:40" x14ac:dyDescent="0.25">
      <c r="A7177" t="str">
        <f>"20190312151712552"</f>
        <v>20190312151712552</v>
      </c>
      <c r="B7177" t="str">
        <f>"1552375032545359"</f>
        <v>1552375032545359</v>
      </c>
      <c r="C7177" t="s">
        <v>40</v>
      </c>
      <c r="D7177">
        <v>5.1991339999999999</v>
      </c>
      <c r="E7177">
        <v>0.52441939999999998</v>
      </c>
      <c r="F7177" t="s">
        <v>41</v>
      </c>
      <c r="G7177">
        <v>-150.0299</v>
      </c>
      <c r="H7177">
        <v>0.99489859999999997</v>
      </c>
      <c r="I7177">
        <v>140.60769999999999</v>
      </c>
      <c r="J7177">
        <v>-150.5762</v>
      </c>
      <c r="K7177">
        <v>1.1106199999999999</v>
      </c>
      <c r="L7177">
        <v>140.6378</v>
      </c>
      <c r="M7177">
        <v>0.99862019999999996</v>
      </c>
      <c r="N7177">
        <v>0</v>
      </c>
      <c r="O7177">
        <v>4.8900890000000002E-2</v>
      </c>
      <c r="P7177">
        <v>0.98388430000000004</v>
      </c>
      <c r="Q7177">
        <v>0.17762510000000001</v>
      </c>
      <c r="R7177">
        <v>2.0521890000000001E-2</v>
      </c>
      <c r="S7177">
        <v>3.1415410000000001</v>
      </c>
      <c r="T7177">
        <v>-0.501150599999999</v>
      </c>
      <c r="U7177">
        <v>-0.1009216</v>
      </c>
      <c r="V7177">
        <v>2.8115439999999998E-2</v>
      </c>
      <c r="W7177">
        <v>0.196357</v>
      </c>
      <c r="X7177">
        <v>0.98012929999999998</v>
      </c>
      <c r="Y7177">
        <v>7.9334390000000005E-2</v>
      </c>
      <c r="Z7177">
        <v>-1.4037010000000001E-2</v>
      </c>
      <c r="AA7177">
        <v>0.9967492</v>
      </c>
      <c r="AB7177">
        <v>19</v>
      </c>
      <c r="AC7177">
        <v>0.54630000000000201</v>
      </c>
      <c r="AD7177">
        <v>-0.1157214</v>
      </c>
      <c r="AE7177">
        <v>-3.0100000000004401E-2</v>
      </c>
      <c r="AF7177">
        <v>5.43519856999218E-2</v>
      </c>
      <c r="AG7177">
        <v>-0.1157214</v>
      </c>
      <c r="AH7177">
        <v>0.52087270130177399</v>
      </c>
      <c r="AI7177">
        <v>102.460339419565</v>
      </c>
      <c r="AJ7177">
        <v>84.042863264896397</v>
      </c>
      <c r="AK7177">
        <v>0.53633380625212501</v>
      </c>
      <c r="AL7177">
        <v>78.675993301898203</v>
      </c>
      <c r="AM7177">
        <v>88.356895947464494</v>
      </c>
      <c r="AN7177">
        <v>0.99999999706694098</v>
      </c>
    </row>
    <row r="7178" spans="1:40" x14ac:dyDescent="0.25">
      <c r="A7178" t="str">
        <f>"20190312151712575"</f>
        <v>20190312151712575</v>
      </c>
      <c r="B7178" t="str">
        <f>"1552375032564879"</f>
        <v>1552375032564879</v>
      </c>
      <c r="C7178" t="s">
        <v>40</v>
      </c>
      <c r="D7178">
        <v>5.2133719999999997</v>
      </c>
      <c r="E7178">
        <v>0.52421240000000002</v>
      </c>
      <c r="F7178" t="s">
        <v>41</v>
      </c>
      <c r="G7178">
        <v>-149.8603</v>
      </c>
      <c r="H7178">
        <v>0.99629120000000004</v>
      </c>
      <c r="I7178">
        <v>140.61500000000001</v>
      </c>
      <c r="J7178">
        <v>-150.38929999999999</v>
      </c>
      <c r="K7178">
        <v>1.1106849999999999</v>
      </c>
      <c r="L7178">
        <v>140.6446</v>
      </c>
      <c r="M7178">
        <v>0.99870150000000002</v>
      </c>
      <c r="N7178">
        <v>0</v>
      </c>
      <c r="O7178">
        <v>4.7018379999999999E-2</v>
      </c>
      <c r="P7178">
        <v>0.98412230000000001</v>
      </c>
      <c r="Q7178">
        <v>0.17635319999999999</v>
      </c>
      <c r="R7178">
        <v>2.0072969999999999E-2</v>
      </c>
      <c r="S7178">
        <v>3.141785</v>
      </c>
      <c r="T7178">
        <v>-0.50173999999999996</v>
      </c>
      <c r="U7178">
        <v>-9.9716189999999996E-2</v>
      </c>
      <c r="V7178">
        <v>2.670904E-2</v>
      </c>
      <c r="W7178">
        <v>0.19555139999999999</v>
      </c>
      <c r="X7178">
        <v>0.98032969999999997</v>
      </c>
      <c r="Y7178">
        <v>7.711954E-2</v>
      </c>
      <c r="Z7178">
        <v>-1.3578089999999999E-2</v>
      </c>
      <c r="AA7178">
        <v>0.99692939999999997</v>
      </c>
      <c r="AB7178">
        <v>19</v>
      </c>
      <c r="AC7178">
        <v>0.52899999999999603</v>
      </c>
      <c r="AD7178">
        <v>-0.1143938</v>
      </c>
      <c r="AE7178">
        <v>-2.9599999999987799E-2</v>
      </c>
      <c r="AF7178">
        <v>5.2019797274686003E-2</v>
      </c>
      <c r="AG7178">
        <v>-0.1143938</v>
      </c>
      <c r="AH7178">
        <v>0.50354919807643295</v>
      </c>
      <c r="AI7178">
        <v>102.733402856764</v>
      </c>
      <c r="AJ7178">
        <v>84.101908305413801</v>
      </c>
      <c r="AK7178">
        <v>0.51899305936626705</v>
      </c>
      <c r="AL7178">
        <v>78.723063610114906</v>
      </c>
      <c r="AM7178">
        <v>88.4393650516907</v>
      </c>
      <c r="AN7178">
        <v>1.00000002178088</v>
      </c>
    </row>
    <row r="7179" spans="1:40" x14ac:dyDescent="0.25">
      <c r="A7179" t="str">
        <f>"20190312151712597"</f>
        <v>20190312151712597</v>
      </c>
      <c r="B7179" t="str">
        <f>"1552375032585375"</f>
        <v>1552375032585375</v>
      </c>
      <c r="C7179" t="s">
        <v>40</v>
      </c>
      <c r="D7179">
        <v>5.223732</v>
      </c>
      <c r="E7179">
        <v>0.52396579999999904</v>
      </c>
      <c r="F7179" t="s">
        <v>41</v>
      </c>
      <c r="G7179">
        <v>-149.53880000000001</v>
      </c>
      <c r="H7179">
        <v>0.97319129999999998</v>
      </c>
      <c r="I7179">
        <v>140.61770000000001</v>
      </c>
      <c r="J7179">
        <v>-150.20500000000001</v>
      </c>
      <c r="K7179">
        <v>1.110749</v>
      </c>
      <c r="L7179">
        <v>140.65100000000001</v>
      </c>
      <c r="M7179">
        <v>0.99877850000000001</v>
      </c>
      <c r="N7179">
        <v>0</v>
      </c>
      <c r="O7179">
        <v>4.5158959999999998E-2</v>
      </c>
      <c r="P7179">
        <v>0.98451299999999997</v>
      </c>
      <c r="Q7179">
        <v>0.17417070000000001</v>
      </c>
      <c r="R7179">
        <v>1.9975710000000001E-2</v>
      </c>
      <c r="S7179">
        <v>3.1413880000000001</v>
      </c>
      <c r="T7179">
        <v>-0.50781229999999999</v>
      </c>
      <c r="U7179">
        <v>-9.9029539999999999E-2</v>
      </c>
      <c r="V7179">
        <v>2.4976729999999999E-2</v>
      </c>
      <c r="W7179">
        <v>0.193825</v>
      </c>
      <c r="X7179">
        <v>0.98071810000000004</v>
      </c>
      <c r="Y7179">
        <v>7.5062450000000003E-2</v>
      </c>
      <c r="Z7179">
        <v>-1.327849E-2</v>
      </c>
      <c r="AA7179">
        <v>0.99709040000000004</v>
      </c>
      <c r="AB7179">
        <v>19</v>
      </c>
      <c r="AC7179">
        <v>0.66620000000000301</v>
      </c>
      <c r="AD7179">
        <v>-0.13755769999999901</v>
      </c>
      <c r="AE7179">
        <v>-3.3299999999996999E-2</v>
      </c>
      <c r="AF7179">
        <v>6.0772424071517298E-2</v>
      </c>
      <c r="AG7179">
        <v>-0.13755769999999901</v>
      </c>
      <c r="AH7179">
        <v>0.63692856807399501</v>
      </c>
      <c r="AI7179">
        <v>102.133548220687</v>
      </c>
      <c r="AJ7179">
        <v>84.549633623805093</v>
      </c>
      <c r="AK7179">
        <v>0.65444129544643403</v>
      </c>
      <c r="AL7179">
        <v>78.823908231803202</v>
      </c>
      <c r="AM7179">
        <v>88.541118048295701</v>
      </c>
      <c r="AN7179">
        <v>0.99999997966705101</v>
      </c>
    </row>
    <row r="7180" spans="1:40" x14ac:dyDescent="0.25">
      <c r="A7180" t="str">
        <f>"20190312151712621"</f>
        <v>20190312151712621</v>
      </c>
      <c r="B7180" t="str">
        <f>"1552375032614655"</f>
        <v>1552375032614655</v>
      </c>
      <c r="C7180" t="s">
        <v>40</v>
      </c>
      <c r="D7180">
        <v>5.2734009999999998</v>
      </c>
      <c r="E7180">
        <v>0.51248070000000001</v>
      </c>
      <c r="F7180" t="s">
        <v>41</v>
      </c>
      <c r="G7180">
        <v>-149.37459999999999</v>
      </c>
      <c r="H7180">
        <v>0.97423389999999999</v>
      </c>
      <c r="I7180">
        <v>140.62459999999999</v>
      </c>
      <c r="J7180">
        <v>-150.00710000000001</v>
      </c>
      <c r="K7180">
        <v>1.110819</v>
      </c>
      <c r="L7180">
        <v>140.6574</v>
      </c>
      <c r="M7180">
        <v>0.99885760000000001</v>
      </c>
      <c r="N7180">
        <v>0</v>
      </c>
      <c r="O7180">
        <v>4.3156529999999999E-2</v>
      </c>
      <c r="P7180">
        <v>0.98483339999999997</v>
      </c>
      <c r="Q7180">
        <v>0.17247319999999999</v>
      </c>
      <c r="R7180">
        <v>1.8877939999999999E-2</v>
      </c>
      <c r="S7180">
        <v>3.140533</v>
      </c>
      <c r="T7180">
        <v>-0.51620239999999995</v>
      </c>
      <c r="U7180">
        <v>-9.8754880000000003E-2</v>
      </c>
      <c r="V7180">
        <v>2.4098660000000001E-2</v>
      </c>
      <c r="W7180">
        <v>0.1925955</v>
      </c>
      <c r="X7180">
        <v>0.98098229999999997</v>
      </c>
      <c r="Y7180">
        <v>7.2987410000000003E-2</v>
      </c>
      <c r="Z7180">
        <v>-1.300255E-2</v>
      </c>
      <c r="AA7180">
        <v>0.99724809999999997</v>
      </c>
      <c r="AB7180">
        <v>18</v>
      </c>
      <c r="AC7180">
        <v>0.63250000000002105</v>
      </c>
      <c r="AD7180">
        <v>-0.13658509999999999</v>
      </c>
      <c r="AE7180">
        <v>-3.2800000000008801E-2</v>
      </c>
      <c r="AF7180">
        <v>5.7402077146054602E-2</v>
      </c>
      <c r="AG7180">
        <v>-0.13658509999999999</v>
      </c>
      <c r="AH7180">
        <v>0.60247525766253096</v>
      </c>
      <c r="AI7180">
        <v>102.71770909833999</v>
      </c>
      <c r="AJ7180">
        <v>84.557454974765506</v>
      </c>
      <c r="AK7180">
        <v>0.62042479326524702</v>
      </c>
      <c r="AL7180">
        <v>78.895706743921295</v>
      </c>
      <c r="AM7180">
        <v>88.592763744958802</v>
      </c>
      <c r="AN7180">
        <v>1.00000002247366</v>
      </c>
    </row>
    <row r="7181" spans="1:40" x14ac:dyDescent="0.25">
      <c r="A7181" t="str">
        <f>"20190312151712645"</f>
        <v>20190312151712645</v>
      </c>
      <c r="B7181" t="str">
        <f>"1552375032634682"</f>
        <v>1552375032634682</v>
      </c>
      <c r="C7181" t="s">
        <v>40</v>
      </c>
      <c r="D7181">
        <v>5.2280129999999998</v>
      </c>
      <c r="E7181">
        <v>0.52053269999999996</v>
      </c>
      <c r="F7181" t="s">
        <v>41</v>
      </c>
      <c r="G7181">
        <v>-149.22380000000001</v>
      </c>
      <c r="H7181">
        <v>0.95348140000000003</v>
      </c>
      <c r="I7181">
        <v>140.65520000000001</v>
      </c>
      <c r="J7181">
        <v>-149.81790000000001</v>
      </c>
      <c r="K7181">
        <v>1.1108720000000001</v>
      </c>
      <c r="L7181">
        <v>140.66319999999999</v>
      </c>
      <c r="M7181">
        <v>0.99892990000000004</v>
      </c>
      <c r="N7181">
        <v>0</v>
      </c>
      <c r="O7181">
        <v>4.1240110000000003E-2</v>
      </c>
      <c r="P7181">
        <v>0.98508090000000004</v>
      </c>
      <c r="Q7181">
        <v>0.17123429999999901</v>
      </c>
      <c r="R7181">
        <v>1.7164269999999999E-2</v>
      </c>
      <c r="S7181">
        <v>3.1574249999999999</v>
      </c>
      <c r="T7181">
        <v>-0.63416219999999901</v>
      </c>
      <c r="U7181">
        <v>-8.5906980000000008E-3</v>
      </c>
      <c r="V7181">
        <v>2.3918479999999999E-2</v>
      </c>
      <c r="W7181">
        <v>0.19176489999999999</v>
      </c>
      <c r="X7181">
        <v>0.98114939999999995</v>
      </c>
      <c r="Y7181">
        <v>4.2299280000000002E-2</v>
      </c>
      <c r="Z7181">
        <v>-1.2407090000000001E-2</v>
      </c>
      <c r="AA7181">
        <v>0.99902800000000003</v>
      </c>
      <c r="AB7181">
        <v>18</v>
      </c>
      <c r="AC7181">
        <v>0.59409999999999696</v>
      </c>
      <c r="AD7181">
        <v>-0.15739059999999899</v>
      </c>
      <c r="AE7181">
        <v>-7.9999999999813502E-3</v>
      </c>
      <c r="AF7181">
        <v>3.0368325747797398E-2</v>
      </c>
      <c r="AG7181">
        <v>-0.15739059999999899</v>
      </c>
      <c r="AH7181">
        <v>0.554363908102943</v>
      </c>
      <c r="AI7181">
        <v>105.827344949481</v>
      </c>
      <c r="AJ7181">
        <v>86.864443197057398</v>
      </c>
      <c r="AK7181">
        <v>0.57707311389827598</v>
      </c>
      <c r="AL7181">
        <v>78.944200396532906</v>
      </c>
      <c r="AM7181">
        <v>88.603518916804006</v>
      </c>
      <c r="AN7181">
        <v>1.0000000078389399</v>
      </c>
    </row>
    <row r="7182" spans="1:40" x14ac:dyDescent="0.25">
      <c r="A7182" t="str">
        <f>"20190312151712664"</f>
        <v>20190312151712664</v>
      </c>
      <c r="B7182" t="str">
        <f>"1552375032655178"</f>
        <v>1552375032655178</v>
      </c>
      <c r="C7182" t="s">
        <v>40</v>
      </c>
      <c r="D7182">
        <v>5.3018090000000004</v>
      </c>
      <c r="E7182">
        <v>0.52028640000000004</v>
      </c>
      <c r="F7182" t="s">
        <v>41</v>
      </c>
      <c r="G7182">
        <v>-149.1062</v>
      </c>
      <c r="H7182">
        <v>0.86069249999999997</v>
      </c>
      <c r="I7182">
        <v>140.64869999999999</v>
      </c>
      <c r="J7182">
        <v>-149.6628</v>
      </c>
      <c r="K7182">
        <v>1.1109100000000001</v>
      </c>
      <c r="L7182">
        <v>140.66759999999999</v>
      </c>
      <c r="M7182">
        <v>0.99898719999999996</v>
      </c>
      <c r="N7182">
        <v>0</v>
      </c>
      <c r="O7182">
        <v>3.9669169999999997E-2</v>
      </c>
      <c r="P7182">
        <v>0.98540220000000001</v>
      </c>
      <c r="Q7182">
        <v>0.16955709999999999</v>
      </c>
      <c r="R7182">
        <v>1.526742E-2</v>
      </c>
      <c r="S7182">
        <v>3.2447970000000002</v>
      </c>
      <c r="T7182">
        <v>-1.140393</v>
      </c>
      <c r="U7182">
        <v>-6.5170290000000006E-2</v>
      </c>
      <c r="V7182">
        <v>2.4266099999999999E-2</v>
      </c>
      <c r="W7182">
        <v>0.19039349999999999</v>
      </c>
      <c r="X7182">
        <v>0.9814079</v>
      </c>
      <c r="Y7182">
        <v>5.4112939999999998E-2</v>
      </c>
      <c r="Z7182">
        <v>-2.2767809999999999E-2</v>
      </c>
      <c r="AA7182">
        <v>0.99827520000000003</v>
      </c>
      <c r="AB7182">
        <v>18</v>
      </c>
      <c r="AC7182">
        <v>0.55660000000000298</v>
      </c>
      <c r="AD7182">
        <v>-0.25021749999999998</v>
      </c>
      <c r="AE7182">
        <v>-1.8900000000002099E-2</v>
      </c>
      <c r="AF7182">
        <v>3.4088816139317801E-2</v>
      </c>
      <c r="AG7182">
        <v>-0.25021749999999998</v>
      </c>
      <c r="AH7182">
        <v>0.46212716089475397</v>
      </c>
      <c r="AI7182">
        <v>118.368167705011</v>
      </c>
      <c r="AJ7182">
        <v>85.781216850740506</v>
      </c>
      <c r="AK7182">
        <v>0.52662354441163794</v>
      </c>
      <c r="AL7182">
        <v>79.024250676912402</v>
      </c>
      <c r="AM7182">
        <v>88.583604347566094</v>
      </c>
      <c r="AN7182">
        <v>0.99999999731693501</v>
      </c>
    </row>
    <row r="7183" spans="1:40" x14ac:dyDescent="0.25">
      <c r="A7183" t="str">
        <f>"20190312151712687"</f>
        <v>20190312151712687</v>
      </c>
      <c r="B7183" t="str">
        <f>"1552375032675674"</f>
        <v>1552375032675674</v>
      </c>
      <c r="C7183" t="s">
        <v>40</v>
      </c>
      <c r="D7183">
        <v>5.1882460000000004</v>
      </c>
      <c r="E7183">
        <v>0.52125049999999995</v>
      </c>
      <c r="F7183" t="s">
        <v>41</v>
      </c>
      <c r="G7183">
        <v>-148.94630000000001</v>
      </c>
      <c r="H7183">
        <v>0.86435119999999899</v>
      </c>
      <c r="I7183">
        <v>140.65190000000001</v>
      </c>
      <c r="J7183">
        <v>-149.4819</v>
      </c>
      <c r="K7183">
        <v>1.110951</v>
      </c>
      <c r="L7183">
        <v>140.67250000000001</v>
      </c>
      <c r="M7183">
        <v>0.99905109999999997</v>
      </c>
      <c r="N7183">
        <v>0</v>
      </c>
      <c r="O7183">
        <v>3.7839110000000002E-2</v>
      </c>
      <c r="P7183">
        <v>0.9857532</v>
      </c>
      <c r="Q7183">
        <v>0.16770769999999999</v>
      </c>
      <c r="R7183">
        <v>1.283253E-2</v>
      </c>
      <c r="S7183">
        <v>3.2371979999999998</v>
      </c>
      <c r="T7183">
        <v>-1.11388</v>
      </c>
      <c r="U7183">
        <v>-7.0770260000000001E-2</v>
      </c>
      <c r="V7183">
        <v>2.4893729999999999E-2</v>
      </c>
      <c r="W7183">
        <v>0.18887329999999999</v>
      </c>
      <c r="X7183">
        <v>0.9816859</v>
      </c>
      <c r="Y7183">
        <v>5.437496E-2</v>
      </c>
      <c r="Z7183">
        <v>-2.17486E-2</v>
      </c>
      <c r="AA7183">
        <v>0.9982837</v>
      </c>
      <c r="AB7183">
        <v>18</v>
      </c>
      <c r="AC7183">
        <v>0.53559999999998797</v>
      </c>
      <c r="AD7183">
        <v>-0.24659980000000001</v>
      </c>
      <c r="AE7183">
        <v>-2.06000000000017E-2</v>
      </c>
      <c r="AF7183">
        <v>3.3719191414297203E-2</v>
      </c>
      <c r="AG7183">
        <v>-0.24659980000000001</v>
      </c>
      <c r="AH7183">
        <v>0.44107383374109599</v>
      </c>
      <c r="AI7183">
        <v>119.138049427913</v>
      </c>
      <c r="AJ7183">
        <v>85.628358127276698</v>
      </c>
      <c r="AK7183">
        <v>0.50645293171304795</v>
      </c>
      <c r="AL7183">
        <v>79.112961570894598</v>
      </c>
      <c r="AM7183">
        <v>88.547396818486106</v>
      </c>
      <c r="AN7183">
        <v>1.0000000137525</v>
      </c>
    </row>
    <row r="7184" spans="1:40" x14ac:dyDescent="0.25">
      <c r="A7184" t="str">
        <f>"20190312151712709"</f>
        <v>20190312151712709</v>
      </c>
      <c r="B7184" t="str">
        <f>"1552375032704954"</f>
        <v>1552375032704954</v>
      </c>
      <c r="C7184" t="s">
        <v>40</v>
      </c>
      <c r="D7184">
        <v>5.3115690000000004</v>
      </c>
      <c r="E7184">
        <v>0.5225476</v>
      </c>
      <c r="F7184" t="s">
        <v>41</v>
      </c>
      <c r="G7184">
        <v>-148.7884</v>
      </c>
      <c r="H7184">
        <v>0.8676374</v>
      </c>
      <c r="I7184">
        <v>140.65430000000001</v>
      </c>
      <c r="J7184">
        <v>-149.30770000000001</v>
      </c>
      <c r="K7184">
        <v>1.1110120000000001</v>
      </c>
      <c r="L7184">
        <v>140.67689999999999</v>
      </c>
      <c r="M7184">
        <v>0.9991099</v>
      </c>
      <c r="N7184">
        <v>0</v>
      </c>
      <c r="O7184">
        <v>3.6074009999999997E-2</v>
      </c>
      <c r="P7184">
        <v>0.98595480000000002</v>
      </c>
      <c r="Q7184">
        <v>0.16659379999999999</v>
      </c>
      <c r="R7184">
        <v>1.183525E-2</v>
      </c>
      <c r="S7184">
        <v>3.2377009999999999</v>
      </c>
      <c r="T7184">
        <v>-1.135812</v>
      </c>
      <c r="U7184">
        <v>-8.4304809999999994E-2</v>
      </c>
      <c r="V7184">
        <v>2.4142899999999998E-2</v>
      </c>
      <c r="W7184">
        <v>0.1880627</v>
      </c>
      <c r="X7184">
        <v>0.98186019999999896</v>
      </c>
      <c r="Y7184">
        <v>5.655143E-2</v>
      </c>
      <c r="Z7184">
        <v>-2.1918460000000001E-2</v>
      </c>
      <c r="AA7184">
        <v>0.99815909999999997</v>
      </c>
      <c r="AB7184">
        <v>18</v>
      </c>
      <c r="AC7184">
        <v>0.51930000000001497</v>
      </c>
      <c r="AD7184">
        <v>-0.2433746</v>
      </c>
      <c r="AE7184">
        <v>-2.2599999999982801E-2</v>
      </c>
      <c r="AF7184">
        <v>3.3892810424568001E-2</v>
      </c>
      <c r="AG7184">
        <v>-0.2433746</v>
      </c>
      <c r="AH7184">
        <v>0.42497975349835898</v>
      </c>
      <c r="AI7184">
        <v>119.720354118061</v>
      </c>
      <c r="AJ7184">
        <v>85.440221437765402</v>
      </c>
      <c r="AK7184">
        <v>0.49090499020397199</v>
      </c>
      <c r="AL7184">
        <v>79.160252386491393</v>
      </c>
      <c r="AM7184">
        <v>88.591441438734805</v>
      </c>
      <c r="AN7184">
        <v>0.99999995554786802</v>
      </c>
    </row>
    <row r="7185" spans="1:40" x14ac:dyDescent="0.25">
      <c r="A7185" t="str">
        <f>"20190312151712732"</f>
        <v>20190312151712732</v>
      </c>
      <c r="B7185" t="str">
        <f>"1552375032724981"</f>
        <v>1552375032724981</v>
      </c>
      <c r="C7185" t="s">
        <v>40</v>
      </c>
      <c r="D7185">
        <v>5.2742529999999999</v>
      </c>
      <c r="E7185">
        <v>0.52103500000000003</v>
      </c>
      <c r="F7185" t="s">
        <v>41</v>
      </c>
      <c r="G7185">
        <v>-148.631</v>
      </c>
      <c r="H7185">
        <v>0.87426329999999997</v>
      </c>
      <c r="I7185">
        <v>140.65610000000001</v>
      </c>
      <c r="J7185">
        <v>-149.13229999999999</v>
      </c>
      <c r="K7185">
        <v>1.1110709999999999</v>
      </c>
      <c r="L7185">
        <v>140.68100000000001</v>
      </c>
      <c r="M7185">
        <v>0.9991662</v>
      </c>
      <c r="N7185">
        <v>0</v>
      </c>
      <c r="O7185">
        <v>3.4289930000000003E-2</v>
      </c>
      <c r="P7185">
        <v>0.98619000000000001</v>
      </c>
      <c r="Q7185">
        <v>0.16514949999999901</v>
      </c>
      <c r="R7185">
        <v>1.2442389999999999E-2</v>
      </c>
      <c r="S7185">
        <v>3.2351380000000001</v>
      </c>
      <c r="T7185">
        <v>-1.1316329999999999</v>
      </c>
      <c r="U7185">
        <v>-9.9014279999999996E-2</v>
      </c>
      <c r="V7185">
        <v>2.1769170000000001E-2</v>
      </c>
      <c r="W7185">
        <v>0.18692030000000001</v>
      </c>
      <c r="X7185">
        <v>0.9821339</v>
      </c>
      <c r="Y7185">
        <v>5.9299129999999999E-2</v>
      </c>
      <c r="Z7185">
        <v>-2.1718359999999999E-2</v>
      </c>
      <c r="AA7185">
        <v>0.998004</v>
      </c>
      <c r="AB7185">
        <v>17</v>
      </c>
      <c r="AC7185">
        <v>0.50129999999998598</v>
      </c>
      <c r="AD7185">
        <v>-0.23680769999999901</v>
      </c>
      <c r="AE7185">
        <v>-2.4900000000002299E-2</v>
      </c>
      <c r="AF7185">
        <v>3.4417714953853401E-2</v>
      </c>
      <c r="AG7185">
        <v>-0.23680769999999901</v>
      </c>
      <c r="AH7185">
        <v>0.40908787533718199</v>
      </c>
      <c r="AI7185">
        <v>119.97762358620599</v>
      </c>
      <c r="AJ7185">
        <v>85.190870254708202</v>
      </c>
      <c r="AK7185">
        <v>0.47393602482806102</v>
      </c>
      <c r="AL7185">
        <v>79.226889798086304</v>
      </c>
      <c r="AM7185">
        <v>88.730236922245993</v>
      </c>
      <c r="AN7185">
        <v>1.0000000464218901</v>
      </c>
    </row>
    <row r="7186" spans="1:40" x14ac:dyDescent="0.25">
      <c r="A7186" t="str">
        <f>"20190312151712754"</f>
        <v>20190312151712754</v>
      </c>
      <c r="B7186" t="str">
        <f>"1552375032745478"</f>
        <v>1552375032745478</v>
      </c>
      <c r="C7186" t="s">
        <v>40</v>
      </c>
      <c r="D7186">
        <v>5.294359</v>
      </c>
      <c r="E7186">
        <v>0.52107159999999997</v>
      </c>
      <c r="F7186" t="s">
        <v>41</v>
      </c>
      <c r="G7186">
        <v>-148.47389999999999</v>
      </c>
      <c r="H7186">
        <v>0.88389839999999997</v>
      </c>
      <c r="I7186">
        <v>140.6627</v>
      </c>
      <c r="J7186">
        <v>-148.97470000000001</v>
      </c>
      <c r="K7186">
        <v>1.111129</v>
      </c>
      <c r="L7186">
        <v>140.68440000000001</v>
      </c>
      <c r="M7186">
        <v>0.99921450000000001</v>
      </c>
      <c r="N7186">
        <v>0</v>
      </c>
      <c r="O7186">
        <v>3.2682240000000001E-2</v>
      </c>
      <c r="P7186">
        <v>0.98620129999999995</v>
      </c>
      <c r="Q7186">
        <v>0.16499659999999999</v>
      </c>
      <c r="R7186">
        <v>1.3538690000000001E-2</v>
      </c>
      <c r="S7186">
        <v>3.2297060000000002</v>
      </c>
      <c r="T7186">
        <v>-1.1141829999999999</v>
      </c>
      <c r="U7186">
        <v>-8.9355470000000006E-2</v>
      </c>
      <c r="V7186">
        <v>1.9076880000000001E-2</v>
      </c>
      <c r="W7186">
        <v>0.18702150000000001</v>
      </c>
      <c r="X7186">
        <v>0.9821706</v>
      </c>
      <c r="Y7186">
        <v>5.5237319999999999E-2</v>
      </c>
      <c r="Z7186">
        <v>-2.0216850000000001E-2</v>
      </c>
      <c r="AA7186">
        <v>0.9982685</v>
      </c>
      <c r="AB7186">
        <v>17</v>
      </c>
      <c r="AC7186">
        <v>0.500800000000026</v>
      </c>
      <c r="AD7186">
        <v>-0.22723059999999901</v>
      </c>
      <c r="AE7186">
        <v>-2.1700000000009802E-2</v>
      </c>
      <c r="AF7186">
        <v>3.1572045102967801E-2</v>
      </c>
      <c r="AG7186">
        <v>-0.22723059999999901</v>
      </c>
      <c r="AH7186">
        <v>0.414622286121901</v>
      </c>
      <c r="AI7186">
        <v>118.654858999323</v>
      </c>
      <c r="AJ7186">
        <v>85.645528847478602</v>
      </c>
      <c r="AK7186">
        <v>0.47385881838084998</v>
      </c>
      <c r="AL7186">
        <v>79.220987179770205</v>
      </c>
      <c r="AM7186">
        <v>88.887273463634997</v>
      </c>
      <c r="AN7186">
        <v>1.0000000281585699</v>
      </c>
    </row>
    <row r="7187" spans="1:40" x14ac:dyDescent="0.25">
      <c r="A7187" t="str">
        <f>"20190312151712776"</f>
        <v>20190312151712776</v>
      </c>
      <c r="B7187" t="str">
        <f>"1552375032764998"</f>
        <v>1552375032764998</v>
      </c>
      <c r="C7187" t="s">
        <v>40</v>
      </c>
      <c r="D7187">
        <v>5.2575390000000004</v>
      </c>
      <c r="E7187">
        <v>0.52071210000000001</v>
      </c>
      <c r="F7187" t="s">
        <v>41</v>
      </c>
      <c r="G7187">
        <v>-148.19120000000001</v>
      </c>
      <c r="H7187">
        <v>0.84262490000000001</v>
      </c>
      <c r="I7187">
        <v>140.66249999999999</v>
      </c>
      <c r="J7187">
        <v>-148.80619999999999</v>
      </c>
      <c r="K7187">
        <v>1.1111879999999901</v>
      </c>
      <c r="L7187">
        <v>140.68770000000001</v>
      </c>
      <c r="M7187">
        <v>0.99926300000000001</v>
      </c>
      <c r="N7187">
        <v>0</v>
      </c>
      <c r="O7187">
        <v>3.0965179999999998E-2</v>
      </c>
      <c r="P7187">
        <v>0.98601660000000002</v>
      </c>
      <c r="Q7187">
        <v>0.16605429999999999</v>
      </c>
      <c r="R7187">
        <v>1.4053599999999999E-2</v>
      </c>
      <c r="S7187">
        <v>3.2282410000000001</v>
      </c>
      <c r="T7187">
        <v>-1.1060810000000001</v>
      </c>
      <c r="U7187">
        <v>-8.9706419999999995E-2</v>
      </c>
      <c r="V7187">
        <v>1.685381E-2</v>
      </c>
      <c r="W7187">
        <v>0.18834600000000001</v>
      </c>
      <c r="X7187">
        <v>0.98195809999999994</v>
      </c>
      <c r="Y7187">
        <v>5.3885460000000003E-2</v>
      </c>
      <c r="Z7187">
        <v>-1.928939E-2</v>
      </c>
      <c r="AA7187">
        <v>0.99836080000000005</v>
      </c>
      <c r="AB7187">
        <v>17</v>
      </c>
      <c r="AC7187">
        <v>0.61499999999998001</v>
      </c>
      <c r="AD7187">
        <v>-0.268563099999999</v>
      </c>
      <c r="AE7187">
        <v>-2.5200000000012299E-2</v>
      </c>
      <c r="AF7187">
        <v>3.7161678052685401E-2</v>
      </c>
      <c r="AG7187">
        <v>-0.268563099999999</v>
      </c>
      <c r="AH7187">
        <v>0.51573958918739105</v>
      </c>
      <c r="AI7187">
        <v>117.44679406998701</v>
      </c>
      <c r="AJ7187">
        <v>85.878668445245594</v>
      </c>
      <c r="AK7187">
        <v>0.58266152511769698</v>
      </c>
      <c r="AL7187">
        <v>79.1437255086758</v>
      </c>
      <c r="AM7187">
        <v>89.016702060573195</v>
      </c>
      <c r="AN7187">
        <v>0.99999998839156201</v>
      </c>
    </row>
    <row r="7188" spans="1:40" x14ac:dyDescent="0.25">
      <c r="A7188" t="str">
        <f>"20190312151712798"</f>
        <v>20190312151712798</v>
      </c>
      <c r="B7188" t="str">
        <f>"1552375032795254"</f>
        <v>1552375032795254</v>
      </c>
      <c r="C7188" t="s">
        <v>40</v>
      </c>
      <c r="D7188">
        <v>5.2446429999999999</v>
      </c>
      <c r="E7188">
        <v>0.52090040000000004</v>
      </c>
      <c r="F7188" t="s">
        <v>41</v>
      </c>
      <c r="G7188">
        <v>-148.0403</v>
      </c>
      <c r="H7188">
        <v>0.85242989999999996</v>
      </c>
      <c r="I7188">
        <v>140.66720000000001</v>
      </c>
      <c r="J7188">
        <v>-148.64490000000001</v>
      </c>
      <c r="K7188">
        <v>1.111254</v>
      </c>
      <c r="L7188">
        <v>140.69069999999999</v>
      </c>
      <c r="M7188">
        <v>0.99930609999999997</v>
      </c>
      <c r="N7188">
        <v>0</v>
      </c>
      <c r="O7188">
        <v>2.9326789999999998E-2</v>
      </c>
      <c r="P7188">
        <v>0.98585319999999999</v>
      </c>
      <c r="Q7188">
        <v>0.167036299999999</v>
      </c>
      <c r="R7188">
        <v>1.3869340000000001E-2</v>
      </c>
      <c r="S7188">
        <v>3.2274020000000001</v>
      </c>
      <c r="T7188">
        <v>-1.090425</v>
      </c>
      <c r="U7188">
        <v>-8.6257929999999997E-2</v>
      </c>
      <c r="V7188">
        <v>1.540888E-2</v>
      </c>
      <c r="W7188">
        <v>0.18960279999999999</v>
      </c>
      <c r="X7188">
        <v>0.9817399</v>
      </c>
      <c r="Y7188">
        <v>5.154098E-2</v>
      </c>
      <c r="Z7188">
        <v>-1.81119E-2</v>
      </c>
      <c r="AA7188">
        <v>0.99850660000000002</v>
      </c>
      <c r="AB7188">
        <v>17</v>
      </c>
      <c r="AC7188">
        <v>0.60460000000000402</v>
      </c>
      <c r="AD7188">
        <v>-0.2588241</v>
      </c>
      <c r="AE7188">
        <v>-2.3499999999984301E-2</v>
      </c>
      <c r="AF7188">
        <v>3.4848717906382401E-2</v>
      </c>
      <c r="AG7188">
        <v>-0.2588241</v>
      </c>
      <c r="AH7188">
        <v>0.51027698083541295</v>
      </c>
      <c r="AI7188">
        <v>116.84141891840299</v>
      </c>
      <c r="AJ7188">
        <v>86.093123951598798</v>
      </c>
      <c r="AK7188">
        <v>0.57322503875095399</v>
      </c>
      <c r="AL7188">
        <v>79.070394397844595</v>
      </c>
      <c r="AM7188">
        <v>89.100789012998803</v>
      </c>
      <c r="AN7188">
        <v>0.99999994330135</v>
      </c>
    </row>
    <row r="7189" spans="1:40" x14ac:dyDescent="0.25">
      <c r="A7189" t="str">
        <f>"20190312151712821"</f>
        <v>20190312151712821</v>
      </c>
      <c r="B7189" t="str">
        <f>"1552375032814774"</f>
        <v>1552375032814774</v>
      </c>
      <c r="C7189" t="s">
        <v>40</v>
      </c>
      <c r="D7189">
        <v>5.2450650000000003</v>
      </c>
      <c r="E7189">
        <v>0.55289359999999999</v>
      </c>
      <c r="F7189" t="s">
        <v>41</v>
      </c>
      <c r="G7189">
        <v>-147.89189999999999</v>
      </c>
      <c r="H7189">
        <v>0.86137280000000005</v>
      </c>
      <c r="I7189">
        <v>140.66990000000001</v>
      </c>
      <c r="J7189">
        <v>-148.4768</v>
      </c>
      <c r="K7189">
        <v>1.111329</v>
      </c>
      <c r="L7189">
        <v>140.6935</v>
      </c>
      <c r="M7189">
        <v>0.99934769999999995</v>
      </c>
      <c r="N7189">
        <v>0</v>
      </c>
      <c r="O7189">
        <v>2.7620309999999999E-2</v>
      </c>
      <c r="P7189">
        <v>0.98563679999999998</v>
      </c>
      <c r="Q7189">
        <v>0.16845850000000001</v>
      </c>
      <c r="R7189">
        <v>1.191241E-2</v>
      </c>
      <c r="S7189">
        <v>3.2256010000000002</v>
      </c>
      <c r="T7189">
        <v>-1.0702579999999999</v>
      </c>
      <c r="U7189">
        <v>-8.8562009999999997E-2</v>
      </c>
      <c r="V7189">
        <v>1.566762E-2</v>
      </c>
      <c r="W7189">
        <v>0.19131609999999999</v>
      </c>
      <c r="X7189">
        <v>0.98140340000000004</v>
      </c>
      <c r="Y7189">
        <v>5.0848079999999997E-2</v>
      </c>
      <c r="Z7189">
        <v>-1.714011E-2</v>
      </c>
      <c r="AA7189">
        <v>0.99855930000000004</v>
      </c>
      <c r="AB7189">
        <v>16</v>
      </c>
      <c r="AC7189">
        <v>0.58490000000000397</v>
      </c>
      <c r="AD7189">
        <v>-0.24995619999999999</v>
      </c>
      <c r="AE7189">
        <v>-2.35999999999876E-2</v>
      </c>
      <c r="AF7189">
        <v>3.3620465544061999E-2</v>
      </c>
      <c r="AG7189">
        <v>-0.24995619999999999</v>
      </c>
      <c r="AH7189">
        <v>0.49396083920820399</v>
      </c>
      <c r="AI7189">
        <v>116.787214148679</v>
      </c>
      <c r="AJ7189">
        <v>86.106281558506595</v>
      </c>
      <c r="AK7189">
        <v>0.55462216714905299</v>
      </c>
      <c r="AL7189">
        <v>78.970399510309605</v>
      </c>
      <c r="AM7189">
        <v>89.085378907982602</v>
      </c>
      <c r="AN7189">
        <v>0.99999997898361703</v>
      </c>
    </row>
    <row r="7190" spans="1:40" x14ac:dyDescent="0.25">
      <c r="A7190" t="str">
        <f>"20190312151712846"</f>
        <v>20190312151712846</v>
      </c>
      <c r="B7190" t="str">
        <f>"1552375032835270"</f>
        <v>1552375032835270</v>
      </c>
      <c r="C7190" t="s">
        <v>40</v>
      </c>
      <c r="D7190">
        <v>5.2749699999999997</v>
      </c>
      <c r="E7190">
        <v>0.55477209999999999</v>
      </c>
      <c r="F7190" t="s">
        <v>41</v>
      </c>
      <c r="G7190">
        <v>-147.73750000000001</v>
      </c>
      <c r="H7190">
        <v>0.88460269999999996</v>
      </c>
      <c r="I7190">
        <v>140.61320000000001</v>
      </c>
      <c r="J7190">
        <v>-148.30869999999999</v>
      </c>
      <c r="K7190">
        <v>1.1114029999999999</v>
      </c>
      <c r="L7190">
        <v>140.696</v>
      </c>
      <c r="M7190">
        <v>0.99938640000000001</v>
      </c>
      <c r="N7190">
        <v>0</v>
      </c>
      <c r="O7190">
        <v>2.5911739999999999E-2</v>
      </c>
      <c r="P7190">
        <v>0.98536449999999998</v>
      </c>
      <c r="Q7190">
        <v>0.17021049999999999</v>
      </c>
      <c r="R7190">
        <v>9.2393309999999999E-3</v>
      </c>
      <c r="S7190">
        <v>3.216507</v>
      </c>
      <c r="T7190">
        <v>-0.98628000000000005</v>
      </c>
      <c r="U7190">
        <v>-0.34866329999999901</v>
      </c>
      <c r="V7190">
        <v>1.6639939999999999E-2</v>
      </c>
      <c r="W7190">
        <v>0.19335720000000001</v>
      </c>
      <c r="X7190">
        <v>0.98098730000000001</v>
      </c>
      <c r="Y7190">
        <v>0.12656600000000001</v>
      </c>
      <c r="Z7190">
        <v>-2.666667E-2</v>
      </c>
      <c r="AA7190">
        <v>0.99159969999999997</v>
      </c>
      <c r="AB7190">
        <v>16</v>
      </c>
      <c r="AC7190">
        <v>0.57119999999997595</v>
      </c>
      <c r="AD7190">
        <v>-0.22680030000000001</v>
      </c>
      <c r="AE7190">
        <v>-8.27999999999917E-2</v>
      </c>
      <c r="AF7190">
        <v>8.4525388475339594E-2</v>
      </c>
      <c r="AG7190">
        <v>-0.22680030000000001</v>
      </c>
      <c r="AH7190">
        <v>0.49277230276693001</v>
      </c>
      <c r="AI7190">
        <v>114.40040541088</v>
      </c>
      <c r="AJ7190">
        <v>80.266758473845897</v>
      </c>
      <c r="AK7190">
        <v>0.54900588316631005</v>
      </c>
      <c r="AL7190">
        <v>78.851228126506498</v>
      </c>
      <c r="AM7190">
        <v>89.028216868385101</v>
      </c>
      <c r="AN7190">
        <v>0.99999998857816597</v>
      </c>
    </row>
    <row r="7191" spans="1:40" x14ac:dyDescent="0.25">
      <c r="A7191" t="str">
        <f>"20190312151712867"</f>
        <v>20190312151712867</v>
      </c>
      <c r="B7191" t="str">
        <f>"1552375032865526"</f>
        <v>1552375032865526</v>
      </c>
      <c r="C7191" t="s">
        <v>40</v>
      </c>
      <c r="D7191">
        <v>5.3027540000000002</v>
      </c>
      <c r="E7191">
        <v>0.55583800000000005</v>
      </c>
      <c r="F7191" t="s">
        <v>41</v>
      </c>
      <c r="G7191">
        <v>-147.59200000000001</v>
      </c>
      <c r="H7191">
        <v>0.8959087</v>
      </c>
      <c r="I7191">
        <v>140.61369999999999</v>
      </c>
      <c r="J7191">
        <v>-148.1523</v>
      </c>
      <c r="K7191">
        <v>1.1114740000000001</v>
      </c>
      <c r="L7191">
        <v>140.69799999999901</v>
      </c>
      <c r="M7191">
        <v>0.99941959999999996</v>
      </c>
      <c r="N7191">
        <v>0</v>
      </c>
      <c r="O7191">
        <v>2.4320310000000001E-2</v>
      </c>
      <c r="P7191">
        <v>0.98521300000000001</v>
      </c>
      <c r="Q7191">
        <v>0.1712031</v>
      </c>
      <c r="R7191">
        <v>6.6817459999999997E-3</v>
      </c>
      <c r="S7191">
        <v>3.2149809999999999</v>
      </c>
      <c r="T7191">
        <v>-0.96661019999999997</v>
      </c>
      <c r="U7191">
        <v>-0.36875920000000001</v>
      </c>
      <c r="V7191">
        <v>1.7614979999999999E-2</v>
      </c>
      <c r="W7191">
        <v>0.1946281</v>
      </c>
      <c r="X7191">
        <v>0.98071889999999995</v>
      </c>
      <c r="Y7191">
        <v>0.13128960000000001</v>
      </c>
      <c r="Z7191">
        <v>-2.6386489999999999E-2</v>
      </c>
      <c r="AA7191">
        <v>0.99099280000000001</v>
      </c>
      <c r="AB7191">
        <v>16</v>
      </c>
      <c r="AC7191">
        <v>0.56029999999998303</v>
      </c>
      <c r="AD7191">
        <v>-0.21556529999999999</v>
      </c>
      <c r="AE7191">
        <v>-8.4299999999984707E-2</v>
      </c>
      <c r="AF7191">
        <v>8.5526332691529303E-2</v>
      </c>
      <c r="AG7191">
        <v>-0.21556529999999999</v>
      </c>
      <c r="AH7191">
        <v>0.48751885743256601</v>
      </c>
      <c r="AI7191">
        <v>113.53394906663701</v>
      </c>
      <c r="AJ7191">
        <v>80.049748586939003</v>
      </c>
      <c r="AK7191">
        <v>0.53986830662681695</v>
      </c>
      <c r="AL7191">
        <v>78.777000637150607</v>
      </c>
      <c r="AM7191">
        <v>88.971004332664094</v>
      </c>
      <c r="AN7191">
        <v>0.99999997282360897</v>
      </c>
    </row>
    <row r="7192" spans="1:40" x14ac:dyDescent="0.25">
      <c r="A7192" t="str">
        <f>"20190312151712887"</f>
        <v>20190312151712887</v>
      </c>
      <c r="B7192" t="str">
        <f>"1552375032885046"</f>
        <v>1552375032885046</v>
      </c>
      <c r="C7192" t="s">
        <v>40</v>
      </c>
      <c r="D7192">
        <v>4.873024</v>
      </c>
      <c r="E7192">
        <v>0.55588979999999999</v>
      </c>
      <c r="F7192" t="s">
        <v>41</v>
      </c>
      <c r="G7192">
        <v>-147.45050000000001</v>
      </c>
      <c r="H7192">
        <v>0.90249990000000002</v>
      </c>
      <c r="I7192">
        <v>140.61410000000001</v>
      </c>
      <c r="J7192">
        <v>-148.01419999999999</v>
      </c>
      <c r="K7192">
        <v>1.1115269999999999</v>
      </c>
      <c r="L7192">
        <v>140.6996</v>
      </c>
      <c r="M7192">
        <v>0.99944679999999997</v>
      </c>
      <c r="N7192">
        <v>0</v>
      </c>
      <c r="O7192">
        <v>2.2914380000000002E-2</v>
      </c>
      <c r="P7192">
        <v>0.98520669999999999</v>
      </c>
      <c r="Q7192">
        <v>0.1712833</v>
      </c>
      <c r="R7192">
        <v>5.4690619999999898E-3</v>
      </c>
      <c r="S7192">
        <v>3.2139129999999998</v>
      </c>
      <c r="T7192">
        <v>-0.95694159999999995</v>
      </c>
      <c r="U7192">
        <v>-0.38378909999999999</v>
      </c>
      <c r="V7192">
        <v>1.743167E-2</v>
      </c>
      <c r="W7192">
        <v>0.19495180000000001</v>
      </c>
      <c r="X7192">
        <v>0.98065789999999997</v>
      </c>
      <c r="Y7192">
        <v>0.13455780000000001</v>
      </c>
      <c r="Z7192">
        <v>-2.6201200000000001E-2</v>
      </c>
      <c r="AA7192">
        <v>0.99055930000000003</v>
      </c>
      <c r="AB7192">
        <v>16</v>
      </c>
      <c r="AC7192">
        <v>0.56369999999998299</v>
      </c>
      <c r="AD7192">
        <v>-0.20902709999999999</v>
      </c>
      <c r="AE7192">
        <v>-8.5499999999996107E-2</v>
      </c>
      <c r="AF7192">
        <v>8.6739487196459894E-2</v>
      </c>
      <c r="AG7192">
        <v>-0.20902709999999999</v>
      </c>
      <c r="AH7192">
        <v>0.49505226161932497</v>
      </c>
      <c r="AI7192">
        <v>112.58226647561</v>
      </c>
      <c r="AJ7192">
        <v>80.061925321181505</v>
      </c>
      <c r="AK7192">
        <v>0.54432785057162303</v>
      </c>
      <c r="AL7192">
        <v>78.758092013383006</v>
      </c>
      <c r="AM7192">
        <v>88.981646965103806</v>
      </c>
      <c r="AN7192">
        <v>0.99999999213731905</v>
      </c>
    </row>
    <row r="7193" spans="1:40" x14ac:dyDescent="0.25">
      <c r="A7193" t="str">
        <f>"20190312151712910"</f>
        <v>20190312151712910</v>
      </c>
      <c r="B7193" t="str">
        <f>"1552375032905543"</f>
        <v>1552375032905543</v>
      </c>
      <c r="C7193" t="s">
        <v>40</v>
      </c>
      <c r="D7193">
        <v>5.3264239999999896</v>
      </c>
      <c r="E7193">
        <v>0.54524010000000001</v>
      </c>
      <c r="F7193" t="s">
        <v>41</v>
      </c>
      <c r="G7193">
        <v>-147.31399999999999</v>
      </c>
      <c r="H7193">
        <v>0.90302720000000003</v>
      </c>
      <c r="I7193">
        <v>140.6147</v>
      </c>
      <c r="J7193">
        <v>-147.86500000000001</v>
      </c>
      <c r="K7193">
        <v>1.1116809999999999</v>
      </c>
      <c r="L7193">
        <v>140.7011</v>
      </c>
      <c r="M7193">
        <v>0.99946579999999996</v>
      </c>
      <c r="N7193">
        <v>0</v>
      </c>
      <c r="O7193">
        <v>2.1429279999999998E-2</v>
      </c>
      <c r="P7193">
        <v>0.98551109999999997</v>
      </c>
      <c r="Q7193">
        <v>0.16952690000000001</v>
      </c>
      <c r="R7193">
        <v>5.3731269999999897E-3</v>
      </c>
      <c r="S7193">
        <v>3.2135769999999999</v>
      </c>
      <c r="T7193">
        <v>-0.95681830000000001</v>
      </c>
      <c r="U7193">
        <v>-0.38926699999999997</v>
      </c>
      <c r="V7193">
        <v>1.6048969999999999E-2</v>
      </c>
      <c r="W7193">
        <v>0.19377030000000001</v>
      </c>
      <c r="X7193">
        <v>0.98091569999999995</v>
      </c>
      <c r="Y7193">
        <v>0.1348183</v>
      </c>
      <c r="Z7193">
        <v>-2.5804400000000002E-2</v>
      </c>
      <c r="AA7193">
        <v>0.99053420000000003</v>
      </c>
      <c r="AB7193">
        <v>15</v>
      </c>
      <c r="AC7193">
        <v>0.55100000000001603</v>
      </c>
      <c r="AD7193">
        <v>-0.2086538</v>
      </c>
      <c r="AE7193">
        <v>-8.6399999999997507E-2</v>
      </c>
      <c r="AF7193">
        <v>8.6135814862384599E-2</v>
      </c>
      <c r="AG7193">
        <v>-0.2086538</v>
      </c>
      <c r="AH7193">
        <v>0.48161508732151198</v>
      </c>
      <c r="AI7193">
        <v>113.09682724364799</v>
      </c>
      <c r="AJ7193">
        <v>79.859981648533903</v>
      </c>
      <c r="AK7193">
        <v>0.53189179274750398</v>
      </c>
      <c r="AL7193">
        <v>78.827103724073496</v>
      </c>
      <c r="AM7193">
        <v>89.062655221509104</v>
      </c>
      <c r="AN7193">
        <v>1.0000000545533101</v>
      </c>
    </row>
    <row r="7194" spans="1:40" x14ac:dyDescent="0.25">
      <c r="A7194" t="str">
        <f>"20190312151712932"</f>
        <v>20190312151712932</v>
      </c>
      <c r="B7194" t="str">
        <f>"1552375032925062"</f>
        <v>1552375032925062</v>
      </c>
      <c r="C7194" t="s">
        <v>40</v>
      </c>
      <c r="D7194">
        <v>5.3382110000000003</v>
      </c>
      <c r="E7194">
        <v>0.55101940000000005</v>
      </c>
      <c r="F7194" t="s">
        <v>41</v>
      </c>
      <c r="G7194">
        <v>-147.16130000000001</v>
      </c>
      <c r="H7194">
        <v>0.94560929999999999</v>
      </c>
      <c r="I7194">
        <v>140.6318</v>
      </c>
      <c r="J7194">
        <v>-147.7201</v>
      </c>
      <c r="K7194">
        <v>1.111885</v>
      </c>
      <c r="L7194">
        <v>140.70240000000001</v>
      </c>
      <c r="M7194">
        <v>0.99947640000000004</v>
      </c>
      <c r="N7194">
        <v>0</v>
      </c>
      <c r="O7194">
        <v>2.0000779999999999E-2</v>
      </c>
      <c r="P7194">
        <v>0.98592679999999999</v>
      </c>
      <c r="Q7194">
        <v>0.16706869999999999</v>
      </c>
      <c r="R7194">
        <v>6.0457439999999996E-3</v>
      </c>
      <c r="S7194">
        <v>3.1746829999999999</v>
      </c>
      <c r="T7194">
        <v>-0.74917650000000002</v>
      </c>
      <c r="U7194">
        <v>-0.31216430000000001</v>
      </c>
      <c r="V7194">
        <v>1.395092E-2</v>
      </c>
      <c r="W7194">
        <v>0.19206909999999999</v>
      </c>
      <c r="X7194">
        <v>0.98128219999999999</v>
      </c>
      <c r="Y7194">
        <v>0.11409850000000001</v>
      </c>
      <c r="Z7194">
        <v>-1.7897260000000002E-2</v>
      </c>
      <c r="AA7194">
        <v>0.99330819999999997</v>
      </c>
      <c r="AB7194">
        <v>15</v>
      </c>
      <c r="AC7194">
        <v>0.55879999999998997</v>
      </c>
      <c r="AD7194">
        <v>-0.166275699999999</v>
      </c>
      <c r="AE7194">
        <v>-7.0600000000013097E-2</v>
      </c>
      <c r="AF7194">
        <v>7.5211262823563205E-2</v>
      </c>
      <c r="AG7194">
        <v>-0.166275699999999</v>
      </c>
      <c r="AH7194">
        <v>0.51260236313974095</v>
      </c>
      <c r="AI7194">
        <v>107.793482288558</v>
      </c>
      <c r="AJ7194">
        <v>81.652871465697999</v>
      </c>
      <c r="AK7194">
        <v>0.54411903583908205</v>
      </c>
      <c r="AL7194">
        <v>78.926440374390197</v>
      </c>
      <c r="AM7194">
        <v>89.185478969918407</v>
      </c>
      <c r="AN7194">
        <v>0.99999996169024696</v>
      </c>
    </row>
    <row r="7195" spans="1:40" x14ac:dyDescent="0.25">
      <c r="A7195" t="str">
        <f>"20190312151712955"</f>
        <v>20190312151712955</v>
      </c>
      <c r="B7195" t="str">
        <f>"1552375032945558"</f>
        <v>1552375032945558</v>
      </c>
      <c r="C7195" t="s">
        <v>40</v>
      </c>
      <c r="D7195">
        <v>5.5021829999999996</v>
      </c>
      <c r="E7195">
        <v>0.55175039999999997</v>
      </c>
      <c r="F7195" t="s">
        <v>41</v>
      </c>
      <c r="G7195">
        <v>-147.04849999999999</v>
      </c>
      <c r="H7195">
        <v>0.91196699999999997</v>
      </c>
      <c r="I7195">
        <v>140.6285</v>
      </c>
      <c r="J7195">
        <v>-147.5771</v>
      </c>
      <c r="K7195">
        <v>1.1119349999999999</v>
      </c>
      <c r="L7195">
        <v>140.70349999999999</v>
      </c>
      <c r="M7195">
        <v>0.99949399999999999</v>
      </c>
      <c r="N7195">
        <v>0</v>
      </c>
      <c r="O7195">
        <v>1.8573449999999998E-2</v>
      </c>
      <c r="P7195">
        <v>0.98619040000000002</v>
      </c>
      <c r="Q7195">
        <v>0.16549339999999901</v>
      </c>
      <c r="R7195">
        <v>6.3963379999999997E-3</v>
      </c>
      <c r="S7195">
        <v>3.206696</v>
      </c>
      <c r="T7195">
        <v>-0.95437289999999997</v>
      </c>
      <c r="U7195">
        <v>-0.3521881</v>
      </c>
      <c r="V7195">
        <v>1.218935E-2</v>
      </c>
      <c r="W7195">
        <v>0.19088869999999999</v>
      </c>
      <c r="X7195">
        <v>0.98153599999999996</v>
      </c>
      <c r="Y7195">
        <v>0.1216129</v>
      </c>
      <c r="Z7195">
        <v>-2.306161E-2</v>
      </c>
      <c r="AA7195">
        <v>0.99230960000000001</v>
      </c>
      <c r="AB7195">
        <v>15</v>
      </c>
      <c r="AC7195">
        <v>0.52860000000001095</v>
      </c>
      <c r="AD7195">
        <v>-0.19996800000000001</v>
      </c>
      <c r="AE7195">
        <v>-7.4999999999988604E-2</v>
      </c>
      <c r="AF7195">
        <v>7.4374623389147396E-2</v>
      </c>
      <c r="AG7195">
        <v>-0.19996800000000001</v>
      </c>
      <c r="AH7195">
        <v>0.46226633132546402</v>
      </c>
      <c r="AI7195">
        <v>113.126809328326</v>
      </c>
      <c r="AJ7195">
        <v>80.859937906293794</v>
      </c>
      <c r="AK7195">
        <v>0.50912566887300204</v>
      </c>
      <c r="AL7195">
        <v>78.995347724520698</v>
      </c>
      <c r="AM7195">
        <v>89.288500462188793</v>
      </c>
      <c r="AN7195">
        <v>0.99999999766855596</v>
      </c>
    </row>
    <row r="7196" spans="1:40" x14ac:dyDescent="0.25">
      <c r="A7196" t="str">
        <f>"20190312151712976"</f>
        <v>20190312151712976</v>
      </c>
      <c r="B7196" t="str">
        <f>"1552375032965078"</f>
        <v>1552375032965078</v>
      </c>
      <c r="C7196" t="s">
        <v>40</v>
      </c>
      <c r="D7196">
        <v>5.2733939999999997</v>
      </c>
      <c r="E7196">
        <v>0.52600100000000005</v>
      </c>
      <c r="F7196" t="s">
        <v>41</v>
      </c>
      <c r="G7196">
        <v>-146.8073</v>
      </c>
      <c r="H7196">
        <v>0.88360669999999897</v>
      </c>
      <c r="I7196">
        <v>140.61770000000001</v>
      </c>
      <c r="J7196">
        <v>-147.43870000000001</v>
      </c>
      <c r="K7196">
        <v>1.111856</v>
      </c>
      <c r="L7196">
        <v>140.70429999999999</v>
      </c>
      <c r="M7196">
        <v>0.99952030000000003</v>
      </c>
      <c r="N7196">
        <v>0</v>
      </c>
      <c r="O7196">
        <v>1.716645E-2</v>
      </c>
      <c r="P7196">
        <v>0.98635930000000005</v>
      </c>
      <c r="Q7196">
        <v>0.16450429999999999</v>
      </c>
      <c r="R7196">
        <v>5.8234580000000001E-3</v>
      </c>
      <c r="S7196">
        <v>3.2037200000000001</v>
      </c>
      <c r="T7196">
        <v>-0.95007129999999995</v>
      </c>
      <c r="U7196">
        <v>-0.35632320000000001</v>
      </c>
      <c r="V7196">
        <v>1.13778E-2</v>
      </c>
      <c r="W7196">
        <v>0.1898659</v>
      </c>
      <c r="X7196">
        <v>0.98174410000000001</v>
      </c>
      <c r="Y7196">
        <v>0.121682399999999</v>
      </c>
      <c r="Z7196">
        <v>-2.2583240000000001E-2</v>
      </c>
      <c r="AA7196">
        <v>0.99231210000000003</v>
      </c>
      <c r="AB7196">
        <v>14</v>
      </c>
      <c r="AC7196">
        <v>0.63140000000001295</v>
      </c>
      <c r="AD7196">
        <v>-0.22824929999999999</v>
      </c>
      <c r="AE7196">
        <v>-8.6599999999975794E-2</v>
      </c>
      <c r="AF7196">
        <v>8.6353413380465802E-2</v>
      </c>
      <c r="AG7196">
        <v>-0.22824929999999999</v>
      </c>
      <c r="AH7196">
        <v>0.55821861173571496</v>
      </c>
      <c r="AI7196">
        <v>112.00276606639</v>
      </c>
      <c r="AJ7196">
        <v>81.206354550277197</v>
      </c>
      <c r="AK7196">
        <v>0.60923121509086897</v>
      </c>
      <c r="AL7196">
        <v>79.0550415747839</v>
      </c>
      <c r="AM7196">
        <v>89.336007482852196</v>
      </c>
      <c r="AN7196">
        <v>0.99999999610023005</v>
      </c>
    </row>
    <row r="7197" spans="1:40" x14ac:dyDescent="0.25">
      <c r="A7197" t="str">
        <f>"20190312151713000"</f>
        <v>20190312151713000</v>
      </c>
      <c r="B7197" t="str">
        <f>"1552375032995334"</f>
        <v>1552375032995334</v>
      </c>
      <c r="C7197" t="s">
        <v>40</v>
      </c>
      <c r="D7197">
        <v>5.251957</v>
      </c>
      <c r="E7197">
        <v>0.51108199999999904</v>
      </c>
      <c r="F7197" t="s">
        <v>41</v>
      </c>
      <c r="G7197">
        <v>-146.63829999999999</v>
      </c>
      <c r="H7197">
        <v>0.97724900000000003</v>
      </c>
      <c r="I7197">
        <v>140.66239999999999</v>
      </c>
      <c r="J7197">
        <v>-147.29750000000001</v>
      </c>
      <c r="K7197">
        <v>1.111807</v>
      </c>
      <c r="L7197">
        <v>140.70480000000001</v>
      </c>
      <c r="M7197">
        <v>0.99954580000000004</v>
      </c>
      <c r="N7197">
        <v>0</v>
      </c>
      <c r="O7197">
        <v>1.5723239999999999E-2</v>
      </c>
      <c r="P7197">
        <v>0.98647739999999995</v>
      </c>
      <c r="Q7197">
        <v>0.16381850000000001</v>
      </c>
      <c r="R7197">
        <v>5.1037039999999997E-3</v>
      </c>
      <c r="S7197">
        <v>3.1302340000000002</v>
      </c>
      <c r="T7197">
        <v>-0.52636099999999997</v>
      </c>
      <c r="U7197">
        <v>-0.16313169999999999</v>
      </c>
      <c r="V7197">
        <v>1.0669619999999999E-2</v>
      </c>
      <c r="W7197">
        <v>0.1891149</v>
      </c>
      <c r="X7197">
        <v>0.98189700000000002</v>
      </c>
      <c r="Y7197">
        <v>6.6592090000000007E-2</v>
      </c>
      <c r="Z7197">
        <v>-8.1809420000000001E-3</v>
      </c>
      <c r="AA7197">
        <v>0.99774680000000004</v>
      </c>
      <c r="AB7197">
        <v>14</v>
      </c>
      <c r="AC7197">
        <v>0.65920000000002599</v>
      </c>
      <c r="AD7197">
        <v>-0.13455800000000001</v>
      </c>
      <c r="AE7197">
        <v>-4.2400000000014801E-2</v>
      </c>
      <c r="AF7197">
        <v>5.06607925072073E-2</v>
      </c>
      <c r="AG7197">
        <v>-0.13455800000000001</v>
      </c>
      <c r="AH7197">
        <v>0.63221793808000604</v>
      </c>
      <c r="AI7197">
        <v>101.977973415186</v>
      </c>
      <c r="AJ7197">
        <v>85.418572454007204</v>
      </c>
      <c r="AK7197">
        <v>0.648360927641073</v>
      </c>
      <c r="AL7197">
        <v>79.098864737734999</v>
      </c>
      <c r="AM7197">
        <v>89.377429470134203</v>
      </c>
      <c r="AN7197">
        <v>1.0000000024009701</v>
      </c>
    </row>
    <row r="7198" spans="1:40" x14ac:dyDescent="0.25">
      <c r="A7198" t="str">
        <f>"20190312151713022"</f>
        <v>20190312151713022</v>
      </c>
      <c r="B7198" t="str">
        <f>"1552375033014854"</f>
        <v>1552375033014854</v>
      </c>
      <c r="C7198" t="s">
        <v>40</v>
      </c>
      <c r="D7198">
        <v>5.3387949999999904</v>
      </c>
      <c r="E7198">
        <v>0.5112466</v>
      </c>
      <c r="F7198" t="s">
        <v>43</v>
      </c>
      <c r="G7198">
        <v>-95.064040000000006</v>
      </c>
      <c r="H7198" s="1">
        <v>-2.122284E-6</v>
      </c>
      <c r="I7198">
        <v>139.70079999999999</v>
      </c>
      <c r="J7198">
        <v>-147.15969999999999</v>
      </c>
      <c r="K7198">
        <v>1.111845</v>
      </c>
      <c r="L7198">
        <v>140.70519999999999</v>
      </c>
      <c r="M7198">
        <v>0.99956460000000003</v>
      </c>
      <c r="N7198">
        <v>0</v>
      </c>
      <c r="O7198">
        <v>1.429009E-2</v>
      </c>
      <c r="P7198">
        <v>0.98652969999999895</v>
      </c>
      <c r="Q7198">
        <v>0.1635443</v>
      </c>
      <c r="R7198">
        <v>3.5707960000000002E-3</v>
      </c>
      <c r="S7198">
        <v>3.0522309999999999</v>
      </c>
      <c r="T7198">
        <v>-6.4967869999999997E-2</v>
      </c>
      <c r="U7198">
        <v>-5.867004E-2</v>
      </c>
      <c r="V7198">
        <v>1.077173E-2</v>
      </c>
      <c r="W7198">
        <v>0.1889468</v>
      </c>
      <c r="X7198">
        <v>0.98192820000000003</v>
      </c>
      <c r="Y7198">
        <v>3.3497899999999997E-2</v>
      </c>
      <c r="Z7198">
        <v>-6.6064589999999897E-4</v>
      </c>
      <c r="AA7198">
        <v>0.99943859999999995</v>
      </c>
      <c r="AB7198">
        <v>14</v>
      </c>
      <c r="AC7198">
        <v>52.095659999999903</v>
      </c>
      <c r="AD7198">
        <v>-1.1118471222840001</v>
      </c>
      <c r="AE7198">
        <v>-1.0044</v>
      </c>
      <c r="AF7198">
        <v>1.7482012131802001</v>
      </c>
      <c r="AG7198">
        <v>-1.1118471222840001</v>
      </c>
      <c r="AH7198">
        <v>52.052278358228897</v>
      </c>
      <c r="AI7198">
        <v>91.222973936638297</v>
      </c>
      <c r="AJ7198">
        <v>88.076416277848296</v>
      </c>
      <c r="AK7198">
        <v>52.093493775975901</v>
      </c>
      <c r="AL7198">
        <v>79.108672485685105</v>
      </c>
      <c r="AM7198">
        <v>89.3714918139368</v>
      </c>
      <c r="AN7198">
        <v>0.99999995667633501</v>
      </c>
    </row>
    <row r="7199" spans="1:40" x14ac:dyDescent="0.25">
      <c r="A7199" t="str">
        <f>"20190312151713048"</f>
        <v>20190312151713048</v>
      </c>
      <c r="B7199" t="str">
        <f>"1552375033035350"</f>
        <v>1552375033035350</v>
      </c>
      <c r="C7199" t="s">
        <v>40</v>
      </c>
      <c r="D7199">
        <v>5.3510109999999997</v>
      </c>
      <c r="E7199">
        <v>0.51155099999999998</v>
      </c>
      <c r="F7199" t="s">
        <v>43</v>
      </c>
      <c r="G7199">
        <v>-110.2834</v>
      </c>
      <c r="H7199" s="1">
        <v>-4.2332719999999998E-6</v>
      </c>
      <c r="I7199">
        <v>139.92670000000001</v>
      </c>
      <c r="J7199">
        <v>-147.01349999999999</v>
      </c>
      <c r="K7199">
        <v>1.111923</v>
      </c>
      <c r="L7199">
        <v>140.7055</v>
      </c>
      <c r="M7199">
        <v>0.99958040000000004</v>
      </c>
      <c r="N7199">
        <v>0</v>
      </c>
      <c r="O7199">
        <v>1.2740359999999999E-2</v>
      </c>
      <c r="P7199">
        <v>0.9865429</v>
      </c>
      <c r="Q7199">
        <v>0.16348279999999901</v>
      </c>
      <c r="R7199">
        <v>2.5193500000000001E-3</v>
      </c>
      <c r="S7199">
        <v>3.056473</v>
      </c>
      <c r="T7199">
        <v>-9.2154860000000005E-2</v>
      </c>
      <c r="U7199">
        <v>-6.4529420000000004E-2</v>
      </c>
      <c r="V7199">
        <v>1.027402E-2</v>
      </c>
      <c r="W7199">
        <v>0.1890812</v>
      </c>
      <c r="X7199">
        <v>0.98190770000000005</v>
      </c>
      <c r="Y7199">
        <v>3.3826639999999998E-2</v>
      </c>
      <c r="Z7199">
        <v>-8.9391229999999996E-4</v>
      </c>
      <c r="AA7199">
        <v>0.99942730000000002</v>
      </c>
      <c r="AB7199">
        <v>14</v>
      </c>
      <c r="AC7199">
        <v>36.730099999999901</v>
      </c>
      <c r="AD7199">
        <v>-1.111927233272</v>
      </c>
      <c r="AE7199">
        <v>-0.77879999999998895</v>
      </c>
      <c r="AF7199">
        <v>1.24570874380393</v>
      </c>
      <c r="AG7199">
        <v>-1.111927233272</v>
      </c>
      <c r="AH7199">
        <v>36.683587807137599</v>
      </c>
      <c r="AI7199">
        <v>91.735178401411403</v>
      </c>
      <c r="AJ7199">
        <v>88.055085622586603</v>
      </c>
      <c r="AK7199">
        <v>36.721571138098803</v>
      </c>
      <c r="AL7199">
        <v>79.100830983664196</v>
      </c>
      <c r="AM7199">
        <v>89.400517478659296</v>
      </c>
      <c r="AN7199">
        <v>0.99999999349984503</v>
      </c>
    </row>
    <row r="7200" spans="1:40" x14ac:dyDescent="0.25">
      <c r="A7200" t="str">
        <f>"20190312151713072"</f>
        <v>20190312151713072</v>
      </c>
      <c r="B7200" t="str">
        <f>"1552375033065607"</f>
        <v>1552375033065607</v>
      </c>
      <c r="C7200" t="s">
        <v>40</v>
      </c>
      <c r="D7200">
        <v>5.3162900000000004</v>
      </c>
      <c r="E7200">
        <v>0.5112894</v>
      </c>
      <c r="F7200" t="s">
        <v>43</v>
      </c>
      <c r="G7200">
        <v>-112.22499999999999</v>
      </c>
      <c r="H7200" s="1">
        <v>-3.3925819999999999E-6</v>
      </c>
      <c r="I7200">
        <v>139.89750000000001</v>
      </c>
      <c r="J7200">
        <v>-146.87</v>
      </c>
      <c r="K7200">
        <v>1.111955</v>
      </c>
      <c r="L7200">
        <v>140.7055</v>
      </c>
      <c r="M7200">
        <v>0.99959549999999997</v>
      </c>
      <c r="N7200">
        <v>0</v>
      </c>
      <c r="O7200">
        <v>1.123716E-2</v>
      </c>
      <c r="P7200">
        <v>0.98666659999999995</v>
      </c>
      <c r="Q7200">
        <v>0.16275209999999901</v>
      </c>
      <c r="R7200">
        <v>9.8887549999999991E-4</v>
      </c>
      <c r="S7200">
        <v>3.0572810000000001</v>
      </c>
      <c r="T7200">
        <v>-9.7718239999999998E-2</v>
      </c>
      <c r="U7200">
        <v>-7.0999149999999997E-2</v>
      </c>
      <c r="V7200">
        <v>1.03135E-2</v>
      </c>
      <c r="W7200">
        <v>0.1884673</v>
      </c>
      <c r="X7200">
        <v>0.98202529999999999</v>
      </c>
      <c r="Y7200">
        <v>3.4429899999999999E-2</v>
      </c>
      <c r="Z7200">
        <v>-9.0917359999999998E-4</v>
      </c>
      <c r="AA7200">
        <v>0.99940669999999998</v>
      </c>
      <c r="AB7200">
        <v>13</v>
      </c>
      <c r="AC7200">
        <v>34.645000000000003</v>
      </c>
      <c r="AD7200">
        <v>-1.111958392582</v>
      </c>
      <c r="AE7200">
        <v>-0.80799999999999195</v>
      </c>
      <c r="AF7200">
        <v>1.19616174658733</v>
      </c>
      <c r="AG7200">
        <v>-1.111958392582</v>
      </c>
      <c r="AH7200">
        <v>34.598106840991697</v>
      </c>
      <c r="AI7200">
        <v>91.839713294526007</v>
      </c>
      <c r="AJ7200">
        <v>88.019899382031298</v>
      </c>
      <c r="AK7200">
        <v>34.636631640093299</v>
      </c>
      <c r="AL7200">
        <v>79.136648819170105</v>
      </c>
      <c r="AM7200">
        <v>89.3982860749895</v>
      </c>
      <c r="AN7200">
        <v>0.99999999064581402</v>
      </c>
    </row>
    <row r="7201" spans="1:40" x14ac:dyDescent="0.25">
      <c r="A7201" t="str">
        <f>"20190312151713112"</f>
        <v>20190312151713112</v>
      </c>
      <c r="B7201" t="str">
        <f>"1552375033104646"</f>
        <v>1552375033104646</v>
      </c>
      <c r="C7201" t="s">
        <v>40</v>
      </c>
      <c r="D7201">
        <v>5.3343239999999996</v>
      </c>
      <c r="E7201">
        <v>0.51086350000000003</v>
      </c>
      <c r="F7201" t="s">
        <v>43</v>
      </c>
      <c r="G7201">
        <v>-117.399</v>
      </c>
      <c r="H7201" s="1">
        <v>-1.1980330000000001E-6</v>
      </c>
      <c r="I7201">
        <v>139.99170000000001</v>
      </c>
      <c r="J7201">
        <v>-146.6497</v>
      </c>
      <c r="K7201">
        <v>1.1119810000000001</v>
      </c>
      <c r="L7201">
        <v>140.70500000000001</v>
      </c>
      <c r="M7201">
        <v>0.99961549999999999</v>
      </c>
      <c r="N7201">
        <v>0</v>
      </c>
      <c r="O7201">
        <v>9.0014929999999993E-3</v>
      </c>
      <c r="P7201">
        <v>0.98697009999999996</v>
      </c>
      <c r="Q7201">
        <v>0.1609024</v>
      </c>
      <c r="R7201">
        <v>-4.9931460000000004E-4</v>
      </c>
      <c r="S7201">
        <v>3.0596770000000002</v>
      </c>
      <c r="T7201">
        <v>-0.1154429</v>
      </c>
      <c r="U7201">
        <v>-7.4096679999999998E-2</v>
      </c>
      <c r="V7201">
        <v>9.5875390000000008E-3</v>
      </c>
      <c r="W7201">
        <v>0.18672079999999999</v>
      </c>
      <c r="X7201">
        <v>0.98236630000000003</v>
      </c>
      <c r="Y7201">
        <v>3.318103E-2</v>
      </c>
      <c r="Z7201">
        <v>-9.6523479999999998E-4</v>
      </c>
      <c r="AA7201">
        <v>0.99944889999999997</v>
      </c>
      <c r="AB7201">
        <v>13</v>
      </c>
      <c r="AC7201">
        <v>29.250699999999899</v>
      </c>
      <c r="AD7201">
        <v>-1.11198219803299</v>
      </c>
      <c r="AE7201">
        <v>-0.71330000000000304</v>
      </c>
      <c r="AF7201">
        <v>0.97525306902334796</v>
      </c>
      <c r="AG7201">
        <v>-1.11198219803299</v>
      </c>
      <c r="AH7201">
        <v>29.200915524308002</v>
      </c>
      <c r="AI7201">
        <v>92.179577728228296</v>
      </c>
      <c r="AJ7201">
        <v>88.0871448112065</v>
      </c>
      <c r="AK7201">
        <v>29.238349652727599</v>
      </c>
      <c r="AL7201">
        <v>79.238525334486695</v>
      </c>
      <c r="AM7201">
        <v>89.440831713758399</v>
      </c>
      <c r="AN7201">
        <v>1.0000000627162</v>
      </c>
    </row>
    <row r="7202" spans="1:40" x14ac:dyDescent="0.25">
      <c r="A7202" t="str">
        <f>"20190312151713135"</f>
        <v>20190312151713135</v>
      </c>
      <c r="B7202" t="str">
        <f>"1552375033125142"</f>
        <v>1552375033125142</v>
      </c>
      <c r="C7202" t="s">
        <v>40</v>
      </c>
      <c r="D7202">
        <v>5.3357260000000002</v>
      </c>
      <c r="E7202">
        <v>0.51094450000000002</v>
      </c>
      <c r="F7202" t="s">
        <v>43</v>
      </c>
      <c r="G7202">
        <v>-117.9512</v>
      </c>
      <c r="H7202" s="1">
        <v>-9.607409000000001E-7</v>
      </c>
      <c r="I7202">
        <v>139.99019999999999</v>
      </c>
      <c r="J7202">
        <v>-146.52330000000001</v>
      </c>
      <c r="K7202">
        <v>1.112039</v>
      </c>
      <c r="L7202">
        <v>140.7045</v>
      </c>
      <c r="M7202">
        <v>0.99962289999999998</v>
      </c>
      <c r="N7202">
        <v>0</v>
      </c>
      <c r="O7202">
        <v>7.7040980000000004E-3</v>
      </c>
      <c r="P7202">
        <v>0.98712659999999997</v>
      </c>
      <c r="Q7202">
        <v>0.15993280000000001</v>
      </c>
      <c r="R7202">
        <v>-1.641046E-3</v>
      </c>
      <c r="S7202">
        <v>3.0588839999999999</v>
      </c>
      <c r="T7202">
        <v>-0.1185224</v>
      </c>
      <c r="U7202">
        <v>-7.6187130000000006E-2</v>
      </c>
      <c r="V7202">
        <v>9.4331580000000005E-3</v>
      </c>
      <c r="W7202">
        <v>0.18588640000000001</v>
      </c>
      <c r="X7202">
        <v>0.98252589999999995</v>
      </c>
      <c r="Y7202">
        <v>3.257256E-2</v>
      </c>
      <c r="Z7202">
        <v>-9.2916989999999996E-4</v>
      </c>
      <c r="AA7202">
        <v>0.99946889999999999</v>
      </c>
      <c r="AB7202">
        <v>13</v>
      </c>
      <c r="AC7202">
        <v>28.572099999999999</v>
      </c>
      <c r="AD7202">
        <v>-1.1120399607408999</v>
      </c>
      <c r="AE7202">
        <v>-0.71430000000000804</v>
      </c>
      <c r="AF7202">
        <v>0.93306501742032699</v>
      </c>
      <c r="AG7202">
        <v>-1.1120399607408999</v>
      </c>
      <c r="AH7202">
        <v>28.5225674119499</v>
      </c>
      <c r="AI7202">
        <v>92.2315287223946</v>
      </c>
      <c r="AJ7202">
        <v>88.126338748880997</v>
      </c>
      <c r="AK7202">
        <v>28.559483450690198</v>
      </c>
      <c r="AL7202">
        <v>79.287183533898798</v>
      </c>
      <c r="AM7202">
        <v>89.449924388713896</v>
      </c>
      <c r="AN7202">
        <v>0.99999994117280899</v>
      </c>
    </row>
    <row r="7203" spans="1:40" x14ac:dyDescent="0.25">
      <c r="A7203" t="str">
        <f>"20190312151713156"</f>
        <v>20190312151713156</v>
      </c>
      <c r="B7203" t="str">
        <f>"1552375033144663"</f>
        <v>1552375033144663</v>
      </c>
      <c r="C7203" t="s">
        <v>40</v>
      </c>
      <c r="D7203">
        <v>5.3744820000000004</v>
      </c>
      <c r="E7203">
        <v>0.51083270000000003</v>
      </c>
      <c r="F7203" t="s">
        <v>43</v>
      </c>
      <c r="G7203">
        <v>-119.2543</v>
      </c>
      <c r="H7203" s="1">
        <v>-4.0027010000000002E-7</v>
      </c>
      <c r="I7203">
        <v>139.98480000000001</v>
      </c>
      <c r="J7203">
        <v>-146.41370000000001</v>
      </c>
      <c r="K7203">
        <v>1.1120890000000001</v>
      </c>
      <c r="L7203">
        <v>140.7039</v>
      </c>
      <c r="M7203">
        <v>0.99962720000000005</v>
      </c>
      <c r="N7203">
        <v>0</v>
      </c>
      <c r="O7203">
        <v>6.5655749999999997E-3</v>
      </c>
      <c r="P7203">
        <v>0.98740039999999996</v>
      </c>
      <c r="Q7203">
        <v>0.15821689999999999</v>
      </c>
      <c r="R7203">
        <v>-2.8635129999999998E-3</v>
      </c>
      <c r="S7203">
        <v>3.0592039999999998</v>
      </c>
      <c r="T7203">
        <v>-0.124755</v>
      </c>
      <c r="U7203">
        <v>-8.0734249999999994E-2</v>
      </c>
      <c r="V7203">
        <v>9.517101E-3</v>
      </c>
      <c r="W7203">
        <v>0.18432080000000001</v>
      </c>
      <c r="X7203">
        <v>0.98282000000000003</v>
      </c>
      <c r="Y7203">
        <v>3.2913650000000003E-2</v>
      </c>
      <c r="Z7203">
        <v>-9.3840380000000004E-4</v>
      </c>
      <c r="AA7203">
        <v>0.99945779999999995</v>
      </c>
      <c r="AB7203">
        <v>12</v>
      </c>
      <c r="AC7203">
        <v>27.159400000000002</v>
      </c>
      <c r="AD7203">
        <v>-1.1120894002700901</v>
      </c>
      <c r="AE7203">
        <v>-0.71909999999999696</v>
      </c>
      <c r="AF7203">
        <v>0.89596306891376098</v>
      </c>
      <c r="AG7203">
        <v>-1.1120894002700901</v>
      </c>
      <c r="AH7203">
        <v>27.108671678477599</v>
      </c>
      <c r="AI7203">
        <v>92.347868878888306</v>
      </c>
      <c r="AJ7203">
        <v>88.1070181777323</v>
      </c>
      <c r="AK7203">
        <v>27.146262594076202</v>
      </c>
      <c r="AL7203">
        <v>79.378463239338799</v>
      </c>
      <c r="AM7203">
        <v>89.445195785984296</v>
      </c>
      <c r="AN7203">
        <v>0.99999994246204005</v>
      </c>
    </row>
    <row r="7204" spans="1:40" x14ac:dyDescent="0.25">
      <c r="A7204" t="str">
        <f>"20190312151713177"</f>
        <v>20190312151713177</v>
      </c>
      <c r="B7204" t="str">
        <f>"1552375033174918"</f>
        <v>1552375033174918</v>
      </c>
      <c r="C7204" t="s">
        <v>40</v>
      </c>
      <c r="D7204">
        <v>5.4323769999999998</v>
      </c>
      <c r="E7204">
        <v>0.51034179999999996</v>
      </c>
      <c r="F7204" t="s">
        <v>43</v>
      </c>
      <c r="G7204">
        <v>-120.82689999999999</v>
      </c>
      <c r="H7204" s="1">
        <v>-4.0199290000000004E-6</v>
      </c>
      <c r="I7204">
        <v>140.00110000000001</v>
      </c>
      <c r="J7204">
        <v>-146.30260000000001</v>
      </c>
      <c r="K7204">
        <v>1.112133</v>
      </c>
      <c r="L7204">
        <v>140.70320000000001</v>
      </c>
      <c r="M7204">
        <v>0.99963040000000003</v>
      </c>
      <c r="N7204">
        <v>0</v>
      </c>
      <c r="O7204">
        <v>5.4176989999999998E-3</v>
      </c>
      <c r="P7204">
        <v>0.98759169999999996</v>
      </c>
      <c r="Q7204">
        <v>0.15699939999999901</v>
      </c>
      <c r="R7204">
        <v>-3.7095420000000001E-3</v>
      </c>
      <c r="S7204">
        <v>3.0593409999999999</v>
      </c>
      <c r="T7204">
        <v>-0.13296939999999999</v>
      </c>
      <c r="U7204">
        <v>-8.4030149999999998E-2</v>
      </c>
      <c r="V7204">
        <v>9.2195049999999994E-3</v>
      </c>
      <c r="W7204">
        <v>0.18324699999999999</v>
      </c>
      <c r="X7204">
        <v>0.98302369999999994</v>
      </c>
      <c r="Y7204">
        <v>3.2837480000000002E-2</v>
      </c>
      <c r="Z7204">
        <v>-9.4854650000000004E-4</v>
      </c>
      <c r="AA7204">
        <v>0.99946029999999997</v>
      </c>
      <c r="AB7204">
        <v>12</v>
      </c>
      <c r="AC7204">
        <v>25.4757</v>
      </c>
      <c r="AD7204">
        <v>-1.1121370199289999</v>
      </c>
      <c r="AE7204">
        <v>-0.70210000000000095</v>
      </c>
      <c r="AF7204">
        <v>0.83856149651522405</v>
      </c>
      <c r="AG7204">
        <v>-1.1121370199289999</v>
      </c>
      <c r="AH7204">
        <v>25.423107601095499</v>
      </c>
      <c r="AI7204">
        <v>92.503454359721204</v>
      </c>
      <c r="AJ7204">
        <v>88.110828043082805</v>
      </c>
      <c r="AK7204">
        <v>25.461233949504798</v>
      </c>
      <c r="AL7204">
        <v>79.441054495292306</v>
      </c>
      <c r="AM7204">
        <v>89.462654625228296</v>
      </c>
      <c r="AN7204">
        <v>1.00000002852156</v>
      </c>
    </row>
    <row r="7205" spans="1:40" x14ac:dyDescent="0.25">
      <c r="A7205" t="str">
        <f>"20190312151713201"</f>
        <v>20190312151713201</v>
      </c>
      <c r="B7205" t="str">
        <f>"1552375033195414"</f>
        <v>1552375033195414</v>
      </c>
      <c r="C7205" t="s">
        <v>40</v>
      </c>
      <c r="D7205">
        <v>5.7327919999999999</v>
      </c>
      <c r="E7205">
        <v>0.51028359999999995</v>
      </c>
      <c r="F7205" t="s">
        <v>43</v>
      </c>
      <c r="G7205">
        <v>-120.3325</v>
      </c>
      <c r="H7205" s="1">
        <v>-4.2298389999999997E-6</v>
      </c>
      <c r="I7205">
        <v>139.99379999999999</v>
      </c>
      <c r="J7205">
        <v>-146.18819999999999</v>
      </c>
      <c r="K7205">
        <v>1.1121700000000001</v>
      </c>
      <c r="L7205">
        <v>140.70240000000001</v>
      </c>
      <c r="M7205">
        <v>0.99963259999999998</v>
      </c>
      <c r="N7205">
        <v>0</v>
      </c>
      <c r="O7205">
        <v>4.2509610000000001E-3</v>
      </c>
      <c r="P7205">
        <v>0.98780869999999998</v>
      </c>
      <c r="Q7205">
        <v>0.15562100000000001</v>
      </c>
      <c r="R7205">
        <v>-4.0318209999999997E-3</v>
      </c>
      <c r="S7205">
        <v>3.058182</v>
      </c>
      <c r="T7205">
        <v>-0.13096259999999901</v>
      </c>
      <c r="U7205">
        <v>-8.3541870000000004E-2</v>
      </c>
      <c r="V7205">
        <v>8.3820240000000001E-3</v>
      </c>
      <c r="W7205">
        <v>0.18200179999999999</v>
      </c>
      <c r="X7205">
        <v>0.98326250000000004</v>
      </c>
      <c r="Y7205">
        <v>3.1525190000000002E-2</v>
      </c>
      <c r="Z7205">
        <v>-8.5656960000000005E-4</v>
      </c>
      <c r="AA7205">
        <v>0.99950260000000002</v>
      </c>
      <c r="AB7205">
        <v>11</v>
      </c>
      <c r="AC7205">
        <v>25.855699999999999</v>
      </c>
      <c r="AD7205">
        <v>-1.1121742298390001</v>
      </c>
      <c r="AE7205">
        <v>-0.70860000000001799</v>
      </c>
      <c r="AF7205">
        <v>0.81703397572496494</v>
      </c>
      <c r="AG7205">
        <v>-1.1121742298390001</v>
      </c>
      <c r="AH7205">
        <v>25.804743223095102</v>
      </c>
      <c r="AI7205">
        <v>92.466663527795902</v>
      </c>
      <c r="AJ7205">
        <v>88.186497558523897</v>
      </c>
      <c r="AK7205">
        <v>25.841618541509298</v>
      </c>
      <c r="AL7205">
        <v>79.513619549485298</v>
      </c>
      <c r="AM7205">
        <v>89.511582140050507</v>
      </c>
      <c r="AN7205">
        <v>1.00000002871791</v>
      </c>
    </row>
    <row r="7206" spans="1:40" x14ac:dyDescent="0.25">
      <c r="A7206" t="str">
        <f>"20190312151713223"</f>
        <v>20190312151713223</v>
      </c>
      <c r="B7206" t="str">
        <f>"1552375033214934"</f>
        <v>1552375033214934</v>
      </c>
      <c r="C7206" t="s">
        <v>40</v>
      </c>
      <c r="D7206">
        <v>5.5692409999999999</v>
      </c>
      <c r="E7206">
        <v>0.51054929999999998</v>
      </c>
      <c r="F7206" t="s">
        <v>43</v>
      </c>
      <c r="G7206">
        <v>-120.9999</v>
      </c>
      <c r="H7206" s="1">
        <v>-3.9465280000000002E-6</v>
      </c>
      <c r="I7206">
        <v>140.0042</v>
      </c>
      <c r="J7206">
        <v>-146.0822</v>
      </c>
      <c r="K7206">
        <v>1.1122730000000001</v>
      </c>
      <c r="L7206">
        <v>140.70150000000001</v>
      </c>
      <c r="M7206">
        <v>0.99962709999999999</v>
      </c>
      <c r="N7206">
        <v>0</v>
      </c>
      <c r="O7206">
        <v>3.1911539999999999E-3</v>
      </c>
      <c r="P7206">
        <v>0.9882647</v>
      </c>
      <c r="Q7206">
        <v>0.15270590000000001</v>
      </c>
      <c r="R7206">
        <v>-3.7747200000000001E-3</v>
      </c>
      <c r="S7206">
        <v>3.057938</v>
      </c>
      <c r="T7206">
        <v>-0.13502140000000001</v>
      </c>
      <c r="U7206">
        <v>-8.4762569999999995E-2</v>
      </c>
      <c r="V7206">
        <v>7.0646700000000003E-3</v>
      </c>
      <c r="W7206">
        <v>0.17945150000000001</v>
      </c>
      <c r="X7206">
        <v>0.98374150000000005</v>
      </c>
      <c r="Y7206">
        <v>3.0866040000000001E-2</v>
      </c>
      <c r="Z7206">
        <v>-8.2183470000000004E-4</v>
      </c>
      <c r="AA7206">
        <v>0.99952319999999995</v>
      </c>
      <c r="AB7206">
        <v>11</v>
      </c>
      <c r="AC7206">
        <v>25.0823</v>
      </c>
      <c r="AD7206">
        <v>-1.112276946528</v>
      </c>
      <c r="AE7206">
        <v>-0.69730000000001202</v>
      </c>
      <c r="AF7206">
        <v>0.77584287253724604</v>
      </c>
      <c r="AG7206">
        <v>-1.112276946528</v>
      </c>
      <c r="AH7206">
        <v>25.030761520321501</v>
      </c>
      <c r="AI7206">
        <v>92.543124685776704</v>
      </c>
      <c r="AJ7206">
        <v>88.224652703227207</v>
      </c>
      <c r="AK7206">
        <v>25.0674712417478</v>
      </c>
      <c r="AL7206">
        <v>79.662187596123303</v>
      </c>
      <c r="AM7206">
        <v>89.5885414853621</v>
      </c>
      <c r="AN7206">
        <v>1.0000000446183499</v>
      </c>
    </row>
    <row r="7207" spans="1:40" x14ac:dyDescent="0.25">
      <c r="A7207" t="str">
        <f>"20190312151713257"</f>
        <v>20190312151713257</v>
      </c>
      <c r="B7207" t="str">
        <f>"1552375033245191"</f>
        <v>1552375033245191</v>
      </c>
      <c r="C7207" t="s">
        <v>40</v>
      </c>
      <c r="D7207">
        <v>5.5387440000000003</v>
      </c>
      <c r="E7207">
        <v>0.53060790000000002</v>
      </c>
      <c r="F7207" t="s">
        <v>43</v>
      </c>
      <c r="G7207">
        <v>-122.87350000000001</v>
      </c>
      <c r="H7207" s="1">
        <v>-3.1524859999999999E-6</v>
      </c>
      <c r="I7207">
        <v>140.04069999999999</v>
      </c>
      <c r="J7207">
        <v>-145.92830000000001</v>
      </c>
      <c r="K7207">
        <v>1.1126419999999999</v>
      </c>
      <c r="L7207">
        <v>140.69999999999999</v>
      </c>
      <c r="M7207">
        <v>0.99959520000000002</v>
      </c>
      <c r="N7207">
        <v>0</v>
      </c>
      <c r="O7207">
        <v>1.6860110000000001E-3</v>
      </c>
      <c r="P7207">
        <v>0.98866489999999996</v>
      </c>
      <c r="Q7207">
        <v>0.15009529999999999</v>
      </c>
      <c r="R7207">
        <v>-3.6912210000000002E-3</v>
      </c>
      <c r="S7207">
        <v>3.057938</v>
      </c>
      <c r="T7207">
        <v>-0.14655109999999999</v>
      </c>
      <c r="U7207">
        <v>-8.7066649999999995E-2</v>
      </c>
      <c r="V7207">
        <v>5.4576659999999999E-3</v>
      </c>
      <c r="W7207">
        <v>0.178115299999999</v>
      </c>
      <c r="X7207">
        <v>0.98399449999999999</v>
      </c>
      <c r="Y7207">
        <v>3.0110310000000001E-2</v>
      </c>
      <c r="Z7207">
        <v>-8.0172819999999999E-4</v>
      </c>
      <c r="AA7207">
        <v>0.9995463</v>
      </c>
      <c r="AB7207">
        <v>11</v>
      </c>
      <c r="AC7207">
        <v>23.0548</v>
      </c>
      <c r="AD7207">
        <v>-1.1126451524859999</v>
      </c>
      <c r="AE7207">
        <v>-0.659300000000001</v>
      </c>
      <c r="AF7207">
        <v>0.69656434277651202</v>
      </c>
      <c r="AG7207">
        <v>-1.1126451524859999</v>
      </c>
      <c r="AH7207">
        <v>23.000129033296901</v>
      </c>
      <c r="AI7207">
        <v>92.7682916276176</v>
      </c>
      <c r="AJ7207">
        <v>88.265313997373099</v>
      </c>
      <c r="AK7207">
        <v>23.037558826127501</v>
      </c>
      <c r="AL7207">
        <v>79.739999548455103</v>
      </c>
      <c r="AM7207">
        <v>89.682215681785294</v>
      </c>
      <c r="AN7207">
        <v>1.0000000111212499</v>
      </c>
    </row>
    <row r="7208" spans="1:40" x14ac:dyDescent="0.25">
      <c r="A7208" t="str">
        <f>"20190312151713278"</f>
        <v>20190312151713278</v>
      </c>
      <c r="B7208" t="str">
        <f>"1552375033275446"</f>
        <v>1552375033275446</v>
      </c>
      <c r="C7208" t="s">
        <v>40</v>
      </c>
      <c r="D7208">
        <v>5.5296310000000002</v>
      </c>
      <c r="E7208">
        <v>0.53162310000000002</v>
      </c>
      <c r="F7208" t="s">
        <v>41</v>
      </c>
      <c r="G7208">
        <v>-145.1541</v>
      </c>
      <c r="H7208">
        <v>0.98482570000000003</v>
      </c>
      <c r="I7208">
        <v>140.6396</v>
      </c>
      <c r="J7208">
        <v>-145.8357</v>
      </c>
      <c r="K7208">
        <v>1.1127940000000001</v>
      </c>
      <c r="L7208">
        <v>140.69909999999999</v>
      </c>
      <c r="M7208">
        <v>0.99957569999999996</v>
      </c>
      <c r="N7208">
        <v>0</v>
      </c>
      <c r="O7208">
        <v>7.6547399999999895E-4</v>
      </c>
      <c r="P7208">
        <v>0.9888922</v>
      </c>
      <c r="Q7208">
        <v>0.14858879999999999</v>
      </c>
      <c r="R7208">
        <v>-3.7233359999999998E-3</v>
      </c>
      <c r="S7208">
        <v>3.1114649999999999</v>
      </c>
      <c r="T7208">
        <v>-0.51372090000000004</v>
      </c>
      <c r="U7208">
        <v>-0.24237059999999999</v>
      </c>
      <c r="V7208">
        <v>4.5649769999999996E-3</v>
      </c>
      <c r="W7208">
        <v>0.17732039999999999</v>
      </c>
      <c r="X7208">
        <v>0.98414259999999998</v>
      </c>
      <c r="Y7208">
        <v>7.7372640000000006E-2</v>
      </c>
      <c r="Z7208">
        <v>-6.4603869999999997E-3</v>
      </c>
      <c r="AA7208">
        <v>0.99698129999999996</v>
      </c>
      <c r="AB7208">
        <v>10</v>
      </c>
      <c r="AC7208">
        <v>0.68160000000000298</v>
      </c>
      <c r="AD7208">
        <v>-0.12796830000000001</v>
      </c>
      <c r="AE7208">
        <v>-5.9499999999985599E-2</v>
      </c>
      <c r="AF7208">
        <v>5.7993213332924697E-2</v>
      </c>
      <c r="AG7208">
        <v>-0.12796830000000001</v>
      </c>
      <c r="AH7208">
        <v>0.65851775108249799</v>
      </c>
      <c r="AI7208">
        <v>100.95572982722101</v>
      </c>
      <c r="AJ7208">
        <v>84.967157653957102</v>
      </c>
      <c r="AK7208">
        <v>0.67333849369267396</v>
      </c>
      <c r="AL7208">
        <v>79.786280682095907</v>
      </c>
      <c r="AM7208">
        <v>89.734233595989394</v>
      </c>
      <c r="AN7208">
        <v>1.00000001020296</v>
      </c>
    </row>
    <row r="7209" spans="1:40" x14ac:dyDescent="0.25">
      <c r="A7209" t="str">
        <f>"20190312151713300"</f>
        <v>20190312151713300</v>
      </c>
      <c r="B7209" t="str">
        <f>"1552375033294967"</f>
        <v>1552375033294967</v>
      </c>
      <c r="C7209" t="s">
        <v>40</v>
      </c>
      <c r="D7209">
        <v>5.5708479999999998</v>
      </c>
      <c r="E7209">
        <v>0.53106519999999902</v>
      </c>
      <c r="F7209" t="s">
        <v>41</v>
      </c>
      <c r="G7209">
        <v>-145.07230000000001</v>
      </c>
      <c r="H7209">
        <v>0.98061679999999996</v>
      </c>
      <c r="I7209">
        <v>140.6377</v>
      </c>
      <c r="J7209">
        <v>-145.74189999999999</v>
      </c>
      <c r="K7209">
        <v>1.1127659999999999</v>
      </c>
      <c r="L7209">
        <v>140.69799999999901</v>
      </c>
      <c r="M7209">
        <v>0.9995695</v>
      </c>
      <c r="N7209">
        <v>0</v>
      </c>
      <c r="O7209">
        <v>-2.017795E-4</v>
      </c>
      <c r="P7209">
        <v>0.98896139999999999</v>
      </c>
      <c r="Q7209">
        <v>0.14810789999999999</v>
      </c>
      <c r="R7209">
        <v>-4.4362949999999998E-3</v>
      </c>
      <c r="S7209">
        <v>3.1137700000000001</v>
      </c>
      <c r="T7209">
        <v>-0.53909469999999904</v>
      </c>
      <c r="U7209">
        <v>-0.24995419999999999</v>
      </c>
      <c r="V7209">
        <v>4.3221650000000002E-3</v>
      </c>
      <c r="W7209">
        <v>0.17706089999999999</v>
      </c>
      <c r="X7209">
        <v>0.98419040000000002</v>
      </c>
      <c r="Y7209">
        <v>7.8655499999999906E-2</v>
      </c>
      <c r="Z7209">
        <v>-6.7133849999999997E-3</v>
      </c>
      <c r="AA7209">
        <v>0.99687930000000002</v>
      </c>
      <c r="AB7209">
        <v>10</v>
      </c>
      <c r="AC7209">
        <v>0.66959999999997399</v>
      </c>
      <c r="AD7209">
        <v>-0.132149199999999</v>
      </c>
      <c r="AE7209">
        <v>-6.0299999999983797E-2</v>
      </c>
      <c r="AF7209">
        <v>5.7926779042888302E-2</v>
      </c>
      <c r="AG7209">
        <v>-0.132149199999999</v>
      </c>
      <c r="AH7209">
        <v>0.64470349535121796</v>
      </c>
      <c r="AI7209">
        <v>101.538617018023</v>
      </c>
      <c r="AJ7209">
        <v>84.865745882226705</v>
      </c>
      <c r="AK7209">
        <v>0.66065234405775097</v>
      </c>
      <c r="AL7209">
        <v>79.801387813674907</v>
      </c>
      <c r="AM7209">
        <v>89.7483817959791</v>
      </c>
      <c r="AN7209">
        <v>0.99999999343562795</v>
      </c>
    </row>
    <row r="7210" spans="1:40" x14ac:dyDescent="0.25">
      <c r="A7210" t="str">
        <f>"20190312151713323"</f>
        <v>20190312151713323</v>
      </c>
      <c r="B7210" t="str">
        <f>"1552375033315462"</f>
        <v>1552375033315462</v>
      </c>
      <c r="C7210" t="s">
        <v>40</v>
      </c>
      <c r="D7210">
        <v>5.5398069999999997</v>
      </c>
      <c r="E7210">
        <v>0.53058439999999996</v>
      </c>
      <c r="F7210" t="s">
        <v>41</v>
      </c>
      <c r="G7210">
        <v>-144.9896</v>
      </c>
      <c r="H7210">
        <v>0.98123859999999996</v>
      </c>
      <c r="I7210">
        <v>140.63829999999999</v>
      </c>
      <c r="J7210">
        <v>-145.65020000000001</v>
      </c>
      <c r="K7210">
        <v>1.112608</v>
      </c>
      <c r="L7210">
        <v>140.6968</v>
      </c>
      <c r="M7210">
        <v>0.9995754</v>
      </c>
      <c r="N7210">
        <v>0</v>
      </c>
      <c r="O7210">
        <v>-1.1707029999999999E-3</v>
      </c>
      <c r="P7210">
        <v>0.9889696</v>
      </c>
      <c r="Q7210">
        <v>0.14804429999999999</v>
      </c>
      <c r="R7210">
        <v>-4.6906350000000003E-3</v>
      </c>
      <c r="S7210">
        <v>3.1139070000000002</v>
      </c>
      <c r="T7210">
        <v>-0.54441070000000003</v>
      </c>
      <c r="U7210">
        <v>-0.2472229</v>
      </c>
      <c r="V7210">
        <v>3.6278690000000001E-3</v>
      </c>
      <c r="W7210">
        <v>0.17677319999999999</v>
      </c>
      <c r="X7210">
        <v>0.98424489999999998</v>
      </c>
      <c r="Y7210">
        <v>7.6836009999999996E-2</v>
      </c>
      <c r="Z7210">
        <v>-6.4529959999999999E-3</v>
      </c>
      <c r="AA7210">
        <v>0.99702290000000005</v>
      </c>
      <c r="AB7210">
        <v>9</v>
      </c>
      <c r="AC7210">
        <v>0.66060000000001595</v>
      </c>
      <c r="AD7210">
        <v>-0.131369399999999</v>
      </c>
      <c r="AE7210">
        <v>-5.8500000000009302E-2</v>
      </c>
      <c r="AF7210">
        <v>5.5546665617755703E-2</v>
      </c>
      <c r="AG7210">
        <v>-0.131369399999999</v>
      </c>
      <c r="AH7210">
        <v>0.63572288306712499</v>
      </c>
      <c r="AI7210">
        <v>101.632480652795</v>
      </c>
      <c r="AJ7210">
        <v>85.006429161412797</v>
      </c>
      <c r="AK7210">
        <v>0.65152661908228104</v>
      </c>
      <c r="AL7210">
        <v>79.818135803787897</v>
      </c>
      <c r="AM7210">
        <v>89.788812072090096</v>
      </c>
      <c r="AN7210">
        <v>0.99999997442386501</v>
      </c>
    </row>
    <row r="7211" spans="1:40" x14ac:dyDescent="0.25">
      <c r="A7211" t="str">
        <f>"20190312151713345"</f>
        <v>20190312151713345</v>
      </c>
      <c r="B7211" t="str">
        <f>"1552375033334982"</f>
        <v>1552375033334982</v>
      </c>
      <c r="C7211" t="s">
        <v>40</v>
      </c>
      <c r="D7211">
        <v>5.2948079999999997</v>
      </c>
      <c r="E7211">
        <v>0.53036899999999998</v>
      </c>
      <c r="F7211" t="s">
        <v>41</v>
      </c>
      <c r="G7211">
        <v>-144.90809999999999</v>
      </c>
      <c r="H7211">
        <v>0.98298379999999996</v>
      </c>
      <c r="I7211">
        <v>140.63829999999999</v>
      </c>
      <c r="J7211">
        <v>-145.56200000000001</v>
      </c>
      <c r="K7211">
        <v>1.1124670000000001</v>
      </c>
      <c r="L7211">
        <v>140.69550000000001</v>
      </c>
      <c r="M7211">
        <v>0.99958320000000001</v>
      </c>
      <c r="N7211">
        <v>0</v>
      </c>
      <c r="O7211">
        <v>-2.1116640000000001E-3</v>
      </c>
      <c r="P7211">
        <v>0.9890369</v>
      </c>
      <c r="Q7211">
        <v>0.14757239999999999</v>
      </c>
      <c r="R7211">
        <v>-5.3413719999999996E-3</v>
      </c>
      <c r="S7211">
        <v>3.113693</v>
      </c>
      <c r="T7211">
        <v>-0.54374919999999904</v>
      </c>
      <c r="U7211">
        <v>-0.24485779999999999</v>
      </c>
      <c r="V7211">
        <v>3.3521100000000002E-3</v>
      </c>
      <c r="W7211">
        <v>0.175988899999999</v>
      </c>
      <c r="X7211">
        <v>0.98438639999999999</v>
      </c>
      <c r="Y7211">
        <v>7.5191629999999995E-2</v>
      </c>
      <c r="Z7211">
        <v>-6.1407049999999998E-3</v>
      </c>
      <c r="AA7211">
        <v>0.99715019999999999</v>
      </c>
      <c r="AB7211">
        <v>9</v>
      </c>
      <c r="AC7211">
        <v>0.65390000000002102</v>
      </c>
      <c r="AD7211">
        <v>-0.12948319999999999</v>
      </c>
      <c r="AE7211">
        <v>-5.7200000000023003E-2</v>
      </c>
      <c r="AF7211">
        <v>5.3727778689912201E-2</v>
      </c>
      <c r="AG7211">
        <v>-0.12948319999999999</v>
      </c>
      <c r="AH7211">
        <v>0.62952281712121705</v>
      </c>
      <c r="AI7211">
        <v>101.581807124588</v>
      </c>
      <c r="AJ7211">
        <v>85.121808142648703</v>
      </c>
      <c r="AK7211">
        <v>0.64494305993740697</v>
      </c>
      <c r="AL7211">
        <v>79.863788454810802</v>
      </c>
      <c r="AM7211">
        <v>89.804892658928395</v>
      </c>
      <c r="AN7211">
        <v>0.99999995703481004</v>
      </c>
    </row>
    <row r="7212" spans="1:40" x14ac:dyDescent="0.25">
      <c r="A7212" t="str">
        <f>"20190312151713368"</f>
        <v>20190312151713368</v>
      </c>
      <c r="B7212" t="str">
        <f>"1552375033355479"</f>
        <v>1552375033355479</v>
      </c>
      <c r="C7212" t="s">
        <v>40</v>
      </c>
      <c r="D7212">
        <v>5.5632809999999999</v>
      </c>
      <c r="E7212">
        <v>0.53279200000000004</v>
      </c>
      <c r="F7212" t="s">
        <v>41</v>
      </c>
      <c r="G7212">
        <v>-144.82919999999999</v>
      </c>
      <c r="H7212">
        <v>0.98409150000000001</v>
      </c>
      <c r="I7212">
        <v>140.63749999999999</v>
      </c>
      <c r="J7212">
        <v>-145.4769</v>
      </c>
      <c r="K7212">
        <v>1.1124160000000001</v>
      </c>
      <c r="L7212">
        <v>140.6942</v>
      </c>
      <c r="M7212">
        <v>0.99958639999999999</v>
      </c>
      <c r="N7212">
        <v>0</v>
      </c>
      <c r="O7212">
        <v>-3.0295029999999998E-3</v>
      </c>
      <c r="P7212">
        <v>0.98909409999999998</v>
      </c>
      <c r="Q7212">
        <v>0.1471431</v>
      </c>
      <c r="R7212">
        <v>-6.4857500000000002E-3</v>
      </c>
      <c r="S7212">
        <v>3.1132810000000002</v>
      </c>
      <c r="T7212">
        <v>-0.54536099999999998</v>
      </c>
      <c r="U7212">
        <v>-0.24613950000000001</v>
      </c>
      <c r="V7212">
        <v>3.5818069999999998E-3</v>
      </c>
      <c r="W7212">
        <v>0.17536969999999999</v>
      </c>
      <c r="X7212">
        <v>0.98449609999999999</v>
      </c>
      <c r="Y7212">
        <v>7.470889E-2</v>
      </c>
      <c r="Z7212">
        <v>-5.9580639999999999E-3</v>
      </c>
      <c r="AA7212">
        <v>0.99718759999999995</v>
      </c>
      <c r="AB7212">
        <v>9</v>
      </c>
      <c r="AC7212">
        <v>0.64770000000001404</v>
      </c>
      <c r="AD7212">
        <v>-0.12832449999999901</v>
      </c>
      <c r="AE7212">
        <v>-5.6700000000006398E-2</v>
      </c>
      <c r="AF7212">
        <v>5.26844397642744E-2</v>
      </c>
      <c r="AG7212">
        <v>-0.12832449999999901</v>
      </c>
      <c r="AH7212">
        <v>0.62357780347643998</v>
      </c>
      <c r="AI7212">
        <v>101.58825560836</v>
      </c>
      <c r="AJ7212">
        <v>85.170699995001499</v>
      </c>
      <c r="AK7212">
        <v>0.63882087041832503</v>
      </c>
      <c r="AL7212">
        <v>79.899826578130401</v>
      </c>
      <c r="AM7212">
        <v>89.791546641316899</v>
      </c>
      <c r="AN7212">
        <v>0.99999996596734197</v>
      </c>
    </row>
    <row r="7213" spans="1:40" x14ac:dyDescent="0.25">
      <c r="A7213" t="str">
        <f>"20190312151713390"</f>
        <v>20190312151713390</v>
      </c>
      <c r="B7213" t="str">
        <f>"1552375033384759"</f>
        <v>1552375033384759</v>
      </c>
      <c r="C7213" t="s">
        <v>40</v>
      </c>
      <c r="D7213">
        <v>5.3146139999999997</v>
      </c>
      <c r="E7213">
        <v>0.5363831</v>
      </c>
      <c r="F7213" t="s">
        <v>41</v>
      </c>
      <c r="G7213">
        <v>-144.75630000000001</v>
      </c>
      <c r="H7213">
        <v>0.97854200000000002</v>
      </c>
      <c r="I7213">
        <v>140.63200000000001</v>
      </c>
      <c r="J7213">
        <v>-145.393</v>
      </c>
      <c r="K7213">
        <v>1.1124270000000001</v>
      </c>
      <c r="L7213">
        <v>140.69280000000001</v>
      </c>
      <c r="M7213">
        <v>0.99958550000000002</v>
      </c>
      <c r="N7213">
        <v>0</v>
      </c>
      <c r="O7213">
        <v>-3.948493E-3</v>
      </c>
      <c r="P7213">
        <v>0.98927160000000003</v>
      </c>
      <c r="Q7213">
        <v>0.1458807</v>
      </c>
      <c r="R7213">
        <v>-7.7965159999999999E-3</v>
      </c>
      <c r="S7213">
        <v>3.1174930000000001</v>
      </c>
      <c r="T7213">
        <v>-0.57913740000000002</v>
      </c>
      <c r="U7213">
        <v>-0.26861570000000001</v>
      </c>
      <c r="V7213">
        <v>3.9679190000000003E-3</v>
      </c>
      <c r="W7213">
        <v>0.17403440000000001</v>
      </c>
      <c r="X7213">
        <v>0.98473160000000004</v>
      </c>
      <c r="Y7213">
        <v>8.0607929999999994E-2</v>
      </c>
      <c r="Z7213">
        <v>-6.6841440000000004E-3</v>
      </c>
      <c r="AA7213">
        <v>0.99672349999999998</v>
      </c>
      <c r="AB7213">
        <v>9</v>
      </c>
      <c r="AC7213">
        <v>0.63669999999999005</v>
      </c>
      <c r="AD7213">
        <v>-0.133885</v>
      </c>
      <c r="AE7213">
        <v>-6.0800000000000402E-2</v>
      </c>
      <c r="AF7213">
        <v>5.5837800500690399E-2</v>
      </c>
      <c r="AG7213">
        <v>-0.133885</v>
      </c>
      <c r="AH7213">
        <v>0.61019760324259598</v>
      </c>
      <c r="AI7213">
        <v>102.32539573766999</v>
      </c>
      <c r="AJ7213">
        <v>84.771554305187394</v>
      </c>
      <c r="AK7213">
        <v>0.62720345039928105</v>
      </c>
      <c r="AL7213">
        <v>79.977529145283995</v>
      </c>
      <c r="AM7213">
        <v>89.769131221400897</v>
      </c>
      <c r="AN7213">
        <v>1.00000002040155</v>
      </c>
    </row>
    <row r="7214" spans="1:40" x14ac:dyDescent="0.25">
      <c r="A7214" t="str">
        <f>"20190312151713413"</f>
        <v>20190312151713413</v>
      </c>
      <c r="B7214" t="str">
        <f>"1552375033405255"</f>
        <v>1552375033405255</v>
      </c>
      <c r="C7214" t="s">
        <v>40</v>
      </c>
      <c r="D7214">
        <v>6.5576629999999998</v>
      </c>
      <c r="E7214">
        <v>0.5368581</v>
      </c>
      <c r="F7214" t="s">
        <v>41</v>
      </c>
      <c r="G7214">
        <v>-144.68690000000001</v>
      </c>
      <c r="H7214">
        <v>0.97140749999999998</v>
      </c>
      <c r="I7214">
        <v>140.625</v>
      </c>
      <c r="J7214">
        <v>-145.3152</v>
      </c>
      <c r="K7214">
        <v>1.112449</v>
      </c>
      <c r="L7214">
        <v>140.69149999999999</v>
      </c>
      <c r="M7214">
        <v>0.99958369999999996</v>
      </c>
      <c r="N7214">
        <v>0</v>
      </c>
      <c r="O7214">
        <v>-4.8083479999999996E-3</v>
      </c>
      <c r="P7214">
        <v>0.989483</v>
      </c>
      <c r="Q7214">
        <v>0.14438580000000001</v>
      </c>
      <c r="R7214">
        <v>-8.744389E-3</v>
      </c>
      <c r="S7214">
        <v>3.122131</v>
      </c>
      <c r="T7214">
        <v>-0.62346009999999996</v>
      </c>
      <c r="U7214">
        <v>-0.29920960000000002</v>
      </c>
      <c r="V7214">
        <v>4.049693E-3</v>
      </c>
      <c r="W7214">
        <v>0.17247999999999999</v>
      </c>
      <c r="X7214">
        <v>0.98500469999999896</v>
      </c>
      <c r="Y7214">
        <v>8.8962239999999998E-2</v>
      </c>
      <c r="Z7214">
        <v>-7.8270939999999997E-3</v>
      </c>
      <c r="AA7214">
        <v>0.99600420000000001</v>
      </c>
      <c r="AB7214">
        <v>8</v>
      </c>
      <c r="AC7214">
        <v>0.62829999999999497</v>
      </c>
      <c r="AD7214">
        <v>-0.14104149999999899</v>
      </c>
      <c r="AE7214">
        <v>-6.6499999999990594E-2</v>
      </c>
      <c r="AF7214">
        <v>6.0463797896172497E-2</v>
      </c>
      <c r="AG7214">
        <v>-0.14104149999999899</v>
      </c>
      <c r="AH7214">
        <v>0.59877361305281196</v>
      </c>
      <c r="AI7214">
        <v>103.18973074837599</v>
      </c>
      <c r="AJ7214">
        <v>84.233852595977794</v>
      </c>
      <c r="AK7214">
        <v>0.61812491882029597</v>
      </c>
      <c r="AL7214">
        <v>80.067957135719297</v>
      </c>
      <c r="AM7214">
        <v>89.764438677409998</v>
      </c>
      <c r="AN7214">
        <v>1.00000000471774</v>
      </c>
    </row>
    <row r="7215" spans="1:40" x14ac:dyDescent="0.25">
      <c r="A7215" t="str">
        <f>"20190312151713436"</f>
        <v>20190312151713436</v>
      </c>
      <c r="B7215" t="str">
        <f>"1552375033424774"</f>
        <v>1552375033424774</v>
      </c>
      <c r="C7215" t="s">
        <v>40</v>
      </c>
      <c r="D7215">
        <v>5.4884879999999896</v>
      </c>
      <c r="E7215">
        <v>0.53744459999999905</v>
      </c>
      <c r="F7215" t="s">
        <v>41</v>
      </c>
      <c r="G7215">
        <v>-144.6163</v>
      </c>
      <c r="H7215">
        <v>0.97136060000000002</v>
      </c>
      <c r="I7215">
        <v>140.62260000000001</v>
      </c>
      <c r="J7215">
        <v>-145.23660000000001</v>
      </c>
      <c r="K7215">
        <v>1.112474</v>
      </c>
      <c r="L7215">
        <v>140.6901</v>
      </c>
      <c r="M7215">
        <v>0.99958029999999998</v>
      </c>
      <c r="N7215">
        <v>0</v>
      </c>
      <c r="O7215">
        <v>-5.6536669999999898E-3</v>
      </c>
      <c r="P7215">
        <v>0.9896992</v>
      </c>
      <c r="Q7215">
        <v>0.14284040000000001</v>
      </c>
      <c r="R7215">
        <v>-9.6011959999999993E-3</v>
      </c>
      <c r="S7215">
        <v>3.1210939999999998</v>
      </c>
      <c r="T7215">
        <v>-0.62997399999999903</v>
      </c>
      <c r="U7215">
        <v>-0.30670170000000002</v>
      </c>
      <c r="V7215">
        <v>4.0583099999999999E-3</v>
      </c>
      <c r="W7215">
        <v>0.17090350000000001</v>
      </c>
      <c r="X7215">
        <v>0.98527940000000003</v>
      </c>
      <c r="Y7215">
        <v>9.0471860000000001E-2</v>
      </c>
      <c r="Z7215">
        <v>-7.8908650000000004E-3</v>
      </c>
      <c r="AA7215">
        <v>0.99586770000000002</v>
      </c>
      <c r="AB7215">
        <v>8</v>
      </c>
      <c r="AC7215">
        <v>0.62030000000001395</v>
      </c>
      <c r="AD7215">
        <v>-0.141113399999999</v>
      </c>
      <c r="AE7215">
        <v>-6.7499999999995397E-2</v>
      </c>
      <c r="AF7215">
        <v>6.0876863052412897E-2</v>
      </c>
      <c r="AG7215">
        <v>-0.141113399999999</v>
      </c>
      <c r="AH7215">
        <v>0.59047101129652502</v>
      </c>
      <c r="AI7215">
        <v>103.372387257475</v>
      </c>
      <c r="AJ7215">
        <v>84.113670078590602</v>
      </c>
      <c r="AK7215">
        <v>0.61014342518477005</v>
      </c>
      <c r="AL7215">
        <v>80.159645262780302</v>
      </c>
      <c r="AM7215">
        <v>89.764003266492793</v>
      </c>
      <c r="AN7215">
        <v>0.99999998612833296</v>
      </c>
    </row>
    <row r="7216" spans="1:40" x14ac:dyDescent="0.25">
      <c r="A7216" t="str">
        <f>"20190312151713459"</f>
        <v>20190312151713459</v>
      </c>
      <c r="B7216" t="str">
        <f>"1552375033455031"</f>
        <v>1552375033455031</v>
      </c>
      <c r="C7216" t="s">
        <v>40</v>
      </c>
      <c r="D7216">
        <v>5.2386019999999904</v>
      </c>
      <c r="E7216">
        <v>0.53834389999999999</v>
      </c>
      <c r="F7216" t="s">
        <v>41</v>
      </c>
      <c r="G7216">
        <v>-144.49019999999999</v>
      </c>
      <c r="H7216">
        <v>0.95971300000000004</v>
      </c>
      <c r="I7216">
        <v>140.6147</v>
      </c>
      <c r="J7216">
        <v>-145.16210000000001</v>
      </c>
      <c r="K7216">
        <v>1.1127479999999901</v>
      </c>
      <c r="L7216">
        <v>140.68870000000001</v>
      </c>
      <c r="M7216">
        <v>0.99955260000000001</v>
      </c>
      <c r="N7216">
        <v>0</v>
      </c>
      <c r="O7216">
        <v>-6.3786729999999996E-3</v>
      </c>
      <c r="P7216">
        <v>0.98996770000000001</v>
      </c>
      <c r="Q7216">
        <v>0.1409</v>
      </c>
      <c r="R7216">
        <v>-1.055936E-2</v>
      </c>
      <c r="S7216">
        <v>3.1203310000000002</v>
      </c>
      <c r="T7216">
        <v>-0.63851389999999997</v>
      </c>
      <c r="U7216">
        <v>-0.31451420000000002</v>
      </c>
      <c r="V7216">
        <v>4.274903E-3</v>
      </c>
      <c r="W7216">
        <v>0.16977200000000001</v>
      </c>
      <c r="X7216">
        <v>0.98547410000000002</v>
      </c>
      <c r="Y7216">
        <v>9.2175859999999998E-2</v>
      </c>
      <c r="Z7216">
        <v>-8.0222339999999996E-3</v>
      </c>
      <c r="AA7216">
        <v>0.9957104</v>
      </c>
      <c r="AB7216">
        <v>8</v>
      </c>
      <c r="AC7216">
        <v>0.67190000000002204</v>
      </c>
      <c r="AD7216">
        <v>-0.15303499999999901</v>
      </c>
      <c r="AE7216">
        <v>-7.4000000000012195E-2</v>
      </c>
      <c r="AF7216">
        <v>6.6312011284242897E-2</v>
      </c>
      <c r="AG7216">
        <v>-0.15303499999999901</v>
      </c>
      <c r="AH7216">
        <v>0.63957703693785595</v>
      </c>
      <c r="AI7216">
        <v>103.38730765045599</v>
      </c>
      <c r="AJ7216">
        <v>84.080664101508006</v>
      </c>
      <c r="AK7216">
        <v>0.66096579355044505</v>
      </c>
      <c r="AL7216">
        <v>80.225437118076499</v>
      </c>
      <c r="AM7216">
        <v>89.751457330642495</v>
      </c>
      <c r="AN7216">
        <v>1.0000000042752299</v>
      </c>
    </row>
    <row r="7217" spans="1:40" x14ac:dyDescent="0.25">
      <c r="A7217" t="str">
        <f>"20190312151713480"</f>
        <v>20190312151713480</v>
      </c>
      <c r="B7217" t="str">
        <f>"1552375033475527"</f>
        <v>1552375033475527</v>
      </c>
      <c r="C7217" t="s">
        <v>40</v>
      </c>
      <c r="D7217">
        <v>5.392614</v>
      </c>
      <c r="E7217">
        <v>0.53890490000000002</v>
      </c>
      <c r="F7217" t="s">
        <v>41</v>
      </c>
      <c r="G7217">
        <v>-144.43100000000001</v>
      </c>
      <c r="H7217">
        <v>0.96053449999999996</v>
      </c>
      <c r="I7217">
        <v>140.61259999999999</v>
      </c>
      <c r="J7217">
        <v>-145.1035</v>
      </c>
      <c r="K7217">
        <v>1.1130439999999999</v>
      </c>
      <c r="L7217">
        <v>140.6876</v>
      </c>
      <c r="M7217">
        <v>0.99951880000000004</v>
      </c>
      <c r="N7217">
        <v>0</v>
      </c>
      <c r="O7217">
        <v>-6.9086939999999999E-3</v>
      </c>
      <c r="P7217">
        <v>0.99026930000000002</v>
      </c>
      <c r="Q7217">
        <v>0.13872219999999999</v>
      </c>
      <c r="R7217">
        <v>-1.108572E-2</v>
      </c>
      <c r="S7217">
        <v>3.11937</v>
      </c>
      <c r="T7217">
        <v>-0.64938580000000001</v>
      </c>
      <c r="U7217">
        <v>-0.32437129999999997</v>
      </c>
      <c r="V7217">
        <v>4.2522749999999998E-3</v>
      </c>
      <c r="W7217">
        <v>0.16860420000000001</v>
      </c>
      <c r="X7217">
        <v>0.98567470000000001</v>
      </c>
      <c r="Y7217">
        <v>9.4689620000000002E-2</v>
      </c>
      <c r="Z7217">
        <v>-8.3064409999999995E-3</v>
      </c>
      <c r="AA7217">
        <v>0.99547220000000003</v>
      </c>
      <c r="AB7217">
        <v>7</v>
      </c>
      <c r="AC7217">
        <v>0.672499999999985</v>
      </c>
      <c r="AD7217">
        <v>-0.15250949999999999</v>
      </c>
      <c r="AE7217">
        <v>-7.5000000000016998E-2</v>
      </c>
      <c r="AF7217">
        <v>6.6949147673208101E-2</v>
      </c>
      <c r="AG7217">
        <v>-0.15250949999999999</v>
      </c>
      <c r="AH7217">
        <v>0.64046824455374596</v>
      </c>
      <c r="AI7217">
        <v>103.323954854047</v>
      </c>
      <c r="AJ7217">
        <v>84.0324550352112</v>
      </c>
      <c r="AK7217">
        <v>0.66177103914131497</v>
      </c>
      <c r="AL7217">
        <v>80.2933261445054</v>
      </c>
      <c r="AM7217">
        <v>89.752823219079701</v>
      </c>
      <c r="AN7217">
        <v>1.0000000361601999</v>
      </c>
    </row>
    <row r="7218" spans="1:40" x14ac:dyDescent="0.25">
      <c r="A7218" t="str">
        <f>"20190312151713501"</f>
        <v>20190312151713501</v>
      </c>
      <c r="B7218" t="str">
        <f>"1552375033495047"</f>
        <v>1552375033495047</v>
      </c>
      <c r="C7218" t="s">
        <v>40</v>
      </c>
      <c r="D7218">
        <v>5.5522530000000003</v>
      </c>
      <c r="E7218">
        <v>0.53931269999999998</v>
      </c>
      <c r="F7218" t="s">
        <v>41</v>
      </c>
      <c r="G7218">
        <v>-144.37690000000001</v>
      </c>
      <c r="H7218">
        <v>0.96019200000000005</v>
      </c>
      <c r="I7218">
        <v>140.6104</v>
      </c>
      <c r="J7218">
        <v>-145.04589999999999</v>
      </c>
      <c r="K7218">
        <v>1.113275</v>
      </c>
      <c r="L7218">
        <v>140.6865</v>
      </c>
      <c r="M7218">
        <v>0.99948539999999997</v>
      </c>
      <c r="N7218">
        <v>0</v>
      </c>
      <c r="O7218">
        <v>-7.4156480000000004E-3</v>
      </c>
      <c r="P7218">
        <v>0.99043329999999996</v>
      </c>
      <c r="Q7218">
        <v>0.13751769999999999</v>
      </c>
      <c r="R7218">
        <v>-1.1448130000000001E-2</v>
      </c>
      <c r="S7218">
        <v>3.1176300000000001</v>
      </c>
      <c r="T7218">
        <v>-0.6557248</v>
      </c>
      <c r="U7218">
        <v>-0.33064270000000001</v>
      </c>
      <c r="V7218">
        <v>4.0938839999999999E-3</v>
      </c>
      <c r="W7218">
        <v>0.1683664</v>
      </c>
      <c r="X7218">
        <v>0.98571600000000004</v>
      </c>
      <c r="Y7218">
        <v>9.6163589999999993E-2</v>
      </c>
      <c r="Z7218">
        <v>-8.4371749999999999E-3</v>
      </c>
      <c r="AA7218">
        <v>0.99532980000000004</v>
      </c>
      <c r="AB7218">
        <v>6</v>
      </c>
      <c r="AC7218">
        <v>0.66899999999998205</v>
      </c>
      <c r="AD7218">
        <v>-0.153082999999999</v>
      </c>
      <c r="AE7218">
        <v>-7.6099999999996698E-2</v>
      </c>
      <c r="AF7218">
        <v>6.7638111465338102E-2</v>
      </c>
      <c r="AG7218">
        <v>-0.153082999999999</v>
      </c>
      <c r="AH7218">
        <v>0.63663751614774</v>
      </c>
      <c r="AI7218">
        <v>103.447497825184</v>
      </c>
      <c r="AJ7218">
        <v>83.935489113437598</v>
      </c>
      <c r="AK7218">
        <v>0.65826791352637004</v>
      </c>
      <c r="AL7218">
        <v>80.307148513249004</v>
      </c>
      <c r="AM7218">
        <v>89.762040053763698</v>
      </c>
      <c r="AN7218">
        <v>1.00000001859558</v>
      </c>
    </row>
    <row r="7219" spans="1:40" x14ac:dyDescent="0.25">
      <c r="A7219" t="str">
        <f>"20190312151713524"</f>
        <v>20190312151713524</v>
      </c>
      <c r="B7219" t="str">
        <f>"1552375033515543"</f>
        <v>1552375033515543</v>
      </c>
      <c r="C7219" t="s">
        <v>40</v>
      </c>
      <c r="D7219">
        <v>5.9683080000000004</v>
      </c>
      <c r="E7219">
        <v>0.53970509999999905</v>
      </c>
      <c r="F7219" t="s">
        <v>41</v>
      </c>
      <c r="G7219">
        <v>-144.32550000000001</v>
      </c>
      <c r="H7219">
        <v>0.96069720000000003</v>
      </c>
      <c r="I7219">
        <v>140.60900000000001</v>
      </c>
      <c r="J7219">
        <v>-144.9896</v>
      </c>
      <c r="K7219">
        <v>1.113248</v>
      </c>
      <c r="L7219">
        <v>140.68549999999999</v>
      </c>
      <c r="M7219">
        <v>0.99947260000000004</v>
      </c>
      <c r="N7219">
        <v>0</v>
      </c>
      <c r="O7219">
        <v>-7.9460880000000005E-3</v>
      </c>
      <c r="P7219">
        <v>0.9904269</v>
      </c>
      <c r="Q7219">
        <v>0.13754739999999999</v>
      </c>
      <c r="R7219">
        <v>-1.163496E-2</v>
      </c>
      <c r="S7219">
        <v>3.1167600000000002</v>
      </c>
      <c r="T7219">
        <v>-0.6600703</v>
      </c>
      <c r="U7219">
        <v>-0.33506770000000002</v>
      </c>
      <c r="V7219">
        <v>3.754463E-3</v>
      </c>
      <c r="W7219">
        <v>0.1686705</v>
      </c>
      <c r="X7219">
        <v>0.98566529999999997</v>
      </c>
      <c r="Y7219">
        <v>9.7028420000000004E-2</v>
      </c>
      <c r="Z7219">
        <v>-8.4730589999999998E-3</v>
      </c>
      <c r="AA7219">
        <v>0.99524550000000001</v>
      </c>
      <c r="AB7219">
        <v>6</v>
      </c>
      <c r="AC7219">
        <v>0.66409999999999003</v>
      </c>
      <c r="AD7219">
        <v>-0.15255079999999999</v>
      </c>
      <c r="AE7219">
        <v>-7.6499999999981499E-2</v>
      </c>
      <c r="AF7219">
        <v>6.7692802110871503E-2</v>
      </c>
      <c r="AG7219">
        <v>-0.15255079999999999</v>
      </c>
      <c r="AH7219">
        <v>0.63178633000798001</v>
      </c>
      <c r="AI7219">
        <v>103.500355239303</v>
      </c>
      <c r="AJ7219">
        <v>83.884370049114807</v>
      </c>
      <c r="AK7219">
        <v>0.65345851346754502</v>
      </c>
      <c r="AL7219">
        <v>80.289471478960394</v>
      </c>
      <c r="AM7219">
        <v>89.781757718485494</v>
      </c>
      <c r="AN7219">
        <v>0.99999995859337798</v>
      </c>
    </row>
    <row r="7220" spans="1:40" x14ac:dyDescent="0.25">
      <c r="A7220" t="str">
        <f>"20190312151713546"</f>
        <v>20190312151713546</v>
      </c>
      <c r="B7220" t="str">
        <f>"1552375033535063"</f>
        <v>1552375033535063</v>
      </c>
      <c r="C7220" t="s">
        <v>40</v>
      </c>
      <c r="D7220">
        <v>5.3780539999999997</v>
      </c>
      <c r="E7220">
        <v>0.54019130000000004</v>
      </c>
      <c r="F7220" t="s">
        <v>41</v>
      </c>
      <c r="G7220">
        <v>-144.2749</v>
      </c>
      <c r="H7220">
        <v>0.96160840000000003</v>
      </c>
      <c r="I7220">
        <v>140.60759999999999</v>
      </c>
      <c r="J7220">
        <v>-144.93369999999999</v>
      </c>
      <c r="K7220">
        <v>1.1130150000000001</v>
      </c>
      <c r="L7220">
        <v>140.68440000000001</v>
      </c>
      <c r="M7220">
        <v>0.99948190000000003</v>
      </c>
      <c r="N7220">
        <v>0</v>
      </c>
      <c r="O7220">
        <v>-8.5186489999999997E-3</v>
      </c>
      <c r="P7220">
        <v>0.99039560000000004</v>
      </c>
      <c r="Q7220">
        <v>0.13772190000000001</v>
      </c>
      <c r="R7220">
        <v>-1.222207E-2</v>
      </c>
      <c r="S7220">
        <v>3.1168520000000002</v>
      </c>
      <c r="T7220">
        <v>-0.66122419999999904</v>
      </c>
      <c r="U7220">
        <v>-0.33885189999999998</v>
      </c>
      <c r="V7220">
        <v>3.7874089999999998E-3</v>
      </c>
      <c r="W7220">
        <v>0.16839599999999999</v>
      </c>
      <c r="X7220">
        <v>0.98571220000000004</v>
      </c>
      <c r="Y7220">
        <v>9.7642530000000005E-2</v>
      </c>
      <c r="Z7220">
        <v>-8.4312269999999995E-3</v>
      </c>
      <c r="AA7220">
        <v>0.99518589999999996</v>
      </c>
      <c r="AB7220">
        <v>6</v>
      </c>
      <c r="AC7220">
        <v>0.65879999999998495</v>
      </c>
      <c r="AD7220">
        <v>-0.151406599999999</v>
      </c>
      <c r="AE7220">
        <v>-7.6800000000019894E-2</v>
      </c>
      <c r="AF7220">
        <v>6.7656829449664599E-2</v>
      </c>
      <c r="AG7220">
        <v>-0.151406599999999</v>
      </c>
      <c r="AH7220">
        <v>0.62676971817202198</v>
      </c>
      <c r="AI7220">
        <v>103.50501557458701</v>
      </c>
      <c r="AJ7220">
        <v>83.839046948525507</v>
      </c>
      <c r="AK7220">
        <v>0.64833763172607595</v>
      </c>
      <c r="AL7220">
        <v>80.305428292642603</v>
      </c>
      <c r="AM7220">
        <v>89.779853102044996</v>
      </c>
      <c r="AN7220">
        <v>1.00000004925588</v>
      </c>
    </row>
    <row r="7221" spans="1:40" x14ac:dyDescent="0.25">
      <c r="A7221" t="str">
        <f>"20190312151713569"</f>
        <v>20190312151713569</v>
      </c>
      <c r="B7221" t="str">
        <f>"1552375033565319"</f>
        <v>1552375033565319</v>
      </c>
      <c r="C7221" t="s">
        <v>40</v>
      </c>
      <c r="D7221">
        <v>5.4349489999999996</v>
      </c>
      <c r="E7221">
        <v>0.54127479999999994</v>
      </c>
      <c r="F7221" t="s">
        <v>41</v>
      </c>
      <c r="G7221">
        <v>-144.22620000000001</v>
      </c>
      <c r="H7221">
        <v>0.96162639999999999</v>
      </c>
      <c r="I7221">
        <v>140.60599999999999</v>
      </c>
      <c r="J7221">
        <v>-144.88200000000001</v>
      </c>
      <c r="K7221">
        <v>1.1128499999999999</v>
      </c>
      <c r="L7221">
        <v>140.6833</v>
      </c>
      <c r="M7221">
        <v>0.99948919999999997</v>
      </c>
      <c r="N7221">
        <v>0</v>
      </c>
      <c r="O7221">
        <v>-9.0662109999999994E-3</v>
      </c>
      <c r="P7221">
        <v>0.99027189999999998</v>
      </c>
      <c r="Q7221">
        <v>0.13854339999999901</v>
      </c>
      <c r="R7221">
        <v>-1.2940139999999999E-2</v>
      </c>
      <c r="S7221">
        <v>3.1175989999999998</v>
      </c>
      <c r="T7221">
        <v>-0.66712740000000004</v>
      </c>
      <c r="U7221">
        <v>-0.34490969999999999</v>
      </c>
      <c r="V7221">
        <v>3.9726650000000002E-3</v>
      </c>
      <c r="W7221">
        <v>0.16882839999999999</v>
      </c>
      <c r="X7221">
        <v>0.98563750000000006</v>
      </c>
      <c r="Y7221">
        <v>9.8932649999999997E-2</v>
      </c>
      <c r="Z7221">
        <v>-8.5225709999999996E-3</v>
      </c>
      <c r="AA7221">
        <v>0.99505759999999999</v>
      </c>
      <c r="AB7221">
        <v>6</v>
      </c>
      <c r="AC7221">
        <v>0.65579999999999905</v>
      </c>
      <c r="AD7221">
        <v>-0.15122359999999899</v>
      </c>
      <c r="AE7221">
        <v>-7.7300000000008098E-2</v>
      </c>
      <c r="AF7221">
        <v>6.7793002408160399E-2</v>
      </c>
      <c r="AG7221">
        <v>-0.15122359999999899</v>
      </c>
      <c r="AH7221">
        <v>0.62376103472569699</v>
      </c>
      <c r="AI7221">
        <v>103.550927535021</v>
      </c>
      <c r="AJ7221">
        <v>83.797197570159796</v>
      </c>
      <c r="AK7221">
        <v>0.64540088070481005</v>
      </c>
      <c r="AL7221">
        <v>80.280293702383503</v>
      </c>
      <c r="AM7221">
        <v>89.769067526998498</v>
      </c>
      <c r="AN7221">
        <v>1.00000004606</v>
      </c>
    </row>
    <row r="7222" spans="1:40" x14ac:dyDescent="0.25">
      <c r="A7222" t="str">
        <f>"20190312151713591"</f>
        <v>20190312151713591</v>
      </c>
      <c r="B7222" t="str">
        <f>"1552375033584839"</f>
        <v>1552375033584839</v>
      </c>
      <c r="C7222" t="s">
        <v>40</v>
      </c>
      <c r="D7222">
        <v>5.4499620000000002</v>
      </c>
      <c r="E7222">
        <v>0.54147429999999996</v>
      </c>
      <c r="F7222" t="s">
        <v>41</v>
      </c>
      <c r="G7222">
        <v>-144.1815</v>
      </c>
      <c r="H7222">
        <v>0.95992060000000001</v>
      </c>
      <c r="I7222">
        <v>140.60329999999999</v>
      </c>
      <c r="J7222">
        <v>-144.83420000000001</v>
      </c>
      <c r="K7222">
        <v>1.1128499999999999</v>
      </c>
      <c r="L7222">
        <v>140.68219999999999</v>
      </c>
      <c r="M7222">
        <v>0.99948499999999996</v>
      </c>
      <c r="N7222">
        <v>0</v>
      </c>
      <c r="O7222">
        <v>-9.5840249999999995E-3</v>
      </c>
      <c r="P7222">
        <v>0.99030209999999996</v>
      </c>
      <c r="Q7222">
        <v>0.13826749999999999</v>
      </c>
      <c r="R7222">
        <v>-1.3561419999999999E-2</v>
      </c>
      <c r="S7222">
        <v>3.120117</v>
      </c>
      <c r="T7222">
        <v>-0.68107459999999997</v>
      </c>
      <c r="U7222">
        <v>-0.35514829999999997</v>
      </c>
      <c r="V7222">
        <v>4.0783939999999999E-3</v>
      </c>
      <c r="W7222">
        <v>0.1685342</v>
      </c>
      <c r="X7222">
        <v>0.98568739999999999</v>
      </c>
      <c r="Y7222">
        <v>0.1014282</v>
      </c>
      <c r="Z7222">
        <v>-8.8453539999999997E-3</v>
      </c>
      <c r="AA7222">
        <v>0.99480349999999995</v>
      </c>
      <c r="AB7222">
        <v>5</v>
      </c>
      <c r="AC7222">
        <v>0.65270000000000905</v>
      </c>
      <c r="AD7222">
        <v>-0.15292939999999899</v>
      </c>
      <c r="AE7222">
        <v>-7.8900000000004397E-2</v>
      </c>
      <c r="AF7222">
        <v>6.89094515625579E-2</v>
      </c>
      <c r="AG7222">
        <v>-0.15292939999999899</v>
      </c>
      <c r="AH7222">
        <v>0.61988626226446497</v>
      </c>
      <c r="AI7222">
        <v>103.77685220719199</v>
      </c>
      <c r="AJ7222">
        <v>83.656777016823199</v>
      </c>
      <c r="AK7222">
        <v>0.64217979728672603</v>
      </c>
      <c r="AL7222">
        <v>80.297395017601403</v>
      </c>
      <c r="AM7222">
        <v>89.762933532565299</v>
      </c>
      <c r="AN7222">
        <v>1.0000000301930001</v>
      </c>
    </row>
    <row r="7223" spans="1:40" x14ac:dyDescent="0.25">
      <c r="A7223" t="str">
        <f>"20190312151713614"</f>
        <v>20190312151713614</v>
      </c>
      <c r="B7223" t="str">
        <f>"1552375033605334"</f>
        <v>1552375033605334</v>
      </c>
      <c r="C7223" t="s">
        <v>40</v>
      </c>
      <c r="D7223">
        <v>7.1339819999999996</v>
      </c>
      <c r="E7223">
        <v>0.54180869999999903</v>
      </c>
      <c r="F7223" t="s">
        <v>41</v>
      </c>
      <c r="G7223">
        <v>-144.13890000000001</v>
      </c>
      <c r="H7223">
        <v>0.96091349999999998</v>
      </c>
      <c r="I7223">
        <v>140.60210000000001</v>
      </c>
      <c r="J7223">
        <v>-144.7911</v>
      </c>
      <c r="K7223">
        <v>1.112897</v>
      </c>
      <c r="L7223">
        <v>140.68119999999999</v>
      </c>
      <c r="M7223">
        <v>0.99947629999999998</v>
      </c>
      <c r="N7223">
        <v>0</v>
      </c>
      <c r="O7223">
        <v>-1.00771E-2</v>
      </c>
      <c r="P7223">
        <v>0.99027350000000003</v>
      </c>
      <c r="Q7223">
        <v>0.13845060000000001</v>
      </c>
      <c r="R7223">
        <v>-1.378091E-2</v>
      </c>
      <c r="S7223">
        <v>3.119659</v>
      </c>
      <c r="T7223">
        <v>-0.68164209999999903</v>
      </c>
      <c r="U7223">
        <v>-0.35871890000000001</v>
      </c>
      <c r="V7223">
        <v>3.8006569999999998E-3</v>
      </c>
      <c r="W7223">
        <v>0.16883970000000001</v>
      </c>
      <c r="X7223">
        <v>0.98563619999999996</v>
      </c>
      <c r="Y7223">
        <v>0.10207049999999999</v>
      </c>
      <c r="Z7223">
        <v>-8.8162329999999997E-3</v>
      </c>
      <c r="AA7223">
        <v>0.99473809999999996</v>
      </c>
      <c r="AB7223">
        <v>5</v>
      </c>
      <c r="AC7223">
        <v>0.65219999999999301</v>
      </c>
      <c r="AD7223">
        <v>-0.15198349999999999</v>
      </c>
      <c r="AE7223">
        <v>-7.9099999999982601E-2</v>
      </c>
      <c r="AF7223">
        <v>6.8836671397362797E-2</v>
      </c>
      <c r="AG7223">
        <v>-0.15198349999999999</v>
      </c>
      <c r="AH7223">
        <v>0.61979492403038094</v>
      </c>
      <c r="AI7223">
        <v>103.696945899882</v>
      </c>
      <c r="AJ7223">
        <v>83.662495807410707</v>
      </c>
      <c r="AK7223">
        <v>0.64185918974113398</v>
      </c>
      <c r="AL7223">
        <v>80.279636417764493</v>
      </c>
      <c r="AM7223">
        <v>89.779066022350094</v>
      </c>
      <c r="AN7223">
        <v>1.00000000402008</v>
      </c>
    </row>
    <row r="7224" spans="1:40" x14ac:dyDescent="0.25">
      <c r="A7224" t="str">
        <f>"20190312151713637"</f>
        <v>20190312151713637</v>
      </c>
      <c r="B7224" t="str">
        <f>"1552375033624854"</f>
        <v>1552375033624854</v>
      </c>
      <c r="C7224" t="s">
        <v>40</v>
      </c>
      <c r="D7224">
        <v>6.5255070000000002</v>
      </c>
      <c r="E7224">
        <v>0.54213230000000001</v>
      </c>
      <c r="F7224" t="s">
        <v>41</v>
      </c>
      <c r="G7224">
        <v>-144.06700000000001</v>
      </c>
      <c r="H7224">
        <v>0.95486179999999998</v>
      </c>
      <c r="I7224">
        <v>140.5968</v>
      </c>
      <c r="J7224">
        <v>-144.74930000000001</v>
      </c>
      <c r="K7224">
        <v>1.1128979999999999</v>
      </c>
      <c r="L7224">
        <v>140.68020000000001</v>
      </c>
      <c r="M7224">
        <v>0.99947269999999999</v>
      </c>
      <c r="N7224">
        <v>0</v>
      </c>
      <c r="O7224">
        <v>-1.0567180000000001E-2</v>
      </c>
      <c r="P7224">
        <v>0.99022180000000004</v>
      </c>
      <c r="Q7224">
        <v>0.13876810000000001</v>
      </c>
      <c r="R7224">
        <v>-1.4296639999999999E-2</v>
      </c>
      <c r="S7224">
        <v>3.1195979999999999</v>
      </c>
      <c r="T7224">
        <v>-0.68076320000000001</v>
      </c>
      <c r="U7224">
        <v>-0.36300660000000001</v>
      </c>
      <c r="V7224">
        <v>3.8247789999999999E-3</v>
      </c>
      <c r="W7224">
        <v>0.16911039999999999</v>
      </c>
      <c r="X7224">
        <v>0.98558970000000001</v>
      </c>
      <c r="Y7224">
        <v>0.10293139999999899</v>
      </c>
      <c r="Z7224">
        <v>-8.7917989999999994E-3</v>
      </c>
      <c r="AA7224">
        <v>0.99464960000000002</v>
      </c>
      <c r="AB7224">
        <v>4</v>
      </c>
      <c r="AC7224">
        <v>0.68229999999999702</v>
      </c>
      <c r="AD7224">
        <v>-0.15803619999999899</v>
      </c>
      <c r="AE7224">
        <v>-8.3400000000011604E-2</v>
      </c>
      <c r="AF7224">
        <v>7.2357198928927599E-2</v>
      </c>
      <c r="AG7224">
        <v>-0.15803619999999899</v>
      </c>
      <c r="AH7224">
        <v>0.64884602553345005</v>
      </c>
      <c r="AI7224">
        <v>103.607526863557</v>
      </c>
      <c r="AJ7224">
        <v>83.636851407695602</v>
      </c>
      <c r="AK7224">
        <v>0.67172328350135002</v>
      </c>
      <c r="AL7224">
        <v>80.263900192883</v>
      </c>
      <c r="AM7224">
        <v>89.777653323497105</v>
      </c>
      <c r="AN7224">
        <v>1.00000000653432</v>
      </c>
    </row>
    <row r="7225" spans="1:40" x14ac:dyDescent="0.25">
      <c r="A7225" t="str">
        <f>"20190312151713660"</f>
        <v>20190312151713660</v>
      </c>
      <c r="B7225" t="str">
        <f>"1552375033655111"</f>
        <v>1552375033655111</v>
      </c>
      <c r="C7225" t="s">
        <v>40</v>
      </c>
      <c r="D7225">
        <v>6.6333520000000004</v>
      </c>
      <c r="E7225">
        <v>0.54272319999999996</v>
      </c>
      <c r="F7225" t="s">
        <v>41</v>
      </c>
      <c r="G7225">
        <v>-144.03219999999999</v>
      </c>
      <c r="H7225">
        <v>0.9563779</v>
      </c>
      <c r="I7225">
        <v>140.59569999999999</v>
      </c>
      <c r="J7225">
        <v>-144.70939999999999</v>
      </c>
      <c r="K7225">
        <v>1.112851</v>
      </c>
      <c r="L7225">
        <v>140.67920000000001</v>
      </c>
      <c r="M7225">
        <v>0.99947439999999999</v>
      </c>
      <c r="N7225">
        <v>0</v>
      </c>
      <c r="O7225">
        <v>-1.101107E-2</v>
      </c>
      <c r="P7225">
        <v>0.99016420000000005</v>
      </c>
      <c r="Q7225">
        <v>0.13908789999999999</v>
      </c>
      <c r="R7225">
        <v>-1.515473E-2</v>
      </c>
      <c r="S7225">
        <v>3.1197659999999998</v>
      </c>
      <c r="T7225">
        <v>-0.68097730000000001</v>
      </c>
      <c r="U7225">
        <v>-0.36700440000000001</v>
      </c>
      <c r="V7225">
        <v>4.2408589999999996E-3</v>
      </c>
      <c r="W7225">
        <v>0.1692236</v>
      </c>
      <c r="X7225">
        <v>0.98556860000000002</v>
      </c>
      <c r="Y7225">
        <v>0.10373209999999999</v>
      </c>
      <c r="Z7225">
        <v>-8.7840509999999993E-3</v>
      </c>
      <c r="AA7225">
        <v>0.99456650000000002</v>
      </c>
      <c r="AB7225">
        <v>4</v>
      </c>
      <c r="AC7225">
        <v>0.67719999999999902</v>
      </c>
      <c r="AD7225">
        <v>-0.1564731</v>
      </c>
      <c r="AE7225">
        <v>-8.3500000000015007E-2</v>
      </c>
      <c r="AF7225">
        <v>7.2235972142550495E-2</v>
      </c>
      <c r="AG7225">
        <v>-0.1564731</v>
      </c>
      <c r="AH7225">
        <v>0.64420106296104995</v>
      </c>
      <c r="AI7225">
        <v>103.570581212783</v>
      </c>
      <c r="AJ7225">
        <v>83.601998683068899</v>
      </c>
      <c r="AK7225">
        <v>0.66685596361968302</v>
      </c>
      <c r="AL7225">
        <v>80.257319779706705</v>
      </c>
      <c r="AM7225">
        <v>89.753460263872697</v>
      </c>
      <c r="AN7225">
        <v>1.00000003849398</v>
      </c>
    </row>
    <row r="7226" spans="1:40" x14ac:dyDescent="0.25">
      <c r="A7226" t="str">
        <f>"20190312151713683"</f>
        <v>20190312151713683</v>
      </c>
      <c r="B7226" t="str">
        <f>"1552375033675607"</f>
        <v>1552375033675607</v>
      </c>
      <c r="C7226" t="s">
        <v>40</v>
      </c>
      <c r="D7226">
        <v>5.4341910000000002</v>
      </c>
      <c r="E7226">
        <v>0.54306679999999996</v>
      </c>
      <c r="F7226" t="s">
        <v>41</v>
      </c>
      <c r="G7226">
        <v>-144.00020000000001</v>
      </c>
      <c r="H7226">
        <v>0.95768629999999999</v>
      </c>
      <c r="I7226">
        <v>140.59440000000001</v>
      </c>
      <c r="J7226">
        <v>-144.6756</v>
      </c>
      <c r="K7226">
        <v>1.112824</v>
      </c>
      <c r="L7226">
        <v>140.67840000000001</v>
      </c>
      <c r="M7226">
        <v>0.99947569999999997</v>
      </c>
      <c r="N7226">
        <v>0</v>
      </c>
      <c r="O7226">
        <v>-1.137027E-2</v>
      </c>
      <c r="P7226">
        <v>0.9901508</v>
      </c>
      <c r="Q7226">
        <v>0.13914389999999999</v>
      </c>
      <c r="R7226">
        <v>-1.5501920000000001E-2</v>
      </c>
      <c r="S7226">
        <v>3.1199650000000001</v>
      </c>
      <c r="T7226">
        <v>-0.68255440000000001</v>
      </c>
      <c r="U7226">
        <v>-0.37310789999999999</v>
      </c>
      <c r="V7226">
        <v>4.2277169999999998E-3</v>
      </c>
      <c r="W7226">
        <v>0.169102799999999</v>
      </c>
      <c r="X7226">
        <v>0.9855893</v>
      </c>
      <c r="Y7226">
        <v>0.10525</v>
      </c>
      <c r="Z7226">
        <v>-8.8885570000000001E-3</v>
      </c>
      <c r="AA7226">
        <v>0.99440600000000001</v>
      </c>
      <c r="AB7226">
        <v>4</v>
      </c>
      <c r="AC7226">
        <v>0.675399999999996</v>
      </c>
      <c r="AD7226">
        <v>-0.15513769999999899</v>
      </c>
      <c r="AE7226">
        <v>-8.40000000000031E-2</v>
      </c>
      <c r="AF7226">
        <v>7.2542445959272603E-2</v>
      </c>
      <c r="AG7226">
        <v>-0.15513769999999899</v>
      </c>
      <c r="AH7226">
        <v>0.642908093300946</v>
      </c>
      <c r="AI7226">
        <v>103.484062299586</v>
      </c>
      <c r="AJ7226">
        <v>83.562267588548394</v>
      </c>
      <c r="AK7226">
        <v>0.66532768532423403</v>
      </c>
      <c r="AL7226">
        <v>80.264341442377102</v>
      </c>
      <c r="AM7226">
        <v>89.754229418475006</v>
      </c>
      <c r="AN7226">
        <v>0.99999994941667902</v>
      </c>
    </row>
    <row r="7227" spans="1:40" x14ac:dyDescent="0.25">
      <c r="A7227" t="str">
        <f>"20190312151713704"</f>
        <v>20190312151713704</v>
      </c>
      <c r="B7227" t="str">
        <f>"1552375033695127"</f>
        <v>1552375033695127</v>
      </c>
      <c r="C7227" t="s">
        <v>40</v>
      </c>
      <c r="D7227">
        <v>5.3746130000000001</v>
      </c>
      <c r="E7227">
        <v>0.54357739999999999</v>
      </c>
      <c r="F7227" t="s">
        <v>41</v>
      </c>
      <c r="G7227">
        <v>-143.97110000000001</v>
      </c>
      <c r="H7227">
        <v>0.95847510000000002</v>
      </c>
      <c r="I7227">
        <v>140.59309999999999</v>
      </c>
      <c r="J7227">
        <v>-144.64689999999999</v>
      </c>
      <c r="K7227">
        <v>1.1128340000000001</v>
      </c>
      <c r="L7227">
        <v>140.67769999999999</v>
      </c>
      <c r="M7227">
        <v>0.99947520000000001</v>
      </c>
      <c r="N7227">
        <v>0</v>
      </c>
      <c r="O7227">
        <v>-1.167462E-2</v>
      </c>
      <c r="P7227">
        <v>0.99009040000000004</v>
      </c>
      <c r="Q7227">
        <v>0.13953019999999999</v>
      </c>
      <c r="R7227">
        <v>-1.5880950000000001E-2</v>
      </c>
      <c r="S7227">
        <v>3.11998</v>
      </c>
      <c r="T7227">
        <v>-0.68350299999999997</v>
      </c>
      <c r="U7227">
        <v>-0.37713619999999998</v>
      </c>
      <c r="V7227">
        <v>4.2982709999999898E-3</v>
      </c>
      <c r="W7227">
        <v>0.16938810000000001</v>
      </c>
      <c r="X7227">
        <v>0.98553999999999997</v>
      </c>
      <c r="Y7227">
        <v>0.1061918</v>
      </c>
      <c r="Z7227">
        <v>-8.9358719999999992E-3</v>
      </c>
      <c r="AA7227">
        <v>0.99430549999999995</v>
      </c>
      <c r="AB7227">
        <v>4</v>
      </c>
      <c r="AC7227">
        <v>0.67579999999998097</v>
      </c>
      <c r="AD7227">
        <v>-0.15435889999999999</v>
      </c>
      <c r="AE7227">
        <v>-8.4599999999994596E-2</v>
      </c>
      <c r="AF7227">
        <v>7.2953598953694604E-2</v>
      </c>
      <c r="AG7227">
        <v>-0.15435889999999999</v>
      </c>
      <c r="AH7227">
        <v>0.64367896013805004</v>
      </c>
      <c r="AI7227">
        <v>103.40260902819</v>
      </c>
      <c r="AJ7227">
        <v>83.533776406657395</v>
      </c>
      <c r="AK7227">
        <v>0.66593655954145403</v>
      </c>
      <c r="AL7227">
        <v>80.247755670261796</v>
      </c>
      <c r="AM7227">
        <v>89.750115443260398</v>
      </c>
      <c r="AN7227">
        <v>0.99999994757759803</v>
      </c>
    </row>
    <row r="7228" spans="1:40" x14ac:dyDescent="0.25">
      <c r="A7228" t="str">
        <f>"20190312151713726"</f>
        <v>20190312151713726</v>
      </c>
      <c r="B7228" t="str">
        <f>"1552375033714647"</f>
        <v>1552375033714647</v>
      </c>
      <c r="C7228" t="s">
        <v>40</v>
      </c>
      <c r="D7228">
        <v>5.3900589999999999</v>
      </c>
      <c r="E7228">
        <v>0.54394609999999999</v>
      </c>
      <c r="F7228" t="s">
        <v>41</v>
      </c>
      <c r="G7228">
        <v>-143.94560000000001</v>
      </c>
      <c r="H7228">
        <v>0.95788720000000005</v>
      </c>
      <c r="I7228">
        <v>140.5917</v>
      </c>
      <c r="J7228">
        <v>-144.6208</v>
      </c>
      <c r="K7228">
        <v>1.1128559999999901</v>
      </c>
      <c r="L7228">
        <v>140.67699999999999</v>
      </c>
      <c r="M7228">
        <v>0.99947390000000003</v>
      </c>
      <c r="N7228">
        <v>0</v>
      </c>
      <c r="O7228">
        <v>-1.1954080000000001E-2</v>
      </c>
      <c r="P7228">
        <v>0.99010180000000003</v>
      </c>
      <c r="Q7228">
        <v>0.13936519999999999</v>
      </c>
      <c r="R7228">
        <v>-1.6604130000000002E-2</v>
      </c>
      <c r="S7228">
        <v>3.121048</v>
      </c>
      <c r="T7228">
        <v>-0.68947530000000001</v>
      </c>
      <c r="U7228">
        <v>-0.38253779999999998</v>
      </c>
      <c r="V7228">
        <v>4.7365609999999898E-3</v>
      </c>
      <c r="W7228">
        <v>0.16915740000000001</v>
      </c>
      <c r="X7228">
        <v>0.9855777</v>
      </c>
      <c r="Y7228">
        <v>0.1075081</v>
      </c>
      <c r="Z7228">
        <v>-9.0906149999999998E-3</v>
      </c>
      <c r="AA7228">
        <v>0.99416260000000001</v>
      </c>
      <c r="AB7228">
        <v>3</v>
      </c>
      <c r="AC7228">
        <v>0.67519999999998903</v>
      </c>
      <c r="AD7228">
        <v>-0.15496879999999899</v>
      </c>
      <c r="AE7228">
        <v>-8.5300000000017903E-2</v>
      </c>
      <c r="AF7228">
        <v>7.3412414894129405E-2</v>
      </c>
      <c r="AG7228">
        <v>-0.15496879999999899</v>
      </c>
      <c r="AH7228">
        <v>0.64284069853474501</v>
      </c>
      <c r="AI7228">
        <v>103.469292203123</v>
      </c>
      <c r="AJ7228">
        <v>83.485045417923899</v>
      </c>
      <c r="AK7228">
        <v>0.66531862691996502</v>
      </c>
      <c r="AL7228">
        <v>80.261168176800894</v>
      </c>
      <c r="AM7228">
        <v>89.724645895097296</v>
      </c>
      <c r="AN7228">
        <v>1.00000003186107</v>
      </c>
    </row>
    <row r="7229" spans="1:40" x14ac:dyDescent="0.25">
      <c r="A7229" t="str">
        <f>"20190312151713748"</f>
        <v>20190312151713748</v>
      </c>
      <c r="B7229" t="str">
        <f>"1552375033744903"</f>
        <v>1552375033744903</v>
      </c>
      <c r="C7229" t="s">
        <v>40</v>
      </c>
      <c r="D7229">
        <v>5.5153949999999998</v>
      </c>
      <c r="E7229">
        <v>0.54453019999999996</v>
      </c>
      <c r="F7229" t="s">
        <v>41</v>
      </c>
      <c r="G7229">
        <v>-143.92269999999999</v>
      </c>
      <c r="H7229">
        <v>0.95749949999999995</v>
      </c>
      <c r="I7229">
        <v>140.59030000000001</v>
      </c>
      <c r="J7229">
        <v>-144.59639999999999</v>
      </c>
      <c r="K7229">
        <v>1.112862</v>
      </c>
      <c r="L7229">
        <v>140.6764</v>
      </c>
      <c r="M7229">
        <v>0.99947299999999994</v>
      </c>
      <c r="N7229">
        <v>0</v>
      </c>
      <c r="O7229">
        <v>-1.220895E-2</v>
      </c>
      <c r="P7229">
        <v>0.99015900000000001</v>
      </c>
      <c r="Q7229">
        <v>0.13889119999999999</v>
      </c>
      <c r="R7229">
        <v>-1.7161619999999999E-2</v>
      </c>
      <c r="S7229">
        <v>3.1212460000000002</v>
      </c>
      <c r="T7229">
        <v>-0.69449399999999994</v>
      </c>
      <c r="U7229">
        <v>-0.38725280000000001</v>
      </c>
      <c r="V7229">
        <v>5.0358470000000004E-3</v>
      </c>
      <c r="W7229">
        <v>0.1686154</v>
      </c>
      <c r="X7229">
        <v>0.98566909999999996</v>
      </c>
      <c r="Y7229">
        <v>0.10867250000000001</v>
      </c>
      <c r="Z7229">
        <v>-9.2255410000000003E-3</v>
      </c>
      <c r="AA7229">
        <v>0.9940348</v>
      </c>
      <c r="AB7229">
        <v>3</v>
      </c>
      <c r="AC7229">
        <v>0.67369999999999597</v>
      </c>
      <c r="AD7229">
        <v>-0.15536249999999899</v>
      </c>
      <c r="AE7229">
        <v>-8.6099999999987603E-2</v>
      </c>
      <c r="AF7229">
        <v>7.3992882596979295E-2</v>
      </c>
      <c r="AG7229">
        <v>-0.15536249999999899</v>
      </c>
      <c r="AH7229">
        <v>0.64115205179129597</v>
      </c>
      <c r="AI7229">
        <v>103.534732734987</v>
      </c>
      <c r="AJ7229">
        <v>83.416838356985295</v>
      </c>
      <c r="AK7229">
        <v>0.66384366126178296</v>
      </c>
      <c r="AL7229">
        <v>80.292675185588607</v>
      </c>
      <c r="AM7229">
        <v>89.707274714269204</v>
      </c>
      <c r="AN7229">
        <v>1.00000004378348</v>
      </c>
    </row>
    <row r="7230" spans="1:40" x14ac:dyDescent="0.25">
      <c r="A7230" t="str">
        <f>"20190312151713770"</f>
        <v>20190312151713770</v>
      </c>
      <c r="B7230" t="str">
        <f>"1552375033765399"</f>
        <v>1552375033765399</v>
      </c>
      <c r="C7230" t="s">
        <v>40</v>
      </c>
      <c r="D7230">
        <v>6.3469110000000004</v>
      </c>
      <c r="E7230">
        <v>0.54485729999999999</v>
      </c>
      <c r="F7230" t="s">
        <v>41</v>
      </c>
      <c r="G7230">
        <v>-143.90280000000001</v>
      </c>
      <c r="H7230">
        <v>0.95637490000000003</v>
      </c>
      <c r="I7230">
        <v>140.5891</v>
      </c>
      <c r="J7230">
        <v>-144.57679999999999</v>
      </c>
      <c r="K7230">
        <v>1.1128670000000001</v>
      </c>
      <c r="L7230">
        <v>140.67590000000001</v>
      </c>
      <c r="M7230">
        <v>0.99947269999999999</v>
      </c>
      <c r="N7230">
        <v>0</v>
      </c>
      <c r="O7230">
        <v>-1.240335E-2</v>
      </c>
      <c r="P7230">
        <v>0.99013530000000005</v>
      </c>
      <c r="Q7230">
        <v>0.13897100000000001</v>
      </c>
      <c r="R7230">
        <v>-1.7885350000000001E-2</v>
      </c>
      <c r="S7230">
        <v>3.1217959999999998</v>
      </c>
      <c r="T7230">
        <v>-0.70429710000000001</v>
      </c>
      <c r="U7230">
        <v>-0.39306639999999998</v>
      </c>
      <c r="V7230">
        <v>5.565441E-3</v>
      </c>
      <c r="W7230">
        <v>0.16862769999999999</v>
      </c>
      <c r="X7230">
        <v>0.98566410000000004</v>
      </c>
      <c r="Y7230">
        <v>0.11018409999999999</v>
      </c>
      <c r="Z7230">
        <v>-9.4746150000000005E-3</v>
      </c>
      <c r="AA7230">
        <v>0.99386600000000003</v>
      </c>
      <c r="AB7230">
        <v>3</v>
      </c>
      <c r="AC7230">
        <v>0.67399999999997795</v>
      </c>
      <c r="AD7230">
        <v>-0.1564921</v>
      </c>
      <c r="AE7230">
        <v>-8.6800000000010799E-2</v>
      </c>
      <c r="AF7230">
        <v>7.4480020250860896E-2</v>
      </c>
      <c r="AG7230">
        <v>-0.1564921</v>
      </c>
      <c r="AH7230">
        <v>0.64103133746387597</v>
      </c>
      <c r="AI7230">
        <v>103.63078089070299</v>
      </c>
      <c r="AJ7230">
        <v>83.372645100335305</v>
      </c>
      <c r="AK7230">
        <v>0.66404685556796605</v>
      </c>
      <c r="AL7230">
        <v>80.291959748035694</v>
      </c>
      <c r="AM7230">
        <v>89.676489291105696</v>
      </c>
      <c r="AN7230">
        <v>0.99999999668481199</v>
      </c>
    </row>
    <row r="7231" spans="1:40" x14ac:dyDescent="0.25">
      <c r="A7231" t="str">
        <f>"20190312151713793"</f>
        <v>20190312151713793</v>
      </c>
      <c r="B7231" t="str">
        <f>"1552375033784919"</f>
        <v>1552375033784919</v>
      </c>
      <c r="C7231" t="s">
        <v>40</v>
      </c>
      <c r="D7231">
        <v>5.5778919999999896</v>
      </c>
      <c r="E7231">
        <v>0.54499200000000003</v>
      </c>
      <c r="F7231" t="s">
        <v>41</v>
      </c>
      <c r="G7231">
        <v>-143.88509999999999</v>
      </c>
      <c r="H7231">
        <v>0.95608689999999996</v>
      </c>
      <c r="I7231">
        <v>140.58770000000001</v>
      </c>
      <c r="J7231">
        <v>-144.5592</v>
      </c>
      <c r="K7231">
        <v>1.1128720000000001</v>
      </c>
      <c r="L7231">
        <v>140.6755</v>
      </c>
      <c r="M7231">
        <v>0.99947280000000005</v>
      </c>
      <c r="N7231">
        <v>0</v>
      </c>
      <c r="O7231">
        <v>-1.2574709999999999E-2</v>
      </c>
      <c r="P7231">
        <v>0.99006280000000002</v>
      </c>
      <c r="Q7231">
        <v>0.13944719999999999</v>
      </c>
      <c r="R7231">
        <v>-1.816719E-2</v>
      </c>
      <c r="S7231">
        <v>3.1220249999999998</v>
      </c>
      <c r="T7231">
        <v>-0.70760179999999995</v>
      </c>
      <c r="U7231">
        <v>-0.3974762</v>
      </c>
      <c r="V7231">
        <v>5.6771440000000003E-3</v>
      </c>
      <c r="W7231">
        <v>0.16902719999999999</v>
      </c>
      <c r="X7231">
        <v>0.985595</v>
      </c>
      <c r="Y7231">
        <v>0.1113402</v>
      </c>
      <c r="Z7231">
        <v>-9.607183E-3</v>
      </c>
      <c r="AA7231">
        <v>0.99373590000000001</v>
      </c>
      <c r="AB7231">
        <v>2</v>
      </c>
      <c r="AC7231">
        <v>0.67410000000000903</v>
      </c>
      <c r="AD7231">
        <v>-0.15678509999999901</v>
      </c>
      <c r="AE7231">
        <v>-8.7799999999987194E-2</v>
      </c>
      <c r="AF7231">
        <v>7.5306837177966698E-2</v>
      </c>
      <c r="AG7231">
        <v>-0.15678509999999901</v>
      </c>
      <c r="AH7231">
        <v>0.64105169492412195</v>
      </c>
      <c r="AI7231">
        <v>103.652981529893</v>
      </c>
      <c r="AJ7231">
        <v>83.299949701813205</v>
      </c>
      <c r="AK7231">
        <v>0.66422884826906403</v>
      </c>
      <c r="AL7231">
        <v>80.268736412376498</v>
      </c>
      <c r="AM7231">
        <v>89.669973169998897</v>
      </c>
      <c r="AN7231">
        <v>0.99999996416441705</v>
      </c>
    </row>
    <row r="7232" spans="1:40" x14ac:dyDescent="0.25">
      <c r="A7232" t="str">
        <f>"20190312151713814"</f>
        <v>20190312151713814</v>
      </c>
      <c r="B7232" t="str">
        <f>"1552375033805416"</f>
        <v>1552375033805416</v>
      </c>
      <c r="C7232" t="s">
        <v>40</v>
      </c>
      <c r="D7232">
        <v>5.4282009999999996</v>
      </c>
      <c r="E7232">
        <v>0.54542049999999997</v>
      </c>
      <c r="F7232" t="s">
        <v>41</v>
      </c>
      <c r="G7232">
        <v>-143.85839999999999</v>
      </c>
      <c r="H7232">
        <v>0.95425119999999997</v>
      </c>
      <c r="I7232">
        <v>140.5857</v>
      </c>
      <c r="J7232">
        <v>-144.54580000000001</v>
      </c>
      <c r="K7232">
        <v>1.112862</v>
      </c>
      <c r="L7232">
        <v>140.67509999999999</v>
      </c>
      <c r="M7232">
        <v>0.9994748</v>
      </c>
      <c r="N7232">
        <v>0</v>
      </c>
      <c r="O7232">
        <v>-1.2709089999999999E-2</v>
      </c>
      <c r="P7232">
        <v>0.99003059999999998</v>
      </c>
      <c r="Q7232">
        <v>0.139628799999999</v>
      </c>
      <c r="R7232">
        <v>-1.853113E-2</v>
      </c>
      <c r="S7232">
        <v>3.1223139999999998</v>
      </c>
      <c r="T7232">
        <v>-0.7065669</v>
      </c>
      <c r="U7232">
        <v>-0.39913939999999998</v>
      </c>
      <c r="V7232">
        <v>5.90713E-3</v>
      </c>
      <c r="W7232">
        <v>0.16909109999999999</v>
      </c>
      <c r="X7232">
        <v>0.98558270000000003</v>
      </c>
      <c r="Y7232">
        <v>0.1117177</v>
      </c>
      <c r="Z7232">
        <v>-9.6044189999999995E-3</v>
      </c>
      <c r="AA7232">
        <v>0.99369359999999995</v>
      </c>
      <c r="AB7232">
        <v>2</v>
      </c>
      <c r="AC7232">
        <v>0.68740000000002499</v>
      </c>
      <c r="AD7232">
        <v>-0.1586108</v>
      </c>
      <c r="AE7232">
        <v>-8.9399999999983396E-2</v>
      </c>
      <c r="AF7232">
        <v>7.6640130609592294E-2</v>
      </c>
      <c r="AG7232">
        <v>-0.1586108</v>
      </c>
      <c r="AH7232">
        <v>0.65422868086840102</v>
      </c>
      <c r="AI7232">
        <v>103.538675729467</v>
      </c>
      <c r="AJ7232">
        <v>83.318493772285606</v>
      </c>
      <c r="AK7232">
        <v>0.67752952877885997</v>
      </c>
      <c r="AL7232">
        <v>80.265021863015207</v>
      </c>
      <c r="AM7232">
        <v>89.656599526940695</v>
      </c>
      <c r="AN7232">
        <v>0.99999997641166805</v>
      </c>
    </row>
    <row r="7233" spans="1:40" x14ac:dyDescent="0.25">
      <c r="A7233" t="str">
        <f>"20190312151713837"</f>
        <v>20190312151713837</v>
      </c>
      <c r="B7233" t="str">
        <f>"1552375033834695"</f>
        <v>1552375033834695</v>
      </c>
      <c r="C7233" t="s">
        <v>40</v>
      </c>
      <c r="D7233">
        <v>5.3297929999999996</v>
      </c>
      <c r="E7233">
        <v>0.54592099999999999</v>
      </c>
      <c r="F7233" t="s">
        <v>41</v>
      </c>
      <c r="G7233">
        <v>-143.84829999999999</v>
      </c>
      <c r="H7233">
        <v>0.95365679999999997</v>
      </c>
      <c r="I7233">
        <v>140.5849</v>
      </c>
      <c r="J7233">
        <v>-144.5342</v>
      </c>
      <c r="K7233">
        <v>1.112816</v>
      </c>
      <c r="L7233">
        <v>140.67490000000001</v>
      </c>
      <c r="M7233">
        <v>0.99948090000000001</v>
      </c>
      <c r="N7233">
        <v>0</v>
      </c>
      <c r="O7233">
        <v>-1.2832430000000001E-2</v>
      </c>
      <c r="P7233">
        <v>0.9899367</v>
      </c>
      <c r="Q7233">
        <v>0.14023629999999901</v>
      </c>
      <c r="R7233">
        <v>-1.8951679999999999E-2</v>
      </c>
      <c r="S7233">
        <v>3.1231990000000001</v>
      </c>
      <c r="T7233">
        <v>-0.71285929999999997</v>
      </c>
      <c r="U7233">
        <v>-0.40332030000000002</v>
      </c>
      <c r="V7233">
        <v>6.2066889999999996E-3</v>
      </c>
      <c r="W7233">
        <v>0.16943559999999999</v>
      </c>
      <c r="X7233">
        <v>0.98552169999999895</v>
      </c>
      <c r="Y7233">
        <v>0.112802399999999</v>
      </c>
      <c r="Z7233">
        <v>-9.7784710000000004E-3</v>
      </c>
      <c r="AA7233">
        <v>0.99356929999999999</v>
      </c>
      <c r="AB7233">
        <v>1</v>
      </c>
      <c r="AC7233">
        <v>0.68590000000000295</v>
      </c>
      <c r="AD7233">
        <v>-0.159159199999999</v>
      </c>
      <c r="AE7233">
        <v>-9.0000000000003397E-2</v>
      </c>
      <c r="AF7233">
        <v>7.7105530876396197E-2</v>
      </c>
      <c r="AG7233">
        <v>-0.159159199999999</v>
      </c>
      <c r="AH7233">
        <v>0.65246199400723404</v>
      </c>
      <c r="AI7233">
        <v>103.617599241608</v>
      </c>
      <c r="AJ7233">
        <v>83.2602568819282</v>
      </c>
      <c r="AK7233">
        <v>0.67600559721075304</v>
      </c>
      <c r="AL7233">
        <v>80.244994556954694</v>
      </c>
      <c r="AM7233">
        <v>89.639163315301104</v>
      </c>
      <c r="AN7233">
        <v>0.99999998335329598</v>
      </c>
    </row>
    <row r="7234" spans="1:40" x14ac:dyDescent="0.25">
      <c r="A7234" t="str">
        <f>"20190312151713861"</f>
        <v>20190312151713861</v>
      </c>
      <c r="B7234" t="str">
        <f>"1552375033855191"</f>
        <v>1552375033855191</v>
      </c>
      <c r="C7234" t="s">
        <v>40</v>
      </c>
      <c r="D7234">
        <v>5.3999329999999999</v>
      </c>
      <c r="E7234">
        <v>0.54612769999999899</v>
      </c>
      <c r="F7234" t="s">
        <v>41</v>
      </c>
      <c r="G7234">
        <v>-143.8399</v>
      </c>
      <c r="H7234">
        <v>0.95349189999999995</v>
      </c>
      <c r="I7234">
        <v>140.58410000000001</v>
      </c>
      <c r="J7234">
        <v>-144.5248</v>
      </c>
      <c r="K7234">
        <v>1.112714</v>
      </c>
      <c r="L7234">
        <v>140.6746</v>
      </c>
      <c r="M7234">
        <v>0.99949359999999998</v>
      </c>
      <c r="N7234">
        <v>0</v>
      </c>
      <c r="O7234">
        <v>-1.2938089999999999E-2</v>
      </c>
      <c r="P7234">
        <v>0.98977329999999997</v>
      </c>
      <c r="Q7234">
        <v>0.14132910000000001</v>
      </c>
      <c r="R7234">
        <v>-1.9370519999999999E-2</v>
      </c>
      <c r="S7234">
        <v>3.1242369999999999</v>
      </c>
      <c r="T7234">
        <v>-0.71685790000000005</v>
      </c>
      <c r="U7234">
        <v>-0.4079895</v>
      </c>
      <c r="V7234">
        <v>6.5257669999999896E-3</v>
      </c>
      <c r="W7234">
        <v>0.17005399999999901</v>
      </c>
      <c r="X7234">
        <v>0.98541310000000004</v>
      </c>
      <c r="Y7234">
        <v>0.1140606</v>
      </c>
      <c r="Z7234">
        <v>-9.9460169999999997E-3</v>
      </c>
      <c r="AA7234">
        <v>0.99342399999999997</v>
      </c>
      <c r="AB7234">
        <v>1</v>
      </c>
      <c r="AC7234">
        <v>0.68489999999999895</v>
      </c>
      <c r="AD7234">
        <v>-0.15922210000000001</v>
      </c>
      <c r="AE7234">
        <v>-9.0499999999991601E-2</v>
      </c>
      <c r="AF7234">
        <v>7.7510247821619097E-2</v>
      </c>
      <c r="AG7234">
        <v>-0.15922210000000001</v>
      </c>
      <c r="AH7234">
        <v>0.65141280351699804</v>
      </c>
      <c r="AI7234">
        <v>103.642655820172</v>
      </c>
      <c r="AJ7234">
        <v>83.214398737265498</v>
      </c>
      <c r="AK7234">
        <v>0.67505418762618896</v>
      </c>
      <c r="AL7234">
        <v>80.209040890634398</v>
      </c>
      <c r="AM7234">
        <v>89.6205718784759</v>
      </c>
      <c r="AN7234">
        <v>0.99999996310127304</v>
      </c>
    </row>
    <row r="7235" spans="1:40" x14ac:dyDescent="0.25">
      <c r="A7235" t="str">
        <f>"20190312151713886"</f>
        <v>20190312151713886</v>
      </c>
      <c r="B7235" t="str">
        <f>"1552375033874711"</f>
        <v>1552375033874711</v>
      </c>
      <c r="C7235" t="s">
        <v>40</v>
      </c>
      <c r="D7235">
        <v>5.623189</v>
      </c>
      <c r="E7235">
        <v>0.54633739999999997</v>
      </c>
      <c r="F7235" t="s">
        <v>41</v>
      </c>
      <c r="G7235">
        <v>-143.83240000000001</v>
      </c>
      <c r="H7235">
        <v>0.95454609999999995</v>
      </c>
      <c r="I7235">
        <v>140.58340000000001</v>
      </c>
      <c r="J7235">
        <v>-144.51679999999999</v>
      </c>
      <c r="K7235">
        <v>1.1125510000000001</v>
      </c>
      <c r="L7235">
        <v>140.67439999999999</v>
      </c>
      <c r="M7235">
        <v>0.99951369999999895</v>
      </c>
      <c r="N7235">
        <v>0</v>
      </c>
      <c r="O7235">
        <v>-1.303201E-2</v>
      </c>
      <c r="P7235">
        <v>0.98964459999999999</v>
      </c>
      <c r="Q7235">
        <v>0.1421897</v>
      </c>
      <c r="R7235">
        <v>-1.964687E-2</v>
      </c>
      <c r="S7235">
        <v>3.1248629999999999</v>
      </c>
      <c r="T7235">
        <v>-0.71370540000000005</v>
      </c>
      <c r="U7235">
        <v>-0.41096500000000002</v>
      </c>
      <c r="V7235">
        <v>6.715571E-3</v>
      </c>
      <c r="W7235">
        <v>0.17017470000000001</v>
      </c>
      <c r="X7235">
        <v>0.98539100000000002</v>
      </c>
      <c r="Y7235">
        <v>0.1148774</v>
      </c>
      <c r="Z7235">
        <v>-9.9715499999999992E-3</v>
      </c>
      <c r="AA7235">
        <v>0.99332960000000003</v>
      </c>
      <c r="AB7235">
        <v>1</v>
      </c>
      <c r="AC7235">
        <v>0.68439999999998202</v>
      </c>
      <c r="AD7235">
        <v>-0.1580049</v>
      </c>
      <c r="AE7235">
        <v>-9.0999999999979694E-2</v>
      </c>
      <c r="AF7235">
        <v>7.79852309055626E-2</v>
      </c>
      <c r="AG7235">
        <v>-0.1580049</v>
      </c>
      <c r="AH7235">
        <v>0.65141162539295105</v>
      </c>
      <c r="AI7235">
        <v>103.541121310438</v>
      </c>
      <c r="AJ7235">
        <v>83.173195578278794</v>
      </c>
      <c r="AK7235">
        <v>0.674821717463576</v>
      </c>
      <c r="AL7235">
        <v>80.202023118496101</v>
      </c>
      <c r="AM7235">
        <v>89.609527671338597</v>
      </c>
      <c r="AN7235">
        <v>0.99999997514747196</v>
      </c>
    </row>
    <row r="7236" spans="1:40" x14ac:dyDescent="0.25">
      <c r="A7236" t="str">
        <f>"20190312151713904"</f>
        <v>20190312151713904</v>
      </c>
      <c r="B7236" t="str">
        <f>"1552375033895207"</f>
        <v>1552375033895207</v>
      </c>
      <c r="C7236" t="s">
        <v>40</v>
      </c>
      <c r="D7236">
        <v>6.7508339999999896</v>
      </c>
      <c r="E7236">
        <v>0.54663850000000003</v>
      </c>
      <c r="F7236" t="s">
        <v>41</v>
      </c>
      <c r="G7236">
        <v>-143.8262</v>
      </c>
      <c r="H7236">
        <v>0.95535870000000001</v>
      </c>
      <c r="I7236">
        <v>140.5829</v>
      </c>
      <c r="J7236">
        <v>-144.51179999999999</v>
      </c>
      <c r="K7236">
        <v>1.1124080000000001</v>
      </c>
      <c r="L7236">
        <v>140.67429999999999</v>
      </c>
      <c r="M7236">
        <v>0.99953289999999995</v>
      </c>
      <c r="N7236">
        <v>0</v>
      </c>
      <c r="O7236">
        <v>-1.3093469999999999E-2</v>
      </c>
      <c r="P7236">
        <v>0.98961220000000005</v>
      </c>
      <c r="Q7236">
        <v>0.14237459999999999</v>
      </c>
      <c r="R7236">
        <v>-1.993491E-2</v>
      </c>
      <c r="S7236">
        <v>3.125397</v>
      </c>
      <c r="T7236">
        <v>-0.71128440000000004</v>
      </c>
      <c r="U7236">
        <v>-0.41366579999999997</v>
      </c>
      <c r="V7236">
        <v>6.9472070000000004E-3</v>
      </c>
      <c r="W7236">
        <v>0.1696578</v>
      </c>
      <c r="X7236">
        <v>0.98547850000000004</v>
      </c>
      <c r="Y7236">
        <v>0.1156392</v>
      </c>
      <c r="Z7236">
        <v>-1.000792E-2</v>
      </c>
      <c r="AA7236">
        <v>0.99324089999999998</v>
      </c>
      <c r="AB7236">
        <v>1</v>
      </c>
      <c r="AC7236">
        <v>0.68559999999999299</v>
      </c>
      <c r="AD7236">
        <v>-0.1570493</v>
      </c>
      <c r="AE7236">
        <v>-9.1399999999993001E-2</v>
      </c>
      <c r="AF7236">
        <v>7.8371334806843301E-2</v>
      </c>
      <c r="AG7236">
        <v>-0.1570493</v>
      </c>
      <c r="AH7236">
        <v>0.65306873818795197</v>
      </c>
      <c r="AI7236">
        <v>103.428855226995</v>
      </c>
      <c r="AJ7236">
        <v>83.156959666986197</v>
      </c>
      <c r="AK7236">
        <v>0.67624354011576404</v>
      </c>
      <c r="AL7236">
        <v>80.232076111819495</v>
      </c>
      <c r="AM7236">
        <v>89.596095656201797</v>
      </c>
      <c r="AN7236">
        <v>0.99999995337409398</v>
      </c>
    </row>
    <row r="7237" spans="1:40" x14ac:dyDescent="0.25">
      <c r="A7237" t="str">
        <f>"20190312151713926"</f>
        <v>20190312151713926</v>
      </c>
      <c r="B7237" t="str">
        <f>"1552375033914728"</f>
        <v>1552375033914728</v>
      </c>
      <c r="C7237" t="s">
        <v>40</v>
      </c>
      <c r="D7237">
        <v>5.5486800000000001</v>
      </c>
      <c r="E7237">
        <v>0.54674860000000003</v>
      </c>
      <c r="F7237" t="s">
        <v>41</v>
      </c>
      <c r="G7237">
        <v>-143.82149999999999</v>
      </c>
      <c r="H7237">
        <v>0.95499719999999999</v>
      </c>
      <c r="I7237">
        <v>140.58199999999999</v>
      </c>
      <c r="J7237">
        <v>-144.50700000000001</v>
      </c>
      <c r="K7237">
        <v>1.112233</v>
      </c>
      <c r="L7237">
        <v>140.67420000000001</v>
      </c>
      <c r="M7237">
        <v>0.99955709999999998</v>
      </c>
      <c r="N7237">
        <v>0</v>
      </c>
      <c r="O7237">
        <v>-1.315469E-2</v>
      </c>
      <c r="P7237">
        <v>0.98954489999999995</v>
      </c>
      <c r="Q7237">
        <v>0.1428265</v>
      </c>
      <c r="R7237">
        <v>-2.004951E-2</v>
      </c>
      <c r="S7237">
        <v>3.12561</v>
      </c>
      <c r="T7237">
        <v>-0.71263580000000004</v>
      </c>
      <c r="U7237">
        <v>-0.41729739999999999</v>
      </c>
      <c r="V7237">
        <v>7.0059459999999999E-3</v>
      </c>
      <c r="W7237">
        <v>0.16920250000000001</v>
      </c>
      <c r="X7237">
        <v>0.9855564</v>
      </c>
      <c r="Y7237">
        <v>0.1166705</v>
      </c>
      <c r="Z7237">
        <v>-1.0127010000000001E-2</v>
      </c>
      <c r="AA7237">
        <v>0.99311910000000003</v>
      </c>
      <c r="AB7237">
        <v>1</v>
      </c>
      <c r="AC7237">
        <v>0.68550000000001798</v>
      </c>
      <c r="AD7237">
        <v>-0.15723580000000001</v>
      </c>
      <c r="AE7237">
        <v>-9.22000000000196E-2</v>
      </c>
      <c r="AF7237">
        <v>7.9084377868562497E-2</v>
      </c>
      <c r="AG7237">
        <v>-0.15723580000000001</v>
      </c>
      <c r="AH7237">
        <v>0.65291301556418702</v>
      </c>
      <c r="AI7237">
        <v>103.44558796610301</v>
      </c>
      <c r="AJ7237">
        <v>83.093667350255103</v>
      </c>
      <c r="AK7237">
        <v>0.67621952169219302</v>
      </c>
      <c r="AL7237">
        <v>80.258545965986002</v>
      </c>
      <c r="AM7237">
        <v>89.592712932442794</v>
      </c>
      <c r="AN7237">
        <v>0.99999999343328205</v>
      </c>
    </row>
    <row r="7238" spans="1:40" x14ac:dyDescent="0.25">
      <c r="A7238" t="str">
        <f>"20190312151713949"</f>
        <v>20190312151713949</v>
      </c>
      <c r="B7238" t="str">
        <f>"1552375033944987"</f>
        <v>1552375033944987</v>
      </c>
      <c r="C7238" t="s">
        <v>40</v>
      </c>
      <c r="D7238">
        <v>5.3879859999999997</v>
      </c>
      <c r="E7238">
        <v>0.54703349999999995</v>
      </c>
      <c r="F7238" t="s">
        <v>41</v>
      </c>
      <c r="G7238">
        <v>-143.81739999999999</v>
      </c>
      <c r="H7238">
        <v>0.9553722</v>
      </c>
      <c r="I7238">
        <v>140.58170000000001</v>
      </c>
      <c r="J7238">
        <v>-144.50299999999999</v>
      </c>
      <c r="K7238">
        <v>1.1120589999999999</v>
      </c>
      <c r="L7238">
        <v>140.67410000000001</v>
      </c>
      <c r="M7238">
        <v>0.99958309999999995</v>
      </c>
      <c r="N7238">
        <v>0</v>
      </c>
      <c r="O7238">
        <v>-1.3208640000000001E-2</v>
      </c>
      <c r="P7238">
        <v>0.98950559999999999</v>
      </c>
      <c r="Q7238">
        <v>0.143098</v>
      </c>
      <c r="R7238">
        <v>-2.0049850000000001E-2</v>
      </c>
      <c r="S7238">
        <v>3.1257929999999998</v>
      </c>
      <c r="T7238">
        <v>-0.71089630000000004</v>
      </c>
      <c r="U7238">
        <v>-0.41864010000000001</v>
      </c>
      <c r="V7238">
        <v>6.9569159999999996E-3</v>
      </c>
      <c r="W7238">
        <v>0.168466</v>
      </c>
      <c r="X7238">
        <v>0.98568290000000003</v>
      </c>
      <c r="Y7238">
        <v>0.117034</v>
      </c>
      <c r="Z7238">
        <v>-1.0130709999999999E-2</v>
      </c>
      <c r="AA7238">
        <v>0.99307619999999996</v>
      </c>
      <c r="AB7238">
        <v>1</v>
      </c>
      <c r="AC7238">
        <v>0.68559999999999299</v>
      </c>
      <c r="AD7238">
        <v>-0.15668679999999899</v>
      </c>
      <c r="AE7238">
        <v>-9.2399999999997803E-2</v>
      </c>
      <c r="AF7238">
        <v>7.9266825926435303E-2</v>
      </c>
      <c r="AG7238">
        <v>-0.15668679999999899</v>
      </c>
      <c r="AH7238">
        <v>0.65325020117212496</v>
      </c>
      <c r="AI7238">
        <v>103.393335987844</v>
      </c>
      <c r="AJ7238">
        <v>83.081427136300405</v>
      </c>
      <c r="AK7238">
        <v>0.67643906474871296</v>
      </c>
      <c r="AL7238">
        <v>80.301358835267806</v>
      </c>
      <c r="AM7238">
        <v>89.595615073918694</v>
      </c>
      <c r="AN7238">
        <v>0.99999998559432002</v>
      </c>
    </row>
    <row r="7239" spans="1:40" x14ac:dyDescent="0.25">
      <c r="A7239" t="str">
        <f>"20190312151713971"</f>
        <v>20190312151713971</v>
      </c>
      <c r="B7239" t="str">
        <f>"1552375033965479"</f>
        <v>1552375033965479</v>
      </c>
      <c r="C7239" t="s">
        <v>40</v>
      </c>
      <c r="D7239">
        <v>6.9135589999999896</v>
      </c>
      <c r="E7239">
        <v>0.54721330000000001</v>
      </c>
      <c r="F7239" t="s">
        <v>41</v>
      </c>
      <c r="G7239">
        <v>-143.8143</v>
      </c>
      <c r="H7239">
        <v>0.95492569999999999</v>
      </c>
      <c r="I7239">
        <v>140.5812</v>
      </c>
      <c r="J7239">
        <v>-144.49979999999999</v>
      </c>
      <c r="K7239">
        <v>1.1119079999999999</v>
      </c>
      <c r="L7239">
        <v>140.67400000000001</v>
      </c>
      <c r="M7239">
        <v>0.99960789999999999</v>
      </c>
      <c r="N7239">
        <v>0</v>
      </c>
      <c r="O7239">
        <v>-1.32514E-2</v>
      </c>
      <c r="P7239">
        <v>0.98949299999999996</v>
      </c>
      <c r="Q7239">
        <v>0.14320559999999999</v>
      </c>
      <c r="R7239">
        <v>-1.9894450000000001E-2</v>
      </c>
      <c r="S7239">
        <v>3.1264500000000002</v>
      </c>
      <c r="T7239">
        <v>-0.71328029999999998</v>
      </c>
      <c r="U7239">
        <v>-0.42118840000000002</v>
      </c>
      <c r="V7239">
        <v>6.7618779999999998E-3</v>
      </c>
      <c r="W7239">
        <v>0.1675691</v>
      </c>
      <c r="X7239">
        <v>0.98583719999999997</v>
      </c>
      <c r="Y7239">
        <v>0.11772729999999999</v>
      </c>
      <c r="Z7239">
        <v>-1.0229480000000001E-2</v>
      </c>
      <c r="AA7239">
        <v>0.99299329999999997</v>
      </c>
      <c r="AB7239">
        <v>1</v>
      </c>
      <c r="AC7239">
        <v>0.68549999999999001</v>
      </c>
      <c r="AD7239">
        <v>-0.15698229999999899</v>
      </c>
      <c r="AE7239">
        <v>-9.2800000000011096E-2</v>
      </c>
      <c r="AF7239">
        <v>7.9605631415004097E-2</v>
      </c>
      <c r="AG7239">
        <v>-0.15698229999999899</v>
      </c>
      <c r="AH7239">
        <v>0.65303897823002099</v>
      </c>
      <c r="AI7239">
        <v>103.420999951277</v>
      </c>
      <c r="AJ7239">
        <v>83.049918647739503</v>
      </c>
      <c r="AK7239">
        <v>0.67634340845016105</v>
      </c>
      <c r="AL7239">
        <v>80.353489179296503</v>
      </c>
      <c r="AM7239">
        <v>89.607013211206805</v>
      </c>
      <c r="AN7239">
        <v>1.00000005558636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2020-05-20T14:50:40Z</dcterms:created>
  <dcterms:modified xsi:type="dcterms:W3CDTF">2020-05-20T14:50:40Z</dcterms:modified>
</cp:coreProperties>
</file>